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ods" sheetId="1" r:id="rId3"/>
    <sheet state="visible" name="protein" sheetId="2" r:id="rId4"/>
    <sheet state="visible" name="fats" sheetId="3" r:id="rId5"/>
    <sheet state="visible" name="carbs" sheetId="4" r:id="rId6"/>
  </sheets>
  <definedNames>
    <definedName name="foods">foods!$1:$14165</definedName>
  </definedNames>
  <calcPr/>
</workbook>
</file>

<file path=xl/sharedStrings.xml><?xml version="1.0" encoding="utf-8"?>
<sst xmlns="http://schemas.openxmlformats.org/spreadsheetml/2006/main" count="28335" uniqueCount="14194">
  <si>
    <t>id</t>
  </si>
  <si>
    <t>name</t>
  </si>
  <si>
    <t>foodgroup</t>
  </si>
  <si>
    <t>calories</t>
  </si>
  <si>
    <t>fat</t>
  </si>
  <si>
    <t>protein</t>
  </si>
  <si>
    <t>carbohydrate</t>
  </si>
  <si>
    <t>Pillsbury Golden Layer Buttermilk Biscuits Artificial Flavor Refrigerated Dough</t>
  </si>
  <si>
    <t>Baked Foods</t>
  </si>
  <si>
    <t>Pillsbury Cinnamon Rolls With Icing Refrigerated Dough</t>
  </si>
  <si>
    <t>Kraft Foods Shake N Bake Original Recipe Coating For Pork Dry</t>
  </si>
  <si>
    <t>George Weston Bakeries Thomas English Muffins</t>
  </si>
  <si>
    <t>Waffles Buttermilk Frozen Ready-To-Heat</t>
  </si>
  <si>
    <t>Waffle Buttermilk Frozen Ready-To-Heat Toasted</t>
  </si>
  <si>
    <t>Waffle Buttermilk Frozen Ready-To-Heat Microwaved</t>
  </si>
  <si>
    <t>Waffle Plain Frozen Ready-To-Heat Microwave</t>
  </si>
  <si>
    <t>Pie Crust Cookie-Type Graham Cracker Ready Crust</t>
  </si>
  <si>
    <t>Pie Crust Cookie-Type Chocolate Ready Crust</t>
  </si>
  <si>
    <t>Dutch Apple Pie</t>
  </si>
  <si>
    <t>Pie Crust Deep Dish Frozen Unbaked Made With Enriched Flour</t>
  </si>
  <si>
    <t>Waffles Chocolate Chip Frozen Ready-To-Heat</t>
  </si>
  <si>
    <t>Tostada Shells Corn</t>
  </si>
  <si>
    <t>Bread Salvadoran Sweet Cheese (Quesadilla Salvadorena)</t>
  </si>
  <si>
    <t>Bread Pound Cake Type Pan De Torta Salvadoran</t>
  </si>
  <si>
    <t>Pastry Pastelitos De Guava (Guava Pastries)</t>
  </si>
  <si>
    <t>Crackers Snack Goya Crackers</t>
  </si>
  <si>
    <t>Crackers Cream Gamesa Sabrosas</t>
  </si>
  <si>
    <t>Crackers Cream La Moderna Rikis Cream Crackers</t>
  </si>
  <si>
    <t>Bread White Wheat</t>
  </si>
  <si>
    <t>Bagels Wheat</t>
  </si>
  <si>
    <t>Cream Puff Eclair Custard Or Cream Filled Iced</t>
  </si>
  <si>
    <t>Tortillas Ready-To-Bake Or -Fry Flour Shelf Stable</t>
  </si>
  <si>
    <t>Snacks Beef Jerky Chopped And Formed</t>
  </si>
  <si>
    <t>Snacks</t>
  </si>
  <si>
    <t>Snacks Corn-Based Extruded Chips Plain</t>
  </si>
  <si>
    <t>Snacks Corn-Based Extruded Chips Barbecue-Flavor</t>
  </si>
  <si>
    <t>Snacks Corn-Based Extruded Cones Plain</t>
  </si>
  <si>
    <t>Snacks Fruit Leather Pieces</t>
  </si>
  <si>
    <t>Sweets</t>
  </si>
  <si>
    <t>Snacks Fruit Leather Rolls</t>
  </si>
  <si>
    <t>Snacks Granola Bars Hard Plain</t>
  </si>
  <si>
    <t>Snacks Granola Bars Hard Almond</t>
  </si>
  <si>
    <t>Snacks Granola Bars Soft Uncoated Raisin</t>
  </si>
  <si>
    <t>Snacks Granola Bars Soft Coated Milk Chocolate Coating Chocolate Chip</t>
  </si>
  <si>
    <t>Honey-Combed With Peanut Butter</t>
  </si>
  <si>
    <t>Snacks Granola Bars Soft Coated Milk Chocolate Coating Peanut Butter</t>
  </si>
  <si>
    <t>Snacks Granola Bars Soft Uncoated Peanut Butter And Chocolate Chip</t>
  </si>
  <si>
    <t>Snacks Popcorn Oil-Popped Microwave Regular Flavor No Trans Fat</t>
  </si>
  <si>
    <t>Snacks Popcorn Cakes</t>
  </si>
  <si>
    <t>Snacks Popcorn Caramel-Coated With Peanuts</t>
  </si>
  <si>
    <t>Snacks Popcorn Caramel-Coated Without Peanuts</t>
  </si>
  <si>
    <t>Snacks Potato Chips Made From Dried Potatoes Reduced Fat</t>
  </si>
  <si>
    <t>Snacks Potato Chips Made From Dried Potatoes Sour-Cream And Onion-Flavor</t>
  </si>
  <si>
    <t>Snacks Pretzels Hard Plain Salted</t>
  </si>
  <si>
    <t>Snacks Pretzels Hard Confectioners Coating Chocolate-Flavor</t>
  </si>
  <si>
    <t>Snacks Rice Cakes Brown Rice Sesame Seed</t>
  </si>
  <si>
    <t>Snacks Tortilla Chips Plain White Corn Salted</t>
  </si>
  <si>
    <t>Snacks Tortilla Chips Nacho Cheese</t>
  </si>
  <si>
    <t>Snacks Tortilla Chips Ranch-Flavor</t>
  </si>
  <si>
    <t>Snacks Trail Mix Regular</t>
  </si>
  <si>
    <t>Almond Joy Candy Bar</t>
  </si>
  <si>
    <t>Twizzlers Cherry Bites</t>
  </si>
  <si>
    <t>Nestle Bit-O-Honey Candy Chews</t>
  </si>
  <si>
    <t>Nestle Butterfinger Bar</t>
  </si>
  <si>
    <t>Caramels Chocolate-Flavor Roll</t>
  </si>
  <si>
    <t>Baking Chocolate Unsweetened Liquid</t>
  </si>
  <si>
    <t>Unsweetened Baking Chocolate</t>
  </si>
  <si>
    <t>Confectioners Coating Yogurt</t>
  </si>
  <si>
    <t>Confectioners Coating Peanut Butter</t>
  </si>
  <si>
    <t>White Chocolate</t>
  </si>
  <si>
    <t>Ice Creams Vanilla Light</t>
  </si>
  <si>
    <t>Ice Creams Vanilla Rich</t>
  </si>
  <si>
    <t>Desserts Flan Caramel Custard Prepared-From-Recipe</t>
  </si>
  <si>
    <t>Ice Creams Vanilla</t>
  </si>
  <si>
    <t>Ice Creams Vanilla Light Soft-Serve</t>
  </si>
  <si>
    <t>Sherbet Orange</t>
  </si>
  <si>
    <t>Fudge Peanut Butter Prepared-From-Recipe</t>
  </si>
  <si>
    <t>Fudge Vanilla Prepared-From-Recipe</t>
  </si>
  <si>
    <t>Fudge Vanilla With Nuts</t>
  </si>
  <si>
    <t>Nestle Goobers Chocolate Covered Peanuts</t>
  </si>
  <si>
    <t>Nestle Baby Ruth Bar</t>
  </si>
  <si>
    <t>Twizzlers Strawberry Twists Candy</t>
  </si>
  <si>
    <t>Syrups Table Blends Pancake With Butter</t>
  </si>
  <si>
    <t>Ice Creams Chocolate Light</t>
  </si>
  <si>
    <t>Nestle Chunky Bar</t>
  </si>
  <si>
    <t>Milk Chocolate</t>
  </si>
  <si>
    <t>Puddings Banana Dry Mix Instant Prepared With 2% Milk</t>
  </si>
  <si>
    <t>Puddings Banana Dry Mix Regular Prepared With 2% Milk</t>
  </si>
  <si>
    <t>Andreas Gluten Free Soft Dinner Roll</t>
  </si>
  <si>
    <t>Crunchmaster Multi-Grain Crisps Snack Crackers Gluten-Free</t>
  </si>
  <si>
    <t>Glutino Gluten Free Cookies Chocolate Vanilla Creme</t>
  </si>
  <si>
    <t>Glutino Gluten Free Cookies Vanilla Creme</t>
  </si>
  <si>
    <t>Pepperidge Farm Goldfish Baked Snack Crackers Original</t>
  </si>
  <si>
    <t>Pepperidge Farm Goldfish Baked Snack Crackers Parmesan</t>
  </si>
  <si>
    <t>Pepperidge Farm Goldfish Baked Snack Crackers Pizza</t>
  </si>
  <si>
    <t>Rudis Gluten-Free Bakery Original Sandwich Bread</t>
  </si>
  <si>
    <t>Udis Gluten Free Soft &amp; Delicious White Sandwich Bread</t>
  </si>
  <si>
    <t>Udis Gluten Free Soft &amp; Hearty Whole Grain Bread</t>
  </si>
  <si>
    <t>Udis Gluten Free Whole Grain Dinner Rolls</t>
  </si>
  <si>
    <t>Vans Gluten Free Totally Original Pancakes</t>
  </si>
  <si>
    <t>Seaweed Canadian Cultivated Emi-Tsunomata Dry</t>
  </si>
  <si>
    <t>Vegetables</t>
  </si>
  <si>
    <t>Seaweed Canadian Cultivated Emi-Tsunomata Rehydrated</t>
  </si>
  <si>
    <t>Potatoes Hash Brown Refrigerated Unprepared</t>
  </si>
  <si>
    <t>Potatoes Hash Brown Refrigerated Prepared Pan-Fried In Canola Oil</t>
  </si>
  <si>
    <t>Sweet Potatoes French Fried Frozen As Packaged Salt Added In Processing</t>
  </si>
  <si>
    <t>Moose Meat Raw (Alaska Native)</t>
  </si>
  <si>
    <t>American Indian</t>
  </si>
  <si>
    <t>Mashu Roots Raw (Alaska Native)</t>
  </si>
  <si>
    <t>Moose Liver Braised (Alaska Native)</t>
  </si>
  <si>
    <t>Seal Bearded (Oogruk) Meat Raw (Alaska Native)</t>
  </si>
  <si>
    <t>Oil Bearded Seal (Oogruk) (Alaska Native)</t>
  </si>
  <si>
    <t>Oopah (Tunicate) Whole Animal (Alaska Native)</t>
  </si>
  <si>
    <t>Owl Horned Flesh Raw (Alaska Native)</t>
  </si>
  <si>
    <t>Fish Salmon King Chinook Smoked And Canned (Alaska Native)</t>
  </si>
  <si>
    <t>Fish Salmon King Chinook Smoked Brined (Alaska Native)</t>
  </si>
  <si>
    <t>Fish Salmon King Chinook Liver (Alaska Native)</t>
  </si>
  <si>
    <t>Duck Scoter White-Winged Meat (Alaska Native)</t>
  </si>
  <si>
    <t>Sea Cucumber Yane (Alaska Native)</t>
  </si>
  <si>
    <t>Squirrel Ground Meat (Alaska Native)</t>
  </si>
  <si>
    <t>Tea Tundra Herb And Laborador Combination (Alaska Native)</t>
  </si>
  <si>
    <t>Walrus Meat Dried (Alaska Native)</t>
  </si>
  <si>
    <t>Deer (Venison) Sitka Raw (Alaska Native)</t>
  </si>
  <si>
    <t>Whale Bowhead Subcutaneous Fat (Blubber) (Alaska Native)</t>
  </si>
  <si>
    <t>Whale Bowhead Skin And Subcutaneous Fat (Muktuk) (Alaska Native)</t>
  </si>
  <si>
    <t>Oil Whale Bowhead (Alaska Native)</t>
  </si>
  <si>
    <t>Fish Whitefish Broad Liver (Alaska Native)</t>
  </si>
  <si>
    <t>Mush Blue Corn With Ash (Navajo)</t>
  </si>
  <si>
    <t>Cornmeal Blue (Navajo)</t>
  </si>
  <si>
    <t>Melon Banana (Navajo)</t>
  </si>
  <si>
    <t>Chilchen (Red Berry Beverage) (Navajo)</t>
  </si>
  <si>
    <t>Corn Dried (Navajo)</t>
  </si>
  <si>
    <t>Squash Indian Cooked Boiled (Navajo)</t>
  </si>
  <si>
    <t>Bread Kneel Down (Navajo)</t>
  </si>
  <si>
    <t>Mutton Cooked Roasted (Navajo)</t>
  </si>
  <si>
    <t>Frybread Made With Lard (Navajo)</t>
  </si>
  <si>
    <t>Tamales (Navajo)</t>
  </si>
  <si>
    <t>Stew Steamed Corn (Navajo)</t>
  </si>
  <si>
    <t>Fish Halibut Raw With Skin (Alaska Native)</t>
  </si>
  <si>
    <t>Fish Salmon Coho (Silver) Raw (Alaska Native)</t>
  </si>
  <si>
    <t>Blueberries Wild Raw (Alaska Native)</t>
  </si>
  <si>
    <t>Oil Spotted Seal (Alaska Native)</t>
  </si>
  <si>
    <t>Fish Salmon Red Canned Bones Removed (Alaska Native)</t>
  </si>
  <si>
    <t>Fish Whitefish Eggs (Alaska Native)</t>
  </si>
  <si>
    <t>Caribou Rump Meat Half Dried (Alaska Native)</t>
  </si>
  <si>
    <t>Fish Salmon Red (Sockeye) Canned Smoked (Alaska Native)</t>
  </si>
  <si>
    <t>Fish Salmon Red (Sockeye) Kippered (Alaska Native)</t>
  </si>
  <si>
    <t>Fish Salmon King With Skin Kippered (Alaska Native)</t>
  </si>
  <si>
    <t>Fish Sheefish Raw (Alaska Native)</t>
  </si>
  <si>
    <t>Buffalo Free Range Top Round Steak Raw (Shoshone Bannock)</t>
  </si>
  <si>
    <t>Seal Bearded (Oogruk) Meat Partially Dried (Alaska Native)</t>
  </si>
  <si>
    <t>Buffalo Free Range Top Round Steak Cooked (Shoshone Bannock)</t>
  </si>
  <si>
    <t>Elk Free Range Roast Eye Of Round Raw (Shoshone Bannock)</t>
  </si>
  <si>
    <t>Corn Dried Yellow (Northern Plains Indians)</t>
  </si>
  <si>
    <t>Smelt Dried (Alaska Native)</t>
  </si>
  <si>
    <t>Frybread Made With Lard (Apache)</t>
  </si>
  <si>
    <t>Corned Beef And Potatoes In Tortilla (Apache)</t>
  </si>
  <si>
    <t>On The Border Soft Taco With Ground Beef Cheese And Lettuce</t>
  </si>
  <si>
    <t>Restaurant Foods</t>
  </si>
  <si>
    <t>Restaurant Mexican Soft Taco With Ground Beef Cheese And Lettuce</t>
  </si>
  <si>
    <t>Restaurant Latino Chicken And Rice Entree Prepared</t>
  </si>
  <si>
    <t>Restaurant Latino Empanadas Beef Prepared</t>
  </si>
  <si>
    <t>Restaurant Latino Pupusas Con Frijoles (Pupusas Bean)</t>
  </si>
  <si>
    <t>Restaurant Latino Pupusas Con Queso (Pupusas Cheese)</t>
  </si>
  <si>
    <t>Restaurant Latino Pupusas Del Cerdo (Pupusas Pork)</t>
  </si>
  <si>
    <t>Restaurant Latino Tamale Corn</t>
  </si>
  <si>
    <t>Restaurant Mexican Spanish Rice</t>
  </si>
  <si>
    <t>Restaurant Mexican Refried Beans</t>
  </si>
  <si>
    <t>Restaurant Chinese Egg Rolls Assorted</t>
  </si>
  <si>
    <t>Restaurant Chinese Fried Rice Without Meat</t>
  </si>
  <si>
    <t>Cracker Barrel Steak Fries</t>
  </si>
  <si>
    <t>Cracker Barrel Grilled Sirloin Steak</t>
  </si>
  <si>
    <t>Cracker Barrel Macaroni N Cheese Plate From Kids Menu</t>
  </si>
  <si>
    <t>Dennys French Fries</t>
  </si>
  <si>
    <t>Dennys Top Sirloin Steak</t>
  </si>
  <si>
    <t>Restaurant Chinese Lemon Chicken</t>
  </si>
  <si>
    <t>Restaurant Chinese General Tsos Chicken</t>
  </si>
  <si>
    <t>Restaurant Chinese Kung Pao Chicken</t>
  </si>
  <si>
    <t>Restaurant Chinese Vegetable Lo Mein Without Meat</t>
  </si>
  <si>
    <t>Restaurant Chinese Chicken And Vegetables</t>
  </si>
  <si>
    <t>Restaurant Chinese Orange Chicken</t>
  </si>
  <si>
    <t>Restaurant Italian Spaghetti With Meat Sauce</t>
  </si>
  <si>
    <t>Fruit-Flavored Drink Dry Powdered Mix Low Calorie With Aspartame</t>
  </si>
  <si>
    <t>Beverages</t>
  </si>
  <si>
    <t>Pectin Liquid</t>
  </si>
  <si>
    <t>Frozen Novelties Ice Cream Type Vanilla Ice Cream Light No Sugar Added Chocolate Coated</t>
  </si>
  <si>
    <t>Creamy Dressing Made With Sour Cream And/or Buttermilk And Oil Reduced Calorie</t>
  </si>
  <si>
    <t>Fats and Oils</t>
  </si>
  <si>
    <t>Bologna Beef And Pork Low Fat</t>
  </si>
  <si>
    <t>Meats</t>
  </si>
  <si>
    <t>Milk Dessert Frozen Milk-Fat Free Chocolate</t>
  </si>
  <si>
    <t>Whipped Topping Frozen Low Fat</t>
  </si>
  <si>
    <t>Dairy and Egg Products</t>
  </si>
  <si>
    <t>Cream Substitute Powdered Light</t>
  </si>
  <si>
    <t>Mars Snackfood Us M&amp;Ms Peanut Butter Chocolate</t>
  </si>
  <si>
    <t>Babyfood Apple Yogurt Dessert Strained</t>
  </si>
  <si>
    <t>Baby Foods</t>
  </si>
  <si>
    <t>Vegetable Oil-Butter Spread Reduced Calorie</t>
  </si>
  <si>
    <t>Salad Dressing Blue Or Roquefort Cheese Dressing Light</t>
  </si>
  <si>
    <t>Salad Dressing French Dressing Reduced Calorie</t>
  </si>
  <si>
    <t>Turkey And Pork Sausage Fresh Bulk Patty Or Link Cooked</t>
  </si>
  <si>
    <t>Mayonnaise Made With Tofu</t>
  </si>
  <si>
    <t>Frankfurter Beef Low Fat</t>
  </si>
  <si>
    <t>Milk Buttermilk Fluid Cultured Reduced Fat</t>
  </si>
  <si>
    <t>Pork Sausage Rice Links Brown And Serve Cooked</t>
  </si>
  <si>
    <t>Salad Dressing Blue Or Roquefort Cheese Dressing Fat-Free</t>
  </si>
  <si>
    <t>Salad Dressing Mayonnaise-Like Fat-Free</t>
  </si>
  <si>
    <t>Mars Snackfood Us Milky Way Midnight Bar</t>
  </si>
  <si>
    <t>Flaxseed Oil</t>
  </si>
  <si>
    <t>Cheese Cottage Lowfat 1% Milkfat Lactose Reduced</t>
  </si>
  <si>
    <t>Salad Dressing Bacon And Tomato</t>
  </si>
  <si>
    <t>Grated Parmesan Cheese (Low-Sodium)</t>
  </si>
  <si>
    <t>Jams Preserves Marmalade Reduced Sugar</t>
  </si>
  <si>
    <t>Fruit-Flavored Drink Powder With High Vitamin C With Other Added Vitamins Low Calorie</t>
  </si>
  <si>
    <t>Tomato And Vegetable Juice Low Sodium</t>
  </si>
  <si>
    <t>Turkey Wing Smoked Cooked With Skin Bone Removed</t>
  </si>
  <si>
    <t>Turkey Drumstick Smoked Cooked With Skin Bone Removed</t>
  </si>
  <si>
    <t>Chocolate-Flavored Drink Whey And Milk Based</t>
  </si>
  <si>
    <t>Pork Cured Bacon Cooked Broiled Pan-Fried Or Roasted Reduced Sodium</t>
  </si>
  <si>
    <t>Turkey Light Or Dark Meat Smoked Cooked Skin And Bone Removed</t>
  </si>
  <si>
    <t>Hearts Of Palm Raw</t>
  </si>
  <si>
    <t>Post Shredded Wheat N Bran Spoon-Size</t>
  </si>
  <si>
    <t>Breakfast Cereals</t>
  </si>
  <si>
    <t>Cheese Cottage Lowfat 1% Milkfat With Vegetables</t>
  </si>
  <si>
    <t>Yeast Extract Spread</t>
  </si>
  <si>
    <t>Soups and Sauces</t>
  </si>
  <si>
    <t>Babyfood Juice Pear</t>
  </si>
  <si>
    <t>Chicken Meatless Breaded Fried</t>
  </si>
  <si>
    <t>Beans and Lentils</t>
  </si>
  <si>
    <t>Babyfood Meat Beef With Vegetables Toddler</t>
  </si>
  <si>
    <t>Frozen Novelties Juice Type Juice With Cream</t>
  </si>
  <si>
    <t>Tofu Yogurt</t>
  </si>
  <si>
    <t>Alcoholic Beverage Rice (Sake)</t>
  </si>
  <si>
    <t>Millet Puffed</t>
  </si>
  <si>
    <t>Oat Bran Flakes Health Valley</t>
  </si>
  <si>
    <t>Babyfood Mixed Fruit Yogurt Strained</t>
  </si>
  <si>
    <t>Abbott Ensure Plus Ready-To-Drink</t>
  </si>
  <si>
    <t>Babyfood Rice And Apples Dry</t>
  </si>
  <si>
    <t>Babyfood Juice Apple - Cherry</t>
  </si>
  <si>
    <t>Milk Imitation Non-Soy</t>
  </si>
  <si>
    <t>Babyfood Cereal Rice With Pears And Apple Dry Instant Fortified</t>
  </si>
  <si>
    <t>Babyfood Banana No Tapioca Strained</t>
  </si>
  <si>
    <t>Babyfood Banana Apple Dessert Strained</t>
  </si>
  <si>
    <t>Breakfast Bar Corn Flake Crust With Fruit</t>
  </si>
  <si>
    <t>Cheese Mozzarella Low Sodium</t>
  </si>
  <si>
    <t>Mayonnaise Dressing No Cholesterol</t>
  </si>
  <si>
    <t>Oil Corn Peanut And Olive</t>
  </si>
  <si>
    <t>Pie Fillings Blueberry Canned</t>
  </si>
  <si>
    <t>Cocktail Mix Non-Alcoholic Concentrated Frozen</t>
  </si>
  <si>
    <t>Puddings Chocolate Flavor Low Calorie Regular Dry Mix</t>
  </si>
  <si>
    <t>Puddings All Flavors Except Chocolate Low Calorie Regular Dry Mix</t>
  </si>
  <si>
    <t>Scallops</t>
  </si>
  <si>
    <t>Fish</t>
  </si>
  <si>
    <t>Syrup Cane</t>
  </si>
  <si>
    <t>Mollusks Snail Raw</t>
  </si>
  <si>
    <t>Turtle Green Raw</t>
  </si>
  <si>
    <t>Lemons</t>
  </si>
  <si>
    <t>Fruits</t>
  </si>
  <si>
    <t>Lemon Juice Raw</t>
  </si>
  <si>
    <t>Lemon Juice From Concentrate Canned Or Bottled</t>
  </si>
  <si>
    <t>Lemon Peel Raw</t>
  </si>
  <si>
    <t>Prickly Pears</t>
  </si>
  <si>
    <t>Plums Dried (Prunes) Stewed Without Added Sugar</t>
  </si>
  <si>
    <t>Plums Dried (Prunes) Stewed With Added Sugar</t>
  </si>
  <si>
    <t>Shredded Coconut Meat (Sweetened)</t>
  </si>
  <si>
    <t>Pummelo</t>
  </si>
  <si>
    <t>Raspberries</t>
  </si>
  <si>
    <t>Raspberries Canned Red Heavy Syrup Pack Solids And Liquids</t>
  </si>
  <si>
    <t>Raspberries Frozen Red Sweetened</t>
  </si>
  <si>
    <t>Rhubarb</t>
  </si>
  <si>
    <t>Sapodilla</t>
  </si>
  <si>
    <t>Mamey Sapote</t>
  </si>
  <si>
    <t>Soursop</t>
  </si>
  <si>
    <t>Strawberries</t>
  </si>
  <si>
    <t>Tamarinds</t>
  </si>
  <si>
    <t>Fruit Salad (Pineapple And Papaya And Banana And Guava) Tropical Canned Heavy Syrup Solids And Liquids</t>
  </si>
  <si>
    <t>Watermelon</t>
  </si>
  <si>
    <t>Maraschino Cherries (Canned)</t>
  </si>
  <si>
    <t>Pineapple Canned Juice Pack Drained</t>
  </si>
  <si>
    <t>Apricots Canned Heavy Syrup Drained</t>
  </si>
  <si>
    <t>Cherries Sour Canned Water Pack Drained</t>
  </si>
  <si>
    <t>Cherries Sweet Canned Pitted Heavy Syrup Drained</t>
  </si>
  <si>
    <t>Apple Juice Canned Or Bottled Unsweetened With Added Ascorbic Acid</t>
  </si>
  <si>
    <t>Applesauce Canned Unsweetened With Added Ascorbic Acid</t>
  </si>
  <si>
    <t>Applesauce Canned Sweetened With Salt</t>
  </si>
  <si>
    <t>Pink Grapefruit Juice</t>
  </si>
  <si>
    <t>Apple Juice Frozen Concentrate Unsweetened Diluted With 3 Volume Water With Added Ascorbic Acid</t>
  </si>
  <si>
    <t>Bartlett Pears</t>
  </si>
  <si>
    <t>Red Anjou Pears</t>
  </si>
  <si>
    <t>Bosc Pear</t>
  </si>
  <si>
    <t>Green Anjou Pear</t>
  </si>
  <si>
    <t>Prune Puree</t>
  </si>
  <si>
    <t>Candied Fruit</t>
  </si>
  <si>
    <t>Abiyuch</t>
  </si>
  <si>
    <t>Rowal</t>
  </si>
  <si>
    <t>Guava Nectar Canned With Added Ascorbic Acid</t>
  </si>
  <si>
    <t>Mango Nectar Canned</t>
  </si>
  <si>
    <t>Tamarind Nectar Canned</t>
  </si>
  <si>
    <t>Pomegranate Juice Bottled</t>
  </si>
  <si>
    <t>Nance Canned Syrup Drained</t>
  </si>
  <si>
    <t>Nance Frozen Unsweetened</t>
  </si>
  <si>
    <t>Naranjilla (Lulo) Pulp Frozen Unsweetened</t>
  </si>
  <si>
    <t>Horned Melon (Kiwano)</t>
  </si>
  <si>
    <t>Orange Pineapple Juice Blend</t>
  </si>
  <si>
    <t>Fuji Apples</t>
  </si>
  <si>
    <t>Orange Juice Chilled Includes From Concentrate With Added Calcium And Vitamins A D E</t>
  </si>
  <si>
    <t>Fruit Juice Smoothie Naked Juice Mighty Mango</t>
  </si>
  <si>
    <t>Fruit Juice Smoothie Naked Juice Green Machine</t>
  </si>
  <si>
    <t>Fruit Juice Smoothie Bolthouse Farms Berry Boost</t>
  </si>
  <si>
    <t>Fruit Juice Smoothie Bolthouse Farms Green Goodness</t>
  </si>
  <si>
    <t>Fruit Juice Smoothie Bolthouse Farms Strawberry Banana</t>
  </si>
  <si>
    <t>Apple Juice Canned Or Bottled Unsweetened With Added Ascorbic Acid Calcium And Potassium</t>
  </si>
  <si>
    <t>Lemon Juice From Concentrate Bottled Concord</t>
  </si>
  <si>
    <t>Lemon Juice From Concentrate Bottled Real Lemon</t>
  </si>
  <si>
    <t>Cranberry Sauce Whole Canned Ocean Spray</t>
  </si>
  <si>
    <t>Cranberry Sauce Jellied Canned Ocean Spray</t>
  </si>
  <si>
    <t>Ruby Red Grapefruit Juice Blend (Grapefruit Grape Apple) Ocean Spray Bottled With Added Vitamin C</t>
  </si>
  <si>
    <t>Baobab Powder</t>
  </si>
  <si>
    <t>NULL</t>
  </si>
  <si>
    <t>Cherry Juice Tart</t>
  </si>
  <si>
    <t>Raspberries Puree Seedless</t>
  </si>
  <si>
    <t>Raspberries Puree With Seeds</t>
  </si>
  <si>
    <t>Pork Fresh Composite Of Trimmed Leg Loin Shoulder And Spareribs (Includes Cuts To Be Cured) Separable Lean And Fat Raw</t>
  </si>
  <si>
    <t>Pork Fresh Backfat Raw</t>
  </si>
  <si>
    <t>Pork Fresh Belly Raw</t>
  </si>
  <si>
    <t>Pork Fresh Separable Fat Raw</t>
  </si>
  <si>
    <t>Pork Fresh Leg (Ham) Rump Half Separable Lean And Fat Raw</t>
  </si>
  <si>
    <t>Pork Fresh Leg (Ham) Rump Half Separable Lean And Fat Cooked Roasted</t>
  </si>
  <si>
    <t>Pork Fresh Leg (Ham) Rump Half Separable Lean Only Raw</t>
  </si>
  <si>
    <t>Pork Fresh Leg (Ham) Rump Half Separable Lean Only Cooked Roasted</t>
  </si>
  <si>
    <t>Pork Fresh Loin Whole Separable Lean And Fat Raw</t>
  </si>
  <si>
    <t>Pork Fresh Loin Whole Separable Lean And Fat Cooked Braised</t>
  </si>
  <si>
    <t>Pork Loin</t>
  </si>
  <si>
    <t>Pork Fresh Loin Whole Separable Lean And Fat Cooked Roasted</t>
  </si>
  <si>
    <t>Pork Fresh Loin Blade (Chops Or Roasts) Bone-In Separable Lean And Fat Raw</t>
  </si>
  <si>
    <t>Pork Chops (With Fat)</t>
  </si>
  <si>
    <t>Pork Fresh Loin Blade (Chops) Bone-In Separable Lean And Fat Cooked Broiled</t>
  </si>
  <si>
    <t>Pork Fresh Loin Blade (Roasts) Bone-In Separable Lean And Fat Cooked Roasted</t>
  </si>
  <si>
    <t>Pork Fresh Loin Center Loin (Chops) Bone-In Separable Lean And Fat Cooked Braised</t>
  </si>
  <si>
    <t>Pork Fresh Loin Center Loin (Chops) Bone-In Separable Lean And Fat Cooked Broiled</t>
  </si>
  <si>
    <t>Pork Fresh Loin Center Loin (Roasts) Bone-In Separable Lean And Fat Cooked Roasted</t>
  </si>
  <si>
    <t>Pork Fresh Loin Center Loin (Chops) Bone-In Separable Lean Only Raw</t>
  </si>
  <si>
    <t>Pork Fresh Loin Center Rib (Chops) Bone-In Separable Lean And Fat Cooked Braised</t>
  </si>
  <si>
    <t>Pork Fresh Loin Center Rib (Chops) Bone-In Separable Lean And Fat Cooked Broiled</t>
  </si>
  <si>
    <t>Pork Fresh Loin Center Rib (Roasts) Bone-In Separable Lean And Fat Cooked Roasted</t>
  </si>
  <si>
    <t>Pork Fresh Loin Center Rib (Chops Or Roasts) Bone-In Separable Lean Only Raw</t>
  </si>
  <si>
    <t>Pork Fresh Loin Sirloin (Chops) Bone-In Separable Lean And Fat Cooked Braised</t>
  </si>
  <si>
    <t>Pork Fresh Loin Sirloin (Chops) Bone-In Separable Lean And Fat Cooked Broiled</t>
  </si>
  <si>
    <t>Pork Fresh Loin Sirloin (Roasts) Bone-In Separable Lean And Fat Cooked Roasted</t>
  </si>
  <si>
    <t>Pork Fresh Loin Sirloin (Chops Or Roasts) Bone-In Separable Lean Only Raw</t>
  </si>
  <si>
    <t>Pork Chops (Lean)</t>
  </si>
  <si>
    <t>Pork Fresh Loin Top Loin (Chops) Boneless Separable Lean And Fat Raw</t>
  </si>
  <si>
    <t>Pork Fresh Loin Top Loin (Chops) Boneless Separable Lean And Fat Cooked Braised</t>
  </si>
  <si>
    <t>Pork Fresh Loin Top Loin (Chops) Boneless Separable Lean And Fat Cooked Broiled</t>
  </si>
  <si>
    <t>Pork Fresh Loin Top Loin (Roasts) Boneless Separable Lean And Fat Cooked Roasted</t>
  </si>
  <si>
    <t>Pork Fresh Shoulder Whole Separable Lean And Fat Raw</t>
  </si>
  <si>
    <t>Pork Fresh Shoulder Whole Separable Lean And Fat Cooked Roasted</t>
  </si>
  <si>
    <t>Pork Fresh Shoulder Whole Separable Lean Only Raw</t>
  </si>
  <si>
    <t>Pork Fresh Shoulder Whole Separable Lean Only Cooked Roasted</t>
  </si>
  <si>
    <t>Pork Fresh Shoulder Arm Picnic Separable Lean Only Cooked Braised</t>
  </si>
  <si>
    <t>Pork Fresh Shoulder Arm Picnic Separable Lean Only Cooked Roasted</t>
  </si>
  <si>
    <t>Pork Fresh Shoulder (Boston Butt) Blade (Steaks) Separable Lean And Fat Raw</t>
  </si>
  <si>
    <t>Pork Fresh Shoulder (Boston Butt) Blade (Steaks) Separable Lean And Fat Cooked Braised</t>
  </si>
  <si>
    <t>Boston Steak (Pork)</t>
  </si>
  <si>
    <t>Pork Fresh Shoulder Blade Boston (Roasts) Separable Lean Only Cooked Roasted</t>
  </si>
  <si>
    <t>Pork Fresh Spareribs Separable Lean And Fat Raw</t>
  </si>
  <si>
    <t>Pork Spare Ribs</t>
  </si>
  <si>
    <t>Pork Fresh Composite Of Trimmed Retail Cuts (Leg Loin And Shoulder) Separable Lean Only Cooked</t>
  </si>
  <si>
    <t>Pork Fresh Variety Meats And By-Products Chitterlings Cooked Simmered</t>
  </si>
  <si>
    <t>Pork Fresh Variety Meats And By-Products Ears Frozen Raw</t>
  </si>
  <si>
    <t>Pork Fresh Variety Meats And By-Products Ears Frozen Cooked Simmered</t>
  </si>
  <si>
    <t>Pork Fresh Variety Meats And By-Products Feet Raw</t>
  </si>
  <si>
    <t>Pork Fresh Variety Meats And By-Products Kidneys Cooked Braised</t>
  </si>
  <si>
    <t>Pork Fresh Variety Meats And By-Products Leaf Fat Raw</t>
  </si>
  <si>
    <t>Pork Fresh Variety Meats And By-Products Liver Raw</t>
  </si>
  <si>
    <t>Pork Fresh Variety Meats And By-Products Liver Cooked Braised</t>
  </si>
  <si>
    <t>Pork Fresh Variety Meats And By-Products Lungs Raw</t>
  </si>
  <si>
    <t>Pork Fresh Variety Meats And By-Products Spleen Raw</t>
  </si>
  <si>
    <t>Pork Fresh Variety Meats And By-Products Spleen Cooked Braised</t>
  </si>
  <si>
    <t>Pork Fresh Variety Meats And By-Products Stomach Raw</t>
  </si>
  <si>
    <t>Pork Fresh Loin Blade (Chops) Bone-In Separable Lean Only Cooked Pan-Fried</t>
  </si>
  <si>
    <t>Canadian Bacon (Raw)</t>
  </si>
  <si>
    <t>Pork Cured Feet Pickled</t>
  </si>
  <si>
    <t>Lean Cured Ham</t>
  </si>
  <si>
    <t>Low Fat Cured Ham</t>
  </si>
  <si>
    <t>Pork Cured Ham Patties Unheated</t>
  </si>
  <si>
    <t>Pork Cured Ham Steak Boneless Extra Lean Unheated</t>
  </si>
  <si>
    <t>Pork Cured Ham Whole Separable Lean And Fat Unheated</t>
  </si>
  <si>
    <t>Pork Cured Ham Whole Separable Lean Only Unheated</t>
  </si>
  <si>
    <t>Pork Cured Separable Fat (From Ham And Arm Picnic) Unheated</t>
  </si>
  <si>
    <t>Pork Cured Separable Fat (From Ham And Arm Picnic) Roasted</t>
  </si>
  <si>
    <t>Pork Cured Shoulder Arm Picnic Separable Lean And Fat Roasted</t>
  </si>
  <si>
    <t>Pork Cured Shoulder Arm Picnic Separable Lean Only Roasted</t>
  </si>
  <si>
    <t>Pork Fresh Variety Meats And By-Products Tail Cooked Simmered</t>
  </si>
  <si>
    <t>Pork Fresh Loin Center Loin (Chops) Bone-In Separable Lean Only Cooked Pan-Fried</t>
  </si>
  <si>
    <t>Pork Fresh Loin Center Rib (Chops) Bone-In Separable Lean Only Cooked Pan-Fried</t>
  </si>
  <si>
    <t>Pork Fresh Loin Blade (Chops) Bone-In Separable Lean And Fat Cooked Pan-Fried</t>
  </si>
  <si>
    <t>Pork Cured Ham Extra Lean And Regular Canned Unheated</t>
  </si>
  <si>
    <t>Pork Cured Ham Extra Lean And Regular Canned Roasted</t>
  </si>
  <si>
    <t>Pork Fresh Loin Top Loin (Chops) Boneless Separable Lean And Fat Cooked Pan-Fried</t>
  </si>
  <si>
    <t>Pork Fresh Composite Of Trimmed Retail Cuts (Leg Loin Shoulder And Spareribs) Separable Lean And Fat Raw</t>
  </si>
  <si>
    <t>Pork Fresh Loin Center Rib (Chops Or Roasts) Boneless Separable Lean And Fat Raw</t>
  </si>
  <si>
    <t>Pork Fresh Loin Center Rib (Chops) Boneless Separable Lean And Fat Cooked Braised</t>
  </si>
  <si>
    <t>Pork Fresh Loin Center Rib (Chops) Boneless Separable Lean And Fat Cooked Broiled</t>
  </si>
  <si>
    <t>Pork Fresh Loin Center Rib (Chops) Boneless Separable Lean And Fat Cooked Pan-Fried</t>
  </si>
  <si>
    <t>Pork Fresh Loin Center Rib (Chops) Boneless Separable Lean Only Cooked Pan-Fried</t>
  </si>
  <si>
    <t>Pork Fresh Loin Center Rib (Roasts) Boneless Separable Lean Only Cooked Roasted</t>
  </si>
  <si>
    <t>Pork Fresh Loin Country-Style Ribs Separable Lean And Fat Raw</t>
  </si>
  <si>
    <t>Pork Fresh Loin Country-Style Ribs Separable Lean And Fat Cooked Braised</t>
  </si>
  <si>
    <t>Country-Style Roasted Pork Ribs</t>
  </si>
  <si>
    <t>Pork Fresh Loin Sirloin (Chops) Boneless Separable Lean And Fat Cooked Braised</t>
  </si>
  <si>
    <t>Pork Fresh Loin Sirloin (Chops) Boneless Separable Lean And Fat Cooked Broiled</t>
  </si>
  <si>
    <t>Pork Fresh Loin Sirloin (Roasts) Boneless Separable Lean And Fat Cooked Roasted</t>
  </si>
  <si>
    <t>Pork Fresh Loin Sirloin (Chops Or Roasts) Boneless Separable Lean Only Raw</t>
  </si>
  <si>
    <t>Pork Fresh Ground Raw</t>
  </si>
  <si>
    <t>Cooked Ground Pork</t>
  </si>
  <si>
    <t>Broiled Pork Tenderloin</t>
  </si>
  <si>
    <t>Pork Fresh Loin Tenderloin Separable Lean And Fat Cooked Roasted</t>
  </si>
  <si>
    <t>Pork Fresh Composite Of Trimmed Retail Cuts (Loin And Shoulder Blade) Separable Lean And Fat Cooked</t>
  </si>
  <si>
    <t>Pork Fresh Composite Of Trimmed Retail Cuts (Loin And Shoulder Blade) Separable Lean Only Raw</t>
  </si>
  <si>
    <t>Pork Fresh Composite Of Trimmed Retail Cuts (Loin And Shoulder Blade) Separable Lean Only Cooked</t>
  </si>
  <si>
    <t>Hormel Cure 81 Ham</t>
  </si>
  <si>
    <t>Hormel Always Tender Pork Tenderloin Teriyaki-Flavored</t>
  </si>
  <si>
    <t>Hormel Canadian Style Bacon</t>
  </si>
  <si>
    <t>Pork Fresh Loin Top Loin (Chops) Boneless Separable Lean Only With Added Solution Cooked Pan-Broiled</t>
  </si>
  <si>
    <t>Pork Fresh Loin Top Loin (Chops) Boneless Separable Lean And Fat With Added Solution Cooked Pan-Broiled</t>
  </si>
  <si>
    <t>Pork Cured Bacon Cooked Baked</t>
  </si>
  <si>
    <t>Pork Cured Ham -- Water Added Rump Bone-In Separable Lean Only Heated Roasted</t>
  </si>
  <si>
    <t>Pork Cured Ham -- Water Added Rump Bone-In Separable Lean Only Unheated</t>
  </si>
  <si>
    <t>Pork Cured Ham -- Water Added Shank Bone-In Separable Lean Only Heated Roasted</t>
  </si>
  <si>
    <t>Pork Cured Ham -- Water Added Slice Bone-In Separable Lean Only Heated Pan-Broil</t>
  </si>
  <si>
    <t>Pork Cured Ham With Natural Juices Rump Bone-In Separable Lean Only Heated Roasted</t>
  </si>
  <si>
    <t>Pork Cured Ham With Natural Juices Shank Bone-In Separable Lean Only Heated Roasted</t>
  </si>
  <si>
    <t>Pillsbury Grands Buttermilk Biscuits Refrigerated Dough</t>
  </si>
  <si>
    <t>Heinz Weight Watcher Chocolate Eclair Frozen</t>
  </si>
  <si>
    <t>Interstate Brands Corp Wonder Hamburger Rolls</t>
  </si>
  <si>
    <t>Nabisco Nabisco Snackwells Fat Free Devils Food Cookie Cakes</t>
  </si>
  <si>
    <t>Crackers Cheese Sandwich-Type With Cheese Filling</t>
  </si>
  <si>
    <t>Pancakes Plain Frozen Ready-To-Heat Microwave (Includes Buttermilk)</t>
  </si>
  <si>
    <t>Toaster Pastries Fruit Frosted (Include Apples Blueberry Cherry Strawberry)</t>
  </si>
  <si>
    <t>Toaster Pastries Fruit Toasted (Include Apple Blueberry Cherry Strawberry)</t>
  </si>
  <si>
    <t>Muffin Blueberry Commercially Prepared Low-Fat</t>
  </si>
  <si>
    <t>Pie Crust Refrigerated Regular Baked</t>
  </si>
  <si>
    <t>Pie Crust Deep Dish Frozen Baked Made With Enriched Flour</t>
  </si>
  <si>
    <t>Pie Crust Refrigerated Regular Unbaked</t>
  </si>
  <si>
    <t>Crackers Whole-Wheat Reduced Fat</t>
  </si>
  <si>
    <t>Crackers Wheat Reduced Fat</t>
  </si>
  <si>
    <t>Bread Pan Dulce Sweet Yeast Bread</t>
  </si>
  <si>
    <t>Keikitos (Muffins) Latino Bakery Item</t>
  </si>
  <si>
    <t>Cake Pound Bimbo Bakeries Usa Panque Casero Home Baked Style</t>
  </si>
  <si>
    <t>Pan Dulce La Ricura Salpora De Arroz Con Azucar Cookie-Like Contains Wheat Flour And Rice Flour</t>
  </si>
  <si>
    <t>Garlic Bread Frozen</t>
  </si>
  <si>
    <t>Cinnamon Buns Frosted (Includes Honey Buns)</t>
  </si>
  <si>
    <t>Crackers Cheese Reduced Fat</t>
  </si>
  <si>
    <t>Crackers Saltines Whole Wheat (Includes Multi-Grain)</t>
  </si>
  <si>
    <t>Bread Potato</t>
  </si>
  <si>
    <t>Bread Cheese</t>
  </si>
  <si>
    <t>Focaccia Italian Flatbread Plain</t>
  </si>
  <si>
    <t>Schifftigers Milk Bar</t>
  </si>
  <si>
    <t>Toblerone Milk Chocolate With Honey And Almond Nougat</t>
  </si>
  <si>
    <t>Snacks Corn-Based Extruded Onion-Flavor</t>
  </si>
  <si>
    <t>Snacks Corn-Based Extruded Puffs Or Twists Cheese-Flavor</t>
  </si>
  <si>
    <t>Snacks Kraft Cornnuts Plain</t>
  </si>
  <si>
    <t>Snacks Crisped Rice Bar Chocolate Chip</t>
  </si>
  <si>
    <t>Snacks Granola Bars Hard Chocolate Chip</t>
  </si>
  <si>
    <t>Fruit Syrup</t>
  </si>
  <si>
    <t>Snacks Granola Bars Soft Uncoated Plain</t>
  </si>
  <si>
    <t>Snacks Granola Bars Soft Uncoated Peanut Butter</t>
  </si>
  <si>
    <t>Topping Smuckers Magic Shell</t>
  </si>
  <si>
    <t>Syrup Fruit Flavored</t>
  </si>
  <si>
    <t>Snacks Oriental Mix Rice-Based</t>
  </si>
  <si>
    <t>Snacks Popcorn Air-Popped</t>
  </si>
  <si>
    <t>Snacks Popcorn Cheese-Flavor</t>
  </si>
  <si>
    <t>Snacks Pork Skins Plain</t>
  </si>
  <si>
    <t>Snacks Potato Chips Barbecue-Flavor</t>
  </si>
  <si>
    <t>Snacks Potato Chips Sour-Cream-And-Onion-Flavor</t>
  </si>
  <si>
    <t>Snacks M&amp;m Mars Combos Snacks Cheddar Cheese Pretzel</t>
  </si>
  <si>
    <t>Snacks Pretzels Hard Whole-Wheat Including Both Salted And Unsalted</t>
  </si>
  <si>
    <t>Snacks Rice Cracker Brown Rice Plain</t>
  </si>
  <si>
    <t>Snacks Rice Cakes Brown Rice Buckwheat</t>
  </si>
  <si>
    <t>Snacks Trail Mix Tropical</t>
  </si>
  <si>
    <t>Trail Mix</t>
  </si>
  <si>
    <t>Snacks Tortilla Chips Taco-Flavor</t>
  </si>
  <si>
    <t>Tootsie Roll Chocolate-Flavor Roll</t>
  </si>
  <si>
    <t>Butterscotch Candy</t>
  </si>
  <si>
    <t>Carob Unsweetened</t>
  </si>
  <si>
    <t>Caramel Candy</t>
  </si>
  <si>
    <t>Caramello Candy Bar</t>
  </si>
  <si>
    <t>Semisweet Chocolate</t>
  </si>
  <si>
    <t>Sweet Chocolate</t>
  </si>
  <si>
    <t>Sweet Chocolate Coated Fondant</t>
  </si>
  <si>
    <t>Hersheys Golden Almond Solitaires</t>
  </si>
  <si>
    <t>Confectioners Coating Butterscotch</t>
  </si>
  <si>
    <t>Ice Creams French Vanilla Soft-Serve</t>
  </si>
  <si>
    <t>York Peppermint Pattie</t>
  </si>
  <si>
    <t>Twizzlers Nibs Cherry Bits</t>
  </si>
  <si>
    <t>Symphony Milk Chocolate Bar</t>
  </si>
  <si>
    <t>5th Avenue Candy Bar</t>
  </si>
  <si>
    <t>Fondant Prepared-From-Recipe</t>
  </si>
  <si>
    <t>Fudge Chocolate Prepared-From-Recipe</t>
  </si>
  <si>
    <t>Fudge Chocolate With Nuts Prepared-From-Recipe</t>
  </si>
  <si>
    <t>Jelly Gumdrops</t>
  </si>
  <si>
    <t>Hard Candy</t>
  </si>
  <si>
    <t>Jellybeans</t>
  </si>
  <si>
    <t>Kit Kat Wafer Bar</t>
  </si>
  <si>
    <t>Krackel Chocolate Bar</t>
  </si>
  <si>
    <t>Mars Snackfood Us Mars Almond Bar</t>
  </si>
  <si>
    <t>Marshmallows</t>
  </si>
  <si>
    <t>Halavah Plain</t>
  </si>
  <si>
    <t>Nestle Oh Henry! Bar</t>
  </si>
  <si>
    <t>Puddings Chocolate Dry Mix Instant Prepared With 2% Milk</t>
  </si>
  <si>
    <t>Baking Chocolate Mexican Squares</t>
  </si>
  <si>
    <t>Chocolate-Flavored Hazelnut Spread</t>
  </si>
  <si>
    <t>Milk Chocolate Coated Peanuts</t>
  </si>
  <si>
    <t>Glutino Gluten Free Wafers Lemon Flavored</t>
  </si>
  <si>
    <t>Glutino Gluten Free Wafers Milk Chocolate</t>
  </si>
  <si>
    <t>Marys Gone Crackers Original Crackers Organic Gluten Free</t>
  </si>
  <si>
    <t>Pepperidge Farm Goldfish Baked Snack Crackers Cheddar</t>
  </si>
  <si>
    <t>Pepperidge Farm Goldfish Baked Snack Crackers Explosive Pizza</t>
  </si>
  <si>
    <t>Sage Valley Gluten Free Vanilla Sandwich Cookies</t>
  </si>
  <si>
    <t>Schar Gluten-Free Classic White Rolls</t>
  </si>
  <si>
    <t>Schar Gluten-Free Wheat-Free Classic White Bread</t>
  </si>
  <si>
    <t>Udis Gluten Free Classic French Dinner Rolls</t>
  </si>
  <si>
    <t>Vans Gluten Free Totally Original Waffles</t>
  </si>
  <si>
    <t>Vans The Perfect 10 Crispy Six Whole Grain + Four Seed Baked Crackers Gluten Free</t>
  </si>
  <si>
    <t>Bread Multi-Grain (Includes Whole-Grain)</t>
  </si>
  <si>
    <t>Cookies Animal Crackers (Includes Arrowroot Tea Biscuits)</t>
  </si>
  <si>
    <t>Sweet Potatoes French Fried Crosscut Frozen Unprepared</t>
  </si>
  <si>
    <t>Sweet Potato Puffs Frozen Unprepared</t>
  </si>
  <si>
    <t>Mouse Nuts Roots (Alaska Native)</t>
  </si>
  <si>
    <t>Mouse Nuts Seedlings (Alaska Native)</t>
  </si>
  <si>
    <t>Octopus (Alaska Native)</t>
  </si>
  <si>
    <t>Seal Bearded (Oogruk) Meat Dried (Alaska Native)</t>
  </si>
  <si>
    <t>Fish Pike Northern Liver (Alaska Native)</t>
  </si>
  <si>
    <t>Rhubarb Wild Leaves (Alaska Native)</t>
  </si>
  <si>
    <t>Fish Salmon Tipnuk Fermented (Alaska Native)</t>
  </si>
  <si>
    <t>Fish Salmon King Chinook Kippered Canned (Alaska Native)</t>
  </si>
  <si>
    <t>Seal Ringed Meat (Alaska Native)</t>
  </si>
  <si>
    <t>Seal Ringed Liver (Alaska Native)</t>
  </si>
  <si>
    <t>Soup Fish Homemade (Alaska Native)</t>
  </si>
  <si>
    <t>Sourdock Young Leaves (Alaska Native)</t>
  </si>
  <si>
    <t>Walrus Meat Raw (Alaska Native)</t>
  </si>
  <si>
    <t>Walrus Meat And Subcutaneous Fat Raw (Alaska Native)</t>
  </si>
  <si>
    <t>Walrus Liver Raw (Alaska Native)</t>
  </si>
  <si>
    <t>Oil Walrus (Alaska Native)</t>
  </si>
  <si>
    <t>Fish Whitefish Mixed Species Raw (Alaska Native)</t>
  </si>
  <si>
    <t>Fish Whitefish Broad Head Eyes Cheeks And Soft Bones (Alaska Native)</t>
  </si>
  <si>
    <t>Willow Leaves In Oil (Alaska Native)</t>
  </si>
  <si>
    <t>Willow Young Leaves Chopped (Alaska Native)</t>
  </si>
  <si>
    <t>Corn White Steamed (Navajo)</t>
  </si>
  <si>
    <t>Cornmeal White (Navajo)</t>
  </si>
  <si>
    <t>Cornmeal Yellow (Navajo)</t>
  </si>
  <si>
    <t>Squash Indian Raw (Navajo)</t>
  </si>
  <si>
    <t>Tortilla Includes Plain And From Mutton Sandwich (Navajo)</t>
  </si>
  <si>
    <t>Stew Dumpling With Mutton (Navajo)</t>
  </si>
  <si>
    <t>Stew Hominy With Mutton (Navajo)</t>
  </si>
  <si>
    <t>Stew Mutton Corn Squash (Navajo)</t>
  </si>
  <si>
    <t>Fish Salmon Sockeye (Red) Raw (Alaska Native)</t>
  </si>
  <si>
    <t>Fish Salmon Chum Raw (Alaska Native)</t>
  </si>
  <si>
    <t>Fish Salmon King (Chinook) Raw (Alaska Native)</t>
  </si>
  <si>
    <t>Salmonberries Raw (Alaska Native)</t>
  </si>
  <si>
    <t>Caribou Shoulder Meat Dried (Alaska Native)</t>
  </si>
  <si>
    <t>Caribou Hind Quarter Meat Raw (Alaska Native)</t>
  </si>
  <si>
    <t>Seal Bearded (Oogruk) Meat Dried In Oil (Alaska Native)</t>
  </si>
  <si>
    <t>Fish Whitefish Dried (Alaska Native)</t>
  </si>
  <si>
    <t>Seal Bearded (Oogruk) Meat Low Quadrant Raw (Alaska Native)</t>
  </si>
  <si>
    <t>Fish Salmon Chum Dried (Alaska Native)</t>
  </si>
  <si>
    <t>Elk Free Range Ground Cooked Patties (Shoshone Bannock)</t>
  </si>
  <si>
    <t>Elk Free Range Ground Raw (Shoshone Bannock)</t>
  </si>
  <si>
    <t>Elk Free Range Roast Eye Of Round Cooked (Shoshone Bannock)</t>
  </si>
  <si>
    <t>Chokecherries Raw Pitted (Shoshone Bannock)</t>
  </si>
  <si>
    <t>Steelhead Trout Dried Flesh (Shoshone Bannock)</t>
  </si>
  <si>
    <t>Steelhead Trout Boiled Canned (Alaska Native)</t>
  </si>
  <si>
    <t>Acorn Stew (Apache)</t>
  </si>
  <si>
    <t>Restaurant Italian Chicken Parmesan Without Pasta</t>
  </si>
  <si>
    <t>Restaurant Latino Arroz Con Leche (Rice Pudding)</t>
  </si>
  <si>
    <t>Restaurant Latino Arroz Con Frijoles Negros (Rice And Black Beans)</t>
  </si>
  <si>
    <t>Restaurant Latino Arroz Con Habichuelas Colorados (Rice And Red Beans)</t>
  </si>
  <si>
    <t>Restaurant Latino Arroz Con Grandules (Rice And Pigeonpeas)</t>
  </si>
  <si>
    <t>Restaurant Latino Tamale Pork</t>
  </si>
  <si>
    <t>Restaurant Latino Black Bean Soup</t>
  </si>
  <si>
    <t>Restaurant Latino Tripe Soup</t>
  </si>
  <si>
    <t>Restaurant Latino Arepa (Unleavened Cornmeal Bread)</t>
  </si>
  <si>
    <t>Restaurant Latino Bunuelos (Fried Yeast Bread)</t>
  </si>
  <si>
    <t>Restaurant Chinese Beef And Vegetables</t>
  </si>
  <si>
    <t>Cracker Barrel Chicken Tenderloin Platter Fried From Kids Menu</t>
  </si>
  <si>
    <t>Cracker Barrel Country Fried Shrimp Platter</t>
  </si>
  <si>
    <t>Cracker Barrel Farm Raised Catfish Platter</t>
  </si>
  <si>
    <t>Dennys Mozzarella Cheese Sticks</t>
  </si>
  <si>
    <t>Dennys Golden Fried Shrimp</t>
  </si>
  <si>
    <t>Dennys Macaroni &amp; Cheese From Kids Menu</t>
  </si>
  <si>
    <t>Dennys Chicken Nuggets Star Shaped From Kids Menu</t>
  </si>
  <si>
    <t>Restaurant Chinese Shrimp And Vegetables</t>
  </si>
  <si>
    <t>Restaurant Chinese Sweet And Sour Chicken</t>
  </si>
  <si>
    <t>Restaurant Chinese Sweet And Sour Pork</t>
  </si>
  <si>
    <t>Restaurant Chinese Chicken Chow Mein</t>
  </si>
  <si>
    <t>Restaurant Chinese Vegetable Chow Mein Without Meat Or Noodles</t>
  </si>
  <si>
    <t>Olive Garden Spaghetti With Meat Sauce</t>
  </si>
  <si>
    <t>Carrabbas Italian Grill Spaghetti With Meat Sauce</t>
  </si>
  <si>
    <t>Restaurant Chinese Sesame Chicken</t>
  </si>
  <si>
    <t>Syrups Grenadine</t>
  </si>
  <si>
    <t>Imitation Cheese American Or Cheddar Low Cholesterol</t>
  </si>
  <si>
    <t>Babyfood Banana Juice With Low Fat Yogurt</t>
  </si>
  <si>
    <t>Babyfood Mixed Fruit Juice With Low Fat Yogurt</t>
  </si>
  <si>
    <t>Turkey Ham Sliced Extra Lean Prepackaged Or Deli-Sliced</t>
  </si>
  <si>
    <t>Salad Dressing Peppercorn Dressing Commercial Regular</t>
  </si>
  <si>
    <t>Mayonnaise Reduced-Calorie Or Diet Cholesterol-Free</t>
  </si>
  <si>
    <t>Granola Bar Soft Milk Chocolate Coated Peanut Butter</t>
  </si>
  <si>
    <t>Salad Dressing Italian Dressing Reduced Calorie</t>
  </si>
  <si>
    <t>Cream Substitute Liquid Light</t>
  </si>
  <si>
    <t>Cheese Monterey Low Fat</t>
  </si>
  <si>
    <t>Creamy Dressing Made With Sour Cream And/or Buttermilk And Oil Reduced Calorie Fat-Free</t>
  </si>
  <si>
    <t>Creamy Dressing Made With Sour Cream And/or Buttermilk And Oil Reduced Calorie Cholesterol-Free</t>
  </si>
  <si>
    <t>Bologna Beef Low Fat</t>
  </si>
  <si>
    <t>Mars Snackfood Us Twix Chocolate Fudge Cookie Bars</t>
  </si>
  <si>
    <t>Frozen Yogurts Chocolate Nonfat Milk Sweetened Without Sugar</t>
  </si>
  <si>
    <t>Frozen Yogurts Chocolate</t>
  </si>
  <si>
    <t>Frozen Yogurts Flavors Other Than Chocolate</t>
  </si>
  <si>
    <t>Papad</t>
  </si>
  <si>
    <t>Rice Cake Cracker (Include Hain Mini Rice Cakes)</t>
  </si>
  <si>
    <t>Mars Snackfood Us M&amp;Ms Almond Chocolate</t>
  </si>
  <si>
    <t>Salad Dressing Coleslaw Dressing Reduced Fat</t>
  </si>
  <si>
    <t>Pork Cured Ham Low Sodium Lean And Fat Cooked</t>
  </si>
  <si>
    <t>Pork Cured Ham Boneless Low Sodium Extra Lean (Approximately 5% Fat) Roasted</t>
  </si>
  <si>
    <t>Salad Dressing Mayonnaise And Mayonnaise-Type Low Calorie</t>
  </si>
  <si>
    <t>Frozen Novelties Juice Type Orange</t>
  </si>
  <si>
    <t>Cheese Cottage Lowfat 1% Milkfat No Sodium Added</t>
  </si>
  <si>
    <t>Mayonnaise Low Sodium Low Calorie Or Diet</t>
  </si>
  <si>
    <t>Snacks Tortilla Chips Unsalted White Corn</t>
  </si>
  <si>
    <t>Cranberry Juice Unsweetened</t>
  </si>
  <si>
    <t>Beef Bologna Reduced Sodium</t>
  </si>
  <si>
    <t>Turnip Greens Canned No Salt Added</t>
  </si>
  <si>
    <t>Turkey Light Or Dark Meat Smoked Cooked With Skin Bone Removed</t>
  </si>
  <si>
    <t>Cheese Pasteurized Process Cheddar Or American Low Sodium</t>
  </si>
  <si>
    <t>Coffee Instant With Whitener Reduced Calorie</t>
  </si>
  <si>
    <t>Cranberry-Apple Juice Drink Low Calorie With Vitamin C Added</t>
  </si>
  <si>
    <t>Cheese Swiss Low Sodium</t>
  </si>
  <si>
    <t>Babyfood Dinner Macaroni Beef And Tomato Sauce Toddler</t>
  </si>
  <si>
    <t>Rolls Pumpernickel</t>
  </si>
  <si>
    <t>Extruded Corn Chips</t>
  </si>
  <si>
    <t>Beans Baked Canned No Salt Added</t>
  </si>
  <si>
    <t>Jellyfish Dried Salted</t>
  </si>
  <si>
    <t>Frozen Novelties Ice Cream Type Chocolate Or Caramel Covered With Nuts</t>
  </si>
  <si>
    <t>Frankfurter Low Sodium</t>
  </si>
  <si>
    <t>Frozen Novelties Ice Type Pop With Low Calorie Sweetener</t>
  </si>
  <si>
    <t>Babyfood Dessert Peach Yogurt</t>
  </si>
  <si>
    <t>Babyfood Dessert Blueberry Yogurt Strained</t>
  </si>
  <si>
    <t>Babyfood Dessert Banana Yogurt Strained</t>
  </si>
  <si>
    <t>Ice Creams Chocolate Rich</t>
  </si>
  <si>
    <t>Snacks Tortilla Chips Light (Baked With Less Oil)</t>
  </si>
  <si>
    <t>Post Honey Bunches Of Oats Honey Roasted</t>
  </si>
  <si>
    <t>Popcorn Microwave Low Fat And Sodium</t>
  </si>
  <si>
    <t>Babyfood Fruit Supreme Dessert</t>
  </si>
  <si>
    <t>Cheese Swiss Low Fat</t>
  </si>
  <si>
    <t>Sweeteners Tabletop Fructose Liquid</t>
  </si>
  <si>
    <t>Puddings Chocolate Flavor Low Calorie Instant Dry Mix</t>
  </si>
  <si>
    <t>Babyfood Grape Juice No Sugar Canned</t>
  </si>
  <si>
    <t>Jellies Reduced Sugar Home Preserved</t>
  </si>
  <si>
    <t>Puddings All Flavors Except Chocolate Low Calorie Instant Dry Mix</t>
  </si>
  <si>
    <t>Vital Wheat Gluten</t>
  </si>
  <si>
    <t>Grains and Pasta</t>
  </si>
  <si>
    <t>Frog Legs Raw</t>
  </si>
  <si>
    <t>Fish Mackerel Salted</t>
  </si>
  <si>
    <t>Java Plum</t>
  </si>
  <si>
    <t>Jujube</t>
  </si>
  <si>
    <t>Dried Jujube</t>
  </si>
  <si>
    <t>Kiwifruit</t>
  </si>
  <si>
    <t>Kumquats</t>
  </si>
  <si>
    <t>Limes</t>
  </si>
  <si>
    <t>Lime Juice</t>
  </si>
  <si>
    <t>Lime Juice Canned Or Bottled Unsweetened</t>
  </si>
  <si>
    <t>Dried Blueberries (Sweetened)</t>
  </si>
  <si>
    <t>Prunes Canned Heavy Syrup Pack Solids And Liquids</t>
  </si>
  <si>
    <t>Prunes (Low-Moisture)</t>
  </si>
  <si>
    <t>Prunes Dehydrated (Low-Moisture) Stewed</t>
  </si>
  <si>
    <t>Prunes (Dried Plums)</t>
  </si>
  <si>
    <t>Quinces</t>
  </si>
  <si>
    <t>Golden Seedless Raisins</t>
  </si>
  <si>
    <t>Raisins</t>
  </si>
  <si>
    <t>Raisins Seeded</t>
  </si>
  <si>
    <t>Rambutan Canned Syrup Pack</t>
  </si>
  <si>
    <t>Rhubarb Frozen Uncooked</t>
  </si>
  <si>
    <t>Rhubarb Frozen Cooked With Sugar</t>
  </si>
  <si>
    <t>Roselle</t>
  </si>
  <si>
    <t>Rose Apples</t>
  </si>
  <si>
    <t>Strawberries Canned Heavy Syrup Pack Solids And Liquids</t>
  </si>
  <si>
    <t>Frozen Strawberries</t>
  </si>
  <si>
    <t>Strawberries Frozen Sweetened Sliced</t>
  </si>
  <si>
    <t>Sugar Apples</t>
  </si>
  <si>
    <t>Feijoa</t>
  </si>
  <si>
    <t>Asian Pears</t>
  </si>
  <si>
    <t>Fruit Cocktail Canned Heavy Syrup Drained</t>
  </si>
  <si>
    <t>Blueberries Canned Light Syrup Drained</t>
  </si>
  <si>
    <t>Blueberries Wild Canned Heavy Syrup Drained</t>
  </si>
  <si>
    <t>Peaches Canned Heavy Syrup Drained</t>
  </si>
  <si>
    <t>Pears Canned Heavy Syrup Drained</t>
  </si>
  <si>
    <t>Plums Canned Heavy Syrup Drained</t>
  </si>
  <si>
    <t>Tangerines (Mandarin Oranges) Canned Juice Pack Drained</t>
  </si>
  <si>
    <t>Peach Nectar Canned With Added Ascorbic Acid</t>
  </si>
  <si>
    <t>Pear Nectar Canned With Added Ascorbic Acid</t>
  </si>
  <si>
    <t>Pineapple Juice Canned Or Bottled Unsweetened With Added Ascorbic Acid</t>
  </si>
  <si>
    <t>Apple Juice Frozen Concentrate Unsweetened Undiluted With Added Ascorbic Acid</t>
  </si>
  <si>
    <t>Grapefruit Juice White Bottled Unsweetened Ocean Spray</t>
  </si>
  <si>
    <t>Jackfruit Canned Syrup Pack</t>
  </si>
  <si>
    <t>Medjool Dates</t>
  </si>
  <si>
    <t>Durian</t>
  </si>
  <si>
    <t>Pineapple (Traditional)</t>
  </si>
  <si>
    <t>Pineapple Raw Extra Sweet Variety</t>
  </si>
  <si>
    <t>Clementines</t>
  </si>
  <si>
    <t>Guanabana Nectar Canned</t>
  </si>
  <si>
    <t>Juice Apple And Grape Blend With Added Ascorbic Acid</t>
  </si>
  <si>
    <t>Juice Apple Grape And Pear Blend With Added Ascorbic Acid And Calcium</t>
  </si>
  <si>
    <t>Plantains Green Fried</t>
  </si>
  <si>
    <t>Fried Yellow Plantains</t>
  </si>
  <si>
    <t>Red Delicious Apples</t>
  </si>
  <si>
    <t>Golden Delicious Apples</t>
  </si>
  <si>
    <t>Granny Smith Apples</t>
  </si>
  <si>
    <t>Gala Apples</t>
  </si>
  <si>
    <t>Pineapple Juice Canned Not From Concentrate Unsweetened With Added Vitamins A C And E</t>
  </si>
  <si>
    <t>Fortified Fruit Juice Smoothie</t>
  </si>
  <si>
    <t>Grape Juice Canned Or Bottled Unsweetened With Added Ascorbic Acid And Calcium</t>
  </si>
  <si>
    <t>Fruit Juice Smoothie Odwalla Original Superfood</t>
  </si>
  <si>
    <t>Frozen Raspberries</t>
  </si>
  <si>
    <t>Guava Nectar With Sucralose Canned</t>
  </si>
  <si>
    <t>Kiwifruit Zespri Sungold Raw</t>
  </si>
  <si>
    <t>Cranberry Juice Blend 100% Juice Bottled With Added Vitamin C And Calcium</t>
  </si>
  <si>
    <t>Fruit Juice Smoothie Odwalla Strawberry Banana</t>
  </si>
  <si>
    <t>Fruit Juice Smoothie Naked Juice Strawberry Banana</t>
  </si>
  <si>
    <t>Plantains Green Raw</t>
  </si>
  <si>
    <t>Plantains Green Boiled</t>
  </si>
  <si>
    <t>Raspberry Juice Concentrate</t>
  </si>
  <si>
    <t>Pork Fresh Composite Of Separable Fat With Added Solution Cooked</t>
  </si>
  <si>
    <t>Pork Fresh Carcass Separable Lean And Fat Raw</t>
  </si>
  <si>
    <t>Pork Fresh Composite Of Trimmed Retail Cuts (Leg Loin Shoulder) Separable Lean Only Raw</t>
  </si>
  <si>
    <t>Pork Fresh Separable Fat Cooked</t>
  </si>
  <si>
    <t>Pork Fresh Leg (Ham) Whole Separable Lean And Fat Raw</t>
  </si>
  <si>
    <t>Roasted Ham</t>
  </si>
  <si>
    <t>Pork Fresh Leg (Ham) Whole Separable Lean Only Raw</t>
  </si>
  <si>
    <t>Lean Roasted Ham</t>
  </si>
  <si>
    <t>Pork Fresh Leg (Ham) Shank Half Separable Lean And Fat Raw</t>
  </si>
  <si>
    <t>Pork Fresh Leg (Ham) Shank Half Separable Lean And Fat Cooked Roasted</t>
  </si>
  <si>
    <t>Pork Fresh Leg (Ham) Shank Half Separable Lean Only Raw</t>
  </si>
  <si>
    <t>Pork Fresh Leg (Ham) Shank Half Separable Lean Only Cooked Roasted</t>
  </si>
  <si>
    <t>Pork Fresh Loin Whole Separable Lean Only Raw</t>
  </si>
  <si>
    <t>Braised Pork Loin</t>
  </si>
  <si>
    <t>Pork Fresh Loin Whole Separable Lean Only Cooked Broiled</t>
  </si>
  <si>
    <t>Pork Fresh Loin Whole Separable Lean Only Cooked Roasted</t>
  </si>
  <si>
    <t>Pork Fresh Loin Blade (Chops Or Roasts) Bone-In Separable Lean Only Raw</t>
  </si>
  <si>
    <t>Pork Fresh Loin Blade (Chops) Bone-In Separable Lean Only Cooked Braised</t>
  </si>
  <si>
    <t>Pork Fresh Loin Blade (Chops) Bone-In Separable Lean Only Cooked Broiled</t>
  </si>
  <si>
    <t>Pork Fresh Loin Blade (Roasts) Bone-In Separable Lean Only Cooked Roasted</t>
  </si>
  <si>
    <t>Pork Fresh Loin Center Loin (Chops) Bone-In Separable Lean And Fat Raw</t>
  </si>
  <si>
    <t>Pork Fresh Loin Center Loin (Chops) Bone-In Separable Lean Only Cooked Braised</t>
  </si>
  <si>
    <t>Pork Fresh Loin Center Loin (Chops) Bone-In Separable Lean Only Cooked Broiled</t>
  </si>
  <si>
    <t>Pork Fresh Loin Center Loin (Roasts) Bone-In Separable Lean Only Cooked Roasted</t>
  </si>
  <si>
    <t>Pork Fresh Loin Center Rib (Chops Or Roasts) Bone-In Separable Lean And Fat Raw</t>
  </si>
  <si>
    <t>Pork Fresh Loin Center Rib (Chops) Bone-In Separable Lean Only Cooked Braised</t>
  </si>
  <si>
    <t>Pork Fresh Loin Center Rib (Chops) Bone-In Separable Lean Only Cooked Broiled</t>
  </si>
  <si>
    <t>Pork Fresh Loin Center Rib (Roasts) Bone-In Separable Lean Only Cooked Roasted</t>
  </si>
  <si>
    <t>Pork Fresh Loin Sirloin (Chops Or Roasts) Bone-In Separable Lean And Fat Raw</t>
  </si>
  <si>
    <t>Pork Fresh Loin Sirloin (Chops) Bone-In Separable Lean Only Cooked Broiled</t>
  </si>
  <si>
    <t>Pork Fresh Loin Sirloin (Roasts) Bone-In Separable Lean Only Cooked Roasted</t>
  </si>
  <si>
    <t>Pork Fresh Loin Tenderloin Separable Lean Only Raw</t>
  </si>
  <si>
    <t>Roasted Pork Tenderloin</t>
  </si>
  <si>
    <t>Pork Fresh Loin Top Loin (Chops) Boneless Separable Lean Only Raw</t>
  </si>
  <si>
    <t>Pork Fresh Loin Top Loin (Chops) Boneless Separable Lean Only Cooked Braised</t>
  </si>
  <si>
    <t>Pork Fresh Loin Top Loin (Chops) Boneless Separable Lean Only Cooked Broiled</t>
  </si>
  <si>
    <t>Pork Fresh Loin Top Loin (Roasts) Boneless Separable Lean Only Cooked Roasted</t>
  </si>
  <si>
    <t>Pork Fresh Shoulder Arm Picnic Separable Lean And Fat Raw</t>
  </si>
  <si>
    <t>Pork Fresh Shoulder Arm Picnic Separable Lean And Fat Cooked Braised</t>
  </si>
  <si>
    <t>Pork Fresh Shoulder Arm Picnic Separable Lean And Fat Cooked Roasted</t>
  </si>
  <si>
    <t>Pork Fresh Shoulder Arm Picnic Separable Lean Only Raw</t>
  </si>
  <si>
    <t>Pork Fresh Shoulder Blade Boston (Roasts) Separable Lean And Fat Cooked Roasted</t>
  </si>
  <si>
    <t>Pork Fresh Shoulder (Boston Butt) Blade (Steaks) Separable Lean Only Raw</t>
  </si>
  <si>
    <t>Pork Fresh Shoulder (Boston Butt) Blade (Steaks) Separable Lean Only Cooked Braised</t>
  </si>
  <si>
    <t>Pork Fresh Shoulder Blade Boston (Steaks) Separable Lean Only Cooked Broiled</t>
  </si>
  <si>
    <t>Pork Fresh Loin Center Loin (Chops) Boneless Separable Lean Only Raw</t>
  </si>
  <si>
    <t>Pork Fresh Variety Meats And By-Products Brain Raw</t>
  </si>
  <si>
    <t>Pork Fresh Variety Meats And By-Products Brain Cooked Braised</t>
  </si>
  <si>
    <t>Pork Fresh Variety Meats And By-Products Chitterlings Raw</t>
  </si>
  <si>
    <t>Pork Fresh Variety Meats And By-Products Heart Raw</t>
  </si>
  <si>
    <t>Pork Fresh Variety Meats And By-Products Heart Cooked Braised</t>
  </si>
  <si>
    <t>Pork Fresh Variety Meats And By-Products Jowl Raw</t>
  </si>
  <si>
    <t>Pork Fresh Variety Meats And By-Products Kidneys Raw</t>
  </si>
  <si>
    <t>Pork Fresh Variety Meats And By-Products Lungs Cooked Braised</t>
  </si>
  <si>
    <t>Pork Fresh Variety Meats And By-Products Mechanically Separated Raw</t>
  </si>
  <si>
    <t>Pork Fresh Variety Meats And By-Products Pancreas Raw</t>
  </si>
  <si>
    <t>Pork Fresh Variety Meats And By-Products Pancreas Cooked Braised</t>
  </si>
  <si>
    <t>Pork Fresh Variety Meats And By-Products Tongue Raw</t>
  </si>
  <si>
    <t>Pork Fresh Variety Meats And By-Products Tongue Cooked Braised</t>
  </si>
  <si>
    <t>Bacon (Raw)</t>
  </si>
  <si>
    <t>Pork Cured Breakfast Strips Raw Or Unheated</t>
  </si>
  <si>
    <t>Pork Cured Ham Extra Lean (Approximately 4% Fat) Canned Unheated</t>
  </si>
  <si>
    <t>Pork Cured Ham Extra Lean (Approximately 4% Fat) Canned Roasted</t>
  </si>
  <si>
    <t>Cured Ham</t>
  </si>
  <si>
    <t>Pork Cured Ham Center Slice Country-Style Separable Lean Only Raw</t>
  </si>
  <si>
    <t>Pork Cured Ham Center Slice Separable Lean And Fat Unheated</t>
  </si>
  <si>
    <t>Pork Cured Ham Whole Separable Lean Only Roasted</t>
  </si>
  <si>
    <t>Pork Fresh Loin Center Loin (Chops) Boneless Separable Lean Only Cooked Pan-Broiled</t>
  </si>
  <si>
    <t>Pork Fresh Loin Center Loin (Chops) Boneless Separable Lean And Fat Raw</t>
  </si>
  <si>
    <t>Pork Cured Salt Pork Raw</t>
  </si>
  <si>
    <t>Pork Cured Shoulder Blade Roll Separable Lean And Fat Unheated</t>
  </si>
  <si>
    <t>Pork Cured Shoulder Blade Roll Separable Lean And Fat Roasted</t>
  </si>
  <si>
    <t>Pork Fresh Variety Meats And By-Products Feet Cooked Simmered</t>
  </si>
  <si>
    <t>Pork Fresh Variety Meats And By-Products Tail Raw</t>
  </si>
  <si>
    <t>Pork Fresh Loin Center Loin (Chops) Bone-In Separable Lean And Fat Cooked Pan-Fried</t>
  </si>
  <si>
    <t>Pork Fresh Loin Center Rib (Chops) Bone-In Separable Lean And Fat Cooked Pan-Fried</t>
  </si>
  <si>
    <t>Pork Fresh Loin Top Loin (Chops) Boneless Separable Lean Only Cooked Pan-Fried</t>
  </si>
  <si>
    <t>Pork Cured Ham Boneless Extra Lean And Regular Unheated</t>
  </si>
  <si>
    <t>Pork Cured Ham Boneless Extra Lean And Regular Roasted</t>
  </si>
  <si>
    <t>Pork Fresh Composite Of Trimmed Retail Cuts (Leg Loin Shoulder And Spareribs) Separable Lean And Fat Cooked</t>
  </si>
  <si>
    <t>Pork Fresh Loin Center Loin (Chops) Boneless Separable Lean And Fat Cooked Pan-Broiled</t>
  </si>
  <si>
    <t>Pork Fresh Backribs Separable Lean And Fat Raw</t>
  </si>
  <si>
    <t>Roasted Pork Backribs</t>
  </si>
  <si>
    <t>Pork Fresh Loin Center Rib (Roasts) Boneless Separable Lean And Fat Cooked Roasted</t>
  </si>
  <si>
    <t>Pork Fresh Loin Center Rib (Chops Or Roasts) Boneless Separable Lean Only Raw</t>
  </si>
  <si>
    <t>Pork Fresh Loin Center Rib (Chops) Boneless Separable Lean Only Cooked Braised</t>
  </si>
  <si>
    <t>Pork Fresh Loin Center Rib (Chops) Boneless Separable Lean Only Cooked Broiled</t>
  </si>
  <si>
    <t>Pork Fresh Loin Country-Style Ribs Separable Lean Only Raw</t>
  </si>
  <si>
    <t>Pork Fresh Loin Country-Style Ribs Separable Lean Only Cooked Braised</t>
  </si>
  <si>
    <t>Pork Fresh Loin Country-Style Ribs Separable Lean Only Bone-In Cooked Roasted</t>
  </si>
  <si>
    <t>Pork Fresh Loin Sirloin (Chops Or Roasts) Boneless Separable Lean And Fat Raw</t>
  </si>
  <si>
    <t>Pork Fresh Loin Sirloin (Chops) Boneless Separable Lean Only Cooked Braised</t>
  </si>
  <si>
    <t>Pork Fresh Loin Sirloin (Chops) Boneless Separable Lean Only Cooked Broiled</t>
  </si>
  <si>
    <t>Pork Fresh Loin Sirloin (Roasts) Boneless Separable Lean Only Cooked Roasted</t>
  </si>
  <si>
    <t>Pork Fresh Loin Tenderloin Separable Lean And Fat Raw</t>
  </si>
  <si>
    <t>Pork Fresh Loin Tenderloin Separable Lean Only Cooked Broiled</t>
  </si>
  <si>
    <t>Pork Fresh Loin Top Loin (Roasts) Boneless Separable Lean And Fat Raw</t>
  </si>
  <si>
    <t>Pork Fresh Loin Top Loin (Roasts) Boneless Separable Lean Only Raw</t>
  </si>
  <si>
    <t>Pork Fresh Composite Of Trimmed Retail Cuts (Loin And Shoulder Blade) Separable Lean And Fat Raw</t>
  </si>
  <si>
    <t>Hormel Always Tender Pork Tenderloin Peppercorn-Flavored</t>
  </si>
  <si>
    <t>Hormel Always Tender Pork Loin Filets Lemon Garlic-Flavored</t>
  </si>
  <si>
    <t>Hormel Always Tender Center Cut Chops Fresh Pork</t>
  </si>
  <si>
    <t>Hormel Always Tender Boneless Pork Loin Fresh Pork</t>
  </si>
  <si>
    <t>Pork Cured Bacon Cooked Microwaved</t>
  </si>
  <si>
    <t>Bacon (Pan-Fried)</t>
  </si>
  <si>
    <t>Pork Fresh Variety Meats And By-Products Stomach Cooked Simmered</t>
  </si>
  <si>
    <t>Rendered Bacon Fat</t>
  </si>
  <si>
    <t>Pork Cured Ham And Water Product Slice Bone-In Separable Lean Only Heated Pan-Broil</t>
  </si>
  <si>
    <t>Pan Broiled Cured Ham</t>
  </si>
  <si>
    <t>Pork Cured Ham And Water Product Whole Boneless Separable Lean Only Heated Roasted</t>
  </si>
  <si>
    <t>Pork Cured Ham And Water Product Whole Boneless Separable Lean Only Unheated</t>
  </si>
  <si>
    <t>Pork Cured Ham -- Water Added Slice Boneless Separable Lean Only Heated Pan-Broil</t>
  </si>
  <si>
    <t>Pork Cured Ham With Natural Juices Slice Bone-In Separable Lean Only Heated Pan-Broil</t>
  </si>
  <si>
    <t>Pork Cured Ham With Natural Juices Spiral Slice Meat Only Boneless Separable Lean Only Heated Roasted</t>
  </si>
  <si>
    <t>Pork Cured Ham And Water Product Rump Bone-In Separable Lean Only Heated Roasted</t>
  </si>
  <si>
    <t>Pork Cured Ham With Natural Juices Slice Boneless Separable Lean Only Heated Pan-Broil</t>
  </si>
  <si>
    <t>Pork Cured Ham With Natural Juices Whole Boneless Separable Lean Only Heated Roasted</t>
  </si>
  <si>
    <t>Pork Cured Ham With Natural Juices Whole Boneless Separable Lean Only Unheated</t>
  </si>
  <si>
    <t>Pork Cured Ham -- Water Added Shank Bone-In Separable Lean Only Unheated</t>
  </si>
  <si>
    <t>Pork Cured Ham With Natural Juices Rump Bone-In Separable Lean Only Unheated</t>
  </si>
  <si>
    <t>Pork Cured Ham With Natural Juices Shank Bone-In Separable Lean Only Unheated</t>
  </si>
  <si>
    <t>Pork Cured Ham With Natural Juices Slice Bone-In Separable Lean Only Unheated</t>
  </si>
  <si>
    <t>Pork Cured Ham With Natural Juices Spiral Slice Boneless Separable Lean Only Unheated</t>
  </si>
  <si>
    <t>Pork Cured Ham With Natural Juices Spiral Slice Boneless Separable Lean And Fat Unheated</t>
  </si>
  <si>
    <t>Pork Cured Ham With Natural Juices Slice Bone-In Separable Lean And Fat Unheated</t>
  </si>
  <si>
    <t>Pork Cured Ham With Natural Juices Shank Bone-In Separable Lean And Fat Unheated</t>
  </si>
  <si>
    <t>Pork Cured Ham With Natural Juices Rump Bone-In Separable Lean And Fat Unheated</t>
  </si>
  <si>
    <t>Pork Cured Ham -- Water Added Whole Boneless Separable Lean And Fat Unheated</t>
  </si>
  <si>
    <t>Pork Cured Ham -- Water Added Slice Bone-In Separable Lean And Fat Unheated</t>
  </si>
  <si>
    <t>Pork Cured Ham -- Water Added Shank Bone-In Separable Lean And Fat Unheated</t>
  </si>
  <si>
    <t>Pork Cured Ham -- Water Added Rump Bone-In Separable Lean And Fat Unheated</t>
  </si>
  <si>
    <t>Pork Cured Ham -- Water Added Whole Boneless Separable Lean And Fat Heated Roasted</t>
  </si>
  <si>
    <t>Pork Cured Ham And Water Product Rump Bone-In Separable Lean And Fat Heated Roasted</t>
  </si>
  <si>
    <t>Pork Cured Ham And Water Product Shank Bone-In Separable Lean And Fat Heated Roasted</t>
  </si>
  <si>
    <t>Pork Cured Ham And Water Product Slice Bone-In Separable Lean And Fat Heated Pan-Broil</t>
  </si>
  <si>
    <t>Pork Cured Ham With Natural Juices Slice Boneless Separable Lean And Fat Heated Pan-Broil</t>
  </si>
  <si>
    <t>Pork Cured Ham With Natural Juices Spiral Slice Boneless Separable Lean And Fat Heated Roasted</t>
  </si>
  <si>
    <t>Pork Cured Ham With Natural Juices Whole Boneless Separable Lean And Fat Heated Roasted</t>
  </si>
  <si>
    <t>Pork Cured Ham Rump Bone-In Separable Lean And Fat Heated Roasted</t>
  </si>
  <si>
    <t>Pork Cured Ham Shank Bone-In Separable Lean And Fat Heated Roasted</t>
  </si>
  <si>
    <t>Pork Cured Ham Shank Bone-In Separable Lean And Fat Unheated</t>
  </si>
  <si>
    <t>Pork Cured Ham Slice Bone-In Separable Lean And Fat Heated Pan-Broil</t>
  </si>
  <si>
    <t>Pork Cured Ham Slice Bone-In Separable Lean Only Unheated</t>
  </si>
  <si>
    <t>Pork Fresh Enhanced Loin Tenderloin Separable Lean Only Raw</t>
  </si>
  <si>
    <t>Pork Fresh Shoulder (Boston Butt) Blade (Steaks) Separable Lean Only With Added Solution Cooked Braised</t>
  </si>
  <si>
    <t>Pork Fresh Shoulder (Boston Butt) Blade (Steaks) Separable Lean Only With Added Solution Raw</t>
  </si>
  <si>
    <t>Pork Fresh Loin Top Loin (Chops) Boneless Separable Lean Only With Added Solution Cooked Broiled</t>
  </si>
  <si>
    <t>Pork Fresh Shoulder (Boston Butt) Blade (Steaks) Separable Lean And Fatwith Added Solution Raw</t>
  </si>
  <si>
    <t>Pork Fresh Shoulder (Boston Butt) Blade (Steaks) Separable Lean And Fat With Added Solution Cooked Braised</t>
  </si>
  <si>
    <t>Pork Cured Ham Rump Bone-In Separable Lean And Fat Unheated</t>
  </si>
  <si>
    <t>Pork Loin Leg Cap Steak Boneless Separable Lean And Fat Cooked Broiled</t>
  </si>
  <si>
    <t>Pork Shoulder Petite Tender Boneless Separable Lean And Fat Raw</t>
  </si>
  <si>
    <t>Pork Leg Sirloin Tip Roast Boneless Separable Lean And Fat Cooked Braised</t>
  </si>
  <si>
    <t>Pork Leg Sirloin Tip Roast Boneless Separable Lean And Fat Raw</t>
  </si>
  <si>
    <t>Pork Ground 84% Lean / 16% Fat Raw</t>
  </si>
  <si>
    <t>Pork Ground 72% Lean / 28% Fat Cooked Pan-Broiled</t>
  </si>
  <si>
    <t>Pork Ground 84% Lean / 16% Fat Cooked Pan-Broiled</t>
  </si>
  <si>
    <t>Pork Ground 96% Lean / 4% Fat Cooked Pan-Broiled</t>
  </si>
  <si>
    <t>Pork Loin Fresh Backribs Bone-In Raw Lean Only</t>
  </si>
  <si>
    <t>Pork Loin Fresh Backribs Bone-In Cooked-Roasted Lean Only</t>
  </si>
  <si>
    <t>Pork Fresh Loin Country-Style Ribs Separable Lean Only Bone-In Cooked Broiled</t>
  </si>
  <si>
    <t>Pork Fresh Loin Country-Style Ribs Separable Lean Only Boneless Cooked Roasted</t>
  </si>
  <si>
    <t>Pork Fresh Blade (Chops) Boneless Separable Lean And Fat Cooked Broiled</t>
  </si>
  <si>
    <t>Pork Fresh Loin Blade (Chops Or Roasts) Boneless Separable Lean And Fat Only Raw</t>
  </si>
  <si>
    <t>Bacon Pre-Sliced Reduced/low Sodium Unprepared</t>
  </si>
  <si>
    <t>Canadian Bacon (Pan-Fried)</t>
  </si>
  <si>
    <t>Alfalfa Sprouts</t>
  </si>
  <si>
    <t>Amaranth Leaves Raw</t>
  </si>
  <si>
    <t>Artichokes (Globe Or French) Cooked Boiled Drained Without Salt</t>
  </si>
  <si>
    <t>Artichokes (Globe Or French) Frozen Unprepared</t>
  </si>
  <si>
    <t>Cooked Artichokes (Globe Or French)</t>
  </si>
  <si>
    <t>Asparagus</t>
  </si>
  <si>
    <t>Asparagus (Cooked)</t>
  </si>
  <si>
    <t>Balsam-Pear (Bitter Gourd) Leafy Tips Raw</t>
  </si>
  <si>
    <t>Balsam-Pear (Bitter Gourd) Leafy Tips Cooked Boiled Drained Without Salt</t>
  </si>
  <si>
    <t>Bitter Melon</t>
  </si>
  <si>
    <t>Bitter Melon (Cooked)</t>
  </si>
  <si>
    <t>Beans Kidney Mature Seeds Sprouted Cooked Boiled Drained Without Salt</t>
  </si>
  <si>
    <t>Lima Beans Immature Seeds Raw</t>
  </si>
  <si>
    <t>Corn Sweet Yellow Canned Drained Solids Rinsed With Tap Water</t>
  </si>
  <si>
    <t>Corn Sweet Yellow Frozen Kernels Cut Off Cob Unprepared</t>
  </si>
  <si>
    <t>Corn Sweet Yellow Frozen Kernels Cut Off Cob Boiled Drained Without Salt</t>
  </si>
  <si>
    <t>Corn Sweet Yellow Frozen Kernels On Cob Unprepared</t>
  </si>
  <si>
    <t>Corn Sweet Yellow Frozen Kernels On Cob Cooked Boiled Drained Without Salt</t>
  </si>
  <si>
    <t>Cooked Blackeyed Peas</t>
  </si>
  <si>
    <t>Cowpeas (Blackeyes) Immature Seeds Frozen Unprepared</t>
  </si>
  <si>
    <t>Cowpeas (Blackeyes) Immature Seeds Frozen Cooked Boiled Drained Without Salt</t>
  </si>
  <si>
    <t>Cowpeas Young Pods With Seeds Raw</t>
  </si>
  <si>
    <t>Cowpeas Leafy Tips Cooked Boiled Drained Without Salt</t>
  </si>
  <si>
    <t>Garden Cress</t>
  </si>
  <si>
    <t>Cooked Garden Cress</t>
  </si>
  <si>
    <t>Cucumber</t>
  </si>
  <si>
    <t>Edamame Frozen Unprepared</t>
  </si>
  <si>
    <t>Edamame</t>
  </si>
  <si>
    <t>Endive</t>
  </si>
  <si>
    <t>Cooked Escarole</t>
  </si>
  <si>
    <t>Gourd Dishcloth (Towelgourd) Raw</t>
  </si>
  <si>
    <t>Gourd Dishcloth (Towelgourd) Cooked Boiled Drained Without Salt</t>
  </si>
  <si>
    <t>Drumstick Leaves Raw</t>
  </si>
  <si>
    <t>Drumstick Leaves Cooked Boiled Drained Without Salt</t>
  </si>
  <si>
    <t>Pepeao Dried</t>
  </si>
  <si>
    <t>Jute Potherb Raw</t>
  </si>
  <si>
    <t>Jute Potherb (Molokhiya) (Cooked)</t>
  </si>
  <si>
    <t>Kale</t>
  </si>
  <si>
    <t>Chantarelle Mushrooms</t>
  </si>
  <si>
    <t>Morel Mushrooms</t>
  </si>
  <si>
    <t>Kohlrabi</t>
  </si>
  <si>
    <t>Cooked Kohlrabi</t>
  </si>
  <si>
    <t>Cooked Leeks</t>
  </si>
  <si>
    <t>Lentil Sprouts</t>
  </si>
  <si>
    <t>Cooked Lentil Sprouts</t>
  </si>
  <si>
    <t>Butterhead Lettuce</t>
  </si>
  <si>
    <t>Cooked Lotus Root</t>
  </si>
  <si>
    <t>Red Leaf Lettuce</t>
  </si>
  <si>
    <t>Mountain Yam Hawaii Raw</t>
  </si>
  <si>
    <t>Cooked Hawaiin Mountain Yam</t>
  </si>
  <si>
    <t>Cremini Mushrooms</t>
  </si>
  <si>
    <t>Mushrooms Shiitake Stir-Fried</t>
  </si>
  <si>
    <t>Dried Shiitake Mushrooms</t>
  </si>
  <si>
    <t>Cooked Shiitake Mushrooms</t>
  </si>
  <si>
    <t>Mustard Spinach</t>
  </si>
  <si>
    <t>Cooked Mustard Spinach</t>
  </si>
  <si>
    <t>New Zealand Spinach</t>
  </si>
  <si>
    <t>Cooked New Zealand Spinach</t>
  </si>
  <si>
    <t>Potatoes French Fried All Types Salt Added In Processing Frozen Unprepared</t>
  </si>
  <si>
    <t>USDA Commodity Potato Wedges Frozen</t>
  </si>
  <si>
    <t>Potatoes French Fried Steak Fries Salt Added In Processing Frozen As Purchased</t>
  </si>
  <si>
    <t>Potatoes French Fried Steak Fries Salt Added In Processing Frozen Oven-Heated</t>
  </si>
  <si>
    <t>Potato Flour</t>
  </si>
  <si>
    <t>Pumpkin Leaves (Cooked)</t>
  </si>
  <si>
    <t>Pumpkin Raw</t>
  </si>
  <si>
    <t>Cooked Pumpkin</t>
  </si>
  <si>
    <t>Canned Pumpkin</t>
  </si>
  <si>
    <t>Oriental Radishes</t>
  </si>
  <si>
    <t>Cooked Oriental Radishes</t>
  </si>
  <si>
    <t>Radishes Oriental Dried</t>
  </si>
  <si>
    <t>Rutabagas (Neeps Swedes)</t>
  </si>
  <si>
    <t>Cooked Rutabagas (Neeps Swedes)</t>
  </si>
  <si>
    <t>Irishmoss Seaweed</t>
  </si>
  <si>
    <t>Kelp Seaweed</t>
  </si>
  <si>
    <t>Laver Seaweed</t>
  </si>
  <si>
    <t>Sesbania Flower Raw</t>
  </si>
  <si>
    <t>Cooked Soybean Sprouts</t>
  </si>
  <si>
    <t>Stirfried Soybean Sprouts</t>
  </si>
  <si>
    <t>Spinach</t>
  </si>
  <si>
    <t>Cooked Spinach</t>
  </si>
  <si>
    <t>Crookneck Summer Squash</t>
  </si>
  <si>
    <t>Cooked Crookneck Summer Squash</t>
  </si>
  <si>
    <t>Squash Summer Crookneck And Straightneck Canned Drained Solid Without Salt</t>
  </si>
  <si>
    <t>Squash Summer Crookneck And Straightneck Frozen Unprepared</t>
  </si>
  <si>
    <t>Squash Summer Crookneck And Straightneck Frozen Cooked Boiled Drained Without Salt</t>
  </si>
  <si>
    <t>Squash Summer Zucchini Includes Skin Frozen Unprepared</t>
  </si>
  <si>
    <t>Squash Summer Zucchini Includes Skin Frozen Cooked Boiled Drained Without Salt</t>
  </si>
  <si>
    <t>Squash Summer Zucchini Italian Style Canned</t>
  </si>
  <si>
    <t>Acorn Squash</t>
  </si>
  <si>
    <t>Squash Winter Butternut Frozen Unprepared</t>
  </si>
  <si>
    <t>Squash Winter Butternut Frozen Cooked Boiled Without Salt</t>
  </si>
  <si>
    <t>Hubbard Squash</t>
  </si>
  <si>
    <t>Cooked Hubbard Squash</t>
  </si>
  <si>
    <t>Succotash</t>
  </si>
  <si>
    <t>Succotash (Corn And Limas) Canned With Cream Style Corn</t>
  </si>
  <si>
    <t>Succotash (Corn And Limas) Canned With Whole Kernel Corn Solids And Liquids</t>
  </si>
  <si>
    <t>Succotash (Corn And Limas) Frozen Unprepared</t>
  </si>
  <si>
    <t>Succotash (Corn And Limas) Frozen Cooked Boiled Drained Without Salt</t>
  </si>
  <si>
    <t>Sweet Potatoes</t>
  </si>
  <si>
    <t>Cooked Sweet Potatoes</t>
  </si>
  <si>
    <t>Boiled Sweet Potatoes</t>
  </si>
  <si>
    <t>Sweet Potato Canned Vacuum Pack</t>
  </si>
  <si>
    <t>Cooked Taro</t>
  </si>
  <si>
    <t>Taro Leaves Raw</t>
  </si>
  <si>
    <t>Taro Leaves Cooked Steamed Without Salt</t>
  </si>
  <si>
    <t>Taro Shoots Raw</t>
  </si>
  <si>
    <t>Arrowroot</t>
  </si>
  <si>
    <t>Chrysanthemum Leaves</t>
  </si>
  <si>
    <t>Amaranth Leaves Cooked Boiled Drained With Salt</t>
  </si>
  <si>
    <t>Arrowhead Cooked Boiled Drained With Salt</t>
  </si>
  <si>
    <t>Asparagus Frozen Cooked Boiled Drained With Salt</t>
  </si>
  <si>
    <t>Balsam-Pear (Bitter Gourd) Leafy Tips Cooked Boiled Drained With Salt</t>
  </si>
  <si>
    <t>Balsam-Pear (Bitter Gourd) Pods Cooked Boiled Drained With Salt</t>
  </si>
  <si>
    <t>Bamboo Shoots Cooked Boiled Drained With Salt</t>
  </si>
  <si>
    <t>Lima Beans Immature Seeds Frozen Fordhook Cooked Boiled Drained With Salt</t>
  </si>
  <si>
    <t>Mung Beans Mature Seeds Sprouted Cooked Boiled Drained With Salt</t>
  </si>
  <si>
    <t>Beans Navy Mature Seeds Sprouted Cooked Boiled Drained With Salt</t>
  </si>
  <si>
    <t>Beans Pinto Immature Seeds Frozen Cooked Boiled Drained With Salt</t>
  </si>
  <si>
    <t>Beans Snap Green Canned No Salt Added Solids And Liquids</t>
  </si>
  <si>
    <t>Beans Snap Yellow Canned Regular Pack Solids And Liquids</t>
  </si>
  <si>
    <t>Beans Snap Yellow Canned No Salt Added Solids And Liquids</t>
  </si>
  <si>
    <t>Beans Snap Green Canned No Salt Added Drained Solids</t>
  </si>
  <si>
    <t>Beets Cooked Boiled. Drained With Salt</t>
  </si>
  <si>
    <t>Beets Canned No Salt Added Solids And Liquids</t>
  </si>
  <si>
    <t>Beet Greens Cooked Boiled Drained With Salt</t>
  </si>
  <si>
    <t>Borage Cooked Boiled Drained With Salt</t>
  </si>
  <si>
    <t>Broccoli Cooked Boiled Drained With Salt</t>
  </si>
  <si>
    <t>Broccoli Frozen Chopped Cooked Boiled Drained With Salt</t>
  </si>
  <si>
    <t>Broccoli Frozen Spears Cooked Boiled Drained With Salt</t>
  </si>
  <si>
    <t>Brussels Sprouts Cooked Boiled Drained With Salt</t>
  </si>
  <si>
    <t>Cabbage Common Cooked Boiled Drained With Salt</t>
  </si>
  <si>
    <t>Cabbage Red Cooked Boiled Drained With Salt</t>
  </si>
  <si>
    <t>Cabbage Savoy Cooked Boiled Drained With Salt</t>
  </si>
  <si>
    <t>Cabbage Chinese (Pak-Choi) Cooked Boiled Drained With Salt</t>
  </si>
  <si>
    <t>Carrots Canned No Salt Added Drained Solids</t>
  </si>
  <si>
    <t>Carrots Frozen Cooked Boiled Drained With Salt</t>
  </si>
  <si>
    <t>Cauliflower Cooked Boiled Drained With Salt</t>
  </si>
  <si>
    <t>Cauliflower Frozen Cooked Boiled Drained With Salt</t>
  </si>
  <si>
    <t>Chrysanthemum Garland Cooked Boiled Drained With Salt</t>
  </si>
  <si>
    <t>Collards Cooked Boiled Drained With Salt</t>
  </si>
  <si>
    <t>Collards Frozen Chopped Cooked Boiled Drained With Salt</t>
  </si>
  <si>
    <t>Corn Sweet Yellow Cooked Boiled Drained With Salt</t>
  </si>
  <si>
    <t>Cowpeas (Blackeyes) Immature Seeds Cooked Boiled Drained With Salt</t>
  </si>
  <si>
    <t>Cowpeas (Blackeyes) Immature Seeds Frozen Cooked Boiled Drained With Salt</t>
  </si>
  <si>
    <t>Cowpeas Young Pods With Seeds Cooked Boiled Drained With Salt</t>
  </si>
  <si>
    <t>Cowpeas Leafy Tips Cooked Boiled Drained With Salt</t>
  </si>
  <si>
    <t>Gourd Dishcloth (Towelgourd) Cooked Boiled Drained With Salt</t>
  </si>
  <si>
    <t>Drumstick Leaves Cooked Boiled Drained With Salt</t>
  </si>
  <si>
    <t>Drumstick Pods Cooked Boiled Drained With Salt</t>
  </si>
  <si>
    <t>Hyacinth-Beans Immature Seeds Cooked Boiled Drained With Salt</t>
  </si>
  <si>
    <t>Lambsquarters Cooked Boiled Drained With Salt</t>
  </si>
  <si>
    <t>Leeks (Bulb And Lower Leaf-Portion) Cooked Boiled Drained With Salt</t>
  </si>
  <si>
    <t>Lotus Root Cooked Boiled Drained With Salt</t>
  </si>
  <si>
    <t>Mushrooms White Cooked Boiled Drained With Salt</t>
  </si>
  <si>
    <t>Sweet White Corn</t>
  </si>
  <si>
    <t>Cooked Sweet White Corn</t>
  </si>
  <si>
    <t>Corn Sweet White Cooked Boiled Drained With Salt</t>
  </si>
  <si>
    <t>Corn Sweet White Canned Whole Kernel Regular Pack Solids And Liquids</t>
  </si>
  <si>
    <t>Corn Sweet White Canned Vacuum Pack Regular Pack</t>
  </si>
  <si>
    <t>Corn Sweet White Canned Vacuum Pack No Salt Added</t>
  </si>
  <si>
    <t>Corn Sweet White Frozen Kernels Cut Off Cob Unprepared</t>
  </si>
  <si>
    <t>Corn Sweet White Frozen Kernels Cut Off Cob Boiled Drained Without Salt</t>
  </si>
  <si>
    <t>Peppers Sweet Red Canned Solids And Liquids</t>
  </si>
  <si>
    <t>Peppers Sweet Red Frozen Chopped Unprepared</t>
  </si>
  <si>
    <t>Peppers Sweet Red Frozen Chopped Boiled Drained Without Salt</t>
  </si>
  <si>
    <t>Peppers Sweet Red Frozen Chopped Boiled Drained With Salt</t>
  </si>
  <si>
    <t>Red Bell Peppers (Cooked)</t>
  </si>
  <si>
    <t>Lentils Sprouted Cooked Stir-Fried With Salt</t>
  </si>
  <si>
    <t>Mountain Yam Hawaii Cooked Steamed With Salt</t>
  </si>
  <si>
    <t>Tree Fern Cooked With Salt</t>
  </si>
  <si>
    <t>Potatoes Mashed Prepared From Granules Without Milk Whole Milk And Margarine</t>
  </si>
  <si>
    <t>Homemade Mashed Potatoes With Milk And Butter</t>
  </si>
  <si>
    <t>Ketchup</t>
  </si>
  <si>
    <t>Raw Cremini Mushrooms (Exposed To Sunlight Or Uv)</t>
  </si>
  <si>
    <t>Dill Pickles</t>
  </si>
  <si>
    <t>Canned Pimentos</t>
  </si>
  <si>
    <t>Hot Dog Relish</t>
  </si>
  <si>
    <t>Sweet Pickled Relish</t>
  </si>
  <si>
    <t>Low Sodium Sour Pickles</t>
  </si>
  <si>
    <t>Reduced Sodium Dill Pickles</t>
  </si>
  <si>
    <t>Radicchio</t>
  </si>
  <si>
    <t>Squash Zucchini Baby Raw</t>
  </si>
  <si>
    <t>Tomatillos</t>
  </si>
  <si>
    <t>Sun-Dried Tomatoes</t>
  </si>
  <si>
    <t>Baby Carrots</t>
  </si>
  <si>
    <t>Palm Hearts (Canned)</t>
  </si>
  <si>
    <t>Sun-Dried Hot Chile Peppers</t>
  </si>
  <si>
    <t>Nopales</t>
  </si>
  <si>
    <t>Cooked Napa Cabbage</t>
  </si>
  <si>
    <t>Citronella (Lemon Grass)</t>
  </si>
  <si>
    <t>Fava Beans (Raw)</t>
  </si>
  <si>
    <t>Grape Leaves Raw</t>
  </si>
  <si>
    <t>Jalapeno Peppers</t>
  </si>
  <si>
    <t>Green Chili Peppers</t>
  </si>
  <si>
    <t>Hungarian Peppers</t>
  </si>
  <si>
    <t>Dried Pasilla Peppers</t>
  </si>
  <si>
    <t>Oyster Mushrooms</t>
  </si>
  <si>
    <t>Dried Fungi Cloud Ears</t>
  </si>
  <si>
    <t>Canned Straw Mushrooms</t>
  </si>
  <si>
    <t>Wasabi Root</t>
  </si>
  <si>
    <t>Fiddlehead Ferns Frozen Unprepared</t>
  </si>
  <si>
    <t>Nuts Coconut Meat Dried (Desiccated) Creamed</t>
  </si>
  <si>
    <t>Nuts and Seeds</t>
  </si>
  <si>
    <t>Shredded Coconut Meat</t>
  </si>
  <si>
    <t>Seeds Sisymbrium Sp. Seeds Whole Dried</t>
  </si>
  <si>
    <t>Almond Butter</t>
  </si>
  <si>
    <t>Boiled Japanese Chestnuts</t>
  </si>
  <si>
    <t>Nuts Chestnuts Japanese Roasted</t>
  </si>
  <si>
    <t>Lotus Seeds</t>
  </si>
  <si>
    <t>Nuts Almonds Honey Roasted Unblanched</t>
  </si>
  <si>
    <t>Seeds Sunflower Seed Kernels Oil Roasted With Salt Added</t>
  </si>
  <si>
    <t>Seeds Sunflower Seed Kernels Toasted With Salt Added</t>
  </si>
  <si>
    <t>Seeds Sunflower Seed Butter With Salt Added</t>
  </si>
  <si>
    <t>Nuts Almonds Dry Roasted With Salt Added</t>
  </si>
  <si>
    <t>Nuts Cashew Butter Plain With Salt Added</t>
  </si>
  <si>
    <t>Nuts Macadamia Nuts Dry Roasted With Salt Added</t>
  </si>
  <si>
    <t>Nuts Mixed Nuts Dry Roasted With Peanuts With Salt Added</t>
  </si>
  <si>
    <t>Nuts Mixed Nuts Oil Roasted With Peanuts With Salt Added</t>
  </si>
  <si>
    <t>Seeds Pumpkin And Squash Seeds Whole Roasted With Salt Added</t>
  </si>
  <si>
    <t>Nuts Almonds Oil Roasted Lightly Salted</t>
  </si>
  <si>
    <t>Nuts Almond Butter Plain With Salt Added</t>
  </si>
  <si>
    <t>Seeds Sesame Butter Tahini Type Of Kernels Unspecified</t>
  </si>
  <si>
    <t>Beef Retail Cuts Separable Fat Raw</t>
  </si>
  <si>
    <t>Beef Retail Cuts Separable Fat Cooked</t>
  </si>
  <si>
    <t>Beef Brisket Whole Separable Lean Only All Grades Raw</t>
  </si>
  <si>
    <t>Beef Grass-Fed Ground Raw</t>
  </si>
  <si>
    <t>Beef Flank Steak Separable Lean Only Trimmed To 0 Inch Fat Choice Raw</t>
  </si>
  <si>
    <t>Beef Flank Steak Separable Lean Only Trimmed To 0 Inch Fat Choice Cooked Braised</t>
  </si>
  <si>
    <t>Broiled Lean Beef Flank Steak</t>
  </si>
  <si>
    <t>Beef Rib Eye Small End (Ribs 10-12) Separable Lean And Fat Trimmed To 0 Inch Fat Choice Raw</t>
  </si>
  <si>
    <t>Braised Beef Shortribs</t>
  </si>
  <si>
    <t>Beef Rib Shortribs Separable Lean Only Choice Raw</t>
  </si>
  <si>
    <t>Beef Rib Shortribs Separable Lean Only Choice Cooked Braised</t>
  </si>
  <si>
    <t>Broiled Beef Round</t>
  </si>
  <si>
    <t>Beef Round Full Cut Separable Lean Only Trimmed To 1/4 Inch Fat Select Cooked Broiled</t>
  </si>
  <si>
    <t>Grilled Porterhouse Steak (Choice)</t>
  </si>
  <si>
    <t>Beef Short Loin T-Bone Steak Bone-In Separable Lean Only Trimmed To 1/8 Inch Fat Choice Raw</t>
  </si>
  <si>
    <t>Grilled T-Bone Steak (Choice)</t>
  </si>
  <si>
    <t>Beef Rib Eye Small End (Ribs 10-12) Separable Lean Only Trimmed To 0 Inch Fat Select Raw</t>
  </si>
  <si>
    <t>Beef Variety Meats And By-Products Brain Raw</t>
  </si>
  <si>
    <t>Beef Variety Meats And By-Products Brain Cooked Pan-Fried</t>
  </si>
  <si>
    <t>Beef Variety Meats And By-Products Brain Cooked Simmered</t>
  </si>
  <si>
    <t>Beef Variety Meats And By-Products Heart Raw</t>
  </si>
  <si>
    <t>Beef Variety Meats And By-Products Liver Cooked Braised</t>
  </si>
  <si>
    <t>Pan Fried Beef Liver</t>
  </si>
  <si>
    <t>Beef Variety Meats And By-Products Lungs Raw</t>
  </si>
  <si>
    <t>Beef Variety Meats And By-Products Lungs Cooked Braised</t>
  </si>
  <si>
    <t>Beef Variety Meats And By-Products Mechanically Separated Beef Raw</t>
  </si>
  <si>
    <t>Beef Loin Top Loin Steak Boneless Lip Off Separable Lean And Fat Trimmed To 0 Inch Fat Select Cooked Grilled</t>
  </si>
  <si>
    <t>Beef Loin Top Loin Steak Boneless Lip Off Separable Lean Only Trimmed To 0 Inch Fat All Grades Cooked Grilled</t>
  </si>
  <si>
    <t>Beef Top Sirloin Steak Separable Lean And Fat Trimmed To 0 Inch Fat Select Cooked Broiled</t>
  </si>
  <si>
    <t>Beef Top Sirloin Steak Separable Lean Only Trimmed To 0 Inch Fat All Grades Cooked Broiled</t>
  </si>
  <si>
    <t>Beef Top Sirloin Steak Separable Lean Only Trimmed To 0 Inch Fat Choice Cooked Broiled</t>
  </si>
  <si>
    <t>Beef Top Sirloin Steak Separable Lean Only Trimmed To 0 Inch Fat Select Cooked Broiled</t>
  </si>
  <si>
    <t>Grilled Porterhouse Steak</t>
  </si>
  <si>
    <t>Beef Short Loin Porterhouse Steak Separable Lean Only Trimmed To 0 Inch Fat All Grades Cooked Broiled</t>
  </si>
  <si>
    <t>Beef Short Loin Porterhouse Steak Separable Lean Only Trimmed To 0 Inch Fat Choice Cooked Broiled</t>
  </si>
  <si>
    <t>Beef Short Loin Porterhouse Steak Separable Lean Only Trimmed To 1/8 Inch Fat Select Raw</t>
  </si>
  <si>
    <t>Beef Short Loin Porterhouse Steak Separable Lean Only Trimmed To 1/8 Inch Fat Select Cooked Grilled</t>
  </si>
  <si>
    <t>Beef Short Loin T-Bone Steak Bone-In Separable Lean Only Trimmed To 1/8 Inch Fat All Grades Raw</t>
  </si>
  <si>
    <t>Grilled T-Bone Steak</t>
  </si>
  <si>
    <t>Beef Short Loin T-Bone Steak Separable Lean Only Trimmed To 0 Inch Fat Choice Cooked Broiled</t>
  </si>
  <si>
    <t>Beef Short Loin T-Bone Steak Bone-In Separable Lean Only Trimmed To 1/8 Inch Fat Select Raw</t>
  </si>
  <si>
    <t>Beef Round Tip Round Roast Separable Lean And Fat Trimmed To 0 Inch Fat Choice Raw</t>
  </si>
  <si>
    <t>Beef Round Tip Round Roast Separable Lean And Fat Trimmed To 0 Inch Fat Select Raw</t>
  </si>
  <si>
    <t>Beef Rib Eye Small End (Ribs 10- 12) Separable Lean Only Trimmed To 0 Inch Fat Select Cooked Broiled</t>
  </si>
  <si>
    <t>Grilled Top Round Steak</t>
  </si>
  <si>
    <t>Beef Ground 70% Lean Meat / 30% Fat Patty Cooked Pan-Broiled</t>
  </si>
  <si>
    <t>Beef Ground 70% Lean Meat / 30% Fat Patty Cooked Broiled</t>
  </si>
  <si>
    <t>Beef Ground 70% Lean Meat / 30% Fat Raw</t>
  </si>
  <si>
    <t>Beef Chuck Under Blade Center Steak Boneless Denver Cut Separable Lean Only Trimmed To 0 Inch Fat Select Raw</t>
  </si>
  <si>
    <t>Top Blade Chuck Steak</t>
  </si>
  <si>
    <t>Beef Shoulder Top Blade Steak Boneless Separable Lean Only Trimmed To 0 Inch Fat Select Raw</t>
  </si>
  <si>
    <t>Beef Brisket Flat Half Boneless Separable Lean Only Trimmed To 0 Inch Fat All Grades Raw</t>
  </si>
  <si>
    <t>Beef Brisket Flat Half Boneless Separable Lean Only Trimmed To 0 Inch Fat Choice Raw</t>
  </si>
  <si>
    <t>Beef Brisket Flat Half Boneless Separable Lean Only Trimmed To 0 Inch Fat Select Raw</t>
  </si>
  <si>
    <t>Beef Shoulder Top Blade Steak Boneless Separable Lean And Fat Trimmed To 0 Inch Fat Choice Cooked Grilled</t>
  </si>
  <si>
    <t>Beef Chuck Eye Roast Boneless Americas Beef Roast Separable Lean And Fat Trimmed To 0 Inch Fat All Grades Raw</t>
  </si>
  <si>
    <t>Beef Chuck Eye Roast Boneless Americas Beef Roast Separable Lean And Fat Trimmed To 0 Inch Fat Choice Raw</t>
  </si>
  <si>
    <t>Beef Chuck Eye Roast Boneless Americas Beef Roast Separable Lean And Fat Trimmed To 0 Inch Fat Select Raw</t>
  </si>
  <si>
    <t>Beef Composite Of Trimmed Retail Cuts Separable Lean And Fat Trimmed To 1/8 Inch Fat Select Cooked</t>
  </si>
  <si>
    <t>Beef Brisket Whole Separable Lean And Fat Trimmed To 1/8 Inch Fat All Grades Raw</t>
  </si>
  <si>
    <t>Beef Brisket Whole Separable Lean And Fat Trimmed To 1/8 Inch Fat All Grades Cooked Braised</t>
  </si>
  <si>
    <t>Beef Brisket Flat Half Separable Lean And Fat Trimmed To 1/8 Inch Fat All Grades Raw</t>
  </si>
  <si>
    <t>Beef Chuck Arm Pot Roast Separable Lean And Fat Trimmed To 1/8 Inch Fat All Grades Cooked Braised</t>
  </si>
  <si>
    <t>Beef Chuck Arm Pot Roast Separable Lean And Fat Trimmed To 1/8 Inch Fat Choice Raw</t>
  </si>
  <si>
    <t>Beef Chuck Arm Pot Roast Separable Lean And Fat Trimmed To 1/8 Inch Fat Choice Cooked Braised</t>
  </si>
  <si>
    <t>Beef Chuck Arm Pot Roast Separable Lean And Fat Trimmed To 1/8 Inch Fat Select Raw</t>
  </si>
  <si>
    <t>Beef Chuck Blade Roast Separable Lean And Fat Trimmed To 1/8 Inch Fat Choice Cooked Braised</t>
  </si>
  <si>
    <t>Beef Chuck Blade Roast Separable Lean And Fat Trimmed To 1/8 Inch Fat Select Raw</t>
  </si>
  <si>
    <t>Beef Chuck Blade Roast Separable Lean And Fat Trimmed To 1/8 Inch Fat Select Cooked Braised</t>
  </si>
  <si>
    <t>Beef Chuck Eye Roast Boneless Americas Beef Roast Separable Lean Only Trimmed To 0 Inch Fat All Grades Cooked Roasted</t>
  </si>
  <si>
    <t>Beef Rib Whole (Ribs 6-12) Separable Lean And Fat Trimmed To 1/8 Inch Fat Choice Raw</t>
  </si>
  <si>
    <t>Beef Rib Whole (Ribs 6-12) Separable Lean And Fat Trimmed To 1/8 Inch Fat Choice Cooked Broiled</t>
  </si>
  <si>
    <t>Beef Rib Whole (Ribs 6-12) Separable Lean And Fat Trimmed To 1/8 Inch Fat Choice Cooked Roasted</t>
  </si>
  <si>
    <t>Beef Rib Whole (Ribs 6-12) Separable Lean And Fat Trimmed To 1/8 Inch Fat Select Raw</t>
  </si>
  <si>
    <t>Beef Rib Whole (Ribs 6-12) Separable Lean And Fat Trimmed To 1/8 Inch Fat Prime Cooked Roasted</t>
  </si>
  <si>
    <t>Beef Rib Large End (Ribs 6-9) Separable Lean And Fat Trimmed To 1/8 Inch Fat All Grades Raw</t>
  </si>
  <si>
    <t>Beef Rib Large End (Ribs 6-9) Separable Lean And Fat Trimmed To 1/8 Inch Fat All Grades Cooked Broiled</t>
  </si>
  <si>
    <t>Beef Rib Large End (Ribs 6-9) Separable Lean And Fat Trimmed To 1/8 Inch Fat All Grades Cooked Roasted</t>
  </si>
  <si>
    <t>Beef Rib Large End (Ribs 6-9) Separable Lean And Fat Trimmed To 1/8 Inch Fat Select Cooked Broiled</t>
  </si>
  <si>
    <t>Beef Rib Large End (Ribs 6-9) Separable Lean And Fat Trimmed To 1/8 Inch Fat Select Cooked Roasted</t>
  </si>
  <si>
    <t>Beef Rib Large End (Ribs 6-9) Separable Lean And Fat Trimmed To 1/8 Inch Fat Prime Raw</t>
  </si>
  <si>
    <t>Beef Rib Large End (Ribs 6-9) Separable Lean And Fat Trimmed To 1/8 Inch Fat Prime Cooked Broiled</t>
  </si>
  <si>
    <t>Beef Rib Large End (Ribs 6-9) Separable Lean And Fat Trimmed To 1/8 Inch Fat Prime Cooked Roasted</t>
  </si>
  <si>
    <t>Beef Rib Small End (Ribs 10-12) Separable Lean And Fat Trimmed To 1/8 Inch Fat Choice Cooked Broiled</t>
  </si>
  <si>
    <t>Beef Rib Small End (Ribs 10-12) Separable Lean And Fat Trimmed To 1/8 Inch Fat Choice Cooked Roasted</t>
  </si>
  <si>
    <t>Beef Rib Small End (Ribs 10-12) Separable Lean And Fat Trimmed To 1/8 Inch Fat Select Raw</t>
  </si>
  <si>
    <t>Beef Rib Small End (Ribs 10-12) Separable Lean And Fat Trimmed To 1/8 Inch Fat Select Cooked Broiled</t>
  </si>
  <si>
    <t>Beef Shoulder Top Blade Steak Boneless Separable Lean And Fat Trimmed To 0 Inch Fat Select Cooked Grilled</t>
  </si>
  <si>
    <t>Beef Shoulder Top Blade Steak Boneless Separable Lean And Fat Trimmed To 0 Inch Fat All Grades Raw</t>
  </si>
  <si>
    <t>Beef Round Full Cut Separable Lean And Fat Trimmed To 1/8 Inch Fat Choice Raw</t>
  </si>
  <si>
    <t>Beef Round Full Cut Separable Lean And Fat Trimmed To 1/8 Inch Fat Choice Cooked Broiled</t>
  </si>
  <si>
    <t>Beef Round Bottom Round Roast Separable Lean And Fat Trimmed To 1/8 Inch Fat All Grades Cooked Roasted</t>
  </si>
  <si>
    <t>Beef Round Bottom Round Steak Separable Lean And Fat Trimmed To 1/8 Inch Fat Choice Raw</t>
  </si>
  <si>
    <t>Beef Round Bottom Round Steak Separable Lean And Fat Trimmed To 1/8 Inch Fat Choice Cooked Braised</t>
  </si>
  <si>
    <t>Beef Round Bottom Round Roast Separable Lean And Fat Trimmed To 1/8 Inch Fat Choice Cooked Roasted</t>
  </si>
  <si>
    <t>Beef Round Bottom Round Steak Separable Lean And Fat Trimmed To 1/8 Inch Fat Select Raw</t>
  </si>
  <si>
    <t>Beef Round Eye Of Round Roast Separable Lean And Fat Trimmed To 1/8 Inch Fat Choice Raw</t>
  </si>
  <si>
    <t>Beef Round Eye Of Round Roast Separable Lean And Fat Trimmed To 1/8 Inch Fat Choice Cooked Roasted</t>
  </si>
  <si>
    <t>Beef Round Eye Of Round Roast Separable Lean And Fat Trimmed To 1/8 Inch Fat Select Raw</t>
  </si>
  <si>
    <t>Beef Round Eye Of Round Roast Separable Lean And Fat Trimmed To 1/8 Inch Fat Select Cooked Roasted</t>
  </si>
  <si>
    <t>Beef Round Tip Round Separable Lean And Fat Trimmed To 1/8 Inch Fat Select Raw</t>
  </si>
  <si>
    <t>Beef Round Tip Round Roast Separable Lean And Fat Trimmed To 1/8 Inch Fat Select Cooked Roasted</t>
  </si>
  <si>
    <t>Beef Shoulder Top Blade Steak Boneless Separable Lean And Fat Trimmed To 0 Inch Fat Choice Raw</t>
  </si>
  <si>
    <t>Beef Round Top Round Separable Lean Only Trimmed To 1/8 Inch Fat Choice Cooked Pan-Fried</t>
  </si>
  <si>
    <t>Beef Round Top Round Separable Lean And Fat Trimmed To 1/8 Inch Fat Choice Cooked Braised</t>
  </si>
  <si>
    <t>Beef Round Top Round Steak Separable Lean And Fat Trimmed To 1/8 Inch Fat Choice Cooked Broiled</t>
  </si>
  <si>
    <t>Beef Round Top Round Separable Lean And Fat Trimmed To 1/8 Inch Fat Choice Cooked Pan-Fried</t>
  </si>
  <si>
    <t>Beef Round Top Round Steak Separable Lean And Fat Trimmed To 1/8 Inch Fat Select Raw</t>
  </si>
  <si>
    <t>Beef Round Top Round Separable Lean And Fat Trimmed To 1/8 Inch Fat Select Cooked Braised</t>
  </si>
  <si>
    <t>Beef Brisket Flat Half Boneless Separable Lean And Fat Trimmed To 0 Inch Fat All Grades Raw</t>
  </si>
  <si>
    <t>Beef Short Loin Porterhouse Steak Separable Lean And Fat Trimmed To 1/8 Inch Fat Choice Raw</t>
  </si>
  <si>
    <t>Beef Short Loin Porterhouse Steak Separable Lean And Fat Trimmed To 1/8 Inch Fat Choice Cooked Grilled</t>
  </si>
  <si>
    <t>Beef Short Loin T-Bone Steak Separable Lean And Fat Trimmed To 1/8 Inch Fat Choice Raw</t>
  </si>
  <si>
    <t>Beef Short Loin Top Loin Steak Separable Lean And Fat Trimmed To 1/8 Inch Fat Choice Cooked Grilled</t>
  </si>
  <si>
    <t>Beef Loin Top Loin Separable Lean And Fat Trimmed To 1/8 Inch Fat Select Raw</t>
  </si>
  <si>
    <t>Beef Loin Top Loin Separable Lean And Fat Trimmed To 1/8 Inch Fat Select Cooked Grilled</t>
  </si>
  <si>
    <t>Beef Short Loin Top Loin Steak Separable Lean And Fat Trimmed To 1/8 Inch Fat Prime Raw</t>
  </si>
  <si>
    <t>Beef Tenderloin Steak Separable Lean And Fat Trimmed To 1/8 Inch Fat Choice Cooked Broiled</t>
  </si>
  <si>
    <t>Beef Tenderloin Roast Separable Lean And Fat Trimmed To 1/8 Inch Fat Choice Cooked Roasted</t>
  </si>
  <si>
    <t>Beef Tenderloin Steak Separable Lean And Fat Trimmed To 1/8 Inch Fat Select Raw</t>
  </si>
  <si>
    <t>Beef Tenderloin Steak Separable Lean And Fat Trimmed To 1/8 Inch Fat Select Cooked Broiled</t>
  </si>
  <si>
    <t>Beef Top Sirloin Steak Separable Lean And Fat Trimmed To 1/8 Inch Fat All Grades Raw</t>
  </si>
  <si>
    <t>Beef Top Sirloin Steak Separable Lean And Fat Trimmed To 1/8 Inch Fat All Grades Cooked Broiled</t>
  </si>
  <si>
    <t>Beef Top Sirloin Steak Separable Lean And Fat Trimmed To 1/8 Inch Fat Choice Raw</t>
  </si>
  <si>
    <t>Beef Top Sirloin Steak Separable Lean And Fat Trimmed To 1/8 Inch Fat Choice Cooked Broiled</t>
  </si>
  <si>
    <t>Beef Chuck Clod Roast Separable Lean Only Trimmed To 0 Inch Fat Select Cooked Roasted</t>
  </si>
  <si>
    <t>Beef Shoulder Steak Boneless Separable Lean Only Trimmed To 0 Inch Fat Choice Cooked Grilled</t>
  </si>
  <si>
    <t>Beef Shoulder Steak Boneless Separable Lean Only Trimmed To 0 Inch Fat Select Cooked Grilled</t>
  </si>
  <si>
    <t>Beef Flank Steak Separable Lean And Fat Trimmed To 0 Inch Fat All Grades Cooked Broiled</t>
  </si>
  <si>
    <t>Beef Bottom Sirloin Tri-Tip Roast Separable Lean And Fat Trimmed To 0 Inch Fat All Grades Raw</t>
  </si>
  <si>
    <t>Beef Bottom Sirloin Tri-Tip Roast Separable Lean And Fat Trimmed To 0 Inch Fat Choice Cooked Roasted</t>
  </si>
  <si>
    <t>Beef Bottom Sirloin Tri-Tip Roast Separable Lean And Fat Trimmed To 0 Inch Fat Choice Raw</t>
  </si>
  <si>
    <t>Beef Bottom Sirloin Tri-Tip Roast Separable Lean And Fat Trimmed To 0 Inch Fat Select Cooked Roasted</t>
  </si>
  <si>
    <t>Beef Chuck Top Blade Separable Lean Only Trimmed To 0 Inch Fat Choice Cooked Broiled</t>
  </si>
  <si>
    <t>Beef Chuck Top Blade Separable Lean Only Trimmed To 0 Inch Fat Select Cooked Broiled</t>
  </si>
  <si>
    <t>Beef Round Top Round Steak Boneless Separable Lean And Fat Trimmed To 0 Inch Fat Choice Cooked Grilled</t>
  </si>
  <si>
    <t>Beef Round Top Round Steak Boneless Separable Lean And Fat Trimmed To 0 Inch Fat Select Cooked Grilled</t>
  </si>
  <si>
    <t>Beef Chuck Eye Roast Boneless Americas Beef Roast Separable Lean Only Trimmed To 0 Inch Fat Select Raw</t>
  </si>
  <si>
    <t>Beef Brisket Flat Half Boneless Separable Lean And Fat Trimmed To 0 Inch Fat Choice Raw</t>
  </si>
  <si>
    <t>Beef Plate Inside Skirt Steak Separable Lean Only Trimmed To 0 Inch Fat All Grades Cooked Broiled</t>
  </si>
  <si>
    <t>Beef Plate Outside Skirt Steak Separable Lean Only Trimmed To 0 Inch Fat All Grades Cooked Broiled</t>
  </si>
  <si>
    <t>Beer</t>
  </si>
  <si>
    <t>Budweiser Beer</t>
  </si>
  <si>
    <t>Alcoholic Beverage Beer Light Budweiser Select</t>
  </si>
  <si>
    <t>Light Beer</t>
  </si>
  <si>
    <t>Alcoholic Beverage Pina Colada Canned</t>
  </si>
  <si>
    <t>Sweetened Vanilla Almond Milk</t>
  </si>
  <si>
    <t>Alcoholic Beverage Pina Colada Prepared-From-Recipe</t>
  </si>
  <si>
    <t>Tequila Sunrise</t>
  </si>
  <si>
    <t>Milk Chocolate With Almonds</t>
  </si>
  <si>
    <t>Milk Chocolate With Rice Cereal</t>
  </si>
  <si>
    <t>Mars Snackfood Us Milky Way Bar</t>
  </si>
  <si>
    <t>Hersheys Skor Toffee Bar</t>
  </si>
  <si>
    <t>Toppings Strawberry</t>
  </si>
  <si>
    <t>Mounds Candy Bar</t>
  </si>
  <si>
    <t>Mr. Goodbar Chocolate Bar</t>
  </si>
  <si>
    <t>Nestle 100 Grand Bar</t>
  </si>
  <si>
    <t>Nestle Crunch Bar And Dessert Topping</t>
  </si>
  <si>
    <t>Reeses Peanut Butter Cups</t>
  </si>
  <si>
    <t>Reeses Pieces Candy</t>
  </si>
  <si>
    <t>Rolo Caramels In Milk Chocolate</t>
  </si>
  <si>
    <t>Nestle After Eight Mints</t>
  </si>
  <si>
    <t>Mars Snackfood Us 3 Musketeers Bar</t>
  </si>
  <si>
    <t>Mars Snackfood Us Twix Caramel Cookie Bars</t>
  </si>
  <si>
    <t>Mars Snackfood Us Twix Peanut Butter Cookie Bars</t>
  </si>
  <si>
    <t>Whatchamacallit Candy Bar</t>
  </si>
  <si>
    <t>Chewing Gum</t>
  </si>
  <si>
    <t>Egg Custards Dry Mix</t>
  </si>
  <si>
    <t>Egg Custards Dry Mix Prepared With Whole Milk</t>
  </si>
  <si>
    <t>Cocoa Dry Powder Unsweetened Hersheys European Style Cocoa</t>
  </si>
  <si>
    <t>Gelatin Desserts Dry Mix</t>
  </si>
  <si>
    <t>York Bites</t>
  </si>
  <si>
    <t>Chocolate Mousse</t>
  </si>
  <si>
    <t>Puddings Chocolate Ready-To-Eat</t>
  </si>
  <si>
    <t>Puddings Chocolate Dry Mix Instant</t>
  </si>
  <si>
    <t>Puddings Chocolate Dry Mix Regular Prepared With 2% Milk</t>
  </si>
  <si>
    <t>Puddings Coconut Cream Dry Mix Instant Prepared With 2% Milk</t>
  </si>
  <si>
    <t>Puddings Rice Ready-To-Eat</t>
  </si>
  <si>
    <t>Puddings Rice Dry Mix</t>
  </si>
  <si>
    <t>Puddings Vanilla Dry Mix Instant</t>
  </si>
  <si>
    <t>Puddings Vanilla Dry Mix Instant Prepared With Whole Milk</t>
  </si>
  <si>
    <t>Puddings Lemon Dry Mix Instant Prepared With 2% Milk</t>
  </si>
  <si>
    <t>Egg Custards Dry Mix Prepared With 2% Milk</t>
  </si>
  <si>
    <t>Puddings Vanilla Dry Mix Regular Prepared With 2% Milk</t>
  </si>
  <si>
    <t>Rennin Chocolate Dry Mix Prepared With 2% Milk</t>
  </si>
  <si>
    <t>Rennin Vanilla Dry Mix Prepared With 2% Milk</t>
  </si>
  <si>
    <t>Praline Prepared-From-Recipe</t>
  </si>
  <si>
    <t>Desserts Rennin Vanilla Dry Mix</t>
  </si>
  <si>
    <t>Rennin Vanilla Dry Mix Prepared With Whole Milk</t>
  </si>
  <si>
    <t>Desserts Rennin Tablets Unsweetened</t>
  </si>
  <si>
    <t>Frostings Chocolate Creamy Ready-To-Eat</t>
  </si>
  <si>
    <t>Flan Caramel Custard Dry Mix Prepared With Whole Milk</t>
  </si>
  <si>
    <t>Puddings Vanilla Ready-To-Eat Fat Free</t>
  </si>
  <si>
    <t>Puddings Tapioca Ready-To-Eat Fat Free</t>
  </si>
  <si>
    <t>Puddings Chocolate Ready-To-Eat Fat Free</t>
  </si>
  <si>
    <t>Frostings Chocolate Creamy Dry Mix Prepared With Butter</t>
  </si>
  <si>
    <t>Heath Bites</t>
  </si>
  <si>
    <t>Frostings Vanilla Creamy Dry Mix</t>
  </si>
  <si>
    <t>Frostings White Fluffy Dry Mix</t>
  </si>
  <si>
    <t>Mars Snackfood Us Dove Milk Chocolate</t>
  </si>
  <si>
    <t>Mars Snackfood Us Dove Dark Chocolate</t>
  </si>
  <si>
    <t>Mars Snackfood Us Milky Way Caramels Milk Chocolate Covered</t>
  </si>
  <si>
    <t>Mars Snackfood Us Milky Way Caramels. Dark Chocolate Covered</t>
  </si>
  <si>
    <t>Snacks General Mills Betty Crocker Fruit Roll Ups Berry Flavored With Vitamin C</t>
  </si>
  <si>
    <t>Ice Creams Chocolate</t>
  </si>
  <si>
    <t>Ice Creams Strawberry</t>
  </si>
  <si>
    <t>Snacks Farley Candy Farley Fruit Snacks With Vitamins A C And E</t>
  </si>
  <si>
    <t>Frozen Novelties Ice Type Italian Restaurant-Prepared</t>
  </si>
  <si>
    <t>Frozen Novelties Ice Type Pop</t>
  </si>
  <si>
    <t>Mars Snackfood Us M&amp;Ms Crispy Chocolate</t>
  </si>
  <si>
    <t>Frozen Yogurts Vanilla Soft-Serve</t>
  </si>
  <si>
    <t>Fruit Butters Apple</t>
  </si>
  <si>
    <t>Fudge Chocolate Marshmallow With Nuts Prepared-By-Recipe</t>
  </si>
  <si>
    <t>Mars Snackfood Us Snickers Almond Bar</t>
  </si>
  <si>
    <t>Marmalade Orange</t>
  </si>
  <si>
    <t>Molasses</t>
  </si>
  <si>
    <t>Pectin Unsweetened Dry Mix</t>
  </si>
  <si>
    <t>Pie Fillings Apple Canned</t>
  </si>
  <si>
    <t>Mars Snackfood Us Starburst Fruit Chews Tropical Fruits</t>
  </si>
  <si>
    <t>Pie Fillings Canned Cherry</t>
  </si>
  <si>
    <t>Puddings Banana Dry Mix Regular Prepared With Whole Milk</t>
  </si>
  <si>
    <t>Puddings Coconut Cream Dry Mix Instant</t>
  </si>
  <si>
    <t>Puddings Coconut Cream Dry Mix Instant Prepared With Whole Milk</t>
  </si>
  <si>
    <t>Puddings Coconut Cream Dry Mix Regular</t>
  </si>
  <si>
    <t>Puddings Coconut Cream Dry Mix Regular Prepared With Whole Milk</t>
  </si>
  <si>
    <t>Puddings Lemon Dry Mix Instant Prepared With Whole Milk</t>
  </si>
  <si>
    <t>Puddings Lemon Dry Mix Regular</t>
  </si>
  <si>
    <t>Pudding Lemon Dry Mix Regular Prepared With Sugar Egg Yolk And Water</t>
  </si>
  <si>
    <t>Sugars Brown</t>
  </si>
  <si>
    <t>Syrups Chocolate Hersheys Genuine Chocolate Flavored Lite Syrup</t>
  </si>
  <si>
    <t>Syrups Chocolate Fudge-Type</t>
  </si>
  <si>
    <t>Syrups Corn Dark</t>
  </si>
  <si>
    <t>Syrups Corn Light</t>
  </si>
  <si>
    <t>Syrups Table Blends Pancake With 2% Maple</t>
  </si>
  <si>
    <t>Syrups Table Blends Corn Refiner And Sugar</t>
  </si>
  <si>
    <t>Mars Snackfood Us Skittles Wild Berry Bite Size</t>
  </si>
  <si>
    <t>Toppings Butterscotch Or Caramel</t>
  </si>
  <si>
    <t>Mars Snackfood Us Skittles Sours Original</t>
  </si>
  <si>
    <t>Mars Snackfood Us Skittles Original Bite Size</t>
  </si>
  <si>
    <t>Frostings Vanilla Creamy Dry Mix Prepared With Margarine</t>
  </si>
  <si>
    <t>Frostings Chocolate Creamy Dry Mix Prepared With Margarine</t>
  </si>
  <si>
    <t>Divinity Prepared-From-Recipe</t>
  </si>
  <si>
    <t>Frozen Novelties Ice Type Pineapple-Coconut</t>
  </si>
  <si>
    <t>Frozen Yogurts Chocolate Soft-Serve</t>
  </si>
  <si>
    <t>Snacks Banana Chips</t>
  </si>
  <si>
    <t>Snacks Beef Sticks Smoked</t>
  </si>
  <si>
    <t>Snacks Pork Skins Barbecue-Flavor</t>
  </si>
  <si>
    <t>Frostings Glaze Chocolate Prepared-From-Recipe With Butter Nfsmi Recipe No. C-32</t>
  </si>
  <si>
    <t>Snack Potato Chips Made From Dried Potatoes Plain</t>
  </si>
  <si>
    <t>Snacks Potato Sticks</t>
  </si>
  <si>
    <t>Snacks Rice Cakes Brown Rice Rye</t>
  </si>
  <si>
    <t>Snacks Sesame Sticks Wheat-Based Salted</t>
  </si>
  <si>
    <t>Snacks Corn Cakes</t>
  </si>
  <si>
    <t>Snacks Tortilla Chips Nacho-Flavor Reduced Fat</t>
  </si>
  <si>
    <t>Tortilla Chips Low Fat Baked Without Fat</t>
  </si>
  <si>
    <t>Cheese Puffs And Twists Corn Based Baked Low Fat</t>
  </si>
  <si>
    <t>Snacks Granola Bar Fruit-Filled Nonfat</t>
  </si>
  <si>
    <t>Snacks Kelloggs Nutri-Grain Cereal Bars Fruit</t>
  </si>
  <si>
    <t>Snacks Tortilla Chips Low Fat Made With Olestra Nacho Cheese</t>
  </si>
  <si>
    <t>Snacks Potato Chips Made From Dried Potatoes Fat-Free Made With Olestra</t>
  </si>
  <si>
    <t>Snacks Taro Chips</t>
  </si>
  <si>
    <t>Puddings Banana Dry Mix Instant With Added Oil</t>
  </si>
  <si>
    <t>Cornmeal Degermed Enriched Yellow</t>
  </si>
  <si>
    <t>Cornmeal Yellow Self-Rising Bolted Plain Enriched</t>
  </si>
  <si>
    <t>Cornmeal Yellow Self-Rising Bolted With Wheat Flour Added Enriched</t>
  </si>
  <si>
    <t>Cornmeal Yellow Self-Rising Degermed Enriched</t>
  </si>
  <si>
    <t>Cooked Millet</t>
  </si>
  <si>
    <t>Oat Bran</t>
  </si>
  <si>
    <t>Cooked Oat Bran</t>
  </si>
  <si>
    <t>Quinoa Uncooked</t>
  </si>
  <si>
    <t>Cooked Brown Rice</t>
  </si>
  <si>
    <t>Rice Brown Parboiled Dry Uncle Bens</t>
  </si>
  <si>
    <t>Rice White Long-Grain Regular Raw Enriched</t>
  </si>
  <si>
    <t>White Rice</t>
  </si>
  <si>
    <t>Rice White Medium-Grain Raw Enriched</t>
  </si>
  <si>
    <t>Medium Grain White Rice</t>
  </si>
  <si>
    <t>Rice White Short-Grain Enriched Uncooked</t>
  </si>
  <si>
    <t>Rice White Short-Grain Enriched Cooked</t>
  </si>
  <si>
    <t>Rice White Glutinous Unenriched Uncooked</t>
  </si>
  <si>
    <t>Rye Grain</t>
  </si>
  <si>
    <t>Rye Flour Dark</t>
  </si>
  <si>
    <t>Rye Flour Medium</t>
  </si>
  <si>
    <t>Rye Flour Light</t>
  </si>
  <si>
    <t>Triticale Flour Whole-Grain</t>
  </si>
  <si>
    <t>Wheat Hard Red Spring</t>
  </si>
  <si>
    <t>Wheat Hard Red Winter</t>
  </si>
  <si>
    <t>Wheat Soft Red Winter</t>
  </si>
  <si>
    <t>Wheat Germ Crude</t>
  </si>
  <si>
    <t>Wheat Flour Whole-Grain</t>
  </si>
  <si>
    <t>Wheat Flour White All-Purpose Enriched Bleached</t>
  </si>
  <si>
    <t>Wheat Flour White All-Purpose Self-Rising Enriched</t>
  </si>
  <si>
    <t>Wheat Flour White Bread Enriched</t>
  </si>
  <si>
    <t>Cooked Wild Rice</t>
  </si>
  <si>
    <t>Rice Flour Brown</t>
  </si>
  <si>
    <t>Pasta Gluten-Free Corn Dry</t>
  </si>
  <si>
    <t>Gluten Free Corn Noodles (Cooked)</t>
  </si>
  <si>
    <t>Pasta Homemade Made With Egg Cooked</t>
  </si>
  <si>
    <t>Pasta Homemade Made Without Egg Cooked</t>
  </si>
  <si>
    <t>Macaroni Vegetable Enriched Dry</t>
  </si>
  <si>
    <t>Macaroni Vegetable Enriched Cooked</t>
  </si>
  <si>
    <t>Noodles Chinese Chow Mein</t>
  </si>
  <si>
    <t>Noodles Japanese Soba Dry</t>
  </si>
  <si>
    <t>Japanese Soba Noodles (Buckwheat)</t>
  </si>
  <si>
    <t>Noodles Japanese Somen Dry</t>
  </si>
  <si>
    <t>Cooked Japanese Somen</t>
  </si>
  <si>
    <t>Whole Wheat Pasta</t>
  </si>
  <si>
    <t>Spaghetti Spinach Dry</t>
  </si>
  <si>
    <t>Spaghetti Spinach Cooked</t>
  </si>
  <si>
    <t>Wheat Flours Bread Unenriched</t>
  </si>
  <si>
    <t>Rice Noodles (Cooked)</t>
  </si>
  <si>
    <t>Pasta Whole Grain 51% Whole Wheat Remaining Unenriched Semolina Dry</t>
  </si>
  <si>
    <t>Pasta Whole Grain 51% Whole Wheat Remaining Unenriched Semolina Cooked</t>
  </si>
  <si>
    <t>Quinoa Cooked</t>
  </si>
  <si>
    <t>Cooked Teff</t>
  </si>
  <si>
    <t>Noodles Egg Cooked Enriched With Added Salt</t>
  </si>
  <si>
    <t>Corn Grain White</t>
  </si>
  <si>
    <t>Corn Flour Whole-Grain Blue (Harina De Maiz Morado)</t>
  </si>
  <si>
    <t>Cornmeal Degermed Enriched White</t>
  </si>
  <si>
    <t>Cornmeal White Self-Rising Bolted Plain Enriched</t>
  </si>
  <si>
    <t>Cornmeal White Self-Rising Bolted With Wheat Flour Added Enriched</t>
  </si>
  <si>
    <t>Cornmeal White Self-Rising Degermed Enriched</t>
  </si>
  <si>
    <t>Noodles Egg Unenriched Cooked Without Added Salt</t>
  </si>
  <si>
    <t>Pasta Dry Unenriched</t>
  </si>
  <si>
    <t>Cooked Pasta (Unenriched)</t>
  </si>
  <si>
    <t>Cornmeal Degermed Unenriched Yellow</t>
  </si>
  <si>
    <t>Rice White Medium-Grain Cooked Unenriched</t>
  </si>
  <si>
    <t>Rice White Short-Grain Raw Unenriched</t>
  </si>
  <si>
    <t>Rice White Short-Grain Cooked Unenriched</t>
  </si>
  <si>
    <t>Semolina Unenriched</t>
  </si>
  <si>
    <t>Spaghetti Protein-Fortified Cooked Enriched (N X 6.25)</t>
  </si>
  <si>
    <t>Rice White Long-Grain Regular Cooked Unenriched With Salt</t>
  </si>
  <si>
    <t>Wheat Flour White All-Purpose Enriched Unbleached</t>
  </si>
  <si>
    <t>Spaghetti Protein-Fortified Dry Enriched (N X 6.25)</t>
  </si>
  <si>
    <t>Wheat Flour White (Industrial) 10% Protein Unbleached Enriched</t>
  </si>
  <si>
    <t>Wheat Flour White (Industrial) 11.5% Protein Bleached Enriched</t>
  </si>
  <si>
    <t>Wheat Flour White (Industrial) 11.5% Protein Bleached Unenriched</t>
  </si>
  <si>
    <t>Wheat Flour White (Industrial) 11.5% Protein Unbleached Enriched</t>
  </si>
  <si>
    <t>Wheat Flour White (Industrial) 13% Protein Bleached Enriched</t>
  </si>
  <si>
    <t>Whole Grain Sorghum Flour</t>
  </si>
  <si>
    <t>Wheat Flour Whole-Grain Soft Wheat</t>
  </si>
  <si>
    <t>Potatoes Yellow Fleshed Hash Brown Shredded Salt Added In Processing Frozen Unprepared</t>
  </si>
  <si>
    <t>Potatoes French Fried Wedge Cut Frozen Unprepared</t>
  </si>
  <si>
    <t>Potatoes French Fried Steak Cut Salt Not Added In Processing Frozen Unprepared</t>
  </si>
  <si>
    <t>Potatoes French Fried Cross Cut Frozen Unprepared</t>
  </si>
  <si>
    <t>Rice And Vermicelli Mix Beef Flavor Unprepared</t>
  </si>
  <si>
    <t>Prepared Meals</t>
  </si>
  <si>
    <t>Rice And Vermicelli Mix Beef Flavor Prepared With 80% Margarine</t>
  </si>
  <si>
    <t>Rice And Vermicelli Mix Rice Pilaf Flavor Unprepared</t>
  </si>
  <si>
    <t>Rice And Vermicelli Mix Rice Pilaf Flavor Prepared With 80% Margarine</t>
  </si>
  <si>
    <t>Pasta Mix Classic Cheeseburger Macaroni Unprepared</t>
  </si>
  <si>
    <t>Pasta Mix Classic Beef Unprepared</t>
  </si>
  <si>
    <t>Pasta Mix Italian Lasagna Unprepared</t>
  </si>
  <si>
    <t>Yellow Rice With Seasoning Dry Packet Mix Unprepared</t>
  </si>
  <si>
    <t>Pizza Rolls Frozen Unprepared</t>
  </si>
  <si>
    <t>Pasta Mix Italian Four Cheese Lasagna Unprepared</t>
  </si>
  <si>
    <t>Spanish Rice Mix Dry Mix Unprepared</t>
  </si>
  <si>
    <t>Lasagna Cheese Frozen Unprepared</t>
  </si>
  <si>
    <t>Chicken Thighs Frozen Breaded Reheated</t>
  </si>
  <si>
    <t>Turnover Meat- And Cheese-Filled Tomato-Based Sauce Reduced Fat Frozen</t>
  </si>
  <si>
    <t>Turnover Filled With Egg Meat And Cheese Frozen</t>
  </si>
  <si>
    <t>Rice Mix White And Wild Flavored Unprepared</t>
  </si>
  <si>
    <t>Salisbury Steak With Gravy Frozen</t>
  </si>
  <si>
    <t>Infant Formula Mead Johnson Enfamil Premium Newborn Powder</t>
  </si>
  <si>
    <t>Infant Formula Mead Johnson Enfamil Premium Lipil Infant Powder</t>
  </si>
  <si>
    <t>Infant Formula Mead Johnson Enfamil Premium Lipil Infant Liquid Concentrate Not Reconstituted</t>
  </si>
  <si>
    <t>Infant Formula Mead Johnson Enfamil Premium Infant Liquid Concentrate Not Reconstituted</t>
  </si>
  <si>
    <t>Infant Formula Mead Johnson Enfamil Enfagrow Gentlease Toddler Lipil Powder</t>
  </si>
  <si>
    <t>Infant Formula Abbott Nutrition Similac Go And Grow Powder With Ara And Dha</t>
  </si>
  <si>
    <t>Infant Formula Gerber Good Start 2 Soy With Iron Powder</t>
  </si>
  <si>
    <t>Infant Formula Mead Johnson Enfamil Nutramigen Aa Lipil Powder Not Reconstituted</t>
  </si>
  <si>
    <t>Infant Formula Mead Johnson Enfamil Premature 20 Calories Ready-To-Feed Low Iron</t>
  </si>
  <si>
    <t>Babyfood Rice Cereal Dry Earths Best Organic Whole Grain Fortified Only With Iron</t>
  </si>
  <si>
    <t>Agutuk Fish/berry With Seal Oil (Alaskan Ice Cream) (Alaska Native)</t>
  </si>
  <si>
    <t>Agutuk Meat-Caribou (Alaskan Ice Cream) (Alaska Native)</t>
  </si>
  <si>
    <t>Ascidians (Tunughnak) (Alaska Native)</t>
  </si>
  <si>
    <t>Whale Beluga Flipper Raw (Alaska Native)</t>
  </si>
  <si>
    <t>Whale Beluga Liver Raw (Alaska Native)</t>
  </si>
  <si>
    <t>Oil Beluga Whale (Alaska Native)</t>
  </si>
  <si>
    <t>Blackberries Wild Raw (Alaska Native)</t>
  </si>
  <si>
    <t>Caribou Liver Raw (Alaska Native)</t>
  </si>
  <si>
    <t>Stew/soup Caribou (Alaska Native)</t>
  </si>
  <si>
    <t>Caribou Tongue Raw (Alaska Native)</t>
  </si>
  <si>
    <t>Chiton Leathery Gumboots (Alaska Native)</t>
  </si>
  <si>
    <t>Fish Devilfish Meat (Alaska Native)</t>
  </si>
  <si>
    <t>Fireweed Young Leaves Raw (Alaska Native)</t>
  </si>
  <si>
    <t>Fish Herring Eggs On Giant Kelp Pacific (Alaska Native)</t>
  </si>
  <si>
    <t>Fish Herring Eggs Pacific Dry (Alaska Native)</t>
  </si>
  <si>
    <t>Stew Moose (Alaska Native)</t>
  </si>
  <si>
    <t>Agave Cooked (Southwest)</t>
  </si>
  <si>
    <t>Agave Dried (Southwest)</t>
  </si>
  <si>
    <t>Cattail Narrow Leaf Shoots (Northern Plains Indians)</t>
  </si>
  <si>
    <t>Lambsquarters Raw (Northern Plains Indians)</t>
  </si>
  <si>
    <t>Prairie Turnips Boiled (Northern Plains Indians)</t>
  </si>
  <si>
    <t>Raspberries Wild (Northern Plains Indians)</t>
  </si>
  <si>
    <t>Rose Hips</t>
  </si>
  <si>
    <t>Chokecherries Raw Pitted (Northern Plains Indians)</t>
  </si>
  <si>
    <t>Sea Lion Steller Liver (Alaska Native)</t>
  </si>
  <si>
    <t>Sea Lion Steller Kidney (Alaska Native)</t>
  </si>
  <si>
    <t>Sea Lion Steller Heart (Alaska Native)</t>
  </si>
  <si>
    <t>Sea Lion Steller Meat (Alaska Native)</t>
  </si>
  <si>
    <t>Piki Bread Made From Blue Cornmeal (Hopi)</t>
  </si>
  <si>
    <t>Wocas Tuber Cooked Oregon Yellow Pond Lily (Klamath)</t>
  </si>
  <si>
    <t>Stew Pinto Bean And Hominy Badufsuki (Hopi)</t>
  </si>
  <si>
    <t>Tamales Masa And Pork Filling (Hopi)</t>
  </si>
  <si>
    <t>Applebees Double Crunch Shrimp</t>
  </si>
  <si>
    <t>Applebees French Fries</t>
  </si>
  <si>
    <t>Applebees Kraft Macaroni &amp; Cheese From Kids Menu</t>
  </si>
  <si>
    <t>Applebees Mozzarella Sticks</t>
  </si>
  <si>
    <t>Applebees Chicken Tenders From Kids Menu</t>
  </si>
  <si>
    <t>TGI Fridays Chicken Fingers From Kids Menu</t>
  </si>
  <si>
    <t>TGI Fridays Classic Sirloin Steak (10 Oz)</t>
  </si>
  <si>
    <t>Restaurant Family Style Fried Mozzarella Sticks</t>
  </si>
  <si>
    <t>Restaurant Family Style Sirloin Steak</t>
  </si>
  <si>
    <t>Applebees Fish Hand Battered</t>
  </si>
  <si>
    <t>Applebees Chili</t>
  </si>
  <si>
    <t>TGI Fridays Chicken Fingers</t>
  </si>
  <si>
    <t>Applebees Coleslaw</t>
  </si>
  <si>
    <t>Cracker Barrel Onion Rings Thick-Cut</t>
  </si>
  <si>
    <t>Dennys Chicken Strips</t>
  </si>
  <si>
    <t>Dennys Coleslaw</t>
  </si>
  <si>
    <t>Dennys Fish Fillet Battered Or Breaded Fried</t>
  </si>
  <si>
    <t>Dennys Hash Browns</t>
  </si>
  <si>
    <t>Restaurant Family Style Coleslaw</t>
  </si>
  <si>
    <t>Restaurant Family Style Onion Rings</t>
  </si>
  <si>
    <t>Restaurant Family Style Chili With Meat And Beans</t>
  </si>
  <si>
    <t>Restaurant Family Style Spaghetti And Meatballs</t>
  </si>
  <si>
    <t>Carrabbas Italian Grill Lasagne</t>
  </si>
  <si>
    <t>On The Border Mexican Rice</t>
  </si>
  <si>
    <t>On The Border Refried Beans</t>
  </si>
  <si>
    <t>Restaurant Italian Spaghetti With Pomodoro Sauce (No Meat)</t>
  </si>
  <si>
    <t>On The Border Cheese Quesadilla</t>
  </si>
  <si>
    <t>Restaurant Mexican Cheese Quesadilla</t>
  </si>
  <si>
    <t>Carrabbas Italian Grill Cheese Ravioli With Marinara Sauce</t>
  </si>
  <si>
    <t>Olive Garden Cheese Ravioli With Marinara Sauce</t>
  </si>
  <si>
    <t>Restaurant Italian Cheese Ravioli With Marinara Sauce</t>
  </si>
  <si>
    <t>Frosted Oat Cereal With Marshmallows</t>
  </si>
  <si>
    <t>Weetabix Whole Grain Cereal</t>
  </si>
  <si>
    <t>Post Great Grains Raisin Date &amp; Pecan</t>
  </si>
  <si>
    <t>Babyfood Juice Apple-Sweet Potato</t>
  </si>
  <si>
    <t>Babyfood Juice Orange-Carrot</t>
  </si>
  <si>
    <t>Orange Juice Drink</t>
  </si>
  <si>
    <t>Gums Seed Gums (Includes Locust Bean Guar)</t>
  </si>
  <si>
    <t>Snacks Potato Chips White Restructured Baked</t>
  </si>
  <si>
    <t>Babyfood Baked Product Finger Snacks Cereal Fortified</t>
  </si>
  <si>
    <t>Babyfood Cereal Brown Rice Dry Instant</t>
  </si>
  <si>
    <t>Babyfood Green Beans And Turkey Strained</t>
  </si>
  <si>
    <t>Cheese Muenster Low Fat</t>
  </si>
  <si>
    <t>Mozzarella Cheese (Non-Fat Or Fat Free)</t>
  </si>
  <si>
    <t>Margarine-Like Butter-Margarine Blend 80% Fat Stick Without Salt</t>
  </si>
  <si>
    <t>Margarine-Like Vegetable Oil-Butter Spread Reduced Calorie Tub With Salt</t>
  </si>
  <si>
    <t>Babyfood Dinner Chicken And Rice</t>
  </si>
  <si>
    <t>Salad Dressing Caesar Dressing Regular</t>
  </si>
  <si>
    <t>Coleslaw Salad Dressing</t>
  </si>
  <si>
    <t>Salad Dressing Green Goddess Regular</t>
  </si>
  <si>
    <t>Jams And Preserves No Sugar (With Sodium Saccharin) Any Flavor</t>
  </si>
  <si>
    <t>Chocolate Covered Caramel With Nuts</t>
  </si>
  <si>
    <t>Nougat With Almonds</t>
  </si>
  <si>
    <t>Gum Drops No Sugar Or Low Calorie (Sorbitol)</t>
  </si>
  <si>
    <t>Pie Fillings Cherry Low Calorie</t>
  </si>
  <si>
    <t>Breakfast Bars Oats Sugar Raisins Coconut (Include Granola Bar)</t>
  </si>
  <si>
    <t>Soft Pretzels (Salted)</t>
  </si>
  <si>
    <t>Beans Chili Barbecue Ranch Style Cooked</t>
  </si>
  <si>
    <t>Luncheon Slices Meatless</t>
  </si>
  <si>
    <t>Meatballs Meatless</t>
  </si>
  <si>
    <t>Vegetarian Fillets</t>
  </si>
  <si>
    <t>Sandwich Spread Meatless</t>
  </si>
  <si>
    <t>Alcoholic Beverage Wine Cooking</t>
  </si>
  <si>
    <t>Alcoholic Beverage Wine Light</t>
  </si>
  <si>
    <t>Sweeteners Tabletop Saccharin (Sodium Saccharin)</t>
  </si>
  <si>
    <t>Beverage Instant Breakfast Powder Chocolate Not Reconstituted</t>
  </si>
  <si>
    <t>Tomato Sauce Canned No Salt Added</t>
  </si>
  <si>
    <t>Alpen</t>
  </si>
  <si>
    <t>Familia</t>
  </si>
  <si>
    <t>Wheat And Bran Presweetened With Nuts And Fruits</t>
  </si>
  <si>
    <t>Cheese Cottage With Vegetables</t>
  </si>
  <si>
    <t>Cheese Cream Low Fat</t>
  </si>
  <si>
    <t>Cheese Pasteurized Process American Low Fat</t>
  </si>
  <si>
    <t>Cheese Spread Cream Cheese Base</t>
  </si>
  <si>
    <t>Pork Oriental Style Dehydrated</t>
  </si>
  <si>
    <t>Soybean Curd Cheese</t>
  </si>
  <si>
    <t>Potatoes Canned Drained Solids No Salt Added</t>
  </si>
  <si>
    <t>Vegetables Mixed (Corn Lima Beans Peas Green Beans Carrots) Canned No Salt Added</t>
  </si>
  <si>
    <t>Litchis</t>
  </si>
  <si>
    <t>Dried Litchis</t>
  </si>
  <si>
    <t>Loganberries (Frozen)</t>
  </si>
  <si>
    <t>Longans</t>
  </si>
  <si>
    <t>Mangosteen Canned Syrup Pack</t>
  </si>
  <si>
    <t>Dried Sweetened Mango</t>
  </si>
  <si>
    <t>Cantaloupe Melons</t>
  </si>
  <si>
    <t>Casaba Melon</t>
  </si>
  <si>
    <t>Olives</t>
  </si>
  <si>
    <t>Jumbo Olives</t>
  </si>
  <si>
    <t>Green Olives</t>
  </si>
  <si>
    <t>Oranges</t>
  </si>
  <si>
    <t>Orange Juice</t>
  </si>
  <si>
    <t>Canned Orange Juice</t>
  </si>
  <si>
    <t>Orange Juice From Concentrate</t>
  </si>
  <si>
    <t>Orange Juice With Added Calcium And Vitamin D</t>
  </si>
  <si>
    <t>Orange Juice Frozen Concentrate Unsweetened Diluted With 3 Volume Water</t>
  </si>
  <si>
    <t>Orange Peel Raw</t>
  </si>
  <si>
    <t>Orange-Grapefruit Juice Canned Or Bottled Unsweetened</t>
  </si>
  <si>
    <t>Tangerines</t>
  </si>
  <si>
    <t>Tangerines (Mandarin Oranges) Canned Juice Pack</t>
  </si>
  <si>
    <t>Papaya Nectar Canned</t>
  </si>
  <si>
    <t>Passion Fruit (Granadilla)</t>
  </si>
  <si>
    <t>Purple Passion Fruit Juice</t>
  </si>
  <si>
    <t>Yellow Passion Fruit Juice</t>
  </si>
  <si>
    <t>Peaches Canned Light Syrup Pack Solids And Liquids</t>
  </si>
  <si>
    <t>Peaches Canned Heavy Syrup Pack Solids And Liquids</t>
  </si>
  <si>
    <t>Peaches Canned Extra Heavy Syrup Pack Solids And Liquids</t>
  </si>
  <si>
    <t>Peaches Spiced Canned Heavy Syrup Pack Solids And Liquids</t>
  </si>
  <si>
    <t>Peaches Dried Sulfured Stewed With Added Sugar</t>
  </si>
  <si>
    <t>Peaches Frozen Sliced Sweetened</t>
  </si>
  <si>
    <t>Peach Nectar Canned Without Added Ascorbic Acid</t>
  </si>
  <si>
    <t>Pears</t>
  </si>
  <si>
    <t>Pears Canned Water Pack Solids And Liquids</t>
  </si>
  <si>
    <t>Pears Canned In Syrup</t>
  </si>
  <si>
    <t>Dried Pears</t>
  </si>
  <si>
    <t>Pears Dried Sulfured Stewed Without Added Sugar</t>
  </si>
  <si>
    <t>Pears Dried Sulfured Stewed With Added Sugar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</si>
  <si>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</si>
  <si>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</si>
  <si>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</si>
  <si>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</si>
  <si>
    <t>Pineapple Juice Frozen Concentrate Unsweetened Diluted With 3 Volume Water</t>
  </si>
  <si>
    <t>Pitanga</t>
  </si>
  <si>
    <t>Plantains</t>
  </si>
  <si>
    <t>Plantains Cooked</t>
  </si>
  <si>
    <t>Plums Canned Purple Heavy Syrup Pack Solids And Liquids</t>
  </si>
  <si>
    <t>Plums Canned Purple Extra Heavy Syrup Pack Solids And Liquids</t>
  </si>
  <si>
    <t>Pomegranates</t>
  </si>
  <si>
    <t>Cooked Lima Beans</t>
  </si>
  <si>
    <t>Lima Beans Immature Seeds Canned Regular Pack Solids And Liquids</t>
  </si>
  <si>
    <t>Mung Beans Mature Seeds Sprouted Cooked Boiled Drained Without Salt</t>
  </si>
  <si>
    <t>Mung Beans Mature Seeds Sprouted Cooked Stir-Fried</t>
  </si>
  <si>
    <t>Beans Navy Mature Seeds Sprouted Raw</t>
  </si>
  <si>
    <t>Beans Navy Mature Seeds Sprouted Cooked Boiled Drained Without Salt</t>
  </si>
  <si>
    <t>Cooked Green Snap Beans</t>
  </si>
  <si>
    <t>Canned Green Beans</t>
  </si>
  <si>
    <t>Beans Snap Green Canned Regular Pack Drained Solids</t>
  </si>
  <si>
    <t>Beans Snap Canned All Styles Seasoned Solids And Liquids</t>
  </si>
  <si>
    <t>Beets (Raw)</t>
  </si>
  <si>
    <t>Cooked Beets</t>
  </si>
  <si>
    <t>Beets Canned Regular Pack Solids And Liquids</t>
  </si>
  <si>
    <t>Pork Cured Ham -- Water Added Whole Boneless Separable Lean Only Heated Roasted</t>
  </si>
  <si>
    <t>Pork Cured Ham -- Water Added Whole Boneless Separable Lean Only Unheated</t>
  </si>
  <si>
    <t>Pork Cured Ham And Water Product Shank Bone-In Separable Lean Only Heated Roasted</t>
  </si>
  <si>
    <t>Pork Cured Ham -- Water Added Slice Bone-In Separable Lean Only Unheated</t>
  </si>
  <si>
    <t>Pork Cured Ham And Water Product Rump Bone-In Separable Lean Only Unheated</t>
  </si>
  <si>
    <t>Pork Cured Ham And Water Product Slice Bone-In Separable Lean Only Unheated</t>
  </si>
  <si>
    <t>Pork Cured Ham And Water Product Shank Bone-In Unheated Separable Lean Only</t>
  </si>
  <si>
    <t>Pork Cured Ham Separable Fat Boneless Heated</t>
  </si>
  <si>
    <t>Pork Cured Ham Separable Fat Boneless Unheated</t>
  </si>
  <si>
    <t>Pork Pickled Pork Hocks</t>
  </si>
  <si>
    <t>Pork Cured Ham Slice Bone-In Separable Lean Only Heated Pan-Broil</t>
  </si>
  <si>
    <t>Pork Cured Ham With Natural Juices Whole Boneless Separable Lean And Fat Unheated</t>
  </si>
  <si>
    <t>Pork Cured Ham And Water Product Whole Boneless Separable Lean And Fat Unheated</t>
  </si>
  <si>
    <t>Pork Cured Ham And Water Product Slice Bone-In Separable Lean And Fat Unheated</t>
  </si>
  <si>
    <t>Pork Cured Ham And Water Product Shank Bone-In Separable Lean And Fat Unheated</t>
  </si>
  <si>
    <t>Pork Cured Ham And Water Product Rump Bone-In Separable Lean And Fat Unheated</t>
  </si>
  <si>
    <t>Pork Cured Ham -- Water Added Rump Bone-In Separable Lean And Fat Heated Roasted</t>
  </si>
  <si>
    <t>Pork Cured Ham -- Water Added Shank Bone-In Separable Lean And Fat Heated Roasted</t>
  </si>
  <si>
    <t>Pork Cured Ham -- Water Added Slice Bone-In Separable Lean And Fat Heated Pan-Broil</t>
  </si>
  <si>
    <t>Pork Cured Ham -- Water Added Slice Boneless Separable Lean And Fat Heated Pan-Broil</t>
  </si>
  <si>
    <t>Pork Cured Ham And Water Product Slice Boneless Separable Lean And Fat Heated Pan-Broil</t>
  </si>
  <si>
    <t>Pork Cured Ham And Water Product Whole Boneless Separable Lean And Fat Heated Roasted</t>
  </si>
  <si>
    <t>Pork Cured Ham With Natural Juices Rump Bone-In Separable Lean And Fat Heated Roasted</t>
  </si>
  <si>
    <t>Pork Cured Ham With Natural Juices Shank Bone-In Separable Lean And Fat Heated Roasted</t>
  </si>
  <si>
    <t>Pork Cured Ham With Natural Juices Slice Bone-In Separable Lean And Fat Heated Pan-Broil</t>
  </si>
  <si>
    <t>Pork Cured Ham Rump Bone-In Separable Lean Only Heated Roasted</t>
  </si>
  <si>
    <t>Pork Cured Ham Rump Bone-In Separable Lean Only Unheated</t>
  </si>
  <si>
    <t>Pork Cured Ham Shank Bone-In Separable Lean Only Heated Roasted</t>
  </si>
  <si>
    <t>Pork Cured Ham Shank Bone-In Separable Lean Only Unheated</t>
  </si>
  <si>
    <t>Pork Cured Ham Slice Bone-In Separable Lean And Fat Unheated</t>
  </si>
  <si>
    <t>Pork Fresh Spareribs Separable Lean And Fat Cooked Roasted</t>
  </si>
  <si>
    <t>Pork Fresh Composite Of Separable Fat With Added Solution Raw</t>
  </si>
  <si>
    <t>Pork Fresh Loin Tenderloin Separable Lean Only With Added Solution Cooked Roasted</t>
  </si>
  <si>
    <t>Pork Fresh Loin Top Loin (Chops) Boneless Separable Lean Only With Added Solution Raw</t>
  </si>
  <si>
    <t>Pork Fresh Loin Top Loin (Chops) Boneless Separable Lean And Fat With Added Solution Raw</t>
  </si>
  <si>
    <t>Pork Fresh Loin Top Loin (Chops) Boneless Separable Lean And Fat With Added Solution Cooked Broiled</t>
  </si>
  <si>
    <t>Pork Fresh Loin Tenderloin Separable Lean And Fat With Added Solution Raw</t>
  </si>
  <si>
    <t>Pork Fresh Loin Tenderloin Separable Lean And Fat With Added Solution Cooked Roasted</t>
  </si>
  <si>
    <t>Pork Leg Cap Steak Boneless Separable Lean And Fat Raw</t>
  </si>
  <si>
    <t>Pork Shoulder Breast Boneless Separable Lean And Fat Raw</t>
  </si>
  <si>
    <t>Pork Shoulder Breast Boneless Separable Lean And Fat Cooked Broiled</t>
  </si>
  <si>
    <t>Pork Shoulder Petite Tender Boneless Separable Lean And Fat Cooked Broiled</t>
  </si>
  <si>
    <t>Pork Ground 96% Lean / 4% Fat Raw</t>
  </si>
  <si>
    <t>Pork Ground 72% Lean / 28% Fat Cooked Crumbles</t>
  </si>
  <si>
    <t>Pork Ground 84% Lean / 16% Fat Cooked Crumbles</t>
  </si>
  <si>
    <t>Pork Ground 96% Lean / 4% Fat Cooked Crumbles</t>
  </si>
  <si>
    <t>Pork Fresh Loin Blade (Chops Or Roasts) Boneless Separable Lean Only Raw</t>
  </si>
  <si>
    <t>Pork Fresh Loin Blade (Roasts) Boneless Separable Lean Only Cooked Roasted</t>
  </si>
  <si>
    <t>Pork Fresh Loin Blade (Chops) Boneless Separable Lean Only Boneless Cooked Broiled</t>
  </si>
  <si>
    <t>Pork Fresh Loin Country-Style Ribs Separable Lean Only Boneless Cooked Broiled</t>
  </si>
  <si>
    <t>Pork Fresh Loin Blade (Roasts) Boneless Separable Lean And Fat Cooked Roasted</t>
  </si>
  <si>
    <t>Pork Fresh Loin Country-Style Ribs Separable Lean And Fat Boneless Cooked Broiled</t>
  </si>
  <si>
    <t>Pork Fresh Loin Country-Style Ribs Separable Lean And Fat Bone-In Cooked Broiled</t>
  </si>
  <si>
    <t>Pork Fresh Loin Country-Style Ribs Separable Lean And Fat Boneless Cooked Roasted</t>
  </si>
  <si>
    <t>Amaranth Leaves Cooked Boiled Drained Without Salt</t>
  </si>
  <si>
    <t>Arrowhead Raw</t>
  </si>
  <si>
    <t>Arrowhead Cooked Boiled Drained Without Salt</t>
  </si>
  <si>
    <t>Artichokes (Globe Or French)</t>
  </si>
  <si>
    <t>Asparagus Canned Regular Pack Solids And Liquids</t>
  </si>
  <si>
    <t>Canned Asparagus</t>
  </si>
  <si>
    <t>Asparagus Frozen Unprepared</t>
  </si>
  <si>
    <t>Asparagus Frozen Cooked Boiled Drained Without Salt</t>
  </si>
  <si>
    <t>Bamboo Shoots</t>
  </si>
  <si>
    <t>Bamboo Shoots (Cooked)</t>
  </si>
  <si>
    <t>Bamboo Shoots (Canned)</t>
  </si>
  <si>
    <t>Kidney Bean Sprouts</t>
  </si>
  <si>
    <t>Corn Sweet Yellow Canned Whole Kernel Drained Solids</t>
  </si>
  <si>
    <t>Corn Sweet Yellow Canned Cream Style Regular Pack</t>
  </si>
  <si>
    <t>Corn Sweet Yellow Canned Vacuum Pack Regular Pack</t>
  </si>
  <si>
    <t>Corn Yellow Whole Kernel Frozen Microwaved</t>
  </si>
  <si>
    <t>Corn With Red And Green Peppers Canned Solids And Liquids</t>
  </si>
  <si>
    <t>Cornsalad Raw</t>
  </si>
  <si>
    <t>Cowpeas (Blackeyes) Immature Seeds Raw</t>
  </si>
  <si>
    <t>Cowpeas Young Pods With Seeds Cooked Boiled Drained Without Salt</t>
  </si>
  <si>
    <t>Yardlong Bean Raw</t>
  </si>
  <si>
    <t>Yardlong Bean Cooked Boiled Drained Without Salt</t>
  </si>
  <si>
    <t>Cowpeas Leafy Tips Raw</t>
  </si>
  <si>
    <t>Cucumber Peeled Raw</t>
  </si>
  <si>
    <t>Dandelion Greens</t>
  </si>
  <si>
    <t>Cooked Dandelion Greens</t>
  </si>
  <si>
    <t>Eggplant</t>
  </si>
  <si>
    <t>Cooked Eggplant</t>
  </si>
  <si>
    <t>Garlic</t>
  </si>
  <si>
    <t>Ginger</t>
  </si>
  <si>
    <t>Gourd White-Flowered (Calabash) Raw</t>
  </si>
  <si>
    <t>Gourd White-Flowered (Calabash) Cooked Boiled Drained Without Salt</t>
  </si>
  <si>
    <t>Hyacinth-Beans Immature Seeds Raw</t>
  </si>
  <si>
    <t>Hyacinth-Beans Immature Seeds Cooked Boiled Drained Without Salt</t>
  </si>
  <si>
    <t>Jerusalem-Artichokes Raw</t>
  </si>
  <si>
    <t>Jews Ear</t>
  </si>
  <si>
    <t>Cooked Kale</t>
  </si>
  <si>
    <t>Kale Frozen Unprepared</t>
  </si>
  <si>
    <t>Kale Frozen Cooked Boiled Drained Without Salt</t>
  </si>
  <si>
    <t>Kanpyo</t>
  </si>
  <si>
    <t>Shiitake Mushrooms</t>
  </si>
  <si>
    <t>Mushrooms Portobellos Grilled</t>
  </si>
  <si>
    <t>Lambsquarters Raw</t>
  </si>
  <si>
    <t>Lambsquarters Cooked Boiled Drained Without Salt</t>
  </si>
  <si>
    <t>Leeks</t>
  </si>
  <si>
    <t>Romaine Lettuce</t>
  </si>
  <si>
    <t>Iceberg Lettuce</t>
  </si>
  <si>
    <t>Green Leaf Lettuce</t>
  </si>
  <si>
    <t>Lotus Root</t>
  </si>
  <si>
    <t>White Button Mushrooms</t>
  </si>
  <si>
    <t>Cooked White Button Mushrooms</t>
  </si>
  <si>
    <t>White Button Mushrooms (Stir-Fried)</t>
  </si>
  <si>
    <t>Canned Mushrooms</t>
  </si>
  <si>
    <t>Portobellos Mushrooms</t>
  </si>
  <si>
    <t>Mustard Greens</t>
  </si>
  <si>
    <t>Cooked Mustard Greens</t>
  </si>
  <si>
    <t>Mustard Greens Frozen Unprepared</t>
  </si>
  <si>
    <t>Mustard Greens Frozen Cooked Boiled Drained Without Salt</t>
  </si>
  <si>
    <t>Okra</t>
  </si>
  <si>
    <t>Cooked Okra</t>
  </si>
  <si>
    <t>Okra Frozen Unprepared</t>
  </si>
  <si>
    <t>Cooked Okra (Previously Frozen)</t>
  </si>
  <si>
    <t>Potatoes French Fried All Types Salt Added In Processing Frozen Home-Prepared Oven Heated</t>
  </si>
  <si>
    <t>Potatoes French Fried Cottage-Cut Salt Not Added In Processing Frozen As Purchased</t>
  </si>
  <si>
    <t>Potatoes French Fried Cottage-Cut Salt Not Added In Processing Frozen Oven-Heated</t>
  </si>
  <si>
    <t>Potatoes Frozen French Fried Par Fried Extruded Unprepared</t>
  </si>
  <si>
    <t>Potatoes Frozen French Fried Par Fried Extruded Prepared Heated In Oven Without Salt</t>
  </si>
  <si>
    <t>Potato Salad Home-Prepared</t>
  </si>
  <si>
    <t>Pumpkin Flowers</t>
  </si>
  <si>
    <t>Cooked Pumpkin Flowers</t>
  </si>
  <si>
    <t>Pumpkin Leaves</t>
  </si>
  <si>
    <t>Pumpkin Pie Mix Canned</t>
  </si>
  <si>
    <t>Purslane</t>
  </si>
  <si>
    <t>Cooked Purslane</t>
  </si>
  <si>
    <t>Radishes</t>
  </si>
  <si>
    <t>Salsify (Vegetable Oyster) Raw</t>
  </si>
  <si>
    <t>Salsify Cooked Boiled Drained Without Salt</t>
  </si>
  <si>
    <t>Sauerkraut</t>
  </si>
  <si>
    <t>Seaweed Agar Raw</t>
  </si>
  <si>
    <t>Sesbania Flower Cooked Steamed Without Salt</t>
  </si>
  <si>
    <t>Green Soybeans</t>
  </si>
  <si>
    <t>Cooked Green Soybeans</t>
  </si>
  <si>
    <t>Soybean Sprouts</t>
  </si>
  <si>
    <t>Spinach Canned Regular Pack Solids And Liquids</t>
  </si>
  <si>
    <t>Spinach Canned Regular Pack Drained Solids</t>
  </si>
  <si>
    <t>Spinach Frozen Chopped Or Leaf Unprepared</t>
  </si>
  <si>
    <t>Spinach Frozen Chopped Or Leaf Cooked Boiled Drained Without Salt</t>
  </si>
  <si>
    <t>Scallop Squash</t>
  </si>
  <si>
    <t>Cooked Scallop Squash</t>
  </si>
  <si>
    <t>Zucchini</t>
  </si>
  <si>
    <t>Cooked Zucchini</t>
  </si>
  <si>
    <t>Baked Acorn Squash</t>
  </si>
  <si>
    <t>Cooked Acorn Squash</t>
  </si>
  <si>
    <t>Butternut Squash</t>
  </si>
  <si>
    <t>Cooked Butternut Squash</t>
  </si>
  <si>
    <t>Squash Winter Hubbard Cooked Boiled Mashed Without Salt</t>
  </si>
  <si>
    <t>Spaghetti Squash</t>
  </si>
  <si>
    <t>Cooked Spaghetti Squash</t>
  </si>
  <si>
    <t>Succotash (Corn And Limas) Raw</t>
  </si>
  <si>
    <t>Swamp Cabbage</t>
  </si>
  <si>
    <t>Cooked Swamp Cabbage</t>
  </si>
  <si>
    <t>Sweet Potato Leaves Raw</t>
  </si>
  <si>
    <t>Sweet Potato Leaves Cooked Steamed Without Salt</t>
  </si>
  <si>
    <t>Mashed Sweet Potatoes</t>
  </si>
  <si>
    <t>Sweet Potato Frozen Unprepared</t>
  </si>
  <si>
    <t>Sweet Potato Frozen Cooked Baked Without Salt</t>
  </si>
  <si>
    <t>Taro</t>
  </si>
  <si>
    <t>Taro Shoots Cooked Without Salt</t>
  </si>
  <si>
    <t>Tahitian Taro</t>
  </si>
  <si>
    <t>Artichokes (Globe Or French) Cooked Boiled Drained With Salt</t>
  </si>
  <si>
    <t>Artichokes (Globe Or French) Frozen Cooked Boiled Drained With Salt</t>
  </si>
  <si>
    <t>Asparagus Cooked Boiled Drained With Salt</t>
  </si>
  <si>
    <t>Asparagus Canned No Salt Added Solids And Liquids</t>
  </si>
  <si>
    <t>Beans Kidney Mature Seeds Sprouted Cooked Boiled Drained With Salt</t>
  </si>
  <si>
    <t>Lima Beans Immature Seeds Cooked Boiled Drained With Salt</t>
  </si>
  <si>
    <t>Canned Lima Beans</t>
  </si>
  <si>
    <t>Lima Beans Immature Seeds Frozen Baby Cooked Boiled Drained With Salt</t>
  </si>
  <si>
    <t>Beans Pinto Mature Seeds Sprouted Cooked Boiled Drained With Salt</t>
  </si>
  <si>
    <t>Yellow Snap Beans</t>
  </si>
  <si>
    <t>Beans Snap Green Cooked Boiled Drained With Salt</t>
  </si>
  <si>
    <t>Cooked Yellow Snap Beans</t>
  </si>
  <si>
    <t>Beans Snap Yellow Cooked Boiled Drained With Salt</t>
  </si>
  <si>
    <t>Beans Snap Yellow Frozen All Styles Unprepared</t>
  </si>
  <si>
    <t>Beans Snap Green Frozen Cooked Boiled Drained With Salt</t>
  </si>
  <si>
    <t>Beans Snap Yellow Frozen Cooked Boiled Drained Without Salt</t>
  </si>
  <si>
    <t>Beans Snap Yellow Frozen Cooked Boiled Drained With Salt</t>
  </si>
  <si>
    <t>Broadbeans Immature Seeds Cooked Boiled Drained With Salt</t>
  </si>
  <si>
    <t>Broccoli Leaves Raw</t>
  </si>
  <si>
    <t>Broccoli Flower Clusters Raw</t>
  </si>
  <si>
    <t>Broccoli Stalks Raw</t>
  </si>
  <si>
    <t>Brussels Sprouts Frozen Cooked Boiled Drained With Salt</t>
  </si>
  <si>
    <t>Burdock Root Cooked Boiled Drained With Salt</t>
  </si>
  <si>
    <t>Butterbur Cooked Boiled Drained With Salt</t>
  </si>
  <si>
    <t>Cabbage Common (Danish Domestic And Pointed Types) Freshly Harvest Raw</t>
  </si>
  <si>
    <t>Cabbage Common (Danish Domestic And Pointed Types) Stored Raw</t>
  </si>
  <si>
    <t>Cabbage Chinese (Pe-Tsai) Cooked Boiled Drained With Salt</t>
  </si>
  <si>
    <t>Cardoon Cooked Boiled Drained With Salt</t>
  </si>
  <si>
    <t>Carrots Cooked Boiled Drained With Salt</t>
  </si>
  <si>
    <t>Carrots Canned No Salt Added Solids And Liquids</t>
  </si>
  <si>
    <t>Celeriac Cooked Boiled Drained With Salt</t>
  </si>
  <si>
    <t>Celery Cooked Boiled Drained With Salt</t>
  </si>
  <si>
    <t>Chard Swiss Cooked Boiled Drained With Salt</t>
  </si>
  <si>
    <t>Chayote Fruit Cooked Boiled Drained With Salt</t>
  </si>
  <si>
    <t>Corn Sweet Yellow Canned No Salt Added Solids And Liquids</t>
  </si>
  <si>
    <t>Corn Sweet Yellow Canned Cream Style No Salt Added</t>
  </si>
  <si>
    <t>Corn Sweet Yellow Canned Vacuum Pack No Salt Added</t>
  </si>
  <si>
    <t>Corn Sweet Yellow Frozen Kernels Cut Off Cob Boiled Drained With Salt</t>
  </si>
  <si>
    <t>Corn Sweet Yellow Frozen Kernels On Cob Cooked Boiled Drained With Salt</t>
  </si>
  <si>
    <t>Cress Garden Cooked Boiled Drained With Salt</t>
  </si>
  <si>
    <t>Dandelion Greens Cooked Boiled Drained With Salt</t>
  </si>
  <si>
    <t>Eggplant Cooked Boiled Drained With Salt</t>
  </si>
  <si>
    <t>Gourd White-Flowered (Calabash) Cooked Boiled Drained With Salt</t>
  </si>
  <si>
    <t>Jute Potherb Cooked Boiled Drained With Salt</t>
  </si>
  <si>
    <t>Kale Cooked Boiled Drained With Salt</t>
  </si>
  <si>
    <t>Kale Frozen Cooked Boiled Drained With Salt</t>
  </si>
  <si>
    <t>Kohlrabi Cooked Boiled Drained With Salt</t>
  </si>
  <si>
    <t>Yambean (Jicama) Cooked Boiled Drained With Salt</t>
  </si>
  <si>
    <t>Yardlong Bean Cooked Boiled Drained With Salt</t>
  </si>
  <si>
    <t>Corn Sweet White Canned Whole Kernel No Salt Added Solids And Liquids</t>
  </si>
  <si>
    <t>Corn Sweet White Canned Whole Kernel Drained Solids</t>
  </si>
  <si>
    <t>Corn Sweet White Canned Cream Style Regular Pack</t>
  </si>
  <si>
    <t>Corn Sweet White Canned Cream Style No Salt Added</t>
  </si>
  <si>
    <t>Corn Sweet White Frozen Kernels Cut Off Cob Boiled Drained With Salt</t>
  </si>
  <si>
    <t>Corn Sweet White Frozen Kernels On Cob Unprepared</t>
  </si>
  <si>
    <t>Corn Sweet White Frozen Kernels On Cob Cooked Boiled Drained Without Salt</t>
  </si>
  <si>
    <t>Corn Sweet White Frozen Kernels On Cob Cooked Boiled Drained With Salt</t>
  </si>
  <si>
    <t>Sesbania Flower Cooked Steamed With Salt</t>
  </si>
  <si>
    <t>Soybeans Mature Seeds Sprouted Cooked Steamed With Salt</t>
  </si>
  <si>
    <t>Soybeans Mature Seeds Sprouted Cooked Stir-Fried With Salt</t>
  </si>
  <si>
    <t>Dock Cooked Boiled Drained With Salt</t>
  </si>
  <si>
    <t>Potatoes Mashed Dehydrated Prepared From Flakes Without Milk Whole Milk And Margarine Added</t>
  </si>
  <si>
    <t>Peppers Sweet Red Freeze-Dried</t>
  </si>
  <si>
    <t>Beans Snap Yellow Canned Regular Pack Drained Solids</t>
  </si>
  <si>
    <t>Beans Snap Yellow Canned No Salt Added Drained Solids</t>
  </si>
  <si>
    <t>Raw White Button Mushrooms (Exposed To Sunlight Or Uv)</t>
  </si>
  <si>
    <t>Portobellos (Exposed To Sunlight Or Uv)</t>
  </si>
  <si>
    <t>Sweet Pickled Cucumbers</t>
  </si>
  <si>
    <t>Sour Pickled Cucumber</t>
  </si>
  <si>
    <t>Low Sodium Sweet Pickles</t>
  </si>
  <si>
    <t>Low Sodium Ketchup</t>
  </si>
  <si>
    <t>Enoki Mushrooms</t>
  </si>
  <si>
    <t>Sweet Yellow Peppers</t>
  </si>
  <si>
    <t>Tomatoes Sun-Dried Packed In Oil Drained</t>
  </si>
  <si>
    <t>Fennel</t>
  </si>
  <si>
    <t>Pickle Relish Hamburger</t>
  </si>
  <si>
    <t>Arugula</t>
  </si>
  <si>
    <t>Cooked Nopales</t>
  </si>
  <si>
    <t>Green Cauliflower</t>
  </si>
  <si>
    <t>Cooked Green Cauliflower</t>
  </si>
  <si>
    <t>Cauliflower Green Cooked With Salt</t>
  </si>
  <si>
    <t>Cooked Chinese Broccoli</t>
  </si>
  <si>
    <t>Grape Leaves Canned</t>
  </si>
  <si>
    <t>Banana Peppers</t>
  </si>
  <si>
    <t>Serrano Peppers</t>
  </si>
  <si>
    <t>Dried Ancho Peppers</t>
  </si>
  <si>
    <t>Pickles Chowchow With Cauliflower Onion Mustard Sweet</t>
  </si>
  <si>
    <t>Epazote Raw</t>
  </si>
  <si>
    <t>Fireweed Leaves Raw</t>
  </si>
  <si>
    <t>Cooked Malabar Spinach</t>
  </si>
  <si>
    <t>Yautia</t>
  </si>
  <si>
    <t>Mushrooms White Microwaved</t>
  </si>
  <si>
    <t>Maitake Mushrooms</t>
  </si>
  <si>
    <t>Chinese Broccoli</t>
  </si>
  <si>
    <t>Fiddlehead Ferns</t>
  </si>
  <si>
    <t>Seeds Sesame Butter Tahini From Unroasted Kernels (Non-Chemically Removed Seed Coat)</t>
  </si>
  <si>
    <t>Seeds Watermelon Seed Kernels Dried</t>
  </si>
  <si>
    <t>Dried Japanese Chestnuts</t>
  </si>
  <si>
    <t>Nuts Coconut Milk Frozen (Liquid Expressed From Grated Meat And Water)</t>
  </si>
  <si>
    <t>Raw Sesame Butter (Tahini)</t>
  </si>
  <si>
    <t>Nuts Formulated Wheat-Based All Flavors Except Macadamia Without Salt</t>
  </si>
  <si>
    <t>Seeds Sesame Seed Kernels Dried (Decorticated)</t>
  </si>
  <si>
    <t>Nuts Chestnuts Japanese Raw</t>
  </si>
  <si>
    <t>Flax Seeds</t>
  </si>
  <si>
    <t>Roasted Squash And Pumpkin Seeds (Salted)</t>
  </si>
  <si>
    <t>Seeds Sesame Seed Kernels Toasted With Salt Added (Decorticated)</t>
  </si>
  <si>
    <t>Dry Roasted Sunflower Seeds (With Salt)</t>
  </si>
  <si>
    <t>Seeds Sunflower Seed Kernels Dry Roasted With Salt Added</t>
  </si>
  <si>
    <t>Nuts Almonds Oil Roasted With Salt Added</t>
  </si>
  <si>
    <t>Nuts Almonds Oil Roasted With Salt Added Smoke Flavor</t>
  </si>
  <si>
    <t>Nuts Cashew Nuts Dry Roasted With Salt Added</t>
  </si>
  <si>
    <t>Nuts Cashew Nuts Oil Roasted With Salt Added</t>
  </si>
  <si>
    <t>Nuts Mixed Nuts Oil Roasted Without Peanuts With Salt Added</t>
  </si>
  <si>
    <t>Nuts Pecans Dry Roasted With Salt Added</t>
  </si>
  <si>
    <t>Nuts Pecans Oil Roasted With Salt Added</t>
  </si>
  <si>
    <t>Nuts Pistachio Nuts Dry Roasted With Salt Added</t>
  </si>
  <si>
    <t>Nuts Mixed Nuts Oil Roasted With Peanuts Lightly Salted</t>
  </si>
  <si>
    <t>Nuts Mixed Nuts Oil Roasted Without Peanuts Lightly Salted</t>
  </si>
  <si>
    <t>Lean Grass Fed Beef Strip Steak</t>
  </si>
  <si>
    <t>Beef Carcass Separable Lean And Fat Choice Raw</t>
  </si>
  <si>
    <t>Beef Carcass Separable Lean And Fat Select Raw</t>
  </si>
  <si>
    <t>Beef Brisket Flat Half Separable Lean And Fat Trimmed To 1/8 Inch Fat Select Cooked Braised</t>
  </si>
  <si>
    <t>Beef Flank Steak Separable Lean And Fat Trimmed To 0 Inch Fat Choice Raw</t>
  </si>
  <si>
    <t>Beef Flank Steak Separable Lean And Fat Trimmed To 0 Inch Fat Choice Cooked Braised</t>
  </si>
  <si>
    <t>Beef Flank Steak Separable Lean And Fat Trimmed To 0 Inch Fat Choice Cooked Broiled</t>
  </si>
  <si>
    <t>Beef Rib Eye Small End (Ribs 10-12) Separable Lean And Fat Trimmed To 0 Inch Fat Choice Cooked Broiled</t>
  </si>
  <si>
    <t>Beef Rib Eye Small End (Ribs 10-12) Separable Lean Only Trimmed To 0 Inch Fat Choice Raw</t>
  </si>
  <si>
    <t>Beef Rib Eye Small End (Ribs 10-12) Separable Lean Only Trimmed To 0 Inch Fat Choice Cooked Broiled</t>
  </si>
  <si>
    <t>Beef Rib Shortribs Separable Lean And Fat Choice Raw</t>
  </si>
  <si>
    <t>Beef Brisket Flat Half Separable Lean And Fat Trimmed To 0 Inch Fat Choice Cooked Braised</t>
  </si>
  <si>
    <t>Beef Shank Crosscuts Separable Lean Only Trimmed To 1/4 Inch Fat Choice Raw</t>
  </si>
  <si>
    <t>Beef Shank Crosscuts Separable Lean Only Trimmed To 1/4 Inch Fat Choice Cooked Simmered</t>
  </si>
  <si>
    <t>Beef Short Loin Porterhouse Steak Separable Lean Only Trimmed To 1/8 Inch Fat Choice Raw</t>
  </si>
  <si>
    <t>Beef Chuck Under Blade Pot Roast Boneless Separable Lean Only Trimmed To 0 Inch Fat All Grades Cooked Braised</t>
  </si>
  <si>
    <t>Beef Chuck Under Blade Pot Roast Or Steak Boneless Separable Lean Only Trimmed To 0 Inch Fat All Grades Raw</t>
  </si>
  <si>
    <t>Beef Chuck Under Blade Pot Roast Or Steak Boneless Separable Lean Only Trimmed To 0 Inch Fat Choice Raw</t>
  </si>
  <si>
    <t>Beef Ground Patties Frozen Cooked Broiled</t>
  </si>
  <si>
    <t>Beef Variety Meats And By-Products Heart Cooked Simmered</t>
  </si>
  <si>
    <t>Beef Variety Meats And By-Products Kidneys Raw</t>
  </si>
  <si>
    <t>Beef Variety Meats And By-Products Kidneys Cooked Simmered</t>
  </si>
  <si>
    <t>Beef Variety Meats And By-Products Liver Raw</t>
  </si>
  <si>
    <t>Beef Variety Meats And By-Products Pancreas Raw</t>
  </si>
  <si>
    <t>Beef Variety Meats And By-Products Pancreas Cooked Braised</t>
  </si>
  <si>
    <t>Beef Variety Meats And By-Products Spleen Raw</t>
  </si>
  <si>
    <t>Beef Loin Top Loin Steak Boneless Lip Off Separable Lean Only Trimmed To 0 Inch Fat Choice Cooked Grilled</t>
  </si>
  <si>
    <t>Beef Loin Top Loin Steak Boneless Lip Off Separable Lean Only Trimmed To 0 Inch Fat Select Cooked Grilled</t>
  </si>
  <si>
    <t>Broiled Sirloin Strip Steak</t>
  </si>
  <si>
    <t>Beef Top Sirloin Steak Separable Lean And Fat Trimmed To 0 Inch Fat Choice Cooked Broiled</t>
  </si>
  <si>
    <t>Beef Short Loin Porterhouse Steak Separable Lean And Fat Trimmed To 0 Inch Fat All Grades Cooked Broiled</t>
  </si>
  <si>
    <t>Beef Short Loin Porterhouse Steak Separable Lean And Fat Trimmed To 0 Inch Fat USDA Choice Cooked Broiled</t>
  </si>
  <si>
    <t>Beef Short Loin Porterhouse Steak Separable Lean And Fat Trimmed To 0 Inch Fat USDA Select Cooked Broiled</t>
  </si>
  <si>
    <t>Beef Short Loin Porterhouse Steak Separable Lean Only Trimmed To 1/8 Inch Fat All Grades Raw</t>
  </si>
  <si>
    <t>Beef Short Loin Porterhouse Steak Separable Lean Only Trimmed To 0 Inch Fat Select Cooked Broiled</t>
  </si>
  <si>
    <t>Beef Short Loin T-Bone Steak Separable Lean And Fat Trimmed To 0 Inch Fat All Grades Cooked Broiled</t>
  </si>
  <si>
    <t>Beef Short Loin T-Bone Steak Separable Lean And Fat Trimmed To 0 Inch Fat USDA Choice Cooked Broiled</t>
  </si>
  <si>
    <t>Beef Short Loin T-Bone Steak Separable Lean And Fat Trimmed To 0 Inch Fat USDA Select Cooked Broiled</t>
  </si>
  <si>
    <t>Beef Short Loin T-Bone Steak Bone-In Separable Lean Only Trimmed To 1/8 Inch Fat Select Cooked Grilled</t>
  </si>
  <si>
    <t>Beef Short Loin T-Bone Steak Separable Lean Only Trimmed To 0 Inch Fat Select Cooked Broiled</t>
  </si>
  <si>
    <t>Beef Brisket Flat Half Separable Lean Only Trimmed To 0 Inch Fat Select Cooked Braised</t>
  </si>
  <si>
    <t>Beef Round Tip Round Roast Separable Lean And Fat Trimmed To 0 Inch Fat All Grades Raw</t>
  </si>
  <si>
    <t>Beef Round Top Round Steak Boneless Separable Lean Only Trimmed To 0 Inch Fat Choice Cooked Grilled</t>
  </si>
  <si>
    <t>Beef Round Top Round Steak Boneless Separable Lean Only Trimmed To 0 Inch Fat Select Cooked Grilled</t>
  </si>
  <si>
    <t>Panfried Beef Hamburger</t>
  </si>
  <si>
    <t>Beef Ground 70% Lean Meat / 30% Fat Loaf Cooked Baked</t>
  </si>
  <si>
    <t>Beef Shoulder Top Blade Steak Boneless Separable Lean Only Trimmed To 0 Inch Fat Choice Cooked Grilled</t>
  </si>
  <si>
    <t>Beef Shoulder Top Blade Steak Boneless Separable Lean Only Trimmed To 0 Inch Fat Select Cooked Grilled</t>
  </si>
  <si>
    <t>Beef Shoulder Top Blade Steak Boneless Separable Lean Only Trimmed To 0 Inch Fat All Grades Raw</t>
  </si>
  <si>
    <t>Beef Shoulder Top Blade Steak Boneless Separable Lean Only Trimmed To 0 Inch Fat Choice Raw</t>
  </si>
  <si>
    <t>Beef Shoulder Top Blade Steak Boneless Separable Lean And Fat Trimmed To 0 Inch Fat All Grades Cooked Grilled</t>
  </si>
  <si>
    <t>Beef Shoulder Pot Roast Or Steak Boneless Separable Lean Only Trimmed To 0 Inch Fat All Grades Raw</t>
  </si>
  <si>
    <t>Beef Shoulder Pot Roast Or Steak Boneless Separable Lean Only Trimmed To 0 Inch Fat Choice Raw</t>
  </si>
  <si>
    <t>Beef Shoulder Pot Roast Or Steak Boneless Separable Lean Only Trimmed To 0 Inch Fat Select Raw</t>
  </si>
  <si>
    <t>Beef Composite Of Trimmed Retail Cuts Separable Lean And Fat Trimmed To 1/8 Inch Fat All Grades Raw</t>
  </si>
  <si>
    <t>Beef Composite Of Trimmed Retail Cuts Separable Lean And Fat Trimmed To 1/8 Inch Fat All Grades Cooked</t>
  </si>
  <si>
    <t>Beef Composite Of Trimmed Retail Cuts Separable Lean And Fat Trimmed To 1/8 Inch Fat Choice Raw</t>
  </si>
  <si>
    <t>Beef Composite Of Trimmed Retail Cuts Separable Lean And Fat Trimmed To 1/8 Inch Fat Choice Cooked</t>
  </si>
  <si>
    <t>Beef Composite Of Trimmed Retail Cuts Separable Lean And Fat Trimmed To 1/8 Inch Fat Select Raw</t>
  </si>
  <si>
    <t>Beef Brisket Flat Half Separable Lean And Fat Trimmed To 1/8 Inch Fat All Grades Cooked Braised</t>
  </si>
  <si>
    <t>Beef Brisket Point Half Separable Lean And Fat Trimmed To 1/8 Inch Fat All Grades Raw</t>
  </si>
  <si>
    <t>Beef Brisket Point Half Separable Lean And Fat Trimmed To 1/8 Inch Fat All Grades Cooked Braised</t>
  </si>
  <si>
    <t>Beef Chuck Arm Pot Roast Separable Lean And Fat Trimmed To 1/8 Inch Fat All Grades Raw</t>
  </si>
  <si>
    <t>Beef Chuck Arm Pot Roast Separable Lean And Fat Trimmed To 1/8 Inch Fat Select Cooked Braised</t>
  </si>
  <si>
    <t>Beef Chuck Blade Roast Separable Lean And Fat Trimmed To 1/8 Inch Fat All Grades Raw</t>
  </si>
  <si>
    <t>Beef Chuck Blade Roast Separable Lean And Fat Trimmed To 1/8 Inch Fat All Grades Cooked Braised</t>
  </si>
  <si>
    <t>Beef Chuck Blade Roast Separable Lean And Fat Trimmed To 1/8 Inch Fat Choice Raw</t>
  </si>
  <si>
    <t>Beef Chuck Eye Roast Boneless Americas Beef Roast Separable Lean Only Trimmed To 0 Inch Fat Choice Cooked Roasted</t>
  </si>
  <si>
    <t>Beef Chuck Eye Roast Boneless Americas Beef Roast Separable Lean Only Trimmed To 0 Inch Fat Select Cooked Roasted</t>
  </si>
  <si>
    <t>Beef Rib Whole (Ribs 6-12) Separable Lean And Fat Trimmed To 1/8 Inch Fat All Grades Raw</t>
  </si>
  <si>
    <t>Beef Rib Whole (Ribs 6-12) Separable Lean And Fat Trimmed To 1/8 Inch Fat All Grades Cooked Broiled</t>
  </si>
  <si>
    <t>Beef Rib Whole (Ribs 6-12) Separable Lean And Fat Trimmed To 1/8 Inch Fat All Grades Cooked Roasted</t>
  </si>
  <si>
    <t>Beef Rib Whole (Ribs 6-12) Separable Lean And Fat Trimmed To 1/8 Inch Fat Select Cooked Broiled</t>
  </si>
  <si>
    <t>Beef Rib Whole (Ribs 6-12) Separable Lean And Fat Trimmed To 1/8 Inch Fat Select Cooked Roasted</t>
  </si>
  <si>
    <t>Beef Rib Whole (Ribs 6-12) Separable Lean And Fat Trimmed To 1/8 Inch Fat Prime Raw</t>
  </si>
  <si>
    <t>Beef Rib Whole (Ribs 6-12) Separable Lean And Fat Trimmed To 1/8 Inch Fat Prime Cooked Broiled</t>
  </si>
  <si>
    <t>Beef Rib Large End (Ribs 6-9) Separable Lean And Fat Trimmed To 1/8 Inch Fat Choice Raw</t>
  </si>
  <si>
    <t>Beef Rib Large End (Ribs 6-9) Separable Lean And Fat Trimmed To 1/8 Inch Fat Choice Cooked Broiled</t>
  </si>
  <si>
    <t>Beef Rib Large End (Ribs 6-9) Separable Lean And Fat Trimmed To 1/8 Inch Fat Choice Cooked Roasted</t>
  </si>
  <si>
    <t>Beef Rib Large End (Ribs 6-9) Separable Lean And Fat Trimmed To 1/8 Inch Fat Select Raw</t>
  </si>
  <si>
    <t>Beef Rib Small End (Ribs 10-12) Separable Lean And Fat Trimmed To 1/8 Inch Fat All Grades Raw</t>
  </si>
  <si>
    <t>Beef Rib Small End (Ribs 10-12) Separable Lean And Fat Trimmed To 1/8 Inch Fat All Grades Cooked Broiled</t>
  </si>
  <si>
    <t>Prime Rib Steak</t>
  </si>
  <si>
    <t>Beef Rib Small End (Ribs 10-12) Separable Lean And Fat Trimmed To 1/8 Inch Fat Choice Raw</t>
  </si>
  <si>
    <t>Beef Rib Small End (Ribs 10-12) Separable Lean And Fat Trimmed To 1/8 Inch Fat Select Cooked Roasted</t>
  </si>
  <si>
    <t>Beef Rib Small End (Ribs 10-12) Separable Lean And Fat Trimmed To 1/8 Inch Fat Prime Raw</t>
  </si>
  <si>
    <t>Beef Rib Small End (Ribs 10-12) Separable Lean And Fat Trimmed To 1/8 Inch Fat Prime Cooked Broiled</t>
  </si>
  <si>
    <t>Beef Rib Small End (Ribs 10-12) Separable Lean And Fat Trimmed To 1/8 Inch Fat Prime Cooked Roasted</t>
  </si>
  <si>
    <t>Beef Round Full Cut Separable Lean And Fat Trimmed To 1/8 Inch Fat Select Raw</t>
  </si>
  <si>
    <t>Beef Round Full Cut Separable Lean And Fat Trimmed To 1/8 Inch Fat Select Cooked Broiled</t>
  </si>
  <si>
    <t>Beef Round Bottom Round Steak Separable Lean And Fat Trimmed To 1/8 Inch Fat All Grades Raw</t>
  </si>
  <si>
    <t>Beef Round Bottom Round Steak Separable Lean And Fat Trimmed To 1/8 Inch Fat All Grades Cooked Braised</t>
  </si>
  <si>
    <t>Beef Round Bottom Round Steak Separable Lean And Fat Trimmed To 1/8 Inch Fat Select Cooked Braised</t>
  </si>
  <si>
    <t>Beef Round Bottom Round Roast Separable Lean And Fat Trimmed To 1/8 Inch Fat Select Cooked Roasted</t>
  </si>
  <si>
    <t>Beef Round Eye Of Round Roast Separable Lean And Fat Trimmed To 1/8 Inch Fat All Grades Raw</t>
  </si>
  <si>
    <t>Beef Round Eye Of Round Roast Separable Lean And Fat Trimmed To 1/8 Inch Fat All Grades Cooked Roasted</t>
  </si>
  <si>
    <t>Beef Round Tip Round Separable Lean And Fat Trimmed To 1/8 Inch Fat All Grades Raw</t>
  </si>
  <si>
    <t>Beef Round Tip Round Roast Separable Lean And Fat Trimmed To 1/8 Inch Fat All Grades Cooked Roasted</t>
  </si>
  <si>
    <t>Beef Round Tip Round Separable Lean And Fat Trimmed To 1/8 Inch Fat Choice Raw</t>
  </si>
  <si>
    <t>Beef Round Tip Round Roast Separable Lean And Fat Trimmed To 1/8 Inch Fat Choice Cooked Roasted</t>
  </si>
  <si>
    <t>Beef Round Top Round Steak Separable Lean And Fat Trimmed To 1/8 Inch Fat All Grades Raw</t>
  </si>
  <si>
    <t>Beef Round Top Round Separable Lean And Fat Trimmed To 1/8 Inch Fat All Grades Cooked Braised</t>
  </si>
  <si>
    <t>London Broil</t>
  </si>
  <si>
    <t>Beef Round Top Round Steak Separable Lean And Fat Trimmed To 1/8 Inch Fat Choice Raw</t>
  </si>
  <si>
    <t>Beef Round Top Round Steak Separable Lean And Fat Trimmed To 1/8 Inch Fat Select Cooked Broiled</t>
  </si>
  <si>
    <t>Beef Round Top Round Separable Lean And Fat Trimmed To 1/8 Inch Fat Prime Raw</t>
  </si>
  <si>
    <t>Beef Round Top Round Steak Separable Lean And Fat Trimmed To 1/8 Inch Fat Prime Cooked Broiled</t>
  </si>
  <si>
    <t>Beef Shoulder Top Blade Steak Boneless Separable Lean And Fat Trimmed To 0 Inch Fat Select Raw</t>
  </si>
  <si>
    <t>Beef Short Loin T-Bone Steak Separable Lean And Fat Trimmed To 1/8 Inch Fat Choice Cooked Grilled</t>
  </si>
  <si>
    <t>Beef Short Loin Top Loin Steak Separable Lean And Fat Trimmed To 1/8 Inch Fat All Grades Raw</t>
  </si>
  <si>
    <t>Beef Loin Top Loin Separable Lean And Fat Trimmed To 1/8 Inch Fat All Grades Cooked Grilled</t>
  </si>
  <si>
    <t>Beef Loin Top Loin Separable Lean And Fat Trimmed To 1/8 Inch Fat Choice Raw</t>
  </si>
  <si>
    <t>Beef Short Loin Top Loin Separable Lean And Fat Trimmed To 1/8 Inch Fat Prime Cooked Broiled</t>
  </si>
  <si>
    <t>Beef Tenderloin Steak Separable Lean And Fat Trimmed To 1/8 Inch Fat All Grades Raw</t>
  </si>
  <si>
    <t>Beef Tenderloin Steak Separable Lean And Fat Trimmed To 1/8 Inch Fat All Grades Cooked Broiled</t>
  </si>
  <si>
    <t>Beef Tenderloin Roast Separable Lean And Fat Trimmed To 1/8 Inch Fat All Grades Cooked Roasted</t>
  </si>
  <si>
    <t>Beef Tenderloin Steak Separable Lean And Fat Trimmed To 1/8 Inch Fat Choice Raw</t>
  </si>
  <si>
    <t>Beef Tenderloin Roast Separable Lean And Fat Trimmed To 1/8 Inch Fat Select Cooked Roasted</t>
  </si>
  <si>
    <t>Beef Tenderloin Separable Lean And Fat Trimmed To 1/8 Inch Fat Prime Raw</t>
  </si>
  <si>
    <t>Beef Tenderloin Steak Separable Lean And Fat Trimmed To 1/8 Inch Fat Prime Cooked Broiled</t>
  </si>
  <si>
    <t>Beef Tenderloin Roast Separable Lean And Fat Trimmed To 1/8 Inch Fat Prime Cooked Roasted</t>
  </si>
  <si>
    <t>Beef Top Sirloin Steak Separable Lean And Fat Trimmed To 1/8 Inch Fat Choice Cooked Pan-Fried</t>
  </si>
  <si>
    <t>Beef Top Sirloin Steak Separable Lean And Fat Trimmed To 1/8 Inch Fat Select Raw</t>
  </si>
  <si>
    <t>Beef Top Sirloin Steak Separable Lean And Fat Trimmed To 1/8 Inch Fat Select Cooked Broiled</t>
  </si>
  <si>
    <t>Beef Chuck Clod Roast Separable Lean Only Trimmed To 0 Inch Fat Choice Cooked Roasted</t>
  </si>
  <si>
    <t>Beef Flank Steak Separable Lean And Fat Trimmed To 0 Inch Fat Select Cooked Broiled</t>
  </si>
  <si>
    <t>Beef Brisket Flat Half Separable Lean And Fat Trimmed To 0 Inch Fat Select Cooked Braised</t>
  </si>
  <si>
    <t>Beef Rib Eye Small End (Ribs 10-12) Separable Lean And Fat Trimmed To 0 Inch Fat Select Cooked Broiled</t>
  </si>
  <si>
    <t>Beef Rib Eye Small End (Ribs 10-12) Separable Lean And Fat Trimmed To 0 Inch Fat All Grades Cooked Broiled</t>
  </si>
  <si>
    <t>Beef Bottom Sirloin Tri-Tip Roast Separable Lean And Fat Trimmed To 0 Inch Fat All Grades Cooked Roasted</t>
  </si>
  <si>
    <t>Beef Bottom Sirloin Tri-Tip Roast Separable Lean And Fat Trimmed To 0 Inch Fat Select Raw</t>
  </si>
  <si>
    <t>Beef Round Top Round Steak Boneless Separable Lean And Fat Trimmed To 0 Inch Fat All Grades Cooked Grilled</t>
  </si>
  <si>
    <t>Beef Chuck Mock Tender Steak Separable Lean Only Trimmed To 0 Inch Fat Choice Cooked Broiled</t>
  </si>
  <si>
    <t>Beef Chuck Mock Tender Steak Separable Lean Only Trimmed To 0 Inch Fat Select Cooked Broiled</t>
  </si>
  <si>
    <t>Beef Flank Steak Separable Lean And Fat Trimmed To 0 Inch Fat All Grades Raw</t>
  </si>
  <si>
    <t>Beef Flank Steak Separable Lean And Fat Trimmed To 0 Inch Fat Select Raw</t>
  </si>
  <si>
    <t>Beef Chuck Eye Roast Boneless Americas Beef Roast Separable Lean Only Trimmed To 0 Inch Fat All Grades Raw</t>
  </si>
  <si>
    <t>Beef Chuck Eye Roast Boneless Americas Beef Roast Separable Lean Only Trimmed To 0 Inch Fat Choice Raw</t>
  </si>
  <si>
    <t>Beef Chuck Short Ribs Boneless Separable Lean Only Trimmed To 0 Inch Fat Choice Cooked Braised</t>
  </si>
  <si>
    <t>Beef Chuck Short Ribs Boneless Separable Lean Only Trimmed To 0 Inch Fat Select Cooked Braised</t>
  </si>
  <si>
    <t>Beef Chuck Short Ribs Boneless Separable Lean Only Trimmed To 0 Inch Fat All Grades Cooked Braised</t>
  </si>
  <si>
    <t>Beef Brisket Flat Half Boneless Separable Lean And Fat Trimmed To 0 Inch Fat Select Raw</t>
  </si>
  <si>
    <t>Beef Loin Bottom Sirloin Butt Tri-Tip Roast Separable Lean Only Trimmed To 0 Inch Fat All Grades Cooked Roasted</t>
  </si>
  <si>
    <t>Budweiser Light Beer</t>
  </si>
  <si>
    <t>Daiquiri</t>
  </si>
  <si>
    <t>Alcoholic Beverage Daiquiri Prepared-From-Recipe</t>
  </si>
  <si>
    <t>Alcoholic Beverage Beer Light Low Carb</t>
  </si>
  <si>
    <t>Milk Chocolate Coated Raisins</t>
  </si>
  <si>
    <t>Syrups Table Blends Pancake Reduced-Calorie</t>
  </si>
  <si>
    <t>Syrups Table Blends Pancake</t>
  </si>
  <si>
    <t>Hersheys Pot Of Gold Almond Bar</t>
  </si>
  <si>
    <t>Truffles Prepared-From-Recipe</t>
  </si>
  <si>
    <t>Baking Chocolate Mars Snackfood Us M&amp;Ms Semisweet Chocolate Mini Baking Bits</t>
  </si>
  <si>
    <t>Mars Snackfood Us M&amp;Ms Peanut Chocolate</t>
  </si>
  <si>
    <t>Mars Snackfood Us M&amp;Ms Milk Chocolate</t>
  </si>
  <si>
    <t>Baking Chocolate Mars Snackfood Us M&amp;Ms Milk Chocolate Mini Baking Bits</t>
  </si>
  <si>
    <t>Peanut Bar</t>
  </si>
  <si>
    <t>Peanut Brittle Prepared-From-Recipe</t>
  </si>
  <si>
    <t>Nestle Raisinets Chocolate Covered Raisins</t>
  </si>
  <si>
    <t>Sesame Crunch</t>
  </si>
  <si>
    <t>Mars Snackfood Us Snickers Bar</t>
  </si>
  <si>
    <t>Mars Snackfood Us Starburst Fruit Chews Original Fruits</t>
  </si>
  <si>
    <t>Mars Snackfood Us M&amp;Ms Minis Milk Chocolate</t>
  </si>
  <si>
    <t>Special Dark Chocolate Bar</t>
  </si>
  <si>
    <t>Cocoa Powder</t>
  </si>
  <si>
    <t>Cocoa Powder With Alkali</t>
  </si>
  <si>
    <t>Desserts Egg Custard Baked Prepared-From-Recipe</t>
  </si>
  <si>
    <t>Gelatin Desserts Dry Mix Prepared With Water</t>
  </si>
  <si>
    <t>Gelatin Desserts Dry Mix Reduced Calorie With Aspartame</t>
  </si>
  <si>
    <t>Gelatin Desserts Dry Mix Reduced Calorie With Aspartame Prepared With Water</t>
  </si>
  <si>
    <t>Gelatin</t>
  </si>
  <si>
    <t>Puddings Chocolate Dry Mix Instant Prepared With Whole Milk</t>
  </si>
  <si>
    <t>Desserts Apple Crisp Prepared-From-Recipe</t>
  </si>
  <si>
    <t>Flan Caramel Custard Dry Mix</t>
  </si>
  <si>
    <t>Puddings Chocolate Dry Mix Regular</t>
  </si>
  <si>
    <t>Puddings Chocolate Dry Mix Regular Prepared With Whole Milk</t>
  </si>
  <si>
    <t>Puddings Rice Dry Mix Prepared With Whole Milk</t>
  </si>
  <si>
    <t>Puddings Tapioca Dry Mix</t>
  </si>
  <si>
    <t>Puddings Tapioca Dry Mix Prepared With Whole Milk</t>
  </si>
  <si>
    <t>Puddings Vanilla Ready-To-Eat</t>
  </si>
  <si>
    <t>Puddings Vanilla Dry Mix Regular</t>
  </si>
  <si>
    <t>Puddings Vanilla Dry Mix Regular Prepared With Whole Milk</t>
  </si>
  <si>
    <t>Puddings Rice Dry Mix Prepared With 2% Milk</t>
  </si>
  <si>
    <t>Puddings Tapioca Dry Mix Prepared With 2% Milk</t>
  </si>
  <si>
    <t>Frozen Novelties Ice Type Fruit No Sugar Added</t>
  </si>
  <si>
    <t>Puddings Tapioca Ready-To-Eat</t>
  </si>
  <si>
    <t>Puddings Coconut Cream Dry Mix Regular Prepared With 2% Milk</t>
  </si>
  <si>
    <t>Desserts Rennin Chocolate Dry Mix</t>
  </si>
  <si>
    <t>Rennin Chocolate Dry Mix Prepared With Whole Milk</t>
  </si>
  <si>
    <t>Frostings Coconut-Nut Ready-To-Eat</t>
  </si>
  <si>
    <t>Frostings Cream Cheese-Flavor Ready-To-Eat</t>
  </si>
  <si>
    <t>Frostings Vanilla Creamy Ready-To-Eat</t>
  </si>
  <si>
    <t>Flan Caramel Custard Dry Mix Prepared With 2% Milk</t>
  </si>
  <si>
    <t>Hersheys Milk Chocolate With Almond Bites</t>
  </si>
  <si>
    <t>Reeses Bites</t>
  </si>
  <si>
    <t>Reeses Nutrageous Candy Bar</t>
  </si>
  <si>
    <t>Frostings Chocolate Creamy Dry Mix</t>
  </si>
  <si>
    <t>Frostings White Fluffy Dry Mix Prepared With Water</t>
  </si>
  <si>
    <t>Hersheys Almond Joy Bites</t>
  </si>
  <si>
    <t>Hershey Reesesticks Crispy Wafers Peanut Butter Milk Chocolate</t>
  </si>
  <si>
    <t>Hershey Kit Kat Big Kat Bar</t>
  </si>
  <si>
    <t>Reeses Fast Break Milk Chocolate Peanut Butter And Soft Nougats</t>
  </si>
  <si>
    <t>Ice Creams Vanilla Light No Sugar Added</t>
  </si>
  <si>
    <t>Frozen Novelties Fruit And Juice Bars</t>
  </si>
  <si>
    <t>Ice Creams Chocolate Light No Sugar Added</t>
  </si>
  <si>
    <t>Dark Chocolate Coated Coffee Beans</t>
  </si>
  <si>
    <t>Snacks Sunkist Sunkist Fruit Roll Strawberry With Vitamins A C And E</t>
  </si>
  <si>
    <t>Snacks Fruit Leather Pieces With Vitamin C</t>
  </si>
  <si>
    <t>Milk Chocolate Coated Coffee Beans</t>
  </si>
  <si>
    <t>Frozen Novelties Ice Type Lime</t>
  </si>
  <si>
    <t>Mars Snackfood Us Snickers Munch Bar</t>
  </si>
  <si>
    <t>Honey</t>
  </si>
  <si>
    <t>Jams And Preserves</t>
  </si>
  <si>
    <t>Jellies</t>
  </si>
  <si>
    <t>Mars Snackfood Us Popables Snickers Brand Bite Size</t>
  </si>
  <si>
    <t>Mars Snackfood Us Popables Milky Way Brand Bite Size</t>
  </si>
  <si>
    <t>Mars Snackfood Us Popables 3 Musketeers Brand Bite Size</t>
  </si>
  <si>
    <t>Mars Snackfood Us Starburst Fruit Chews Fruit And Creme</t>
  </si>
  <si>
    <t>Mars Snackfood Us Starburst Sour Fruit Chews</t>
  </si>
  <si>
    <t>Puddings Banana Dry Mix Instant</t>
  </si>
  <si>
    <t>Puddings Banana Dry Mix Instant Prepared With Whole Milk</t>
  </si>
  <si>
    <t>Puddings Banana Dry Mix Regular</t>
  </si>
  <si>
    <t>Mars Snackfood Us Cocoavia Chocolate Bar</t>
  </si>
  <si>
    <t>Mars Snackfood Us Cocoavia Blueberry And Almond Chocolate Bar</t>
  </si>
  <si>
    <t>Mars Snackfood Us Cocoavia Crispy Chocolate Bar</t>
  </si>
  <si>
    <t>Puddings Lemon Dry Mix Instant</t>
  </si>
  <si>
    <t>Sugar</t>
  </si>
  <si>
    <t>Sugars Powdered</t>
  </si>
  <si>
    <t>Sweeteners Tabletop Aspartame Equal Packets</t>
  </si>
  <si>
    <t>Sugars Maple</t>
  </si>
  <si>
    <t>Syrups Corn High-Fructose</t>
  </si>
  <si>
    <t>Syrups Malt</t>
  </si>
  <si>
    <t>Syrups Maple</t>
  </si>
  <si>
    <t>Syrups Sorghum</t>
  </si>
  <si>
    <t>Mars Snackfood Us Snickers Cruncher</t>
  </si>
  <si>
    <t>Toppings Marshmallow Cream</t>
  </si>
  <si>
    <t>Toppings Pineapple</t>
  </si>
  <si>
    <t>Toppings Nuts In Syrup</t>
  </si>
  <si>
    <t>Mars Snackfood Us Skittles Tropical Bite Size</t>
  </si>
  <si>
    <t>Frostings Glaze Prepared-From-Recipe</t>
  </si>
  <si>
    <t>Fudge Chocolate Marshmallow Prepared-From-Recipe</t>
  </si>
  <si>
    <t>Taffy Prepared-From-Recipe</t>
  </si>
  <si>
    <t>Toffee Prepared-From-Recipe</t>
  </si>
  <si>
    <t>Snacks Cornnuts Barbecue-Flavor</t>
  </si>
  <si>
    <t>Snacks Crisped Rice Bar Almond</t>
  </si>
  <si>
    <t>Snacks Granola Bars Soft Uncoated Chocolate Chip</t>
  </si>
  <si>
    <t>Snacks Granola Bars Soft Uncoated Chocolate Chip Graham And Marshmallow</t>
  </si>
  <si>
    <t>Snacks Granola Bars Soft Uncoated Nut And Raisin</t>
  </si>
  <si>
    <t>Snacks Potato Chips Plain Salted</t>
  </si>
  <si>
    <t>Snacks Potato Chips Made From Dried Potatoes Cheese-Flavor</t>
  </si>
  <si>
    <t>Snacks Rice Cakes Brown Rice Corn</t>
  </si>
  <si>
    <t>Snacks Rice Cakes Brown Rice Multigrain</t>
  </si>
  <si>
    <t>Snacks Granola Bars Hard Peanut Butter</t>
  </si>
  <si>
    <t>Snacks Potato Chips Cheese-Flavor</t>
  </si>
  <si>
    <t>Snacks Potato Chips Reduced Fat</t>
  </si>
  <si>
    <t>Snacks Potato Chips Fat-Free Made With Olestra</t>
  </si>
  <si>
    <t>Popcorn Sugar Syrup/caramel Fat-Free</t>
  </si>
  <si>
    <t>Snacks Potato Chips Fat Free Salted</t>
  </si>
  <si>
    <t>Snacks Kellogg Kelloggs Rice Krispies Treats Squares</t>
  </si>
  <si>
    <t>Snacks Kellogg Kelloggs Low Fat Granola Bar Crunchy Almond/brown Sugar</t>
  </si>
  <si>
    <t>Snacks M&amp;m Mars Kudos Whole Grain Bar Chocolate Chip</t>
  </si>
  <si>
    <t>Semisweet Chocolate Made With Butter</t>
  </si>
  <si>
    <t>Gelatin Desserts Dry Mix With Added Ascorbic Acid Sodium-Citrate And Salt</t>
  </si>
  <si>
    <t>Gelatin Desserts Dry Mix Reduced Calorie With Aspartame Added Phosphorus Potassium Sodium Vitamin C</t>
  </si>
  <si>
    <t>Gelatin Desserts Dry Mix Reduced Calorie With Aspartame No Added Sodium</t>
  </si>
  <si>
    <t>Corn Flour Masa Enriched White</t>
  </si>
  <si>
    <t>Corn Flour Yellow Degermed Unenriched</t>
  </si>
  <si>
    <t>Corn Flour Masa Unenriched White</t>
  </si>
  <si>
    <t>Uncooked Yellow Cornmeal</t>
  </si>
  <si>
    <t>Cornstarch</t>
  </si>
  <si>
    <t>Couscous Dry</t>
  </si>
  <si>
    <t>Cooked Couscous</t>
  </si>
  <si>
    <t>Canned Hominy</t>
  </si>
  <si>
    <t>Millet Raw</t>
  </si>
  <si>
    <t>Rice Brown Long-Grain Raw</t>
  </si>
  <si>
    <t>Brown Rice</t>
  </si>
  <si>
    <t>Uncooked Oats</t>
  </si>
  <si>
    <t>Rice Brown Medium-Grain Raw</t>
  </si>
  <si>
    <t>Rice White Long-Grain Parboiled Enriched Dry</t>
  </si>
  <si>
    <t>Rice White Long-Grain Parboiled Enriched Cooked</t>
  </si>
  <si>
    <t>Rice White Long-Grain Precooked Or Instant Enriched Dry</t>
  </si>
  <si>
    <t>Rice White Long-Grain Precooked Or Instant Enriched Prepared</t>
  </si>
  <si>
    <t>Rice White Glutinous Unenriched Cooked</t>
  </si>
  <si>
    <t>Rice White Steamed Chinese Restaurant</t>
  </si>
  <si>
    <t>Rice Bran</t>
  </si>
  <si>
    <t>Rice Flour White Unenriched</t>
  </si>
  <si>
    <t>Semolina Enriched</t>
  </si>
  <si>
    <t>Sorghum Grain</t>
  </si>
  <si>
    <t>Tapioca Pearl Dry</t>
  </si>
  <si>
    <t>Triticale</t>
  </si>
  <si>
    <t>Wheat Hard White</t>
  </si>
  <si>
    <t>Wheat Soft White</t>
  </si>
  <si>
    <t>Wheat Durum</t>
  </si>
  <si>
    <t>Wheat Bran Crude</t>
  </si>
  <si>
    <t>Wheat Flour White Cake Enriched</t>
  </si>
  <si>
    <t>Wheat Flour White Tortilla Mix Enriched</t>
  </si>
  <si>
    <t>Wheat Sprouted</t>
  </si>
  <si>
    <t>Wild Rice Raw</t>
  </si>
  <si>
    <t>Pasta Fresh-Refrigerated Plain As Purchased</t>
  </si>
  <si>
    <t>Pasta Fresh-Refrigerated Plain Cooked</t>
  </si>
  <si>
    <t>Pasta Fresh-Refrigerated Spinach As Purchased</t>
  </si>
  <si>
    <t>Pasta Fresh-Refrigerated Spinach Cooked</t>
  </si>
  <si>
    <t>Noodles Egg Dry Enriched</t>
  </si>
  <si>
    <t>Egg Noodles (Cooked)</t>
  </si>
  <si>
    <t>Noodles Egg Spinach Enriched Dry</t>
  </si>
  <si>
    <t>Spinach Egg Noodles (Cooked)</t>
  </si>
  <si>
    <t>Noodles Flat Crunchy Chinese Restaurant</t>
  </si>
  <si>
    <t>Pasta Dry Enriched</t>
  </si>
  <si>
    <t>Pasta Cooked Enriched Without Added Salt</t>
  </si>
  <si>
    <t>Pasta Whole-Wheat Dry</t>
  </si>
  <si>
    <t>Barley Flour Or Meal</t>
  </si>
  <si>
    <t>Barley Malt Flour</t>
  </si>
  <si>
    <t>Oat Flour Partially Debranned</t>
  </si>
  <si>
    <t>Rice Noodles Dry</t>
  </si>
  <si>
    <t>Wheat Kamut Khorasan Uncooked</t>
  </si>
  <si>
    <t>Kamut Cooked</t>
  </si>
  <si>
    <t>Spelt Uncooked</t>
  </si>
  <si>
    <t>Cooked Spelt</t>
  </si>
  <si>
    <t>Teff Uncooked</t>
  </si>
  <si>
    <t>Corn Flour Whole-Grain White</t>
  </si>
  <si>
    <t>Corn Flour Yellow Masa Enriched</t>
  </si>
  <si>
    <t>Uncooked Whole-Grain Cornmeal</t>
  </si>
  <si>
    <t>Pasta Cooked Enriched With Added Salt</t>
  </si>
  <si>
    <t>Hominy Canned Yellow</t>
  </si>
  <si>
    <t>Rice White Long-Grain Regular Cooked Enriched With Salt</t>
  </si>
  <si>
    <t>Wheat Flour White All-Purpose Enriched Calcium-Fortified</t>
  </si>
  <si>
    <t>Noodles Egg Dry Unenriched</t>
  </si>
  <si>
    <t>Rice White Long-Grain Regular Raw Unenriched</t>
  </si>
  <si>
    <t>Rice White Long-Grain Regular Unenriched Cooked Without Salt</t>
  </si>
  <si>
    <t>Rice White Long-Grain Parboiled Unenriched Dry</t>
  </si>
  <si>
    <t>Rice White Long-Grain Parboiled Unenriched Cooked</t>
  </si>
  <si>
    <t>Rice White Medium-Grain Raw Unenriched</t>
  </si>
  <si>
    <t>Wheat Flour White All-Purpose Unenriched</t>
  </si>
  <si>
    <t>Noodles Egg Cooked Unenriched With Added Salt</t>
  </si>
  <si>
    <t>Potatoes Yellow Fleshed Roasted Salt Added In Processing Frozen Unprepared</t>
  </si>
  <si>
    <t>Potatoes Yellow Fleshed French Fried Frozen Unprepared</t>
  </si>
  <si>
    <t>Ginger Root Pickled Canned With Artificial Sweetener</t>
  </si>
  <si>
    <t>Peppers Hot Pickled Canned</t>
  </si>
  <si>
    <t>Vegetable Juice Bolthouse Farms Daily Greens</t>
  </si>
  <si>
    <t>Potatoes Mashed Ready-To-Eat</t>
  </si>
  <si>
    <t>Macaroni And Cheese Box Mix With Cheese Sauce Unprepared</t>
  </si>
  <si>
    <t>Macaroni And Cheese Box Mix With Cheese Sauce Prepared</t>
  </si>
  <si>
    <t>Taquitos Frozen Chicken And Cheese Oven-Heated</t>
  </si>
  <si>
    <t>Taquitos Frozen Beef And Cheese Oven-Heated</t>
  </si>
  <si>
    <t>Potsticker Or Wonton Pork And Vegetable Frozen Unprepared</t>
  </si>
  <si>
    <t>Macaroni Or Noodles With Cheese Made From Reduced Fat Packaged Mix Unprepared</t>
  </si>
  <si>
    <t>Turnover Cheese-Filled Tomato-Based Sauce Frozen Unprepared</t>
  </si>
  <si>
    <t>Macaroni Or Noodles With Cheese Microwaveable Unprepared</t>
  </si>
  <si>
    <t>Spanish Rice Mix Dry Mix Prepared (With Canola/vegetable Oil Blend Or Diced Tomatoes And Margarine)</t>
  </si>
  <si>
    <t>Rice Mix Cheese Flavor Dry Mix Unprepared</t>
  </si>
  <si>
    <t>Dumpling Potato- Or Cheese-Filled Frozen</t>
  </si>
  <si>
    <t>Turnover Chicken- Or Turkey- And Vegetable-Filled Reduced Fat Frozen</t>
  </si>
  <si>
    <t>Sausage Egg And Cheese Breakfast Biscuit</t>
  </si>
  <si>
    <t>Hungry Man Salisbury Steak With Gravy Frozen Unprepared</t>
  </si>
  <si>
    <t>Banquet Salisbury Steak With Gravy Family Size Frozen Unprepared</t>
  </si>
  <si>
    <t>Jimmy Dean Sausage Egg And Cheese Breakfast Biscuit Frozen Unprepared</t>
  </si>
  <si>
    <t>Infant Formula Gerber Good Start Protect Plus Powder</t>
  </si>
  <si>
    <t>Infant Formula Gerber Good Start 2 Gentle Plus Powder</t>
  </si>
  <si>
    <t>Infant Formula Gerber Good Start 2 Protect Plus Powder</t>
  </si>
  <si>
    <t>Infant Formula Mead Johnson Enfamil Enfagrow Soy Toddler Lipil Powder</t>
  </si>
  <si>
    <t>Infant Formula Mead Johnson Enfamil Premature 24 Calories Ready-To-Feed Low Iron</t>
  </si>
  <si>
    <t>Infant Formula Mead Johnson Enfamil Premium Infant Ready-To-Feed</t>
  </si>
  <si>
    <t>Infant Formula Mead Johnson Enfamil Premium Infant Powder</t>
  </si>
  <si>
    <t>Babyfood Gerber Banana With Orange Medley</t>
  </si>
  <si>
    <t>Bear Black Meat (Alaska Native)</t>
  </si>
  <si>
    <t>Bear Polar Meat Raw (Alaska Native)</t>
  </si>
  <si>
    <t>Whale Beluga Meat Dried (Alaska Native)</t>
  </si>
  <si>
    <t>Whale Beluga Eyes (Alaska Native)</t>
  </si>
  <si>
    <t>Whale Beluga Meat Raw (Alaska Native)</t>
  </si>
  <si>
    <t>Fish Blackfish Whole (Alaska Native)</t>
  </si>
  <si>
    <t>Blueberries Wild Frozen (Alaska Native)</t>
  </si>
  <si>
    <t>Caribou Bone Marrow Raw (Alaska Native)</t>
  </si>
  <si>
    <t>Caribou Eye Raw (Alaska Native)</t>
  </si>
  <si>
    <t>Cloudberries Raw (Alaska Native)</t>
  </si>
  <si>
    <t>Cockles Raw (Alaska Native)</t>
  </si>
  <si>
    <t>Cranberries Wild Bush Raw (Alaska Native)</t>
  </si>
  <si>
    <t>Cranberry Low Bush Or Lingenberry Raw (Alaska Native)</t>
  </si>
  <si>
    <t>Fish Herring Eggs Pacific Plain (Alaska Native)</t>
  </si>
  <si>
    <t>Fish Herring Pacific Flesh Air-Dried Packed In Oil (Alaska Native)</t>
  </si>
  <si>
    <t>Huckleberries Raw (Alaska Native)</t>
  </si>
  <si>
    <t>Fish Lingcod Meat Raw (Alaska Native)</t>
  </si>
  <si>
    <t>Fish Lingcod Liver (Alaska Native)</t>
  </si>
  <si>
    <t>Tennis Bread Plain (Apache)</t>
  </si>
  <si>
    <t>Fish Halibut Cooked With Skin (Alaska Native)</t>
  </si>
  <si>
    <t>Salmon Red (Sockeye) Filets With Skin Smoked (Alaska Native)</t>
  </si>
  <si>
    <t>Agave Raw (Southwest)</t>
  </si>
  <si>
    <t>Lambsquarters Steamed (Northern Plains Indians)</t>
  </si>
  <si>
    <t>Prickly Pears Raw (Northern Plains Indians)</t>
  </si>
  <si>
    <t>Prickly Pears Broiled (Northern Plains Indians)</t>
  </si>
  <si>
    <t>Prairie Turnips Raw (Northern Plains Indians)</t>
  </si>
  <si>
    <t>Stinging Nettles Blanched (Northern Plains Indians)</t>
  </si>
  <si>
    <t>Plums Wild (Northern Plains Indians)</t>
  </si>
  <si>
    <t>Pinon Nuts Roasted (Navajo)</t>
  </si>
  <si>
    <t>Caribou Hind Quarter Meat Cooked (Alaska Native)</t>
  </si>
  <si>
    <t>Agutuk Fish With Shortening (Alaskan Ice Cream) (Alaska Native)</t>
  </si>
  <si>
    <t>Sea Lion Steller Meat With Fat (Alaska Native)</t>
  </si>
  <si>
    <t>Sea Lion Steller Fat (Alaska Native)</t>
  </si>
  <si>
    <t>Wocas Dried Seeds Oregon Yellow Pond Lily (Klamath)</t>
  </si>
  <si>
    <t>Hazelnuts Beaked (Northern Plains Indians)</t>
  </si>
  <si>
    <t>Tea Herbal Brewed Hohoysi (Hopi)</t>
  </si>
  <si>
    <t>Tortilla Blue Corn Sakwavikaviki (Hopi)</t>
  </si>
  <si>
    <t>Bread Blue Corn Somiviki (Hopi)</t>
  </si>
  <si>
    <t>Applebees 9 Oz House Sirloin Steak</t>
  </si>
  <si>
    <t>TGI Fridays Fridays Shrimp Breaded</t>
  </si>
  <si>
    <t>TGI Fridays French Fries</t>
  </si>
  <si>
    <t>TGI Fridays Fried Mozzarella</t>
  </si>
  <si>
    <t>TGI Fridays Macaroni &amp; Cheese From Kids Menu</t>
  </si>
  <si>
    <t>Restaurant Family Style French Fries</t>
  </si>
  <si>
    <t>Restaurant Family Style Chicken Fingers From Kids Menu</t>
  </si>
  <si>
    <t>Restaurant Family Style Shrimp Breaded And Fried</t>
  </si>
  <si>
    <t>Restaurant Family Style Macaroni &amp; Cheese From Kids Menu</t>
  </si>
  <si>
    <t>Fried Onion Rings</t>
  </si>
  <si>
    <t>Applebees Chicken Tenders Platter</t>
  </si>
  <si>
    <t>Cracker Barrel Chicken Tenderloin Platter Fried</t>
  </si>
  <si>
    <t>Cracker Barrel Coleslaw</t>
  </si>
  <si>
    <t>Dennys Onion Rings</t>
  </si>
  <si>
    <t>Dennys Spaghetti And Meatballs</t>
  </si>
  <si>
    <t>Restaurant Family Style Fish Fillet Battered Or Breaded Fried</t>
  </si>
  <si>
    <t>Restaurant Family Style Chicken Tenders</t>
  </si>
  <si>
    <t>Restaurant Family Style Hash Browns</t>
  </si>
  <si>
    <t>Cracker Barrel Macaroni N Cheese</t>
  </si>
  <si>
    <t>Restaurant Italian Lasagna With Meat</t>
  </si>
  <si>
    <t>Olive Garden Lasagna Classico</t>
  </si>
  <si>
    <t>Olive Garden Spaghetti With Pomodoro Sauce</t>
  </si>
  <si>
    <t>Carrabbas Italian Grill Spaghetti With Pomodoro Sauce</t>
  </si>
  <si>
    <t>On The Border Cheese Enchilada</t>
  </si>
  <si>
    <t>Restaurant Mexican Cheese Enchilada</t>
  </si>
  <si>
    <t>Restaurant Mexican Cheese Tamales</t>
  </si>
  <si>
    <t>Carrabbas Italian Grill Chicken Parmesan Without Cavatappi Pasta</t>
  </si>
  <si>
    <t>Olive Garden Chicken Parmigiana Without Pasta</t>
  </si>
  <si>
    <t>Post Honey Bunches Of Oats With Almonds</t>
  </si>
  <si>
    <t>Margarine-Like Vegetable Oil Spread Stick Or Tub Sweetened</t>
  </si>
  <si>
    <t>Snacks Popcorn Home-Prepared Oil-Popped Unsalted</t>
  </si>
  <si>
    <t>Post Great Grains Crunchy Pecan Cereal</t>
  </si>
  <si>
    <t>Snacks Granola Bar With Coconut Chocolate Coated</t>
  </si>
  <si>
    <t>Babyfood Vegetable And Brown Rice Strained</t>
  </si>
  <si>
    <t>Babyfood Peas And Brown Rice</t>
  </si>
  <si>
    <t>Frankfurter Meat And Poultry Low Fat</t>
  </si>
  <si>
    <t>Oil Corn And Canola</t>
  </si>
  <si>
    <t>Milk Fluid Nonfat Calcium Fortified (Fat Free Or Skim)</t>
  </si>
  <si>
    <t>Peanut Butter Reduced Sodium</t>
  </si>
  <si>
    <t>Post Great Grains Banana Nut Crunch</t>
  </si>
  <si>
    <t>Babyfood Carrots Toddler</t>
  </si>
  <si>
    <t>Babyfood Dessert Banana Pudding Strained</t>
  </si>
  <si>
    <t>Babyfood Fruit Tutti Frutti Strained</t>
  </si>
  <si>
    <t>Babyfood Fruit Tutti Frutti Junior</t>
  </si>
  <si>
    <t>Salad Dressing Sweet And Sour</t>
  </si>
  <si>
    <t>Salad Dressing Blue Or Roquefort Cheese Low Calorie</t>
  </si>
  <si>
    <t>Salad Dressing Caesar Low Calorie</t>
  </si>
  <si>
    <t>Syrups Sugar Free</t>
  </si>
  <si>
    <t>Jellies No Sugar (With Sodium Saccharin) Any Flavors</t>
  </si>
  <si>
    <t>Hard Dietetic Or Low Calorie (Sorbitol)</t>
  </si>
  <si>
    <t>Chocolate Covered Candy (Low Sugar Or Low Calorie)</t>
  </si>
  <si>
    <t>Chewing Gum Sugarless</t>
  </si>
  <si>
    <t>Fluid Replacement Electrolyte Solution (Include Pedialyte)</t>
  </si>
  <si>
    <t>Vermicelli Made From Soy</t>
  </si>
  <si>
    <t>Beans Liquid From Stewed Kidney Beans</t>
  </si>
  <si>
    <t>Chicken Meatless</t>
  </si>
  <si>
    <t>Frankfurter Meatless</t>
  </si>
  <si>
    <t>Vegetarian Meatloaf Or Patties</t>
  </si>
  <si>
    <t>Radishes Hawaiian Style Pickled</t>
  </si>
  <si>
    <t>Cabbage Japanese Style Fresh Pickled</t>
  </si>
  <si>
    <t>Cabbage Mustard Salted</t>
  </si>
  <si>
    <t>Eggplant Pickled</t>
  </si>
  <si>
    <t>Bacon Bits Meatless</t>
  </si>
  <si>
    <t>Butter Replacement Without Fat Powder</t>
  </si>
  <si>
    <t>Salad Dressing Buttermilk Lite</t>
  </si>
  <si>
    <t>Sweeteners Tabletop Fructose Dry Powder</t>
  </si>
  <si>
    <t>Beverage Instant Breakfast Powder Chocolate Sugar-Free Not Reconstituted</t>
  </si>
  <si>
    <t>Yogurt Fruit Variety Nonfat</t>
  </si>
  <si>
    <t>Whipped Cream Substitute Dietetic Made From Powdered Mix</t>
  </si>
  <si>
    <t>Frozen Novelties Ice Cream Type Sundae Prepackaged</t>
  </si>
  <si>
    <t>Cheese American Cheddar Imitation</t>
  </si>
  <si>
    <t>Quail Cooked Total Edible</t>
  </si>
  <si>
    <t>Pheasant Cooked Total Edible</t>
  </si>
  <si>
    <t>Eggs Scrambled Frozen Mixture</t>
  </si>
  <si>
    <t>Dove Cooked (Includes Squab)</t>
  </si>
  <si>
    <t>Pork Cured Ham Boneless Low Sodium Extra Lean And Regular Roasted</t>
  </si>
  <si>
    <t>Dried Longans</t>
  </si>
  <si>
    <t>Loquats</t>
  </si>
  <si>
    <t>Mammy Apple</t>
  </si>
  <si>
    <t>Mangos</t>
  </si>
  <si>
    <t>Honeydew Melon</t>
  </si>
  <si>
    <t>Melon Balls</t>
  </si>
  <si>
    <t>Mulberries</t>
  </si>
  <si>
    <t>Nectarines</t>
  </si>
  <si>
    <t>Oheloberries</t>
  </si>
  <si>
    <t>California Valencia Oranges</t>
  </si>
  <si>
    <t>Navel Oranges</t>
  </si>
  <si>
    <t>Florida Oranges</t>
  </si>
  <si>
    <t>Oranges Raw With Peel</t>
  </si>
  <si>
    <t>Orange Juice With Added Calcium</t>
  </si>
  <si>
    <t>Orange Juice Frozen Concentrate Unsweetened Diluted With 3 Volume Water With Added Calcium</t>
  </si>
  <si>
    <t>Orange Juice Frozen Concentrate Unsweetened Undiluted With Added Calcium</t>
  </si>
  <si>
    <t>Orange Juice Frozen Concentrate Unsweetened Undiluted</t>
  </si>
  <si>
    <t>Tangerines (Mandarin Oranges) Canned Light Syrup Pack</t>
  </si>
  <si>
    <t>Tangerine Juice</t>
  </si>
  <si>
    <t>Papaya</t>
  </si>
  <si>
    <t>Papaya Canned Heavy Syrup Drained</t>
  </si>
  <si>
    <t>Yellow Peaches</t>
  </si>
  <si>
    <t>Peaches Canned Water Pack Solids And Liquids</t>
  </si>
  <si>
    <t>Peaches Canned Juice Pack Solids And Liquids</t>
  </si>
  <si>
    <t>Peaches Canned Extra Light Syrup Solids And Liquids</t>
  </si>
  <si>
    <t>Dried Peaches (Low-Moisture)</t>
  </si>
  <si>
    <t>Peaches Dehydrated (Low-Moisture) Sulfured Stewed</t>
  </si>
  <si>
    <t>Dried Peaches</t>
  </si>
  <si>
    <t>Peaches Dried Sulfured Stewed Without Added Sugar</t>
  </si>
  <si>
    <t>Pears Canned Juice Pack Solids And Liquids</t>
  </si>
  <si>
    <t>Pears Canned Extra Light Syrup Pack Solids And Liquids</t>
  </si>
  <si>
    <t>Pears Canned Light Syrup Pack Solids And Liquids</t>
  </si>
  <si>
    <t>Pears Canned Heavy Syrup Pack Solids And Liquids</t>
  </si>
  <si>
    <t>Pear Nectar Canned Without Added Ascorbic Acid</t>
  </si>
  <si>
    <t>Fuyu Persimmon</t>
  </si>
  <si>
    <t>Persimmons Japanese Dried</t>
  </si>
  <si>
    <t>Persimmons Native Raw</t>
  </si>
  <si>
    <t>Pineapple Canned Heavy Syrup Pack Solids And Liquids</t>
  </si>
  <si>
    <t>Pineapple Canned Extra Heavy Syrup Pack Solids And Liquids</t>
  </si>
  <si>
    <t>Pineapple Frozen Chunks Sweetened</t>
  </si>
  <si>
    <t>Pineapple Juice Canned Or Bottled Unsweetened Without Added Ascorbic Acid</t>
  </si>
  <si>
    <t>Pineapple Juice Frozen Concentrate Unsweetened Undiluted</t>
  </si>
  <si>
    <t>Plums</t>
  </si>
  <si>
    <t>Plums Canned Purple Water Pack Solids And Liquids</t>
  </si>
  <si>
    <t>Plums Canned Purple Juice Pack Solids And Liquids</t>
  </si>
  <si>
    <t>Plums Canned Purple Light Syrup Pack Solids And Liquids</t>
  </si>
  <si>
    <t>Lima Beans Immature Seeds Frozen Fordhook Unprepared</t>
  </si>
  <si>
    <t>Lima Beans Immature Seeds Frozen Fordhook Cooked Boiled Drained Without Salt</t>
  </si>
  <si>
    <t>Lima Beans Immature Seeds Frozen Baby Unprepared</t>
  </si>
  <si>
    <t>Lima Beans Immature Seeds Frozen Baby Cooked Boiled Drained Without Salt</t>
  </si>
  <si>
    <t>Mung Bean Sprouts</t>
  </si>
  <si>
    <t>Beans Pinto Immature Seeds Frozen Unprepared</t>
  </si>
  <si>
    <t>Beans Pinto Immature Seeds Frozen Cooked Boiled Drained Without Salt</t>
  </si>
  <si>
    <t>Beans Shellie Canned Solids And Liquids</t>
  </si>
  <si>
    <t>Green Snap Beans (Raw)</t>
  </si>
  <si>
    <t>Beans Snap Green Frozen All Styles Unprepared</t>
  </si>
  <si>
    <t>Cooked Green Beans (Previously Frozen)</t>
  </si>
  <si>
    <t>Beans Snap Green Frozen All Styles Microwaved</t>
  </si>
  <si>
    <t>Beans Snap Green Microwaved</t>
  </si>
  <si>
    <t>Beets Canned Drained Solids</t>
  </si>
  <si>
    <t>Broccoli (Cooked)</t>
  </si>
  <si>
    <t>Broccoli Frozen Chopped Unprepared</t>
  </si>
  <si>
    <t>Broccoli Frozen Chopped Cooked Boiled Drained Without Salt</t>
  </si>
  <si>
    <t>Broccoli Frozen Spears Unprepared</t>
  </si>
  <si>
    <t>Brussels Sprouts (Cooked)</t>
  </si>
  <si>
    <t>Brussels Sprouts Frozen Unprepared</t>
  </si>
  <si>
    <t>Brussels Sprouts Frozen Cooked Boiled Drained Without Salt</t>
  </si>
  <si>
    <t>Burdock Root Raw</t>
  </si>
  <si>
    <t>Cabbage</t>
  </si>
  <si>
    <t>Cooked Cabbage</t>
  </si>
  <si>
    <t>Red Cabbage</t>
  </si>
  <si>
    <t>Cooked Red Cabbage</t>
  </si>
  <si>
    <t>Cabbage Chinese (Pe-Tsai) Raw</t>
  </si>
  <si>
    <t>Cabbage Chinese (Pe-Tsai) Cooked Boiled Drained Without Salt</t>
  </si>
  <si>
    <t>Cardoon Raw</t>
  </si>
  <si>
    <t>Cardoon Cooked Boiled Drained Without Salt</t>
  </si>
  <si>
    <t>Carrots Frozen Unprepared</t>
  </si>
  <si>
    <t>Carrots Frozen Cooked Boiled Drained Without Salt</t>
  </si>
  <si>
    <t>Cassava</t>
  </si>
  <si>
    <t>Cauliflower</t>
  </si>
  <si>
    <t>Cooked Celeriac</t>
  </si>
  <si>
    <t>Celery</t>
  </si>
  <si>
    <t>Cooked Celery</t>
  </si>
  <si>
    <t>Celtuce</t>
  </si>
  <si>
    <t>Swiss Chard</t>
  </si>
  <si>
    <t>Chicory Greens</t>
  </si>
  <si>
    <t>Chicory Roots</t>
  </si>
  <si>
    <t>Chives</t>
  </si>
  <si>
    <t>Chrysanthemum</t>
  </si>
  <si>
    <t>Collards Frozen Chopped Cooked Boiled Drained Without Salt</t>
  </si>
  <si>
    <t>Cilantro</t>
  </si>
  <si>
    <t>Yellow Sweet Corn</t>
  </si>
  <si>
    <t>Cooked Yellow Sweet Corn</t>
  </si>
  <si>
    <t>Onions</t>
  </si>
  <si>
    <t>Cooked Onions</t>
  </si>
  <si>
    <t>Onions Dehydrated Flakes</t>
  </si>
  <si>
    <t>Onions Canned Solids And Liquids</t>
  </si>
  <si>
    <t>Yellow Onions</t>
  </si>
  <si>
    <t>Spring Onions</t>
  </si>
  <si>
    <t>Onions Young Green Tops Only</t>
  </si>
  <si>
    <t>Onions Welsh Raw</t>
  </si>
  <si>
    <t>Sweet Onions</t>
  </si>
  <si>
    <t>Cooked Parsnips</t>
  </si>
  <si>
    <t>Snow Peas</t>
  </si>
  <si>
    <t>Cooked Snow Peas</t>
  </si>
  <si>
    <t>Peas Edible-Podded Frozen Unprepared</t>
  </si>
  <si>
    <t>Peas Green (Includes Baby And Lesuer Types) Canned Drained Solids Unprepared</t>
  </si>
  <si>
    <t>Peas Green Canned Seasoned Solids And Liquids</t>
  </si>
  <si>
    <t>Peas Green Canned Drained Solids Rinsed In Tap Water</t>
  </si>
  <si>
    <t>Peas Green Frozen Unprepared</t>
  </si>
  <si>
    <t>Peas Green Frozen Cooked Boiled Drained Without Salt</t>
  </si>
  <si>
    <t>Peas And Carrots Frozen Cooked Boiled Drained Without Salt</t>
  </si>
  <si>
    <t>Peas And Onions Canned Solids And Liquids</t>
  </si>
  <si>
    <t>Peas And Onions Frozen Unprepared</t>
  </si>
  <si>
    <t>Peas And Onions Frozen Cooked Boiled Drained Without Salt</t>
  </si>
  <si>
    <t>Peppers Sweet Green Frozen Chopped Unprepared</t>
  </si>
  <si>
    <t>Peppers Sweet Green Frozen Chopped Boiled Drained Without Salt</t>
  </si>
  <si>
    <t>Sauteed Green Bell Peppers</t>
  </si>
  <si>
    <t>Pigeonpeas Immature Seeds Raw</t>
  </si>
  <si>
    <t>Potatoes Flesh And Skin Raw</t>
  </si>
  <si>
    <t>Potatoes Russet Flesh And Skin Raw</t>
  </si>
  <si>
    <t>Potatoes White Flesh And Skin Raw</t>
  </si>
  <si>
    <t>Potatoes Red Flesh And Skin Raw</t>
  </si>
  <si>
    <t>Baked Russet Potatoes</t>
  </si>
  <si>
    <t>Potatoes Roasted Salt Added In Processing Frozen Unprepared</t>
  </si>
  <si>
    <t>Potatoes Raw Skin</t>
  </si>
  <si>
    <t>Baked Potato (No Skin)</t>
  </si>
  <si>
    <t>Potatoes Baked Skin Without Salt</t>
  </si>
  <si>
    <t>Potatoes Microwaved Cooked In Skin Skin Without Salt</t>
  </si>
  <si>
    <t>Hash Browns</t>
  </si>
  <si>
    <t>Potatoes Mashed Home-Prepared Whole Milk And Margarine Added</t>
  </si>
  <si>
    <t>Potatoes Scalloped Home-Prepared With Butter</t>
  </si>
  <si>
    <t>Potatoes Mashed Dehydrated Granules Without Milk Dry Form</t>
  </si>
  <si>
    <t>Potatoes Mashed Dehydrated Prepared From Granules Without Milk Whole Milk And Butter Added</t>
  </si>
  <si>
    <t>Potatoes Mashed Dehydrated Granules With Milk Dry Form</t>
  </si>
  <si>
    <t>Potatoes Mashed Dehydrated Prepared From Granules With Milk Water And Margarine Added</t>
  </si>
  <si>
    <t>Potatoes Hash Brown Frozen Plain Unprepared</t>
  </si>
  <si>
    <t>Potatoes Hash Brown Frozen Plain Prepared Pan Fried In Canola Oil</t>
  </si>
  <si>
    <t>Potatoes Hash Brown Frozen With Butter Sauce Unprepared</t>
  </si>
  <si>
    <t>Potatoes Hash Brown Frozen With Butter Sauce Prepared</t>
  </si>
  <si>
    <t>Potato Puffs Frozen Unprepared</t>
  </si>
  <si>
    <t>Potato Puffs Frozen Oven-Heated</t>
  </si>
  <si>
    <t>Potatoes Frozen Whole Cooked Boiled Drained Without Salt</t>
  </si>
  <si>
    <t>Cooked Tomatoes</t>
  </si>
  <si>
    <t>Tomatoes Red Ripe Canned Packed In Tomato Juice</t>
  </si>
  <si>
    <t>Tomatoes Red Ripe Canned Stewed</t>
  </si>
  <si>
    <t>Tomatoes Red Ripe Canned With Green Chilies</t>
  </si>
  <si>
    <t>Tomato Products Canned Sauce</t>
  </si>
  <si>
    <t>Tomato Products Canned Sauce With Mushrooms</t>
  </si>
  <si>
    <t>Tomato Products Canned Sauce With Onions</t>
  </si>
  <si>
    <t>Tomato Products Canned Sauce With Herbs And Cheese</t>
  </si>
  <si>
    <t>Cooked Turnips</t>
  </si>
  <si>
    <t>Turnips Frozen Unprepared</t>
  </si>
  <si>
    <t>Turnips Frozen Cooked Boiled Drained Without Salt</t>
  </si>
  <si>
    <t>Turnip Greens</t>
  </si>
  <si>
    <t>Turnip Greens And Turnips Frozen Cooked Boiled Drained Without Salt</t>
  </si>
  <si>
    <t>Vegetable Juice Cocktail Canned</t>
  </si>
  <si>
    <t>Vegetables Mixed Canned Solids And Liquids</t>
  </si>
  <si>
    <t>Vegetables Mixed Canned Drained Solids</t>
  </si>
  <si>
    <t>Waterchestnuts Chinese (Matai) Raw</t>
  </si>
  <si>
    <t>Waterchestnuts Chinese Canned Solids And Liquids</t>
  </si>
  <si>
    <t>Watercress</t>
  </si>
  <si>
    <t>Waxgourd (Chinese Preserving Melon) Raw</t>
  </si>
  <si>
    <t>Winged Bean Tuber Raw</t>
  </si>
  <si>
    <t>Yam</t>
  </si>
  <si>
    <t>Cooked Yam</t>
  </si>
  <si>
    <t>Yambean (Jicama) Raw</t>
  </si>
  <si>
    <t>Yambean (Jicama) Cooked Boiled Drained Without Salt</t>
  </si>
  <si>
    <t>Dried Chives</t>
  </si>
  <si>
    <t>Dock Raw</t>
  </si>
  <si>
    <t>Dock Cooked Boiled Drained Without Salt</t>
  </si>
  <si>
    <t>Eppaw Raw</t>
  </si>
  <si>
    <t>Canned Mung Bean Sprouts</t>
  </si>
  <si>
    <t>Peppers Jalapeno Canned Solids And Liquids</t>
  </si>
  <si>
    <t>White Icicle Radishes (Daikon)</t>
  </si>
  <si>
    <t>Shallots Freeze-Dried</t>
  </si>
  <si>
    <t>Sweet Potato Canned Syrup Pack Solids And Liquids</t>
  </si>
  <si>
    <t>Sweet Potato Canned Syrup Pack Drained Solids</t>
  </si>
  <si>
    <t>Tomato Products Canned Sauce Spanish Style</t>
  </si>
  <si>
    <t>Beans Pinto Mature Seeds Sprouted Raw</t>
  </si>
  <si>
    <t>Beans Pinto Mature Seeds Sprouted Cooked Boiled Drained Without Salt</t>
  </si>
  <si>
    <t>Sweet Potato Cooked Candied Home-Prepared</t>
  </si>
  <si>
    <t>Stewed Tomatoes</t>
  </si>
  <si>
    <t>Dried Agar Seaweed</t>
  </si>
  <si>
    <t>Spirulina</t>
  </si>
  <si>
    <t>Potato Pancakes</t>
  </si>
  <si>
    <t>Baked Potatoes (With Skin)</t>
  </si>
  <si>
    <t>Potatoes Microwaved Cooked In Skin Flesh And Skin Without Salt</t>
  </si>
  <si>
    <t>Radish Sprouts</t>
  </si>
  <si>
    <t>Yellow Tomatoes</t>
  </si>
  <si>
    <t>Mushrooms Shiitake Cooked With Salt</t>
  </si>
  <si>
    <t>Okra Cooked Boiled Drained With Salt</t>
  </si>
  <si>
    <t>Okra Frozen Cooked Boiled Drained With Salt</t>
  </si>
  <si>
    <t>Onions Cooked Boiled Drained With Salt</t>
  </si>
  <si>
    <t>Onions Frozen Chopped Cooked Boiled Drained With Salt</t>
  </si>
  <si>
    <t>Cooked Green Peas (Salted)</t>
  </si>
  <si>
    <t>Peas Green Canned No Salt Added Solids And Liquids</t>
  </si>
  <si>
    <t>Peas Green Canned No Salt Added Drained Solids</t>
  </si>
  <si>
    <t>Peas Green Frozen Cooked Boiled Drained With Salt</t>
  </si>
  <si>
    <t>Red Chili Peppers</t>
  </si>
  <si>
    <t>Peppers Hot Chili Red Canned Excluding Seeds Solids And Liquids</t>
  </si>
  <si>
    <t>Sweet Red Bell Peppers</t>
  </si>
  <si>
    <t>Peppers Sweet Green Cooked Boiled Drained With Salt</t>
  </si>
  <si>
    <t>Cooked Red Bell Peppers</t>
  </si>
  <si>
    <t>Potatoes Baked Flesh And Skin With Salt</t>
  </si>
  <si>
    <t>Potatoes Baked Flesh With Salt</t>
  </si>
  <si>
    <t>Potatoes Baked Skin Only With Salt</t>
  </si>
  <si>
    <t>Potatoes Boiled Cooked In Skin Flesh With Salt</t>
  </si>
  <si>
    <t>Potatoes Microwaved Cooked In Skin Skin With Salt</t>
  </si>
  <si>
    <t>Potatoes Frozen Whole Cooked Boiled Drained With Salt</t>
  </si>
  <si>
    <t>Potatoes Frozen French Fried Par Fried Cottage-Cut Prepared Heated In Oven With Salt</t>
  </si>
  <si>
    <t>Potatoes French Fried All Types Salt Not Added In Processing Frozen Oven-Heated</t>
  </si>
  <si>
    <t>Pumpkin Flowers Cooked Boiled Drained With Salt</t>
  </si>
  <si>
    <t>Pumpkin Leaves Cooked Boiled Drained With Salt</t>
  </si>
  <si>
    <t>Purslane Cooked Boiled Drained With Salt</t>
  </si>
  <si>
    <t>Radishes Oriental Cooked Boiled Drained With Salt</t>
  </si>
  <si>
    <t>Spinach Canned No Salt Added Solids And Liquids</t>
  </si>
  <si>
    <t>Spinach Frozen Chopped Or Leaf Cooked Boiled Drained With Salt</t>
  </si>
  <si>
    <t>Squash Summer All Varieties Cooked Boiled Drained With Salt</t>
  </si>
  <si>
    <t>Squash Summer Crookneck And Straightneck Cooked Boiled Drained With Salt</t>
  </si>
  <si>
    <t>Squash Winter All Varieties Cooked Baked With Salt</t>
  </si>
  <si>
    <t>Squash Winter Acorn Cooked Baked With Salt</t>
  </si>
  <si>
    <t>Squash Winter Acorn Cooked Boiled Mashed With Salt</t>
  </si>
  <si>
    <t>Squash Winter Butternut Cooked Baked With Salt</t>
  </si>
  <si>
    <t>Succotash (Corn And Limas) Frozen Cooked Boiled Drained With Salt</t>
  </si>
  <si>
    <t>Swamp Cabbage (Skunk Cabbage) Cooked Boiled Drained With Salt</t>
  </si>
  <si>
    <t>Sweet Potato Leaves Cooked Steamed With Salt</t>
  </si>
  <si>
    <t>Sweet Potato Cooked Baked In Skin Flesh With Salt</t>
  </si>
  <si>
    <t>Taro Shoots Cooked With Salt</t>
  </si>
  <si>
    <t>Taro Tahitian Cooked With Salt</t>
  </si>
  <si>
    <t>Tomatoes Red Ripe Cooked With Salt</t>
  </si>
  <si>
    <t>Tomatoes Red Ripe Canned Packed In Tomato Juice No Salt Added</t>
  </si>
  <si>
    <t>Turnip Greens Cooked Boiled Drained With Salt</t>
  </si>
  <si>
    <t>Turnip Greens Frozen Cooked Boiled Drained With Salt</t>
  </si>
  <si>
    <t>Turnip Greens And Turnips Frozen Cooked Boiled Drained With Salt</t>
  </si>
  <si>
    <t>Vegetables Mixed Frozen Cooked Boiled Drained With Salt</t>
  </si>
  <si>
    <t>Raw Portobellos (Exposed To Sunlight Or Uv)</t>
  </si>
  <si>
    <t>Seeds Breadfruit Seeds Raw</t>
  </si>
  <si>
    <t>Breadfruit Nuts (Seeds)</t>
  </si>
  <si>
    <t>Seeds Cottonseed Flour Low Fat (Glandless)</t>
  </si>
  <si>
    <t>Seeds Cottonseed Meal Partially Defatted (Glandless)</t>
  </si>
  <si>
    <t>Hemp Seeds</t>
  </si>
  <si>
    <t>Dried Lotus Seeds</t>
  </si>
  <si>
    <t>Seeds Sesame Seeds Whole Dried</t>
  </si>
  <si>
    <t>Sesame Seeds (Toasted)</t>
  </si>
  <si>
    <t>Seeds Sesame Seed Kernels Toasted Without Salt Added (Decorticated)</t>
  </si>
  <si>
    <t>Seeds Sesame Flour Partially Defatted</t>
  </si>
  <si>
    <t>Seeds Sunflower Seed Kernels Toasted Without Salt</t>
  </si>
  <si>
    <t>Seeds Sunflower Seed Butter Without Salt</t>
  </si>
  <si>
    <t>Seeds Sunflower Seed Flour Partially Defatted</t>
  </si>
  <si>
    <t>Nuts Acorns Raw</t>
  </si>
  <si>
    <t>Dry Roasted Almonds</t>
  </si>
  <si>
    <t>Nuts Almonds Oil Roasted Without Salt Added</t>
  </si>
  <si>
    <t>Almond Paste</t>
  </si>
  <si>
    <t>Dried Beechnuts</t>
  </si>
  <si>
    <t>Cashews (Raw)</t>
  </si>
  <si>
    <t>Cashew Butter</t>
  </si>
  <si>
    <t>Chinese Chestnuts</t>
  </si>
  <si>
    <t>Dried Chinese Chestnuts</t>
  </si>
  <si>
    <t>Boiled Chinese Chestnuts</t>
  </si>
  <si>
    <t>Nuts Chestnuts European Dried Peeled</t>
  </si>
  <si>
    <t>Boiled Chestnuts</t>
  </si>
  <si>
    <t>Nuts Coconut Meat Raw</t>
  </si>
  <si>
    <t>Dried Coconut (Unsweetened)</t>
  </si>
  <si>
    <t>Nuts Coconut Cream Canned Sweetened</t>
  </si>
  <si>
    <t>Nuts Coconut Milk Raw (Liquid Expressed From Grated Meat And Water)</t>
  </si>
  <si>
    <t>Coconut Milk</t>
  </si>
  <si>
    <t>Coconut Water</t>
  </si>
  <si>
    <t>Dried Ginkgo Nuts</t>
  </si>
  <si>
    <t>Nuts Ginkgo Nuts Canned</t>
  </si>
  <si>
    <t>Dried Hickorynuts</t>
  </si>
  <si>
    <t>Macadamia Nuts</t>
  </si>
  <si>
    <t>Dry Roasted Macadamia Nuts</t>
  </si>
  <si>
    <t>Nuts Formulated Wheat-Based Unflavored With Salt Added</t>
  </si>
  <si>
    <t>Nuts Mixed Nuts Dry Roasted With Peanuts Salt Added Chosen Roaster</t>
  </si>
  <si>
    <t>Pecans</t>
  </si>
  <si>
    <t>Dry Roasted Pecans</t>
  </si>
  <si>
    <t>Pistachio Nuts</t>
  </si>
  <si>
    <t>Dry Roasted Pistachio Nuts</t>
  </si>
  <si>
    <t>Black Walnuts (Dried)</t>
  </si>
  <si>
    <t>Walnuts</t>
  </si>
  <si>
    <t>Roasted Squash And Pumpkin Seeds (With Shells)</t>
  </si>
  <si>
    <t>Sesame Butter (Tahini)</t>
  </si>
  <si>
    <t>Roasted Chestnuts</t>
  </si>
  <si>
    <t>Seeds Sesame Butter Paste</t>
  </si>
  <si>
    <t>Seeds Sesame Flour High-Fat</t>
  </si>
  <si>
    <t>Beef Variety Meats And By-Products Suet Raw</t>
  </si>
  <si>
    <t>Beef Variety Meats And By-Products Thymus Raw</t>
  </si>
  <si>
    <t>Beef Variety Meats And By-Products Thymus Cooked Braised</t>
  </si>
  <si>
    <t>Beef Variety Meats And By-Products Tongue Raw</t>
  </si>
  <si>
    <t>Beef Cured Breakfast Strips Raw Or Unheated</t>
  </si>
  <si>
    <t>Beef Cured Breakfast Strips Cooked</t>
  </si>
  <si>
    <t>Beef Cured Corned Beef Brisket Raw</t>
  </si>
  <si>
    <t>Beef Cured Corned Beef Brisket Cooked</t>
  </si>
  <si>
    <t>Beef Chuck Under Blade Center Steak Boneless Denver Cut Separable Lean Only Trimmed To 0 Inch Fat Choice Cooked Grilled</t>
  </si>
  <si>
    <t>Beef Cured Luncheon Meat Jellied</t>
  </si>
  <si>
    <t>Beef Chuck Under Blade Center Steak Boneless Denver Cut Separable Lean Only Trimmed To 0 Inch Fat Select Cooked Grilled</t>
  </si>
  <si>
    <t>Beef Cured Pastrami</t>
  </si>
  <si>
    <t>Beef Chuck Under Blade Center Steak Boneless Denver Cut Separable Lean Only Trimmed To 0 Inch Fat All Grades Raw</t>
  </si>
  <si>
    <t>Beef Composite Of Trimmed Retail Cuts Separable Lean And Fat Trimmed To 0 Inch Fat Choice Cooked</t>
  </si>
  <si>
    <t>Beef Composite Of Trimmed Retail Cuts Separable Lean And Fat Trimmed To 0 Inch Fat Select Cooked</t>
  </si>
  <si>
    <t>Beef Composite Of Trimmed Retail Cuts Separable Lean Only Trimmed To 0 Inch Fat All Grades Cooked</t>
  </si>
  <si>
    <t>Beef Composite Of Trimmed Retail Cuts Separable Lean Only Trimmed To 0 Inch Fat Choice Cooked</t>
  </si>
  <si>
    <t>Beef Brisket Flat Half Separable Lean Only Trimmed To 0 Inch Fat All Grades Cooked Braised</t>
  </si>
  <si>
    <t>Beef Brisket Point Half Separable Lean And Fat Trimmed To 0 Inch Fat All Grades Cooked Braised</t>
  </si>
  <si>
    <t>Beef Brisket Point Half Separable Lean Only Trimmed To 0 Inch Fat All Grades Cooked Braised</t>
  </si>
  <si>
    <t>Beef Chuck Arm Pot Roast Separable Lean And Fat Trimmed To 0 Inch Fat All Grades Cooked Braised</t>
  </si>
  <si>
    <t>Beef Chuck Under Blade Pot Roast Boneless Separable Lean And Fat Trimmed To 0 Inch Fat Select Cooked Braised</t>
  </si>
  <si>
    <t>Beef Chuck Blade Roast Separable Lean Only Trimmed To 0 Inch Fat All Grades Cooked Braised</t>
  </si>
  <si>
    <t>Beef Chuck Under Blade Pot Roast Boneless Separable Lean Only Trimmed To 0 Inch Fat Choice Cooked Braised</t>
  </si>
  <si>
    <t>Beef Chuck Under Blade Pot Roast Boneless Separable Lean Only Trimmed To 0 Inch Fat Select Cooked Braised</t>
  </si>
  <si>
    <t>Beef Rib Large End (Ribs 6-9) Separable Lean Only Trimmed To 0 Inch Fat Select Cooked Roasted</t>
  </si>
  <si>
    <t>Beef Rib Small End (Ribs 10-12) Separable Lean And Fat Trimmed To 0 Inch Fat All Grades Cooked Broiled</t>
  </si>
  <si>
    <t>Beef Rib Small End (Ribs 10-12) Separable Lean And Fat Trimmed To 0 Inch Fat Choice Cooked Broiled</t>
  </si>
  <si>
    <t>Beef Rib Small End (Ribs 10-12) Separable Lean And Fat Trimmed To 0 Inch Fat Select Cooked Broiled</t>
  </si>
  <si>
    <t>Beef Round Bottom Round Roast Separable Lean And Fat Trimmed To 0 Inch Fat All Grades Cooked Roasted</t>
  </si>
  <si>
    <t>Beef Round Bottom Round Steak Separable Lean And Fat Trimmed To 0 Inch Fat Choice Cooked Braised</t>
  </si>
  <si>
    <t>Beef Round Bottom Round Roast Separable Lean And Fat Trimmed To 0 Inch Fat Choice Cooked Roasted</t>
  </si>
  <si>
    <t>Beef Round Bottom Round Steak Separable Lean And Fat Trimmed To 0 Inch Fat Select Cooked Braised</t>
  </si>
  <si>
    <t>Beef Round Bottom Round Steak Separable Lean Only Trimmed To 0 Inch Fat Select Cooked Braised</t>
  </si>
  <si>
    <t>Beef Round Bottom Round Roast Separable Lean Only Trimmed To 0 Inch Fat Select Cooked Roasted</t>
  </si>
  <si>
    <t>Roasted Beef Eye Of Round Roast</t>
  </si>
  <si>
    <t>Beef Round Eye Of Round Roast Boneless Separable Lean And Fat Trimmed To 0 Inch Fat Choice Cooked Roasted</t>
  </si>
  <si>
    <t>Beef Round Tip Round Roast Separable Lean And Fat Trimmed To 0 Inch Fat All Grades Cooked Roasted</t>
  </si>
  <si>
    <t>Beef Round Tip Round Roast Separable Lean And Fat Trimmed To 0 Inch Fat Choice Cooked Roasted</t>
  </si>
  <si>
    <t>Beef Round Tip Round Roast Separable Lean And Fat Trimmed To 0 Inch Fat Select Cooked Roasted</t>
  </si>
  <si>
    <t>Beef Round Tip Round Roast Separable Lean Only Trimmed To 0 Inch Fat All Grades Cooked Roasted</t>
  </si>
  <si>
    <t>Beef Round Top Round Separable Lean And Fat Trimmed To 0 Inch Fat Select Cooked Braised</t>
  </si>
  <si>
    <t>Beef Round Top Round Separable Lean Only Trimmed To 0 Inch Fat Choice Cooked Braised</t>
  </si>
  <si>
    <t>Beef Round Top Round Separable Lean Only Trimmed To 0 Inch Fat Select Cooked Braised</t>
  </si>
  <si>
    <t>Beef Loin Tenderloin Steak Boneless Separable Lean And Fat Trimmed To 0 Inch Fat All Grades Cooked Grilled</t>
  </si>
  <si>
    <t>Beef Loin Tenderloin Steak Boneless Separable Lean And Fat Trimmed To 0 Inch Fat Choice Cooked Grilled</t>
  </si>
  <si>
    <t>Beef Loin Top Loin Steak Boneless Lip Off Separable Lean And Fat Trimmed To 0 Inch Fat All Grades Cooked Grilled</t>
  </si>
  <si>
    <t>Beef Loin Top Loin Steak Boneless Lip Off Separable Lean And Fat Trimmed To 0 Inch Fat Choice Cooked Grilled</t>
  </si>
  <si>
    <t>Puddings Banana Dry Mix Regular With Added Oil</t>
  </si>
  <si>
    <t>Puddings Lemon Dry Mix Regular With Added Oil Potassium Sodium</t>
  </si>
  <si>
    <t>Puddings Tapioca Dry Mix With No Added Salt</t>
  </si>
  <si>
    <t>Snacks Corn-Based Extruded Puffs Or Twists Cheese-Flavor Unenriched</t>
  </si>
  <si>
    <t>Snacks Corn-Based Extruded Chips Barbecue-Flavor Made With Enriched Masa Flour</t>
  </si>
  <si>
    <t>Snacks Popcorn Air-Popped (Unsalted)</t>
  </si>
  <si>
    <t>Snacks Popcorn Oil-Popped White Popcorn Salt Added</t>
  </si>
  <si>
    <t>Snacks Potato Chips Plain Made With Partially Hydrogenated Soybean Oil Salted</t>
  </si>
  <si>
    <t>Snacks Pretzels Hard Plain Made With Enriched Flour Unsalted</t>
  </si>
  <si>
    <t>Snacks Rice Cakes Brown Rice Plain Unsalted</t>
  </si>
  <si>
    <t>Snacks Rice Cakes Brown Rice Buckwheat Unsalted</t>
  </si>
  <si>
    <t>Snacks Rice Cakes Brown Rice Multigrain Unsalted</t>
  </si>
  <si>
    <t>Potato Chips Without Salt Reduced Fat</t>
  </si>
  <si>
    <t>Snacks Tortilla Chips Low Fat Unsalted</t>
  </si>
  <si>
    <t>Frozen Novelties Juice Type Popsicle Scribblers</t>
  </si>
  <si>
    <t>Snacks Tortilla Chips Nacho-Flavor Made With Enriched Masa Flour</t>
  </si>
  <si>
    <t>Sweeteners Tabletop Sucralose Splenda Packets</t>
  </si>
  <si>
    <t>Frozen Novelties No Sugar Added Fudgsicle Pops</t>
  </si>
  <si>
    <t>Frozen Novelties Ice Type Sugar Free Orange Cherry And Grape Popsicle Pops</t>
  </si>
  <si>
    <t>Frozen Novelties Klondike Slim-A-Bear Fudge Bar 98% Fat Free No Sugar Added</t>
  </si>
  <si>
    <t>Ice Creams Breyers All Natural Light Vanilla</t>
  </si>
  <si>
    <t>Ice Creams Breyers No Sugar Added Butter Pecan</t>
  </si>
  <si>
    <t>Ice Creams Breyers No Sugar Added French Vanilla</t>
  </si>
  <si>
    <t>Ice Creams Breyers No Sugar Added Vanilla</t>
  </si>
  <si>
    <t>Ice Creams Breyers No Sugar Added Vanilla Fudge Twirl</t>
  </si>
  <si>
    <t>Frozen Novelties No Sugar Added Creamsicle Pops</t>
  </si>
  <si>
    <t>Frozen Novelties Sugar Free Creamsicle Pops</t>
  </si>
  <si>
    <t>Ice Creams Breyers All Natural Light French Chocolate</t>
  </si>
  <si>
    <t>Ice Creams Breyers 98% Fat Free Chocolate</t>
  </si>
  <si>
    <t>Ice Creams Regular Low Carbohydrate Chocolate</t>
  </si>
  <si>
    <t>Dark Chocolate (45-59% Cocoa)</t>
  </si>
  <si>
    <t>Dark Chocolate (60-69% Cocoa)</t>
  </si>
  <si>
    <t>Dark Chocolate (70-85% Cocoa)</t>
  </si>
  <si>
    <t>Chocolate Dark NFS (45-59% Cacao Solids 90%; 60-69% Cacao Solids 5%; 70-85% Cacao Solids 5%)</t>
  </si>
  <si>
    <t>Crispy Bar With Peanut Butter Filling</t>
  </si>
  <si>
    <t>Syrup Maple Canadian</t>
  </si>
  <si>
    <t>Sweetener Syrup Agave</t>
  </si>
  <si>
    <t>Nestle Butterfinger Crisp</t>
  </si>
  <si>
    <t>Fruit Snacks With High Vitamin C</t>
  </si>
  <si>
    <t>Jams Preserves Marmalades Sweetened With Fruit Juice</t>
  </si>
  <si>
    <t>Candied Tamarind</t>
  </si>
  <si>
    <t>Coconut Bar Not Chocolate Covered</t>
  </si>
  <si>
    <t>Barley Hulled</t>
  </si>
  <si>
    <t>Barley Pearled Raw</t>
  </si>
  <si>
    <t>Cooked Pearled Barley</t>
  </si>
  <si>
    <t>Buckwheat (Uncooked)</t>
  </si>
  <si>
    <t>Cooked Bulgur</t>
  </si>
  <si>
    <t>Corn Grain Yellow</t>
  </si>
  <si>
    <t>Corn Bran Crude</t>
  </si>
  <si>
    <t>Corn Flour Whole-Grain Yellow</t>
  </si>
  <si>
    <t>Nachos With Cheese</t>
  </si>
  <si>
    <t>Fast Foods</t>
  </si>
  <si>
    <t>Nachos With Cheese Beans Ground Beef And Tomatoes</t>
  </si>
  <si>
    <t>Cheeseburger Double Regular Patty And Bun With Condiments</t>
  </si>
  <si>
    <t>Cheeseburger; Single Large Patty; Plain</t>
  </si>
  <si>
    <t>Chicken Fillet Sandwich Plain With Pickles</t>
  </si>
  <si>
    <t>Fish Sandwich With Tartar Sauce</t>
  </si>
  <si>
    <t>Fish Sandwich With Tartar Sauce And Cheese</t>
  </si>
  <si>
    <t>Submarine Sandwich Roast Beef On White Bread With Lettuce And Tomato</t>
  </si>
  <si>
    <t>Submarine Sandwich Tuna On White Bread With Lettuce And Tomato</t>
  </si>
  <si>
    <t>Coleslaw (Fast Food)</t>
  </si>
  <si>
    <t>Hush Puppies</t>
  </si>
  <si>
    <t>Fast Food Biscuit</t>
  </si>
  <si>
    <t>Chick-Fil-A Chick-N-Strips</t>
  </si>
  <si>
    <t>Chick-Fil-A Hash Browns</t>
  </si>
  <si>
    <t>School Lunch Pizza Big Daddys Ls 16 Inch 51% Whole Grain Rolled Edge Cheese Pizza Frozen</t>
  </si>
  <si>
    <t>Submarine Sandwich Sweet Onion Chicken Teriyaki On White Bread With Lettuce Tomato And Sweet Onion Sauce</t>
  </si>
  <si>
    <t>Subway Subway Club Sub On White Bread With Lettuce And Tomato</t>
  </si>
  <si>
    <t>Submarine Sandwich Turkey Roast Beef And Ham On White Bread With Lettuce And Tomato</t>
  </si>
  <si>
    <t>Submarine Sandwich Oven Roasted Chicken On White Bread With Lettuce And Tomato</t>
  </si>
  <si>
    <t>Subway Steak &amp; Cheese Sub On White Bread With American Cheese Lettuce And Tomato</t>
  </si>
  <si>
    <t>Submarine Sandwich Steak And Cheese On White Bread With Cheese Lettuce And Tomato</t>
  </si>
  <si>
    <t>Subway B.l.t. Sub On White Bread With Bacon Lettuce And Tomato</t>
  </si>
  <si>
    <t>Submarine Sandwich Bacon Lettuce And Tomato On White Bread</t>
  </si>
  <si>
    <t>Subway Oven Roasted Chicken Sub On White Bread With Lettuce And Tomato</t>
  </si>
  <si>
    <t>Subway Cold Cut Sub On White Bread With Lettuce And Tomato</t>
  </si>
  <si>
    <t>Subway Tuna Sub</t>
  </si>
  <si>
    <t>Pizza Cheese Topping Regular Crust Frozen Cooked</t>
  </si>
  <si>
    <t>Fast Foods Crispy Chicken Filet Sandwich With Lettuce And Mayonnaise</t>
  </si>
  <si>
    <t>McDonalds Filet-O-Fish</t>
  </si>
  <si>
    <t>McDonalds Cheeseburger</t>
  </si>
  <si>
    <t>McDonalds Quarter Pounder</t>
  </si>
  <si>
    <t>Wendys Classic Single Hamburger With Cheese</t>
  </si>
  <si>
    <t>Wendys Jr. Hamburger Without Cheese</t>
  </si>
  <si>
    <t>Wendys Jr. Hamburger With Cheese</t>
  </si>
  <si>
    <t>Wendys Classic Double With Cheese</t>
  </si>
  <si>
    <t>Wendys Frosty Dairy Dessert</t>
  </si>
  <si>
    <t>Burger King French Fries</t>
  </si>
  <si>
    <t>Burger King Hamburger</t>
  </si>
  <si>
    <t>Burger King Cheeseburger</t>
  </si>
  <si>
    <t>Burger King Premium Fish Sandwich</t>
  </si>
  <si>
    <t>Burger King Original Chicken Sandwich</t>
  </si>
  <si>
    <t>Taco Bell Original Taco With Beef Cheese And Lettuce</t>
  </si>
  <si>
    <t>Taco Bell Soft Taco With Beef Cheese And Lettuce</t>
  </si>
  <si>
    <t>Taco Bell Burrito Supreme With Chicken</t>
  </si>
  <si>
    <t>Taco Bell Burrito Supreme With Steak</t>
  </si>
  <si>
    <t>Taco Bell Nachos</t>
  </si>
  <si>
    <t>Taco Bell Nachos Supreme</t>
  </si>
  <si>
    <t>Popeyes Spicy Chicken Strips Analyzed 2006</t>
  </si>
  <si>
    <t>Kfc Biscuit</t>
  </si>
  <si>
    <t>Kfc Coleslaw</t>
  </si>
  <si>
    <t>Kfc Crispy Chicken Strips</t>
  </si>
  <si>
    <t>Kfc Fried Chicken Original Recipe Wing Meat Only Skin And Breading Removed</t>
  </si>
  <si>
    <t>Kfc Fried Chicken Extra Crispy Skin And Breading</t>
  </si>
  <si>
    <t>Kfc Fried Chicken Extra Crispy Breast Meat Only Skin And Breading Removed</t>
  </si>
  <si>
    <t>Kfc Fried Chicken Extra Crispy Drumstick Meat Only Skin And Breading Removed</t>
  </si>
  <si>
    <t>Kfc Fried Chicken Original Recipe Thigh Meat And Skin With Breading</t>
  </si>
  <si>
    <t>Kfc Fried Chicken Original Recipe Wing Meat And Skin With Breading</t>
  </si>
  <si>
    <t>Kfc Fried Chicken Breast</t>
  </si>
  <si>
    <t>Kfc Fried Chicken Extra Crispy Drumstick Meat And Skin With Breading</t>
  </si>
  <si>
    <t>Popeyes Fried Chicken Mild Skin And Breading</t>
  </si>
  <si>
    <t>Popeyes Fried Chicken Mild Thigh Meat Only Skin And Breading Removed</t>
  </si>
  <si>
    <t>Popeyes Fried Chicken Mild Wing Meat Only Skin And Breading Removed</t>
  </si>
  <si>
    <t>Popeyes Fried Chicken Mild Breast Meat And Skin With Breading</t>
  </si>
  <si>
    <t>Popeyes Fried Chicken Mild Drumstick Meat And Skin With Breading</t>
  </si>
  <si>
    <t>Yogurt Parfait Lowfat With Fruit And Granola</t>
  </si>
  <si>
    <t>Fast Foods Fried Chicken Breast Meat Only Skin And Breading Removed</t>
  </si>
  <si>
    <t>Fast Foods Fried Chicken Drumstick Meat Only Skin And Breading Removed</t>
  </si>
  <si>
    <t>Fast Foods Fried Chicken Thigh Meat Only Skin And Breading Removed</t>
  </si>
  <si>
    <t>Fast Foods Fried Chicken Thigh Meat And Skin And Breading</t>
  </si>
  <si>
    <t>Fast Foods Fried Chicken Wing Meat And Skin And Breading</t>
  </si>
  <si>
    <t>Digiorno Pizza Cheese Topping Cheese Stuffed Crust Frozen Baked</t>
  </si>
  <si>
    <t>Digiorno Pizza Cheese Topping Rising Crust Frozen Baked</t>
  </si>
  <si>
    <t>Digiorno Pizza Supreme Topping Rising Crust Frozen Baked</t>
  </si>
  <si>
    <t>Digiorno Pizza Supreme Topping Thin Crispy Crust Frozen Baked</t>
  </si>
  <si>
    <t>Fast Food Pizza Chain 14 Inch Pizza Sausage Topping Thick Crust</t>
  </si>
  <si>
    <t>Fast Food Pizza Chain 14 Inch Pizza Sausage Topping Thin Crust</t>
  </si>
  <si>
    <t>Sausage Pizza</t>
  </si>
  <si>
    <t>Fast Foods Grilled Chicken Filet Sandwich With Lettuce Tomato And Spread</t>
  </si>
  <si>
    <t>Pizza Hut 14 Inch Pepperoni Pizza Thin N Crispy Crust</t>
  </si>
  <si>
    <t>Dominos 14 Inch Pepperoni Pizza Crunchy Thin Crust</t>
  </si>
  <si>
    <t>Dominos 14 Inch Sausage Pizza Crunchy Thin Crust</t>
  </si>
  <si>
    <t>Pizza Hut 14 Inch Sausage Pizza Pan Crust</t>
  </si>
  <si>
    <t>Pizza Cheese Topping Thin Crust Frozen Cooked</t>
  </si>
  <si>
    <t>Burger King Double Cheeseburger</t>
  </si>
  <si>
    <t>Beet Greens (Raw)</t>
  </si>
  <si>
    <t>Cooked Beet Greens</t>
  </si>
  <si>
    <t>Broadbeans Immature Seeds Raw</t>
  </si>
  <si>
    <t>Cooked Broadbeans</t>
  </si>
  <si>
    <t>Broccoli</t>
  </si>
  <si>
    <t>Broccoli Frozen Spears Cooked Boiled Drained Without Salt</t>
  </si>
  <si>
    <t>Broccoli Raab (Rapini)</t>
  </si>
  <si>
    <t>Cooked Broccoli Raab</t>
  </si>
  <si>
    <t>Brussels Sprouts (Raw)</t>
  </si>
  <si>
    <t>Cooked Burdock Root</t>
  </si>
  <si>
    <t>Butterbur (Fuki) Raw</t>
  </si>
  <si>
    <t>Butterbur Cooked Boiled Drained Without Salt</t>
  </si>
  <si>
    <t>Butterbur Canned</t>
  </si>
  <si>
    <t>Savoy Cabbage</t>
  </si>
  <si>
    <t>Cooked Savoy Cabbage</t>
  </si>
  <si>
    <t>Bok Choy</t>
  </si>
  <si>
    <t>Pak-Choi (Bok Choy) (Cooked)</t>
  </si>
  <si>
    <t>Kimchi</t>
  </si>
  <si>
    <t>Carrots</t>
  </si>
  <si>
    <t>Cooked Carrots</t>
  </si>
  <si>
    <t>Carrots Canned Regular Pack Solids And Liquids</t>
  </si>
  <si>
    <t>Carrots Canned Regular Pack Drained Solids</t>
  </si>
  <si>
    <t>Cooked Cauliflower</t>
  </si>
  <si>
    <t>Cauliflower Frozen Unprepared</t>
  </si>
  <si>
    <t>Cauliflower Frozen Cooked Boiled Drained Without Salt</t>
  </si>
  <si>
    <t>Celeriac</t>
  </si>
  <si>
    <t>Cooked Swiss Chard</t>
  </si>
  <si>
    <t>Chayote Fruit Raw</t>
  </si>
  <si>
    <t>Cooked Chayote</t>
  </si>
  <si>
    <t>Witloof Chicory</t>
  </si>
  <si>
    <t>Cooked Chrysanthemum</t>
  </si>
  <si>
    <t>Collards</t>
  </si>
  <si>
    <t>Cooked Collards</t>
  </si>
  <si>
    <t>Collards Frozen Chopped Unprepared</t>
  </si>
  <si>
    <t>Corn Sweet Yellow Canned Brine Pack Regular Pack Solids And Liquids</t>
  </si>
  <si>
    <t>Onions Frozen Chopped Unprepared</t>
  </si>
  <si>
    <t>Onions Frozen Chopped Cooked Boiled Drained Without Salt</t>
  </si>
  <si>
    <t>Onions Frozen Whole Unprepared</t>
  </si>
  <si>
    <t>Onions Frozen Whole Cooked Boiled Drained Without Salt</t>
  </si>
  <si>
    <t>Onion Rings Breaded Par Fried Frozen Unprepared</t>
  </si>
  <si>
    <t>Onion Rings</t>
  </si>
  <si>
    <t>Parsley</t>
  </si>
  <si>
    <t>Parsnips</t>
  </si>
  <si>
    <t>Cooked Podded Peas</t>
  </si>
  <si>
    <t>Peas</t>
  </si>
  <si>
    <t>Cooked Green Peas</t>
  </si>
  <si>
    <t>Peas Green Canned Regular Pack Solids And Liquids</t>
  </si>
  <si>
    <t>Pea Sprouts</t>
  </si>
  <si>
    <t>Peas Mature Seeds Sprouted Cooked Boiled Drained Without Salt</t>
  </si>
  <si>
    <t>Peas And Carrots Canned Regular Pack Solids And Liquids</t>
  </si>
  <si>
    <t>Peas And Carrots Frozen Unprepared</t>
  </si>
  <si>
    <t>Peppers Hot Chili Green Canned Pods Excluding Seeds Solids And Liquids</t>
  </si>
  <si>
    <t>Green Bell Peppers</t>
  </si>
  <si>
    <t>Cooked Green Bell Peppers</t>
  </si>
  <si>
    <t>Peppers Sweet Green Canned Solids And Liquids</t>
  </si>
  <si>
    <t>Pigeonpeas Immature Seeds Cooked Boiled Drained Without Salt</t>
  </si>
  <si>
    <t>Poi</t>
  </si>
  <si>
    <t>Pokeberry Shoots (Poke) Raw</t>
  </si>
  <si>
    <t>Pokeberry Shoots (Poke) Cooked Boiled Drained Without Salt</t>
  </si>
  <si>
    <t>Baked Potatoes</t>
  </si>
  <si>
    <t>Baked Red Potatoes</t>
  </si>
  <si>
    <t>Potatoes French Fried Crinkle Or Regular Cut Salt Added In Processing Frozen As Purchased</t>
  </si>
  <si>
    <t>French Fries</t>
  </si>
  <si>
    <t>Boiled Potatoes</t>
  </si>
  <si>
    <t>Potatoes Boiled Cooked In Skin Skin Without Salt</t>
  </si>
  <si>
    <t>Potatoes Boiled Cooked Without Skin Flesh Without Salt</t>
  </si>
  <si>
    <t>Potatoes Microwaved Cooked In Skin Flesh Without Salt</t>
  </si>
  <si>
    <t>Potatoes Au Gratin Home-Prepared From Recipe Using Butter</t>
  </si>
  <si>
    <t>Potatoes Canned Solids And Liquids</t>
  </si>
  <si>
    <t>Potatoes Canned Drained Solids</t>
  </si>
  <si>
    <t>Potatoes Mashed Dehydrated Flakes Without Milk Dry Form</t>
  </si>
  <si>
    <t>Potatoes Mashed Dehydrated Prepared From Flakes Without Milk Whole Milk And Butter Added</t>
  </si>
  <si>
    <t>Potatoes Au Gratin Dry Mix Unprepared</t>
  </si>
  <si>
    <t>Potatoes Au Gratin Dry Mix Prepared With Water Whole Milk And Butter</t>
  </si>
  <si>
    <t>Potatoes Scalloped Dry Mix Unprepared</t>
  </si>
  <si>
    <t>Potatoes Scalloped Dry Mix Prepared With Water Whole Milk And Butter</t>
  </si>
  <si>
    <t>Potatoes French Fried Shoestring Salt Added In Processing Frozen As Purchased</t>
  </si>
  <si>
    <t>Potatoes French Fried Shoestring Salt Added In Processing Frozen Oven-Heated</t>
  </si>
  <si>
    <t>Potatoes Obrien Frozen Unprepared</t>
  </si>
  <si>
    <t>Potatoes Obrien Frozen Prepared</t>
  </si>
  <si>
    <t>Cooked Tahitian Taro</t>
  </si>
  <si>
    <t>Green Tomatoes</t>
  </si>
  <si>
    <t>Tomatoes</t>
  </si>
  <si>
    <t>Tomato Juice Canned With Salt Added</t>
  </si>
  <si>
    <t>Canned Tomato Paste</t>
  </si>
  <si>
    <t>Canned Tomato Puree</t>
  </si>
  <si>
    <t>Tomato Powder</t>
  </si>
  <si>
    <t>Tomato Products Canned Sauce With Onions Green Peppers And Celery</t>
  </si>
  <si>
    <t>Tomato Products Canned Sauce With Tomato Tidbits</t>
  </si>
  <si>
    <t>Tree Fern Cooked Without Salt</t>
  </si>
  <si>
    <t>Turnips</t>
  </si>
  <si>
    <t>Cooked Turnip Greens</t>
  </si>
  <si>
    <t>Turnip Greens Canned Solids And Liquids</t>
  </si>
  <si>
    <t>Turnip Greens Frozen Unprepared</t>
  </si>
  <si>
    <t>Turnip Greens Frozen Cooked Boiled Drained Without Salt</t>
  </si>
  <si>
    <t>Turnip Greens And Turnips Frozen Unprepared</t>
  </si>
  <si>
    <t>Vegetables Mixed Frozen Unprepared</t>
  </si>
  <si>
    <t>Vegetables Mixed Frozen Cooked Boiled Drained Without Salt</t>
  </si>
  <si>
    <t>Vegetable Juice Cocktail Low Sodium Canned</t>
  </si>
  <si>
    <t>Vinespinach</t>
  </si>
  <si>
    <t>Waxgourd (Chinese Preserving Melon) Cooked Boiled Drained Without Salt</t>
  </si>
  <si>
    <t>Winged Beans Immature Seeds Raw</t>
  </si>
  <si>
    <t>Winged Beans Immature Seeds Cooked Boiled Drained Without Salt</t>
  </si>
  <si>
    <t>Winged Bean Leaves Raw</t>
  </si>
  <si>
    <t>Beets Harvard Canned Solids And Liquids</t>
  </si>
  <si>
    <t>Pickled Beets</t>
  </si>
  <si>
    <t>Borage Raw</t>
  </si>
  <si>
    <t>Borage Cooked Boiled Drained Without Salt</t>
  </si>
  <si>
    <t>Drumstick Pods Raw</t>
  </si>
  <si>
    <t>Drumstick Pods Cooked Boiled Drained Without Salt</t>
  </si>
  <si>
    <t>Leeks (Bulb And Lower-Leaf Portion) Freeze-Dried</t>
  </si>
  <si>
    <t>Freeze-Dried Parsley</t>
  </si>
  <si>
    <t>Summer Squash</t>
  </si>
  <si>
    <t>Cooked Summer Squash</t>
  </si>
  <si>
    <t>Winter Squash</t>
  </si>
  <si>
    <t>Cooked Winter Squash</t>
  </si>
  <si>
    <t>Carrot Juice Canned</t>
  </si>
  <si>
    <t>Corn Pudding Home Prepared</t>
  </si>
  <si>
    <t>Potatoes Mashed Home-Prepared Whole Milk Added</t>
  </si>
  <si>
    <t>Spinach Souffle</t>
  </si>
  <si>
    <t>Dried Spirulina Seaweed</t>
  </si>
  <si>
    <t>Wakame</t>
  </si>
  <si>
    <t>Hot Green Chili Peppers</t>
  </si>
  <si>
    <t>Potatoes Obrien Home-Prepared</t>
  </si>
  <si>
    <t>Shallots</t>
  </si>
  <si>
    <t>Carrot Dehydrated</t>
  </si>
  <si>
    <t>Tomatoes Crushed Canned</t>
  </si>
  <si>
    <t>Tomatoes Orange Raw</t>
  </si>
  <si>
    <t>Mustard Greens Cooked Boiled Drained With Salt</t>
  </si>
  <si>
    <t>Mustard Greens Frozen Cooked Boiled Drained With Salt</t>
  </si>
  <si>
    <t>Mustard Spinach (Tendergreen) Cooked Boiled Drained With Salt</t>
  </si>
  <si>
    <t>New Zealand Spinach Cooked Boiled Drained With Salt</t>
  </si>
  <si>
    <t>Onions Frozen Whole Cooked Boiled Drained With Salt</t>
  </si>
  <si>
    <t>Parsnips Cooked Boiled Drained With Salt</t>
  </si>
  <si>
    <t>Peas Edible-Podded Cooked Boiled Drained With Salt</t>
  </si>
  <si>
    <t>Peas Edible-Podded Frozen Cooked Boiled Drained With Salt</t>
  </si>
  <si>
    <t>Peas Mature Seeds Sprouted Cooked Boiled Drained With Salt</t>
  </si>
  <si>
    <t>Peas And Carrots Canned No Salt Added Solids And Liquids</t>
  </si>
  <si>
    <t>Peas And Carrots Frozen Cooked Boiled Drained With Salt</t>
  </si>
  <si>
    <t>Peas And Onions Frozen Cooked Boiled Drained With Salt</t>
  </si>
  <si>
    <t>Peppers Sweet Red Cooked Boiled Drained With Salt</t>
  </si>
  <si>
    <t>Peppers Sweet Green Frozen Chopped Cooked Boiled Drained With Salt</t>
  </si>
  <si>
    <t>Pigeonpeas Immature Seeds Cooked Boiled Drained With Salt</t>
  </si>
  <si>
    <t>Pokeberry Shoots (Poke) Cooked Boiled Drained With Salt</t>
  </si>
  <si>
    <t>Potatoes Boiled Cooked In Skin Skin With Salt</t>
  </si>
  <si>
    <t>Potatoes Boiled Cooked Without Skin Flesh With Salt</t>
  </si>
  <si>
    <t>Potatoes Microwaved Cooked In Skin Flesh And Skin With Salt</t>
  </si>
  <si>
    <t>Potatoes Microwaved Cooked In Skin Flesh With Salt</t>
  </si>
  <si>
    <t>Potatoes French Fried All Types Salt Not Added In Processing Frozen As Purchased</t>
  </si>
  <si>
    <t>Potatoes Au Gratin Home-Prepared From Recipe Using Margarine</t>
  </si>
  <si>
    <t>Potatoes Scalloped Home-Prepared With Margarine</t>
  </si>
  <si>
    <t>Pumpkin Cooked Boiled Drained With Salt</t>
  </si>
  <si>
    <t>Pumpkin Canned With Salt</t>
  </si>
  <si>
    <t>Rutabagas Cooked Boiled Drained With Salt</t>
  </si>
  <si>
    <t>Salsify Cooked Boiled Drained With Salt</t>
  </si>
  <si>
    <t>Soybeans Green Cooked Boiled Drained With Salt</t>
  </si>
  <si>
    <t>Spinach Cooked Boiled Drained With Salt</t>
  </si>
  <si>
    <t>Squash Summer Crookneck And Straightneck Frozen Cooked Boiled Drained With Salt</t>
  </si>
  <si>
    <t>Squash Summer Scallop Cooked Boiled Drained With Salt</t>
  </si>
  <si>
    <t>Squash Summer Zucchini Includes Skin Cooked Boiled Drained With Salt</t>
  </si>
  <si>
    <t>Squash Summer Zucchini Includes Skin Frozen Cooked Boiled Drained With Salt</t>
  </si>
  <si>
    <t>Squash Winter Butternut Frozen Cooked Boiled With Salt</t>
  </si>
  <si>
    <t>Squash Winter Hubbard Baked With Salt</t>
  </si>
  <si>
    <t>Squash Winter Hubbard Cooked Boiled Mashed With Salt</t>
  </si>
  <si>
    <t>Squash Winter Spaghetti Cooked Boiled Drained Or Baked With Salt</t>
  </si>
  <si>
    <t>Succotash (Corn And Limas) Cooked Boiled Drained With Salt</t>
  </si>
  <si>
    <t>Sweet Potato Cooked Boiled Without Skin With Salt</t>
  </si>
  <si>
    <t>Sweet Potato Frozen Cooked Baked With Salt</t>
  </si>
  <si>
    <t>Taro Cooked With Salt</t>
  </si>
  <si>
    <t>Taro Leaves Cooked Steamed With Salt</t>
  </si>
  <si>
    <t>Tomato Juice Canned Without Salt Added</t>
  </si>
  <si>
    <t>Tomato Products Canned Puree With Salt Added</t>
  </si>
  <si>
    <t>Turnips Cooked Boiled Drained With Salt</t>
  </si>
  <si>
    <t>Turnips Frozen Cooked Boiled Drained With Salt</t>
  </si>
  <si>
    <t>Waxgourd (Chinese Preserving Melon) Cooked Boiled Drained With Salt</t>
  </si>
  <si>
    <t>Winged Bean Immature Seeds Cooked Boiled Drained With Salt</t>
  </si>
  <si>
    <t>Yam Cooked Boiled Drained Or Baked With Salt</t>
  </si>
  <si>
    <t>Seeds Breadnut Tree Seeds Raw</t>
  </si>
  <si>
    <t>Seeds Breadnut Tree Seeds Dried</t>
  </si>
  <si>
    <t>Chia Seeds</t>
  </si>
  <si>
    <t>Seeds Cottonseed Flour Partially Defatted (Glandless)</t>
  </si>
  <si>
    <t>Dried Pumpkin And Squash Seeds</t>
  </si>
  <si>
    <t>Roasted Squash And Pumpkin Seeds (Unsalted)</t>
  </si>
  <si>
    <t>Safflower Seeds</t>
  </si>
  <si>
    <t>Seeds Safflower Seed Meal Partially Defatted</t>
  </si>
  <si>
    <t>Seeds Sesame Flour Low-Fat</t>
  </si>
  <si>
    <t>Seeds Sesame Meal Partially Defatted</t>
  </si>
  <si>
    <t>Dried Sunflower Seeds</t>
  </si>
  <si>
    <t>Dry Roasted Sunflower Seeds</t>
  </si>
  <si>
    <t>Seeds Sunflower Seed Kernels Oil Roasted Without Salt</t>
  </si>
  <si>
    <t>Acorns (Dried)</t>
  </si>
  <si>
    <t>Nuts Acorn Flour Full Fat</t>
  </si>
  <si>
    <t>Almonds</t>
  </si>
  <si>
    <t>Nuts Almonds Blanched</t>
  </si>
  <si>
    <t>Brazilnuts</t>
  </si>
  <si>
    <t>Butternuts (Dried)</t>
  </si>
  <si>
    <t>Dry-Roasted Cashews</t>
  </si>
  <si>
    <t>Oil Roasted Cashews</t>
  </si>
  <si>
    <t>Roasted Chinese Chestnuts</t>
  </si>
  <si>
    <t>Nuts Chestnuts European Raw Unpeeled</t>
  </si>
  <si>
    <t>Chestnuts</t>
  </si>
  <si>
    <t>Nuts Chestnuts European Dried Unpeeled</t>
  </si>
  <si>
    <t>Nuts Coconut Meat Dried (Desiccated) Sweetened Flaked Packaged</t>
  </si>
  <si>
    <t>Nuts Coconut Meat Dried (Desiccated) Sweetened Flaked Canned</t>
  </si>
  <si>
    <t>Dried Coconut</t>
  </si>
  <si>
    <t>Nuts Coconut Cream Raw (Liquid Expressed From Grated Meat)</t>
  </si>
  <si>
    <t>Hazelnuts</t>
  </si>
  <si>
    <t>Nuts Hazelnuts Or Filberts Blanched</t>
  </si>
  <si>
    <t>Dry Roasted Hazelnuts</t>
  </si>
  <si>
    <t>Ginko Nuts</t>
  </si>
  <si>
    <t>Dry-Roasted Mixed Nuts (Salted)</t>
  </si>
  <si>
    <t>Nuts Mixed Nuts Dry Roasted With Peanuts Salt Added Planters Pistachio Blend</t>
  </si>
  <si>
    <t>Nuts Mixed Nuts Oil Roasted With Peanuts Without Salt Added</t>
  </si>
  <si>
    <t>Nuts Mixed Nuts Oil Roasted Without Peanuts Without Salt Added</t>
  </si>
  <si>
    <t>Nuts Pecans Oil Roasted Without Salt Added</t>
  </si>
  <si>
    <t>Dried Pilinuts</t>
  </si>
  <si>
    <t>Pine Nuts (Dried)</t>
  </si>
  <si>
    <t>Dried Pine Nuts</t>
  </si>
  <si>
    <t>Nuts Walnuts Glazed</t>
  </si>
  <si>
    <t>Nuts Walnuts Dry Roasted With Salt Added</t>
  </si>
  <si>
    <t>Seeds Breadfruit Seeds Roasted</t>
  </si>
  <si>
    <t>Seeds Cottonseed Kernels Roasted (Glandless)</t>
  </si>
  <si>
    <t>Beef Variety Meats And By-Products Spleen Cooked Braised</t>
  </si>
  <si>
    <t>Beef Variety Meats And By-Products Tongue Cooked Simmered</t>
  </si>
  <si>
    <t>Beef Variety Meats And By-Products Tripe Raw</t>
  </si>
  <si>
    <t>Beef Sandwich Steaks Flaked Chopped Formed And Thinly Sliced Raw</t>
  </si>
  <si>
    <t>Beef Brisket Flat Half Separable Lean Only Trimmed To 0 Inch Fat Choice Cooked Braised</t>
  </si>
  <si>
    <t>Beef Cured Corned Beef Canned</t>
  </si>
  <si>
    <t>Beef Chuck Under Blade Pot Roast Or Steak Boneless Separable Lean Only Trimmed To 0 Inch Fat Select Raw</t>
  </si>
  <si>
    <t>Beef Cured Dried</t>
  </si>
  <si>
    <t>Beef Chuck Under Blade Center Steak Boneless Denver Cut Separable Lean Only Trimmed To 0 Inch Fat All Grades Cooked Grilled</t>
  </si>
  <si>
    <t>Beef Cured Sausage Cooked Smoked</t>
  </si>
  <si>
    <t>Cured Smoked Beef</t>
  </si>
  <si>
    <t>Beef Chuck Under Blade Center Steak Boneless Denver Cut Separable Lean Only Trimmed To 0 Inch Fat Choice Raw</t>
  </si>
  <si>
    <t>Beef Composite Of Trimmed Retail Cuts Separable Lean And Fat Trimmed To 0 Inch Fat All Grades Cooked</t>
  </si>
  <si>
    <t>Beef Composite Of Trimmed Retail Cuts Separable Lean Only Trimmed To 0 Inch Fat Select Cooked</t>
  </si>
  <si>
    <t>Beef Brisket Whole Separable Lean And Fat Trimmed To 0 Inch Fat All Grades Cooked Braised</t>
  </si>
  <si>
    <t>Beef Brisket Whole Separable Lean Only Trimmed To 0 Inch Fat All Grades Cooked Braised</t>
  </si>
  <si>
    <t>Beef Brisket Flat Half Separable Lean And Fat Trimmed To 0 Inch Fat All Grades Cooked Braised</t>
  </si>
  <si>
    <t>Beef Chuck Arm Pot Roast Separable Lean And Fat Trimmed To 0 Inch Fat Select Cooked Braised</t>
  </si>
  <si>
    <t>Beef Chuck Pot Roast</t>
  </si>
  <si>
    <t>Beef Chuck Arm Pot Roast Separable Lean Only Trimmed To 0 Inch Fat Select Cooked Braised</t>
  </si>
  <si>
    <t>Beef Chuck Blade Roast Separable Lean And Fat Trimmed To 0 Inch Fat All Grades Cooked Braised</t>
  </si>
  <si>
    <t>Beef Chuck Under Blade Pot Roast Boneless Separable Lean And Fat Trimmed To 0 Inch Fat Choice Cooked Braised</t>
  </si>
  <si>
    <t>Beef Rib Large End (Ribs 6-9) Separable Lean And Fat Trimmed To 0 Inch Fat Choice Cooked Roasted</t>
  </si>
  <si>
    <t>Beef Rib Large End (Ribs 6-9) Separable Lean And Fat Trimmed To 0 Inch Fat Select Cooked Roasted</t>
  </si>
  <si>
    <t>Beef Rib Large End (Ribs 6-9) Separable Lean Only Trimmed To 0 Inch Fat All Grades Cooked Roasted</t>
  </si>
  <si>
    <t>Beef Rib Large End (Ribs 6-9) Separable Lean Only Trimmed To 0 Inch Fat Choice Cooked Roasted</t>
  </si>
  <si>
    <t>Beef Rib Small End (Ribs 10-12) Separable Lean Only Trimmed To 0 Inch Fat All Grades Cooked Broiled</t>
  </si>
  <si>
    <t>Beef Rib Small End (Ribs 10-12) Separable Lean Only Trimmed To 0 Inch Fat Choice Cooked Broiled</t>
  </si>
  <si>
    <t>Beef Rib Small End (Ribs 10-12) Separable Lean Only Trimmed To 0 Inch Fat Select Cooked Broiled</t>
  </si>
  <si>
    <t>Braised Cube Steak</t>
  </si>
  <si>
    <t>Beef Round Bottom Round Roast Separable Lean And Fat Trimmed To 0 Inch Fat Select Cooked Roasted</t>
  </si>
  <si>
    <t>Beef Round Bottom Round Steak Separable Lean Only Trimmed To 0 Inch Fat All Grades Cooked Braised</t>
  </si>
  <si>
    <t>Beef Round Bottom Round Roast Separable Lean Only Trimmed To 0 Inch Fat All Grades Cooked Roasted</t>
  </si>
  <si>
    <t>Beef Round Bottom Round Steak Separable Lean Only Trimmed To 0 Inch Fat Choice Cooked Braised</t>
  </si>
  <si>
    <t>Beef Round Bottom Round Roast Separable Lean Only Trimmed To 0 Inch Fat Choice Cooked Roasted</t>
  </si>
  <si>
    <t>Beef Round Eye Of Round Roast Boneless Separable Lean And Fat Trimmed To 0 Inch Fat Select Cooked Roasted</t>
  </si>
  <si>
    <t>Beef Round Eye Of Round Roast Boneless Separable Lean Only Trimmed To 0 Inch Fat All Grades Cooked Roasted</t>
  </si>
  <si>
    <t>Beef Round Eye Of Round Roast Boneless Separable Lean Only Trimmed To 0 Inch Fat Choice Cooked Roasted</t>
  </si>
  <si>
    <t>Beef Round Eye Of Round Roast Boneless Separable Lean Only Trimmed To 0 Inch Fat Select Cooked Roasted</t>
  </si>
  <si>
    <t>Beef Round Tip Round Roast Separable Lean Only Trimmed To 0 Inch Fat Choice Cooked Roasted</t>
  </si>
  <si>
    <t>Beef Round Tip Round Roast Separable Lean Only Trimmed To 0 Inch Fat Select Cooked Roasted</t>
  </si>
  <si>
    <t>Beef Round Top Round Separable Lean And Fat Trimmed To 0 Inch Fat All Grades Cooked Braised</t>
  </si>
  <si>
    <t>Beef Round Top Round Separable Lean And Fat Trimmed To 0 Inch Fat Choice Cooked Braised</t>
  </si>
  <si>
    <t>Beef Loin Tenderloin Steak Boneless Separable Lean And Fat Trimmed To 0 Inch Fat Select Cooked Grilled</t>
  </si>
  <si>
    <t>Grilled Beef Tenderloin Steak</t>
  </si>
  <si>
    <t>Beef Loin Tenderloin Steak Boneless Separable Lean Only Trimmed To 0 Inch Fat Choice Cooked Grilled</t>
  </si>
  <si>
    <t>Beef Loin Tenderloin Steak Boneless Separable Lean Only Trimmed To 0 Inch Fat Select Cooked Grilled</t>
  </si>
  <si>
    <t>Puddings Vanilla Dry Mix Regular With Added Oil</t>
  </si>
  <si>
    <t>Jams And Preserves Apricot</t>
  </si>
  <si>
    <t>Syrups Table Blends Pancake With 2% Maple With Added Potassium</t>
  </si>
  <si>
    <t>Snacks Corn Cakes Very Low Sodium</t>
  </si>
  <si>
    <t>Snacks Potato Chips Plain Made With Partially Hydrogenated Soybean Oil Unsalted</t>
  </si>
  <si>
    <t>Snacks Potato Chips Plain Unsalted</t>
  </si>
  <si>
    <t>Snacks Pretzels Hard Plain Made With Unenriched Flour Salted</t>
  </si>
  <si>
    <t>Snacks Pretzels Hard Plain Made With Unenriched Flour Unsalted</t>
  </si>
  <si>
    <t>Snacks Rice Cakes Brown Rice Sesame Seed Unsalted</t>
  </si>
  <si>
    <t>Snacks Sesame Sticks Wheat-Based Unsalted</t>
  </si>
  <si>
    <t>Snacks Trail Mix Regular Unsalted</t>
  </si>
  <si>
    <t>Snacks Trail Mix Regular With Chocolate Chips Unsalted Nuts And Seeds</t>
  </si>
  <si>
    <t>Sugar-Coated Almonds</t>
  </si>
  <si>
    <t>Cocoa Dry Powder Hi-Fat Or Breakfast Processed With Alkali</t>
  </si>
  <si>
    <t>Soft Fruit And Nut Squares</t>
  </si>
  <si>
    <t>Ice Creams Vanilla Fat Free</t>
  </si>
  <si>
    <t>Ice Creams Breyers All Natural Light French Vanilla</t>
  </si>
  <si>
    <t>Ice Creams Breyers 98% Fat Free Vanilla</t>
  </si>
  <si>
    <t>Ice Creams Breyers All Natural Light Vanilla Chocolate Strawberry</t>
  </si>
  <si>
    <t>Ice Creams Breyers All Natural Light Mint Chocolate Chip</t>
  </si>
  <si>
    <t>Ice Creams Breyers No Sugar Added Vanilla Chocolate Strawberry</t>
  </si>
  <si>
    <t>Frozen Novelties Klondike Slim-A-Bear Chocolate Cone</t>
  </si>
  <si>
    <t>Frozen Novelties Klondike Slim-A-Bear Vanilla Sandwich</t>
  </si>
  <si>
    <t>Frozen Novelties Klondike Slim-A-Bear No Sugar Added Stickless Bar</t>
  </si>
  <si>
    <t>Ice Creams Breyers No Sugar Added Chocolate Caramel</t>
  </si>
  <si>
    <t>Reeses Fast Break Milk Chocolate Peanut Butter Soft Nougats Candy Bar</t>
  </si>
  <si>
    <t>Mars Snackfood Us Cocoavia Chocolate Covered Almonds</t>
  </si>
  <si>
    <t>Ice Creams Regular Low Carbohydrate Vanilla</t>
  </si>
  <si>
    <t>Sweeteners For Baking Brown Contains Sugar And Sucralose</t>
  </si>
  <si>
    <t>Sweeteners For Baking Contains Sugar And Sucralose</t>
  </si>
  <si>
    <t>Sugar Turbinado</t>
  </si>
  <si>
    <t>Sweeteners Sugar Substitute Granulated Brown</t>
  </si>
  <si>
    <t>M&amp;m Mars 3 Musketeers Truffle Crisp</t>
  </si>
  <si>
    <t>Syrups Chocolate Hersheys Sugar Free Genuine Chocolate Flavored Lite Syrup</t>
  </si>
  <si>
    <t>M&amp;m Mars Pretzel Chocolate</t>
  </si>
  <si>
    <t>Sweetener Herbal Extract Powder From Stevia Leaf</t>
  </si>
  <si>
    <t>Hersheys Payday Bar</t>
  </si>
  <si>
    <t>Syrup Nestle Chocolate</t>
  </si>
  <si>
    <t>Amaranth Grain Uncooked</t>
  </si>
  <si>
    <t>Cooked Amaranth</t>
  </si>
  <si>
    <t>Arrowroot Flour</t>
  </si>
  <si>
    <t>Buckwheat Groats Roasted Dry</t>
  </si>
  <si>
    <t>Roasted Buckwheat Groats</t>
  </si>
  <si>
    <t>Buckwheat Flour Whole-Groat</t>
  </si>
  <si>
    <t>Bulgur Dry</t>
  </si>
  <si>
    <t>Taco With Beef Cheese And Lettuce Hard Shell</t>
  </si>
  <si>
    <t>Cheeseburger; Single Regular Patty; Plain</t>
  </si>
  <si>
    <t>Cheeseburger; Single Regular Patty With Condiments</t>
  </si>
  <si>
    <t>Cheeseburger; Single Regular Patty With Condiments And Vegetables</t>
  </si>
  <si>
    <t>Hamburger; Single Regular Patty; Plain</t>
  </si>
  <si>
    <t>Hamburger; Single Regular Patty; With Condiments</t>
  </si>
  <si>
    <t>Roast Beef Sandwich Plain</t>
  </si>
  <si>
    <t>Submarine Sandwich Cold Cut On White Bread With Lettuce And Tomato</t>
  </si>
  <si>
    <t>Onion Rings Breaded And Fried</t>
  </si>
  <si>
    <t>Potato French Fried In Vegetable Oil</t>
  </si>
  <si>
    <t>Potato Mashed</t>
  </si>
  <si>
    <t>Burger King Vanilla Shake</t>
  </si>
  <si>
    <t>School Lunch Pizza Big Daddys Ls 16 Inch 51% Whole Grain Rolled Edge Turkey Pepperoni Pizza Frozen</t>
  </si>
  <si>
    <t>School Lunch Pizza Tonys Smartpizza Whole Grain 4x6 Cheese Pizza 50/50 Cheese Frozen</t>
  </si>
  <si>
    <t>School Lunch Pizza Tonys Smartpizza Whole Grain 4x6 Pepperoni Pizza 50/50 Cheese Frozen</t>
  </si>
  <si>
    <t>School Lunch Pizza Tonys Breakfast Pizza Sausage Frozen</t>
  </si>
  <si>
    <t>Subway Sweet Onion Chicken Teriyaki Sub On White Bread With Lettuce Tomato And Sweet Onion Sauce</t>
  </si>
  <si>
    <t>Submarine Sandwich Turkey Breast On White Bread With Lettuce And Tomato</t>
  </si>
  <si>
    <t>Submarine Sandwich Ham On White Bread With Lettuce And Tomato</t>
  </si>
  <si>
    <t>Subway Meatball Marinara Sub On White Bread (No Toppings)</t>
  </si>
  <si>
    <t>Submarine Sandwich Meatball Marinara On White Bread</t>
  </si>
  <si>
    <t>Hamburger Large Single Patty With Condiments</t>
  </si>
  <si>
    <t>Subway Turkey Breast Sub On White Bread With Lettuce And Tomato</t>
  </si>
  <si>
    <t>Subway Black Forest Ham Sub On White Bread With Lettuce And Tomato</t>
  </si>
  <si>
    <t>Subway Roast Beef Sub On White Bread With Lettuce And Tomato</t>
  </si>
  <si>
    <t>Pizza Cheese Topping Rising Crust Frozen Cooked</t>
  </si>
  <si>
    <t>Pizza Meat And Vegetable Topping Regular Crust Frozen Cooked</t>
  </si>
  <si>
    <t>Pizza Meat And Vegetable Topping Rising Crust Frozen Cooked</t>
  </si>
  <si>
    <t>McDonalds Hamburger</t>
  </si>
  <si>
    <t>Chicken Breaded And Fried Boneless Pieces Plain</t>
  </si>
  <si>
    <t>McDonalds Quarter Pounder With Cheese</t>
  </si>
  <si>
    <t>McDonalds Big Mac</t>
  </si>
  <si>
    <t>McDonalds French Fries</t>
  </si>
  <si>
    <t>Wendys Classic Single Hamburger No Cheese</t>
  </si>
  <si>
    <t>Wendys Homestyle Chicken Fillet Sandwich</t>
  </si>
  <si>
    <t>Wendys Ultimate Chicken Grill Sandwich</t>
  </si>
  <si>
    <t>Wendys Chicken Nuggets</t>
  </si>
  <si>
    <t>Wendys French Fries</t>
  </si>
  <si>
    <t>Burger King Whopper No Cheese</t>
  </si>
  <si>
    <t>Burger King Whopper With Cheese</t>
  </si>
  <si>
    <t>Burger King Double Whopper No Cheese</t>
  </si>
  <si>
    <t>Burger King Double Whopper With Cheese</t>
  </si>
  <si>
    <t>Burger King Chicken Strips</t>
  </si>
  <si>
    <t>Taco Bell Soft Taco With Chicken Cheese And Lettuce</t>
  </si>
  <si>
    <t>Taco Bell Soft Taco With Steak</t>
  </si>
  <si>
    <t>Taco Bell Bean Burrito</t>
  </si>
  <si>
    <t>Taco Bell Burrito Supreme With Beef</t>
  </si>
  <si>
    <t>Taco Bell Taco Salad</t>
  </si>
  <si>
    <t>Kfc Popcorn Chicken</t>
  </si>
  <si>
    <t>Kfc Fried Chicken Original Recipe Skin And Breading</t>
  </si>
  <si>
    <t>Kfc Fried Chicken Original Recipe Breast Meat Only Skin And Breading Removed</t>
  </si>
  <si>
    <t>Kfc Fried Chicken Original Recipe Drumstick Meat Only Skin And Breading Removed</t>
  </si>
  <si>
    <t>Kfc Fried Chicken Original Recipe Thigh Meat Only Skin And Breading Removed</t>
  </si>
  <si>
    <t>Kfc Fried Chicken Extra Crispy Thigh Meat Only Skin And Breading Removed</t>
  </si>
  <si>
    <t>Kfc Fried Chicken Extra Crispy Wing Meat Only Skin And Breading Removed</t>
  </si>
  <si>
    <t>Kfc Fried Chicken Original Recipe Breast Meat And Skin With Breading</t>
  </si>
  <si>
    <t>Kfc Fried Chicken Original Recipe Drumstick Meat And Skin With Breading</t>
  </si>
  <si>
    <t>Kfc Fried Chicken Extra Crispy Thigh Meat And Skin With Breading</t>
  </si>
  <si>
    <t>Kfc Fried Chicken Extra Crispy Wing Meat And Skin With Breading</t>
  </si>
  <si>
    <t>Popeyes Fried Chicken Mild Breast Meat Only Skin And Breading Removed</t>
  </si>
  <si>
    <t>Popeyes Fried Chicken Mild Drumstick Meat Only Skin And Breading Removed</t>
  </si>
  <si>
    <t>Popeyes Fried Chicken Mild Thigh Meat And Skin With Breading</t>
  </si>
  <si>
    <t>Popeyes Fried Chicken Mild Wing Meat And Skin With Breading</t>
  </si>
  <si>
    <t>Grilled Chicken Bacon And Tomato Club Sandwich With Cheese Lettuce And Mayonnaise</t>
  </si>
  <si>
    <t>Crispy Chicken Bacon And Tomato Club Sandwich With Cheese Lettuce And Mayonnaise</t>
  </si>
  <si>
    <t>Fast Foods Fried Chicken Wing Meat Only Skin And Breading Removed</t>
  </si>
  <si>
    <t>Fast Foods Fried Chicken Skin And Breading From All Pieces</t>
  </si>
  <si>
    <t>Fast Foods Fried Chicken Breast Meat And Skin And Breading</t>
  </si>
  <si>
    <t>Fast Foods Fried Chicken Drumstick Meat And Skin With Breading</t>
  </si>
  <si>
    <t>Digiorno Pizza Cheese Topping Thin Crispy Crust Frozen Baked</t>
  </si>
  <si>
    <t>Digiorno Pizza Pepperoni Topping Cheese Stuffed Crust Frozen Baked</t>
  </si>
  <si>
    <t>Digiorno Pizza Pepperoni Topping Rising Crust Frozen Baked</t>
  </si>
  <si>
    <t>Digiorno Pizza Pepperoni Topping Thin Crispy Crust Frozen Baked</t>
  </si>
  <si>
    <t>Fast Food Pizza Chain 14 Inch Pizza Pepperoni Topping Thin Crust</t>
  </si>
  <si>
    <t>Taco With Beef Cheese And Lettuce Soft</t>
  </si>
  <si>
    <t>Taco With Chicken Lettuce And Cheese Soft</t>
  </si>
  <si>
    <t>Quesadilla With Chicken</t>
  </si>
  <si>
    <t>Dominos 14 Inch Sausage Pizza Classic Hand-Tossed Crust</t>
  </si>
  <si>
    <t>Dominos 14 Inch Sausage Pizza Ultimate Deep Dish Crust</t>
  </si>
  <si>
    <t>Pizza Hut 14 Inch Sausage Pizza Thin N Crispy Crust</t>
  </si>
  <si>
    <t>Pizza Hut 14 Inch Sausage Pizza Hand-Tossed Crust</t>
  </si>
  <si>
    <t>Wendys Crispy Chicken Sandwich</t>
  </si>
  <si>
    <t>Burger King Onion Rings</t>
  </si>
  <si>
    <t>Wendys Daves Hot N Juicy 1/4 Lb Single</t>
  </si>
  <si>
    <t>Fast Food Pizza Chain 14 Inch Pizza Cheese Topping Stuffed Crust</t>
  </si>
  <si>
    <t>Pizza Hut 14 Inch Cheese Pizza Stuffed Crust</t>
  </si>
  <si>
    <t>Strawberry Banana Smoothie Made With Ice And Low-Fat Yogurt</t>
  </si>
  <si>
    <t>McDonalds Southern Style Chicken Biscuit</t>
  </si>
  <si>
    <t>McDonalds Ranch Snack Wrap Crispy</t>
  </si>
  <si>
    <t>McDonalds Ranch Snack Wrap Grilled</t>
  </si>
  <si>
    <t>School Lunch Pizza Cheese Topping Thick Crust Whole Grain Frozen Cooked</t>
  </si>
  <si>
    <t>School Lunch Pizza Pepperoni Topping Thin Crust Whole Grain Frozen Cooked</t>
  </si>
  <si>
    <t>School Lunch Pizza Pepperoni Topping Thick Crust Whole Grain Frozen Cooked</t>
  </si>
  <si>
    <t>School Lunch Pizza Sausage Topping Thin Crust Whole Grain Frozen Cooked</t>
  </si>
  <si>
    <t>Beef Chuck Short Ribs Boneless Separable Lean Only Trimmed To 0 Inch Fat Choice Raw</t>
  </si>
  <si>
    <t>Wendys Double Stack With Cheese</t>
  </si>
  <si>
    <t>Crispy Chicken In Tortilla With Lettuce Cheese And Ranch Sauce</t>
  </si>
  <si>
    <t>Grilled Chicken In Tortilla With Lettuce Cheese And Ranch Sauce</t>
  </si>
  <si>
    <t>Breakfast Burrito With Egg Cheese And Sausage</t>
  </si>
  <si>
    <t>Breadstick Soft Prepared With Garlic And Parmesan Cheese</t>
  </si>
  <si>
    <t>Pizza Hut Breadstick Parmesan Garlic</t>
  </si>
  <si>
    <t>Chick-Fil-A Chicken Sandwich</t>
  </si>
  <si>
    <t>Arbys Roast Beef Sandwich Classic</t>
  </si>
  <si>
    <t>School Lunch Pizza Cheese Topping Thin Crust Whole Grain Frozen Cooked</t>
  </si>
  <si>
    <t>School Lunch Pizza Sausage Topping Thick Crust Whole Grain Frozen Cooked</t>
  </si>
  <si>
    <t>School Lunch Chicken Patty Whole Grain Breaded</t>
  </si>
  <si>
    <t>School Lunch Chicken Nuggets Whole Grain Breaded</t>
  </si>
  <si>
    <t>Beef Chuck Short Ribs Boneless Separable Lean Only Trimmed To 0 Inch Fat All Grades Raw</t>
  </si>
  <si>
    <t>Beef Chuck Eye Country-Style Ribs Boneless Separable Lean Only Trimmed To 0 Inch Fat Choice Cooked Braised</t>
  </si>
  <si>
    <t>Beef Chuck Eye Country-Style Ribs Boneless Separable Lean Only Trimmed To 0 Inch Fat Select Cooked Braised</t>
  </si>
  <si>
    <t>Beef Chuck Eye Country-Style Ribs Boneless Separable Lean Only Trimmed To 0 Inch Fat All Grades Cooked Braised</t>
  </si>
  <si>
    <t>Beef Chuck Eye Country-Style Ribs Boneless Separable Lean Only Trimmed To 0 Inch Fat Choice Raw</t>
  </si>
  <si>
    <t>Beef Chuck Eye Steak Boneless Separable Lean Only Trimmed To 0 Inch Fat All Grades Cooked Grilled</t>
  </si>
  <si>
    <t>Beef Chuck Eye Steak Boneless Separable Lean Only Trimmed To 0 Inch Fat Choice Raw</t>
  </si>
  <si>
    <t>Beef Chuck Eye Steak Boneless Separable Lean Only Trimmed To 0 Inch Fat Select Raw</t>
  </si>
  <si>
    <t>Beef Chuck Eye Steak Boneless Separable Lean Only Trimmed To 0 Inch Fat All Grades Raw</t>
  </si>
  <si>
    <t>Beef Chuck Mock Tender Steak Boneless Separable Lean Only Trimmed To 0 Inch Fat Select Cooked Braised</t>
  </si>
  <si>
    <t>Chuck Steak (Mock Tender)</t>
  </si>
  <si>
    <t>Beef Chuck Mock Tender Steak Boneless Separable Lean Only Trimmed To 0 Inch Fat Choice Raw</t>
  </si>
  <si>
    <t>Beef Chuck Mock Tender Steak Boneless Separable Lean Only Trimmed To 0 Inch Fat Select Raw</t>
  </si>
  <si>
    <t>Beef Chuck For Stew Separable Lean And Fat Select Raw</t>
  </si>
  <si>
    <t>Beef Chuck For Stew Separable Lean And Fat Choice Raw</t>
  </si>
  <si>
    <t>Beef Chuck Under Blade Steak Boneless Separable Lean Only Trimmed To 0 Inch Fat Choice Cooked Braised</t>
  </si>
  <si>
    <t>Beef Chuck Under Blade Steak Boneless Separable Lean Only Trimmed To 0 Inch Fat Select Cooked Braised</t>
  </si>
  <si>
    <t>Beef Chuck Under Blade Pot Roast Or Steak Boneless Separable Lean And Fat Trimmed To 0 Inch Fat All Grades Raw</t>
  </si>
  <si>
    <t>Beef Chuck Under Blade Pot Roast Or Steak Boneless Separable Lean And Fat Trimmed To 0 Inch Fat Choice Raw</t>
  </si>
  <si>
    <t>Beef Chuck Under Blade Pot Roast Or Steak Boneless Separable Lean And Fat Trimmed To 0 Inch Fat Select Raw</t>
  </si>
  <si>
    <t>Beef Chuck Under Blade Center Steak Boneless Denver Cut Separable Lean And Fat Trimmed To 0 Inch Fat All Grades Cooked Grilled</t>
  </si>
  <si>
    <t>Beef Chuck Under Blade Center Steak Boneless Denver Cut Separable Lean And Fat Trimmed To 0 Inch Fat Select Raw</t>
  </si>
  <si>
    <t>Beef Shoulder Pot Roast Or Steak Boneless Separable Lean And Fat Trimmed To 0 Inch Fat Choice Raw</t>
  </si>
  <si>
    <t>Beef Shoulder Pot Roast Or Steak Boneless Separable Lean And Fat Trimmed To 0 Inch Fat Select Raw</t>
  </si>
  <si>
    <t>Beef Chuck Eye Roast Boneless Americas Beef Roast Separable Lean And Fat Trimmed To 0 Inch Fat All Grades Cooked Roasted</t>
  </si>
  <si>
    <t>Beef Chuck Mock Tender Steak Boneless Separable Lean And Fat Trimmed To 0 Inch Fat All Grades Cooked Braised</t>
  </si>
  <si>
    <t>Beef Chuck Mock Tender Steak Boneless Separable Lean And Fat Trimmed To 0 Inch Fat Choice Cooked Braised</t>
  </si>
  <si>
    <t>Beef Chuck Mock Tender Steak Boneless Separable Lean And Fat Trimmed To 0 Inch Fat Select Cooked Braised</t>
  </si>
  <si>
    <t>Beef Chuck Mock Tender Steak Boneless Separable Lean And Fat Trimmed To 0 Inch Fat All Grades Raw</t>
  </si>
  <si>
    <t>Beef Chuck Short Ribs Boneless Separable Lean And Fat Trimmed To 0 Inch Fat Select Cooked Braised</t>
  </si>
  <si>
    <t>Beef Chuck Short Ribs Boneless Separable Lean And Fat Trimmed To 0 Inch Fat All Grades Raw</t>
  </si>
  <si>
    <t>Beef Chuck Short Ribs Boneless Separable Lean And Fat Trimmed To 0 Inch Fat Choice Raw</t>
  </si>
  <si>
    <t>Beef Chuck Short Ribs Boneless Separable Lean And Fat Trimmed To 0 Inch Fat Select Raw</t>
  </si>
  <si>
    <t>Beef Chuck Eye Country-Style Ribs Boneless Separable Lean And Fat Trimmed To 0 Inch Fat Choice Cooked Braised</t>
  </si>
  <si>
    <t>Beef Chuck Eye Country-Style Ribs Boneless Separable Lean And Fat Trimmed To 0 Inch Fat Select Cooked Braised</t>
  </si>
  <si>
    <t>Beef Chuck Eye Country-Style Ribs Boneless Separable Lean And Fat Trimmed To 0 Inch Fat All Grades Raw</t>
  </si>
  <si>
    <t>Beef Chuck Eye Country-Style Ribs Boneless Separable Lean And Fat Trimmed To 0 Inch Fat Choice Raw</t>
  </si>
  <si>
    <t>Beef Chuck Eye Country-Style Ribs Boneless Separable Lean And Fat Trimmed To 0 Inch Fat Select Raw</t>
  </si>
  <si>
    <t>Beef Chuck Eye Steak Boneless Separable Lean And Fat Trimmed To 0 Inch Fat Choice Raw</t>
  </si>
  <si>
    <t>Beef Chuck Eye Steak Boneless Separable Lean And Fat Trimmed To 0 Inch Fat Select Raw</t>
  </si>
  <si>
    <t>Beef Rib Eye Roast Bone-In Lip-On Separable Lean Only Trimmed To 1/8 Inch Fat All Grades Cooked Roasted</t>
  </si>
  <si>
    <t>Beef Rib Eye Roast Bone-In Lip-On Separable Lean Only Trimmed To 1/8 Inch Fat Select Cooked Roasted</t>
  </si>
  <si>
    <t>Beef Rib Eye Steak/roast Bone-In Lip-On Separable Lean Only Trimmed To 1/8 Inch Fat Select Raw</t>
  </si>
  <si>
    <t>Beef Rib Eye Steak/roast Boneless Lip-On Separable Lean Only Trimmed To 1/8 Inch Fat All Grades Raw</t>
  </si>
  <si>
    <t>Beef Rib Eye Steak/roast Boneless Lip-On Separable Lean Only Trimmed To 1/8 Inch Fat Choice Raw</t>
  </si>
  <si>
    <t>Beef Rib Eye Steak/roast Boneless Lip-On Separable Lean Only Trimmed To 1/8 Inch Fat Select Raw</t>
  </si>
  <si>
    <t>Beef Rib Eye Roast Boneless Lip-On Separable Lean Only Trimmed To 1/8 Inch Fat Choice Cooked Roasted</t>
  </si>
  <si>
    <t>Fontina Cheese</t>
  </si>
  <si>
    <t>Monterey Cheese</t>
  </si>
  <si>
    <t>Mozzarella</t>
  </si>
  <si>
    <t>Mozzarella (Hard)</t>
  </si>
  <si>
    <t>Mozzarella (Lowfat)</t>
  </si>
  <si>
    <t>Grated Parmesan (Hard)</t>
  </si>
  <si>
    <t>Port De Salut Cheese</t>
  </si>
  <si>
    <t>Provolone Cheese</t>
  </si>
  <si>
    <t>Ricotta Cheese</t>
  </si>
  <si>
    <t>Tilsit Cheese</t>
  </si>
  <si>
    <t>Processed American Cheese (With Vitamin D)</t>
  </si>
  <si>
    <t>Processed Pimento Cheese</t>
  </si>
  <si>
    <t>Processed Swiss Cheese</t>
  </si>
  <si>
    <t>Cold Pack American Cheese</t>
  </si>
  <si>
    <t>Light Cream (Coffe Cream)</t>
  </si>
  <si>
    <t>Light Whipping Cream</t>
  </si>
  <si>
    <t>Heavy Whipping Cream</t>
  </si>
  <si>
    <t>Whipped Cream</t>
  </si>
  <si>
    <t>Milk Filled Fluid With Blend Of Hydrogenated Vegetable Oils</t>
  </si>
  <si>
    <t>Milk Filled Fluid With Lauric Acid Oil</t>
  </si>
  <si>
    <t>Nonfat American Cheese</t>
  </si>
  <si>
    <t>Yogurt Greek 2% Fat Apricot Chobani</t>
  </si>
  <si>
    <t>Dessert Topping Powdered</t>
  </si>
  <si>
    <t>Dessert Topping Powdered 1.5 Ounce Prepared With 1/2 Cup Milk</t>
  </si>
  <si>
    <t>Dessert Topping Pressurized</t>
  </si>
  <si>
    <t>Dessert Topping Semi Solid Frozen</t>
  </si>
  <si>
    <t>Imitation Sour Cream</t>
  </si>
  <si>
    <t>Milk Reduced Fat Fluid 2% Milkfat With Added Nonfat Milk Solids And Vitamin A And Vitamin D</t>
  </si>
  <si>
    <t>Milk Reduced Fat Fluid 2% Milkfat Protein Fortified With Added Vitamin A And Vitamin D</t>
  </si>
  <si>
    <t>Low-Fat Milk 1%</t>
  </si>
  <si>
    <t>Milk Lowfat Fluid 1% Milkfat With Added Nonfat Milk Solids Vitamin A And Vitamin D</t>
  </si>
  <si>
    <t>Lowfat Buttermilk</t>
  </si>
  <si>
    <t>Milk Low Sodium Fluid</t>
  </si>
  <si>
    <t>Dehydrated Milk</t>
  </si>
  <si>
    <t>Milk Dry Nonfat Regular Without Added Vitamin A And Vitamin D</t>
  </si>
  <si>
    <t>Evaporated Milk</t>
  </si>
  <si>
    <t>Milk Chocolate Fluid Commercial Whole With Added Vitamin A And Vitamin D</t>
  </si>
  <si>
    <t>Lowfat Chocolate Milk</t>
  </si>
  <si>
    <t>Milk Chocolate Lowfat With Added Vitamin A And Vitamin D</t>
  </si>
  <si>
    <t>Milk Sheep Fluid</t>
  </si>
  <si>
    <t>Milk Shakes Thick Chocolate</t>
  </si>
  <si>
    <t>Milk Shakes Thick Vanilla</t>
  </si>
  <si>
    <t>Whey Acid Fluid</t>
  </si>
  <si>
    <t>Low-Fat Yogurt</t>
  </si>
  <si>
    <t>Non-Fat Yogurt</t>
  </si>
  <si>
    <t>Yogurt Vanilla Low Fat 11 Grams Protein Per 8 Ounce</t>
  </si>
  <si>
    <t>Yogurt Fruit Low Fat 9 Grams Protein Per 8 Ounce</t>
  </si>
  <si>
    <t>Milk Dessert Bar Frozen Made From Lowfat Milk</t>
  </si>
  <si>
    <t>Yogurt Greek 2% Fatmixed Berry Blend Chobani</t>
  </si>
  <si>
    <t>Nutritional Supplement For People With Diabetes Liquid</t>
  </si>
  <si>
    <t>Egg Whole Raw Frozen Salted Pasteurized</t>
  </si>
  <si>
    <t>Nonfat Greek Yogurt</t>
  </si>
  <si>
    <t>Egg White Powder</t>
  </si>
  <si>
    <t>Cheese Spread American Or Cheddar Cheese Base Reduced Fat</t>
  </si>
  <si>
    <t>Fatfree Swiss Cheese</t>
  </si>
  <si>
    <t>Queso Cotija</t>
  </si>
  <si>
    <t>Sharp Cheddar Cheese</t>
  </si>
  <si>
    <t>Cheese Mozzarella Low Moisture Part-Skim Shredded</t>
  </si>
  <si>
    <t>Nonfat Greek Strawberry Yogurt</t>
  </si>
  <si>
    <t>Nonfat Greek Vanilla Yogurt</t>
  </si>
  <si>
    <t>Lowfat Greek Yogurt</t>
  </si>
  <si>
    <t>Kefir Lowfat Plain Lifeway</t>
  </si>
  <si>
    <t>Yogurt Greek Fruit Whole Milk</t>
  </si>
  <si>
    <t>Nonfat Vanilla Yogurt</t>
  </si>
  <si>
    <t>Yogurt Greek Vanilla Lowfat</t>
  </si>
  <si>
    <t>Yogurt Frozen Flavors Other Than Chocolate Lowfat</t>
  </si>
  <si>
    <t>Yogurt Greek 2% Fat Pineapple Chobani</t>
  </si>
  <si>
    <t>Milk Chocolate Lowfat Reduced Sugar</t>
  </si>
  <si>
    <t>Ice Cream Lowfat No Sugar Added Cone Added Peanuts And Chocolate Sauce</t>
  </si>
  <si>
    <t>Yogurt Greek 2% Fat Strawberry Banana Chobani</t>
  </si>
  <si>
    <t>Yogurt Greek Nonfat Fruit On Bottom Pomegranate Chobani</t>
  </si>
  <si>
    <t>Yogurt Greek Blueberry Chobani</t>
  </si>
  <si>
    <t>Yogurt Greek Nonfat Fruit On Bottom Strawberry Chobani</t>
  </si>
  <si>
    <t>Yogurt Greek Nonfat Fruit On Bottom Blackberry Chobani</t>
  </si>
  <si>
    <t>Bay Leaves</t>
  </si>
  <si>
    <t>Spices and Herbs</t>
  </si>
  <si>
    <t>Caraway Seed</t>
  </si>
  <si>
    <t>Cardamom</t>
  </si>
  <si>
    <t>Celery Seed</t>
  </si>
  <si>
    <t>Dried Coriander</t>
  </si>
  <si>
    <t>Coriander Seed</t>
  </si>
  <si>
    <t>Cumin Seed</t>
  </si>
  <si>
    <t>Curry Powder</t>
  </si>
  <si>
    <t>Dill Seed</t>
  </si>
  <si>
    <t>Ground Ginger</t>
  </si>
  <si>
    <t>Ground Mace</t>
  </si>
  <si>
    <t>Dried Marjoram</t>
  </si>
  <si>
    <t>Ground Mustard Seed</t>
  </si>
  <si>
    <t>Dried Parsley</t>
  </si>
  <si>
    <t>Black Pepper</t>
  </si>
  <si>
    <t>Cayenne Pepper</t>
  </si>
  <si>
    <t>White Pepper</t>
  </si>
  <si>
    <t>Saffron</t>
  </si>
  <si>
    <t>Ground Sage</t>
  </si>
  <si>
    <t>Ground Savory</t>
  </si>
  <si>
    <t>Dried Tarragon</t>
  </si>
  <si>
    <t>Spices Thyme Dried</t>
  </si>
  <si>
    <t>Babyfood Vegetables Peas Strained</t>
  </si>
  <si>
    <t>Babyfood Peas Dices Toddler</t>
  </si>
  <si>
    <t>Babyfood Vegetables Spinach Creamed Strained</t>
  </si>
  <si>
    <t>Babyfood Fruit Apricot With Tapioca Junior</t>
  </si>
  <si>
    <t>Babyfood Fruit Pears Junior</t>
  </si>
  <si>
    <t>Babyfood Fruit Plums With Tapioca Without Ascorbic Acid Strained</t>
  </si>
  <si>
    <t>Babyfood Fruit Plums With Tapioca Without Ascorbic Acid Junior</t>
  </si>
  <si>
    <t>Babyfood Fruit Prunes With Tapioca Without Ascorbic Acid Strained</t>
  </si>
  <si>
    <t>Babyfood Fruit Applesauce And Apricots Strained</t>
  </si>
  <si>
    <t>Babyfood Fruit Applesauce And Apricots Junior</t>
  </si>
  <si>
    <t>Babyfood Fruit Applesauce And Cherries Strained</t>
  </si>
  <si>
    <t>Babyfood Fruit Applesauce And Cherries Junior</t>
  </si>
  <si>
    <t>Babyfood Fruit Applesauce With Banana Junior</t>
  </si>
  <si>
    <t>Babyfood Fruit And Vegetable Apple And Sweet Potato</t>
  </si>
  <si>
    <t>Babyfood Fruit Bananas And Pineapple With Tapioca Junior</t>
  </si>
  <si>
    <t>Babyfood Fruit Bananas And Pineapple With Tapioca Strained</t>
  </si>
  <si>
    <t>Babyfood Fruit Pears And Pineapple Strained</t>
  </si>
  <si>
    <t>Babyfood Fruit Bananas With Apples And Pears Strained</t>
  </si>
  <si>
    <t>Babyfood Fruit Apple And Blueberry Strained</t>
  </si>
  <si>
    <t>Babyfood Fruit Apple And Blueberry Junior</t>
  </si>
  <si>
    <t>Babyfood Juice Apple</t>
  </si>
  <si>
    <t>Babyfood Juice Orange And Apple And Banana</t>
  </si>
  <si>
    <t>Babyfood Juice Orange And Apricot</t>
  </si>
  <si>
    <t>Babyfood Juice Orange And Banana</t>
  </si>
  <si>
    <t>Babyfood Juice Orange And Pineapple</t>
  </si>
  <si>
    <t>Babyfood Cereal Mixed Dry Fortified</t>
  </si>
  <si>
    <t>Babyfood Cereal Mixed With Bananas Dry</t>
  </si>
  <si>
    <t>Babyfood Cereal Mixed With Applesauce And Bananas Strained</t>
  </si>
  <si>
    <t>Babyfood Cereal Mixed With Applesauce And Bananas Junior</t>
  </si>
  <si>
    <t>Babyfood Cereal Oatmeal With Honey Dry</t>
  </si>
  <si>
    <t>Babyfood Cereal Rice Dry Fortified</t>
  </si>
  <si>
    <t>Babyfood Cereal Rice With Applesauce And Bananas Strained</t>
  </si>
  <si>
    <t>Babyfood Cereal With Egg Yolks Strained</t>
  </si>
  <si>
    <t>Babyfood Crackers Vegetable</t>
  </si>
  <si>
    <t>Babyfood Cereal High Protein With Apple And Orange Dry</t>
  </si>
  <si>
    <t>Babyfood Cereal Rice With Bananas Dry</t>
  </si>
  <si>
    <t>Babyfood Cookies</t>
  </si>
  <si>
    <t>Babyfood Dessert Dutch Apple Strained</t>
  </si>
  <si>
    <t>Babyfood Dessert Dutch Apple Junior</t>
  </si>
  <si>
    <t>Babyfood Cherry Cobbler Junior</t>
  </si>
  <si>
    <t>Babyfood Dessert Cherry Vanilla Pudding Strained</t>
  </si>
  <si>
    <t>Babyfood Dessert Peach Melba Strained</t>
  </si>
  <si>
    <t>Babyfood Dessert Peach Melba Junior</t>
  </si>
  <si>
    <t>Babyfood Dessert Fruit Pudding Pineapple Strained</t>
  </si>
  <si>
    <t>Babyfood Dessert Fruit Dessert Without Ascorbic Acid Strained</t>
  </si>
  <si>
    <t>Babyfood Juice Fruit Punch With Calcium</t>
  </si>
  <si>
    <t>Babyfood Juice Apple With Calcium</t>
  </si>
  <si>
    <t>Infant Formula Mead Johnson Enfamil Enfacare Lipil Ready-To-Feed With Ara And Dha</t>
  </si>
  <si>
    <t>Babyfood Yogurt Whole Milk With Fruit Multigrain Cereal And Added Dha Fortified</t>
  </si>
  <si>
    <t>Infant Formula Abbott Nutrition Alimentum Advance With Iron Powder Not Reconstituted With Dha And Ara</t>
  </si>
  <si>
    <t>Babyfood Mashed Cheddar Potatoes And Broccoli Toddlers</t>
  </si>
  <si>
    <t>Babyfood Yogurt Whole Milk With Fruit Multigrain Cereal And Added Iron Fortified</t>
  </si>
  <si>
    <t>Infant Formula Nestle Good Start Soy With Dha And Ara Liquid Concentrate</t>
  </si>
  <si>
    <t>Toddler Formula Mead Johnson Enfagrow Premium (Formerly Enfamil Lipil Next Step) Powder</t>
  </si>
  <si>
    <t>Toddler Formula Mead Johnson Enfagrow Premium (Formerly Enfamil Lipil Next Step) Ready-To-Feed</t>
  </si>
  <si>
    <t>Infant Formula Mead Johnson Enfamil Premium Newborn Ready-To-Feed</t>
  </si>
  <si>
    <t>Infant Formula Gerber Good Start 2 Soy With Iron Ready-To-Feed</t>
  </si>
  <si>
    <t>Infant Formula Gerber Good Start Protect Plus Ready-To-Feed</t>
  </si>
  <si>
    <t>Infant Formula Gerber Good Start 2 Gentle Plus Ready-To-Feed</t>
  </si>
  <si>
    <t>Babyfood Fruit Banana And Strawberry Junior</t>
  </si>
  <si>
    <t>Babyfood Banana With Mixed Berries Strained</t>
  </si>
  <si>
    <t>Babyfood Multigrain Whole Grain Cereal Dry Fortified</t>
  </si>
  <si>
    <t>Babyfood Baby Mum Mum Rice Biscuits</t>
  </si>
  <si>
    <t>Salad Dressing Kraft Mayo Light Mayonnaise</t>
  </si>
  <si>
    <t>Salad Dressing Kraft Mayo Fat Free Mayonnaise Dressing</t>
  </si>
  <si>
    <t>Salad Dressing Kraft Miracle Whip Free Nonfat Dressing</t>
  </si>
  <si>
    <t>Russian Dressing</t>
  </si>
  <si>
    <t>Sesame Seed Dressing</t>
  </si>
  <si>
    <t>Salad Dressing Russian Dressing Low Calorie</t>
  </si>
  <si>
    <t>Salad Dressing Thousand Island Dressing Reduced Fat</t>
  </si>
  <si>
    <t>Salad Dressing Mayonnaise Regular</t>
  </si>
  <si>
    <t>Salad Dressing Mayonnaise Soybean And Safflower Oil With Salt</t>
  </si>
  <si>
    <t>Shortening Household Soybean (Partially Hydrogenated)-Cottonseed (Partially Hydrogenated)</t>
  </si>
  <si>
    <t>Oil Soybean Salad Or Cooking (Partially Hydrogenated)</t>
  </si>
  <si>
    <t>Rice Bran Oil</t>
  </si>
  <si>
    <t>Wheat Germ Oil</t>
  </si>
  <si>
    <t>Palm Oil</t>
  </si>
  <si>
    <t>Sesame Oil</t>
  </si>
  <si>
    <t>Oil Sunflower Linoleic (Less Than 60%)</t>
  </si>
  <si>
    <t>Margarine</t>
  </si>
  <si>
    <t>Salad Dressing Italian Dressing Commercial Regular</t>
  </si>
  <si>
    <t>Salad Dressing French Dressing Commercial Regular Without Salt</t>
  </si>
  <si>
    <t>Lowfat French Salad Dressing</t>
  </si>
  <si>
    <t>Salad Dressing Italian Dressing Commercial Regular Without Salt</t>
  </si>
  <si>
    <t>Salad Dressing Italian Dressing Reduced Fat Without Salt</t>
  </si>
  <si>
    <t>Cottonseed Oil</t>
  </si>
  <si>
    <t>Oil Sunflower Linoleic (Approx. 65%)</t>
  </si>
  <si>
    <t>Oil Safflower Salad Or Cooking Linoleic (Over 70%)</t>
  </si>
  <si>
    <t>Oil Safflower Salad Or Cooking High Oleic (Primary Safflower Oil Of Commerce)</t>
  </si>
  <si>
    <t>Grapeseed Oil</t>
  </si>
  <si>
    <t>Corn Oil</t>
  </si>
  <si>
    <t>Walnut Oil</t>
  </si>
  <si>
    <t>Almond Oil</t>
  </si>
  <si>
    <t>Apricot Kernel Oil</t>
  </si>
  <si>
    <t>Oil Vegetable Natreon Canola High Stability Non Trans High Oleic (70%)</t>
  </si>
  <si>
    <t>Salad Dressing Honey Mustard Dressing Reduced Calorie</t>
  </si>
  <si>
    <t>Margarine-Like Spread Benecol Light Spread</t>
  </si>
  <si>
    <t>Salad Dressing Spray-Style Dressing Assorted Flavors</t>
  </si>
  <si>
    <t>Salad Dressing Mayonnaise Light Smart Balance Omega Plus Light</t>
  </si>
  <si>
    <t>Margarine-Like Vegetable Oil Spread 60% Fat Tub With Salt With Added Vitamin D</t>
  </si>
  <si>
    <t>Margarine-Like Vegetable-Oil Spread Stick/tub/bottle 60% Fat With Added Vitamin D</t>
  </si>
  <si>
    <t>Margarine Regular 80% Fat Composite Stick Without Salt With Added Vitamin D</t>
  </si>
  <si>
    <t>Margarine-Like Vegetable Oil Spread 60% Fat Stick/tub/bottle Without Salt With Added Vitamin D</t>
  </si>
  <si>
    <t>Oil Industrial Canola High Oleic</t>
  </si>
  <si>
    <t>Honey Mustard Salad Dressing</t>
  </si>
  <si>
    <t>Creamy Poppyseed Salad Dressing</t>
  </si>
  <si>
    <t>Salad Dressing Caesar Fat-Free</t>
  </si>
  <si>
    <t>Dressing Honey Mustard Fat-Free</t>
  </si>
  <si>
    <t>Chicken Broilers Or Fryers Meat And Skin And Giblets And Neck Raw</t>
  </si>
  <si>
    <t>Chicken Broilers Or Fryers Meat And Skin And Giblets And Neck Cooked Fried Batter</t>
  </si>
  <si>
    <t>Chicken Broilers Or Fryers Meat And Skin And Giblets And Neck Cooked Fried Flour</t>
  </si>
  <si>
    <t>Chicken Broilers Or Fryers Meat And Skin And Giblets And Neck Roasted</t>
  </si>
  <si>
    <t>Chicken Broilers Or Fryers Meat And Skin Cooked Stewed</t>
  </si>
  <si>
    <t>Chicken Broilers Or Fryers Meat Only Raw</t>
  </si>
  <si>
    <t>Chicken Broilers Or Fryers Meat Only Cooked Fried</t>
  </si>
  <si>
    <t>Chicken Broilers Or Fryers Meat Only Roasted</t>
  </si>
  <si>
    <t>Chicken Broilers Or Fryers Skin Only Cooked Roasted</t>
  </si>
  <si>
    <t>Chicken Broilers Or Fryers Skin Only Cooked Stewed</t>
  </si>
  <si>
    <t>Chicken Broilers Or Fryers Giblets Raw</t>
  </si>
  <si>
    <t>Chicken Broilers Or Fryers Giblets Cooked Fried</t>
  </si>
  <si>
    <t>Chicken Heart All Classes Cooked Simmered</t>
  </si>
  <si>
    <t>Chicken Liver All Classes Raw</t>
  </si>
  <si>
    <t>Chicken Liver All Classes Cooked Simmered</t>
  </si>
  <si>
    <t>Chicken Broilers Or Fryers Light Meat Meat And Skin Raw</t>
  </si>
  <si>
    <t>Chicken Broilers Or Fryers Dark Meat Meat And Skin Cooked Fried Batter</t>
  </si>
  <si>
    <t>Chicken Broilers Or Fryers Dark Meat Meat And Skin Cooked Fried Flour</t>
  </si>
  <si>
    <t>Chicken Broilers Or Fryers Dark Meat Meat And Skin Cooked Roasted</t>
  </si>
  <si>
    <t>Chicken Broilers Or Fryers Dark Meat Meat And Skin Cooked Stewed</t>
  </si>
  <si>
    <t>Chicken Broilers Or Fryers Dark Meat Meat Only Raw</t>
  </si>
  <si>
    <t>Chicken Broilers Or Fryers Dark Meat Meat Only Cooked Fried</t>
  </si>
  <si>
    <t>Chicken Broilers Or Fryers Dark Meat Meat Only Cooked Roasted</t>
  </si>
  <si>
    <t>Chicken Broilers Or Fryers Dark Meat Meat Only Cooked Stewed</t>
  </si>
  <si>
    <t>Chicken Broilers Or Fryers Back Meat And Skin Cooked Roasted</t>
  </si>
  <si>
    <t>Chicken Broilers Or Fryers Back Meat And Skin Cooked Stewed</t>
  </si>
  <si>
    <t>Chicken Broilers Or Fryers Back Meat Only Raw</t>
  </si>
  <si>
    <t>Chicken Broilers Or Fryers Back Meat Only Cooked Fried</t>
  </si>
  <si>
    <t>Chicken Broilers Or Fryers Breast Meat And Skin Cooked Roasted</t>
  </si>
  <si>
    <t>Chicken Broilers Or Fryers Breast Meat And Skin Cooked Stewed</t>
  </si>
  <si>
    <t>Raw Chicken Breast</t>
  </si>
  <si>
    <t>Chicken Broilers Or Fryers Breast Meat Only Cooked Fried</t>
  </si>
  <si>
    <t>Squab (Pigeon) Meat Only Raw</t>
  </si>
  <si>
    <t>Squab (Pigeon) Light Meat Without Skin Raw</t>
  </si>
  <si>
    <t>Turkey Whole Meat And Skin Raw</t>
  </si>
  <si>
    <t>Turkey Skin From Whole (Light And Dark) Roasted</t>
  </si>
  <si>
    <t>Turkey Whole Giblets Raw</t>
  </si>
  <si>
    <t>Turkey Whole Giblets Cooked Simmered</t>
  </si>
  <si>
    <t>Turkey Gizzard All Classes Raw</t>
  </si>
  <si>
    <t>Turkey From Whole Neck Meat Only Raw</t>
  </si>
  <si>
    <t>Turkey From Whole Neck Meat Only Cooked Simmered</t>
  </si>
  <si>
    <t>Turkey From Whole Light Meat Meat And Skin Raw</t>
  </si>
  <si>
    <t>Turkey From Whole Light Meat Meat And Skin Cooked Roasted</t>
  </si>
  <si>
    <t>Turkey From Whole Dark Meat Meat Only Raw</t>
  </si>
  <si>
    <t>Roast Turkey Dark Meat</t>
  </si>
  <si>
    <t>Turkey All Classes Back Meat And Skin Cooked Roasted</t>
  </si>
  <si>
    <t>Turkey All Classes Breast Meat And Skin Raw</t>
  </si>
  <si>
    <t>Turkey All Classes Wing Meat And Skin Cooked Roasted</t>
  </si>
  <si>
    <t>Turkey Fryer-Roasters Meat And Skin Cooked Roasted</t>
  </si>
  <si>
    <t>Turkey Back From Whole Bird Meat Only Raw</t>
  </si>
  <si>
    <t>Turkey Back From Whole Bird Meat Only Roasted</t>
  </si>
  <si>
    <t>Turkey Breast From Whole Bird Meat Only Raw</t>
  </si>
  <si>
    <t>Chicken Canned Meat Only With Broth</t>
  </si>
  <si>
    <t>Pate De Foie Gras Canned (Goose Liver Pate) Smoked</t>
  </si>
  <si>
    <t>Turkey Canned Meat Only With Broth</t>
  </si>
  <si>
    <t>Turkey Diced Light And Dark Meat Seasoned</t>
  </si>
  <si>
    <t>Turkey Sticks Breaded Battered Fried</t>
  </si>
  <si>
    <t>Poultry Mechanically Deboned From Backs And Necks With Skin Raw</t>
  </si>
  <si>
    <t>Poultry Mechanically Deboned From Backs And Necks Without Skin Raw</t>
  </si>
  <si>
    <t>Poultry Mechanically Deboned From Mature Hens Raw</t>
  </si>
  <si>
    <t>Chicken Cornish Game Hens Meat And Skin Cooked Roasted</t>
  </si>
  <si>
    <t>Chicken Cornish Game Hens Meat Only Raw</t>
  </si>
  <si>
    <t>Chicken Cornish Game Hens Meat Only Cooked Roasted</t>
  </si>
  <si>
    <t>Chicken Canned No Broth</t>
  </si>
  <si>
    <t>Chicken Wing Frozen Glazed Barbecue Flavored</t>
  </si>
  <si>
    <t>Duck Young Duckling Domesticated White Pekin Leg Meat And Skin Bone In Cooked Roasted</t>
  </si>
  <si>
    <t>Duck Young Duckling Domesticated White Pekin Leg Meat Only Bone In Cooked Without Skin Braised</t>
  </si>
  <si>
    <t>Chicken Broiler Rotisserie BBQ Drumstick Meat Only</t>
  </si>
  <si>
    <t>Chicken Wing Frozen Glazed Barbecue Flavored Heated (Conventional Oven)</t>
  </si>
  <si>
    <t>Chicken Ground Raw</t>
  </si>
  <si>
    <t>Chicken Ground Crumbles Cooked Pan-Browned</t>
  </si>
  <si>
    <t>Chicken Broiler Rotisserie BBQ Thigh Meat Only</t>
  </si>
  <si>
    <t>Chicken Feet Boiled</t>
  </si>
  <si>
    <t>Chicken Broilers Or Fryers Thigh Meat Only Cooked Rotisserie Original Seasoning</t>
  </si>
  <si>
    <t>Chicken Broilers Or Fryers Wing Meat Only Cooked Rotisserie Original Seasoning</t>
  </si>
  <si>
    <t>Chicken Broilers Or Fryers Back Meat And Skin Cooked Rotisserie Original Seasoning</t>
  </si>
  <si>
    <t>Chicken Broilers Or Fryers Breast Meat And Skin Cooked Rotisserie Original Seasoning</t>
  </si>
  <si>
    <t>Chicken Broiler Rotisserie BBQ Back Meat And Skin</t>
  </si>
  <si>
    <t>Chicken Broiler Rotisserie BBQ Breast Meat And Skin</t>
  </si>
  <si>
    <t>Chicken Broiler Rotisserie BBQ Drumstick Meat And Skin</t>
  </si>
  <si>
    <t>Chicken Broiler Rotisserie BBQ Thigh Meat And Skin</t>
  </si>
  <si>
    <t>Turkey Drumstick From Whole Bird Meat Only With Added Solution Roasted</t>
  </si>
  <si>
    <t>Turkey Thigh From Whole Bird Meat Only With Added Solution Raw</t>
  </si>
  <si>
    <t>Turkey Retail Parts Breast Meat And Skin With Added Solution Raw</t>
  </si>
  <si>
    <t>Turkey Thigh From Whole Bird Meat Only With Added Solution Roasted</t>
  </si>
  <si>
    <t>Turkey Retail Parts Wing Meat And Skin Raw</t>
  </si>
  <si>
    <t>Turkey Retail Parts Wing Meat And Skin Cooked Roasted</t>
  </si>
  <si>
    <t>Turkey Retail Parts Drumstick Meat And Skin Raw</t>
  </si>
  <si>
    <t>Turkey Retail Parts Drumstick Meat And Skin Cooked Roasted</t>
  </si>
  <si>
    <t>Turkey Drumstick From Whole Bird Meat Only Raw</t>
  </si>
  <si>
    <t>Turkey Retail Parts Thigh Meat And Skin Cooked Roasted</t>
  </si>
  <si>
    <t>Turkey Back From Whole Bird Meat And Skin With Added Solution Raw</t>
  </si>
  <si>
    <t>Turkey Back From Whole Bird Meat And Skin With Added Solution Roasted</t>
  </si>
  <si>
    <t>Lean Chicken Breast (Cooked)</t>
  </si>
  <si>
    <t>Soup Black Bean Canned Condensed</t>
  </si>
  <si>
    <t>Soup Bean With Pork Canned Condensed</t>
  </si>
  <si>
    <t>Soup Bean With Frankfurters Canned Condensed</t>
  </si>
  <si>
    <t>Soup Bean With Ham Canned Chunky Ready-To-Serve</t>
  </si>
  <si>
    <t>Soup Chicken Canned Chunky Ready-To-Serve</t>
  </si>
  <si>
    <t>Soup Cream Of Chicken Canned Condensed</t>
  </si>
  <si>
    <t>Soup Chicken Gumbo Canned Condensed</t>
  </si>
  <si>
    <t>Soup Chunky Chicken Noodle Canned Ready-To-Serve</t>
  </si>
  <si>
    <t>Soup Chicken Vegetable Canned Condensed</t>
  </si>
  <si>
    <t>Soup Chili Beef Canned Condensed</t>
  </si>
  <si>
    <t>Manhattan Clam Chowder</t>
  </si>
  <si>
    <t>Soup Clam Chowder Manhattan Canned Condensed</t>
  </si>
  <si>
    <t>Soup Minestrone Canned Condensed</t>
  </si>
  <si>
    <t>Soup Mushroom Barley Canned Condensed</t>
  </si>
  <si>
    <t>Soup Cream Of Mushroom Canned Condensed</t>
  </si>
  <si>
    <t>Soup Mushroom With Beef Stock Canned Condensed</t>
  </si>
  <si>
    <t>Soup Pea Split With Ham Canned Condensed</t>
  </si>
  <si>
    <t>Soup Cream Of Potato Canned Condensed</t>
  </si>
  <si>
    <t>Soup Cream Of Shrimp Canned Condensed</t>
  </si>
  <si>
    <t>Soup Tomato Beef With Noodle Canned Condensed</t>
  </si>
  <si>
    <t>Soup Vegetarian Vegetable Canned Condensed</t>
  </si>
  <si>
    <t>Soup Chunky Beef Canned Ready-To-Serve</t>
  </si>
  <si>
    <t>Soup Vegetable Beef Canned Condensed</t>
  </si>
  <si>
    <t>Soup Vegetable With Beef Broth Canned Condensed</t>
  </si>
  <si>
    <t>Soup Onion Dry Mix</t>
  </si>
  <si>
    <t>Soup Cream Of Vegetable Dry Powder</t>
  </si>
  <si>
    <t>Sauce Teriyaki Ready-To-Serve</t>
  </si>
  <si>
    <t>Gravy Au Jus Canned</t>
  </si>
  <si>
    <t>Gravy Au Jus Dry</t>
  </si>
  <si>
    <t>Gravy Mushroom Canned</t>
  </si>
  <si>
    <t>Gravy Mushroom Dry Powder</t>
  </si>
  <si>
    <t>Gravy Onion Dry Mix</t>
  </si>
  <si>
    <t>Gravy Pork Dry Powder</t>
  </si>
  <si>
    <t>Sauce Sofrito Prepared From Recipe</t>
  </si>
  <si>
    <t>Soup Beef Mushroom Canned Condensed</t>
  </si>
  <si>
    <t>Soup Tomato Canned Prepared With Equal Volume Water Commercial</t>
  </si>
  <si>
    <t>Soup Ramen Noodle Any Flavor Dry</t>
  </si>
  <si>
    <t>Soup Broccoli Cheese Canned Condensed Commercial</t>
  </si>
  <si>
    <t>Soup Swanson Beef Broth Lower Sodium</t>
  </si>
  <si>
    <t>Soup Swanson Vegetable Broth</t>
  </si>
  <si>
    <t>Smart Soup Indian Bean Masala</t>
  </si>
  <si>
    <t>Smart Soup Moroccan Chick Pea</t>
  </si>
  <si>
    <t>Smart Soup Thai Coconut Curry</t>
  </si>
  <si>
    <t>Smart Soup Vietnamese Carrot Lemongrass</t>
  </si>
  <si>
    <t>Sauce Pesto Mezzetta Napa Valley Bistro Basil Pesto Ready-To-Serve</t>
  </si>
  <si>
    <t>Sriracha</t>
  </si>
  <si>
    <t>Sauce Hot Chile Sriracha Cha! By Texas Pete</t>
  </si>
  <si>
    <t>Sauce Hot Chile Sriracha Tuong Ot Sriracha</t>
  </si>
  <si>
    <t>Soup Vegetable Beef Microwavable Ready-To-Serve Single Brand</t>
  </si>
  <si>
    <t>Soup Beef And Vegetables Canned Ready-To-Serve</t>
  </si>
  <si>
    <t>Sauce Cheese Ready-To-Serve</t>
  </si>
  <si>
    <t>Pasta Sauce</t>
  </si>
  <si>
    <t>Beef Chuck Short Ribs Boneless Separable Lean Only Trimmed To 0 Inch Fat Select Raw</t>
  </si>
  <si>
    <t>Beef Chuck Eye Country-Style Ribs Boneless Separable Lean Only Trimmed To 0 Inch Fat Select Raw</t>
  </si>
  <si>
    <t>Beef Chuck Eye Country-Style Ribs Boneless Separable Lean Only Trimmed To 0 Inch Fat All Grades Raw</t>
  </si>
  <si>
    <t>Beef Chuck Eye Steak Boneless Separable Lean Only Trimmed To 0 Inch Fat Choice Cooked Grilled</t>
  </si>
  <si>
    <t>Beef Chuck Eye Steak Boneless Separable Lean Only Trimmed To 0 Inch Fat Select Cooked Grilled</t>
  </si>
  <si>
    <t>Beef Shoulder Pot Roast Boneless Separable Lean Only Trimmed To 0 Inch Fat Choice Cooked Braised</t>
  </si>
  <si>
    <t>Beef Shoulder Pot Roast Boneless Separable Lean Only Trimmed To 0 Inch Fat Select Cooked Braised</t>
  </si>
  <si>
    <t>Beef Shoulder Pot Roast Boneless Separable Lean Only Trimmed To 0 Inch Fat All Grades Cooked Braised</t>
  </si>
  <si>
    <t>Beef Chuck Mock Tender Steak Boneless Separable Lean Only Trimmed To 0 Inch Fat Choice Cooked Braised</t>
  </si>
  <si>
    <t>Beef Chuck Mock Tender Steak Boneless Separable Lean Only Trimmed To 0 Inch Fat All Grades Raw</t>
  </si>
  <si>
    <t>Braised Beef Or Chuck Stew</t>
  </si>
  <si>
    <t>Beef Chuck For Stew Separable Lean And Fat Select Cooked Braised</t>
  </si>
  <si>
    <t>Beef Chuck For Stew Separable Lean And Fat Choice Cooked Braised</t>
  </si>
  <si>
    <t>Beef Chuck For Stew Separable Lean And Fat All Grades Raw</t>
  </si>
  <si>
    <t>Beef Chuck Under Blade Steak Boneless Separable Lean Only Trimmed To 0 Inch Fat All Grades Cooked Braised</t>
  </si>
  <si>
    <t>Beef Chuck Under Blade Pot Roast Boneless Separable Lean And Fat Trimmed To 0 Inch Fat All Grades Cooked Braised</t>
  </si>
  <si>
    <t>Beef Rib Eye Steak Boneless Lip-On Separable Lean Only Trimmed To 1/8 Inch Fat All Grades Cooked Grilled</t>
  </si>
  <si>
    <t>Beef Rib Eye Roast Bone-In Lip-On Separable Lean Only Trimmed To 1/8 Inch Fat Choice Cooked Roasted</t>
  </si>
  <si>
    <t>Beef Chuck Under Blade Center Steak Boneless Denver Cut Separable Lean And Fat Trimmed To 0 Inch Fat Choice Cooked Grilled</t>
  </si>
  <si>
    <t>Beef Chuck Under Blade Center Steak Boneless Denver Cut Separable Lean And Fat Trimmed To 0 Inch Fat Select Cooked Grilled</t>
  </si>
  <si>
    <t>Beef Chuck Under Blade Center Steak Boneless Denver Cut Separable Lean And Fat Trimmed To 0 Inch Fat All Grades Raw</t>
  </si>
  <si>
    <t>Beef Chuck Under Blade Center Steak Boneless Denver Cut Separable Lean And Fat Trimmed To 0 Inch Fat Choice Raw</t>
  </si>
  <si>
    <t>Beef Chuck Eye Roast Boneless Americas Beef Roast Separable Lean And Fat Trimmed To 0 Inch Fat Choice Cooked Roasted</t>
  </si>
  <si>
    <t>Beef Chuck Eye Roast Boneless Americas Beef Roast Separable Lean And Fat Trimmed To 0 Inch Fat Select Cooked Roasted</t>
  </si>
  <si>
    <t>Beef Chuck Under Blade Steak Boneless Separable Lean And Fat Trimmed To 0 Inch Fat All Grades Cooked Braised</t>
  </si>
  <si>
    <t>Beef Chuck Under Blade Steak Boneless Separable Lean And Fat Trimmed To 0 Inch Fat Choice Cooked Braised</t>
  </si>
  <si>
    <t>Beef Chuck Under Blade Steak Boneless Separable Lean And Fat Trimmed To 0 Inch Fat Select Cooked Braised</t>
  </si>
  <si>
    <t>Beef Chuck Mock Tender Steak Boneless Separable Lean And Fat Trimmed To 0 Inch Fat Choice Raw</t>
  </si>
  <si>
    <t>Beef Chuck Mock Tender Steak Boneless Separable Lean And Fat Trimmed To 0 Inch Fat Select Raw</t>
  </si>
  <si>
    <t>Beef Chuck Short Ribs Boneless Separable Lean And Fat Trimmed To 0 Inch Fat All Grades Cooked Braised</t>
  </si>
  <si>
    <t>Beef Chuck Short Ribs Boneless Separable Lean And Fat Trimmed To 0 Inch Fat Choice Cooked Braised</t>
  </si>
  <si>
    <t>Beef Shoulder Pot Roast Boneless Separable Lean And Fat Trimmed To 0 Inch Fat All Grades Cooked Braised</t>
  </si>
  <si>
    <t>Beef Shoulder Pot Roast Boneless Separable Lean And Fat Trimmed To 0 Inch Fat Choice Cooked Braised</t>
  </si>
  <si>
    <t>Beef Shoulder Pot Roast Boneless Separable Lean And Fat Trimmed To 0 Inch Fat Select Cooked Braised</t>
  </si>
  <si>
    <t>Beef Chuck Eye Country-Style Ribs Boneless Separable Lean And Fat Trimmed To 0 Inch Fat All Grades Cooked Braised</t>
  </si>
  <si>
    <t>Beef Chuck Eye Steak Boneless Separable Lean And Fat Trimmed To 0 Inch Fat All Grades Cooked Grilled</t>
  </si>
  <si>
    <t>Beef Chuck Eye Steak Boneless Separable Lean And Fat Trimmed To 0 Inch Fat Choice Cooked Grilled</t>
  </si>
  <si>
    <t>Beef Chuck Eye Steak Boneless Separable Lean And Fat Trimmed To 0 Inch Fat Select Cooked Grilled</t>
  </si>
  <si>
    <t>Beef Chuck Eye Steak Boneless Separable Lean And Fat Trimmed To 0 Inch Fat All Grades Raw</t>
  </si>
  <si>
    <t>Beef Rib Eye Steak Boneless Lip-On Separable Lean Only Trimmed To 1/8 Inch Fat Choice Cooked Grilled</t>
  </si>
  <si>
    <t>Beef Rib Eye Steak Boneless Lip-On Separable Lean Only Trimmed To 1/8 Inch Fat Select Cooked Grilled</t>
  </si>
  <si>
    <t>Beef Rib Eye Steak/roast Bone-In Lip-On Separable Lean Only Trimmed To 1/8 Inch Fat All Grades Raw</t>
  </si>
  <si>
    <t>Beef Rib Eye Steak/roast Bone-In Lip-On Separable Lean Only Trimmed To 1/8 Inch Fat Choice Raw</t>
  </si>
  <si>
    <t>Beef Rib Eye Steak Bone-In Lip-On Separable Lean Only Trimmed To 1/8 Inch Fat All Grades Cooked Grilled</t>
  </si>
  <si>
    <t>Beef Rib Eye Steak Bone-In Lip-On Separable Lean Only Trimmed To 1/8 Inch Fat Choice Cooked Grilled</t>
  </si>
  <si>
    <t>Beef Rib Eye Steak Bone-In Lip-On Separable Lean Only Trimmed To 1/8 Inch Fat Select Cooked Grilled</t>
  </si>
  <si>
    <t>Beef Rib Eye Roast Boneless Lip-On Separable Lean Only Trimmed To 1/8 Inch Fat All Grades Cooked Roasted</t>
  </si>
  <si>
    <t>Gjetost Cheese</t>
  </si>
  <si>
    <t>Gouda Cheese</t>
  </si>
  <si>
    <t>Gruyere Cheese</t>
  </si>
  <si>
    <t>Limburger Cheese</t>
  </si>
  <si>
    <t>Mozzarella (Hard And Lowfat)</t>
  </si>
  <si>
    <t>Muenster Cheese</t>
  </si>
  <si>
    <t>Neufchatel Cheese</t>
  </si>
  <si>
    <t>Grated Parmesan</t>
  </si>
  <si>
    <t>Lowfat Ricotta</t>
  </si>
  <si>
    <t>Romano Cheese</t>
  </si>
  <si>
    <t>Roquefort</t>
  </si>
  <si>
    <t>Swiss Cheese</t>
  </si>
  <si>
    <t>American Cheese</t>
  </si>
  <si>
    <t>Cheese Food Pasteurized Process Swiss</t>
  </si>
  <si>
    <t>American Cheese Spread</t>
  </si>
  <si>
    <t>Half And Half Cream</t>
  </si>
  <si>
    <t>Lowfat Sour Cream</t>
  </si>
  <si>
    <t>Cultured Sour Cream</t>
  </si>
  <si>
    <t>Eggnog</t>
  </si>
  <si>
    <t>Sour Dressing Non-Butterfat Cultured Filled Cream-Type</t>
  </si>
  <si>
    <t>Yogurt Greek 2%fat Coconut Blend Chobani</t>
  </si>
  <si>
    <t>Cream Substitute Liquid With Hydrogenated Vegetable Oil And Soy Protein</t>
  </si>
  <si>
    <t>Cream Substitute Liquid With Lauric Acid Oil And Sodium Caseinate</t>
  </si>
  <si>
    <t>Cream Substitute Powdered</t>
  </si>
  <si>
    <t>Milk Substitutes Fluid With Lauric Acid Oil</t>
  </si>
  <si>
    <t>Whole Milk</t>
  </si>
  <si>
    <t>High Fat Milk (3.7% Fat)</t>
  </si>
  <si>
    <t>Low-Fat Milk 2%</t>
  </si>
  <si>
    <t>Milk Lowfat Fluid 1% Milkfat Protein Fortified With Added Vitamin A And Vitamin D</t>
  </si>
  <si>
    <t>Skim Milk</t>
  </si>
  <si>
    <t>Milk Nonfat Fluid With Added Nonfat Milk Solids Vitamin A And Vitamin D (Fat Free Or Skim)</t>
  </si>
  <si>
    <t>Milk Nonfat Fluid Protein Fortified With Added Vitamin A And Vitamin D (Fat Free And Skim)</t>
  </si>
  <si>
    <t>Milk Dry Nonfat Instant With Added Vitamin A And Vitamin D</t>
  </si>
  <si>
    <t>Milk Dry Nonfat Calcium Reduced</t>
  </si>
  <si>
    <t>Milk Buttermilk Dried</t>
  </si>
  <si>
    <t>Sweetened Condensed Milk</t>
  </si>
  <si>
    <t>Milk Canned Evaporated With Added Vitamin D And Without Added Vitamin A</t>
  </si>
  <si>
    <t>Hot Cocoa</t>
  </si>
  <si>
    <t>Goat Milk</t>
  </si>
  <si>
    <t>Breast Milk (Human)</t>
  </si>
  <si>
    <t>Milk Indian Buffalo Fluid</t>
  </si>
  <si>
    <t>Dried Whey Powder (Acid)</t>
  </si>
  <si>
    <t>Sweet Whey Fluid</t>
  </si>
  <si>
    <t>Dried Sweet Whey Powder</t>
  </si>
  <si>
    <t>Plain Yogurt</t>
  </si>
  <si>
    <t>Yogurt Fruit Low Fat 10 Grams Protein Per 8 Ounce</t>
  </si>
  <si>
    <t>Yogurt Fruit Low Fat 11 Grams Protein Per 8 Ounce</t>
  </si>
  <si>
    <t>Eggs (Raw)</t>
  </si>
  <si>
    <t>Mexican Blend Cheese</t>
  </si>
  <si>
    <t>Cheese Product Pasteurized Process American Vitamin D Fortified</t>
  </si>
  <si>
    <t>Cheese Pasteurized Process American Without Added Vitamin D</t>
  </si>
  <si>
    <t>Cheese Food Pasteurized Process American Without Added Vitamin D</t>
  </si>
  <si>
    <t>Cheese Cheddar Reduced Fat</t>
  </si>
  <si>
    <t>Ice Cream Light Soft Serve Chocolate</t>
  </si>
  <si>
    <t>Ice Cream Bar Stick Or Nugget With Crunch Coating</t>
  </si>
  <si>
    <t>Cheddar Cheese (Non-Fat Or Fat Free)</t>
  </si>
  <si>
    <t>Yogurt Greek Nonfat Vanilla Chobani</t>
  </si>
  <si>
    <t>Yogurt Greek Strawberry Dannon Oikos</t>
  </si>
  <si>
    <t>Yogurt Greek Nonfat Vanilla Dannon Oikos</t>
  </si>
  <si>
    <t>Nonfat Strawberry Yogurt</t>
  </si>
  <si>
    <t>Lowfat Greek Strawberry Yogurt</t>
  </si>
  <si>
    <t>Kefir Lowfat Strawberry Lifeway</t>
  </si>
  <si>
    <t>Milk Evaporated 2% Fat With Added Vitamin A And Vitamin D</t>
  </si>
  <si>
    <t>Fatfree Chocolate Milk</t>
  </si>
  <si>
    <t>Greek Yogurt (Plain)</t>
  </si>
  <si>
    <t>Ice Cream Bar Covered With Chocolate And Nuts</t>
  </si>
  <si>
    <t>Ice Cream Sundae Cone</t>
  </si>
  <si>
    <t>Light Ice Cream Creamsicle</t>
  </si>
  <si>
    <t>Cream Half And Half Lowfat</t>
  </si>
  <si>
    <t>Yogurt Greek Whole Plain Chobani</t>
  </si>
  <si>
    <t>Yogurt Greek Nonfat Lemon Blend Chobani</t>
  </si>
  <si>
    <t>Yogurt Greek Nonfat Peach Chobani</t>
  </si>
  <si>
    <t>Yogurt Greek Nonfat Plain Chobani</t>
  </si>
  <si>
    <t>Yogurt Greek Nonfat Raspberry Chobani</t>
  </si>
  <si>
    <t>Butter Clarified Butter (Ghee)</t>
  </si>
  <si>
    <t>Ground Allspice</t>
  </si>
  <si>
    <t>Anise Seeds</t>
  </si>
  <si>
    <t>Dried Basil</t>
  </si>
  <si>
    <t>Dried Chervil</t>
  </si>
  <si>
    <t>Chili Powder</t>
  </si>
  <si>
    <t>Cinnamon</t>
  </si>
  <si>
    <t>Ground Cloves</t>
  </si>
  <si>
    <t>Dried Dill Weed</t>
  </si>
  <si>
    <t>Fennel Seed</t>
  </si>
  <si>
    <t>Fenugreek Seed</t>
  </si>
  <si>
    <t>Garlic Powder</t>
  </si>
  <si>
    <t>Ground Nutmeg</t>
  </si>
  <si>
    <t>Onion Powder</t>
  </si>
  <si>
    <t>Dried Oregano</t>
  </si>
  <si>
    <t>Paprika</t>
  </si>
  <si>
    <t>Poppy Seeds</t>
  </si>
  <si>
    <t>Poultry Seasoning</t>
  </si>
  <si>
    <t>Pumpkin Pie Spice</t>
  </si>
  <si>
    <t>Dried Rosemary</t>
  </si>
  <si>
    <t>Babyfood Vegetables Corn Creamed Junior</t>
  </si>
  <si>
    <t>Babyfood Fruit Bananas With Tapioca Strained</t>
  </si>
  <si>
    <t>Babyfood Fruit Peaches Strained</t>
  </si>
  <si>
    <t>Babyfood Fruit Peaches Junior</t>
  </si>
  <si>
    <t>Babyfood Fruit Pears Strained</t>
  </si>
  <si>
    <t>Babyfood Fruit Prunes With Tapioca Without Ascorbic Acid Junior</t>
  </si>
  <si>
    <t>Babyfood Prunes Without Vitamin C Strained</t>
  </si>
  <si>
    <t>Babyfood Fruit Dessert Mango With Tapioca</t>
  </si>
  <si>
    <t>Babyfood Pears Dices Toddler</t>
  </si>
  <si>
    <t>Babyfood Fruit Applesauce And Pineapple Strained</t>
  </si>
  <si>
    <t>Babyfood Fruit Applesauce And Pineapple Junior</t>
  </si>
  <si>
    <t>Babyfood Fruit Apple And Raspberry Strained</t>
  </si>
  <si>
    <t>Babyfood Fruit Apple And Raspberry Junior</t>
  </si>
  <si>
    <t>Babyfood Fruit Pears And Pineapple Junior</t>
  </si>
  <si>
    <t>Babyfood Fruit Guava And Papaya With Tapioca Strained</t>
  </si>
  <si>
    <t>Babyfood Peaches Dices Toddler</t>
  </si>
  <si>
    <t>Babyfood Fruit Papaya And Applesauce With Tapioca Strained</t>
  </si>
  <si>
    <t>Babyfood Apple-Banana Juice</t>
  </si>
  <si>
    <t>Babyfood Juice Apple And Peach</t>
  </si>
  <si>
    <t>Babyfood Juice Apple And Prune</t>
  </si>
  <si>
    <t>Babyfood Juice Orange</t>
  </si>
  <si>
    <t>Babyfood Juice Orange And Apple</t>
  </si>
  <si>
    <t>Babyfood Juice Prune And Orange</t>
  </si>
  <si>
    <t>Babyfood Juice Mixed Fruit</t>
  </si>
  <si>
    <t>Babyfood Cereal Barley Dry Fortified</t>
  </si>
  <si>
    <t>Babyfood Cereal Whole Wheat With Apples Dry Fortified</t>
  </si>
  <si>
    <t>Babyfood Cereal Oatmeal Dry Fortified</t>
  </si>
  <si>
    <t>Babyfood Cereal Oatmeal With Bananas Dry</t>
  </si>
  <si>
    <t>Babyfood Cereal Oatmeal With Applesauce And Bananas Strained</t>
  </si>
  <si>
    <t>Babyfood Cereal Oatmeal With Applesauce And Bananas Junior</t>
  </si>
  <si>
    <t>Babyfood Cereal With Egg Yolks Junior</t>
  </si>
  <si>
    <t>Babyfood Cereal With Eggs Strained</t>
  </si>
  <si>
    <t>Babyfood Cereal Egg Yolks And Bacon Junior</t>
  </si>
  <si>
    <t>Babyfood Oatmeal Cereal With Fruit Dry Instant Toddler Fortified</t>
  </si>
  <si>
    <t>Babyfood Cookie Baby Fruit</t>
  </si>
  <si>
    <t>Babyfood Cookies Arrowroot</t>
  </si>
  <si>
    <t>Babyfood Pretzels</t>
  </si>
  <si>
    <t>Babyfood Teething Biscuits</t>
  </si>
  <si>
    <t>Zwieback</t>
  </si>
  <si>
    <t>Babyfood Dessert Cherry Vanilla Pudding Junior</t>
  </si>
  <si>
    <t>Babyfood Dessert Fruit Pudding Orange Strained</t>
  </si>
  <si>
    <t>Babyfood Dessert Peach Cobbler Strained</t>
  </si>
  <si>
    <t>Babyfood Dessert Peach Cobbler Junior</t>
  </si>
  <si>
    <t>Babyfood Dessert Fruit Dessert Without Ascorbic Acid Junior</t>
  </si>
  <si>
    <t>Babyfood Dessert Tropical Fruit Junior</t>
  </si>
  <si>
    <t>Babyfood Dessert Custard Pudding Vanilla Strained</t>
  </si>
  <si>
    <t>Babyfood Dessert Custard Pudding Vanilla Junior</t>
  </si>
  <si>
    <t>Babyfood Juice Apple And Grape</t>
  </si>
  <si>
    <t>Infant Formula Abbott Nutrition Similac Isomil Advance With Iron Liquid Concentrate</t>
  </si>
  <si>
    <t>Infant Formula Abbott Nutrition Similac Isomil Advance With Iron Ready-To-Feed</t>
  </si>
  <si>
    <t>Infant Formula Abbott Nutrition Similac Isomil Advance With Iron Powder Not Reconstituted</t>
  </si>
  <si>
    <t>Infant Formula Nestle Good Start Supreme With Iron Dha And Ara Ready-To-Feed</t>
  </si>
  <si>
    <t>Infant Formula Nestle Good Start Supreme With Iron Dha And Ara Prepared From Liquid Concentrate</t>
  </si>
  <si>
    <t>Infant Formula Mead Johnson Enfamil Gentlease Lipil With Iron Prepared From Powder</t>
  </si>
  <si>
    <t>Babyfood Fortified Cereal Bar Fruit Filling</t>
  </si>
  <si>
    <t>Infant Formula Mead Johnson Enfamil Gentlease Powder</t>
  </si>
  <si>
    <t>Infant Formula Mead Johnson Enfamil Enfagrow Soy Toddler Ready-To-Feed</t>
  </si>
  <si>
    <t>Infant Formula Mead Johnson Enfamil Nutramigen Aa Ready-To-Feed</t>
  </si>
  <si>
    <t>Infant Formula Mead Johnson Enfamil Premature 20 Calories Ready-To-Feed</t>
  </si>
  <si>
    <t>Infant Formula Mead Johnson Enfamil Premature 24 Calo Ready-To-Feed</t>
  </si>
  <si>
    <t>Infant Formula Gerber Good Start 2 Protect Plus Ready-To-Feed</t>
  </si>
  <si>
    <t>Infant Formula Abbott Nutrition Similac Go And Grow Ready-To-Feed With Ara And Dha</t>
  </si>
  <si>
    <t>Infant Formula Abbott Nutrition Similac Expert Care Diarrhea Ready- To- Feed With Ara And Dha</t>
  </si>
  <si>
    <t>Infant Formula Abbott Nutrition Similac For Spit Up Ready-To-Feed With Ara And Dha</t>
  </si>
  <si>
    <t>Babyfood Snack Gerber Graduates Lil Crunchies Baked Whole Grain Corn Snack</t>
  </si>
  <si>
    <t>Infant Formula Abbott Nutrition Similac For Spit Up Powder With Ara And Dha</t>
  </si>
  <si>
    <t>Beef Tallow</t>
  </si>
  <si>
    <t>Lard</t>
  </si>
  <si>
    <t>Thousand Island</t>
  </si>
  <si>
    <t>Mayonnaise Salad Dressing</t>
  </si>
  <si>
    <t>Salad Dressing French Dressing Reduced Fat</t>
  </si>
  <si>
    <t>Italian Salad Dressing</t>
  </si>
  <si>
    <t>Salad Dressing Mayonnaise Imitation Soybean</t>
  </si>
  <si>
    <t>Salad Dressing Mayonnaise Imitation Milk Cream</t>
  </si>
  <si>
    <t>Salad Dressing Mayonnaise Imitation Soybean Without Cholesterol</t>
  </si>
  <si>
    <t>Sandwich Spread With Chopped Pickle Regular Unspecified Oils</t>
  </si>
  <si>
    <t>Peanut Oil</t>
  </si>
  <si>
    <t>Soybean Oil</t>
  </si>
  <si>
    <t>Coconut Oil</t>
  </si>
  <si>
    <t>Olive Oil</t>
  </si>
  <si>
    <t>Salad Dressing French Dressing Commercial Regular</t>
  </si>
  <si>
    <t>Margarine-Like Vegetable Oil Spread Unspecified Oils Approximately 37% Fat With Salt</t>
  </si>
  <si>
    <t>Salad Dressing French Home Recipe</t>
  </si>
  <si>
    <t>Salad Dressing Home Recipe Vinegar And Oil</t>
  </si>
  <si>
    <t>Salad Dressing Mayonnaise Soybean Oil Without Salt</t>
  </si>
  <si>
    <t>Salad Dressing French Cottonseed Oil Home Recipe</t>
  </si>
  <si>
    <t>Salad Dressing French Dressing Fat-Free</t>
  </si>
  <si>
    <t>Cocoa Butter</t>
  </si>
  <si>
    <t>Palm Kernel Oil</t>
  </si>
  <si>
    <t>Poppyseed Oil</t>
  </si>
  <si>
    <t>Tomatoseed Oil</t>
  </si>
  <si>
    <t>Teaseed Oil</t>
  </si>
  <si>
    <t>Soybean Lecithin</t>
  </si>
  <si>
    <t>Hazelnut Oil</t>
  </si>
  <si>
    <t>Oil Babassu</t>
  </si>
  <si>
    <t>Oil Sheanut</t>
  </si>
  <si>
    <t>Oil Pam Cooking Spray Original</t>
  </si>
  <si>
    <t>Margarine Margarine-Like Vegetable Oil Spread 67-70% Fat Tub</t>
  </si>
  <si>
    <t>Margarine 80% Fat Tub Canola Harvest Soft Spread (Canola Palm And Palm Kernel Oils)</t>
  </si>
  <si>
    <t>Oil Cooking And Salad Enova 80% Diglycerides</t>
  </si>
  <si>
    <t>Margarine-Like Vegetable Oil Spread Approximately 37% Fat Unspecified Oils With Salt With Added Vitamin D</t>
  </si>
  <si>
    <t>Margarine Regular 80% Fat Composite Stick With Salt With Added Vitamin D</t>
  </si>
  <si>
    <t>Margarine Regular 80% Fat Composite Tub With Salt With Added Vitamin D</t>
  </si>
  <si>
    <t>Margarine-Like Vegetable Oil Spread 60% Fat Stick With Salt With Added Vitamin D</t>
  </si>
  <si>
    <t>Oil Industrial Soy Low Linolenic</t>
  </si>
  <si>
    <t>Oil Industrial Soy Ultra Low Linolenic</t>
  </si>
  <si>
    <t>Oil Industrial Soy Fully Hydrogenated</t>
  </si>
  <si>
    <t>Oil Industrial Cottonseed Fully Hydrogenated</t>
  </si>
  <si>
    <t>Oil Flaxseed Contains Added Sliced Flaxseed</t>
  </si>
  <si>
    <t>Mayonnaise Reduced Fat With Olive Oil</t>
  </si>
  <si>
    <t>Salad Dressing Mayonnaise-Type Light</t>
  </si>
  <si>
    <t>Chicken Broiler Rotisserie BBQ Breast Meat Only</t>
  </si>
  <si>
    <t>Chicken Broilers Or Fryers Meat And Skin And Giblets And Neck Stewed</t>
  </si>
  <si>
    <t>Chicken Broilers Or Fryers Meat And Skin Raw</t>
  </si>
  <si>
    <t>Chicken Broilers Or Fryers Meat And Skin Cooked Fried Batter</t>
  </si>
  <si>
    <t>Chicken Broilers Or Fryers Meat And Skin Cooked Fried Flour</t>
  </si>
  <si>
    <t>Chicken Broilers Or Fryers Meat And Skin Cooked Roasted</t>
  </si>
  <si>
    <t>Chicken Broilers Or Fryers Meat Only Stewed</t>
  </si>
  <si>
    <t>Chicken Broilers Or Fryers Skin Only Raw</t>
  </si>
  <si>
    <t>Chicken Broilers Or Fryers Skin Only Cooked Fried Batter</t>
  </si>
  <si>
    <t>Chicken Broilers Or Fryers Skin Only Cooked Fried Flour</t>
  </si>
  <si>
    <t>Chicken Broilers Or Fryers Giblets Cooked Simmered</t>
  </si>
  <si>
    <t>Chicken Gizzard All Classes Raw</t>
  </si>
  <si>
    <t>Chicken Gizzard All Classes Cooked Simmered</t>
  </si>
  <si>
    <t>Chicken Heart All Classes Raw</t>
  </si>
  <si>
    <t>Chicken Broilers Or Fryers Light Meat Meat And Skin Cooked Fried Batter</t>
  </si>
  <si>
    <t>Chicken Broilers Or Fryers Light Meat Meat And Skin Cooked Fried Flour</t>
  </si>
  <si>
    <t>Chicken Broilers Or Fryers Light Meat Meat And Skin Cooked Roasted</t>
  </si>
  <si>
    <t>Chicken Broilers Or Fryers Light Meat Meat And Skin Cooked Stewed</t>
  </si>
  <si>
    <t>Chicken Broilers Or Fryers Dark Meat Meat And Skin Raw</t>
  </si>
  <si>
    <t>Chicken Broilers Or Fryers Light Meat Meat Only Raw</t>
  </si>
  <si>
    <t>Chicken Broilers Or Fryers Light Meat Meat Only Cooked Fried</t>
  </si>
  <si>
    <t>Chicken Broilers Or Fryers Light Meat Meat Only Cooked Roasted</t>
  </si>
  <si>
    <t>Chicken Broilers Or Fryers Light Meat Meat Only Cooked Stewed</t>
  </si>
  <si>
    <t>Chicken Broilers Or Fryers Separable Fat Raw</t>
  </si>
  <si>
    <t>Chicken Broilers Or Fryers Back Meat And Skin Raw</t>
  </si>
  <si>
    <t>Chicken Broilers Or Fryers Back Meat And Skin Cooked Fried Batter</t>
  </si>
  <si>
    <t>Chicken Broilers Or Fryers Back Meat And Skin Cooked Fried Flour</t>
  </si>
  <si>
    <t>Chicken Broilers Or Fryers Back Meat Only Cooked Roasted</t>
  </si>
  <si>
    <t>Chicken Broilers Or Fryers Back Meat Only Cooked Stewed</t>
  </si>
  <si>
    <t>Chicken Broilers Or Fryers Breast Meat And Skin Raw</t>
  </si>
  <si>
    <t>Chicken Broilers Or Fryers Breast Meat And Skin Cooked Fried Batter</t>
  </si>
  <si>
    <t>Chicken Broilers Or Fryers Breast Meat And Skin Cooked Fried Flour</t>
  </si>
  <si>
    <t>Roasted Chicken Breast</t>
  </si>
  <si>
    <t>Chicken Broilers Or Fryers Breast Meat Only Cooked Stewed</t>
  </si>
  <si>
    <t>Roasted Turkey</t>
  </si>
  <si>
    <t>Turkey Whole Meat Only Raw</t>
  </si>
  <si>
    <t>Roast Turkey (Without Skin)</t>
  </si>
  <si>
    <t>Turkey Skin From Whole (Light And Dark) Raw</t>
  </si>
  <si>
    <t>Turkey Gizzard All Classes Cooked Simmered</t>
  </si>
  <si>
    <t>Turkey Heart All Classes Raw</t>
  </si>
  <si>
    <t>Turkey Heart All Classes Cooked Simmered</t>
  </si>
  <si>
    <t>Turkey Liver All Classes Raw</t>
  </si>
  <si>
    <t>Turkey Liver All Classes Cooked Simmered</t>
  </si>
  <si>
    <t>Turkey Dark Meat Meat And Skin Raw</t>
  </si>
  <si>
    <t>Turkey Dark Meat From Whole Meat And Skin Cooked Roasted</t>
  </si>
  <si>
    <t>Turkey From Whole Light Meat Raw</t>
  </si>
  <si>
    <t>Roasted Turkey Light Meat</t>
  </si>
  <si>
    <t>Turkey All Classes Breast Meat And Skin Cooked Roasted</t>
  </si>
  <si>
    <t>Turkey All Classes Leg Meat And Skin Raw</t>
  </si>
  <si>
    <t>Turkey All Classes Leg Meat And Skin Cooked Roasted</t>
  </si>
  <si>
    <t>Turkey All Classes Wing Meat And Skin Raw</t>
  </si>
  <si>
    <t>Roasted Turkey Breast</t>
  </si>
  <si>
    <t>Turkey Wing From Whole Bird Meat Only Raw</t>
  </si>
  <si>
    <t>Turkey Wing From Whole Bird Meat Only Roasted</t>
  </si>
  <si>
    <t>Turkey Young Hen Skin Only Cooked Roasted</t>
  </si>
  <si>
    <t>Turkey And Gravy Frozen</t>
  </si>
  <si>
    <t>Turkey Breast Pre-Basted Meat And Skin Cooked Roasted</t>
  </si>
  <si>
    <t>Turkey Thigh Pre-Basted Meat And Skin Cooked Roasted</t>
  </si>
  <si>
    <t>Turkey Roast Boneless Frozen Seasoned Light And Dark Meat Raw</t>
  </si>
  <si>
    <t>Turkey Mechanically Deboned From Turkey Frames Raw</t>
  </si>
  <si>
    <t>Ground Turkey Raw</t>
  </si>
  <si>
    <t>Ground Turkey Cooked</t>
  </si>
  <si>
    <t>Chicken Cornish Game Hens Meat And Skin Raw</t>
  </si>
  <si>
    <t>Chicken Wing Frozen Glazed Barbecue Flavored Heated (Microwave)</t>
  </si>
  <si>
    <t>Chicken Broilers Or Fryers Breast Skinless Boneless Meat Only With Added Solution Raw</t>
  </si>
  <si>
    <t>Duck Young Duckling Domesticated White Pekin Breast Meat And Skin Boneless Cooked Roasted</t>
  </si>
  <si>
    <t>Duck Young Duckling Domesticated White Pekin Breast Meat Only Boneless Cooked Without Skin Broiled</t>
  </si>
  <si>
    <t>Chicken Patty Frozen Uncooked</t>
  </si>
  <si>
    <t>Chicken Patty Frozen Cooked</t>
  </si>
  <si>
    <t>Chicken Breast Tenders Breaded Cooked Microwaved</t>
  </si>
  <si>
    <t>Chicken Breast Tenders Breaded Uncooked</t>
  </si>
  <si>
    <t>Chicken Broiler Rotisserie BBQ Wing Meat Only</t>
  </si>
  <si>
    <t>Chicken Broilers Or Fryers Back Meat Only Cooked Rotisserie Original Seasoning</t>
  </si>
  <si>
    <t>Chicken Broilers Or Fryers Breast Meat Only Cooked Rotisserie Original Seasoning</t>
  </si>
  <si>
    <t>Chicken Broilers Or Fryers Drumstick Meat Only Cooked Rotisserie Original Seasoning</t>
  </si>
  <si>
    <t>Chicken Broilers Or Fryers Skin Only Cooked Rotisserie Original Seasoning</t>
  </si>
  <si>
    <t>Chicken Broilers Or Fryers Drumstick Meat And Skin Cooked Rotisserie Original Seasoning</t>
  </si>
  <si>
    <t>Chicken Broilers Or Fryers Thigh Meat And Skin Cooked Rotisserie Original Seasoning</t>
  </si>
  <si>
    <t>Chicken Broilers Or Fryers Wing Meat And Skin Cooked Rotisserie Original Seasoning</t>
  </si>
  <si>
    <t>Chicken Broiler Rotisserie BBQ Skin</t>
  </si>
  <si>
    <t>Turkey Drumstick From Whole Bird Meat Only With Added Solution Raw</t>
  </si>
  <si>
    <t>Turkey Wing From Whole Bird Meat Only With Added Solution Raw</t>
  </si>
  <si>
    <t>Turkey Wing From Whole Bird Meat Only With Added Solution Roasted</t>
  </si>
  <si>
    <t>Turkey Retail Parts Breast Meat And Skin Raw</t>
  </si>
  <si>
    <t>Turkey Retail Parts Breast Meat And Skin Cooked Roasted</t>
  </si>
  <si>
    <t>Roasted Turkey Drumstick</t>
  </si>
  <si>
    <t>Turkey Thigh From Whole Bird Meat Only Raw</t>
  </si>
  <si>
    <t>Roasted Turkey Thigh</t>
  </si>
  <si>
    <t>Turkey Retail Parts Thigh Meat And Skin Raw</t>
  </si>
  <si>
    <t>Chicken Broiler Or Fryers Breast Skinless Boneless Meat Only Cooked Grilled</t>
  </si>
  <si>
    <t>Chicken Broiler Or Fryers Breast Skinless Boneless Meat Only With Added Solution Cooked Braised</t>
  </si>
  <si>
    <t>Chicken Broiler Or Fryers Breast Skinless Boneless Meat Only With Added Solution Cooked Grilled</t>
  </si>
  <si>
    <t>Soup Cream Of Asparagus Canned Condensed</t>
  </si>
  <si>
    <t>Soup Beef Broth Or Bouillon Canned Ready-To-Serve</t>
  </si>
  <si>
    <t>Soup Beef Noodle Canned Condensed</t>
  </si>
  <si>
    <t>Soup Cream Of Celery Canned Condensed</t>
  </si>
  <si>
    <t>Soup Cheese Canned Condensed</t>
  </si>
  <si>
    <t>Soup Chicken Broth Canned Condensed</t>
  </si>
  <si>
    <t>Soup Chicken Noodle Canned Condensed</t>
  </si>
  <si>
    <t>Soup Chicken Rice Canned Chunky Ready-To-Serve</t>
  </si>
  <si>
    <t>Soup Chicken With Rice Canned Condensed</t>
  </si>
  <si>
    <t>Soup Chicken And Vegetable Canned Ready-To-Serve</t>
  </si>
  <si>
    <t>Soup Clam Chowder New England Canned Condensed</t>
  </si>
  <si>
    <t>Soup Beef Broth Bouillon And Consomme Canned Condensed</t>
  </si>
  <si>
    <t>Soup Lentil With Ham Canned Ready-To-Serve</t>
  </si>
  <si>
    <t>Canned Minestrone</t>
  </si>
  <si>
    <t>Soup Onion Canned Condensed</t>
  </si>
  <si>
    <t>Soup Cream Of Onion Canned Condensed</t>
  </si>
  <si>
    <t>Soup Oyster Stew Canned Condensed</t>
  </si>
  <si>
    <t>Soup Pea Green Canned Condensed</t>
  </si>
  <si>
    <t>Soup Pea Split With Ham Canned Chunky Ready-To-Serve</t>
  </si>
  <si>
    <t>Campbells Red And White Chicken Noodle Soup Condensed</t>
  </si>
  <si>
    <t>Soup Tomato Rice Canned Condensed</t>
  </si>
  <si>
    <t>Soup Turkey Chunky Canned Ready-To-Serve</t>
  </si>
  <si>
    <t>Soup Chunky Vegetable Canned Ready-To-Serve</t>
  </si>
  <si>
    <t>Soup Beef Broth Or Bouillon Powder Dry</t>
  </si>
  <si>
    <t>Soup Beef Broth Cubed Dry</t>
  </si>
  <si>
    <t>Soup Chicken Broth Or Bouillon Dry</t>
  </si>
  <si>
    <t>Soup Chicken Broth Cubes Dry</t>
  </si>
  <si>
    <t>Gravy Beef Canned Ready-To-Serve</t>
  </si>
  <si>
    <t>Gravy Brown Dry</t>
  </si>
  <si>
    <t>Gravy Chicken Canned Or Bottled Ready-To-Serve</t>
  </si>
  <si>
    <t>Gravy Chicken Dry</t>
  </si>
  <si>
    <t>Gravy Turkey Canned Ready-To-Serve</t>
  </si>
  <si>
    <t>Gravy Turkey Dry</t>
  </si>
  <si>
    <t>Gravy Unspecified Type Dry</t>
  </si>
  <si>
    <t>Soup Chicken Noodle Dry Mix</t>
  </si>
  <si>
    <t>Soup Beef Mushroom Canned Prepared With Equal Volume Water</t>
  </si>
  <si>
    <t>Soup Chicken Mushroom Canned Prepared With Equal Volume Water</t>
  </si>
  <si>
    <t>Soup Tomato Bisque Canned Prepared With Equal Volume Water</t>
  </si>
  <si>
    <t>Sauce Peanut Made From Coconut Water Sugar Peanuts</t>
  </si>
  <si>
    <t>Smart Soup Santa Fe Corn Chowder</t>
  </si>
  <si>
    <t>Smart Soup French Lentil</t>
  </si>
  <si>
    <t>Smart Soup Greek Minestrone</t>
  </si>
  <si>
    <t>Pesto</t>
  </si>
  <si>
    <t>Sauce Pesto Ready-To-Serve Shelf Stable</t>
  </si>
  <si>
    <t>Sauce Pesto Buitoni Pesto With Basil Ready-To-Serve Refrigerated</t>
  </si>
  <si>
    <t>Sauce Pesto Classico Basil Pesto Ready-To-Serve</t>
  </si>
  <si>
    <t>Vegetable Broth</t>
  </si>
  <si>
    <t>Sauce Cheese Sauce Mix Dry</t>
  </si>
  <si>
    <t>Soup Chicken Corn Chowder Chunky Ready-To-Serve Single Brand</t>
  </si>
  <si>
    <t>Soup Bean With Bacon Condensed Single Brand</t>
  </si>
  <si>
    <t>Soup Tomato Canned Condensed Reduced Sodium</t>
  </si>
  <si>
    <t>Gravy Brown Instant Dry</t>
  </si>
  <si>
    <t>Gravy Instant Beef Dry</t>
  </si>
  <si>
    <t>Gravy Instant Turkey Dry</t>
  </si>
  <si>
    <t>Soup Tomato Low Sodium With Water</t>
  </si>
  <si>
    <t>Soup Pea Low Sodium Prepared With Equal Volume Water</t>
  </si>
  <si>
    <t>Soup Chicken Noodle Low Sodium Canned Prepared With Equal Volume Water</t>
  </si>
  <si>
    <t>Soup Vegetable Soup Condensed Low Sodium Prepared With Equal Volume Water</t>
  </si>
  <si>
    <t>Sauce Tomato Chili Sauce Bottled With Salt</t>
  </si>
  <si>
    <t>Soup Vegetable Chicken Canned Prepared With Water Low Sodium</t>
  </si>
  <si>
    <t>Sauce Pasta Spaghetti/marinara Ready-To-Serve Low Sodium</t>
  </si>
  <si>
    <t>Gravy Meat Or Poultry Low Sodium Prepared</t>
  </si>
  <si>
    <t>Gravy Heinz Home Style Savory Beef</t>
  </si>
  <si>
    <t>Gravy Campbells Chicken</t>
  </si>
  <si>
    <t>Barbecue Loaf Pork Beef</t>
  </si>
  <si>
    <t>Soup Cream Of Chicken Canned Condensed Reduced Sodium</t>
  </si>
  <si>
    <t>Sauce Alfredo Mix Dry</t>
  </si>
  <si>
    <t>Sauce Peppers Hot Chili Mature Red Canned</t>
  </si>
  <si>
    <t>Sauce Chili Peppers Hot Immature Green Canned</t>
  </si>
  <si>
    <t>Fish Broth</t>
  </si>
  <si>
    <t>Soup Cream Of Mushroom Low Sodium Ready-To-Serve Canned</t>
  </si>
  <si>
    <t>Potato Soup Instant Dry Mix</t>
  </si>
  <si>
    <t>Soup Chicken Broth Low Sodium Canned</t>
  </si>
  <si>
    <t>Worcestershire Sauce</t>
  </si>
  <si>
    <t>Soup Beef And Mushroom Low Sodium Chunk Style</t>
  </si>
  <si>
    <t>Soup Beef Stroganoff Canned Chunky Style Ready-To-Serve</t>
  </si>
  <si>
    <t>Soup Bouillon Cubes And Granules Low Sodium Dry</t>
  </si>
  <si>
    <t>Soup Ramen Noodle Beef Flavor Dry</t>
  </si>
  <si>
    <t>Soup Ramen Noodle Chicken Flavor Dry</t>
  </si>
  <si>
    <t>Pork Beerwurst</t>
  </si>
  <si>
    <t>Berliner Sausage</t>
  </si>
  <si>
    <t>Blood Sausage</t>
  </si>
  <si>
    <t>Bockwurst Pork Veal Raw</t>
  </si>
  <si>
    <t>Pork Bratwurst</t>
  </si>
  <si>
    <t>Braunschweiger Pork Liver Sausage</t>
  </si>
  <si>
    <t>Brotwurst Pork Beef Link</t>
  </si>
  <si>
    <t>Cheesefurter Cheese Smokie Pork Beef</t>
  </si>
  <si>
    <t>Chicken Hotdog</t>
  </si>
  <si>
    <t>Turkey Hotdog</t>
  </si>
  <si>
    <t>Canned Ham</t>
  </si>
  <si>
    <t>Ham Chopped Not Canned</t>
  </si>
  <si>
    <t>Ham And Cheese Loaf Or Roll</t>
  </si>
  <si>
    <t>Ham And Cheese Spread</t>
  </si>
  <si>
    <t>Headcheese Pork</t>
  </si>
  <si>
    <t>Sausage Italian Pork Raw</t>
  </si>
  <si>
    <t>Pork And Turkey Sausage Pre-Cooked</t>
  </si>
  <si>
    <t>Frankfurter Meat And Poultry Cooked Boiled</t>
  </si>
  <si>
    <t>Frankfurter Meat And Poultry Cooked Grilled</t>
  </si>
  <si>
    <t>Pork Sausage Link/patty Reduced Fat Unprepared</t>
  </si>
  <si>
    <t>Pork Sausage Link/patty Reduced Fat Cooked Pan-Fried</t>
  </si>
  <si>
    <t>Bologna Meat And Poultry</t>
  </si>
  <si>
    <t>Meatballs Frozen Italian Style</t>
  </si>
  <si>
    <t>Turkey Bacon Microwaved</t>
  </si>
  <si>
    <t>Bacon Turkey Low Sodium</t>
  </si>
  <si>
    <t>Post Alpha-Bits</t>
  </si>
  <si>
    <t>Quaker Capn Crunch</t>
  </si>
  <si>
    <t>Quaker Capn Crunch With Crunchberries</t>
  </si>
  <si>
    <t>Quaker Capn Crunchs Peanut Butter Crunch</t>
  </si>
  <si>
    <t>Post Fruity Pebbles</t>
  </si>
  <si>
    <t>Granola Homemade</t>
  </si>
  <si>
    <t>Post Grape-Nuts Cereal</t>
  </si>
  <si>
    <t>Post Grape-Nuts Flakes</t>
  </si>
  <si>
    <t>Quaker Sweet Crunch/quisp</t>
  </si>
  <si>
    <t>Post Raisin Bran Cereal</t>
  </si>
  <si>
    <t>Quaker Quaker Puffed Rice</t>
  </si>
  <si>
    <t>Post Golden Crisp</t>
  </si>
  <si>
    <t>Sun Country Kretschmer Honey Crunch Wheat Germ</t>
  </si>
  <si>
    <t>Corn Grits White Regular And Quick Enriched Dry</t>
  </si>
  <si>
    <t>White Cornmeal (Grits)</t>
  </si>
  <si>
    <t>Quaker Corn Grits Instant Plain Dry</t>
  </si>
  <si>
    <t>Cream Of Wheat Regular (10 Minute) Cooked With Water Without Salt</t>
  </si>
  <si>
    <t>Farina Enriched Assorted Brands Including Cream Of Wheat Quick (1-3 Minutes) Dry</t>
  </si>
  <si>
    <t>Farina Enriched Assorted Brands Including Cream Of Wheat Quick (1-3 Minutes) Cooked With Wat</t>
  </si>
  <si>
    <t>Cream Of Wheat Instant Dry</t>
  </si>
  <si>
    <t>Oats Instant Fortified Plain Dry</t>
  </si>
  <si>
    <t>Oats Instant Fortified Plain Prepared With Water (Boiling Water Added Or Microwaved)</t>
  </si>
  <si>
    <t>Quaker Instant Oatmeal Apples And Cinnamon Dry</t>
  </si>
  <si>
    <t>Oats Instant Fortified With Cinnamon And Spice Dry</t>
  </si>
  <si>
    <t>Wheatena Dry</t>
  </si>
  <si>
    <t>Wheatena Cooked With Water</t>
  </si>
  <si>
    <t>Whole Wheat Hot Natural Cereal Dry</t>
  </si>
  <si>
    <t>Whole Wheat Hot Natural Cereal Cooked With Water Without Salt</t>
  </si>
  <si>
    <t>Quaker Quaker Puffed Wheat</t>
  </si>
  <si>
    <t>Corn Grits Yellow Regular And Quick Unenriched Dry</t>
  </si>
  <si>
    <t>Corn Grits White Regular And Quick Enriched Cooked With Water With Salt</t>
  </si>
  <si>
    <t>Yellow Cornmeal (Grits)</t>
  </si>
  <si>
    <t>Corn Grits Yellow Regular Quick Enriched Cooked With Water With Salt</t>
  </si>
  <si>
    <t>Malt-O-Meal Chocolate Dry</t>
  </si>
  <si>
    <t>Oats Regular And Quick And Instant Unenriched Cooked With Water (Includes Boiling And Microw</t>
  </si>
  <si>
    <t>Wheatena Cooked With Water With Salt</t>
  </si>
  <si>
    <t>Whole Wheat Hot Natural Cereal Cooked With Water With Salt</t>
  </si>
  <si>
    <t>Malt-O-Meal Blueberry Mini Spooners</t>
  </si>
  <si>
    <t>Malt-O-Meal Oat Blenders With Honey</t>
  </si>
  <si>
    <t>Malt-O-Meal Oat Blenders With Honey &amp; Almonds</t>
  </si>
  <si>
    <t>Malt-O-Meal Honey Nut Scooters</t>
  </si>
  <si>
    <t>Quaker Instant Oatmeal Cinnamon Swirl High Fiber</t>
  </si>
  <si>
    <t>Quaker Oatmeal Real Medleys Blueberry Hazelnut Dry</t>
  </si>
  <si>
    <t>Quaker Oatmeal Real Medleys Apple Walnut Dry</t>
  </si>
  <si>
    <t>Quaker Oatmeal Real Medleys Summer Berry Dry</t>
  </si>
  <si>
    <t>Acerola Cherries (West Indian Cherry)</t>
  </si>
  <si>
    <t>Acerola Juice Raw</t>
  </si>
  <si>
    <t>Apples</t>
  </si>
  <si>
    <t>Apples (Without Skin)</t>
  </si>
  <si>
    <t>Apples Dehydrated (Low Moisture) Sulfured Stewed</t>
  </si>
  <si>
    <t>Dried Apples</t>
  </si>
  <si>
    <t>Apples Dried Sulfured Stewed Without Added Sugar</t>
  </si>
  <si>
    <t>Apples Dried Sulfured Stewed With Added Sugar</t>
  </si>
  <si>
    <t>Apples Frozen Unsweetened Unheated</t>
  </si>
  <si>
    <t>Applesauce Canned Unsweetened Without Added Ascorbic Acid (Includes USDA Commodity)</t>
  </si>
  <si>
    <t>Applesauce Canned Sweetened Without Salt (Includes USDA Commodity)</t>
  </si>
  <si>
    <t>Apricots</t>
  </si>
  <si>
    <t>Apricots Canned Water Pack With Skin Solids And Liquids</t>
  </si>
  <si>
    <t>Apricots Canned Heavy Syrup Pack With Skin Solids And Liquids</t>
  </si>
  <si>
    <t>Apricots Canned Heavy Syrup Pack Without Skin Solids And Liquids</t>
  </si>
  <si>
    <t>Apricots Canned Extra Heavy Syrup Pack Without Skin Solids And Liquids</t>
  </si>
  <si>
    <t>Low-Moisture Dried Apricots</t>
  </si>
  <si>
    <t>Apricots Frozen Sweetened</t>
  </si>
  <si>
    <t>Apricot Nectar Canned Without Added Ascorbic Acid</t>
  </si>
  <si>
    <t>Avocados</t>
  </si>
  <si>
    <t>California Avocados</t>
  </si>
  <si>
    <t>Florida Avocados</t>
  </si>
  <si>
    <t>Cherries Tart Dried Sweetened</t>
  </si>
  <si>
    <t>Blackberries Canned Heavy Syrup Solids And Liquids</t>
  </si>
  <si>
    <t>Blackberries Frozen Unsweetened</t>
  </si>
  <si>
    <t>Blueberries</t>
  </si>
  <si>
    <t>Boysenberries Canned Heavy Syrup</t>
  </si>
  <si>
    <t>Boysenberries (Frozen)</t>
  </si>
  <si>
    <t>Breadfruit</t>
  </si>
  <si>
    <t>Starfruit (Carambola)</t>
  </si>
  <si>
    <t>Cherries Sour Red Canned Heavy Syrup Pack Solids And Liquids</t>
  </si>
  <si>
    <t>Cherries Sour Red Canned Extra Heavy Syrup Pack Solids And Liquids</t>
  </si>
  <si>
    <t>Sour Red Cherries (Frozen)</t>
  </si>
  <si>
    <t>Cherries (Sweet)</t>
  </si>
  <si>
    <t>Cherries Sweet Canned Extra Heavy Syrup Pack Solids And Liquids</t>
  </si>
  <si>
    <t>Crabapples</t>
  </si>
  <si>
    <t>Cranberries</t>
  </si>
  <si>
    <t>Dried Cranberries (Sweetened)</t>
  </si>
  <si>
    <t>Zante Currants</t>
  </si>
  <si>
    <t>Custard-Apple</t>
  </si>
  <si>
    <t>Dates (Deglet Noor)</t>
  </si>
  <si>
    <t>Elderberries</t>
  </si>
  <si>
    <t>Beef Australian Imported Grass-Fed  External Fat Raw</t>
  </si>
  <si>
    <t>Beef Australian Imported Grass-Fed Seam Fat Raw</t>
  </si>
  <si>
    <t>Beef Australian Imported Wagyu External Fat Aust. Marble Score 4/5 Raw</t>
  </si>
  <si>
    <t>Beef Australian Imported Wagyu Seam Fat Aust. Marble Score 4/5 Raw</t>
  </si>
  <si>
    <t>Beef Australian Imported Wagyu Loin Tenderloin Steak/roast Boneless Separable Lean And Fat Aust. Marble Score 4/5 Raw</t>
  </si>
  <si>
    <t>Beef Australian Imported Grass-Fed Loin Top Loin Steak/roast Boneless Separable Lean And Fat Raw</t>
  </si>
  <si>
    <t>Beef Australian Imported Grass-Fed Loin Top Sirloin Cap-Off Steak/roast Boneless Separable Lean Only Raw</t>
  </si>
  <si>
    <t>Beef Australian Imported Grass-Fed Rib Ribeye Steak/roast Lip-On Boneless Separable Lean Only Raw</t>
  </si>
  <si>
    <t>Beef Australian Imported Wagyu Loin Top Loin Steak/roast Boneless Separable Lean Only Aust. Marble Score 9 Raw</t>
  </si>
  <si>
    <t>Beef Australian Imported Wagyu Rib Small End Rib Steak/roast Boneless Separable Lean Only Aust. Marble Score 4/5 Raw</t>
  </si>
  <si>
    <t>Beef Australian Imported Wagyu Rib Small End Rib Steak/roast Boneless Separable Lean Only Aust. Marble Score 9 Raw</t>
  </si>
  <si>
    <t>Beef Australian Imported Grass-Fed Loin Top Sirloin Cap-Off Steak/roast Boneless Separable Lean And Fat Raw</t>
  </si>
  <si>
    <t>Beef Australian Imported Wagyu Rib Small End Rib Steak/roast Boneless Separable Lean And Fat Aust. Marble Score 4/5 Raw</t>
  </si>
  <si>
    <t>Beef Australian Imported Wagyu Rib Small End Rib Steak/roast Boneless Separable Lean And Fat Aust. Marble Score 9 Raw</t>
  </si>
  <si>
    <t>Beef Australian Imported Wagyu Loin Tenderloin Steak/roast Boneless Separable Lean And Fat Aust. Marble Score 9 Raw</t>
  </si>
  <si>
    <t>Beef Round Top Round Steak Boneless Separable Lean And Fat Trimmed To 0 Inch Fat All Grades Raw</t>
  </si>
  <si>
    <t>Beef Round Top Round Roast Boneless Separable Lean And Fat Trimmed To 0 Inch Fat Select Raw</t>
  </si>
  <si>
    <t>Beef Round Eye Of Round Roast Boneless Separable Lean And Fat Trimmed To 0 Inch Fat All Grades Raw</t>
  </si>
  <si>
    <t>Beef Round Eye Of Round Roast Boneless Separable Lean And Fat Trimmed To 0 Inch Fat Choice Raw</t>
  </si>
  <si>
    <t>Beef Round Eye Of Round Roast Boneless Separable Lean And Fat Trimmed To 0 Inch Fat Select Raw</t>
  </si>
  <si>
    <t>Beef Loin Tenderloin Roast Boneless Separable Lean And Fat Trimmed To 0 Inch Fat Choice Raw</t>
  </si>
  <si>
    <t>Beef Loin Tenderloin Roast Boneless Separable Lean And Fat Trimmed To 0 Inch Fat Select Raw</t>
  </si>
  <si>
    <t>Beef Loin Top Loin Steak Boneless Lip Off Separable Lean And Fat Trimmed To 0 Inch Fat All Grades Raw</t>
  </si>
  <si>
    <t>Beef Loin Top Loin Steak Boneless Lip Off Separable Lean And Fat Trimmed To 0 Inch Fat Choice Raw</t>
  </si>
  <si>
    <t>Beef Loin Top Loin Steak Boneless Lip Off Separable Lean And Fat Trimmed To 0 Inch Fat Select Raw</t>
  </si>
  <si>
    <t>Beef Loin Tenderloin Roast Boneless Separable Lean And Fat Trimmed To 0 Inch Fat Choice Cooked Roasted</t>
  </si>
  <si>
    <t>Beef Loin Tenderloin Roast Boneless Separable Lean And Fat Trimmed To 0 Inch Fat Select Cooked Roasted</t>
  </si>
  <si>
    <t>Beef Round Top Round Roast Boneless Separable Lean And Fat Trimmed To 0 Inch Fat All Grades Cooked Roasted</t>
  </si>
  <si>
    <t>Beef Round Top Round Roast Boneless Separable Lean And Fat Trimmed To 0 Inch Fat Choice Cooked Roasted</t>
  </si>
  <si>
    <t>Beef Round Top Round Steak Boneless Separable Lean Only Trimmed To 0 Inch Fat All Grades Raw</t>
  </si>
  <si>
    <t>Beef Round Top Round Steak Boneless Separable Lean Only Trimmed To 0 Inch Fat Choice Raw</t>
  </si>
  <si>
    <t>Beef Round Top Round Steak Boneless Separable Lean Only Trimmed To 0 Inch Fat Select Raw</t>
  </si>
  <si>
    <t>Beef Round Top Round Roast Boneless Separable Lean Only Trimmed To 0 Inch Fat All Grades Raw</t>
  </si>
  <si>
    <t>Beef Round Eye Of Round Roast Boneless Separable Lean Only Trimmed To 0 Inch Fat Select Raw</t>
  </si>
  <si>
    <t>Beef Round Eye Of Round Steak Boneless Separable Lean Only Trimmed To 0 Inch Fat All Grades Raw</t>
  </si>
  <si>
    <t>Beef Round Eye Of Round Steak Boneless Separable Lean Only Trimmed To 0 Inch Fat Choice Raw</t>
  </si>
  <si>
    <t>Beef Round Eye Of Round Steak Boneless Separable Lean Only Trimmed To 0 Inch Fat Select Raw</t>
  </si>
  <si>
    <t>Beef Loin Tenderloin Roast Boneless Separable Lean Only Trimmed To 0 Inch Fat All Grades Raw</t>
  </si>
  <si>
    <t>Beef Loin Top Loin Steak Boneless Lip Off Separable Lean Only Trimmed To 0 Inch Fat Select Raw</t>
  </si>
  <si>
    <t>Beef Loin Tenderloin Steak Boneless Separable Lean Only Trimmed To 0 Inch Fat All Grades Raw</t>
  </si>
  <si>
    <t>Beef Loin Tenderloin Steak Boneless Separable Lean Only Trimmed To 0 Inch Fat Choice Raw</t>
  </si>
  <si>
    <t>Beef Loin Tenderloin Steak Boneless Separable Lean Only Trimmed To 0 Inch Fat Select Raw</t>
  </si>
  <si>
    <t>Beef Round Top Round Roast Boneless Separable Lean Only Trimmed To 0 Inch Fat Choice Cooked Roasted</t>
  </si>
  <si>
    <t>Beef Round Top Round Roast Boneless Separable Lean Only Trimmed To 0 Inch Fat Select Cooked Roasted</t>
  </si>
  <si>
    <t>Beef Round Eye Of Round Steak Boneless Separable Lean Only Trimmed To 0 Inch Fat All Grades Cooked Grilled</t>
  </si>
  <si>
    <t>Beef Round Eye Of Round Steak Boneless Separable Lean Only Trimmed To 0 Inch Fat Choice Cooked Grilled</t>
  </si>
  <si>
    <t>Beef Loin Top Loin Steak Boneless Lip-On Separable Lean And Fat Trimmed To 1/8 Inch Fat Select Raw</t>
  </si>
  <si>
    <t>Beef Loin Top Loin Steak Boneless Lip-On Separable Lean And Fat Trimmed To 1/8 Inch Fat All Grades Raw</t>
  </si>
  <si>
    <t>Beef Composite Of Trimmed Retail Cuts Separable Lean Only Trimmed To 0 Inch Fat Select Raw</t>
  </si>
  <si>
    <t>Beef Composite Of Trimmed Retail Cuts Separable Lean And Fat Trimmed To 0 Inch Fat Select Raw</t>
  </si>
  <si>
    <t>Beef Composite Of Trimmed Retail Cuts Separable Lean Only Trimmed To 1/8 Inch Fat Select Cooked</t>
  </si>
  <si>
    <t>Beef Composite Of Trimmed Retail Cuts Separable Lean Only Trimmed To 1/8 Inch Fat Select Raw</t>
  </si>
  <si>
    <t>Beef Chuck Clod Roast Separable Lean Only Trimmed To 1/4 Inch Fat All Grades Cooked Roasted</t>
  </si>
  <si>
    <t>Beef Shoulder Steak Boneless Separable Lean Only Trimmed To 0 Inch Fat All Grades Cooked Grilled</t>
  </si>
  <si>
    <t>Beef Chuck Clod Steak Separable Lean Only Trimmed To 1/4 Inch Fat All Grades Cooked Braised</t>
  </si>
  <si>
    <t>Beef Chuck Mock Tender Steak Separable Lean And Fat Trimmed To 0 Inch Fat USDA Choice Cooked Broiled</t>
  </si>
  <si>
    <t>Beef Chuck Clod Roast Separable Lean And Fat Trimmed To 0 Inch Fat Select Cooked Roasted</t>
  </si>
  <si>
    <t>Beef Shoulder Steak Boneless Separable Lean And Fat Trimmed To 0 Inch Fat Choice Cooked Grilled</t>
  </si>
  <si>
    <t>Beef Shoulder Steak Boneless Separable Lean And Fat Trimmed To 0 Inch Fat Select Cooked Grilled</t>
  </si>
  <si>
    <t>Beef Plate Inside Skirt Steak Separable Lean And Fat Trimmed To 0 Inch Fat All Grades Cooked Broiled</t>
  </si>
  <si>
    <t>Beef Plate Outside Skirt Steak Separable Lean And Fat Trimmed To 0 Inch Fat All Grades Cooked Broiled</t>
  </si>
  <si>
    <t>Beef Shoulder Steak Boneless Separable Lean And Fat Trimmed To 0 Inch Fat All Grades Cooked Grilled</t>
  </si>
  <si>
    <t>Beef Ground 95% Lean Meat / 5% Fat Raw</t>
  </si>
  <si>
    <t>Beef Ground 95% Lean Meat / 5% Fat Patty Cooked Broiled</t>
  </si>
  <si>
    <t>Beef Ground 95% Lean Meat / 5% Fat Patty Cooked Pan-Broiled</t>
  </si>
  <si>
    <t>Beef Ground 90% Lean Meat / 10% Fat Patty Cooked Pan-Broiled</t>
  </si>
  <si>
    <t>Beef Ground 90% Lean Meat / 10% Fat Crumbles Cooked Pan-Browned</t>
  </si>
  <si>
    <t>Beef Ground 90% Lean Meat / 10% Fat Loaf Cooked Baked</t>
  </si>
  <si>
    <t>Beef Ground 85% Lean Meat / 15% Fat Raw</t>
  </si>
  <si>
    <t>Beef Ground 80% Lean Meat / 20% Fat Patty Cooked Broiled</t>
  </si>
  <si>
    <t>Beef Ground 80% Lean Meat / 20% Fat Patty Cooked Pan-Broiled</t>
  </si>
  <si>
    <t>Beef Ground 80% Lean Meat / 20% Fat Crumbles Cooked Pan-Browned</t>
  </si>
  <si>
    <t>Beef Ground 80% Lean Meat / 20% Fat Loaf Cooked Baked</t>
  </si>
  <si>
    <t>Beef Ground 75% Lean Meat / 25% Fat Loaf Cooked Baked</t>
  </si>
  <si>
    <t>Beef Rib Small End (Ribs 10-12) Separable Lean Only Trimmed To 1/8 Inch Fat Select Raw</t>
  </si>
  <si>
    <t>Beef Tenderloin Steak Separable Lean Only Trimmed To 1/8 Inch Fat Select Raw</t>
  </si>
  <si>
    <t>Beef Top Sirloin Steak Separable Lean Only Trimmed To 1/8 Inch Fat Select Raw</t>
  </si>
  <si>
    <t>Beef Short Loin Top Loin Steak Separable Lean Only Trimmed To 1/8 Inch Fat Select Cooked Grilled</t>
  </si>
  <si>
    <t>Beef Round Bottom Round  Roast Separable Lean Only Trimmed To 1/8 Inch Fat Select Cooked Roasted</t>
  </si>
  <si>
    <t>Beef Round Eye Of Round Roast Separable Lean Only Trimmed To 1/8 Inch Fat Select Cooked Roasted</t>
  </si>
  <si>
    <t>Beef Round Top Round Steak Separable Lean Only Trimmed To 1/8 Inch Fat Select Cooked Broiled</t>
  </si>
  <si>
    <t>Beef Round Eye Of Round Roast Separable Lean Only Trimmed To 1/8 Inch Fat All Grades Cooked Roasted</t>
  </si>
  <si>
    <t>Beef Rib Small End (Ribs 10-12) Separable Lean Only Trimmed To 1/8 Inch Fat All Grades Raw</t>
  </si>
  <si>
    <t>Beef Tenderloin Steak Separable Lean Only Trimmed To 1/8 Inch Fat All Grades Cooked Broiled</t>
  </si>
  <si>
    <t>Beef Tenderloin Steak Separable Lean Only Trimmed To 1/8 Inch Fat All Grades Raw</t>
  </si>
  <si>
    <t>Beef Short Loin Top Loin Steak Separable Lean Only Trimmed To 1/8 Inch Fat All Grades Cooked Broiled</t>
  </si>
  <si>
    <t>Beef Short Loin Top Loin Steak Separable Lean Only Trimmed To 1/8 Inch Fat All Grades Raw</t>
  </si>
  <si>
    <t>Beef Round Top Round Steak Separable Lean Only Trimmed To 1/8 Inch Fat All Grades Cooked Broiled</t>
  </si>
  <si>
    <t>Beef Round Top Round Steak Separable Lean Only Trimmed To 1/8 Inch Fat All Grades Raw</t>
  </si>
  <si>
    <t>Beef Chuck Arm Pot Roast Separable Lean Only Trimmed To 1/8 Inch Fat Choice Cooked Braised</t>
  </si>
  <si>
    <t>Beef Brisket Flat Half Separable Lean Only Trimmed To 1/8 Inch Fat Choice Cooked Braised</t>
  </si>
  <si>
    <t>Beef Round Eye Of Round Roast Separable Lean Only Trimmed To 1/8 Inch Fat Choice Raw</t>
  </si>
  <si>
    <t>Beef Round Top Round Steak Separable Lean Only Trimmed To 1/8 Inch Fat Choice Raw</t>
  </si>
  <si>
    <t>Soup Wonton Chinese Restaurant</t>
  </si>
  <si>
    <t>Soup Ramen Noodle Dry Any Flavor Reduced Fat Reduced Sodium</t>
  </si>
  <si>
    <t>Sauce Duck Ready-To-Serve</t>
  </si>
  <si>
    <t>Sauce Salsa Verde Ready-To-Serve</t>
  </si>
  <si>
    <t>Sauce Steak Tomato Based</t>
  </si>
  <si>
    <t>Sauce Tartar Ready-To-Serve</t>
  </si>
  <si>
    <t>Sauce Barbecue Sweet Baby Rays Original</t>
  </si>
  <si>
    <t>Sauce Barbecue Bulls-Eye Original</t>
  </si>
  <si>
    <t>Sauce Barbecue Kc Masterpiece Original</t>
  </si>
  <si>
    <t>Sauce Barbecue Open Pit Original</t>
  </si>
  <si>
    <t>Wasabi</t>
  </si>
  <si>
    <t>Dip Bean Original Flavor</t>
  </si>
  <si>
    <t>Sauce Horseradish</t>
  </si>
  <si>
    <t>Dip Fritos Bean Original Flavor</t>
  </si>
  <si>
    <t>Cookie Vanilla With Caramel Coconut And Chocolate Coating</t>
  </si>
  <si>
    <t>Cookie With Peanut Butter Filling Chocolate-Coated</t>
  </si>
  <si>
    <t>Cookies Animal With Frosting Or Icing</t>
  </si>
  <si>
    <t>Crackers Multigrain</t>
  </si>
  <si>
    <t>Cake Snack Cakes Not Chocolate With Icing Or Filling Low-Fat With Added Fiber</t>
  </si>
  <si>
    <t>Cookies Brownies Commercially Prepared Reduced Fat With Added Fiber</t>
  </si>
  <si>
    <t>Cookies Chocolate Sandwich With Creme Filling Reduced Fat</t>
  </si>
  <si>
    <t>Cookies Oatmeal Sandwich With Creme Filling</t>
  </si>
  <si>
    <t>Cookies Peanut Butter Commercially Prepared Sugar Free</t>
  </si>
  <si>
    <t>Bread Chapati Or Roti Plain Commercially Prepared</t>
  </si>
  <si>
    <t>Bread Naan Plain Commercially Prepared Refrigerated</t>
  </si>
  <si>
    <t>Crackers Standard Snack-Type With Whole Wheat</t>
  </si>
  <si>
    <t>Cookies Coconut Macaroon</t>
  </si>
  <si>
    <t>Crackers Sandwich-Type Peanut Butter Filled Reduced Fat</t>
  </si>
  <si>
    <t>Bread Cinnamon</t>
  </si>
  <si>
    <t>Bread Wheat Sprouted</t>
  </si>
  <si>
    <t>Bread Wheat Sprouted Toasted</t>
  </si>
  <si>
    <t>Bagels Multigrain</t>
  </si>
  <si>
    <t>Pancakes Whole Wheat Dry Mix Incomplete</t>
  </si>
  <si>
    <t>Crackers Toast Thins Low Sodium</t>
  </si>
  <si>
    <t>Crackers Whole Grain Sandwich-Type With Peanut Butter Filling</t>
  </si>
  <si>
    <t>Crackers Water Biscuits</t>
  </si>
  <si>
    <t>Cookies Gluten-Free Chocolate Sandwich With Creme Filling</t>
  </si>
  <si>
    <t>Cookies Gluten-Free Chocolate Wafer</t>
  </si>
  <si>
    <t>Cookies Gluten-Free Lemon Wafer</t>
  </si>
  <si>
    <t>Cookies Gluten-Free Vanilla Sandwich With Creme Filling</t>
  </si>
  <si>
    <t>Rolls Gluten-Free White Made With Brown Rice Flour Tapioca Starch And Potato Starch</t>
  </si>
  <si>
    <t>Rolls Gluten-Free White Made With Rice Flour Rice Starch And Corn Starch</t>
  </si>
  <si>
    <t>Rolls Gluten-Free White Made With Brown Rice Flour Tapioca Starch And Sorghum Flour</t>
  </si>
  <si>
    <t>Rolls Gluten-Free Whole Grain Made With Tapioca Starch And Brown Rice Flour</t>
  </si>
  <si>
    <t>Cookies Oatmeal Reduced Fat</t>
  </si>
  <si>
    <t>Cookies Chocolate Cream Covered Biscuit Sticks</t>
  </si>
  <si>
    <t>Cookies Marie Biscuit</t>
  </si>
  <si>
    <t>Cookies Vanilla Sandwich With Creme Filling Reduced Fat</t>
  </si>
  <si>
    <t>Tonic Water</t>
  </si>
  <si>
    <t>Energy Drink Red Bull Sugar Free With Added Caffeine Niacin Pantothenic Acid Vitamins B6 And B12</t>
  </si>
  <si>
    <t>Root Beer</t>
  </si>
  <si>
    <t>Gamay (Red Wine)</t>
  </si>
  <si>
    <t>Milk And Soy Chocolate Drink</t>
  </si>
  <si>
    <t>Chocolate Malt Powder Prepared With 1% Milk Fortified</t>
  </si>
  <si>
    <t>Carbonated Limeade High Caffeine</t>
  </si>
  <si>
    <t>Low Calorie Cola</t>
  </si>
  <si>
    <t>Coffee Ready To Drink Vanilla Light Milk Based Sweetened</t>
  </si>
  <si>
    <t>Lemonade Fruit Juice Drink Light Fortified With Vitamin E And C</t>
  </si>
  <si>
    <t>Chocolate-Flavor Beverage Mix Powder Prepared With Whole Milk</t>
  </si>
  <si>
    <t>Coffee Ready To Drink Milk Based Sweetened</t>
  </si>
  <si>
    <t>Coffee Brewed Breakfast Blend</t>
  </si>
  <si>
    <t>Clam And Tomato Juice Canned</t>
  </si>
  <si>
    <t>Tea Green Ready To Drink Ginseng And Honey Sweetened</t>
  </si>
  <si>
    <t>Minute Maid Lemonade</t>
  </si>
  <si>
    <t>Diet Green Tea</t>
  </si>
  <si>
    <t>Cocoa Mix No Sugar Added Powder</t>
  </si>
  <si>
    <t>Cocoa Mix Nestle Rich Chocolate Hot Cocoa Mix</t>
  </si>
  <si>
    <t>Tea Black Ready-To-Drink Lemon Sweetened</t>
  </si>
  <si>
    <t>Decaf Coffee</t>
  </si>
  <si>
    <t>Coffee</t>
  </si>
  <si>
    <t>Espresso</t>
  </si>
  <si>
    <t>Tea Black Ready-To-Drink Lemon Diet</t>
  </si>
  <si>
    <t>Coffee Instant Regular Powder</t>
  </si>
  <si>
    <t>Coffee Instant Decaffeinated Prepared With Water</t>
  </si>
  <si>
    <t>Ocean Spray Cranberry-Apple Juice Drink Bottled</t>
  </si>
  <si>
    <t>Ocean Spray Diet Cranberry Juice</t>
  </si>
  <si>
    <t>Coffee Instant With Chicory</t>
  </si>
  <si>
    <t>Kraft Coffee Instant French Vanilla Cafe</t>
  </si>
  <si>
    <t>Ocean Spray Cran Raspberry Juice Drink</t>
  </si>
  <si>
    <t>Ocean Spray Cran Lemonade</t>
  </si>
  <si>
    <t>Ocean Spray Diet Cran Cherry</t>
  </si>
  <si>
    <t>Cranberry-Grape Juice Drink Bottled</t>
  </si>
  <si>
    <t>Cranberry Juice Cocktail Bottled</t>
  </si>
  <si>
    <t>Cranberry Juice Cocktail Bottled Low Calorie With Calcium Saccharin And Corn Sweetener</t>
  </si>
  <si>
    <t>Eggnog-Flavor Mix Powder Prepared With Whole Milk</t>
  </si>
  <si>
    <t>High Alcohol Beer</t>
  </si>
  <si>
    <t>Malt Liquor Beverage</t>
  </si>
  <si>
    <t>Rose Wine</t>
  </si>
  <si>
    <t>Ocean Spray Cran Pomegranate</t>
  </si>
  <si>
    <t>Tea Green Brewed Decaffeinated</t>
  </si>
  <si>
    <t>Green Tea</t>
  </si>
  <si>
    <t>Citrus Fruit Juice Drink Frozen Concentrate</t>
  </si>
  <si>
    <t>Citrus Fruit Juice Drink Frozen Concentrate Prepared With Water</t>
  </si>
  <si>
    <t>Fruit Punch Drink Without Added Nutrients Canned</t>
  </si>
  <si>
    <t>Tropical Punch Ready-To-Drink</t>
  </si>
  <si>
    <t>Grape Drink Canned</t>
  </si>
  <si>
    <t>Tea Green Brewed Regular</t>
  </si>
  <si>
    <t>Tea Instant Lemon With Added Ascorbic Acid</t>
  </si>
  <si>
    <t>86 Proof Liquor</t>
  </si>
  <si>
    <t>90 Proof Liquor</t>
  </si>
  <si>
    <t>Carbonated Beverage Chocolate-Flavored Soda</t>
  </si>
  <si>
    <t>Water Bottled Non-Carbonated Evian</t>
  </si>
  <si>
    <t>Powerade Zero Ion4 Calorie-Free Assorted Flavors</t>
  </si>
  <si>
    <t>Wendys Tea Ready-To-Drink Unsweetened</t>
  </si>
  <si>
    <t>Merlot</t>
  </si>
  <si>
    <t>Water Non-Carbonated Bottles Natural Fruit Flavors Sweetened With Low Calorie Sweetener</t>
  </si>
  <si>
    <t>V8 Splash Juice Drinks Diet Tropical Blend</t>
  </si>
  <si>
    <t>V8 Splash Juice Drinks Berry Blend</t>
  </si>
  <si>
    <t>V8 Splash Juice Drinks Fruit Medley</t>
  </si>
  <si>
    <t>V8 Splash Juice Drinks Guava Passion Fruit</t>
  </si>
  <si>
    <t>V8 Splash Juice Drinks Strawberry Kiwi</t>
  </si>
  <si>
    <t>V8 Splash Juice Drinks Tropical Blend</t>
  </si>
  <si>
    <t>V8 V-Fusion Juices Peach Mango</t>
  </si>
  <si>
    <t>V8 V-Fusion Juices Strawberry Banana</t>
  </si>
  <si>
    <t>Energy Drink Monster Fortified With Vitamins C B2 B3 B6 B12</t>
  </si>
  <si>
    <t>Energy Drink Amp Sugar Free</t>
  </si>
  <si>
    <t>Energy Drink Rockstar</t>
  </si>
  <si>
    <t>Energy Drink Rockstar Sugar Free</t>
  </si>
  <si>
    <t>Meal Supplement Drink Canned Peanut Flavor</t>
  </si>
  <si>
    <t>Water With Corn Syrup And/or Sugar And Low Calorie Sweetener Fruit Flavored</t>
  </si>
  <si>
    <t>Horchata</t>
  </si>
  <si>
    <t>Unsweetened Rice Milk</t>
  </si>
  <si>
    <t>Energy Drink Vault Citrus Flavor</t>
  </si>
  <si>
    <t>Fruit Flavored Drink Reduced Sugar Greater Than 3% Fruit Juice High Vitamin C Added Calcium</t>
  </si>
  <si>
    <t>Fruit Juice Drink Greater Than 3% Fruit Juice High Vitamin C And Added Thiamin</t>
  </si>
  <si>
    <t>Tea Hibiscus Brewed</t>
  </si>
  <si>
    <t>Fruit Juice Drink Greater Than 3% Juice High Vitamin C</t>
  </si>
  <si>
    <t>Striped Bass (Raw)</t>
  </si>
  <si>
    <t>Fish Bluefish Raw</t>
  </si>
  <si>
    <t>Fish Burbot Raw</t>
  </si>
  <si>
    <t>Fish Butterfish Raw</t>
  </si>
  <si>
    <t>Fish Carp Raw</t>
  </si>
  <si>
    <t>Fish Cisco Raw</t>
  </si>
  <si>
    <t>Fish Cisco Smoked</t>
  </si>
  <si>
    <t>Fish Cod Atlantic Raw</t>
  </si>
  <si>
    <t>Cooked Atlantic Cod</t>
  </si>
  <si>
    <t>Fish Croaker Atlantic Cooked Breaded And Fried</t>
  </si>
  <si>
    <t>Fish Cusk Raw</t>
  </si>
  <si>
    <t>Fish Mahimahi Raw</t>
  </si>
  <si>
    <t>Fish Drum Freshwater Raw</t>
  </si>
  <si>
    <t>Fish Gefiltefish Commercial Sweet Recipe</t>
  </si>
  <si>
    <t>Fish Grouper Mixed Species Raw</t>
  </si>
  <si>
    <t>Cooked Grouper</t>
  </si>
  <si>
    <t>Fish Haddock Raw</t>
  </si>
  <si>
    <t>Fish Halibut Greenland Raw</t>
  </si>
  <si>
    <t>Canned Blue Crab</t>
  </si>
  <si>
    <t>Blue Crab Cakes</t>
  </si>
  <si>
    <t>Dungeness Crab (Raw)</t>
  </si>
  <si>
    <t>Queen Crab (Raw)</t>
  </si>
  <si>
    <t>Crustaceans Shrimp Mixed Species Cooked Breaded And Fried</t>
  </si>
  <si>
    <t>Cooked Shrimp</t>
  </si>
  <si>
    <t>Canned Shrimp</t>
  </si>
  <si>
    <t>Crustaceans Shrimp Mixed Species Imitation Made From Surimi</t>
  </si>
  <si>
    <t>Mollusks Clam Mixed Species Cooked Breaded And Fried</t>
  </si>
  <si>
    <t>Cooked Clams</t>
  </si>
  <si>
    <t>Canned Clams</t>
  </si>
  <si>
    <t>Mollusks Clam Mixed Species Canned Liquid</t>
  </si>
  <si>
    <t>Mollusks Oyster Eastern Wild Raw</t>
  </si>
  <si>
    <t>Mollusks Oyster Eastern Cooked Breaded And Fried</t>
  </si>
  <si>
    <t>Cooked Wild Eastern Oysters</t>
  </si>
  <si>
    <t>Canned Eastern Oysters</t>
  </si>
  <si>
    <t>Fried Calamari</t>
  </si>
  <si>
    <t>Mollusks Whelk Unspecified Raw</t>
  </si>
  <si>
    <t>Whelk (Cooked)</t>
  </si>
  <si>
    <t>Fish Salmon Chinook Smoked (Lox) Regular</t>
  </si>
  <si>
    <t>Fish Tuna Light Canned In Water Without Salt Drained Solids</t>
  </si>
  <si>
    <t>Fish Tuna White Canned In Oil Without Salt Drained Solids</t>
  </si>
  <si>
    <t>Fish Tuna White Canned In Water Without Salt Drained Solids</t>
  </si>
  <si>
    <t>Fish Bass Freshwater Mixed Species Cooked Dry Heat</t>
  </si>
  <si>
    <t>Cooked Pacific Cod</t>
  </si>
  <si>
    <t>Fish Cusk Cooked Dry Heat</t>
  </si>
  <si>
    <t>Cooked Mahimahi</t>
  </si>
  <si>
    <t>Fish Drum Freshwater Cooked Dry Heat</t>
  </si>
  <si>
    <t>Fish Mackerel Pacific And Jack Mixed Species Cooked Dry Heat</t>
  </si>
  <si>
    <t>Fish Milkfish Cooked Dry Heat</t>
  </si>
  <si>
    <t>Fish Monkfish Cooked Dry Heat</t>
  </si>
  <si>
    <t>Cooked Walleye Pike</t>
  </si>
  <si>
    <t>Wild Atlantic Salmon (Cooked)</t>
  </si>
  <si>
    <t>Fish Salmon Chinook Cooked Dry Heat</t>
  </si>
  <si>
    <t>Fish Salmon Chum Cooked Dry Heat</t>
  </si>
  <si>
    <t>Fish Salmon Pink Cooked Dry Heat</t>
  </si>
  <si>
    <t>Fish Sucker White Cooked Dry Heat</t>
  </si>
  <si>
    <t>Fish Sunfish Pumpkin Seed Cooked Dry Heat</t>
  </si>
  <si>
    <t>Fish Trout Mixed Species Cooked Dry Heat</t>
  </si>
  <si>
    <t>Cooked Skipjack</t>
  </si>
  <si>
    <t>Cooked Yellowfin Tuna</t>
  </si>
  <si>
    <t>Cooked Dungeness Crab</t>
  </si>
  <si>
    <t>Queen Crab (Cooked)</t>
  </si>
  <si>
    <t>Cooked Spiny Lobster</t>
  </si>
  <si>
    <t>Cooked Cuttlefish</t>
  </si>
  <si>
    <t>Pork And Beef Beerwurst</t>
  </si>
  <si>
    <t>Beef Baloney (Bologna)</t>
  </si>
  <si>
    <t>Beef And Pork Baloney (Bologna)</t>
  </si>
  <si>
    <t>Pasta Cooked Unenriched With Added Salt</t>
  </si>
  <si>
    <t>Cornmeal Degermed Unenriched White</t>
  </si>
  <si>
    <t>Wheat Flour White (Industrial) 9% Protein Bleached Enriched</t>
  </si>
  <si>
    <t>Wheat Flour White (Industrial) 9% Protein Bleached Unenriched</t>
  </si>
  <si>
    <t>Wheat Flour White (Industrial) 10% Protein Bleached Enriched</t>
  </si>
  <si>
    <t>Wheat Flour White (Industrial) 10% Protein Bleached Unenriched</t>
  </si>
  <si>
    <t>Wheat Flour White (Industrial) 13% Protein Bleached Unenriched</t>
  </si>
  <si>
    <t>Wheat Flour White (Industrial) 15% Protein Bleached Enriched</t>
  </si>
  <si>
    <t>Wheat Flour White (Industrial) 15% Protein Bleached Unenriched</t>
  </si>
  <si>
    <t>Millet Flour</t>
  </si>
  <si>
    <t>Pasta Whole Grain 51% Whole Wheat Remaining Enriched Semolina Cooked</t>
  </si>
  <si>
    <t>Pasta Whole Grain 51% Whole Wheat Remaining Enriched Semolina Dry</t>
  </si>
  <si>
    <t>Pasta Gluten-Free Brown Rice Flour Cooked Tinkyada</t>
  </si>
  <si>
    <t>Pasta Gluten-Free Corn Flour And Quinoa Flour Cooked Ancient Harvest</t>
  </si>
  <si>
    <t>Fast Foods Biscuit With Egg And Sausage</t>
  </si>
  <si>
    <t>Biscuit With Egg Cheese And Bacon</t>
  </si>
  <si>
    <t>Biscuit With Ham</t>
  </si>
  <si>
    <t>Biscuit With Sausage</t>
  </si>
  <si>
    <t>English Muffin With Cheese And Sausage</t>
  </si>
  <si>
    <t>English Muffin With Egg Cheese And Canadian Bacon</t>
  </si>
  <si>
    <t>English Muffin With Egg Cheese And Sausage</t>
  </si>
  <si>
    <t>French Toast Sticks</t>
  </si>
  <si>
    <t>Sundae Strawberry</t>
  </si>
  <si>
    <t>Shrimp Breaded And Fried</t>
  </si>
  <si>
    <t>Burrito With Beans</t>
  </si>
  <si>
    <t>Burrito With Beans And Cheese</t>
  </si>
  <si>
    <t>Pizza Hut 12 Inch Cheese Pizza Hand-Tossed Crust</t>
  </si>
  <si>
    <t>Pizza Hut 12 Inch Cheese Pizza Pan Crust</t>
  </si>
  <si>
    <t>Pizza Hut 12 Inch Cheese Pizza Thin N Crispy Crust</t>
  </si>
  <si>
    <t>Dominos 14 Inch Cheese Pizza Crunchy Thin Crust</t>
  </si>
  <si>
    <t>Dominos 14 Inch Pepperoni Pizza Classic Hand-Tossed Crust</t>
  </si>
  <si>
    <t>Dominos 14 Inch Pepperoni Pizza Ultimate Deep Dish Crust</t>
  </si>
  <si>
    <t>Dominos 14 Inch Extravaganzza Feast Pizza Classic Hand-Tossed Crust</t>
  </si>
  <si>
    <t>Little Caesars 14 Inch Original Round Cheese Pizza Regular Crust</t>
  </si>
  <si>
    <t>Little Caesars 14 Inch Original Round Pepperoni Pizza Regular Crust</t>
  </si>
  <si>
    <t>Little Caesars 14 Inch Original Round Meat And Vegetable Pizza Regular Crust</t>
  </si>
  <si>
    <t>Little Caesars 14 Inch Cheese Pizza Large Deep Dish Crust</t>
  </si>
  <si>
    <t>Pizza Hut 14 Inch Cheese Pizza Thin N Crispy Crust</t>
  </si>
  <si>
    <t>Pizza Hut 14 Inch Pepperoni Pizza Hand-Tossed Crust</t>
  </si>
  <si>
    <t>Pizza Hut 14 Inch Pepperoni Pizza Pan Crust</t>
  </si>
  <si>
    <t>Pizza Hut 14 Inch Super Supreme Pizza Hand-Tossed Crust</t>
  </si>
  <si>
    <t>Fast Food Pizza Chain 14 Inch Pizza Meat And Vegetable Topping Regular Crust</t>
  </si>
  <si>
    <t>Griddle Cake Sandwich Egg Cheese And Sausage</t>
  </si>
  <si>
    <t>Griddle Cake Sandwich Sausage</t>
  </si>
  <si>
    <t>Griddle Cake Sandwich Egg Cheese And Bacon</t>
  </si>
  <si>
    <t>McDonalds Sausage Mcgriddles</t>
  </si>
  <si>
    <t>McDonalds Sausage Egg &amp; Cheese Mcgriddles</t>
  </si>
  <si>
    <t>McDonalds Vanilla Reduced Fat Ice Cream Cone</t>
  </si>
  <si>
    <t>McDonalds Strawberry Sundae</t>
  </si>
  <si>
    <t>McDonalds Sausage Burrito</t>
  </si>
  <si>
    <t>McDonalds Big Breakfast</t>
  </si>
  <si>
    <t>McDonalds Double Cheeseburger</t>
  </si>
  <si>
    <t>McDonalds Double Quarter Pounder With Cheese</t>
  </si>
  <si>
    <t>McDonalds Big Mac (Without Big Mac Sauce)</t>
  </si>
  <si>
    <t>McDonalds Sausage Mcmuffin With Egg</t>
  </si>
  <si>
    <t>McDonalds Bacon Egg &amp; Cheese Biscuit</t>
  </si>
  <si>
    <t>McDonalds Sausage Biscuit</t>
  </si>
  <si>
    <t>McDonalds Sausage Biscuit With Egg</t>
  </si>
  <si>
    <t>McDonalds Bacon Ranch Salad With Crispy Chicken</t>
  </si>
  <si>
    <t>McDonalds Bacon Ranch Salad Without Chicken</t>
  </si>
  <si>
    <t>McDonalds Side Salad</t>
  </si>
  <si>
    <t>McDonalds Fruit N Yogurt Parfait</t>
  </si>
  <si>
    <t>Burger King Croissanwich With Egg And Cheese</t>
  </si>
  <si>
    <t>Burger King French Toast Sticks</t>
  </si>
  <si>
    <t>Burger King Hash Brown Rounds</t>
  </si>
  <si>
    <t>Miniature Cinnamon Rolls</t>
  </si>
  <si>
    <t>Hamburger; Double Large Patty; With Condiments Vegetables And Mayonnaise</t>
  </si>
  <si>
    <t>Cheeseburger; Single Large Patty; With Condiments Vegetables And Mayonnaise</t>
  </si>
  <si>
    <t>Cheeseburger; Single Large Patty; With Condiments</t>
  </si>
  <si>
    <t>Fast Foods Cheeseburger; Double Large Patty; With Condiments Vegetables And Mayonnaise</t>
  </si>
  <si>
    <t>Cheeseburger; Double Regular Patty; Double Decker Bun With Condiments And Special Sauce</t>
  </si>
  <si>
    <t>Blended Soft Serve Ice Cream With Cookies</t>
  </si>
  <si>
    <t>Popeyes Biscuit</t>
  </si>
  <si>
    <t>Popeyes Coleslaw</t>
  </si>
  <si>
    <t>Popeyes Mild Chicken Strips Analyzed 2006</t>
  </si>
  <si>
    <t>Spaghetti With Meat Sauce Frozen Entree</t>
  </si>
  <si>
    <t>Beef Macaroni With Tomato Sauce Frozen Entree Reduced Fat</t>
  </si>
  <si>
    <t>Pasta With Sliced Franks In Tomato Sauce Canned Entree</t>
  </si>
  <si>
    <t>Turkey Pot Pie Frozen Entree</t>
  </si>
  <si>
    <t>Beef Pot Pie Frozen Entree Prepared</t>
  </si>
  <si>
    <t>Tortellini Pasta With Cheese Filling Fresh-Refrigerated As Purchased</t>
  </si>
  <si>
    <t>Pizza Meat Topping Thick Crust Frozen Cooked</t>
  </si>
  <si>
    <t>Pizza Pepperoni Topping Regular Crust Frozen Cooked</t>
  </si>
  <si>
    <t>Chili Con Carne With Beans Canned Entree</t>
  </si>
  <si>
    <t>Chili No Beans Canned Entree</t>
  </si>
  <si>
    <t>Spaghetti With Meatballs In Tomato Sauce Canned</t>
  </si>
  <si>
    <t>Pasta With Tomato Sauce No Meat Canned</t>
  </si>
  <si>
    <t>Lasagna With Meat &amp; Sauce Low-Fat Frozen Entree</t>
  </si>
  <si>
    <t>Burrito Beef And Bean Microwaved</t>
  </si>
  <si>
    <t>Egg Rolls Pork Refrigerated Heated</t>
  </si>
  <si>
    <t>Egg Rolls Chicken Refrigerated Heated</t>
  </si>
  <si>
    <t>Egg Rolls Vegetable Frozen Prepared</t>
  </si>
  <si>
    <t>Lasagna Vegetable Frozen Baked</t>
  </si>
  <si>
    <t>Hot Pockets Meatballs &amp; Mozzarella Stuffed Sandwich Frozen</t>
  </si>
  <si>
    <t>Lean Pockets Ham N Cheddar</t>
  </si>
  <si>
    <t>Lean Pockets Meatballs &amp; Mozzarella</t>
  </si>
  <si>
    <t>Chili With Beans Microwavable Bowls</t>
  </si>
  <si>
    <t>Chicken Nuggets Dark And White Meat Precooked Frozen Not Reheated</t>
  </si>
  <si>
    <t>Chicken Nuggets White Meat Precooked Frozen Not Reheated</t>
  </si>
  <si>
    <t>Ravioli Cheese With Tomato Sauce Frozen Not Prepared Includes Regular And Light Entrees</t>
  </si>
  <si>
    <t>Lasagna With Meat Sauce Frozen Prepared</t>
  </si>
  <si>
    <t>Beef Short Loin Porterhouse Steak Separable Lean And Fat Trimmed To 1/8 Inch Fat All Grades Cooked Grilled</t>
  </si>
  <si>
    <t>Beef Short Loin Porterhouse Steak Separable Lean And Fat Trimmed To 1/8 Inch Fat Select Raw</t>
  </si>
  <si>
    <t>Beef Short Loin Porterhouse Steak Separable Lean And Fat Trimmed To 1/8 Inch Fat Select Cooked Grilled</t>
  </si>
  <si>
    <t>Beef Short Loin T-Bone Steak Separable Lean And Fat Trimmed To 1/8 Inch Fat All Grades Raw</t>
  </si>
  <si>
    <t>Beef Round Knuckle Tip Side Steak Separable Lean And Fat Trimmed To 0 Inch Fat Choice Cooked Grilled</t>
  </si>
  <si>
    <t>Beef Round Knuckle Tip Side Steak Separable Lean And Fat  Trimmed To 0 Inch Fat Select Raw</t>
  </si>
  <si>
    <t>Beef Round Knuckle Tip Side Steak Separable Lean And Fat Trimmed To 0 Inch Fat Select Cooked Grilled</t>
  </si>
  <si>
    <t>Beef Chuck Shoulder Clod Shoulder Tender Medallion Separable Lean And Fat Trimmed To 0 Inch Fat Choice Raw</t>
  </si>
  <si>
    <t>Beef Chuck Shoulder Clod Shoulder Top And Center Steaks Separable Lean And Fat Trimmed To 0 Inch Fat Select Raw</t>
  </si>
  <si>
    <t>Beef Chuck Shoulder Clod Shoulder Top And Center Steaks Separable Lean And Fat Trimmed To 0 Inch Fat Select Cooked Grilled</t>
  </si>
  <si>
    <t>Beef Chuck Shoulder Clod Top Blade Steak Separable Lean And Fat Trimmed To 0 Inch Fat Choice Raw</t>
  </si>
  <si>
    <t>Beef Chuck Shoulder Clod Top Blade Steak Separable Lean And Fat Trimmed To 0 Inch Fat Choice Cooked Grilled</t>
  </si>
  <si>
    <t>Beef Round Knuckle Tip Center Steak Separable Lean And Fat Trimmed To 0 Inch Fat Select Cooked Grilled</t>
  </si>
  <si>
    <t>Beef Round Outside Round Bottom Round Steak Separable Lean And Fat Trimmed To 0 Inch Fat Choice Raw</t>
  </si>
  <si>
    <t>Beef Round Outside Round Bottom Round Steak Separable Lean And Fat Trimmed To 0 Inch Fat Choice Cooked Grilled</t>
  </si>
  <si>
    <t>Beef Round Outside Round Bottom Round Steak Separable Lean And Fat Trimmed To 0 Inch Fat Select Raw</t>
  </si>
  <si>
    <t>Beef Round Knuckle Tip Side Steak Separable Lean And Fat Trimmed To 0 Inch Fat All Grades Cooked Grilled</t>
  </si>
  <si>
    <t>Beef Chuck Shoulder Clod Shoulder Top And Center Steaks Separable Lean And Fat Trimmed To 0 Inch Fat All Grades Raw</t>
  </si>
  <si>
    <t>Beef Chuck Shoulder Clod Shoulder Top And Center Steaks Separable Lean And Fat Trimmed To 0 Inch Fat All Grades Cooked Grilled</t>
  </si>
  <si>
    <t>Beef Chuck Shoulder Clod Top Blade Steak Separable Lean And Fat Trimmed To 0 Inch Fat All Grades Raw</t>
  </si>
  <si>
    <t>Beef Round Outside Round Bottom Round Steak Separable Lean And Fat Trimmed To 0 Inch Fat All Grades Cooked Grilled</t>
  </si>
  <si>
    <t>Beef Chuck Shoulder Clod Shoulder Tender Medallion Separable Lean And Fat Trimmed To 0 Inch Fat Select Cooked Grilled</t>
  </si>
  <si>
    <t>Beef Plate Steak Boneless Inside Skirt Separable Lean Only Trimmed To 0 Inch Fat Choice Raw</t>
  </si>
  <si>
    <t>Beef Plate Steak Boneless Inside Skirt Separable Lean Only Trimmed To 0 Inch Fat Select Cooked Grilled</t>
  </si>
  <si>
    <t>Beef Plate Steak Boneless Inside Skirt Separable Lean Only Trimmed To 0 Inch Fat Select Raw</t>
  </si>
  <si>
    <t>Beef Plate Steak Boneless Outside Skirt Separable Lean Only Trimmed To 0 Inch Fat All Grades Cooked Grilled</t>
  </si>
  <si>
    <t>Beef Plate Steak Boneless Outside Skirt Separable Lean Only Trimmed To 0 Inch Fat Select Raw</t>
  </si>
  <si>
    <t>Beef Rib Eye Steak Boneless Lip Off Separable Lean Only Trimmed To 0 Inch Fat All Grades Cooked Grilled</t>
  </si>
  <si>
    <t>Beef Rib Eye Steak Boneless Lip Off Separable Lean Only Trimmed To 0 Inch Fat All Grades Raw</t>
  </si>
  <si>
    <t>Beef Rib Eye Steak Boneless Lip Off Separable Lean Only Trimmed To 0 Inch Fat Choice Cooked Grilled</t>
  </si>
  <si>
    <t>Beef Rib Back Ribs Bone-In Separable Lean Only Trimmed To 0 Inch Fat All Grades Raw</t>
  </si>
  <si>
    <t>Beef Rib Back Ribs Bone-In Separable Lean Only Trimmed To 0 Inch Fat Choice Cooked Braised</t>
  </si>
  <si>
    <t>Beef Rib Back Ribs Bone-In Separable Lean Only Trimmed To 0 Inch Fat Choice Raw</t>
  </si>
  <si>
    <t>Beef Rib Back Ribs Bone-In Separable Lean Only Trimmed To 0 Inch Fat Select Cooked Braised</t>
  </si>
  <si>
    <t>Beef Rib Eye Roast Bone-In Lip-On Separable Lean And Fat Trimmed To 1/8 Inch Fat Select Cooked Roasted</t>
  </si>
  <si>
    <t>Beef Rib Eye Roast Bone-In Lip-On Separable Lean And Fat Trimmed To 1/8 Inch Fat All Grades Cooked Roasted</t>
  </si>
  <si>
    <t>Beef Rib Eye Steak/roast Bone-In Lip-On Separable Lean And Fat Trimmed To 1/8 Inch Fat All Grades Raw</t>
  </si>
  <si>
    <t>Beef Rib Eye Steak/roast Bone-In Lip-On Separable Lean And Fat Trimmed To 1/8 Inch Fat Choice Raw</t>
  </si>
  <si>
    <t>Beef Rib Eye Roast Boneless Lip-On Separable Lean And Fat Trimmed To 1/8 Inch Fat All Grades Cooked Roasted</t>
  </si>
  <si>
    <t>Beef Rib Eye Roast Boneless Lip-On Separable Lean And Fat Trimmed To 1/8 Inch Fat Choice Cooked Roasted</t>
  </si>
  <si>
    <t>Beef Rib Eye Roast Boneless Lip-On Separable Lean And Fat Trimmed To 1/8 Inch Fat Select Cooked Roasted</t>
  </si>
  <si>
    <t>Beef Rib Eye Steak/roast Boneless Lip-On Separable Lean And Fat Trimmed To 1/8 Inch Fat All Grades Raw</t>
  </si>
  <si>
    <t>Beef Plate Steak Boneless Inside Skirt Separable Lean And Fat Trimmed To 0 Inch Fat Select Cooked Grilled</t>
  </si>
  <si>
    <t>Beef Plate Steak Boneless Inside Skirt Separable Lean And Fat Trimmed To 0 Inch Fat All Grades Raw</t>
  </si>
  <si>
    <t>Beef Plate Steak Boneless Inside Skirt Separable Lean And Fat Trimmed To 0 Inch Fat Choice Raw</t>
  </si>
  <si>
    <t>Beef Plate Steak Boneless Inside Skirt Separable Lean And Fat Trimmed To 0 Inch Fat Select Raw</t>
  </si>
  <si>
    <t>Beef Ground Unspecified Fat Content Cooked</t>
  </si>
  <si>
    <t>Beef Plate Steak Boneless Outside Skirt Separable Lean And Fat Trimmed To 0 Inch Fat Choice Raw</t>
  </si>
  <si>
    <t>Beef Plate Steak Boneless Outside Skirt Separable Lean And Fat Trimmed To 0 Inch Fat Select Raw</t>
  </si>
  <si>
    <t>Beef Rib Eye Steak Boneless Lip Off Separable Lean And Fat Trimmed To 0 Inch Fat All Grades Cooked Grilled</t>
  </si>
  <si>
    <t>Beef Rib Eye Steak Boneless Lip Off Separable Lean And Fat Trimmed To 0 Inch Fat Choice Cooked Grilled</t>
  </si>
  <si>
    <t>Beef Rib Back Ribs Bone-In Separable Lean And Fat Trimmed To 0 Inch Fat All Grades Cooked Braised</t>
  </si>
  <si>
    <t>Beef Rib Back Ribs Bone-In Separable Lean And Fat Trimmed To 0 Inch Fat Choice Cooked Braised</t>
  </si>
  <si>
    <t>Beef Rib Back Ribs Bone-In Separable Lean And Fat Trimmed To 0 Inch Fat Select Cooked Braised</t>
  </si>
  <si>
    <t>Beef Rib Back Ribs Bone-In Separable Lean And Fat Trimmed To 0 Inch Fat All Grades Raw</t>
  </si>
  <si>
    <t>Beef Loin Top Sirloin Cap Steak Boneless Separable Lean Only Trimmed To 1/8 Inch Fat All Grades Cooked Grilled</t>
  </si>
  <si>
    <t>Beef Loin Top Sirloin Cap Steak Boneless Separable Lean Only Trimmed To 1/8 Inch Fat Choice Cooked Grilled</t>
  </si>
  <si>
    <t>Beef Loin Top Sirloin Cap Steak Boneless Separable Lean Only Trimmed To 1/8 Inch Fat Select Cooked Grilled</t>
  </si>
  <si>
    <t>Beef Loin Top Sirloin Cap Steak Boneless Separable Lean Only Trimmed To 1/8 Inch Fat All Grades Raw</t>
  </si>
  <si>
    <t>Beef Loin Top Sirloin Cap Steak Boneless Separable Lean Only Trimmed To 1/8 Inch Fat Choice Raw</t>
  </si>
  <si>
    <t>Blue Cheese</t>
  </si>
  <si>
    <t>Brick Cheese</t>
  </si>
  <si>
    <t>Brie Cheese</t>
  </si>
  <si>
    <t>Camambert</t>
  </si>
  <si>
    <t>Cottage Cheese (Blended)</t>
  </si>
  <si>
    <t>Cottage Cheese (Blended With Fruit)</t>
  </si>
  <si>
    <t>Nonfat Cottage Cheese</t>
  </si>
  <si>
    <t>Lowfat Cottage Cheese (2%)</t>
  </si>
  <si>
    <t>Egg Whites (Raw)</t>
  </si>
  <si>
    <t>Egg Yolks (Raw)</t>
  </si>
  <si>
    <t>Egg Omelet</t>
  </si>
  <si>
    <t>Poached Eggs</t>
  </si>
  <si>
    <t>Scrambled Eggs</t>
  </si>
  <si>
    <t>Dried Eggs</t>
  </si>
  <si>
    <t>Egg Duck Whole Fresh Raw</t>
  </si>
  <si>
    <t>Egg Goose Whole Fresh Raw</t>
  </si>
  <si>
    <t>Egg Quail Whole Fresh Raw</t>
  </si>
  <si>
    <t>Egg Turkey Whole Fresh Raw</t>
  </si>
  <si>
    <t>Milk Reduced Fat Fluid 2% Milkfat With Added Nonfat Milk Solids Without Added Vitamin A</t>
  </si>
  <si>
    <t>Milk Canned Evaporated With Added Vitamin A</t>
  </si>
  <si>
    <t>Milk Dry Nonfat Regular With Added Vitamin A And Vitamin D</t>
  </si>
  <si>
    <t>Milk Dry Nonfat Instant Without Added Vitamin A And Vitamin D</t>
  </si>
  <si>
    <t>Hard Goat Cheese</t>
  </si>
  <si>
    <t>Cheese Substitute Mozzarella</t>
  </si>
  <si>
    <t>Yogurt Greek 2% Fat Mango Chobani</t>
  </si>
  <si>
    <t>Cheese Sauce Prepared From Recipe</t>
  </si>
  <si>
    <t>Cheese Mexican Queso Anejo</t>
  </si>
  <si>
    <t>Egg Whole Raw Frozen Pasteurized</t>
  </si>
  <si>
    <t>Egg White Raw Frozen Pasteurized</t>
  </si>
  <si>
    <t>Egg White Dried</t>
  </si>
  <si>
    <t>Milk Reduced Fat Fluid 2% Milkfat Without Added Vitamin A And Vitamin D</t>
  </si>
  <si>
    <t>Parmesan Cheese Topping Fat Free</t>
  </si>
  <si>
    <t>Fat Free Cream Cheese</t>
  </si>
  <si>
    <t>Yogurt Chocolate Nonfat Milk</t>
  </si>
  <si>
    <t>Kraft Cheez Whiz Pasteurized Process Cheese Sauce</t>
  </si>
  <si>
    <t>Kraft Breakstones Reduced Fat Sour Cream</t>
  </si>
  <si>
    <t>Kraft Breakstones Free Fat Free Sour Cream</t>
  </si>
  <si>
    <t>Cream Half And Half Fat Free</t>
  </si>
  <si>
    <t>Reddi Wip Fat Free Whipped Topping</t>
  </si>
  <si>
    <t>Cream Substitute Flavored Powdered</t>
  </si>
  <si>
    <t>Low Fat Provolone</t>
  </si>
  <si>
    <t>Cheese Mexican Blend Reduced Fat</t>
  </si>
  <si>
    <t>Milk Whole 3.25% Milkfat Without Added Vitamin A And Vitamin D</t>
  </si>
  <si>
    <t>Yogurt Fruit Lowfat With Low Calorie Sweetener Fortified With Vitamin D</t>
  </si>
  <si>
    <t>Yogurt Vanilla Low Fat 11 Grams Protein Per 8 Ounce Fortified With Vitamin D</t>
  </si>
  <si>
    <t>Yogurt Vanilla Or Lemon Flavor Nonfat Milk Sweetened With Low-Calorie Sweetener Fortified With Vitamin D</t>
  </si>
  <si>
    <t>Nonfat Chocolate Yogurt</t>
  </si>
  <si>
    <t>Cheese Dry White Queso Seco</t>
  </si>
  <si>
    <t>Queso Fresco</t>
  </si>
  <si>
    <t>Queso Blanco</t>
  </si>
  <si>
    <t>Buttermilk</t>
  </si>
  <si>
    <t>Ice Cream Sandwich</t>
  </si>
  <si>
    <t>Ice Cream Cookie Sandwich</t>
  </si>
  <si>
    <t>Ice Cream Cone Chocolate Covered With Nuts Flavors Other Than Chocolate</t>
  </si>
  <si>
    <t>Ice Cream Sandwich Made With Light Ice Cream Vanilla</t>
  </si>
  <si>
    <t>Ice Cream Sandwich Vanilla Light No Sugar Added</t>
  </si>
  <si>
    <t>Ground Turmeric</t>
  </si>
  <si>
    <t>Basil</t>
  </si>
  <si>
    <t>Dill</t>
  </si>
  <si>
    <t>Yellow Mustard</t>
  </si>
  <si>
    <t>Imitation Vanilla Extract</t>
  </si>
  <si>
    <t>Imitation Vanilla Extract (No Alcohol)</t>
  </si>
  <si>
    <t>Distilled Vinegar</t>
  </si>
  <si>
    <t>Capers</t>
  </si>
  <si>
    <t>Dried Spearmint</t>
  </si>
  <si>
    <t>Red Wine Vinegar</t>
  </si>
  <si>
    <t>Balsamic Vinegar</t>
  </si>
  <si>
    <t>Seasoning Mix Dry Sazon Coriander &amp; Annatto</t>
  </si>
  <si>
    <t>Seasoning Mix Dry Taco Original</t>
  </si>
  <si>
    <t>Babyfood Meat Beef Junior</t>
  </si>
  <si>
    <t>Babyfood Meat Veal Strained</t>
  </si>
  <si>
    <t>Babyfood Meat Pork Strained</t>
  </si>
  <si>
    <t>Babyfood Meat Ham Strained</t>
  </si>
  <si>
    <t>Babyfood Meat Chicken Junior</t>
  </si>
  <si>
    <t>Babyfood Meat Chicken Sticks Junior</t>
  </si>
  <si>
    <t>Babyfood Meat Turkey Strained</t>
  </si>
  <si>
    <t>Babyfood Meat Turkey Junior</t>
  </si>
  <si>
    <t>Finger Snacks Gerber Graduate Puffs Apple And Cinnamon</t>
  </si>
  <si>
    <t>Babyfood Water Bottled Gerber Without Added Fluoride.</t>
  </si>
  <si>
    <t>Babyfood Gerber 3rd Foods Apple Mango And Kiwi</t>
  </si>
  <si>
    <t>Babyfood Tropical Fruit Medley</t>
  </si>
  <si>
    <t>Babyfood Dinner Vegetables And Dumplings And Beef Strained</t>
  </si>
  <si>
    <t>Babyfood Ravioli Cheese Filled With Tomato Sauce</t>
  </si>
  <si>
    <t>Babyfood Dinner Beef Noodle Strained</t>
  </si>
  <si>
    <t>Babyfood Macaroni And Cheese Toddler</t>
  </si>
  <si>
    <t>Babyfood Dinner Beef And Rice Toddler</t>
  </si>
  <si>
    <t>Babyfood Dinner Beef With Vegetables</t>
  </si>
  <si>
    <t>Babyfood Dinner Vegetables And Lamb Junior</t>
  </si>
  <si>
    <t>Babyfood Dinner Chicken Noodle Strained</t>
  </si>
  <si>
    <t>Babyfood Dinner Chicken Noodle Junior</t>
  </si>
  <si>
    <t>Babyfood Dinner Vegetables Noodles And Chicken Junior</t>
  </si>
  <si>
    <t>Babyfood Dinner Pasta With Vegetables</t>
  </si>
  <si>
    <t>Babyfood Dinner Vegetables And Noodles And Turkey Strained</t>
  </si>
  <si>
    <t>Babyfood Dinner Vegetables And Noodles And Turkey Junior</t>
  </si>
  <si>
    <t>Babyfood Dinner Turkey And Rice Strained</t>
  </si>
  <si>
    <t>Babyfood Dinner Macaroni And Cheese Junior</t>
  </si>
  <si>
    <t>Babyfood Vegetables Green Beans Strained</t>
  </si>
  <si>
    <t>Babyfood Vegetables Green Beans Junior</t>
  </si>
  <si>
    <t>Babyfood Green Beans Dices Toddler</t>
  </si>
  <si>
    <t>Babyfood Vegetables Squash Strained</t>
  </si>
  <si>
    <t>Babyfood Vegetables Squash Junior</t>
  </si>
  <si>
    <t>Babyfood Vegetables Sweet Potatoes Strained</t>
  </si>
  <si>
    <t>Babyfood Vegetables Sweet Potatoes Junior</t>
  </si>
  <si>
    <t>Babyfood Fruit Applesauce Junior</t>
  </si>
  <si>
    <t>Babyfood Fruit Apricot With Tapioca Strained</t>
  </si>
  <si>
    <t>Babyfood Vegetables Corn Creamed Strained</t>
  </si>
  <si>
    <t>Babyfood Dinner Mixed Vegetable Junior</t>
  </si>
  <si>
    <t>Babyfood Fruit Bananas With Tapioca Junior</t>
  </si>
  <si>
    <t>Babyfood Vegetables Mix Vegetables Junior</t>
  </si>
  <si>
    <t>Babyfood Vegetables Garden Vegetable Strained</t>
  </si>
  <si>
    <t>Babyfood Plums Bananas And Rice Strained</t>
  </si>
  <si>
    <t>Babyfood Dinner Turkey Rice And Vegetables Toddler</t>
  </si>
  <si>
    <t>Babyfood Dinner Apples And Chicken Strained</t>
  </si>
  <si>
    <t>Babyfood Dinner Broccoli And Chicken Junior</t>
  </si>
  <si>
    <t>Infant Formula Mead Johnson Enfamil Premature High Protein 24 Calories Ready To Feed With Ara And Dha</t>
  </si>
  <si>
    <t>Infant Formula Mead Johnson Enfamil Premature 30 Calories Ready To Feed With Ara And Dha</t>
  </si>
  <si>
    <t>Infant Formula Mead Johnson Enfamil For Supplementing Powder With Ara And Dha Not Reconstituted</t>
  </si>
  <si>
    <t>Infant Formula Mead Johnson Enfamil Reguline Powder With Ara And Dha Not Reconstituted</t>
  </si>
  <si>
    <t>Infant Formula Mead Johnson Pregestimil 24 Calories Ready To Feed With Ara And Dha</t>
  </si>
  <si>
    <t>Toddler Drink Mead Johnson Puramino Toddler Powder With Ara And Dha Not Reconstituted</t>
  </si>
  <si>
    <t>Infant Formula Mead Johnson Enfamil For Supplementing Ready To Feed With Ara And Dha</t>
  </si>
  <si>
    <t>Babyfood Cereal Barley Prepared With Whole Milk</t>
  </si>
  <si>
    <t>Babyfood Cereal Oatmeal With Bananas Prepared With Whole Milk</t>
  </si>
  <si>
    <t>Babyfood Cereal Oatmeal With Honey Prepared With Whole Milk</t>
  </si>
  <si>
    <t>Babyfood Cereal Rice Prepared With Whole Milk</t>
  </si>
  <si>
    <t>Babyfood Cereal Rice With Honey Prepared With Whole Milk</t>
  </si>
  <si>
    <t>Infant Formula Mead Johnson Enfamil With Iron Powder</t>
  </si>
  <si>
    <t>Infant Formula Mead Johnson Enfamil Lipil With Iron Powder With Ara And Dha</t>
  </si>
  <si>
    <t>Infant Formula Mead Johnson Enfamil Lipil With Iron Liquid Concentrate With Ara And Dha</t>
  </si>
  <si>
    <t>Infant Formula Mead Johnson Enfamil Lipil With Iron Ready-To-Feed With Ara And Dha</t>
  </si>
  <si>
    <t>Infant Formula Mead Johnson Enfamil Lipil Low Iron Ready To Feed With Ara And Dha</t>
  </si>
  <si>
    <t>Infant Formula Mead Johnson Enfamil Lipil Ready-To-Feed With Ara And Dha</t>
  </si>
  <si>
    <t>Infant Formula Abbott Nutrition Similac Pm 60/40 Powder Not Reconstituted</t>
  </si>
  <si>
    <t>Infant Formula Mead Johnson Enfamil Nutramigen Lipil With Iron Powder Not Reconstituted With Ara And Dha</t>
  </si>
  <si>
    <t>Infant Formula Mead Johnson Enfamil Nutramigen Lipil With Iron Ready-To-Feed With Ara And Dha</t>
  </si>
  <si>
    <t>Infant Formula Abbott Nutrition Similac Alimentum With Iron Ready-To-Feed</t>
  </si>
  <si>
    <t>Infant Formula Mead Johnson Enfamil Enfacare Lipil With Iron Powder With Ara And Dha</t>
  </si>
  <si>
    <t>Infant Formula Abbott Nutrition Similac With Iron Liquid Concentrate Not Reconstituted</t>
  </si>
  <si>
    <t>Child Formula Abbott Nutrition Pediasure Ready-To-Feed</t>
  </si>
  <si>
    <t>Infant Formula Mead Johnson Next Step Prosobee Lipil Powder With Ara And Dha</t>
  </si>
  <si>
    <t>Infant Formula Mead Johnson Next Step Prosobee Lipil Ready To Feed With Ara And Dha</t>
  </si>
  <si>
    <t>Infant Formula Nestle Good Start Soy With Ara And Dha Powder</t>
  </si>
  <si>
    <t>Babyfood Corn And Sweet Potatoes Strained</t>
  </si>
  <si>
    <t>Infant Formula Abbott Nutrition Similac Alimentum Advance Ready-To-Feed With Ara And Dha</t>
  </si>
  <si>
    <t>Infant Formula Pbm Products Store Brand Ready-To-Feed</t>
  </si>
  <si>
    <t>Infant Formula Pbm Products Store Brand Liquid Concentrate Not Reconstituted</t>
  </si>
  <si>
    <t>Infant Formula Mead Johnson Enfamil Ar Lipil Ready-To-Feed With Ara And Dha</t>
  </si>
  <si>
    <t>Infant Formula Mead Johnson Enfamil Ar Lipil Powder With Ara And Dha</t>
  </si>
  <si>
    <t>Infant Formula Abbott Nutrition Similac Neosure Ready-To-Feed With Ara And Dha</t>
  </si>
  <si>
    <t>Infant Formula Abbott Nutrition Similac Neosure Powder With Ara And Dha</t>
  </si>
  <si>
    <t>Infant Formula Abbott Nutrition Similac Sensitive (Lactose Free) Ready-To-Feed With Ara And Dha</t>
  </si>
  <si>
    <t>Infant Formula Abbott Nutrition Similac Advance With Iron Liquid Concentrate Not Reconstituted</t>
  </si>
  <si>
    <t>Shortening Household Lard And Vegetable Oil</t>
  </si>
  <si>
    <t>Oil Sunflower Linoleic (Partially Hydrogenated)</t>
  </si>
  <si>
    <t>Shortening Bread Soybean (Hydrogenated) And Cottonseed</t>
  </si>
  <si>
    <t>Shortening Cake Mix Soybean (Hydrogenated) And Cottonseed (Hydrogenated)</t>
  </si>
  <si>
    <t>Shortening Frying (Heavy Duty) Palm (Hydrogenated)</t>
  </si>
  <si>
    <t>Shortening Household Soybean (Hydrogenated) And Palm</t>
  </si>
  <si>
    <t>Shortening Frying (Heavy Duty) Soybean (Hydrogenated) Linoleic (Less Than 1%)</t>
  </si>
  <si>
    <t>Shortening Confectionery Fractionated Palm</t>
  </si>
  <si>
    <t>Oil Nutmeg Butter</t>
  </si>
  <si>
    <t>Canola Oil</t>
  </si>
  <si>
    <t>Mustard Oil</t>
  </si>
  <si>
    <t>Oil Sunflower High Oleic (70% And Over)</t>
  </si>
  <si>
    <t>Margarine-Like Margarine-Butter Blend Soybean Oil And Butter</t>
  </si>
  <si>
    <t>Herring Oil</t>
  </si>
  <si>
    <t>Menhaden Oil</t>
  </si>
  <si>
    <t>Fish Oil Menhaden Fully Hydrogenated</t>
  </si>
  <si>
    <t>Salmon Oil</t>
  </si>
  <si>
    <t>Butter Light Stick Without Salt</t>
  </si>
  <si>
    <t>Bacon Grease</t>
  </si>
  <si>
    <t>Margarine Regular 80% Fat Composite Stick With Salt</t>
  </si>
  <si>
    <t>Margarine Regular 80% Fat Composite Tub With Salt</t>
  </si>
  <si>
    <t>Margarine-Like Vegetable Oil Spread 60% Fat Stick With Salt</t>
  </si>
  <si>
    <t>Margarine Regular 80% Fat Composite Tub Without Salt</t>
  </si>
  <si>
    <t>Margarine-Like Vegetable Oil Spread 60% Fat Stick/tub/bottle Without Salt</t>
  </si>
  <si>
    <t>Margarine-Like Vegetable Oil Spread Fat Free Liquid With Salt</t>
  </si>
  <si>
    <t>Margarine-Like Spread With Yogurt 70% Fat Stick With Salt</t>
  </si>
  <si>
    <t>Margarine-Like Vegetable Oil Spread Fat-Free Tub</t>
  </si>
  <si>
    <t>Margarine-Like Vegetable Oil Spread 20% Fat With Salt</t>
  </si>
  <si>
    <t>Margarine-Like Vegetable Oil Spread 20% Fat Without Salt</t>
  </si>
  <si>
    <t>Salad Dressing Thousand Island Dressing Fat-Free</t>
  </si>
  <si>
    <t>Oil Industrial Mid-Oleic Sunflower</t>
  </si>
  <si>
    <t>Oil Industrial Canola With Antifoaming Agent Principal Uses Salads Woks And Light Frying</t>
  </si>
  <si>
    <t>Oil Industrial Canola For Salads Woks And Light Frying</t>
  </si>
  <si>
    <t>Oil Industrial Canola (Partially Hydrogenated) Oil For Deep Fat Frying</t>
  </si>
  <si>
    <t>Oil Industrial Soy (Partially Hydrogenated) Multiuse For Non-Dairy Butter Flavor</t>
  </si>
  <si>
    <t>Oil Industrial Soy ( Partially Hydrogenated) All Purpose</t>
  </si>
  <si>
    <t>Oil Industrial Soy (Partially Hydrogenated ) And Soy (Winterized) Pourable Clear Fry</t>
  </si>
  <si>
    <t>Oil Industrial Soy (Partially Hydrogenated)  And Cottonseed Principal Use As A Tortilla Shortening</t>
  </si>
  <si>
    <t>Oil Industrial Coconut Confection Fat Typical Basis For Ice Cream Coatings</t>
  </si>
  <si>
    <t>Oil Industrial Palm Kernel (Hydrogenated)  Used For Whipped Toppings Non-Dairy</t>
  </si>
  <si>
    <t>Oil Industrial Coconut (Hydrogenated) Used For Whipped Toppings And Coffee Whiteners</t>
  </si>
  <si>
    <t>Oil Industrial Palm And Palm Kernel Filling Fat (Non-Hydrogenated)</t>
  </si>
  <si>
    <t>Margarine Industrial Soy And Partially Hydrogenated Soy Oil Use For Baking Sauces And Candy</t>
  </si>
  <si>
    <t>USDA Commodity Food Oil Vegetable Soybean Refined</t>
  </si>
  <si>
    <t>Margarine-Like Spread Smart Balance Regular Buttery Spread With Flax Oil</t>
  </si>
  <si>
    <t>Margarine-Like Spread Smart Balance Light Buttery Spread</t>
  </si>
  <si>
    <t>Raw Chicken Drumsticks</t>
  </si>
  <si>
    <t>Chicken Broilers Or Fryers Drumstick Meat And Skin Cooked Fried Batter</t>
  </si>
  <si>
    <t>Chicken Broilers Or Fryers Drumstick Meat Only Cooked Fried</t>
  </si>
  <si>
    <t>Roasted Skinless Chicken Drumstick</t>
  </si>
  <si>
    <t>Chicken Broilers Or Fryers Drumstick Meat Only Cooked Stewed</t>
  </si>
  <si>
    <t>Raw Chicken Leg</t>
  </si>
  <si>
    <t>Chicken Broilers Or Fryers Leg Meat Only Cooked Fried</t>
  </si>
  <si>
    <t>Roasted Boneless Skinless Chicken Leg</t>
  </si>
  <si>
    <t>Chicken Broilers Or Fryers Leg Meat Only Cooked Stewed</t>
  </si>
  <si>
    <t>Chicken Broilers Or Fryers Neck Meat And Skin Raw</t>
  </si>
  <si>
    <t>Chicken Broilers Or Fryers Neck Meat Only Cooked Fried</t>
  </si>
  <si>
    <t>Chicken Broilers Or Fryers Neck Meat Only Cooked Simmered</t>
  </si>
  <si>
    <t>Raw Chicken Thigh</t>
  </si>
  <si>
    <t>Chicken Broilers Or Fryers Thigh Meat And Skin Cooked Fried Batter</t>
  </si>
  <si>
    <t>Chicken Broilers Or Fryers Thigh Meat Only Cooked Fried</t>
  </si>
  <si>
    <t>Roasted Boneless Skinless Thigh Meat</t>
  </si>
  <si>
    <t>Chicken Broilers Or Fryers Thigh Meat Only Cooked Stewed</t>
  </si>
  <si>
    <t>Raw Chicken Wings</t>
  </si>
  <si>
    <t>Chicken Broilers Or Fryers Wing Meat Only Cooked Fried</t>
  </si>
  <si>
    <t>Chicken Broilers Or Fryers Wing Meat Only Cooked Roasted</t>
  </si>
  <si>
    <t>Chicken Broilers Or Fryers Wing Meat Only Cooked Stewed</t>
  </si>
  <si>
    <t>Chicken Roasting Meat And Skin And Giblets And Neck Raw</t>
  </si>
  <si>
    <t>Chicken Roasting Meat Only Cooked Roasted</t>
  </si>
  <si>
    <t>Chicken Roasting Giblets Raw</t>
  </si>
  <si>
    <t>Chicken Roasting Giblets Cooked Simmered</t>
  </si>
  <si>
    <t>Chicken Roasting Light Meat Meat Only Raw</t>
  </si>
  <si>
    <t>Chicken Stewing Meat And Skin And Giblets And Neck Cooked Stewed</t>
  </si>
  <si>
    <t>Chicken Stewing Meat And Skin Raw</t>
  </si>
  <si>
    <t>Chicken Stewing Meat And Skin Cooked Stewed</t>
  </si>
  <si>
    <t>Chicken Stewing Meat Only Raw</t>
  </si>
  <si>
    <t>Chicken Stewing Meat Only Cooked Stewed</t>
  </si>
  <si>
    <t>Chicken Stewing Dark Meat Meat Only Raw</t>
  </si>
  <si>
    <t>Chicken Stewing Dark Meat Meat Only Cooked Stewed</t>
  </si>
  <si>
    <t>Chicken Capons Meat And Skin And Giblets And Neck Raw</t>
  </si>
  <si>
    <t>Chicken Capons Meat And Skin And Giblets And Neck Cooked Roasted</t>
  </si>
  <si>
    <t>Duck Domesticated Meat And Skin Raw</t>
  </si>
  <si>
    <t>Duck Domesticated Meat And Skin Cooked Roasted</t>
  </si>
  <si>
    <t>Duck Domesticated Meat Only Raw</t>
  </si>
  <si>
    <t>Roast Duck</t>
  </si>
  <si>
    <t>Goose Domesticated Meat And Skin Cooked Roasted</t>
  </si>
  <si>
    <t>Goose Domesticated Meat Only Raw</t>
  </si>
  <si>
    <t>Roast Goose</t>
  </si>
  <si>
    <t>Goose Liver Raw</t>
  </si>
  <si>
    <t>Guinea Hen Meat And Skin Raw</t>
  </si>
  <si>
    <t>Pheasant Leg Meat Only Raw</t>
  </si>
  <si>
    <t>Quail Meat And Skin Raw</t>
  </si>
  <si>
    <t>Quail Meat Only Raw</t>
  </si>
  <si>
    <t>Lentils Raw</t>
  </si>
  <si>
    <t>Lentils (Cooked)</t>
  </si>
  <si>
    <t>Lima Beans Thin Seeded (Baby) Mature Seeds Cooked Boiled Without Salt</t>
  </si>
  <si>
    <t>Lupins Mature Seeds Raw</t>
  </si>
  <si>
    <t>Boiled Lupin Beans</t>
  </si>
  <si>
    <t>Mothbeans Mature Seeds Raw</t>
  </si>
  <si>
    <t>Mothbeans Mature Seeds Cooked Boiled Without Salt</t>
  </si>
  <si>
    <t>Mungo Beans (Cooked)</t>
  </si>
  <si>
    <t>Peas Green Split Mature Seeds Raw</t>
  </si>
  <si>
    <t>Split Peas</t>
  </si>
  <si>
    <t>Raw Peanuts</t>
  </si>
  <si>
    <t>Peanuts Spanish Oil-Roasted With Salt</t>
  </si>
  <si>
    <t>Peanuts Valencia Raw</t>
  </si>
  <si>
    <t>Peanuts Valencia Oil-Roasted With Salt</t>
  </si>
  <si>
    <t>Peanuts Virginia Raw</t>
  </si>
  <si>
    <t>Peanut Flour Low Fat</t>
  </si>
  <si>
    <t>Pigeon Peas (Red Gram) Mature Seeds Raw</t>
  </si>
  <si>
    <t>Pigeon Peas (Red Gram) Mature Seeds Cooked Boiled Without Salt</t>
  </si>
  <si>
    <t>Refried Beans Canned Traditional Style (Includes USDA Commodity)</t>
  </si>
  <si>
    <t>Bacon Meatless</t>
  </si>
  <si>
    <t>Soybeans Mature Seeds Roasted Salted</t>
  </si>
  <si>
    <t>Dry-Roasted Soybeans</t>
  </si>
  <si>
    <t>Miso</t>
  </si>
  <si>
    <t>Natto</t>
  </si>
  <si>
    <t>Soy Flour Low-Fat</t>
  </si>
  <si>
    <t>Soy Meal Defatted Raw</t>
  </si>
  <si>
    <t>Vanilla Soy Milk</t>
  </si>
  <si>
    <t>Soy Protein Concentrate Produced By Alcohol Extraction</t>
  </si>
  <si>
    <t>Firm Tofu (With Calcium And Magnesium)</t>
  </si>
  <si>
    <t>Soft Tofu</t>
  </si>
  <si>
    <t>Tofu Dried-Frozen (Koyadofu)</t>
  </si>
  <si>
    <t>Tofu Fried</t>
  </si>
  <si>
    <t>Okara</t>
  </si>
  <si>
    <t>Winged Beans Mature Seeds Cooked Boiled Without Salt</t>
  </si>
  <si>
    <t>Hummus (Homemade)</t>
  </si>
  <si>
    <t>Falafel</t>
  </si>
  <si>
    <t>Soy Milk Original And Vanilla With Added Calcium Vitamins A And D</t>
  </si>
  <si>
    <t>Peanut Spread Reduced Sugar</t>
  </si>
  <si>
    <t>Peanut Butter Smooth Reduced Fat</t>
  </si>
  <si>
    <t>Peanut Butter Smooth Vitamin And Mineral Fortified</t>
  </si>
  <si>
    <t>Peanut Butter Chunky Vitamin And Mineral Fortified</t>
  </si>
  <si>
    <t>Mori-Nu Tofu Silken Firm</t>
  </si>
  <si>
    <t>Mori-Nu Tofu Silken Extra Firm</t>
  </si>
  <si>
    <t>Mori-Nu Tofu Silken Lite Firm</t>
  </si>
  <si>
    <t>Mori-Nu Tofu Silken Lite Extra Firm</t>
  </si>
  <si>
    <t>Refried Beans Canned Fat-Free</t>
  </si>
  <si>
    <t>Frijoles Rojos Volteados (Refried Beans Red Canned)</t>
  </si>
  <si>
    <t>Tempeh Cooked</t>
  </si>
  <si>
    <t>Vitasoy Usa Nasoya Lite Firm Tofu</t>
  </si>
  <si>
    <t>Peanut Butter (Chunk Style)</t>
  </si>
  <si>
    <t>Unsalted Peanut Butter (Smooth)</t>
  </si>
  <si>
    <t>Peanut Butter With Omega-3 Creamy</t>
  </si>
  <si>
    <t>Pigeon Peas (Red Gram) Mature Seeds Cooked Boiled With Salt</t>
  </si>
  <si>
    <t>Soy Sauce Made From Soy And Wheat (Shoyu) Low Sodium</t>
  </si>
  <si>
    <t>Soy Sauce Reduced Sodium Made From Hydrolyzed Vegetable Protein</t>
  </si>
  <si>
    <t>Firm Tofu</t>
  </si>
  <si>
    <t>Tofu Prepared With Calcium</t>
  </si>
  <si>
    <t>Winged Beans Mature Seeds Cooked Boiled With Salt</t>
  </si>
  <si>
    <t>Veal Australian Rib Rib Roast Separable Lean Only Raw</t>
  </si>
  <si>
    <t>Lamb Domestic Composite Of Trimmed Retail Cuts Separable Lean And Fat Trimmed To 1/4 Inch Fat Choice Raw</t>
  </si>
  <si>
    <t>Lamb Domestic Composite Of Trimmed Retail Cuts Separable Lean And Fat Trimmed To 1/4 Inch Fat Choice Cooked</t>
  </si>
  <si>
    <t>Lamb Domestic Foreshank Separable Lean And Fat Trimmed To 1/4 Inch Fat Choice Raw</t>
  </si>
  <si>
    <t>Lamb Domestic Foreshank Separable Lean And Fat Trimmed To 1/4 Inch Fat Choice Cooked Braised</t>
  </si>
  <si>
    <t>Lamb Domestic Foreshank Separable Lean Only Trimmed To 1/4 Inch Fat Choice Raw</t>
  </si>
  <si>
    <t>Lamb Domestic Foreshank Separable Lean Only Trimmed To 1/4 Inch Fat Choice Cooked Braised</t>
  </si>
  <si>
    <t>Lamb Domestic Leg Shank Half Separable Lean And Fat Trimmed To 1/4 Inch Fat Choice Cooked Roasted</t>
  </si>
  <si>
    <t>Lamb Domestic Leg Shank Half Separable Lean Only Trimmed To 1/4 Inch Fat Choice Raw</t>
  </si>
  <si>
    <t>Lamb Shank</t>
  </si>
  <si>
    <t>Lamb Domestic Leg Sirloin Half Separable Lean And Fat Trimmed To 1/4 Inch Fat Choice Raw</t>
  </si>
  <si>
    <t>Lamb Domestic Loin Separable Lean And Fat Trimmed To 1/4 Inch Fat Choice Cooked Broiled</t>
  </si>
  <si>
    <t>Lamb Domestic Loin Separable Lean And Fat Trimmed To 1/4 Inch Fat Choice Cooked Roasted</t>
  </si>
  <si>
    <t>Lamb Domestic Loin Separable Lean Only Trimmed To 1/4 Inch Fat Choice Raw</t>
  </si>
  <si>
    <t>Lamb Domestic Loin Separable Lean Only Trimmed To 1/4 Inch Fat Choice Cooked Broiled</t>
  </si>
  <si>
    <t>Lamb Domestic Rib Separable Lean Only Trimmed To 1/4 Inch Fat Choice Raw</t>
  </si>
  <si>
    <t>Lamb Domestic Rib Separable Lean Only Trimmed To 1/4 Inch Fat Choice Cooked Broiled</t>
  </si>
  <si>
    <t>Lamb Domestic Rib Separable Lean Only Trimmed To 1/4 Inch Fat Choice Cooked Roasted</t>
  </si>
  <si>
    <t>Lamb Domestic Shoulder Whole (Arm And Blade) Separable Lean And Fat Trimmed To 1/4 Inch Fat Choice Raw</t>
  </si>
  <si>
    <t>Lamb Domestic Shoulder Whole (Arm And Blade) Separable Lean And Fat Trimmed To 1/4 Inch Fat Choice Cooked Braised</t>
  </si>
  <si>
    <t>Lamb Domestic Shoulder Whole (Arm And Blade) Separable Lean Only Trimmed To 1/4 Inch Fat Choice Cooked Broiled</t>
  </si>
  <si>
    <t>Lamb Domestic Shoulder Whole (Arm And Blade) Separable Lean Only Trimmed To 1/4 Inch Fat Choice Cooked Roasted</t>
  </si>
  <si>
    <t>Lamb Domestic Shoulder Arm Separable Lean And Fat Trimmed To 1/4 Inch Fat Choice Raw</t>
  </si>
  <si>
    <t>Lamb Domestic Shoulder Arm Separable Lean And Fat Trimmed To 1/4 Inch Fat Choice Cooked Braised</t>
  </si>
  <si>
    <t>Lamb Domestic Shoulder Arm Separable Lean Only Trimmed To 1/4 Inch Fat Choice Cooked Broiled</t>
  </si>
  <si>
    <t>Lamb Domestic Shoulder Arm Separable Lean Only Trimmed To 1/4 Inch Fat Choice Cooked Roasted</t>
  </si>
  <si>
    <t>Lamb Domestic Shoulder Blade Separable Lean And Fat Trimmed To 1/4 Inch Fat Choice Raw</t>
  </si>
  <si>
    <t>Lamb Domestic Shoulder Blade Separable Lean And Fat Trimmed To 1/4 Inch Fat Choice Cooked Braised</t>
  </si>
  <si>
    <t>Lamb Domestic Shoulder Blade Separable Lean Only Trimmed To 1/4 Inch Fat Choice Cooked Broiled</t>
  </si>
  <si>
    <t>Lamb Domestic Shoulder Blade Separable Lean Only Trimmed To 1/4 Inch Fat Choice Cooked Roasted</t>
  </si>
  <si>
    <t>Lamb Domestic Cubed For Stew Or Kabob (Leg And Shoulder) Separable Lean Only Trimmed To 1/4 Inch Fat Raw</t>
  </si>
  <si>
    <t>Lamb Domestic Cubed For Stew Or Kabob (Leg And Shoulder) Separable Lean Only Trimmed To 1/4 Inch Fat Cooked Braised</t>
  </si>
  <si>
    <t>Lamb Domestic Cubed For Stew Or Kabob (Leg And Shoulder) Separable Lean Only Trimmed To 1/4 Inch Fat Cooked Broiled</t>
  </si>
  <si>
    <t>Lamb New Zealand Imported Frozen Composite Of Trimmed Retail Cuts Separable Fat Raw</t>
  </si>
  <si>
    <t>Lamb New Zealand Imported Frozen Composite Of Trimmed Retail Cuts Separable Fat Cooked</t>
  </si>
  <si>
    <t>Lamb New Zealand Imported Fore-Shank Separable Lean And Fat Raw</t>
  </si>
  <si>
    <t>Lamb New Zealand Imported Fore-Shank Separable Lean And Fat Cooked Braised</t>
  </si>
  <si>
    <t>Lamb New Zealand Imported Leg Chop/steak Bone-In Separable Lean Only Raw</t>
  </si>
  <si>
    <t>Lamb New Zealand Imported Frozen Leg Whole (Shank And Sirloin) Separable Lean Only Cooked Roasted</t>
  </si>
  <si>
    <t>Lamb New Zealand Imported Loin Chop Separable Lean And Fat Raw</t>
  </si>
  <si>
    <t>Game Meat Muskrat Raw</t>
  </si>
  <si>
    <t>Game Meat Muskrat Cooked Roasted</t>
  </si>
  <si>
    <t>Game Meat Opossum Cooked Roasted</t>
  </si>
  <si>
    <t>Game Meat Rabbit Domesticated Composite Of Cuts Raw</t>
  </si>
  <si>
    <t>Game Meat Rabbit Domesticated Composite Of Cuts Cooked Roasted</t>
  </si>
  <si>
    <t>Game Meat Squirrel Raw</t>
  </si>
  <si>
    <t>Game Meat Squirrel Cooked Roasted</t>
  </si>
  <si>
    <t>Lamb Variety Meats And By-Products Brain Raw</t>
  </si>
  <si>
    <t>Lamb Variety Meats And By-Products Brain Cooked Braised</t>
  </si>
  <si>
    <t>Lamb Variety Meats And By-Products Heart Raw</t>
  </si>
  <si>
    <t>Lamb Variety Meats And By-Products Heart Cooked Braised</t>
  </si>
  <si>
    <t>Veal Variety Meats And By-Products Heart Raw</t>
  </si>
  <si>
    <t>Veal Variety Meats And By-Products Heart Cooked Braised</t>
  </si>
  <si>
    <t>Lamb Variety Meats And By-Products Liver Raw</t>
  </si>
  <si>
    <t>Lamb Variety Meats And By-Products Liver Cooked Braised</t>
  </si>
  <si>
    <t>Lamb Liver (Cooked)</t>
  </si>
  <si>
    <t>Veal Variety Meats And By-Products Liver Raw</t>
  </si>
  <si>
    <t>Veal Variety Meats And By-Products Liver Cooked Braised</t>
  </si>
  <si>
    <t>Veal Variety Meats And By-Products Lungs Cooked Braised</t>
  </si>
  <si>
    <t>Lamb Variety Meats And By-Products Mechanically Separated Raw</t>
  </si>
  <si>
    <t>Lamb Variety Meats And By-Products Pancreas Raw</t>
  </si>
  <si>
    <t>Lamb Variety Meats And By-Products Pancreas Cooked Braised</t>
  </si>
  <si>
    <t>Veal Variety Meats And By-Products Spleen Raw</t>
  </si>
  <si>
    <t>Veal Variety Meats And By-Products Spleen Cooked Braised</t>
  </si>
  <si>
    <t>Veal Variety Meats And By-Products Thymus Raw</t>
  </si>
  <si>
    <t>Veal Variety Meats And By-Products Thymus Cooked Braised</t>
  </si>
  <si>
    <t>Broiled Ground Lamb</t>
  </si>
  <si>
    <t>Lamb Domestic Composite Of Trimmed Retail Cuts Separable Lean And Fat Trimmed To 1/8 Inch Fat Choice Raw</t>
  </si>
  <si>
    <t>Lamb Domestic Composite Of Trimmed Retail Cuts Separable Lean And Fat Trimmed To 1/8 Inch Fat Choice Cooked</t>
  </si>
  <si>
    <t>Lamb Domestic Foreshank Separable Lean And Fat Trimmed To 1/8 Inch Fat Choice Raw</t>
  </si>
  <si>
    <t>Lamb Domestic Leg Shank Half Separable Lean And Fat Trimmed To 1/8 Inch Fat Choice Cooked Roasted</t>
  </si>
  <si>
    <t>Lamb Domestic Leg Sirloin Half Separable Lean And Fat Trimmed To 1/8 Inch Fat Choice Raw</t>
  </si>
  <si>
    <t>Lamb Domestic Leg Sirloin Half Separable Lean And Fat Trimmed To 1/8 Inch Fat Choice Cooked Roasted</t>
  </si>
  <si>
    <t>Lamb Domestic Loin Separable Lean And Fat Trimmed To 1/8 Inch Fat Choice Raw</t>
  </si>
  <si>
    <t>Lamb Domestic Rib Separable Lean And Fat Trimmed To 1/8 Inch Fat Choice Cooked Roasted</t>
  </si>
  <si>
    <t>Lamb Domestic Shoulder Whole (Arm And Blade) Separable Lean And Fat Trimmed To 1/8 Inch Fat Choice Raw</t>
  </si>
  <si>
    <t>Lamb Domestic Shoulder Whole (Arm And Blade) Separable Lean And Fat Trimmed To 1/8 Inch Fat Choice Cooked Braised</t>
  </si>
  <si>
    <t>Lamb Domestic Shoulder Whole (Arm And Blade) Separable Lean And Fat Trimmed To 1/8 Inch Fat Choice Cooked Broiled</t>
  </si>
  <si>
    <t>Lamb Domestic Shoulder Blade Separable Lean And Fat Trimmed To 1/8 Inch Fat Choice Raw</t>
  </si>
  <si>
    <t>Lamb Domestic Shoulder Blade Separable Lean And Fat Trimmed To 1/8 Inch Fat Choice Cooked Braised</t>
  </si>
  <si>
    <t>Lamb Domestic Shoulder Blade Separable Lean And Fat Trimmed To 1/8 Inch Fat Choice Cooked Broiled</t>
  </si>
  <si>
    <t>Lamb Domestic Shoulder Blade Separable Lean And Fat Trimmed To 1/8 Inch Fat Choice Cooked Roasted</t>
  </si>
  <si>
    <t>Lamb New Zealand Imported Frozen Leg Whole (Shank And Sirloin) Separable Lean And Fat Trimmed To 1/8 Inch Fat Raw</t>
  </si>
  <si>
    <t>Lamb New Zealand Imported Frozen Leg Whole (Shank And Sirloin) Separable Lean And Fat Trimmed To 1/8 Inch Fat Cooked Roasted</t>
  </si>
  <si>
    <t>Lamb New Zealand Imported Frozen Loin Separable Lean And Fat Trimmed To 1/8 Inch Fat Raw</t>
  </si>
  <si>
    <t>Lamb New Zealand Imported Frozen Loin Separable Lean And Fat Trimmed To 1/8 Inch Fat Cooked Broiled</t>
  </si>
  <si>
    <t>Game Meat Bison Top Sirloin Separable Lean Only Trimmed To 0 Inch Fat Raw</t>
  </si>
  <si>
    <t>Game Meat Bison Ribeye Separable Lean Only Trimmed To 0 Inch Fat Raw</t>
  </si>
  <si>
    <t>Game Meat Bison Shoulder Clod Separable Lean Only Trimmed To 0 Inch Fat Raw</t>
  </si>
  <si>
    <t>Veal Breast Separable Fat Cooked</t>
  </si>
  <si>
    <t>Veal Shank (Fore And Hind) Separable Lean And Fat Raw</t>
  </si>
  <si>
    <t>Veal Shank (Fore And Hind) Separable Lean And Fat Cooked Braised</t>
  </si>
  <si>
    <t>Veal Shank (Fore And Hind) Separable Lean Only Raw</t>
  </si>
  <si>
    <t>Veal Shank (Fore And Hind) Separable Lean Only Cooked Braised</t>
  </si>
  <si>
    <t>Lamb Australian Imported Fresh Separable Fat Raw</t>
  </si>
  <si>
    <t>Lamb Australian Imported Fresh Separable Fat Cooked</t>
  </si>
  <si>
    <t>Lamb Australian Imported Fresh Foreshank Separable Lean And Fat Trimmed To 1/8 Inch Fat Raw</t>
  </si>
  <si>
    <t>Lamb Australian Imported Fresh Foreshank Separable Lean And Fat Trimmed To 1/8 Inch Fat Cooked Braised</t>
  </si>
  <si>
    <t>Lamb Australian Imported Fresh Leg Whole (Shank And Sirloin) Separable Lean Only Trimmed To 1/8 Inch Fat Raw</t>
  </si>
  <si>
    <t>Lamb Australian Imported Fresh Leg Whole (Shank And Sirloin) Separable Lean Only Trimmed To 1/8 Inch Fat Cooked Roasted</t>
  </si>
  <si>
    <t>Lamb Australian Imported Fresh Leg Shank Half Separable Lean And Fat Trimmed To 1/8 Inch Fat Raw</t>
  </si>
  <si>
    <t>Lamb Australian Imported Fresh Leg Shank Half Separable Lean And Fat Trimmed To 1/8 Inch Fat Cooked Roasted</t>
  </si>
  <si>
    <t>Lamb Australian Imported Fresh Leg Shank Half Separable Lean Only Trimmed To 1/8 Inch Fat Raw</t>
  </si>
  <si>
    <t>Lamb Australian Imported Fresh Leg Sirloin Half Boneless Separable Lean Only Trimmed To 1/8 Inch Fat Cooked Roasted</t>
  </si>
  <si>
    <t>Lamb Australian Imported Fresh Leg Sirloin Chops Boneless Separable Lean And Fat Trimmed To 1/8 Inch Fat Raw</t>
  </si>
  <si>
    <t>Lamb Australian Imported Fresh Leg Sirloin Chops Boneless Separable Lean And Fat Trimmed To 1/8 Inch Fat Cooked Broiled</t>
  </si>
  <si>
    <t>Lamb Australian Imported Fresh Leg Sirloin Chops Boneless Separable Lean Only Trimmed To 1/8 Inch Fat Raw</t>
  </si>
  <si>
    <t>Lamb Australian Imported Fresh Leg Center Slice Bone-In Separable Lean Only Trimmed To 1/8 Inch Fat Cooked Broiled</t>
  </si>
  <si>
    <t>Lamb Australian Imported Fresh Loin Separable Lean And Fat Trimmed To 1/8 Inch Fat Raw</t>
  </si>
  <si>
    <t>Lamb Australian Imported Fresh Loin Separable Lean And Fat Trimmed To 1/8 Inch Fat Cooked Broiled</t>
  </si>
  <si>
    <t>Lamb Australian Imported Fresh Loin Separable Lean Only Trimmed To 1/8 Inch Fat Raw</t>
  </si>
  <si>
    <t>Lamb Australian Imported Fresh Rib Chop Frenched Bone-In Separable Lean Only Trimmed To 1/8 Inch Fat Cooked Grilled</t>
  </si>
  <si>
    <t>Lamb Australian Imported Fresh Shoulder Whole (Arm And Blade) Separable Lean And Fat Trimmed To 1/8 Inch Fat Raw</t>
  </si>
  <si>
    <t>Lamb Australian Imported Fresh Shoulder Whole (Arm And Blade) Separable Lean And Fat Trimmed To 1/8 Inch Fat Cooked</t>
  </si>
  <si>
    <t>Lamb Australian Imported Fresh Shoulder Whole (Arm And Blade) Separable Lean Only   Trimmed To 1/8 Inch Fat Raw</t>
  </si>
  <si>
    <t>Lamb Australian Imported Fresh Shoulder Whole (Arm And Blade) Separable Lean Only Trimmed To 1/8 Inch Fat Cooked</t>
  </si>
  <si>
    <t>Lamb Australian Imported Fresh Shoulder Blade Separable Lean And Fat Trimmed To 1/8 Inch Fat Raw</t>
  </si>
  <si>
    <t>Lamb Australian Imported Fresh Shoulder Blade Separable Lean And Fat Trimmed To 1/8 Inch Fat Cooked Broiled</t>
  </si>
  <si>
    <t>Lamb Australian Imported Fresh Shoulder Blade Separable Lean Only Trimmed To 1/8 Inch Fat Raw</t>
  </si>
  <si>
    <t>Lamb Australian Imported Fresh Shoulder Blade Separable Lean Only Trimmed To 1/8 Inch Fat Cooked Broiled</t>
  </si>
  <si>
    <t>Game Meat Bison Chuck Shoulder Clod Separable Lean Only Raw</t>
  </si>
  <si>
    <t>Game Meat Bison Ribeye Separable Lean Only 1 Inch Steak Cooked Broiled</t>
  </si>
  <si>
    <t>Game Meat Bison Top Round Separable Lean Only 1 Inch Steak Cooked Broiled</t>
  </si>
  <si>
    <t>Game Meat Bison Top Round Separable Lean Only 1 Inch Steak Raw</t>
  </si>
  <si>
    <t>Game Meat Deer Ground Raw</t>
  </si>
  <si>
    <t>Game Meat Deer Ground Cooked Pan-Broiled</t>
  </si>
  <si>
    <t>Game Meat Deer Loin Separable Lean Only 1 Inch Steak Cooked Broiled</t>
  </si>
  <si>
    <t>Game Meat Deer Shoulder Clod Separable Lean Only Cooked Braised</t>
  </si>
  <si>
    <t>Veal Australian Shank Hind Bone-In Separable Lean Only Raw</t>
  </si>
  <si>
    <t>Veal Australian Shank Hind Bone-In Separable Lean And Fat</t>
  </si>
  <si>
    <t>Lamb Australian Ground  85% Lean / 15% Fat Raw</t>
  </si>
  <si>
    <t>Lamb New Zealand Imported Intermuscular Fat Cooked</t>
  </si>
  <si>
    <t>Lamb New Zealand Imported Breast Separable Lean Only Cooked Braised</t>
  </si>
  <si>
    <t>Lamb New Zealand Imported Breast Separable Lean Only Raw</t>
  </si>
  <si>
    <t>Lamb New Zealand Imported Chump Boneless Separable Lean Only Cooked Fast Roasted</t>
  </si>
  <si>
    <t>Lamb New Zealand Imported Subcutaneous Fat Cooked</t>
  </si>
  <si>
    <t>Lamb New Zealand Imported Liver Cooked Soaked And Fried</t>
  </si>
  <si>
    <t>Lamb New Zealand Imported Liver Raw</t>
  </si>
  <si>
    <t>Lamb New Zealand Imported Ground Lamb Cooked Braised</t>
  </si>
  <si>
    <t>Lamb New Zealand Imported Ground Lamb Raw</t>
  </si>
  <si>
    <t>Lamb New Zealand Imported Testes Cooked Soaked And Fried</t>
  </si>
  <si>
    <t>Lamb New Zealand Imported Testes Raw</t>
  </si>
  <si>
    <t>Lamb New Zealand Imported Tongue - Swiss Cut Cooked Soaked And Simmered</t>
  </si>
  <si>
    <t>Lamb New Zealand Imported Tongue - Swiss Cut Raw</t>
  </si>
  <si>
    <t>Lamb New Zealand Imported Tenderloin Separable Lean Only Cooked Fast Fried</t>
  </si>
  <si>
    <t>Lamb New Zealand Imported Tenderloin Separable Lean Only Raw</t>
  </si>
  <si>
    <t>Lamb New Zealand Imported Loin Saddle Separable Lean Only Cooked Fast Roasted</t>
  </si>
  <si>
    <t>Lamb New Zealand Imported Loin Saddle Separable Lean Only Raw</t>
  </si>
  <si>
    <t>Lamb New Zealand Imported Neck Chops Separable Lean Only Cooked Braised</t>
  </si>
  <si>
    <t>Lamb New Zealand Imported Netted Shoulder Rolled Boneless Separable Lean Only Cooked Slow Roasted</t>
  </si>
  <si>
    <t>Lamb New Zealand Imported Netted Shoulder Rolled Boneless Separable Lean Only Raw</t>
  </si>
  <si>
    <t>Lamb New Zealand Imported Rack - Fully Frenched Separable Lean Only Cooked Fast Roasted</t>
  </si>
  <si>
    <t>Lamb New Zealand Imported Flap Boneless Separable Lean And Fat Cooked Braised</t>
  </si>
  <si>
    <t>Lamb New Zealand Imported Flap Boneless Separable Lean And Fat Raw</t>
  </si>
  <si>
    <t>Lamb New Zealand Imported Hind-Shank Separable Lean And Fat Cooked Braised</t>
  </si>
  <si>
    <t>Lamb New Zealand Imported Hind-Shank Separable Lean And Fat Raw</t>
  </si>
  <si>
    <t>Lamb New Zealand Imported Loin Boneless Separable Lean And Fat Cooked Fast Roasted</t>
  </si>
  <si>
    <t>Lamb New Zealand Imported Loin Boneless Separable Lean And Fat Raw</t>
  </si>
  <si>
    <t>Lamb New Zealand Imported Neck Chops Separable Lean And Fat Cooked Braised</t>
  </si>
  <si>
    <t>Lamb New Zealand Imported Neck Chops Separable Lean And Fat Raw</t>
  </si>
  <si>
    <t>Lamb New Zealand Imported Netted Shoulder Rolled Boneless Separable Lean And Fat Cooked Slow Roasted</t>
  </si>
  <si>
    <t>Lamb New Zealand Imported Tenderloin Separable Lean And Fat Cooked Fast Fried</t>
  </si>
  <si>
    <t>Lamb New Zealand Imported Rack - Fully Frenched Separable Lean And Fat Cooked Fast Roasted</t>
  </si>
  <si>
    <t>Lamb New Zealand Imported Rack - Fully Frenched Separable Lean And Fat Raw</t>
  </si>
  <si>
    <t>Lamb New Zealand Imported Tunnel-Boned Leg Chump Off Shank Off Separable Lean And Fat Cooked Slow Roasted</t>
  </si>
  <si>
    <t>Veal Leg Top Round Cap Off Cutlet Boneless Raw</t>
  </si>
  <si>
    <t>Veal Loin Chop Separable Lean Only Cooked Grilled</t>
  </si>
  <si>
    <t>Veal Shank Separable Lean Only Raw</t>
  </si>
  <si>
    <t>Veal Foreshank Osso Buco Separable Lean Only Cooked Braised</t>
  </si>
  <si>
    <t>Veal Seam Fat Only Cooked</t>
  </si>
  <si>
    <t>Veal Shank Separable Lean And Fat Raw</t>
  </si>
  <si>
    <t>Veal Foreshank Osso Buco Separable Lean And Fat Cooked Braised</t>
  </si>
  <si>
    <t>Veal Loin Chop Separable Lean And Fat Cooked Grilled</t>
  </si>
  <si>
    <t>Veal Shoulder Blade Chop Separable Lean And Fat Cooked Grilled</t>
  </si>
  <si>
    <t>Lamb Australian Imported Fresh Tenderloin Boneless Separable Lean Only Trimmed To 1/8 Inch Fat Raw</t>
  </si>
  <si>
    <t>Lamb Australian Imported Fresh Leg Bottom Boneless Separable Lean Only Trimmed To 1/8 Inch Fat Raw</t>
  </si>
  <si>
    <t>Lamb Australian Imported Fresh Leg Trotter Off Bone-In Separable Lean Only Trimmed To 1/8 Inch Fat Cooked Roasted</t>
  </si>
  <si>
    <t>Lamb Australian Imported Fresh Leg Trotter Off Bone-In Separable Lean Only Trimmed To 1/8 Inch Fat Raw</t>
  </si>
  <si>
    <t>Lamb Australian Imported Fresh Seam Fat Cooked</t>
  </si>
  <si>
    <t>Lamb Australian Imported Fresh Seam Fat Raw</t>
  </si>
  <si>
    <t>Lamb Australian Imported Fresh Leg Bottom Boneless Separable Lean And Fat Trimmed To 1/8 Inch Fat Cooked Roasted</t>
  </si>
  <si>
    <t>Lamb Australian Imported Fresh Leg Bottom Boneless Separable Lean And Fat Trimmed To 1/8 Inch Fat Raw</t>
  </si>
  <si>
    <t>Lamb Australian Imported Fresh Tenderloin Boneless Separable Lean And Fat Trimmed To 1/8 Inch Fat Raw</t>
  </si>
  <si>
    <t>Lamb Australian Imported Fresh Rib Chop Frenched Denuded Bone-In Separable Lean Only Trimmed To 0 Inch Fat Cooked Grilled</t>
  </si>
  <si>
    <t>Lamb Australian Imported Fresh Rack Roast Frenched Denuded Bone-In Separable Lean And Fat Trimmed To 0 Inch Fat Cooked Roasted</t>
  </si>
  <si>
    <t>Lamb Australian Imported Fresh Rack Roast Frenched Bone-In Separable Lean And Fat Trimmed To 1/8 Inch Fat Cooked Roasted</t>
  </si>
  <si>
    <t>Cinnamon Raisin Bagels</t>
  </si>
  <si>
    <t>Toasted Cinnamon Raisin Bagels</t>
  </si>
  <si>
    <t>Bagel (Oat Bran)</t>
  </si>
  <si>
    <t>Biscuits Plain Or Buttermilk Frozen Baked</t>
  </si>
  <si>
    <t>Biscuits Plain Or Buttermilk Refrigerated Dough Higher Fat</t>
  </si>
  <si>
    <t>Biscuits Plain Or Buttermilk Refrigerated Dough Higher Fat Baked</t>
  </si>
  <si>
    <t>Biscuits Plain Or Buttermilk Prepared From Recipe</t>
  </si>
  <si>
    <t>Biscuits Mixed Grain Refrigerated Dough</t>
  </si>
  <si>
    <t>Bread Cracked-Wheat</t>
  </si>
  <si>
    <t>Bread Egg</t>
  </si>
  <si>
    <t>Bread Egg Toasted</t>
  </si>
  <si>
    <t>French Bread</t>
  </si>
  <si>
    <t>Bread Oat Bran</t>
  </si>
  <si>
    <t>Bread Oat Bran Toasted</t>
  </si>
  <si>
    <t>Bread Oatmeal</t>
  </si>
  <si>
    <t>Bread Oatmeal Toasted</t>
  </si>
  <si>
    <t>Bread Raisin Enriched</t>
  </si>
  <si>
    <t>Bread Raisin Enriched Toasted</t>
  </si>
  <si>
    <t>Bread Reduced-Calorie Oat Bran</t>
  </si>
  <si>
    <t>Bread Reduced-Calorie Oat Bran Toasted</t>
  </si>
  <si>
    <t>Rye Bread</t>
  </si>
  <si>
    <t>Bread Rye Toasted</t>
  </si>
  <si>
    <t>Wheat Bread</t>
  </si>
  <si>
    <t>Bread Wheat Toasted</t>
  </si>
  <si>
    <t>Whole Wheat Bread</t>
  </si>
  <si>
    <t>Toasted Whole Wheat Bread</t>
  </si>
  <si>
    <t>Bread Whole-Wheat Prepared From Recipe</t>
  </si>
  <si>
    <t>Bread Whole-Wheat Prepared From Recipe Toasted</t>
  </si>
  <si>
    <t>Bread Stuffing Cornbread Dry Mix</t>
  </si>
  <si>
    <t>Bread Stuffing Cornbread Dry Mix Prepared</t>
  </si>
  <si>
    <t>Cake Angelfood Commercially Prepared</t>
  </si>
  <si>
    <t>Cake Angelfood Dry Mix Prepared</t>
  </si>
  <si>
    <t>Cake Boston Cream Pie Commercially Prepared</t>
  </si>
  <si>
    <t>Chocolate Cake</t>
  </si>
  <si>
    <t>White Cake With Coconut Frosting</t>
  </si>
  <si>
    <t>Coffeecake Cheese</t>
  </si>
  <si>
    <t>Cinnamon Coffeecake</t>
  </si>
  <si>
    <t>Cake Gingerbread Dry Mix</t>
  </si>
  <si>
    <t>Gingerbread Cake</t>
  </si>
  <si>
    <t>Upside-Down Pineapple Cake</t>
  </si>
  <si>
    <t>Cake Pound Commercially Prepared Butter (Includes Fresh And Frozen)</t>
  </si>
  <si>
    <t>Cake White Dry Mix Special Dietary (Includes Lemon-Flavored)</t>
  </si>
  <si>
    <t>Cake Sponge Commercially Prepared</t>
  </si>
  <si>
    <t>Cake Sponge Prepared From Recipe</t>
  </si>
  <si>
    <t>Cake Pudding-Type White Enriched Dry Mix</t>
  </si>
  <si>
    <t>Cake White Prepared From Recipe Without Frosting</t>
  </si>
  <si>
    <t>Cake Yellow Prepared From Recipe Without Frosting</t>
  </si>
  <si>
    <t>Cheesecake Commercially Prepared</t>
  </si>
  <si>
    <t>Cheesecake Prepared From Mix No-Bake Type</t>
  </si>
  <si>
    <t>Cookies Brownies Commercially Prepared</t>
  </si>
  <si>
    <t>Cookies Chocolate Wafers</t>
  </si>
  <si>
    <t>Cookies Chocolate Chip Commercially Prepared Regular Lower Fat</t>
  </si>
  <si>
    <t>Cookies Chocolate Chip Commercially Prepared Regular Higher Fat Enriched</t>
  </si>
  <si>
    <t>Cookies Chocolate Chip Commercially Prepared Soft-Type</t>
  </si>
  <si>
    <t>Cookies Chocolate Sandwich With Creme Filling Regular</t>
  </si>
  <si>
    <t>Cookies Chocolate Sandwich With Creme Filling Regular Chocolate-Coated</t>
  </si>
  <si>
    <t>Cookies Chocolate Sandwich With Extra Creme Filling</t>
  </si>
  <si>
    <t>Fig Bars</t>
  </si>
  <si>
    <t>Forunte Cookies</t>
  </si>
  <si>
    <t>Chocolate Coated Marshmallows</t>
  </si>
  <si>
    <t>Molasses Cookies</t>
  </si>
  <si>
    <t>Oatmeal Cookies</t>
  </si>
  <si>
    <t>Cookies Oatmeal Commercially Prepared Soft-Type</t>
  </si>
  <si>
    <t>Cookies Peanut Butter Commercially Prepared Regular</t>
  </si>
  <si>
    <t>Cookies Peanut Butter Commercially Prepared Soft-Type</t>
  </si>
  <si>
    <t>Cookies Peanut Butter Refrigerated Dough</t>
  </si>
  <si>
    <t>Cookies Peanut Butter Refrigerated Dough Baked</t>
  </si>
  <si>
    <t>Cookies Brownies Dry Mix Sugar Free</t>
  </si>
  <si>
    <t>Cookies Chocolate Chip Commercially Prepared Special Dietary</t>
  </si>
  <si>
    <t>Cookies Chocolate Sandwich With Creme Filling Special Dietary</t>
  </si>
  <si>
    <t>Cookies Oatmeal Commercially Prepared Special Dietary</t>
  </si>
  <si>
    <t>Cookies Sugar Refrigerated Dough Baked</t>
  </si>
  <si>
    <t>Cookies Sugar Wafers With Creme Filling Regular</t>
  </si>
  <si>
    <t>Cookies Vanilla Sandwich With Creme Filling</t>
  </si>
  <si>
    <t>Puff Pastry Frozen Ready-To-Bake Baked</t>
  </si>
  <si>
    <t>Rye Crispbread</t>
  </si>
  <si>
    <t>Plain Matzo Crackers</t>
  </si>
  <si>
    <t>Matzo Egg Crackers</t>
  </si>
  <si>
    <t>Crackers Matzo Whole-Wheat</t>
  </si>
  <si>
    <t>Crackers Rye Sandwich-Type With Cheese Filling</t>
  </si>
  <si>
    <t>Crackers Rye Wafers Plain</t>
  </si>
  <si>
    <t>Crackers Rye Wafers Seasoned</t>
  </si>
  <si>
    <t>Crackers Saltines (Includes Oyster Soda Soup)</t>
  </si>
  <si>
    <t>Crackers Wheat Sandwich With Cheese Filling</t>
  </si>
  <si>
    <t>Crackers Wheat Sandwich With Peanut Butter Filling</t>
  </si>
  <si>
    <t>Crackers Whole-Wheat</t>
  </si>
  <si>
    <t>Cracker Meal</t>
  </si>
  <si>
    <t>Plain Croutons</t>
  </si>
  <si>
    <t>Croutons Seasoned</t>
  </si>
  <si>
    <t>Danish Pastry Cinnamon Enriched</t>
  </si>
  <si>
    <t>Danish Pastry Cheese</t>
  </si>
  <si>
    <t>Danish Pastry Fruit Enriched (Includes Apple Cinnamon Raisin Lemon Raspberry Strawberry)</t>
  </si>
  <si>
    <t>Doughnuts French Crullers Glazed</t>
  </si>
  <si>
    <t>Doughnuts Yeast-Leavened With Creme Filling</t>
  </si>
  <si>
    <t>Doughnuts Yeast-Leavened Glazed Enriched (Includes Honey Buns)</t>
  </si>
  <si>
    <t>Doughnuts Yeast-Leavened With Jelly Filling</t>
  </si>
  <si>
    <t>English Muffins Raisin-Cinnamon Toasted (Includes Apple-Cinnamon)</t>
  </si>
  <si>
    <t>English Muffins</t>
  </si>
  <si>
    <t>English Muffins Whole-Wheat</t>
  </si>
  <si>
    <t>French Toast Frozen Ready-To-Heat</t>
  </si>
  <si>
    <t>Muffins Plain Prepared From Recipe Made With Low Fat (2%) Milk</t>
  </si>
  <si>
    <t>Muffins Blueberry Commercially Prepared (Includes Mini-Muffins)</t>
  </si>
  <si>
    <t>Muffins Blueberry Dry Mix</t>
  </si>
  <si>
    <t>Muffins Blueberry Toaster-Type</t>
  </si>
  <si>
    <t>Muffins Blueberry Prepared From Recipe Made With Low Fat (2%) Milk</t>
  </si>
  <si>
    <t>Muffins Oat Bran</t>
  </si>
  <si>
    <t>Muffins Wheat Bran Dry Mix</t>
  </si>
  <si>
    <t>Pancakes Plain Frozen Ready-To-Heat (Includes Buttermilk)</t>
  </si>
  <si>
    <t>Pancakes Plain Dry Mix Complete (Includes Buttermilk)</t>
  </si>
  <si>
    <t>Pancakes Blueberry Prepared From Recipe</t>
  </si>
  <si>
    <t>Pancakes Buckwheat Dry Mix Incomplete</t>
  </si>
  <si>
    <t>Pancakes Special Dietary Dry Mix</t>
  </si>
  <si>
    <t>Pancakes Whole-Wheat Dry Mix Incomplete</t>
  </si>
  <si>
    <t>Pie Banana Cream Prepared From Recipe</t>
  </si>
  <si>
    <t>Blueberry Pie</t>
  </si>
  <si>
    <t>Pie Blueberry Prepared From Recipe</t>
  </si>
  <si>
    <t>Pie Cherry Commercially Prepared</t>
  </si>
  <si>
    <t>Pie Cherry Prepared From Recipe</t>
  </si>
  <si>
    <t>Coconut Custard Pie</t>
  </si>
  <si>
    <t>Pie Egg Custard Commercially Prepared</t>
  </si>
  <si>
    <t>Pie Fried Pies Fruit</t>
  </si>
  <si>
    <t>Pie Lemon Meringue Commercially Prepared</t>
  </si>
  <si>
    <t>Pie Pecan Prepared From Recipe</t>
  </si>
  <si>
    <t>Pie Pumpkin Commercially Prepared</t>
  </si>
  <si>
    <t>Pie Pumpkin Prepared From Recipe</t>
  </si>
  <si>
    <t>Pie Vanilla Cream Prepared From Recipe</t>
  </si>
  <si>
    <t>Puff Pastry</t>
  </si>
  <si>
    <t>Phyllo Dough</t>
  </si>
  <si>
    <t>Popovers Dry Mix Enriched</t>
  </si>
  <si>
    <t>Rolls Dinner Plain Commercially Prepared (Includes Brown-And-Serve)</t>
  </si>
  <si>
    <t>Rolls Dinner Whole-Wheat</t>
  </si>
  <si>
    <t>Rolls French</t>
  </si>
  <si>
    <t>Rolls Hamburger Or Hotdog Plain</t>
  </si>
  <si>
    <t>Rolls Hamburger Or Hotdog Mixed-Grain</t>
  </si>
  <si>
    <t>Sweet Rolls Cinnamon Refrigerated Dough With Frosting</t>
  </si>
  <si>
    <t>Sweet Rolls Cinnamon Refrigerated Dough With Frosting Baked</t>
  </si>
  <si>
    <t>Taco Shells Baked</t>
  </si>
  <si>
    <t>Toaster Pastries Brown-Sugar-Cinnamon</t>
  </si>
  <si>
    <t>Wonton Wrappers (Includes Egg Roll Wrappers)</t>
  </si>
  <si>
    <t>Leavening Agents Baking Powder Double-Acting Sodium Aluminum Sulfate</t>
  </si>
  <si>
    <t>Leavening Agents Baking Powder Double-Acting Straight Phosphate</t>
  </si>
  <si>
    <t>Leavening Agents Baking Powder Low-Sodium</t>
  </si>
  <si>
    <t>Bread Crumbs Dry Grated Seasoned</t>
  </si>
  <si>
    <t>Cookies Oatmeal Prepared From Recipe Without Raisins</t>
  </si>
  <si>
    <t>Cookies Chocolate Chip Prepared From Recipe Made With Butter</t>
  </si>
  <si>
    <t>Bread Protein (Includes Gluten) Toasted</t>
  </si>
  <si>
    <t>Rolls Dinner Plain Prepared From Recipe Made With Low Fat (2%) Milk</t>
  </si>
  <si>
    <t>Pie Crust Cookie-Type Prepared From Recipe Graham Cracker Chilled</t>
  </si>
  <si>
    <t>Crackers Matzo Egg And Onion</t>
  </si>
  <si>
    <t>Pie Crust Cookie-Type Prepared From Recipe Vanilla Wafer Chilled</t>
  </si>
  <si>
    <t>Pie Crust Standard-Type Prepared From Recipe Unbaked</t>
  </si>
  <si>
    <t>Bread Cornbread Dry Mix Unenriched (Includes Corn Muffin Mix)</t>
  </si>
  <si>
    <t>Bread Pita White Unenriched</t>
  </si>
  <si>
    <t>Bread Raisin Unenriched</t>
  </si>
  <si>
    <t>Bread White Commercially Prepared Low Sodium No Salt</t>
  </si>
  <si>
    <t>Cookies Butter Commercially Prepared Unenriched</t>
  </si>
  <si>
    <t>Cookies Chocolate Chip Commercially Prepared Regular Higher Fat Unenriched</t>
  </si>
  <si>
    <t>Cookies Ladyfingers Without Lemon Juice And Rind</t>
  </si>
  <si>
    <t>Crackers Melba Toast Plain Without Salt</t>
  </si>
  <si>
    <t>Crackers Whole-Wheat Low Salt</t>
  </si>
  <si>
    <t>Danish Pastry Cinnamon Unenriched</t>
  </si>
  <si>
    <t>Danish Pastry Fruit Unenriched (Includes Apple Cinnamon Raisin Strawberry)</t>
  </si>
  <si>
    <t>Bread White Commercially Prepared Toasted Low Sodium No Salt</t>
  </si>
  <si>
    <t>Danish Pastry Lemon Unenriched</t>
  </si>
  <si>
    <t>English Muffins Plain Unenriched With Calcium Propionate (Includes Sourdough)</t>
  </si>
  <si>
    <t>Quail Breast Meat Only Raw</t>
  </si>
  <si>
    <t>Chicken Broiler Rotisserie BBQ Wing Meat And Skin</t>
  </si>
  <si>
    <t>Ruffed Grouse Breast Meat Skinless Raw</t>
  </si>
  <si>
    <t>Emu Ground Raw</t>
  </si>
  <si>
    <t>Emu Ground Cooked Pan-Broiled</t>
  </si>
  <si>
    <t>Emu Full Rump Cooked Broiled</t>
  </si>
  <si>
    <t>Emu Inside Drum Raw</t>
  </si>
  <si>
    <t>Emu Inside Drums Cooked Broiled</t>
  </si>
  <si>
    <t>Emu Outside Drum Raw</t>
  </si>
  <si>
    <t>Emu Oyster Raw</t>
  </si>
  <si>
    <t>Ostrich Inside Leg Raw</t>
  </si>
  <si>
    <t>Ostrich Inside Leg Cooked</t>
  </si>
  <si>
    <t>Ostrich Inside Strip Raw</t>
  </si>
  <si>
    <t>Ostrich Steak</t>
  </si>
  <si>
    <t>Ostrich Oyster Cooked</t>
  </si>
  <si>
    <t>Ostrich Round Raw</t>
  </si>
  <si>
    <t>Ostrich Tenderloin Raw</t>
  </si>
  <si>
    <t>Ostrich Tip Trimmed Raw</t>
  </si>
  <si>
    <t>Raw Fatfree Ground Turkey</t>
  </si>
  <si>
    <t>Fat Free Ground Turkey</t>
  </si>
  <si>
    <t>Fat Free Broiled Turkey Patties</t>
  </si>
  <si>
    <t>Ground Turkey 93% Lean 7% Fat Raw</t>
  </si>
  <si>
    <t>Ground Turkey 93% Lean 7% Fat Pan-Broiled Crumbles</t>
  </si>
  <si>
    <t>Chicken Broilers Or Fryers Dark Meat Drumstick Meat Only Cooked Braised</t>
  </si>
  <si>
    <t>Chicken Broilers Or Fryers Dark Meat Thigh Meat Only Cooked Braised</t>
  </si>
  <si>
    <t>Chicken Skin (Drumsticks And Thighs) Cooked Braised</t>
  </si>
  <si>
    <t>Chicken Skin (Drumsticks And Thighs) Raw</t>
  </si>
  <si>
    <t>Chicken Dark Meat Drumstick Meat Only With Added Solution Cooked Roasted</t>
  </si>
  <si>
    <t>Chicken Dark Meat Drumstick Meat Only With Added Solution Cooked Braised</t>
  </si>
  <si>
    <t>Chicken Dark Meat Thigh Meat Only With Added Solution Cooked Braised</t>
  </si>
  <si>
    <t>Chicken Dark Meat Thigh Meat Only With Added Solution Raw</t>
  </si>
  <si>
    <t>Chicken Dark Meat Drumstick Meat And Skin With Added Solution Raw</t>
  </si>
  <si>
    <t>Chicken Dark Meat Drumstick Meat And Skin With Added Solution Cooked Roasted</t>
  </si>
  <si>
    <t>Chicken Dark Meat Thigh Meat And Skin With Added Solution Cooked Braised</t>
  </si>
  <si>
    <t>Chicken Dark Meat Thigh Meat And Skin With Added Solution Raw</t>
  </si>
  <si>
    <t>Turkey From Whole Light Meat Meat Only With Added Solution Raw</t>
  </si>
  <si>
    <t>Turkey From Whole Light Meat Meat Only With Added Solution Cooked Roasted</t>
  </si>
  <si>
    <t>Turkey Skin From Whole (Light And Dark) With Added Solution Raw</t>
  </si>
  <si>
    <t>Turkey Skin From Whole (Light And Dark) With Added Solution Roasted</t>
  </si>
  <si>
    <t>Turkey Whole Meat Only With Added Solution Raw</t>
  </si>
  <si>
    <t>Turkey Whole Meat Only With Added Solution Roasted</t>
  </si>
  <si>
    <t>Turkey Whole Meat And Skin With Added Solution Raw</t>
  </si>
  <si>
    <t>Turkey Whole Meat And Skin With Added Solution Roasted</t>
  </si>
  <si>
    <t>Turkey Retail Parts Wing Meat Only Cooked Roasted</t>
  </si>
  <si>
    <t>Turkey Skin From Retail Parts From Dark Meat Raw</t>
  </si>
  <si>
    <t>Turkey Skin From Retail Parts From Dark Meat Cooked Roasted</t>
  </si>
  <si>
    <t>Turkey Retail Parts Drumstick Meat Only Raw</t>
  </si>
  <si>
    <t>Turkey Breast From Whole Bird Meat Only With Added Solution Raw</t>
  </si>
  <si>
    <t>Turkey Retail Parts Thigh Meat Only Cooked Roasted</t>
  </si>
  <si>
    <t>Turkey Retail Parts Drumstick Meat Only Cooked Roasted</t>
  </si>
  <si>
    <t>Sauce Plum Ready-To-Serve</t>
  </si>
  <si>
    <t>Canned Pizza Sauce</t>
  </si>
  <si>
    <t>Soup Tomato Bisque Canned Condensed</t>
  </si>
  <si>
    <t>Soup Tomato Canned Condensed</t>
  </si>
  <si>
    <t>Beef Stock</t>
  </si>
  <si>
    <t>Chicken Stock</t>
  </si>
  <si>
    <t>Fish Stock</t>
  </si>
  <si>
    <t>Hoisin Sauce</t>
  </si>
  <si>
    <t>Soup Cream Of Mushroom Canned Condensed Reduced Sodium</t>
  </si>
  <si>
    <t>Soup Chicken Broth Less/reduced Sodium Ready To Serve</t>
  </si>
  <si>
    <t>Soup Beef Broth Less/reduced Sodium Ready To Serve</t>
  </si>
  <si>
    <t>Teriyaki Sauce</t>
  </si>
  <si>
    <t>Soup Cream Of Asparagus Canned Prepared With Equal Volume Milk</t>
  </si>
  <si>
    <t>Soup Chicken Vegetable With Potato And Cheese Chunky Ready-To-Serve</t>
  </si>
  <si>
    <t>Soup Cream Of Celery Canned Prepared With Equal Volume Milk</t>
  </si>
  <si>
    <t>Soup Cheese Canned Prepared With Equal Volume Milk</t>
  </si>
  <si>
    <t>Soup Oyster Stew Canned Prepared With Equal Volume Milk</t>
  </si>
  <si>
    <t>Soup Pea Green Canned Prepared With Equal Volume Milk</t>
  </si>
  <si>
    <t>Soup Cream Of Potato Canned Prepared With Equal Volume Milk</t>
  </si>
  <si>
    <t>Soup Cream Of Shrimp Canned Prepared With Equal Volume Low Fat (2%) Milk</t>
  </si>
  <si>
    <t>Soup Healthy Choice Chicken And Rice Soup Canned</t>
  </si>
  <si>
    <t>Soup Healthy Choice Garden Vegetable Soup Canned</t>
  </si>
  <si>
    <t>Campbells Cream Of Mushroom Soup Condensed</t>
  </si>
  <si>
    <t>Soup Tomato Bisque Canned Prepared With Equal Volume Milk</t>
  </si>
  <si>
    <t>Black Bean Soup</t>
  </si>
  <si>
    <t>Soup Bean With Pork Canned Prepared With Equal Volume Water</t>
  </si>
  <si>
    <t>Soup Bean With Frankfurters Canned Prepared With Equal Volume Water</t>
  </si>
  <si>
    <t>Soup Beef Noodle Canned Prepared With Equal Volume Water</t>
  </si>
  <si>
    <t>Soup Cream Of Celery Canned Prepared With Equal Volume Water</t>
  </si>
  <si>
    <t>Soup Chicken Gumbo Canned Prepared With Equal Volume Water</t>
  </si>
  <si>
    <t>Soup Chicken Noodle Canned Prepared With Equal Volume Water</t>
  </si>
  <si>
    <t>Soup Chicken With Rice Canned Prepared With Equal Volume Water</t>
  </si>
  <si>
    <t>Soup Chili Beef Canned Prepared With Equal Volume Water</t>
  </si>
  <si>
    <t>Campbells Chunky Soups Old Fashioned Vegetable Beef Soup</t>
  </si>
  <si>
    <t>Minestrone</t>
  </si>
  <si>
    <t>Mushroom Barley Soup</t>
  </si>
  <si>
    <t>Cream Of Mushroom Soup</t>
  </si>
  <si>
    <t>Soup Pea Split With Ham Canned Prepared With Equal Volume Water</t>
  </si>
  <si>
    <t>Soup Cream Of Potato Canned Prepared With Equal Volume Water</t>
  </si>
  <si>
    <t>Soup Cream Of Shrimp Canned Prepared With Equal Volume Water</t>
  </si>
  <si>
    <t>Soup Tomato Beef With Noodle Canned Prepared With Equal Volume Water</t>
  </si>
  <si>
    <t>Soup Tomato Rice Canned Prepared With Equal Volume Water</t>
  </si>
  <si>
    <t>Soup Vegetable With Beef Broth Canned Prepared With Equal Volume Water</t>
  </si>
  <si>
    <t>Soup Beef Broth Or Bouillon Powder Prepared With Water</t>
  </si>
  <si>
    <t>Soup Beef Broth Cubed Prepared With Water</t>
  </si>
  <si>
    <t>Soup Chicken Broth Or Bouillon Dry Prepared With Water</t>
  </si>
  <si>
    <t>Soup Chicken Noodle Dry Mix Prepared With Water</t>
  </si>
  <si>
    <t>Olive Loaf Pork</t>
  </si>
  <si>
    <t>Pastrami Turkey</t>
  </si>
  <si>
    <t>Pate Chicken Liver Canned</t>
  </si>
  <si>
    <t>Pate Goose Liver Smoked Canned</t>
  </si>
  <si>
    <t>Pate Liver Not Specified Canned</t>
  </si>
  <si>
    <t>Luxury Loaf Pork</t>
  </si>
  <si>
    <t>Mothers Loaf Pork</t>
  </si>
  <si>
    <t>Picnic Loaf Pork Beef</t>
  </si>
  <si>
    <t>Pork Sausage Link/patty Unprepared</t>
  </si>
  <si>
    <t>Salami Cooked Beef</t>
  </si>
  <si>
    <t>Salami Cooked Beef And Pork</t>
  </si>
  <si>
    <t>Turkey Salami</t>
  </si>
  <si>
    <t>Dry Pork Salami</t>
  </si>
  <si>
    <t>Smoked Link Sausage Pork And Beef Nonfat Dry Milk Added</t>
  </si>
  <si>
    <t>Thuringer Cervelat Summer Sausage Beef Pork</t>
  </si>
  <si>
    <t>Turkey Breast Sliced Prepackaged</t>
  </si>
  <si>
    <t>Sausage Vienna Canned Chicken Beef Pork</t>
  </si>
  <si>
    <t>Honey Roll Sausage Beef</t>
  </si>
  <si>
    <t>Oscar Mayer Braunschweiger Liver Sausage (Sliced)</t>
  </si>
  <si>
    <t>Oscar Mayer Chicken Breast (Honey Glazed)</t>
  </si>
  <si>
    <t>Oscar Mayer Ham (Chopped With Natural Juice)</t>
  </si>
  <si>
    <t>Oscar Mayer Salami (Hard)</t>
  </si>
  <si>
    <t>Turkey Pork And Beef Sausage Low Fat Smoked</t>
  </si>
  <si>
    <t>Frankfurter Beef Pork And Turkey Fat Free</t>
  </si>
  <si>
    <t>Luncheon Meat Pork Ham And Chicken Minced Canned Reduced Sodium Added Ascorbic Acid Includes Spam 25% Less Sodium</t>
  </si>
  <si>
    <t>Luncheon Meat Pork With Ham Minced Canned Includes Spam (Hormel)</t>
  </si>
  <si>
    <t>Sweet Italian Sausage</t>
  </si>
  <si>
    <t>Beef And Chicken Polish Sausage</t>
  </si>
  <si>
    <t>Sausage Polish Pork And Beef Smoked</t>
  </si>
  <si>
    <t>Sausage Pork And Beef With Cheddar Cheese Smoked</t>
  </si>
  <si>
    <t>Bratwurst Beef And Pork Smoked</t>
  </si>
  <si>
    <t>Bratwurst Chicken Cooked</t>
  </si>
  <si>
    <t>Bratwurst Pork Beef And Turkey Lite Smoked</t>
  </si>
  <si>
    <t>Lowfat Pastrami</t>
  </si>
  <si>
    <t>Yachtwurst With Pistachio Nuts Cooked</t>
  </si>
  <si>
    <t>Beerwurst Pork And Beef</t>
  </si>
  <si>
    <t>Chicken Breast Fat-Free Mesquite Flavor Sliced</t>
  </si>
  <si>
    <t>Chicken Breast Oven-Roasted Fat-Free Sliced</t>
  </si>
  <si>
    <t>Frankfurter Pork</t>
  </si>
  <si>
    <t>Macaroni And Cheese Loaf Chicken Pork And Beef</t>
  </si>
  <si>
    <t>Salami Italian Pork And Beef Dry Sliced 50% Less Sodium</t>
  </si>
  <si>
    <t>Pate Truffle Flavor</t>
  </si>
  <si>
    <t>Frankfurter Meat</t>
  </si>
  <si>
    <t>Scrapple Pork</t>
  </si>
  <si>
    <t>Bologna Chicken Turkey Pork</t>
  </si>
  <si>
    <t>Pork Sausage Link/patty Fully Cooked Microwaved</t>
  </si>
  <si>
    <t>Quaker Quaker Multigrain Oatmeal Dry</t>
  </si>
  <si>
    <t>Chocolate-Flavored Frosted Puffed Corn</t>
  </si>
  <si>
    <t>Quaker Toasted Multigrain Crisps</t>
  </si>
  <si>
    <t>Quaker Quaker 100% Natural Granola With Oats Wheat Honey And Raisins</t>
  </si>
  <si>
    <t>Quaker Low Fat 100% Natural Granola With Raisins</t>
  </si>
  <si>
    <t>Quaker Instant Grits Butter Flavor Dry</t>
  </si>
  <si>
    <t>Oat Bran Quaker Quaker/mothers Oat Bran Prepared With Water Salt</t>
  </si>
  <si>
    <t>Quaker Quaker Multigrain Oatmeal Prepared With Water No Salt</t>
  </si>
  <si>
    <t>Quaker Quaker Multigrain Oatmeal Prepared With Water Salt</t>
  </si>
  <si>
    <t>Health Valley Fiber 7 Flakes</t>
  </si>
  <si>
    <t>Malt-O-Meal Berry Colossal Crunch</t>
  </si>
  <si>
    <t>Malt-O-Meal Crispy Rice</t>
  </si>
  <si>
    <t>Malt-O-Meal Tootie Fruities</t>
  </si>
  <si>
    <t>Quaker Mothers Peanut Butter Bumpers Cereal</t>
  </si>
  <si>
    <t>Quaker Mothers Toasted Oat Bran Cereal</t>
  </si>
  <si>
    <t>Quaker Shredded Wheat Bagged Cereal</t>
  </si>
  <si>
    <t>Sun Country Kretschmer Wheat Germ Regular</t>
  </si>
  <si>
    <t>Quaker Quick Oats Dry</t>
  </si>
  <si>
    <t>Malt-O-Meal Frosted Flakes</t>
  </si>
  <si>
    <t>Quaker Instant Oatmeal Raisin And Spice Dry</t>
  </si>
  <si>
    <t>Quaker Instant Grits Redeye Gravy &amp; Country Ham Flavor Dry</t>
  </si>
  <si>
    <t>Quaker Instant Grits Product With American Cheese Flavor Dry</t>
  </si>
  <si>
    <t>Quaker Instant Grits Ham N Cheese Flavor Dry</t>
  </si>
  <si>
    <t>Malt-O-Meal Honey Graham Squares</t>
  </si>
  <si>
    <t>Malt-O-Meal Raisin Bran Cereal</t>
  </si>
  <si>
    <t>Malt-O-Meal Blueberry Muffin Tops Cereal</t>
  </si>
  <si>
    <t>Malt-O-Meal Farina Hot Wheat Cereal Dry</t>
  </si>
  <si>
    <t>Malt-O-Meal Maple &amp; Brown Sugar Hot Wheat Cereal Dry</t>
  </si>
  <si>
    <t>Malt-O-Meal Frosted Mini Spooners</t>
  </si>
  <si>
    <t>Malt-O-Meal Fruity Dyno-Bites</t>
  </si>
  <si>
    <t>Ralston Enriched Bran Flakes</t>
  </si>
  <si>
    <t>Ralston Corn Biscuits</t>
  </si>
  <si>
    <t>Malt-O-Meal Chocolate Prepared With Water Without Salt</t>
  </si>
  <si>
    <t>Post Great Grains Cranberry Almond Crunch</t>
  </si>
  <si>
    <t>Rice And Wheat Cereal Bar</t>
  </si>
  <si>
    <t>Quaker Quaker Honey Graham Life Cereal</t>
  </si>
  <si>
    <t>Cream Of Wheat 2 1/2 Minute Cook Time Cooked With Water Stove-Top Without Salt</t>
  </si>
  <si>
    <t>Cream Of Wheat 2 1/2 Minute Cook Time Cooked With Water Microwaved Without Salt</t>
  </si>
  <si>
    <t>Cream Of Wheat 1 Minute Cook Time Dry</t>
  </si>
  <si>
    <t>Cream Of Wheat 1 Minute Cook Time Cooked With Water Stove-Top Without Salt</t>
  </si>
  <si>
    <t>Cream Of Wheat 1 Minute Cook Time Cooked With Water Microwaved Without Salt</t>
  </si>
  <si>
    <t>Quaker Capn Crunchs Oops! All Berries Cereal</t>
  </si>
  <si>
    <t>Quaker Oatmeal Squares Golden Maple</t>
  </si>
  <si>
    <t>Post Honey Bunches Of Oats With Vanilla Bunches</t>
  </si>
  <si>
    <t>Quaker Instant Oatmeal Cinnamon Spice Reduced Sugar</t>
  </si>
  <si>
    <t>Natures Path Organic Flax Plus Flakes</t>
  </si>
  <si>
    <t>Barbaras Puffins Original</t>
  </si>
  <si>
    <t>Post Honey Bunches Of Oats With Real Strawberries</t>
  </si>
  <si>
    <t>Post Honey Bunches Of Oats With Cinnamon Bunches</t>
  </si>
  <si>
    <t>Figs</t>
  </si>
  <si>
    <t>Figs Canned Water Pack Solids And Liquids</t>
  </si>
  <si>
    <t>Figs Canned Light Syrup Pack Solids And Liquids</t>
  </si>
  <si>
    <t>Figs Canned Heavy Syrup Pack Solids And Liquids</t>
  </si>
  <si>
    <t>Figs Canned Extra Heavy Syrup Pack Solids And Liquids</t>
  </si>
  <si>
    <t>Fruit Cocktail (Peach And Pineapple And Pear And Grape And Cherry) Canned Extra Light Syrup Solids And Liquids</t>
  </si>
  <si>
    <t>Fruit Cocktail (Peach And Pineapple And Pear And Grape And Cherry) Canned Light Syrup Solids And Liquids</t>
  </si>
  <si>
    <t>Fruit Cocktail (Peach And Pineapple And Pear And Grape And Cherry) Canned Heavy Syrup Solids And Liquids</t>
  </si>
  <si>
    <t>Fruit Cocktail (Peach And Pineapple And Pear And Grape And Cherry) Canned Extra Heavy Syrup Solids And Liquids</t>
  </si>
  <si>
    <t>Gooseberries</t>
  </si>
  <si>
    <t>Gooseberries Canned Light Syrup Pack Solids And Liquids</t>
  </si>
  <si>
    <t>Goji Berries Dried</t>
  </si>
  <si>
    <t>Grapefruit</t>
  </si>
  <si>
    <t>White Florida Grapefruit</t>
  </si>
  <si>
    <t>Grapefruit Sections Canned Water Pack Solids And Liquids</t>
  </si>
  <si>
    <t>Grapefruit Sections Canned Juice Pack Solids And Liquids</t>
  </si>
  <si>
    <t>Grapefruit Sections Canned Light Syrup Pack Solids And Liquids</t>
  </si>
  <si>
    <t>Grapefruit Juice</t>
  </si>
  <si>
    <t>White Grapefruit Juice</t>
  </si>
  <si>
    <t>Muscadine Grapes</t>
  </si>
  <si>
    <t>Grape Juice (With Added Vitamin C)</t>
  </si>
  <si>
    <t>Grape Juice</t>
  </si>
  <si>
    <t>Groundcherries</t>
  </si>
  <si>
    <t>Guavas</t>
  </si>
  <si>
    <t>Strawberry Guavas</t>
  </si>
  <si>
    <t>Beef Top Loin Petite Roast Boneless Separable Lean Only Trimmed To 1/8 Inch Fat All Grades Cooked Roasted</t>
  </si>
  <si>
    <t>Beef Top Loin Petite Roast Boneless Separable Lean Only Trimmed To 1/8 Inch Fat Choice Cooked Roasted</t>
  </si>
  <si>
    <t>Beef Top Loin Petite Roast Boneless Separable Lean Only Trimmed To 1/8 Inch Fat Select Cooked Roasted</t>
  </si>
  <si>
    <t>Beef Top Loin Petite Roast/filet Boneless Separable Lean Only Trimmed To 1/8 Inch Fat All Grades Raw</t>
  </si>
  <si>
    <t>Beef Loin Top Sirloin Filet Boneless Separable Lean Only Trimmed To 0 Inch Fat Select Cooked Grilled</t>
  </si>
  <si>
    <t>Beef Loin Top Sirloin Petite Roast Boneless Separable Lean Only Trimmed To 0 Inch Fat All Grades Cooked Roasted</t>
  </si>
  <si>
    <t>Beef Loin Top Sirloin Petite Roast Boneless Separable Lean Only Trimmed To 0 Inch Fat Select Cooked Roasted</t>
  </si>
  <si>
    <t>Beef Loin Top Sirloin Petite Roast/filet Boneless Separable Lean Only Trimmed To 0 Inch Fat All Grades Raw</t>
  </si>
  <si>
    <t>Beef Ribeye Cap Steak Boneless Separable Lean Only Trimmed To 0 Inch Fat All Grades Cooked Grilled</t>
  </si>
  <si>
    <t>Beef Ribeye Cap Steak Boneless Separable Lean Only Trimmed To 0 Inch Fat Choice Cooked Grilled</t>
  </si>
  <si>
    <t>Beef Ribeye Cap Steak Boneless Separable Lean Only Trimmed To 0 Inch Fat Select Cooked Grilled</t>
  </si>
  <si>
    <t>Beef Ribeye Cap Steak Boneless Separable Lean Only Trimmed To 0 Inch Fat All Grades Raw</t>
  </si>
  <si>
    <t>Beef Ribeye Petite Roast Boneless Separable Lean Only Trimmed To 0 Inch Fat All Grades Cooked Roasted</t>
  </si>
  <si>
    <t>Beef Ribeye Petite Roast Boneless Separable Lean Only Trimmed To 0 Inch Fat Choice Cooked Roasted</t>
  </si>
  <si>
    <t>Beef Ribeye Petite Roast Boneless Separable Lean Only Trimmed To 0 Inch Fat Select Cooked Roasted</t>
  </si>
  <si>
    <t>Beef Loin Top Sirloin Cap Steak Boneless Separable Lean And Fat Trimmed To 1/8 Inch Fat All Grades Cooked Grilled</t>
  </si>
  <si>
    <t>Beef Loin Top Sirloin Cap Steak Boneless Separable Lean And Fat Trimmed To 1/8 Inch Fat Select Raw</t>
  </si>
  <si>
    <t>Beef Top Loin Filet Boneless Separable Lean And Fat Trimmed To 1/8 Inch Fat All Grades Cooked Grilled</t>
  </si>
  <si>
    <t>Beef Top Loin Filet Boneless Separable Lean And Fat Trimmed To 1/8 Inch Fat Choice Cooked Grilled</t>
  </si>
  <si>
    <t>Beef Top Loin Filet Boneless Separable Lean And Fat Trimmed To 1/8 Inch Fat Select Cooked Grilled</t>
  </si>
  <si>
    <t>Beef Top Loin Petite Roast/filet Boneless Separable Lean And Fat Trimmed To 1/8 Inch Fat Choice Raw</t>
  </si>
  <si>
    <t>Beef Top Loin Petite Roast/filet Boneless Separable Lean And Fat Trimmed To 1/8 Inch Fat Select Raw</t>
  </si>
  <si>
    <t>Beef Australian Imported Grass-Fed Ground 85% Lean / 15% Fat Raw</t>
  </si>
  <si>
    <t>Beef Loin Top Loin Steak Boneless Lip-On Separable Lean Only Trimmed To 1/8 Inch Fat Choice Cooked Grilled</t>
  </si>
  <si>
    <t>Beef Loin Top Loin Steak Boneless Lip-On Separable Lean Only Trimmed To 1/8 Inch Fat Select Cooked Grilled</t>
  </si>
  <si>
    <t>Beef Loin Top Loin Steak Boneless Lip-On Separable Lean Only Trimmed To 1/8 Inch Fat All Grades Cooked Grilled</t>
  </si>
  <si>
    <t>Beef Loin Top Loin Steak Boneless Lip-On Separable Lean And Fat Trimmed To 1/8 Inch Fat Choice Raw</t>
  </si>
  <si>
    <t>Beef New Zealand Imported Brisket Point End Separable Lean Only Cooked Braised</t>
  </si>
  <si>
    <t>Beef New Zealand Imported Brisket Point End Separable Lean Only Raw</t>
  </si>
  <si>
    <t>Beef New Zealand Imported Chuck Eye Roll Separable Lean Only Raw</t>
  </si>
  <si>
    <t>Beef New Zealand Imported Chuck Eye Roll Separable Lean Only Cooked Braised</t>
  </si>
  <si>
    <t>Beef New Zealand Imported Flank Separable Lean Only Cooked Braised</t>
  </si>
  <si>
    <t>Beef New Zealand Imported Flank Separable Lean Only Raw</t>
  </si>
  <si>
    <t>Beef New Zealand Imported Flat Separable Lean Only Cooked Braised</t>
  </si>
  <si>
    <t>Beef New Zealand Imported Flat Separable Lean Only Raw</t>
  </si>
  <si>
    <t>Beef New Zealand Imported Variety Meats And By-Products Heart Cooked Boiled</t>
  </si>
  <si>
    <t>Beef New Zealand Imported Intermuscular Fat Cooked</t>
  </si>
  <si>
    <t>Beef New Zealand Imported Intermuscular Fat Raw</t>
  </si>
  <si>
    <t>Beef New Zealand Imported Variety Meats And By-Products Kidney Cooked Boiled</t>
  </si>
  <si>
    <t>Beef New Zealand Imported Knuckle Cooked Fast Fried</t>
  </si>
  <si>
    <t>Beef New Zealand Imported Manufacturing Beef Raw</t>
  </si>
  <si>
    <t>Beef New Zealand Imported Oyster Blade Separable Lean Only Cooked Braised</t>
  </si>
  <si>
    <t>Beef New Zealand Imported Oyster Blade Separable Lean Only Raw</t>
  </si>
  <si>
    <t>Beef New Zealand Imported Ribs Prepared Cooked Fast Roasted</t>
  </si>
  <si>
    <t>Beef New Zealand Imported Subcutaneous Fat Cooked</t>
  </si>
  <si>
    <t>Beef New Zealand Imported Subcutaneous Fat Raw</t>
  </si>
  <si>
    <t>Beef New Zealand Imported Sweetbread Cooked Boiled</t>
  </si>
  <si>
    <t>Beef New Zealand Imported Sweetbread Raw</t>
  </si>
  <si>
    <t>Beef New Zealand Imported Tenderloin Separable Lean Only Cooked Fast Fried</t>
  </si>
  <si>
    <t>Beef New Zealand Imported Variety Meats And By-Products Tripe Cooked Boiled</t>
  </si>
  <si>
    <t>Beef New Zealand Imported Variety Meats And By-Products Tripe Uncooked Raw</t>
  </si>
  <si>
    <t>Beef New Zealand Imported Bolar Blade Separable Lean And Fat Cooked Fast Roasted</t>
  </si>
  <si>
    <t>Beef New Zealand Imported Bolar Blade Separable Lean And Fat Raw</t>
  </si>
  <si>
    <t>Beef New Zealand Imported Chuck Eye Roll Separable Lean And Fat Cooked Braised</t>
  </si>
  <si>
    <t>Beef New Zealand Imported Chuck Eye Roll Separable Lean And Fat Raw</t>
  </si>
  <si>
    <t>Beef New Zealand Imported Cube Roll Separable Lean And Fat Cooked Fast Roasted</t>
  </si>
  <si>
    <t>Beef New Zealand Imported Cube Roll Separable Lean And Fat Raw</t>
  </si>
  <si>
    <t>Beef New Zealand Imported Flat Separable Lean And Fat Raw</t>
  </si>
  <si>
    <t>Beef New Zealand Imported Hind Shin Separable Lean And Fat Cooked Braised</t>
  </si>
  <si>
    <t>Beef New Zealand Imported Hind Shin Separable Lean And Fat Raw</t>
  </si>
  <si>
    <t>Beef New Zealand Imported Oyster Blade Separable Lean And Fat Cooked Braised</t>
  </si>
  <si>
    <t>Beef New Zealand Imported Striploin Separable Lean And Fat Raw</t>
  </si>
  <si>
    <t>Beef New Zealand Imported Tenderloin Separable Lean And Fat Cooked Fast Fried</t>
  </si>
  <si>
    <t>Beef New Zealand Imported Tenderloin Separable Lean And Fat Raw</t>
  </si>
  <si>
    <t>Beef Ground 93% Lean Meat / 7% Fat Raw</t>
  </si>
  <si>
    <t>Beef Ground 97% Lean Meat / 3% Fat Raw</t>
  </si>
  <si>
    <t>Broiled Ground Beef Patty (97% Lean)</t>
  </si>
  <si>
    <t>Pan-Broiled Ground Beef Patty (97% Lean)</t>
  </si>
  <si>
    <t>Beef Ground 97% Lean Meat / 3% Fat Loaf Cooked Baked</t>
  </si>
  <si>
    <t>Beef Round Bottom Round Steak Separable Lean Only Trimmed To 1/8 Inch Fat Choice Cooked Braised</t>
  </si>
  <si>
    <t>Beef Short Loin Top Loin Steak Separable Lean Only Trimmed To 1/8 Inch Fat Choice Raw</t>
  </si>
  <si>
    <t>Beef Tenderloin Steak Separable Lean Only Trimmed To 1/8 Inch Fat Choice Cooked Broiled</t>
  </si>
  <si>
    <t>Beef Top Sirloin Steak Separable Lean Only Trimmed To 1/8 Inch Fat Choice Cooked Broiled</t>
  </si>
  <si>
    <t>Beef Short Loin Top Loin Steak Separable Lean Only Trimmed To 1/8 Inch Fat Choice Cooked Broiled</t>
  </si>
  <si>
    <t>Beef Round Eye Of Round Roast Separable Lean Only Trimmed To 1/8 Inch Fat Select Raw</t>
  </si>
  <si>
    <t>Beef Round Top Round Steak Separable Lean Only Trimmed To 1/8 Inch Fat Select Raw</t>
  </si>
  <si>
    <t>Beef Round Bottom Round Roast Separable Lean Only Trimmed To 1/8 Inch Fat Select Raw</t>
  </si>
  <si>
    <t>Beef Rib Small End (Ribs 10-12) Separable Lean Only Trimmed To 1/8 Inch Fat All Grades Cooked Broiled</t>
  </si>
  <si>
    <t>Beef Bottom Sirloin Tri-Tip Roast Separable Lean Only Trimmed To 0 Inch Fat Select Raw</t>
  </si>
  <si>
    <t>Beef Round Tip Round Roast Separable Lean Only Trimmed To 0 Inch Fat All Grades Raw</t>
  </si>
  <si>
    <t>Beef Round Tip Round Roast Separable Lean Only Trimmed To 0 Inch Fat Choice Raw</t>
  </si>
  <si>
    <t>Beef Round Tip Round Roast Separable Lean Only Trimmed To 0 Inch Fat Select Raw</t>
  </si>
  <si>
    <t>Beef Brisket Flat Half Separable Lean And Fat Trimmed To 1/8 Inch Fat Choice Raw</t>
  </si>
  <si>
    <t>Beef Brisket Flat Half Separable Lean And Fat Trimmed To 1/8 Inch Fat Select Raw</t>
  </si>
  <si>
    <t>Beef Brisket Flat Half Separable Lean And Fat Trimmed To 1/8 Inch Fat Choice Cooked Braised</t>
  </si>
  <si>
    <t>Microwave Popcorn</t>
  </si>
  <si>
    <t>Snickers Marathon Double Chocolate Nut Bar</t>
  </si>
  <si>
    <t>Snacks M&amp;m Mars Kudos Whole Grain Bars Peanut Butter</t>
  </si>
  <si>
    <t>Formulated Bar Mars Snackfood Us Snickers Marathon Honey Nut Oat Bar</t>
  </si>
  <si>
    <t>Snacks M&amp;m Mars Kudos Whole Grain Bar M&amp;Ms Milk Chocolate</t>
  </si>
  <si>
    <t>Formulated Bar Mars Snackfood Us Snickers Marathon Energy Bar All Flavors</t>
  </si>
  <si>
    <t>Formulated Bar Power Bar Chocolate</t>
  </si>
  <si>
    <t>Formulated Bar Mars Snackfood Us Cocoavia Chocolate Blueberry Snack Bar</t>
  </si>
  <si>
    <t>Formulated Bar Slim-Fast Optima Meal Bar Milk Chocolate Peanut</t>
  </si>
  <si>
    <t>Soychips</t>
  </si>
  <si>
    <t>Popcorn Microwave Regular (Butter) Flavor Made With Palm Oil</t>
  </si>
  <si>
    <t>Snacks Plantain Chips Salted</t>
  </si>
  <si>
    <t>Tortilla Chips Yellow Plain Salted</t>
  </si>
  <si>
    <t>Snacks Granola Bar Kashi Golean Crunchy Mixed Flavors</t>
  </si>
  <si>
    <t>Snacks Granola Bar Chewy Reduced Sugar All Flavors</t>
  </si>
  <si>
    <t>Snacks Granola Bites Mixed Flavors</t>
  </si>
  <si>
    <t>Snacks Pita Chips Salted</t>
  </si>
  <si>
    <t>Snacks Granola Bars Soft Almond Confectioners Coating</t>
  </si>
  <si>
    <t>Formulated Bar High Fiber Chewy Oats And Chocolate</t>
  </si>
  <si>
    <t>Snacks Bagel Chips Plain</t>
  </si>
  <si>
    <t>Snacks Nutri-Grain Fruit And Nut Bar</t>
  </si>
  <si>
    <t>Snacks Yucca (Cassava) Chips Salted</t>
  </si>
  <si>
    <t>Snacks Granola Bar General Mills Nature Valley Chewy Trail Mix</t>
  </si>
  <si>
    <t>Snacks Granola Bar Quaker Dipps All Flavors</t>
  </si>
  <si>
    <t>Snacks Brown Rice Chips</t>
  </si>
  <si>
    <t>Snack Pretzel Hard Chocolate Coated</t>
  </si>
  <si>
    <t>Snacks Peas Roasted Wasabi-Flavored</t>
  </si>
  <si>
    <t>Formulated Bar South Beach Protein Bar</t>
  </si>
  <si>
    <t>Snack Balance Original Bar</t>
  </si>
  <si>
    <t>Snacks Shrimp Cracker</t>
  </si>
  <si>
    <t>Rice Crackers</t>
  </si>
  <si>
    <t>Low Carb Monster Energy Drink</t>
  </si>
  <si>
    <t>Whiskey Sour Mix</t>
  </si>
  <si>
    <t>Alcoholic Beverage Whiskey Sour Prepared With Water Whiskey And Powder Mix</t>
  </si>
  <si>
    <t>The Coca-Cola Company Nos Energy Drink Original Grape Loaded Cherry Charged Citrus Fortified With Vitamins B6 And B12</t>
  </si>
  <si>
    <t>Vitamin Fortified Water</t>
  </si>
  <si>
    <t>Abbott Eas Whey Protein Powder</t>
  </si>
  <si>
    <t>Alcoholic Beverage Creme De Menthe 72 Proof</t>
  </si>
  <si>
    <t>Nestle Boost Plus Nutritional Drink Ready-To-Drink</t>
  </si>
  <si>
    <t>Slimfast Meal Replacement  High Protein Shake Ready-To-Drink 3-2-1 Plan</t>
  </si>
  <si>
    <t>Unilever Slimfast Meal Replacement Regular Ready-To-Drink  3-2-1 Plan</t>
  </si>
  <si>
    <t>Unilever Slimfast Shake Mix Powder 3-2-1 Plan</t>
  </si>
  <si>
    <t>Fuze Orange Mango Fortified With Vitamins A C E B6</t>
  </si>
  <si>
    <t>Unilever Slimfast Shake Mix High Protein Whey Powder 3-2-1 Plan</t>
  </si>
  <si>
    <t>Acai Berry Drink Fortified</t>
  </si>
  <si>
    <t>Sweet Dessert Wine</t>
  </si>
  <si>
    <t>Whey Protein Powder Isolate</t>
  </si>
  <si>
    <t>Orange Juice Light No Pulp</t>
  </si>
  <si>
    <t>The Coca-Cola Company Hi-C Flashin Fruit Punch</t>
  </si>
  <si>
    <t>Protein Powder Whey Based</t>
  </si>
  <si>
    <t>Protein Powder Soy Based</t>
  </si>
  <si>
    <t>Rich Chocolate Powder</t>
  </si>
  <si>
    <t>Gerolsteiner Brunnen Gmbh &amp; Co. Kg (Gerolsteiner) Naturally Sparkling Mineral Bottled Water</t>
  </si>
  <si>
    <t>Chocolate Malt Powder Prepared With Fat Free Milk</t>
  </si>
  <si>
    <t>Table Wine</t>
  </si>
  <si>
    <t>V8 Splash Smoothies Peach Mango</t>
  </si>
  <si>
    <t>Unsweetened Chocolate Almond Milk</t>
  </si>
  <si>
    <t>The Coca-Cola Company Glaceau Vitamin Water Revive Fruit Punch Fortified</t>
  </si>
  <si>
    <t>Minute Maid Lemonada Limeade</t>
  </si>
  <si>
    <t>Red Wine</t>
  </si>
  <si>
    <t>Barbera</t>
  </si>
  <si>
    <t>Zinfandel</t>
  </si>
  <si>
    <t>Petite Sirah</t>
  </si>
  <si>
    <t>Claret</t>
  </si>
  <si>
    <t>Chenin Blanc</t>
  </si>
  <si>
    <t>Fume Blanc</t>
  </si>
  <si>
    <t>Mixed Vegetable And Fruit Juice Drink With Added Nutrients</t>
  </si>
  <si>
    <t>Alcoholic Beverage Wine Table White Muller Thurgau</t>
  </si>
  <si>
    <t>Cream Soda</t>
  </si>
  <si>
    <t>Riesling</t>
  </si>
  <si>
    <t>Sauvignon Blanc</t>
  </si>
  <si>
    <t>Late Harvest White Wine</t>
  </si>
  <si>
    <t>Grape Soda</t>
  </si>
  <si>
    <t>Carbonated Low Calorie Other Than Cola Or Pepper  Without Caffeine</t>
  </si>
  <si>
    <t>Carbonated Lemon-Lime Soda No Caffeine</t>
  </si>
  <si>
    <t>Sprite</t>
  </si>
  <si>
    <t>Carbonated Low Calorie Other Than Cola Or Pepper With Aspartame Contains Caffeine</t>
  </si>
  <si>
    <t>Burgundy</t>
  </si>
  <si>
    <t>Pepper Soda</t>
  </si>
  <si>
    <t>Energy Drink Red Bull</t>
  </si>
  <si>
    <t>Tea Black Ready To Drink Decaffeinated Diet</t>
  </si>
  <si>
    <t>Tea Black Ready To Drink Decaffeinated</t>
  </si>
  <si>
    <t>Grape Juice Drink Canned</t>
  </si>
  <si>
    <t>Cranberry Juice Cocktail</t>
  </si>
  <si>
    <t>Snapple Tea Black And Green Ready To Drink Peach Diet</t>
  </si>
  <si>
    <t>Lemonade Frozen Concentrate White</t>
  </si>
  <si>
    <t>Lemonade Frozen Concentrate White Prepared With Water</t>
  </si>
  <si>
    <t>Snapple Tea Black And Green Ready To Drink Lemon Diet</t>
  </si>
  <si>
    <t>Malted Drink Mix Natural With Added Nutrients Powder Prepared With Whole Milk</t>
  </si>
  <si>
    <t>Malted Drink Mix Natural Powder Dairy Based.</t>
  </si>
  <si>
    <t>Malted Drink Mix Natural Powder Prepared With Whole Milk</t>
  </si>
  <si>
    <t>Ovaltine Chocolate Malt Powder</t>
  </si>
  <si>
    <t>Orange And Apricot Juice Drink Canned</t>
  </si>
  <si>
    <t>Pineapple And Grapefruit Juice Drink Canned</t>
  </si>
  <si>
    <t>Pineapple And Orange Juice Drink Canned</t>
  </si>
  <si>
    <t>Shake Fast Food Vanilla</t>
  </si>
  <si>
    <t>Black Tea (Brewed)</t>
  </si>
  <si>
    <t>Tea Instant Decaffeinated Lemon Diet</t>
  </si>
  <si>
    <t>Tea Instant Decaffeinated Lemon Sweetened</t>
  </si>
  <si>
    <t>Tea Instant Unsweetened Powder</t>
  </si>
  <si>
    <t>Tea Instant Lemon Diet</t>
  </si>
  <si>
    <t>Tea Herb Other Than Chamomile Brewed</t>
  </si>
  <si>
    <t>Water Bottled Perrier</t>
  </si>
  <si>
    <t>Water Bottled Poland Spring</t>
  </si>
  <si>
    <t>Orange-Flavor Drink Breakfast Type Powder</t>
  </si>
  <si>
    <t>Orange-Flavor Drink Breakfast Type Powder Prepared With Water</t>
  </si>
  <si>
    <t>Orange-Flavor Drink Breakfast Type Low Calorie Powder</t>
  </si>
  <si>
    <t>English Muffins Plain Unenriched Without Calcium Propionate (Includes Sourdough)</t>
  </si>
  <si>
    <t>Pie Apple Commercially Prepared Unenriched Flour</t>
  </si>
  <si>
    <t>Pie Fried Pies Cherry</t>
  </si>
  <si>
    <t>Tortillas Ready-To-Bake Or -Fry Corn Without Added Salt</t>
  </si>
  <si>
    <t>Tortillas Ready-To-Bake Or -Fry Flour Without Added Calcium</t>
  </si>
  <si>
    <t>Cake Pound Commercially Prepared Fat-Free</t>
  </si>
  <si>
    <t>Cake Yellow Light Dry Mix</t>
  </si>
  <si>
    <t>Archway Home Style Cookies Coconut Macaroon</t>
  </si>
  <si>
    <t>Archway Home Style Cookies Date Filled Oatmeal</t>
  </si>
  <si>
    <t>Archway Home Style Cookies Dutch Cocoa</t>
  </si>
  <si>
    <t>Archway Home Style Cookies Frosty Lemon</t>
  </si>
  <si>
    <t>Archway Home Style Cookies Iced Molasses</t>
  </si>
  <si>
    <t>Archway Home Style Cookies Old Fashioned Molasses</t>
  </si>
  <si>
    <t>Archway Home Style Cookies Old Fashioned Windmill Cookies</t>
  </si>
  <si>
    <t>Archway Home Style Cookies Peanut Butter</t>
  </si>
  <si>
    <t>Archway Home Style Cookies Raspberry Filled</t>
  </si>
  <si>
    <t>George Weston Bakeries Brownberry Sage And Onion Stuffing Mix Dry</t>
  </si>
  <si>
    <t>Keebler Keebler Chocolate Graham Selects</t>
  </si>
  <si>
    <t>Continental Mills Krusteaz Almond Poppyseed Muffin Mix Artificially Flavored Dry</t>
  </si>
  <si>
    <t>Mckee Baking Little Debbie Nutty Bars Wafers With Peanut Butter Chocolate Covered</t>
  </si>
  <si>
    <t>Nabisco Nabisco Ritz Crackers</t>
  </si>
  <si>
    <t>Pillsbury Buttermilk Biscuits Artificial Flavor Refrigerated Dough</t>
  </si>
  <si>
    <t>Pillsbury Chocolate Chip Cookies Refrigerated Dough</t>
  </si>
  <si>
    <t>Pillsbury Crusty French Loaf Refrigerated Dough</t>
  </si>
  <si>
    <t>Sorghum Flour Refined Unenriched</t>
  </si>
  <si>
    <t>Rice Brown Parboiled Cooked Uncle Bens</t>
  </si>
  <si>
    <t>Pasta Gluten-Free Rice Flour And Rice Bran Extract Cooked De Boles</t>
  </si>
  <si>
    <t>Pasta Gluten-Free Corn And Rice Flour Cooked</t>
  </si>
  <si>
    <t>Biscuit With Egg And Bacon</t>
  </si>
  <si>
    <t>Biscuit With Egg And Ham</t>
  </si>
  <si>
    <t>Biscuit With Crispy Chicken Fillet</t>
  </si>
  <si>
    <t>Croissant With Egg Cheese And Bacon</t>
  </si>
  <si>
    <t>Croissant With Egg Cheese And Ham</t>
  </si>
  <si>
    <t>Croissant With Egg Cheese And Sausage</t>
  </si>
  <si>
    <t>Egg Scrambled</t>
  </si>
  <si>
    <t>Potatoes Hash Browns Round Pieces Or Patty</t>
  </si>
  <si>
    <t>Vanilla Light Soft-Serve Ice Cream With Cone</t>
  </si>
  <si>
    <t>Sundae Caramel</t>
  </si>
  <si>
    <t>Sundae Hot Fudge</t>
  </si>
  <si>
    <t>Burrito With Beans And Beef</t>
  </si>
  <si>
    <t>Burrito With Beans Cheese And Beef</t>
  </si>
  <si>
    <t>Pizza Hut 12 Inch Pepperoni Pizza Hand-Tossed Crust</t>
  </si>
  <si>
    <t>Pizza Hut 12 Inch Pepperoni Pizza Pan Crust</t>
  </si>
  <si>
    <t>Pizza Hut 12 Inch Super Supreme Pizza Hand-Tossed Crust</t>
  </si>
  <si>
    <t>Dominos 14 Inch Cheese Pizza Classic Hand-Tossed Crust</t>
  </si>
  <si>
    <t>Dominos 14 Inch Cheese Pizza Ultimate Deep Dish Crust</t>
  </si>
  <si>
    <t>Papa Johns 14 Inch Cheese Pizza Original Crust</t>
  </si>
  <si>
    <t>Papa Johns 14 Inch Pepperoni Pizza Original Crust</t>
  </si>
  <si>
    <t>Papa Johns 14 Inch The Works Pizza Original Crust</t>
  </si>
  <si>
    <t>Papa Johns 14 Inch Cheese Pizza Thin Crust</t>
  </si>
  <si>
    <t>Little Caesars 14 Inch Pepperoni Pizza Large Deep Dish Crust</t>
  </si>
  <si>
    <t>Little Caesars 14 Inch Cheese Pizza Thin Crust</t>
  </si>
  <si>
    <t>Pizza Hut 14 Inch Cheese Pizza Hand-Tossed Crust</t>
  </si>
  <si>
    <t>Pizza Hut 14 Inch Cheese Pizza Pan Crust</t>
  </si>
  <si>
    <t>Cheese Pizza</t>
  </si>
  <si>
    <t>Fast Food Pizza Chain 14 Inch Pizza Cheese Topping Thick Crust</t>
  </si>
  <si>
    <t>Fast Food Pizza Chain 14 Inch Pizza Cheese Topping Thin Crust</t>
  </si>
  <si>
    <t>Pepperoni Pizza</t>
  </si>
  <si>
    <t>Fast Food Pizza Chain 14 Inch Pizza Pepperoni Topping Thick Crust</t>
  </si>
  <si>
    <t>McDonalds Chicken Mcnuggets</t>
  </si>
  <si>
    <t>McDonalds Hash Brown</t>
  </si>
  <si>
    <t>McDonalds Hotcakes (Plain)</t>
  </si>
  <si>
    <t>McDonalds Bacon Egg &amp; Cheese Mcgriddles</t>
  </si>
  <si>
    <t>McDonalds Hot Caramel Sundae</t>
  </si>
  <si>
    <t>McDonalds Hot Fudge Sundae</t>
  </si>
  <si>
    <t>McDonalds Mcflurry With M&amp;Ms</t>
  </si>
  <si>
    <t>McDonalds Mcflurry With Oreo Cookies</t>
  </si>
  <si>
    <t>McDonalds Mcchicken Sandwich</t>
  </si>
  <si>
    <t>McDonalds Mcchicken Sandwich (Without Mayonnaise)</t>
  </si>
  <si>
    <t>McDonalds Egg Mcmuffin</t>
  </si>
  <si>
    <t>McDonalds Sausage Mcmuffin</t>
  </si>
  <si>
    <t>McDonalds Deluxe Breakfast With Syrup And Margarine</t>
  </si>
  <si>
    <t>McDonalds Hotcakes And Sausage</t>
  </si>
  <si>
    <t>McDonalds Pancakes</t>
  </si>
  <si>
    <t>McDonalds Bacon Ranch Salad With Grilled Chicken</t>
  </si>
  <si>
    <t>McDonalds Fruit N Yogurt Parfait (Without Granola)</t>
  </si>
  <si>
    <t>McDonalds Filet-O-Fish (Without Tartar Sauce)</t>
  </si>
  <si>
    <t>Burger King Croissanwich With Sausage Egg And Cheese</t>
  </si>
  <si>
    <t>Burger King Croissanwich With Sausage And Cheese</t>
  </si>
  <si>
    <t>Hamburger; Single Large Patty; With Condiments Vegetables And Mayonnaise</t>
  </si>
  <si>
    <t>Hamburger; Single Regular Patty; Double Decker Bun With Condiments And Special Sauce</t>
  </si>
  <si>
    <t>Cheeseburger; Double Regular Patty; With Condiments</t>
  </si>
  <si>
    <t>Cheeseburger; Double Large Patty; With Condiments</t>
  </si>
  <si>
    <t>Chicken Tenders</t>
  </si>
  <si>
    <t>Bagel With Egg Sausage Patty Cheese And Condiments</t>
  </si>
  <si>
    <t>Bagel With Breakfast Steak Egg Cheese And Condiments</t>
  </si>
  <si>
    <t>Soft Serve Blended With Chocolate Candy</t>
  </si>
  <si>
    <t>Macaroni And Cheese Canned Entree</t>
  </si>
  <si>
    <t>Hot Pockets Croissant Pockets Chicken Broccoli And Cheddar Stuffed Sandwich Frozen</t>
  </si>
  <si>
    <t>Hot Pockets Ham N Cheese Stuffed Sandwich Frozen</t>
  </si>
  <si>
    <t>Ravioli Cheese-Filled Canned</t>
  </si>
  <si>
    <t>Ravioli Meat-Filled With Tomato Sauce Or Meat Sauce Canned</t>
  </si>
  <si>
    <t>Beef Stew Canned Entree</t>
  </si>
  <si>
    <t>Chicken Pot Pie Frozen Entree Prepared</t>
  </si>
  <si>
    <t>Beef Corned Beef Hash With Potato Canned</t>
  </si>
  <si>
    <t>Lasagna Cheese Frozen Prepared</t>
  </si>
  <si>
    <t>Lasagna With Meat &amp; Sauce Frozen Entree</t>
  </si>
  <si>
    <t>Burrito Beef And Bean Frozen</t>
  </si>
  <si>
    <t>Burrito Bean And Cheese Frozen</t>
  </si>
  <si>
    <t>Macaroni And Cheese Canned Microwavable</t>
  </si>
  <si>
    <t>Turkey Stuffing Mashed Potatoes W/gravy Assorted Vegetables Frozen Microwaved</t>
  </si>
  <si>
    <t>Rice Bowl With Chicken Frozen Entree Prepared (Includes Fried Teriyaki And Sweet And Sour Varieties)</t>
  </si>
  <si>
    <t>Macaroni And Cheese Dinner With Dry Sauce Mix Boxed Uncooked</t>
  </si>
  <si>
    <t>Macaroni And Cheese Dry Mix Prepared With 2% Milk And 80% Stick Margarine From Dry Mix</t>
  </si>
  <si>
    <t>Macaroni And Cheese Frozen Entree</t>
  </si>
  <si>
    <t>Potato Salad With Egg</t>
  </si>
  <si>
    <t>Pulled Pork In Barbecue Sauce</t>
  </si>
  <si>
    <t>Corn Dogs Frozen Prepared</t>
  </si>
  <si>
    <t>Chicken Tenders Breaded Frozen Prepared</t>
  </si>
  <si>
    <t>Rice And Vermicelli Mix Chicken Flavor Unprepared</t>
  </si>
  <si>
    <t>Rice And Vermicelli Mix Chicken Flavor Prepared With 80% Margarine</t>
  </si>
  <si>
    <t>Beef Shoulder Pot Roast Or Steak Boneless Separable Lean And Fat Trimmed To 0 Inch Fat All Grades Raw</t>
  </si>
  <si>
    <t>Beef Short Loin Porterhouse Steak Separable Lean And Fat Trimmed To 1/8 Inch Fat All Grades Raw</t>
  </si>
  <si>
    <t>Beef Short Loin T-Bone Steak Separable Lean And Fat Trimmed To 1/8 Inch Fat All Grades Cooked Grilled</t>
  </si>
  <si>
    <t>Beef Short Loin T-Bone Steak Separable Lean And Fat Trimmed To 1/8 Inch Fat Select Raw</t>
  </si>
  <si>
    <t>Beef Short Loin T-Bone Steak Separable Lean And Fat Trimmed To 1/8 Inch Fat Select Cooked Grilled</t>
  </si>
  <si>
    <t>Beef Round Knuckle Tip Side Steak Separable Lean And Fat Trimmed To 0 Inch Fat Choice Raw</t>
  </si>
  <si>
    <t>Beef Chuck Shoulder Clod Shoulder Tender Medallion Separable Lean And Fat Trimmed To 0 Inch Fat Choice Cooked Grilled</t>
  </si>
  <si>
    <t>Beef Chuck Shoulder Clod Shoulder Tender Medallion Separable Lean And Fat Trimmed To 0 Inch Fat Select Raw</t>
  </si>
  <si>
    <t>Beef Chuck Shoulder Clod Shoulder Top And Center Steaks Separable Lean And Fat Trimmed To 0 Inch Fat Choice Raw</t>
  </si>
  <si>
    <t>Beef Chuck Shoulder Clod Shoulder Top And Center Steaks Separable Lean And Fat Trimmed To 0 Inch Fat Choice Cooked Grilled</t>
  </si>
  <si>
    <t>Beef Chuck Shoulder Clod Top Blade Steak Separable Lean And Fat Trimmed To 0 Inch Fat Select Raw</t>
  </si>
  <si>
    <t>Beef Chuck Shoulder Clod Top Blade Steak Separable Lean And Fat Trimmed To 0 Inch Fat Select Cooked Grilled</t>
  </si>
  <si>
    <t>Beef Round Knuckle Tip Center Steak Separable Lean And Fat Trimmed To 0 Inch Fat Choice Raw</t>
  </si>
  <si>
    <t>Beef Round Knuckle Tip Center Steak Separable Lean And Fat Trimmed To 0 Inch Fat Choice Cooked Grilled</t>
  </si>
  <si>
    <t>Beef Round Knuckle Tip Center Steak Separable Lean And Fat Trimmed To 0 Inch Fat Select Raw</t>
  </si>
  <si>
    <t>Beef Round Outside Round Bottom Round Steak Separable Lean And Fat Trimmed To 0 Inch Fat Select Cooked Grilled</t>
  </si>
  <si>
    <t>Beef Chuck Shoulder Clod Shoulder Tender Medallion Separable Lean And Fat Trimmed To 0 Inch Fat All Grades Raw</t>
  </si>
  <si>
    <t>Beef Chuck Shoulder Clod Shoulder Tender Medallion Separable Lean And Fat Trimmed To 0 Inch Fat All Grades Cooked Grilled</t>
  </si>
  <si>
    <t>Beef Round Knuckle Tip Side Steak Separable Lean And Fat Trimmed To 0 Inch Fat All Grades Raw</t>
  </si>
  <si>
    <t>Beef Chuck Shoulder Clod Top Blade Steak Separable Lean And Fat Trimmed To 0 Inch Fat All Grades Cooked Grilled</t>
  </si>
  <si>
    <t>Beef Round Knuckle Tip Center Steak Separable Lean And Fat Trimmed To 0 Inch Fat All Grades Raw</t>
  </si>
  <si>
    <t>Beef Round Knuckle Tip Center Steak Separable Lean And Fat Trimmed To 0 Inch Fat All Grades Cooked Grilled</t>
  </si>
  <si>
    <t>Beef Round Outside Round Bottom Round Steak Separable Lean And Fat Trimmed To 0 Inch Fat All Grades Raw</t>
  </si>
  <si>
    <t>Beef Rib Eye Roast Boneless Lip-On Separable Lean Only Trimmed To 1/8 Inch Fat Select Cooked Roasted</t>
  </si>
  <si>
    <t>Beef Plate Steak Boneless Inside Skirt Separable Lean Only Trimmed To 0 Inch Fat All Grades Cooked Grilled</t>
  </si>
  <si>
    <t>Beef Plate Steak Boneless Inside Skirt Separable Lean Only Trimmed To 0 Inch Fat All Grades Raw</t>
  </si>
  <si>
    <t>Beef Plate Steak Boneless Inside Skirt Separable Lean Only Trimmed To 0 Inch Fat Choice Cooked Grilled</t>
  </si>
  <si>
    <t>Beef Plate Steak Boneless Outside Skirt Separable Lean Only Trimmed To 0 Inch Fat All Grades Raw</t>
  </si>
  <si>
    <t>Beef Plate Steak Boneless Outside Skirt Separable Lean Only Trimmed To 0 Inch Fat Choice Cooked Grilled</t>
  </si>
  <si>
    <t>Beef Plate Steak Boneless Outside Skirt Separable Lean Only Trimmed To 0 Inch Fat Choice Raw</t>
  </si>
  <si>
    <t>Skirt Steak</t>
  </si>
  <si>
    <t>Beef Rib Eye Steak Boneless Lip Off Separable Lean Only Trimmed To 0 Inch Fat Choice Raw</t>
  </si>
  <si>
    <t>Beef Rib Eye Steak Boneless Lip Off Separable Lean Only Trimmed To 0 Inch Fat Select Cooked Grilled</t>
  </si>
  <si>
    <t>Beef Rib Eye Steak Boneless Lip Off Separable Lean Only Trimmed To 0 Inch Fat Select Raw</t>
  </si>
  <si>
    <t>Beef Rib Back Ribs Bone-In Separable Lean Only Trimmed To 0 Inch Fat All Grades Cooked Braised</t>
  </si>
  <si>
    <t>Beef Rib Back Ribs Bone-In Separable Lean Only Trimmed To 0 Inch Fat Select Raw</t>
  </si>
  <si>
    <t>Beef Rib Eye Steak Bone-In Lip-On Separable Lean And Fat Trimmed To 1/8 Inch Fat Choice Cooked Grilled</t>
  </si>
  <si>
    <t>Beef Rib Eye Steak Bone-In Lip-On Separable Lean And Fat Trimmed To 1/8 Inch Fat Select Cooked Grilled</t>
  </si>
  <si>
    <t>Beef Rib Eye Steak Bone-In Lip-On Separable Lean And Fat Trimmed To 1/8 Inch Fat All Grades Cooked Grilled</t>
  </si>
  <si>
    <t>Beef Rib Eye Roast Bone-In Lip-On Separable Lean And Fat Trimmed To 1/8 Inch Fat Choice Cooked Roasted</t>
  </si>
  <si>
    <t>Beef Rib Eye Steak/roast Bone-In Lip-On Separable Lean And Fat Trimmed To 1/8 Inch Fat Select Raw</t>
  </si>
  <si>
    <t>Beef Rib Eye Steak Boneless Lip-On Separable Lean And Fat Trimmed To 1/8 Inch Fat Choice Cooked Grilled</t>
  </si>
  <si>
    <t>Beef Rib Eye Steak Boneless Lip-On Separable Lean And Fat Trimmed To 1/8 Inch Fat Select Cooked Grilled</t>
  </si>
  <si>
    <t>Beef Rib Eye Steak Boneless Lip-On Separable Lean And Fat Trimmed To 1/8 Inch Fat All Grades Cooked Grilled</t>
  </si>
  <si>
    <t>Beef Rib Eye Steak/roast Boneless Lip-On Separable Lean And Fat Trimmed To 1/8 Inch Fat Choice Raw</t>
  </si>
  <si>
    <t>Beef Rib Eye Steak/roast Boneless Lip-On Separable Lean And Fat Trimmed To 1/8 Inch Fat Select Raw</t>
  </si>
  <si>
    <t>Beef Plate Steak Boneless Inside Skirt Separable Lean And Fat Trimmed To 0 Inch Fat All Grades Cooked Grilled</t>
  </si>
  <si>
    <t>Beef Plate Steak Boneless Inside Skirt Separable Lean And Fat Trimmed To 0 Inch Fat Choice Cooked Grilled</t>
  </si>
  <si>
    <t>Beef Plate Steak Boneless Outside Skirt Separable Lean And Fat Trimmed To 0 Inch Fat All Grades Cooked Grilled</t>
  </si>
  <si>
    <t>Beef Plate Steak Boneless Outside Skirt Separable Lean And Fat Trimmed To 0 Inch Fat Choice Cooked Grilled</t>
  </si>
  <si>
    <t>Beef Plate Steak Boneless Outside Skirt Separable Lean And Fat Trimmed To 0 Inch Fat Select Cooked Grilled</t>
  </si>
  <si>
    <t>Beef Plate Steak Boneless Outside Skirt Separable Lean And Fat Trimmed To 0 Inch Fat All Grades Raw</t>
  </si>
  <si>
    <t>Beef Rib Eye Steak Boneless Lip Off Separable Lean And Fat Trimmed To 0 Inch Fat Select Cooked Grilled</t>
  </si>
  <si>
    <t>Beef Rib Eye Steak Boneless Lip Off Separable Lean And Fat Trimmed To 0 Inch Fat All Grades Raw</t>
  </si>
  <si>
    <t>Beef Rib Eye Steak Boneless Lip Off Separable Lean And Fat Trimmed To 0 Inch Fat Choice Raw</t>
  </si>
  <si>
    <t>Beef Rib Eye Steak Boneless Lip Off Separable Lean And Fat Trimmed To 0 Inch Fat Select Raw</t>
  </si>
  <si>
    <t>Beef Rib Back Ribs Bone-In Separable Lean And Fat Trimmed To 0 Inch Fat Choice Raw</t>
  </si>
  <si>
    <t>Beef Rib Back Ribs Bone-In Separable Lean And Fat Trimmed To 0 Inch Fat Select Raw</t>
  </si>
  <si>
    <t>Beef Loin Top Sirloin Petite Roast Boneless Separable Lean Only Trimmed To 0 Inch Fat Choice Cooked Roasted</t>
  </si>
  <si>
    <t>Beef Loin Top Sirloin Petite Roast/filet Boneless Separable Lean Only Trimmed To 0 Inch Fat Choice Raw</t>
  </si>
  <si>
    <t>Beef Loin Top Sirloin Cap Steak Boneless Separable Lean Only Trimmed To 1/8 Inch Fat Select Raw</t>
  </si>
  <si>
    <t>Salted Butter</t>
  </si>
  <si>
    <t>Whipped Butter (Salted)</t>
  </si>
  <si>
    <t>Ghee (Clarified Butter)</t>
  </si>
  <si>
    <t>Caraway Cheese</t>
  </si>
  <si>
    <t>Cheddar Cheese</t>
  </si>
  <si>
    <t>Chesire Cheese</t>
  </si>
  <si>
    <t>Colby Cheese</t>
  </si>
  <si>
    <t>Lowfat Cottage Cheese (1%)</t>
  </si>
  <si>
    <t>Cream Cheese</t>
  </si>
  <si>
    <t>Edam Cheese</t>
  </si>
  <si>
    <t>Feta Cheese</t>
  </si>
  <si>
    <t>Egg Yolk Raw Frozen Pasteurized</t>
  </si>
  <si>
    <t>Egg Yolk Raw Frozen Sugared Pasteurized</t>
  </si>
  <si>
    <t>Fried Eggs</t>
  </si>
  <si>
    <t>Hard Boiled Eggs</t>
  </si>
  <si>
    <t>Egg Whole Dried Stabilized Glucose Reduced</t>
  </si>
  <si>
    <t>Egg White Dried Flakes Stabilized Glucose Reduced</t>
  </si>
  <si>
    <t>Egg White Dried Powder Stabilized Glucose Reduced</t>
  </si>
  <si>
    <t>Egg Yolk Dried</t>
  </si>
  <si>
    <t>Egg Substitute Powder</t>
  </si>
  <si>
    <t>Unsalted Butter</t>
  </si>
  <si>
    <t>Shredded Parmesan</t>
  </si>
  <si>
    <t>Milk Nonfat Fluid Without Added Vitamin A And Vitamin D (Fat Free Or Skim)</t>
  </si>
  <si>
    <t>Cheese Goat Semisoft Type</t>
  </si>
  <si>
    <t>Yogurt Greek 2% Fat Key Lime Blend Chobani</t>
  </si>
  <si>
    <t>Soft Goat Cheese</t>
  </si>
  <si>
    <t>Egg Yolk Raw Frozen Salted Pasteurized</t>
  </si>
  <si>
    <t>Cheese Mexican Queso Asadero</t>
  </si>
  <si>
    <t>Queso Chihuahua</t>
  </si>
  <si>
    <t>Lowfat Cheddar Cheese</t>
  </si>
  <si>
    <t>Low-Sodium Cheddar Cheese</t>
  </si>
  <si>
    <t>Milk Fluid 1% Fat Without Added Vitamin A And Vitamin D</t>
  </si>
  <si>
    <t>Low Fat Sour Cream</t>
  </si>
  <si>
    <t>Sour Cream Light</t>
  </si>
  <si>
    <t>Fat Free Sour Cream</t>
  </si>
  <si>
    <t>Yogurt Vanilla Or Lemon Flavor Nonfat Milk Sweetened With Low-Calorie Sweetener</t>
  </si>
  <si>
    <t>Kraft Cheez Whiz Light Pasteurized Process Cheese Product</t>
  </si>
  <si>
    <t>Kraft Free Singles American Nonfat Pasteurized Process Cheese Product</t>
  </si>
  <si>
    <t>Kraft Velveeta Pasteurized Process Cheese Spread</t>
  </si>
  <si>
    <t>Kraft Velveeta Light Reduced Fat Pasteurized Process Cheese Product</t>
  </si>
  <si>
    <t>Milk Chocolate Fluid Commercial Reduced Fat With Added Calcium</t>
  </si>
  <si>
    <t>Yogurt Fruit Lowfat With Low Calorie Sweetener</t>
  </si>
  <si>
    <t>Cheese Parmesan Dry Grated Reduced Fat</t>
  </si>
  <si>
    <t>Cream Substitute Flavored Liquid</t>
  </si>
  <si>
    <t>Milk Dry Whole Without Added Vitamin D</t>
  </si>
  <si>
    <t>Cheese Product Pasteurized Process American Reduced Fat Fortified With Vitamin D</t>
  </si>
  <si>
    <t>Yogurt Fruit Low Fat 9 Grams Protein Per 8 Ounce Fortified With Vitamin D</t>
  </si>
  <si>
    <t>Low Fat Fruit Yogurt (With Vitamin D)</t>
  </si>
  <si>
    <t>Yogurt Fruit Variety Nonfat Fortified With Vitamin D</t>
  </si>
  <si>
    <t>Protein Supplement Milk Based Muscle Milk Powder</t>
  </si>
  <si>
    <t>Protein Supplement Milk Based Muscle Milk Light Powder</t>
  </si>
  <si>
    <t>Dulce De Leche</t>
  </si>
  <si>
    <t>Egg Substitute Liquid Or Frozen Fat Free</t>
  </si>
  <si>
    <t>Yogurt Vanilla Flavor Lowfat Milk Sweetened With Low Calorie Sweetener</t>
  </si>
  <si>
    <t>Yogurt Frozen Flavors Not Chocolate Nonfat Milk With Low-Calorie Sweetener</t>
  </si>
  <si>
    <t>Soft Serve Chocolate Ice Cream</t>
  </si>
  <si>
    <t>Ice Cream Bar Or Stick Chocolate Covered</t>
  </si>
  <si>
    <t>Fat Free Ice Cream No Sugar Added Flavors Other Than Chocolate</t>
  </si>
  <si>
    <t>Table Salt</t>
  </si>
  <si>
    <t>Apple Cider Vinegar</t>
  </si>
  <si>
    <t>Thyme (Fresh)</t>
  </si>
  <si>
    <t>Vanilla Extract</t>
  </si>
  <si>
    <t>Horseradish</t>
  </si>
  <si>
    <t>Rosemary</t>
  </si>
  <si>
    <t>Peppermint</t>
  </si>
  <si>
    <t>Spearmint</t>
  </si>
  <si>
    <t>Seasoning Mix Dry Chili Original</t>
  </si>
  <si>
    <t>Clif Z Bar</t>
  </si>
  <si>
    <t>Babyfood Juice Treats Fruit Medley Toddler</t>
  </si>
  <si>
    <t>Babyfood Meat Beef Strained</t>
  </si>
  <si>
    <t>Babyfood Meat Ham Junior</t>
  </si>
  <si>
    <t>Babyfood Meat Lamb Strained</t>
  </si>
  <si>
    <t>Babyfood Meat Lamb Junior</t>
  </si>
  <si>
    <t>Babyfood Meat Chicken Strained</t>
  </si>
  <si>
    <t>Babyfood Meat Turkey Sticks Junior</t>
  </si>
  <si>
    <t>Babyfood Snack Gerber Graduate Fruit  Strips Real Fruit Bars</t>
  </si>
  <si>
    <t>Babyfood Meat Meat Sticks Junior</t>
  </si>
  <si>
    <t>Babyfood Gerber 2nd Foods Apple Carrot And Squash Organic</t>
  </si>
  <si>
    <t>Babyfood Dinner Vegetables And Dumplings And Beef Junior</t>
  </si>
  <si>
    <t>Babyfood Dinner Beef Lasagna Toddler</t>
  </si>
  <si>
    <t>Babyfood Dinner Macaroni And Tomato And Beef Strained</t>
  </si>
  <si>
    <t>Babyfood Dinner Macaroni And Tomato And Beef Junior</t>
  </si>
  <si>
    <t>Babyfood Dinner Spaghetti And Tomato And Meat Junior</t>
  </si>
  <si>
    <t>Babyfood Dinner Spaghetti And Tomato And Meat Toddler</t>
  </si>
  <si>
    <t>Babyfood Dinner Vegetables And Beef Strained</t>
  </si>
  <si>
    <t>Babyfood Dinner Vegetables And Beef Junior</t>
  </si>
  <si>
    <t>Babyfood Dinner Chicken Soup Strained</t>
  </si>
  <si>
    <t>Babyfood Dinner Chicken Stew Toddler</t>
  </si>
  <si>
    <t>Babyfood Dinner Vegetables Chicken Strained</t>
  </si>
  <si>
    <t>Babyfood Dinner Vegetables Noodles And Chicken Strained</t>
  </si>
  <si>
    <t>Babyfood Dinner Turkey And Rice Junior</t>
  </si>
  <si>
    <t>Babyfood Dinner Vegetables And Turkey Strained</t>
  </si>
  <si>
    <t>Babyfood Dinner Vegetables And Turkey Junior</t>
  </si>
  <si>
    <t>Babyfood Dinner Macaroni And Cheese Strained</t>
  </si>
  <si>
    <t>Babyfood Vegetable Green Beans And Potatoes</t>
  </si>
  <si>
    <t>Babyfood Vegetables Beets Strained</t>
  </si>
  <si>
    <t>Babyfood Vegetables Carrots Strained</t>
  </si>
  <si>
    <t>Babyfood Vegetables Carrots Junior</t>
  </si>
  <si>
    <t>Babyfood Potatoes Toddler</t>
  </si>
  <si>
    <t>Babyfood Cereal Oatmeal Dry Gerber Single Grain Fortified</t>
  </si>
  <si>
    <t>Babyfood Vegetable Butternut Squash And Corn</t>
  </si>
  <si>
    <t>Babyfood Apples Dices Toddler</t>
  </si>
  <si>
    <t>Babyfood Fruit Applesauce Strained</t>
  </si>
  <si>
    <t>Babyfood Dinner Vegetables And Chicken Junior</t>
  </si>
  <si>
    <t>Babyfood Dinner Mixed Vegetable Strained</t>
  </si>
  <si>
    <t>Babyfood Vegetables Mix Vegetables Strained</t>
  </si>
  <si>
    <t>Babyfood Dinner Beef Noodle Junior</t>
  </si>
  <si>
    <t>Babyfood Apples With Ham Strained</t>
  </si>
  <si>
    <t>Babyfood Carrots And Beef Strained</t>
  </si>
  <si>
    <t>Babyfood Beverage Gerber Graduate Fruit Splashers</t>
  </si>
  <si>
    <t>Babyfood Snack Gerber Graduate Yogurt Melts</t>
  </si>
  <si>
    <t>Babyfood Dinner Sweet Potatoes And Chicken Strained</t>
  </si>
  <si>
    <t>Infant Formula Mead Johnson Enfamil 24 Ready To Feed With Ara And Dha</t>
  </si>
  <si>
    <t>Infant Formula Mead Johnson Enfamil Enspire Powder With Ara And Dha Not Reconstituted</t>
  </si>
  <si>
    <t>Infant Formula Mead Johnson Enfamil Reguline Ready To Feed With Ara And Dha</t>
  </si>
  <si>
    <t>Infant Formula Mead Johnson Gentlease Ready To Feed With Ara And Dha</t>
  </si>
  <si>
    <t>Toddler Formula Mead Johnson Nutramigen Toddler With Lgg Powder With Ara And Dha Not Reconstituted</t>
  </si>
  <si>
    <t>Infant Formula Mead Johnson Pregestimil 20 Calories Ready To Feed With Ara And Dha</t>
  </si>
  <si>
    <t>Babyfood Cereal High Protein Prepared With Whole Milk</t>
  </si>
  <si>
    <t>Babyfood Cereal Mixed Prepared With Whole Milk</t>
  </si>
  <si>
    <t>Babyfood Cereal Mixed With Bananas Prepared With Whole Milk</t>
  </si>
  <si>
    <t>Babyfood Cereal Oatmeal Prepared With Whole Milk</t>
  </si>
  <si>
    <t>Babyfood Cereal Mixed With Honey Prepared With Whole Milk</t>
  </si>
  <si>
    <t>Babyfood Cereal High Protein With Apple And Orange Prepared With Whole Milk</t>
  </si>
  <si>
    <t>Babyfood Cereal Rice With Bananas Prepared With Whole Milk</t>
  </si>
  <si>
    <t>Infant Formula Nestle Good Start Supreme With Iron Liquid Concentrate Not Reconstituted</t>
  </si>
  <si>
    <t>Infant Formula Nestle Good Start Supreme With Iron Powder</t>
  </si>
  <si>
    <t>Infant Formula Mead Johnson Enfamil Lipil Low Iron Liquid Concentrate With Ara And Dha</t>
  </si>
  <si>
    <t>Infant Formula Mead Johnson Pregestimil With Iron Powder Not Reconstituted</t>
  </si>
  <si>
    <t>Infant Formula Mead Johnson Pregestimil With Iron Prepared From Powder</t>
  </si>
  <si>
    <t>Infant Formula Mead Johnson Prosobee With Iron Ready-To-Feed</t>
  </si>
  <si>
    <t>Infant Formula Abbott Nutrition Similac Isomil With Iron Ready-To-Feed</t>
  </si>
  <si>
    <t>Infant Formula Abbott Nutrition Similac Isomil With Iron Liquid Concentrate</t>
  </si>
  <si>
    <t>Infant Formula Abbott Nutrition Similac Isomil With Iron Powder Not Reconstituted</t>
  </si>
  <si>
    <t>Infant Formula Mead Johnson Enfamil Nutramigen Lipil With Iron Liquid Concentrate Not Reconstituted With Ara And Dha</t>
  </si>
  <si>
    <t>Infant Formula Mead Johnson Enfamil Prosobee Lipil With Iron Powder Not Reconstituted With Ara And Dha</t>
  </si>
  <si>
    <t>Infant Formula Abbott Nutrition Similac With Iron Powder Not Reconstituted</t>
  </si>
  <si>
    <t>Infant Formula Mead Johnson Enfamil Prosobee Lipil Liquid Concentrate Not Reconstituted With Ara And Dha</t>
  </si>
  <si>
    <t>Infant Formula Mead Johnson Prosobee Lipil With Iron Ready To Feed With Ara And Dha</t>
  </si>
  <si>
    <t>Infant Formula Nestle Good Start Soy With Dha And Ara Ready-To-Feed</t>
  </si>
  <si>
    <t>Child Formula Abbott Nutrition Pediasure Ready-To-Feed With Iron And Fiber</t>
  </si>
  <si>
    <t>Infant Formula Nestle Good Start Essentials Soy With Iron Powder</t>
  </si>
  <si>
    <t>Infant Formula Mead Johnson Next Step Prosobee Powder Not Reconstituted</t>
  </si>
  <si>
    <t>Infant Formula Mead Johnsonnext Step Prosobee Prepared From Powder</t>
  </si>
  <si>
    <t>Infant Formula Pbm Products Store Brand Powder</t>
  </si>
  <si>
    <t>Infant Formula Pbm Products Store Brand Soy Ready-To-Feed</t>
  </si>
  <si>
    <t>Infant Formula Pbm Products Store Brand Soy Liquid Concentrate Not Reconstituted</t>
  </si>
  <si>
    <t>Infant Formula Pbm Products Store Brand Soy Powder</t>
  </si>
  <si>
    <t>Infant Formula Abbott Nutrition Similac Sensitive (Lactose Free) Liquid Concentrate With Ara And Dha</t>
  </si>
  <si>
    <t>Infant Formula Abbott Nutrition Similac Sensitive (Lactose Free) Powder With Ara And Dha</t>
  </si>
  <si>
    <t>Infant Formula Abbott Nutrition Similac Advance With Iron Ready-To-Feed</t>
  </si>
  <si>
    <t>Infant Formula Abbott Nutrition Similac Advance With Iron Powder Not Reconstituted</t>
  </si>
  <si>
    <t>Salad Dressing Blue Or Roquefort Cheese Dressing Commercial Regular</t>
  </si>
  <si>
    <t>Oil Cupu Assu</t>
  </si>
  <si>
    <t>Rendered Chicken Fat</t>
  </si>
  <si>
    <t>Oil Soybean Salad Or Cooking (Partially Hydrogenated) And Cottonseed</t>
  </si>
  <si>
    <t>Shortening</t>
  </si>
  <si>
    <t>Shortening Frying (Heavy Duty) Beef Tallow And Cottonseed</t>
  </si>
  <si>
    <t>Shortening Confectionery Coconut (Hydrogenated) And Or Palm Kernel (Hydrogenated)</t>
  </si>
  <si>
    <t>Shortening Industrial Soybean (Hydrogenated) And Cottonseed</t>
  </si>
  <si>
    <t>Oil Ucuhuba Butter</t>
  </si>
  <si>
    <t>Fat Turkey</t>
  </si>
  <si>
    <t>Fat Goose</t>
  </si>
  <si>
    <t>Avocado Oil</t>
  </si>
  <si>
    <t>Shortening Special Purpose For Cakes And Frostings Soybean (Hydrogenated)</t>
  </si>
  <si>
    <t>Shortening Special Purpose For Baking Soybean (Hydrogenated) Palm And Cottonseed</t>
  </si>
  <si>
    <t>Oil Oat</t>
  </si>
  <si>
    <t>Cod Liver Oil</t>
  </si>
  <si>
    <t>Sardine Oil</t>
  </si>
  <si>
    <t>Hydrogenated Soybean And Palm Oil</t>
  </si>
  <si>
    <t>Margarine-Like Vegetable Oil-Butter Spread Tub With Salt</t>
  </si>
  <si>
    <t>Butter Light Stick With Salt</t>
  </si>
  <si>
    <t>Margarine-Like Vegetable Oil Spread 60% Fat Tub With Salt</t>
  </si>
  <si>
    <t>Margarine-Like Vegetable Oil Spread 60% Fat Stick/tub/bottle With Salt</t>
  </si>
  <si>
    <t>Vegetable Shortening</t>
  </si>
  <si>
    <t>Margarine (Unsalted)</t>
  </si>
  <si>
    <t>Margarine-Like Spread With Yogurt Approximately 40% Fat Tub With Salt</t>
  </si>
  <si>
    <t>Margarine 80% Fat Stick Includes Regular And Hydrogenated Corn And Soybean Oils</t>
  </si>
  <si>
    <t>Margarine Margarine-Type Vegetable Oil Spread 70% Fat Soybean And Partially Hydrogenated Soybean Stick</t>
  </si>
  <si>
    <t>Margarine Spread Approximately 48% Fat Tub</t>
  </si>
  <si>
    <t>Salad Dressing Italian Dressing Fat-Free</t>
  </si>
  <si>
    <t>Salad Dressing Ranch Dressing Fat-Free</t>
  </si>
  <si>
    <t>Salad Dressing Ranch Dressing Regular</t>
  </si>
  <si>
    <t>Salad Dressing Ranch Dressing Reduced Fat</t>
  </si>
  <si>
    <t>Salad Dressing Mayonnaise Light</t>
  </si>
  <si>
    <t>Oil Industrial Coconut Principal Uses Candy Coatings Oil Sprays Roasting Nuts</t>
  </si>
  <si>
    <t>Oil Industrial Soy (Partially Hydrogenated) Principal Uses Popcorn And Flavoring Vegetables</t>
  </si>
  <si>
    <t>Shortening Industrial Soy (Partially Hydrogenated) Pourable Liquid Fry Shortening</t>
  </si>
  <si>
    <t>Oil Industrial Soy Refined For Woks And Light Frying</t>
  </si>
  <si>
    <t>Margarine-Like Shortening Industrial Soy (Partially Hydrogenated) Cottonseed And Soy Principal Use Flaky Pastries</t>
  </si>
  <si>
    <t>Oil Industrial Palm Kernel Confection Fat Uses Similar To High Quality Cocoa Butter</t>
  </si>
  <si>
    <t>Oil Industrial Palm Kernel (Hydrogenated) Confection Fat Uses Similar To 95 Degree Hard Butter</t>
  </si>
  <si>
    <t>Oil Industrial Palm Kernel (Hydrogenated) Confection Fat Intermediate Grade Product</t>
  </si>
  <si>
    <t>Oil Industrial Palm Kernel (Hydrogenated) Filling Fat</t>
  </si>
  <si>
    <t>Oil Industrial Soy (Partially Hydrogenated ) Palm Principal Uses Icings And Fillings</t>
  </si>
  <si>
    <t>Margarine Industrial Non-Dairy Cottonseed Soy Oil (Partially Hydrogenated ) For Flaky Pastries</t>
  </si>
  <si>
    <t>Shortening Industrial Soy (Partially Hydrogenated ) And Corn For Frying</t>
  </si>
  <si>
    <t>Shortening Industrial Soy (Partially Hydrogenated ) For Baking And Confections</t>
  </si>
  <si>
    <t>Margarine-Like Spread Smart Beat Super Light Without Saturated Fat</t>
  </si>
  <si>
    <t>Margarine-Like Spread Smart Beat Smart Squeeze</t>
  </si>
  <si>
    <t>Margarine-Like Spread Smart Balance Omega Plus Spread (With Plant Sterols &amp; Fish Oil)</t>
  </si>
  <si>
    <t>Chicken Broilers Or Fryers Drumstick Meat And Skin Cooked Fried Flour</t>
  </si>
  <si>
    <t>Roasted Chicken Drumsticks</t>
  </si>
  <si>
    <t>Chicken Broilers Or Fryers Drumstick Meat And Skin Cooked Stewed</t>
  </si>
  <si>
    <t>Raw Skinless Chicken Drumstick</t>
  </si>
  <si>
    <t>Chicken Broilers Or Fryers Leg Meat And Skin Cooked Fried Batter</t>
  </si>
  <si>
    <t>Chicken Broilers Or Fryers Leg Meat And Skin Cooked Fried Flour</t>
  </si>
  <si>
    <t>Roasted Chicken Leg</t>
  </si>
  <si>
    <t>Chicken Broilers Or Fryers Leg Meat And Skin Cooked Stewed</t>
  </si>
  <si>
    <t>Boneless Skinless Chicken Leg (Raw)</t>
  </si>
  <si>
    <t>Chicken Broilers Or Fryers Neck Meat And Skin Cooked Fried Batter</t>
  </si>
  <si>
    <t>Chicken Broilers Or Fryers Neck Meat And Skin Cooked Fried Flour</t>
  </si>
  <si>
    <t>Chicken Broilers Or Fryers Neck Meat And Skin Cooked Simmered</t>
  </si>
  <si>
    <t>Chicken Broilers Or Fryers Neck Meat Only Raw</t>
  </si>
  <si>
    <t>Chicken Broilers Or Fryers Thigh Meat And Skin Cooked Fried Flour</t>
  </si>
  <si>
    <t>Roasted Chicken Thigh</t>
  </si>
  <si>
    <t>Chicken Broilers Or Fryers Thigh Meat And Skin Cooked Stewed</t>
  </si>
  <si>
    <t>Raw Boneless Skinless Thigh Meat</t>
  </si>
  <si>
    <t>Chicken Broilers Or Fryers Wing Meat And Skin Cooked Fried Batter</t>
  </si>
  <si>
    <t>Chicken Broilers Or Fryers Wing Meat And Skin Cooked Fried Flour</t>
  </si>
  <si>
    <t>Roasted Chicken Wings</t>
  </si>
  <si>
    <t>Chicken Broilers Or Fryers Wing Meat And Skin Cooked Stewed</t>
  </si>
  <si>
    <t>Chicken Broilers Or Fryers Wing Meat Only Raw</t>
  </si>
  <si>
    <t>Chicken Roasting Meat And Skin And Giblets And Neck Cooked Roasted</t>
  </si>
  <si>
    <t>Canada Goose Breast Meat Skinless Raw</t>
  </si>
  <si>
    <t>Chicken Roasting Meat And Skin Cooked Roasted</t>
  </si>
  <si>
    <t>Chicken Roasting Meat Only Raw</t>
  </si>
  <si>
    <t>Chicken (Light Meat)</t>
  </si>
  <si>
    <t>Chicken Roasting Dark Meat Meat Only Raw</t>
  </si>
  <si>
    <t>Chicken Roasting Dark Meat Meat Only Cooked Roasted</t>
  </si>
  <si>
    <t>Chicken Stewing Meat And Skin And Giblets And Neck Raw</t>
  </si>
  <si>
    <t>Chicken Stewing Giblets Raw</t>
  </si>
  <si>
    <t>Chicken Stewing Giblets Cooked Simmered</t>
  </si>
  <si>
    <t>Chicken Stewing Light Meat Meat Only Raw</t>
  </si>
  <si>
    <t>Chicken Stewing Light Meat Meat Only Cooked Stewed</t>
  </si>
  <si>
    <t>Chicken Capons Meat And Skin Raw</t>
  </si>
  <si>
    <t>Chicken Capons Meat And Skin Cooked Roasted</t>
  </si>
  <si>
    <t>Tap Water</t>
  </si>
  <si>
    <t>Coffee Substitute Cereal Grain Beverage Powder Prepared With Whole Milk</t>
  </si>
  <si>
    <t>Dairy Drink Mix Chocolate Reduced Calorie With Low-Calorie Sweeteners Powder</t>
  </si>
  <si>
    <t>Dairy Drink Mix Chocolate Reduced Calorie With Aspartame Powder Prepared With Water And Ice</t>
  </si>
  <si>
    <t>Orange-Flavor Drink Breakfast Type With Pulp Frozen Concentrate. Not Manufactured Anymore.</t>
  </si>
  <si>
    <t>Orange-Flavor Drink Breakfast Type With Pulp Frozen Concentrate Prepared With Water</t>
  </si>
  <si>
    <t>Cranberry Juice Cocktail Frozen Concentrate</t>
  </si>
  <si>
    <t>Cranberry Juice Cocktail Frozen Concentrate Prepared With Water</t>
  </si>
  <si>
    <t>Water Bottled Non-Carbonated Dannon</t>
  </si>
  <si>
    <t>Water Bottled Non-Carbonated Pepsi Aquafina</t>
  </si>
  <si>
    <t>Water Bottled Non-Carbonated Naya</t>
  </si>
  <si>
    <t>Water Bottled Non-Carbonated Dannon Fluoride To Go</t>
  </si>
  <si>
    <t>Drink Mix Quaker Oats Gatorade Orange Flavor Powder</t>
  </si>
  <si>
    <t>Pepsico Quaker Gatorade G Performance O 2 Ready-To-Drink.</t>
  </si>
  <si>
    <t>Whiskey Sour Mix Bottled With Added Potassium And Sodium</t>
  </si>
  <si>
    <t>Alcoholic Beverage Whiskey Sour</t>
  </si>
  <si>
    <t>94 Proof Liquor</t>
  </si>
  <si>
    <t>100 Proof Liquor</t>
  </si>
  <si>
    <t>Alcoholic Beverage Liqueur Coffee 63 Proof</t>
  </si>
  <si>
    <t>Lemonade Frozen Concentrate Pink</t>
  </si>
  <si>
    <t>Lemonade Frozen Concentrate Pink Prepared With Water</t>
  </si>
  <si>
    <t>Kippered Herring</t>
  </si>
  <si>
    <t>Fish Herring Pacific Raw</t>
  </si>
  <si>
    <t>Fish Ling Raw</t>
  </si>
  <si>
    <t>Fish Lingcod Raw</t>
  </si>
  <si>
    <t>Fish Mackerel Pacific And Jack Mixed Species Raw</t>
  </si>
  <si>
    <t>Fish Mackerel Spanish Raw</t>
  </si>
  <si>
    <t>Fish Mackerel Spanish Cooked Dry Heat</t>
  </si>
  <si>
    <t>Fish Milkfish Raw</t>
  </si>
  <si>
    <t>Fish Monkfish Raw</t>
  </si>
  <si>
    <t>Fish Pout Ocean Raw</t>
  </si>
  <si>
    <t>Fish Perch Mixed Species Raw</t>
  </si>
  <si>
    <t>Fish Perch Mixed Species Cooked Dry Heat</t>
  </si>
  <si>
    <t>Fish Pike Northern Raw</t>
  </si>
  <si>
    <t>Cooked Alaska Pollock</t>
  </si>
  <si>
    <t>Fish Pompano Florida Raw</t>
  </si>
  <si>
    <t>Cooked Pompano</t>
  </si>
  <si>
    <t>Fish Rockfish Pacific Mixed Species Raw</t>
  </si>
  <si>
    <t>Fish Sablefish Smoked</t>
  </si>
  <si>
    <t>Wild Atlantic Salmon (Raw)</t>
  </si>
  <si>
    <t>Smoked Salmon</t>
  </si>
  <si>
    <t>Fish Salmon Chinook Raw</t>
  </si>
  <si>
    <t>Fish Salmon Chum Raw</t>
  </si>
  <si>
    <t>Fish Salmon Pink Canned Total Can Contents</t>
  </si>
  <si>
    <t>Fish Salmon Sockeye Raw</t>
  </si>
  <si>
    <t>Cooked Sockeye Salmon</t>
  </si>
  <si>
    <t>Canned Salmon</t>
  </si>
  <si>
    <t>Cooked Sea Bass</t>
  </si>
  <si>
    <t>Fish Seatrout Mixed Species Raw</t>
  </si>
  <si>
    <t>Fish Shad American Raw</t>
  </si>
  <si>
    <t>Fish Shark Mixed Species Raw</t>
  </si>
  <si>
    <t>Fish Snapper Mixed Species Raw</t>
  </si>
  <si>
    <t>Cooked Snapper</t>
  </si>
  <si>
    <t>Fish Spot Raw</t>
  </si>
  <si>
    <t>Fish Sturgeon Mixed Species Raw</t>
  </si>
  <si>
    <t>Fish Surimi</t>
  </si>
  <si>
    <t>Fish Swordfish Raw</t>
  </si>
  <si>
    <t>Cooked Swordfish</t>
  </si>
  <si>
    <t>Fish Tilefish Raw</t>
  </si>
  <si>
    <t>Bluefin Tuna (Raw)</t>
  </si>
  <si>
    <t>Bluefin Tuna (Cooked)</t>
  </si>
  <si>
    <t>Fish Tuna Light Canned In Oil Drained Solids</t>
  </si>
  <si>
    <t>Fish Tuna Light Canned In Water Drained Solids</t>
  </si>
  <si>
    <t>Fish Turbot European Raw</t>
  </si>
  <si>
    <t>Whitefish (Raw)</t>
  </si>
  <si>
    <t>Smoked Whitefish</t>
  </si>
  <si>
    <t>Raw Whiting</t>
  </si>
  <si>
    <t>Cooked Catfish</t>
  </si>
  <si>
    <t>Raw Coho Salmon</t>
  </si>
  <si>
    <t>Cooked Coho Salmon (Farmed)</t>
  </si>
  <si>
    <t>Rainbow Trout (Raw)</t>
  </si>
  <si>
    <t>Cooked Rainbow Trout</t>
  </si>
  <si>
    <t>Cooked Coho Salmon (Wild)</t>
  </si>
  <si>
    <t>Baked Conch</t>
  </si>
  <si>
    <t>USDA Commodity Salmon Nuggets Breaded Frozen Heated</t>
  </si>
  <si>
    <t>USDA Commodity Salmon Nuggets Cooked As Purchased Unheated</t>
  </si>
  <si>
    <t>Canned Sockeye Salmon</t>
  </si>
  <si>
    <t>Canned Pink Salmon</t>
  </si>
  <si>
    <t>Fish Pollock Alaska Raw (Not Previously Frozen)</t>
  </si>
  <si>
    <t>Fish Pollock Alaska Cooked (Not Previously Frozen)</t>
  </si>
  <si>
    <t>Beans Adzuki Mature Seeds Raw</t>
  </si>
  <si>
    <t>Adzuki Beans</t>
  </si>
  <si>
    <t>Beans Adzuki Mature Seeds Canned Sweetened</t>
  </si>
  <si>
    <t>Yokan Prepared From Adzuki Beans And Sugar</t>
  </si>
  <si>
    <t>Baked Beans</t>
  </si>
  <si>
    <t>Beans Baked Canned With Pork And Sweet Sauce</t>
  </si>
  <si>
    <t>Beans Baked Canned With Pork And Tomato Sauce</t>
  </si>
  <si>
    <t>Beans Black Mature Seeds Raw</t>
  </si>
  <si>
    <t>Black Beans</t>
  </si>
  <si>
    <t>Cranberry Beans (Roman Beans)</t>
  </si>
  <si>
    <t>Canned Cranberry Beans</t>
  </si>
  <si>
    <t>Beans French Mature Seeds Raw</t>
  </si>
  <si>
    <t>Beans French Mature Seeds Cooked Boiled Without Salt</t>
  </si>
  <si>
    <t>Kidney Beans</t>
  </si>
  <si>
    <t>Canned Kidney Beans</t>
  </si>
  <si>
    <t>Beans Kidney California Red Mature Seeds Raw</t>
  </si>
  <si>
    <t>California Red Kidney Beans</t>
  </si>
  <si>
    <t>Beans Kidney Red Mature Seeds Raw</t>
  </si>
  <si>
    <t>Beans Navy Mature Seeds Raw</t>
  </si>
  <si>
    <t>Navy Beans</t>
  </si>
  <si>
    <t>Canned Navy Beans</t>
  </si>
  <si>
    <t>Beans Pink Mature Seeds Raw</t>
  </si>
  <si>
    <t>Beans Small White Mature Seeds Raw</t>
  </si>
  <si>
    <t>Cooked Small White Beans</t>
  </si>
  <si>
    <t>Beans Yellow Mature Seeds Raw</t>
  </si>
  <si>
    <t>Beans Yellow Mature Seeds Cooked Boiled Without Salt</t>
  </si>
  <si>
    <t>Broad Beans (Fava)</t>
  </si>
  <si>
    <t>Broadbeans (Fava Beans) Mature Seeds Canned</t>
  </si>
  <si>
    <t>Carob Flour</t>
  </si>
  <si>
    <t>Chickpeas (Garbanzo Beans Bengal Gram) Mature Seeds Raw</t>
  </si>
  <si>
    <t>Chickpeas (Garbanzo Beans) (Cooked)</t>
  </si>
  <si>
    <t>Cowpeas Common (Blackeyes Crowder Southern) Mature Seeds Raw</t>
  </si>
  <si>
    <t>Black-Eyed Peas (Cowpeas)</t>
  </si>
  <si>
    <t>Cowpeas Common (Blackeyes Crowder Southern) Mature Seeds Canned Plain</t>
  </si>
  <si>
    <t>Cowpeas Common (Blackeyes Crowder Southern) Mature Seeds Canned With Pork</t>
  </si>
  <si>
    <t>Vitasoy Usa Organic Nasoya Extra Firm Tofu</t>
  </si>
  <si>
    <t>Vitasoy Usa Organic Nasoya Firm Tofu</t>
  </si>
  <si>
    <t>Vitasoy Usa Organic Nasoya Silken Tofu</t>
  </si>
  <si>
    <t>Soy Milk (All Flavors) Enhanced</t>
  </si>
  <si>
    <t>Soy Milk Original And Vanilla Light With Added Calcium Vitamins A And D</t>
  </si>
  <si>
    <t>Soy Milk Chocolate And Other Flavors Light With Added Calcium Vitamins A And D</t>
  </si>
  <si>
    <t>Soy Milk Original And Vanilla Light Unsweetened With Added Calcium Vitamins A And D</t>
  </si>
  <si>
    <t>Soy Milk (All Flavors) Lowfat With Added Calcium Vitamins A And D</t>
  </si>
  <si>
    <t>Silk Chocolate Soy Milk</t>
  </si>
  <si>
    <t>Silk Light Plain Soy Milk</t>
  </si>
  <si>
    <t>Silk Light Vanilla Soy Milk</t>
  </si>
  <si>
    <t>Silk Light Chocolate Soy Milk</t>
  </si>
  <si>
    <t>Silk Very Vanilla Soy Milk</t>
  </si>
  <si>
    <t>Silk Nog Soy Milk</t>
  </si>
  <si>
    <t>Silk Chai Soy Milk</t>
  </si>
  <si>
    <t>Silk Mocha Soy Milk</t>
  </si>
  <si>
    <t>Silk Raspberry Soy Yogurt</t>
  </si>
  <si>
    <t>Silk Peach Soy Yogurt</t>
  </si>
  <si>
    <t>Silk Black Cherry Soy Yogurt</t>
  </si>
  <si>
    <t>Silk Blueberry Soy Yogurt</t>
  </si>
  <si>
    <t>Silk Hazelnut Creamer</t>
  </si>
  <si>
    <t>Vitasoy Usa Organic Nasoya Soft Tofu</t>
  </si>
  <si>
    <t>Fortified Silken Tofu</t>
  </si>
  <si>
    <t>Extra Firm Fortified Tofu</t>
  </si>
  <si>
    <t>Vitasoy Usa Azumaya Silken Tofu</t>
  </si>
  <si>
    <t>House Foods Premium Soft Tofu</t>
  </si>
  <si>
    <t>House Foods Premium Firm Tofu</t>
  </si>
  <si>
    <t>Beans Adzuki Mature Seed Cooked Boiled With Salt</t>
  </si>
  <si>
    <t>Beans Great Northern Mature Seeds Cooked Boiled With Salt</t>
  </si>
  <si>
    <t>Beans Great Northern Mature Seeds Canned Low Sodium</t>
  </si>
  <si>
    <t>Beans Kidney All Types Mature Seeds Cooked Boiled With Salt</t>
  </si>
  <si>
    <t>Beans Kidney California Red Mature Seeds Cooked Boiled With Salt</t>
  </si>
  <si>
    <t>Beans Navy Mature Seeds Cooked Boiled With Salt</t>
  </si>
  <si>
    <t>Beans Pink Mature Seeds Cooked Boiled With Salt</t>
  </si>
  <si>
    <t>Beans Pinto Mature Seeds Cooked Boiled With Salt</t>
  </si>
  <si>
    <t>Beans Pinto Mature Seeds Canned Drained Solids Rinsed In Tap Water</t>
  </si>
  <si>
    <t>Broadbeans (Fava Beans) Mature Seeds Cooked Boiled With Salt</t>
  </si>
  <si>
    <t>Chickpeas (Garbanzo Beans Bengal Gram) Mature Seeds Cooked Boiled With Salt</t>
  </si>
  <si>
    <t>Chickpeas (Garbanzo Beans Bengal Gram) Mature Seeds Canned Drained Solids</t>
  </si>
  <si>
    <t>Chickpeas (Garbanzo Beans Bengal Gram) Mature Seeds Canned Drained Rinsed In Tap Water</t>
  </si>
  <si>
    <t>Lima Beans Large Mature Seeds Cooked Boiled With Salt</t>
  </si>
  <si>
    <t>Lima Beans Thin Seeded (Baby) Mature Seeds Cooked Boiled With Salt</t>
  </si>
  <si>
    <t>Lupin Beans (Cooked)</t>
  </si>
  <si>
    <t>Mothbeans Mature Seeds Cooked Boiled With Salt</t>
  </si>
  <si>
    <t>Dry Roasted Peanuts</t>
  </si>
  <si>
    <t>Peanuts Spanish Oil-Roasted Without Salt</t>
  </si>
  <si>
    <t>Peanuts Valencia Oil-Roasted Without Salt</t>
  </si>
  <si>
    <t>Peanuts Virginia Oil-Roasted Without Salt</t>
  </si>
  <si>
    <t>Lamb New Zealand Imported Loin Chop Separable Lean Only Raw</t>
  </si>
  <si>
    <t>Lamb New Zealand Imported Frozen Loin Separable Lean Only Cooked Broiled</t>
  </si>
  <si>
    <t>Lamb New Zealand Imported Rack - Partly Frenched Separable Lean And Fat Raw</t>
  </si>
  <si>
    <t>Lamb New Zealand Imported Rack - Partly Frenched Separable Lean And Fat Cooked Fast Roasted</t>
  </si>
  <si>
    <t>Lamb New Zealand Imported Frozen Shoulder Whole (Arm And Blade) Separable Lean Only Cooked Braised</t>
  </si>
  <si>
    <t>Veal Composite Of Trimmed Retail Cuts Separable Lean And Fat Raw</t>
  </si>
  <si>
    <t>Veal Composite Of Trimmed Retail Cuts Separable Lean And Fat Cooked</t>
  </si>
  <si>
    <t>Veal Composite Of Trimmed Retail Cuts Separable Lean Only Raw</t>
  </si>
  <si>
    <t>Veal Leg (Top Round) Separable Lean And Fat Cooked Braised</t>
  </si>
  <si>
    <t>Veal Leg (Top Round) Separable Lean And Fat Cooked Pan-Fried Breaded</t>
  </si>
  <si>
    <t>Veal Leg (Top Round) Separable Lean And Fat Cooked Pan-Fried Not Breaded</t>
  </si>
  <si>
    <t>Veal Leg (Top Round) Separable Lean And Fat Cooked Roasted</t>
  </si>
  <si>
    <t>Veal Leg (Top Round) Separable Lean Only Cooked Roasted</t>
  </si>
  <si>
    <t>Veal Loin Separable Lean And Fat Raw</t>
  </si>
  <si>
    <t>Veal Loin Separable Lean And Fat Cooked Braised</t>
  </si>
  <si>
    <t>Veal Loin Separable Lean And Fat Cooked Roasted</t>
  </si>
  <si>
    <t>Veal Loin Separable Lean Only Raw</t>
  </si>
  <si>
    <t>Veal Rib Separable Lean And Fat Cooked Roasted</t>
  </si>
  <si>
    <t>Veal Rib Separable Lean Only Raw</t>
  </si>
  <si>
    <t>Veal Rib Separable Lean Only Cooked Braised</t>
  </si>
  <si>
    <t>Veal Rib Separable Lean Only Cooked Roasted</t>
  </si>
  <si>
    <t>Veal Shoulder Whole (Arm And Blade) Separable Lean Only Cooked Braised</t>
  </si>
  <si>
    <t>Veal Shoulder Whole (Arm And Blade) Separable Lean Only Cooked Roasted</t>
  </si>
  <si>
    <t>Veal Shoulder Arm Separable Lean And Fat Raw</t>
  </si>
  <si>
    <t>Veal Shoulder Arm Separable Lean And Fat Cooked Braised</t>
  </si>
  <si>
    <t>Veal Shoulder Blade Chop Separable Lean And Fat Raw</t>
  </si>
  <si>
    <t>Veal Shoulder Blade Separable Lean And Fat Cooked Braised</t>
  </si>
  <si>
    <t>Veal Shoulder Blade Separable Lean And Fat Cooked Roasted</t>
  </si>
  <si>
    <t>Veal Shoulder Blade Chop Separable Lean Only Raw</t>
  </si>
  <si>
    <t>Veal Shoulder Blade Separable Lean Only Cooked Braised</t>
  </si>
  <si>
    <t>Veal Sirloin Separable Lean Only Raw</t>
  </si>
  <si>
    <t>Veal Sirloin Separable Lean Only Cooked Braised</t>
  </si>
  <si>
    <t>Veal Sirloin Separable Lean Only Cooked Roasted</t>
  </si>
  <si>
    <t>Veal Cubed For Stew (Leg And Shoulder) Separable Lean Only Raw</t>
  </si>
  <si>
    <t>Game Meat Antelope Cooked Roasted</t>
  </si>
  <si>
    <t>Game Meat Bear Raw</t>
  </si>
  <si>
    <t>Game Meat Bear Cooked Simmered</t>
  </si>
  <si>
    <t>Cooked Grass Fed Ground Bison (Buffalo)</t>
  </si>
  <si>
    <t>Game Meat Beefalo Composite Of Cuts Cooked Roasted</t>
  </si>
  <si>
    <t>Veal Australian Separable Fat Raw</t>
  </si>
  <si>
    <t>Veal Australian Rib Rib Roast Separable Lean And Fat Raw</t>
  </si>
  <si>
    <t>Game Meat Bison Separable Lean Only Raw</t>
  </si>
  <si>
    <t>Roasted Lean Buffalo</t>
  </si>
  <si>
    <t>Game Meat Caribou Raw</t>
  </si>
  <si>
    <t>Game Meat Caribou Cooked Roasted</t>
  </si>
  <si>
    <t>Game Meat Deer Raw</t>
  </si>
  <si>
    <t>Pork Baloney (Bologna)</t>
  </si>
  <si>
    <t>Turkey Baloney (Bologna)</t>
  </si>
  <si>
    <t>Chicken Spread</t>
  </si>
  <si>
    <t>Chorizo</t>
  </si>
  <si>
    <t>Corned Beef Loaf Jellied</t>
  </si>
  <si>
    <t>Dutch Brand Loaf Chicken Pork And Beef</t>
  </si>
  <si>
    <t>Frankfurter Beef Unheated</t>
  </si>
  <si>
    <t>Ham Sliced Packaged (96% Fat Free Water Added)</t>
  </si>
  <si>
    <t>Ham Sliced Regular (Approximately 11% Fat)</t>
  </si>
  <si>
    <t>Ham Minced</t>
  </si>
  <si>
    <t>Ham Salad Spread</t>
  </si>
  <si>
    <t>Knackwurst Knockwurst Pork Beef</t>
  </si>
  <si>
    <t>Lebanon Bologna Beef</t>
  </si>
  <si>
    <t>Liver Cheese Pork</t>
  </si>
  <si>
    <t>Liver Sausage Liverwurst Pork</t>
  </si>
  <si>
    <t>Turkey Sausage Fresh Cooked</t>
  </si>
  <si>
    <t>Bologna Chicken Pork Beef</t>
  </si>
  <si>
    <t>Bologna Chicken Pork</t>
  </si>
  <si>
    <t>Chicken Breast Deli Rotisserie Seasoned Sliced Prepackaged</t>
  </si>
  <si>
    <t>Frankfurter Meat And Poultry Unheated</t>
  </si>
  <si>
    <t>Pork Sausage Link/patty Fully Cooked Unheated</t>
  </si>
  <si>
    <t>Kielbasa Fully Cooked Grilled</t>
  </si>
  <si>
    <t>Kielbasa Sausage (Cooked)</t>
  </si>
  <si>
    <t>Kielbasa Fully Cooked Unheated</t>
  </si>
  <si>
    <t>Sausage Chicken Or Turkey Italian Style  Lower Sodium</t>
  </si>
  <si>
    <t>Ham Smoked Extra Lean Low Sodium</t>
  </si>
  <si>
    <t>Pork Sausage Reduced Sodium Cooked</t>
  </si>
  <si>
    <t>Sausage Pork Turkey And Beef Reduced Sodium</t>
  </si>
  <si>
    <t>General Mills Cheerios</t>
  </si>
  <si>
    <t>Post Cocoa Pebbles</t>
  </si>
  <si>
    <t>Quaker Quaker Crunchy Bran</t>
  </si>
  <si>
    <t>Ralston Crisp Rice</t>
  </si>
  <si>
    <t>Post Bran Flakes</t>
  </si>
  <si>
    <t>Post Honeycomb Cereal</t>
  </si>
  <si>
    <t>Quaker King Vitaman</t>
  </si>
  <si>
    <t>Quaker Quaker Oat Life Plain</t>
  </si>
  <si>
    <t>Quaker 100% Natural Granola Oats Wheat And Honey</t>
  </si>
  <si>
    <t>Ralston Tasteeos</t>
  </si>
  <si>
    <t>Post Honey Nut Shredded Wheat</t>
  </si>
  <si>
    <t>Malt-O-Meal Corn Bursts</t>
  </si>
  <si>
    <t>Toasted Wheat Germ</t>
  </si>
  <si>
    <t>Quaker Corn Grits Instant Plain Prepared (Microwaved Or Boiling Water Added) Without Salt</t>
  </si>
  <si>
    <t>Quaker Corn Grits Instant Cheddar Cheese Flavor Dry</t>
  </si>
  <si>
    <t>Quaker Instant Grits Country Bacon Flavor Dry</t>
  </si>
  <si>
    <t>Cream Of Rice Dry</t>
  </si>
  <si>
    <t>Cream Of Wheat Regular 10 Minute Cooking Dry</t>
  </si>
  <si>
    <t>Cream Of Wheat Instant Prepared With Water Without Salt</t>
  </si>
  <si>
    <t>Malt-O-Meal Original Plain Dry</t>
  </si>
  <si>
    <t>Oats Regular And Quick Not Fortified Dry</t>
  </si>
  <si>
    <t>Cooked Oatmeal</t>
  </si>
  <si>
    <t>Oats Instant Fortified With Cinnamon And Spice Prepared With Water</t>
  </si>
  <si>
    <t>Quaker Instant Oatmeal Maple And Brown Sugar Dry</t>
  </si>
  <si>
    <t>Oats Instant Fortified With Raisins And Spice Prepared With Water</t>
  </si>
  <si>
    <t>Malt-O-Meal Marshmallow Mateys</t>
  </si>
  <si>
    <t>Post Shredded Wheat Original Big Biscuit</t>
  </si>
  <si>
    <t>Post Shredded Wheat Original Spoon-Size</t>
  </si>
  <si>
    <t>Rice Puffed Fortified</t>
  </si>
  <si>
    <t>Wheat Puffed Fortified</t>
  </si>
  <si>
    <t>Cream Of Rice Cooked With Water With Salt</t>
  </si>
  <si>
    <t>Cream Of Wheat Regular (10 Minute) Cooked With Water With Salt</t>
  </si>
  <si>
    <t>Farina Unenriched Dry</t>
  </si>
  <si>
    <t>Farina Enriched Cooked With Water With Salt</t>
  </si>
  <si>
    <t>Post Shredded Wheat Lightly Frosted Spoon-Size</t>
  </si>
  <si>
    <t>Post Selects Blueberry Morning</t>
  </si>
  <si>
    <t>Oats Instant Fortified Maple And Brown Sugar Dry</t>
  </si>
  <si>
    <t>Quaker Whole Hearts Oat Cereal</t>
  </si>
  <si>
    <t>Quaker Weight Control Instant Oatmeal Maple And Brown Sugar</t>
  </si>
  <si>
    <t>Quaker Weight Control Instant Oatmeal Banana Bread</t>
  </si>
  <si>
    <t>Quaker Oatmeal Real Medleys Peach Almond Dry</t>
  </si>
  <si>
    <t>Quaker Oatmeal Real Medleys Cherry Pistachio Dry</t>
  </si>
  <si>
    <t>Quaker Instant Oatmeal Weight Control Cinnamon</t>
  </si>
  <si>
    <t>Moms Best Sweetened Wheat-Fuls</t>
  </si>
  <si>
    <t>Apples Raw Without Skin Cooked Boiled</t>
  </si>
  <si>
    <t>Apples Raw Without Skin Cooked Microwave</t>
  </si>
  <si>
    <t>Apples Canned Sweetened Sliced Drained Heated</t>
  </si>
  <si>
    <t>Apples Dehydrated (Low Moisture) Sulfured Uncooked</t>
  </si>
  <si>
    <t>Apples Frozen Unsweetened Heated</t>
  </si>
  <si>
    <t>Apple Juice</t>
  </si>
  <si>
    <t>Apple Juice Frozen Concentrate Unsweetened Undiluted Without Added Ascorbic Acid</t>
  </si>
  <si>
    <t>Apple Juice Frozen Concentrate Unsweetened Diluted With 3 Volume Water Without Added Ascorbic Acid</t>
  </si>
  <si>
    <t>Apricots Canned Water Pack Without Skin Solids And Liquids</t>
  </si>
  <si>
    <t>Apricots Canned Juice Pack With Skin Solids And Liquids</t>
  </si>
  <si>
    <t>Apricots Canned Extra Light Syrup Pack With Skin Solids And Liquids</t>
  </si>
  <si>
    <t>Apricots Canned Light Syrup Pack With Skin Solids And Liquids</t>
  </si>
  <si>
    <t>Apricots Dehydrated (Low-Moisture) Sulfured Stewed</t>
  </si>
  <si>
    <t>Dried Apricots</t>
  </si>
  <si>
    <t>Apricots Dried Sulfured Stewed Without Added Sugar</t>
  </si>
  <si>
    <t>Apricots Dried Sulfured Stewed With Added Sugar</t>
  </si>
  <si>
    <t>Bananas</t>
  </si>
  <si>
    <t>Dried Bananas</t>
  </si>
  <si>
    <t>Blackberries</t>
  </si>
  <si>
    <t>Blackberry Juice Canned</t>
  </si>
  <si>
    <t>Blueberries Canned Heavy Syrup Solids And Liquids</t>
  </si>
  <si>
    <t>Wild Blueberries (Frozen)</t>
  </si>
  <si>
    <t>Blueberries (Frozen)</t>
  </si>
  <si>
    <t>Blueberries Frozen Sweetened</t>
  </si>
  <si>
    <t>Carissa</t>
  </si>
  <si>
    <t>Cherimoya</t>
  </si>
  <si>
    <t>Sour Red Cherries</t>
  </si>
  <si>
    <t>Cherries Sour Red Canned Water Pack Solids And Liquids (Includes USDA Commodity Red Tart Cherries Canned)</t>
  </si>
  <si>
    <t>Cherries Sour Red Canned Light Syrup Pack Solids And Liquids</t>
  </si>
  <si>
    <t>Cherries Sweet Canned Water Pack Solids And Liquids</t>
  </si>
  <si>
    <t>Cherries Sweet Canned Juice Pack Solids And Liquids</t>
  </si>
  <si>
    <t>Cherries Sweet Canned Light Syrup Pack Solids And Liquids</t>
  </si>
  <si>
    <t>Cherries Sweet Canned Pitted Heavy Syrup Pack Solids And Liquids</t>
  </si>
  <si>
    <t>Cranberry Sauce Canned Sweetened</t>
  </si>
  <si>
    <t>Cranberry-Orange Relish Canned</t>
  </si>
  <si>
    <t>European Black Currants</t>
  </si>
  <si>
    <t>Red And White Currants</t>
  </si>
  <si>
    <t>Beef Australian Imported Grass-Fed Loin Tenderloin Steak/roast Boneless Separable Lean Only Raw</t>
  </si>
  <si>
    <t>Beef Australian Imported Wagyu Loin Tenderloin Steak/roast Boneless Separable Lean Only Aust. Marble Score 4/5 Raw</t>
  </si>
  <si>
    <t>Beef Australian Imported Wagyu External Fat Aust. Marble Score 9 Raw</t>
  </si>
  <si>
    <t>Beef Australian Imported Wagyu Seam Fat Aust. Marble Score 9 Raw</t>
  </si>
  <si>
    <t>Beef Australian Imported Grass-Fed Loin Tenderloin Steak/roast Boneless Separable Lean And Fat Raw</t>
  </si>
  <si>
    <t>Beef Australian Imported Grass-Fed Loin Top Loin Steak/roast Boneless Separable Lean Only Raw</t>
  </si>
  <si>
    <t>Beef Australian Imported Grass-Fed Round Bottom Round Steak/roast Boneless Separable Lean Only Raw</t>
  </si>
  <si>
    <t>Beef Australian Imported Grass-Fed Round Top Round Cap-Off Steak/roast Boneless Separable Lean Only Raw</t>
  </si>
  <si>
    <t>Beef Australian Imported Wagyu Loin Tenderloin Steak/roast Boneless Separable Lean Only Aust. Marble Score 9 Raw</t>
  </si>
  <si>
    <t>Beef Australian Imported Wagyu Loin Top Loin Steak/roast Boneless Separable Lean Only Aust. Marble Score 4/5 Raw</t>
  </si>
  <si>
    <t>Beef Australian Imported Grass-Fed Rib Ribeye Steak/roast Lip-On Boneless Separable Lean And Fat Raw</t>
  </si>
  <si>
    <t>Beef Australian Imported Grass-Fed Round Bottom Round Steak/roast Boneless Separable Lean And Fat Raw</t>
  </si>
  <si>
    <t>Beef Australian Imported Grass-Fed Round Top Round Cap-Off Steak/roast Boneless Separable Lean And Fat Raw</t>
  </si>
  <si>
    <t>Beef Australian Imported Wagyu Loin Top Loin Steak/roast Boneless Separable Lean And Fat Aust. Marble Score 4/5 Raw</t>
  </si>
  <si>
    <t>Beef Australian Imported Wagyu Loin Top Loin Steak/roast Separable Lean And Fat Aust. Marble Score 9 Raw</t>
  </si>
  <si>
    <t>Beef Round Top Round Steak Boneless Separable Lean And Fat Trimmed To 0 Inch Fat Choice Raw</t>
  </si>
  <si>
    <t>Beef Round Top Round Steak Boneless Separable Lean And Fat Trimmed To 0 Inch Fat Select Raw</t>
  </si>
  <si>
    <t>Beef Round Top Round Roast Boneless Separable Lean And Fat Trimmed To 0 Inch Fat All Grades Raw</t>
  </si>
  <si>
    <t>Beef Round Top Round Roast Boneless Separable Lean And Fat Trimmed To 0 Inch Fat Choice Raw</t>
  </si>
  <si>
    <t>Beef Round Eye Of Round Steak Boneless Separable Lean And Fat Trimmed To 0 Inch Fat All Grades Raw</t>
  </si>
  <si>
    <t>Beef Round Eye Of Round Steak Boneless Separable Lean And Fat Trimmed To 0 Inch Fat Choice Raw</t>
  </si>
  <si>
    <t>Beef Round Eye Of Round Steak Boneless Separable Lean And Fat Trimmed To 0 Inch Fat Select Raw</t>
  </si>
  <si>
    <t>Beef Loin Tenderloin Roast Boneless Separable Lean And Fat Trimmed To 0 Inch Fat All Grades Raw</t>
  </si>
  <si>
    <t>Beef Loin Tenderloin Steak Boneless Separable Lean And Fat Trimmed To 0 Inch Fat All Grades Raw</t>
  </si>
  <si>
    <t>Beef Loin Tenderloin Steak Boneless Separable Lean And Fat Trimmed To 0 Inch Fat Choice Raw</t>
  </si>
  <si>
    <t>Beef Loin Tenderloin Steak Boneless Separable Lean And Fat Trimmed To 0 Inch Fat Select Raw</t>
  </si>
  <si>
    <t>Beef Loin Tenderloin Roast Boneless Separable Lean And Fat Trimmed To 0 Inch Fat All Grades Cooked Roasted</t>
  </si>
  <si>
    <t>Beef Round Top Round Roast Boneless Separable Lean And Fat Trimmed To 0 Inch Fat Select Cooked Roasted</t>
  </si>
  <si>
    <t>Beef Round Eye Of Round Steak Boneless Separable Lean And Fat Trimmed To 0 Inch Fat All Grades Cooked Grilled</t>
  </si>
  <si>
    <t>Beef Round Eye Of Round Steak Boneless Separable Lean And Fat Trimmed To 0 Inch Fat Choice Cooked Grilled</t>
  </si>
  <si>
    <t>Beef Round Eye Of Round Steak Boneless Separable Lean And Fat Trimmed To 0 Inch Fat Select Cooked Grilled</t>
  </si>
  <si>
    <t>Beef Round Top Round Roast Boneless Separable Lean Only Trimmed To 0 Inch Fat Choice Raw</t>
  </si>
  <si>
    <t>Beef Round Top Round Roast Boneless Separable Lean Only Trimmed To 0 Inch Fat Select Raw</t>
  </si>
  <si>
    <t>Beef Round Eye Of Round Roast Boneless Separable Lean Only Trimmed To 0 Inch Fat All Grades Raw</t>
  </si>
  <si>
    <t>Beef Round Eye Of Round Roast Boneless Separable Lean Only Trimmed To 0 Inch Fat Choice Raw</t>
  </si>
  <si>
    <t>Beef Loin Tenderloin Roast Boneless Separable Lean Only Trimmed To 0 Inch Fat Choice Raw</t>
  </si>
  <si>
    <t>Beef Loin Tenderloin Roast Boneless Separable Lean Only Trimmed To 0 Inch Fat Select Raw</t>
  </si>
  <si>
    <t>Beef Loin Top Loin Steak Boneless Lip Off Separable Lean Only Trimmed To 0 Inch Fat All Grades Raw</t>
  </si>
  <si>
    <t>Beef Loin Top Loin Steak Boneless Lip Off Separable Lean Only Trimmed To 0 Inch Fat Choice Raw</t>
  </si>
  <si>
    <t>Beef Loin Tenderloin Roast Boneless Separable Lean Only Trimmed To 0 Inch Fat All Grades Cooked Roasted</t>
  </si>
  <si>
    <t>Beef Loin Tenderloin Roast Boneless Separable Lean Only Trimmed To 0 Inch Fat Choice Cooked Roasted</t>
  </si>
  <si>
    <t>Beef Loin Tenderloin Roast Separable Lean Only Boneless Trimmed To 0 Inch Fat Select Cooked Roasted</t>
  </si>
  <si>
    <t>Beef Round Top Round Roast Boneless Separable Lean Only Trimmed To 0 Inch Fat All Grades Cooked Roasted</t>
  </si>
  <si>
    <t>Beef Round Eye Of Round Steak Boneless Separable Lean Only Trimmed To 0 Inch Fat Select Cooked Grilled</t>
  </si>
  <si>
    <t>Beef Loin Top Loin Steak Boneless Lip-On Separable Lean Only Trimmed To 1/8 Inch Fat Select Raw</t>
  </si>
  <si>
    <t>Beef Loin Top Loin Steak Boneless Lip-On Separable Lean Only Trimmed To 1/8 Inch Fat Choice Raw</t>
  </si>
  <si>
    <t>Beef Loin Top Loin Steak Boneless Lip-On Separable Lean Only Trimmed To 1/8 Inch Fat All Grades Raw</t>
  </si>
  <si>
    <t>Beef Composite Of Trimmed Retail Cuts Separable Lean Only Trimmed To 1/8 Inch Fat Choice Raw</t>
  </si>
  <si>
    <t>Beef Composite Separable Lean Only Trimmed To 1/8 Inch Fat Choice Cooked</t>
  </si>
  <si>
    <t>Beef Composite Of Trimmed Retail Cuts Separable Lean And Fat Trimmed To 0 Inch Fat Choice Raw</t>
  </si>
  <si>
    <t>Beef Composite Of Trimmed Retail Cuts Separable Lean Only Trimmed To 0 Inch Fat Choice Raw</t>
  </si>
  <si>
    <t>Beef Chuck Mock Tender Steak Separable Lean Only Trimmed To 0 Inch Fat All Grades Cooked Broiled</t>
  </si>
  <si>
    <t>Beef Chuck Top Blade Separable Lean Only Trimmed To 0 Inch Fat All Grades Cooked Broiled</t>
  </si>
  <si>
    <t>Beef Chuck Clod Roast Separable Lean Only Trimmed To 1/4 Inch Fat All Grades Raw</t>
  </si>
  <si>
    <t>Beef Chuck Clod Roast Separable Lean Only Trimmed To 0 Inch Fat All Grades Cooked Roasted</t>
  </si>
  <si>
    <t>Beef Chuck Mock Tender Steak Separable Lean And Fat Trimmed To 0 Inch Fat USDA Select Cooked Broiled</t>
  </si>
  <si>
    <t>Beef Chuck Top Blade Separable Lean And Fat Trimmed To 0 Inch Fat Choice Cooked Broiled</t>
  </si>
  <si>
    <t>Beef Chuck Top Blade Separable Lean And Fat Trimmed To 0 Inch Fat Select Cooked Broiled</t>
  </si>
  <si>
    <t>Beef Chuck Clod Roast Separable Lean And Fat Trimmed To 0 Inch Fat Choice Cooked Roasted</t>
  </si>
  <si>
    <t>Beef Loin Bottom Sirloin Butt Tri-Tip Steak Separable Lean And Fat Trimmed To 0 Inch Fat All Grades Cooked Broiled</t>
  </si>
  <si>
    <t>Beef Chuck Mock Tender Steak Separable Lean And Fat Trimmed To 0 Inch Fat All Grades Cooked Broiled</t>
  </si>
  <si>
    <t>Beef Chuck Top Blade Separable Lean And Fat Trimmed To 0 Inch Fat All Grades Cooked Broiled</t>
  </si>
  <si>
    <t>Beef Chuck Clod Roast Separable Lean And Fat Trimmed To 0 Inch Fat All Grades Cooked Roasted</t>
  </si>
  <si>
    <t>Beef Ground 95% Lean Meat / 5% Fat Crumbles Cooked Pan-Browned</t>
  </si>
  <si>
    <t>Beef Ground 95% Lean Meat / 5% Fat Loaf Cooked Baked</t>
  </si>
  <si>
    <t>Beef Ground 90% Lean Meat / 10% Fat Raw</t>
  </si>
  <si>
    <t>Beef Ground 90% Lean Meat / 10% Fat Patty Cooked Broiled</t>
  </si>
  <si>
    <t>Beef Ground 85% Lean Meat / 15% Fat Patty Cooked Broiled</t>
  </si>
  <si>
    <t>Beef Ground 85% Lean Meat / 15% Fat Patty Cooked Pan-Broiled</t>
  </si>
  <si>
    <t>Beef Ground 85% Lean Meat / 15% Fat Crumbles Cooked Pan-Browned</t>
  </si>
  <si>
    <t>Beef Ground 85% Lean Meat / 15% Fat Loaf Cooked Baked</t>
  </si>
  <si>
    <t>Beef Ground 80% Lean Meat / 20% Fat Raw</t>
  </si>
  <si>
    <t>Beef Ground 75% Lean Meat / 25% Fat Raw</t>
  </si>
  <si>
    <t>Beef Ground 75% Lean Meat / 25% Fat Patty Cooked Broiled</t>
  </si>
  <si>
    <t>Beef Ground 75% Lean Meat / 25% Fat Patty Cooked Pan-Broiled</t>
  </si>
  <si>
    <t>Beef Ground 75% Lean Meat / 25% Fat Crumbles Cooked Pan-Browned</t>
  </si>
  <si>
    <t>Beef Short Loin Top Loin Steak Separable Lean Only Trimmed To 1/8 Inch Fat Select Raw</t>
  </si>
  <si>
    <t>Beef Rib Small End (Ribs 10-12) Separable Lean Only Trimmed To 1/8 Inch Fat Select Cooked Broiled</t>
  </si>
  <si>
    <t>Beef Tenderloin Steak Separable Lean Only Trimmed To 1/8 Inch Fat Select Cooked Broiled</t>
  </si>
  <si>
    <t>Beef Top Sirloin Steak Separable Lean Only Trimmed To 1/8 Inch Fat Select Cooked Broiled</t>
  </si>
  <si>
    <t>Beef Round Bottom Round Steak Separable Lean Only Trimmed To 1/8 Inch Fat Select Cooked Braised</t>
  </si>
  <si>
    <t>Beef Round Bottom Round Roast Separable Lean Only Trimmed To 1/8 Inch Fat All Grades Raw</t>
  </si>
  <si>
    <t>Beef Brisket Flat Half Separable Lean Only Trimmed To 1/8 Inch Fat All Grades Cooked Braised</t>
  </si>
  <si>
    <t>Beef Brisket Flat Half Separable Lean Only Trimmed To 1/8 Inch Fat All Grades Raw</t>
  </si>
  <si>
    <t>Beef Round Eye Of Round Roast Separable Lean Only Trimmed To 1/8 Inch Fat All Grades Raw</t>
  </si>
  <si>
    <t>Beef Chuck Arm Pot Roast Separable Lean Only Trimmed To 1/8 Inch Fat All Grades Cooked Braised</t>
  </si>
  <si>
    <t>Beef Chuck Arm Pot Roast Separable Lean Only Trimmed To 1/8 Inch Fat All Grades Raw</t>
  </si>
  <si>
    <t>Beef Round Bottom Round Roast Separable Lean Only Trimmed To 1/8 Inch Fat All Grades Cooked</t>
  </si>
  <si>
    <t>Beef Round Bottom Round Steak Separable Lean Only Trimmed To 1/8 Inch Fat All Grades Cooked Braised</t>
  </si>
  <si>
    <t>Beef Top Sirloin Steak Separable Lean Only Trimmed To 1/8 Inch Fat All Grades Cooked Broiled</t>
  </si>
  <si>
    <t>Beef Top Sirloin Steak Separable Lean Only Trimmed To 1/8 Inch Fat All Grades Raw</t>
  </si>
  <si>
    <t>Beef Chuck Arm Pot Roast Separable Lean Only Trimmed To 1/8 Inch Fat Choice Raw</t>
  </si>
  <si>
    <t>Beef Brisket Flat Half Separable Lean Only Trimmed To 1/8 Inch Fat Choice Raw</t>
  </si>
  <si>
    <t>Beef Round Bottom Round Roast Separable Lean Only Trimmed To 1/8 Inch Fat Choice Raw</t>
  </si>
  <si>
    <t>Beef Round Bottom Round Roast Separable Lean Only Trimmed To 1/8 Inch Fat Choice Cooked Roasted</t>
  </si>
  <si>
    <t>Beef Round Eye Of Round Roast Separable Lean Only Trimmed To 1/8 Inch Fat Choice Cooked Roasted</t>
  </si>
  <si>
    <t>Beef Round Top Round Steak Separable Lean Only Trimmed To 1/8 Inch Fat Choice Cooked Broiled</t>
  </si>
  <si>
    <t>Soup Clam Chowder New England Canned Ready-To-Serve</t>
  </si>
  <si>
    <t>Soup Clam Chowder New England Reduced Sodium Canned Ready-To-Serve</t>
  </si>
  <si>
    <t>Soup Chicken Noodle Reduced Sodium Canned Ready-To-Serve</t>
  </si>
  <si>
    <t>Soup Beef And Vegetables Reduced Sodium Canned Ready-To-Serve</t>
  </si>
  <si>
    <t>Sauce Sweet And Sour Ready-To-Serve</t>
  </si>
  <si>
    <t>Sauce Cocktail Ready-To-Serve</t>
  </si>
  <si>
    <t>Dip Salsa Con Queso Cheese And Salsa- Medium</t>
  </si>
  <si>
    <t>Dip Tostitos Salsa Con Queso Medium</t>
  </si>
  <si>
    <t>Sauce Peanut Made From Peanut Butter Water Soy Sauce</t>
  </si>
  <si>
    <t>Soup Chunky Vegetable Reduced Sodium Canned Ready-To-Serve</t>
  </si>
  <si>
    <t>Gravy Heinz Home Style Classic Chicken</t>
  </si>
  <si>
    <t>Soup Beef Barley Ready To Serve</t>
  </si>
  <si>
    <t>Sauce Enchilada Red Mild Ready To Serve</t>
  </si>
  <si>
    <t>Bread Chapati Or Roti Whole Wheat Commercially Prepared Frozen</t>
  </si>
  <si>
    <t>Bread Paratha Whole Wheat Commercially Prepared Frozen</t>
  </si>
  <si>
    <t>Bread Naan Whole Wheat Commercially Prepared Refrigerated</t>
  </si>
  <si>
    <t>Bread Roll Mexican Bollilo</t>
  </si>
  <si>
    <t>Cookie Butter Or Sugar With Chocolate Icing Or Filling</t>
  </si>
  <si>
    <t>Cookie Chocolate With Icing Or Coating</t>
  </si>
  <si>
    <t>Tortillas Ready-To-Bake Or -Fry Whole Wheat</t>
  </si>
  <si>
    <t>Cake Snack Cakes Creme-Filled Chocolate With Frosting Low-Fat With Added Fiber</t>
  </si>
  <si>
    <t>Cookies Graham Crackers Plain Or Honey Lowfat</t>
  </si>
  <si>
    <t>Crackers Cheese Whole Grain</t>
  </si>
  <si>
    <t>Waffles Whole Wheat Lowfat Frozen Ready-To-Heat</t>
  </si>
  <si>
    <t>Pancakes Plain Reduced Fat</t>
  </si>
  <si>
    <t>Cookies Shortbread Reduced Fat</t>
  </si>
  <si>
    <t>Cookies Sugar Wafer Chocolate-Covered</t>
  </si>
  <si>
    <t>Rolls Hamburger Or Hot Dog Wheat/cracked Wheat</t>
  </si>
  <si>
    <t>Rolls Hamburger Or Hot Dog Whole Wheat</t>
  </si>
  <si>
    <t>Bread French Or Vienna Whole Wheat</t>
  </si>
  <si>
    <t>Bagels Whole Grain White</t>
  </si>
  <si>
    <t>English Muffins Whole Grain White</t>
  </si>
  <si>
    <t>Rolls Hamburger Whole Grain White Calcium-Fortified</t>
  </si>
  <si>
    <t>Cookies Chocolate Chip Sandwich With Creme Filling</t>
  </si>
  <si>
    <t>Cookies Chocolate Made With Rice Cereal</t>
  </si>
  <si>
    <t>Cookies Marshmallow With Rice Cereal And Chocolate Chips</t>
  </si>
  <si>
    <t>Crackers Flavored Fish-Shaped</t>
  </si>
  <si>
    <t>Bread Gluten-Free White Made With Potato Extract Rice Starch And Rice Flour</t>
  </si>
  <si>
    <t>Bread Gluten-Free White Made With Rice Flour Corn Starch And/or Tapioca</t>
  </si>
  <si>
    <t>Bread Gluten-Free White Made With Tapioca Starch And Brown Rice Flour</t>
  </si>
  <si>
    <t>Bread Gluten-Free Whole Grain Made With Tapioca Starch And Brown Rice Flour</t>
  </si>
  <si>
    <t>Crackers Gluten-Free Multigrain And Vegetable Made With Corn Starch And White Rice Flour</t>
  </si>
  <si>
    <t>Crackers Gluten-Free Multi-Seeded And Multigrain</t>
  </si>
  <si>
    <t>Waffles Gluten-Free Frozen Ready-To-Heat</t>
  </si>
  <si>
    <t>Pancakes Gluten-Free Frozen Ready-To-Heat</t>
  </si>
  <si>
    <t>Rolls Dinner Sweet</t>
  </si>
  <si>
    <t>Citrus Energy Drink</t>
  </si>
  <si>
    <t>Mouvedre Wine</t>
  </si>
  <si>
    <t>Chardonnay</t>
  </si>
  <si>
    <t>Kiwi Strawberry Juice Drink</t>
  </si>
  <si>
    <t>Motts Light Apple Juice</t>
  </si>
  <si>
    <t>Mixed Berry Powerade Zero</t>
  </si>
  <si>
    <t>Carob-Flavor Beverage Mix Powder</t>
  </si>
  <si>
    <t>Carob-Flavor Beverage Mix Powder Prepared With Whole Milk</t>
  </si>
  <si>
    <t>Coconut Milk Sweetened Fortified With Calcium Vitamins A B12 D2</t>
  </si>
  <si>
    <t>Chocolate Syrup</t>
  </si>
  <si>
    <t>Chocolate Syrup Prepared With Whole Milk</t>
  </si>
  <si>
    <t>Ice Mocha</t>
  </si>
  <si>
    <t>Oolong Tea</t>
  </si>
  <si>
    <t>Citrus Green Tea</t>
  </si>
  <si>
    <t>Cocoa Mix Powder</t>
  </si>
  <si>
    <t>Cocoa Mix Powder Prepared With Water</t>
  </si>
  <si>
    <t>Cocoa Mix Nestle Hot Cocoa Mix Rich Chocolate With Marshmallows</t>
  </si>
  <si>
    <t>Coffee Brewed Espresso Restaurant-Prepared Decaffeinated</t>
  </si>
  <si>
    <t>Coffee Instant Regular Half The Caffeine</t>
  </si>
  <si>
    <t>Coffee And Cocoa Instant Decaffeinated With Whitener And Low Calorie Sweetener</t>
  </si>
  <si>
    <t>Tea Green Ready-To-Drink Sweetened</t>
  </si>
  <si>
    <t>Tea Ready-To-Drink Lemon Diet</t>
  </si>
  <si>
    <t>Instant Coffee (Prepared With Water)</t>
  </si>
  <si>
    <t>Aloe Vera Juice Drink Fortified With Vitamin C</t>
  </si>
  <si>
    <t>Ocean Spray Cran Grape</t>
  </si>
  <si>
    <t>Coffee Instant Decaffeinated Powder</t>
  </si>
  <si>
    <t>Coffee Instant Chicory</t>
  </si>
  <si>
    <t>Coffee Instant Mocha Sweetened</t>
  </si>
  <si>
    <t>Ocean Spray Light Cranberry And Raspberry Flavored Juice</t>
  </si>
  <si>
    <t>Ocean Spray White Cranberry Strawberry Flavored Juice Drink</t>
  </si>
  <si>
    <t>Coffee Substitute Cereal Grain Beverage Powder</t>
  </si>
  <si>
    <t>Coffee Substitute Cereal Grain Beverage Prepared With Water</t>
  </si>
  <si>
    <t>Cranberry-Apple Juice Drink Bottled</t>
  </si>
  <si>
    <t>Alcoholic Beverage Malt Beer Hard Lemonade</t>
  </si>
  <si>
    <t>Cranberry-Apricot Juice Drink Bottled</t>
  </si>
  <si>
    <t>Tea Green Instant Decaffeinated Lemon Unsweetened Fortified With Vitamin C</t>
  </si>
  <si>
    <t>Black Tea (Ready To Drink)</t>
  </si>
  <si>
    <t>Alcoholic Beverage Beer Light Higher Alcohol</t>
  </si>
  <si>
    <t>Amber Hard Cider</t>
  </si>
  <si>
    <t>Ocean Spray Cran Cherry</t>
  </si>
  <si>
    <t>Ocean Spray Light Cranberry</t>
  </si>
  <si>
    <t>Ocean Spray White Cranberry Peach</t>
  </si>
  <si>
    <t>Ocean Spray Light Cranberry Concord Grape</t>
  </si>
  <si>
    <t>Fruit Punch Drink With Added Nutrients Canned</t>
  </si>
  <si>
    <t>Fruit Punch Drink Frozen Concentrate</t>
  </si>
  <si>
    <t>Fruit Punch Drink Frozen Concentrate Prepared With Water</t>
  </si>
  <si>
    <t>Coffee Instant Vanilla Sweetened Decaffeinated With Non Dairy Creamer</t>
  </si>
  <si>
    <t>Tea Black Brewed Prepared With Distilled Water</t>
  </si>
  <si>
    <t>Tea Herb Brewed Chamomile</t>
  </si>
  <si>
    <t>Wine Non-Alcoholic</t>
  </si>
  <si>
    <t>Bottled Water</t>
  </si>
  <si>
    <t>Chocolate-Flavor Beverage Mix For Milk Powder With Added Nutrients</t>
  </si>
  <si>
    <t>Chocolate-Flavor Beverage Mix For Milk Powder With Added Nutrients Prepared With Whole Milk</t>
  </si>
  <si>
    <t>Water With Added Vitamins And Minerals Bottles Sweetened Assorted Fruit Flavors</t>
  </si>
  <si>
    <t>V8 Splash Juice Drinks Diet Berry Blend</t>
  </si>
  <si>
    <t>V8 Splash Juice Drinks Diet Fruit Medley</t>
  </si>
  <si>
    <t>V8 Splash Juice Drinks Diet Strawberry Kiwi</t>
  </si>
  <si>
    <t>V8 Splash Juice Drinks Mango Peach</t>
  </si>
  <si>
    <t>V8 Splash Juice Drinks Orange Pineapple</t>
  </si>
  <si>
    <t>V8 Splash Juice Drinks Orchard Blend</t>
  </si>
  <si>
    <t>V8 Splash Juice Drinks Strawberry Banana</t>
  </si>
  <si>
    <t>V8 V-Fusion Juices Tropical</t>
  </si>
  <si>
    <t>V8 V- Fusion Juices Acai Berry</t>
  </si>
  <si>
    <t>Energy Drink Amp</t>
  </si>
  <si>
    <t>Energy Drink Full Throttle</t>
  </si>
  <si>
    <t>Vegetable And Fruit Juice Drink Reduced Calorie With Low-Calorie Sweetener Added Vitamin C</t>
  </si>
  <si>
    <t>Milk Beverage Reduced Fat Flavored And Sweetened Ready-To-Drink  Added Calcium Vitamin A And Vitamin D</t>
  </si>
  <si>
    <t>Vegetable And Fruit Juice Blend 100% Juice With Added Vitamins A C E</t>
  </si>
  <si>
    <t>Fruit Juice Drink Reduced Sugar With Vitamin E Added</t>
  </si>
  <si>
    <t>Energy Drink Vault Zero Sugar-Free Citrus Flavor</t>
  </si>
  <si>
    <t>Pepsico Quaker Gatorade G2 Low Calorie</t>
  </si>
  <si>
    <t>Fruit Flavored Drink Less Than 3% Juice Not Fortified With Vitamin C</t>
  </si>
  <si>
    <t>Fruit Flavored Drink Containing Less Than 3% Fruit Juice With High Vitamin C</t>
  </si>
  <si>
    <t>Nutritional Shake Mix High Protein Powder</t>
  </si>
  <si>
    <t>Anchovies (Raw)</t>
  </si>
  <si>
    <t>Canned Anchovies</t>
  </si>
  <si>
    <t>Fresh Water Bass (Raw)</t>
  </si>
  <si>
    <t>Fish Carp Cooked Dry Heat</t>
  </si>
  <si>
    <t>Fish Catfish Channel Wild Raw</t>
  </si>
  <si>
    <t>Fish Catfish Channel Cooked Breaded And Fried</t>
  </si>
  <si>
    <t>Fish Caviar Black And Red Granular</t>
  </si>
  <si>
    <t>Canned Atlantic Cod</t>
  </si>
  <si>
    <t>Dried Salted Atlantic Cod</t>
  </si>
  <si>
    <t>Fish Cod Pacific Raw (May Have Been Previously Frozen)</t>
  </si>
  <si>
    <t>Fish Croaker Atlantic Raw</t>
  </si>
  <si>
    <t>Fish Eel Mixed Species Raw</t>
  </si>
  <si>
    <t>Cooked Eel</t>
  </si>
  <si>
    <t>Fish Fish Sticks Frozen Prepared</t>
  </si>
  <si>
    <t>Fish Flatfish (Flounder And Sole Species) Raw</t>
  </si>
  <si>
    <t>Flat Fish (Flounder Or Sole)</t>
  </si>
  <si>
    <t>Cooked Haddock</t>
  </si>
  <si>
    <t>Smoked Haddock</t>
  </si>
  <si>
    <t>Fish Halibut Atlantic And Pacific Raw</t>
  </si>
  <si>
    <t>Cooked Halibut</t>
  </si>
  <si>
    <t>Alaskan King Crab</t>
  </si>
  <si>
    <t>Imitation Crab Meat</t>
  </si>
  <si>
    <t>Crustaceans Crab Blue Raw</t>
  </si>
  <si>
    <t>Blue Crab</t>
  </si>
  <si>
    <t>Crustaceans Crayfish Mixed Species Wild Raw</t>
  </si>
  <si>
    <t>Crayfish</t>
  </si>
  <si>
    <t>Crustaceans Lobster Northern Raw</t>
  </si>
  <si>
    <t>Lobster (Cooked)</t>
  </si>
  <si>
    <t>Crustaceans Shrimp Mixed Species Raw (May Have Been Previously Frozen)</t>
  </si>
  <si>
    <t>Crustaceans Spiny Lobster Mixed Species Raw</t>
  </si>
  <si>
    <t>Mollusks Abalone Mixed Species Raw</t>
  </si>
  <si>
    <t>Abalone (Cooked)</t>
  </si>
  <si>
    <t>Clams (Raw)</t>
  </si>
  <si>
    <t>Mollusks Cuttlefish Mixed Species Raw</t>
  </si>
  <si>
    <t>Mollusks Mussel Blue Raw</t>
  </si>
  <si>
    <t>Cooked Blue Mussels</t>
  </si>
  <si>
    <t>Mollusks Octopus Common Raw</t>
  </si>
  <si>
    <t>Raw Pacific Oysters</t>
  </si>
  <si>
    <t>Raw Scallops</t>
  </si>
  <si>
    <t>Mollusks Scallop Mixed Species Cooked Breaded And Fried</t>
  </si>
  <si>
    <t>Mollusks Scallop Mixed Species Imitation Made From Surimi</t>
  </si>
  <si>
    <t>Squid (Raw)</t>
  </si>
  <si>
    <t>Fish Salmon Chum Canned Without Salt Drained Solids With Bone</t>
  </si>
  <si>
    <t>Fish Salmon Pink Canned Without Salt Solids With Bone And Liquid</t>
  </si>
  <si>
    <t>Canned Sockeye Salmon (With Bones)</t>
  </si>
  <si>
    <t>Fish Tuna Light Canned In Oil Without Salt Drained Solids</t>
  </si>
  <si>
    <t>Cooked Striped Bass</t>
  </si>
  <si>
    <t>Fish Bluefish Cooked Dry Heat</t>
  </si>
  <si>
    <t>Fish Burbot Cooked Dry Heat</t>
  </si>
  <si>
    <t>Fish Butterfish Cooked Dry Heat</t>
  </si>
  <si>
    <t>Fish Halibut Greenland Cooked Dry Heat</t>
  </si>
  <si>
    <t>Cooked Pacific Herring</t>
  </si>
  <si>
    <t>Fish Ling Cooked Dry Heat</t>
  </si>
  <si>
    <t>Cooked Lingcod</t>
  </si>
  <si>
    <t>Cooked King Mackerel</t>
  </si>
  <si>
    <t>Cooked Pollock</t>
  </si>
  <si>
    <t>Fish Pout Ocean Cooked Dry Heat</t>
  </si>
  <si>
    <t>Fish Roe (Cooked)</t>
  </si>
  <si>
    <t>Cooked Sablefish</t>
  </si>
  <si>
    <t>Fish Scup Cooked Dry Heat</t>
  </si>
  <si>
    <t>Fish Seatrout Mixed Species Cooked Dry Heat</t>
  </si>
  <si>
    <t>Fish Shad American Cooked Dry Heat</t>
  </si>
  <si>
    <t>Fish Spot Cooked Dry Heat</t>
  </si>
  <si>
    <t>Cooked Turbot</t>
  </si>
  <si>
    <t>Cooked Whitefish</t>
  </si>
  <si>
    <t>Fish Wolffish Atlantic Cooked Dry Heat</t>
  </si>
  <si>
    <t>Cooked Yellowtail</t>
  </si>
  <si>
    <t>Octopus (Cooked)</t>
  </si>
  <si>
    <t>Cooked Pacific Oysters</t>
  </si>
  <si>
    <t>Cooked Orange Roughy</t>
  </si>
  <si>
    <t>Lima Beans Large Mature Seeds Raw</t>
  </si>
  <si>
    <t>Lima Beans</t>
  </si>
  <si>
    <t>Canned Mature (White) Lima Beans</t>
  </si>
  <si>
    <t>Lima Beans Thin Seeded (Baby) Mature Seeds Raw</t>
  </si>
  <si>
    <t>Mung Beans Mature Seeds Raw</t>
  </si>
  <si>
    <t>Mung Beans (Cooked)</t>
  </si>
  <si>
    <t>Noodles Chinese Cellophane Or Long Rice (Mung Beans) Dehydrated</t>
  </si>
  <si>
    <t>Mungo Beans Mature Seeds Raw</t>
  </si>
  <si>
    <t>Peanuts All Types Cooked Boiled With Salt</t>
  </si>
  <si>
    <t>Peanuts All Types Oil-Roasted With Salt</t>
  </si>
  <si>
    <t>Peanuts All Types Dry-Roasted With Salt</t>
  </si>
  <si>
    <t>Peanuts Spanish Raw</t>
  </si>
  <si>
    <t>Peanuts Virginia Oil-Roasted With Salt</t>
  </si>
  <si>
    <t>Peanut Butter Chunk Style With Salt</t>
  </si>
  <si>
    <t>Peanut Butter Smooth Style With Salt</t>
  </si>
  <si>
    <t>Peanut Flour Defatted</t>
  </si>
  <si>
    <t>Meat Extender</t>
  </si>
  <si>
    <t>Sausage Meatless</t>
  </si>
  <si>
    <t>Soybeans Mature Seeds Raw</t>
  </si>
  <si>
    <t>Boiled Soybeans (Edamame)</t>
  </si>
  <si>
    <t>Tempeh</t>
  </si>
  <si>
    <t>Soy Flour Full-Fat Raw</t>
  </si>
  <si>
    <t>Soy Flour Full-Fat Roasted</t>
  </si>
  <si>
    <t>Soy Flour Defatted</t>
  </si>
  <si>
    <t>Soy Protein Powder (Isolate)</t>
  </si>
  <si>
    <t>Soy Sauce</t>
  </si>
  <si>
    <t>Tamari</t>
  </si>
  <si>
    <t>Soy Sauce Made From Hydrolyzed Vegetable Protein</t>
  </si>
  <si>
    <t>Stinky Tofu</t>
  </si>
  <si>
    <t>Yardlong Beans Mature Seeds Raw</t>
  </si>
  <si>
    <t>Yardlong Beans Mature Seeds Cooked Boiled Without Salt</t>
  </si>
  <si>
    <t>Winged Beans Mature Seeds Raw</t>
  </si>
  <si>
    <t>Lentils Pink Or Red Raw</t>
  </si>
  <si>
    <t>Beans Kidney Red Mature Seeds Canned Drained Solids</t>
  </si>
  <si>
    <t>Beans Pinto Canned Drained Solids</t>
  </si>
  <si>
    <t>Veggie Burgers</t>
  </si>
  <si>
    <t>Chickpea Flour (Besan)</t>
  </si>
  <si>
    <t>Hummus (Commercial)</t>
  </si>
  <si>
    <t>Tofu Extra Firm Prepared With Nigari</t>
  </si>
  <si>
    <t>Tofu Hard Prepared With Nigari</t>
  </si>
  <si>
    <t>Mori-Nu Tofu Silken Soft</t>
  </si>
  <si>
    <t>Soy Milk Chocolate Unfortified</t>
  </si>
  <si>
    <t>Peanut Butter (Smooth)</t>
  </si>
  <si>
    <t>Fortified Chocolate Soy Milk</t>
  </si>
  <si>
    <t>Canned Refried Beans</t>
  </si>
  <si>
    <t>Vitasoy Usa Organic Nasoya Super Firm Cubed Tofu</t>
  </si>
  <si>
    <t>Refried Beans Canned Traditional Reduced Sodium</t>
  </si>
  <si>
    <t>Soybeans Mature Seeds Cooked Boiled With Salt</t>
  </si>
  <si>
    <t>Soybeans Mature Seeds Roasted No Salt Added</t>
  </si>
  <si>
    <t>Soy Protein Concentrate Produced By Acid Wash</t>
  </si>
  <si>
    <t>Soy Protein Isolate Potassium Type</t>
  </si>
  <si>
    <t>Tofu Dried-Frozen (Koyadofu) Prepared With Calcium Sulfate</t>
  </si>
  <si>
    <t>Tofu Fried Prepared With Calcium Sulfate</t>
  </si>
  <si>
    <t>Tofu Salted And Fermented (Fuyu) Prepared With Calcium Sulfate</t>
  </si>
  <si>
    <t>Yardlong Beans Mature Seeds Cooked Boiled With Salt</t>
  </si>
  <si>
    <t>Lamb Domestic Composite Of Trimmed Retail Cuts Separable Lean Only Trimmed To 1/4 Inch Fat Choice Raw</t>
  </si>
  <si>
    <t>Lamb Domestic Composite Of Trimmed Retail Cuts Separable Lean Only Trimmed To 1/4 Inch Fat Choice Cooked</t>
  </si>
  <si>
    <t>Lamb Domestic Composite Of Trimmed Retail Cuts Separable Fat Trimmed To 1/4 Inch Fat Choice Raw</t>
  </si>
  <si>
    <t>Lamb Domestic Composite Of Trimmed Retail Cuts Separable Fat Trimmed To 1/4 Inch Fat Choice Cooked</t>
  </si>
  <si>
    <t>Leg Of Lamb</t>
  </si>
  <si>
    <t>Lamb Domestic Leg Whole (Shank And Sirloin) Separable Lean And Fat Trimmed To 1/4 Inch Fat Choice Cooked Roasted</t>
  </si>
  <si>
    <t>Lamb Domestic Leg Whole (Shank And Sirloin) Separable Lean Only Trimmed To 1/4 Inch Fat Choice Raw</t>
  </si>
  <si>
    <t>Lamb Domestic Leg Whole (Shank And Sirloin) Separable Lean Only Trimmed To 1/4 Inch Fat Choice Cooked Roasted</t>
  </si>
  <si>
    <t>Lamb Domestic Leg Shank Half Separable Lean And Fat Trimmed To 1/4 Inch Fat Choice Raw</t>
  </si>
  <si>
    <t>Lamb Domestic Leg Sirloin Half Separable Lean And Fat Trimmed To 1/4 Inch Fat Choice Cooked Roasted</t>
  </si>
  <si>
    <t>Lamb Domestic Leg Sirloin Half Separable Lean Only Trimmed To 1/4 Inch Fat Choice Raw</t>
  </si>
  <si>
    <t>Lamb Sirloin</t>
  </si>
  <si>
    <t>Lamb Domestic Loin Separable Lean And Fat Trimmed To 1/4 Inch Fat Choice Raw</t>
  </si>
  <si>
    <t>Lamb Domestic Loin Separable Lean Only Trimmed To 1/4 Inch Fat Choice Cooked Roasted</t>
  </si>
  <si>
    <t>Lamb Domestic Rib Separable Lean And Fat Trimmed To 1/4 Inch Fat Choice Raw</t>
  </si>
  <si>
    <t>Lamb Domestic Rib Separable Lean And Fat Trimmed To 1/4 Inch Fat Choice Cooked Broiled</t>
  </si>
  <si>
    <t>Lamb Ribs</t>
  </si>
  <si>
    <t>Lamb Domestic Shoulder Whole (Arm And Blade) Separable Lean And Fat Trimmed To 1/4 Inch Fat Choice Cooked Broiled</t>
  </si>
  <si>
    <t>Lamb Domestic Shoulder Whole (Arm And Blade) Separable Lean And Fat Trimmed To 1/4 Inch Fat Choice Cooked Roasted</t>
  </si>
  <si>
    <t>Lamb Domestic Shoulder Whole (Arm And Blade) Separable Lean Only Trimmed To 1/4 Inch Fat Choice Raw</t>
  </si>
  <si>
    <t>Lamb Domestic Shoulder Whole (Arm And Blade) Separable Lean Only Trimmed To 1/4 Inch Fat Choice Cooked Braised</t>
  </si>
  <si>
    <t>Lamb Domestic Shoulder Arm Separable Lean And Fat Trimmed To 1/4 Inch Fat Choice Cooked Broiled</t>
  </si>
  <si>
    <t>Lamb Domestic Shoulder Arm Separable Lean And Fat Trimmed To 1/4 Inch Fat Choice Cooked Roasted</t>
  </si>
  <si>
    <t>Lamb Domestic Shoulder Arm Separable Lean Only Trimmed To 1/4 Inch Fat Choice Raw</t>
  </si>
  <si>
    <t>Lamb Shoulder Roast (Cooked)</t>
  </si>
  <si>
    <t>Lamb Domestic Shoulder Blade Separable Lean And Fat Trimmed To 1/4 Inch Fat Choice Cooked Broiled</t>
  </si>
  <si>
    <t>Lamb Domestic Shoulder Blade Separable Lean And Fat Trimmed To 1/4 Inch Fat Choice Cooked Roasted</t>
  </si>
  <si>
    <t>Lamb Domestic Shoulder Blade Separable Lean Only Trimmed To 1/4 Inch Fat Choice Raw</t>
  </si>
  <si>
    <t>Lamb Domestic Shoulder Blade Separable Lean Only Trimmed To 1/4 Inch Fat Choice Cooked Braised</t>
  </si>
  <si>
    <t>Lamb New Zealand Imported Frozen Composite Of Trimmed Retail Cuts Separable Lean And Fat Raw</t>
  </si>
  <si>
    <t>Lamb New Zealand Imported Frozen Composite Of Trimmed Retail Cuts Separable Lean And Fat Cooked</t>
  </si>
  <si>
    <t>Lamb New Zealand Imported Frozen Composite Of Trimmed Retail Cuts Separable Lean Only Raw</t>
  </si>
  <si>
    <t>Lamb New Zealand Imported Frozen Composite Of Trimmed Retail Cuts Separable Lean Only Cooked</t>
  </si>
  <si>
    <t>Lamb New Zealand Imported Fore-Shank Separable Lean Only Raw</t>
  </si>
  <si>
    <t>Lamb New Zealand Imported Fore-Shank Separable Lean Only Cooked Braised</t>
  </si>
  <si>
    <t>Lamb New Zealand Imported Leg Chop/steak Bone-In Separable Lean And Fat Raw</t>
  </si>
  <si>
    <t>Lamb New Zealand Imported Frozen Leg Whole (Shank And Sirloin) Separable Lean And Fat Cooked Roasted</t>
  </si>
  <si>
    <t>Game Meat Moose Raw</t>
  </si>
  <si>
    <t>Game Meat Moose Cooked Roasted</t>
  </si>
  <si>
    <t>Game Meat Rabbit Domesticated Composite Of Cuts Cooked Stewed</t>
  </si>
  <si>
    <t>Game Meat Rabbit Wild Raw</t>
  </si>
  <si>
    <t>Game Meat Rabbit Wild Cooked Stewed</t>
  </si>
  <si>
    <t>Game Meat Raccoon Cooked Roasted</t>
  </si>
  <si>
    <t>Lamb Variety Meats And By-Products Brain Cooked Pan-Fried</t>
  </si>
  <si>
    <t>Veal Variety Meats And By-Products Brain Raw</t>
  </si>
  <si>
    <t>Veal Variety Meats And By-Products Brain Cooked Braised</t>
  </si>
  <si>
    <t>Veal Variety Meats And By-Products Brain Cooked Pan-Fried</t>
  </si>
  <si>
    <t>Lamb Variety Meats And By-Products Kidneys Raw</t>
  </si>
  <si>
    <t>Lamb Variety Meats And By-Products Kidneys Cooked Braised</t>
  </si>
  <si>
    <t>Veal Variety Meats And By-Products Kidneys Raw</t>
  </si>
  <si>
    <t>Veal Variety Meats And By-Products Kidneys Cooked Braised</t>
  </si>
  <si>
    <t>Veal Variety Meats And By-Products Liver Cooked Pan-Fried</t>
  </si>
  <si>
    <t>Lamb Variety Meats And By-Products Lungs Raw</t>
  </si>
  <si>
    <t>Lamb Variety Meats And By-Products Lungs Cooked Braised</t>
  </si>
  <si>
    <t>Veal Variety Meats And By-Products Lungs Raw</t>
  </si>
  <si>
    <t>Veal Variety Meats And By-Products Pancreas Raw</t>
  </si>
  <si>
    <t>Veal Variety Meats And By-Products Pancreas Cooked Braised</t>
  </si>
  <si>
    <t>Lamb Variety Meats And By-Products Spleen Raw</t>
  </si>
  <si>
    <t>Lamb Variety Meats And By-Products Spleen Cooked Braised</t>
  </si>
  <si>
    <t>Lamb Variety Meats And By-Products Tongue Raw</t>
  </si>
  <si>
    <t>Lamb Variety Meats And By-Products Tongue Cooked Braised</t>
  </si>
  <si>
    <t>Veal Variety Meats And By-Products Tongue Raw</t>
  </si>
  <si>
    <t>Veal Variety Meats And By-Products Tongue Cooked Braised</t>
  </si>
  <si>
    <t>Lamb Ground Raw</t>
  </si>
  <si>
    <t>Lamb Domestic Foreshank Separable Lean And Fat Trimmed To 1/8 Inch Fat Cooked Braised</t>
  </si>
  <si>
    <t>Lamb Domestic Leg Whole (Shank And Sirloin) Separable Lean And Fat Trimmed To 1/8 Inch Fat Choice Raw</t>
  </si>
  <si>
    <t>Lamb Domestic Leg Whole (Shank And Sirloin) Separable Lean And Fat Trimmed To 1/8 Inch Fat Choice Cooked Roasted</t>
  </si>
  <si>
    <t>Lamb Domestic Leg Shank Half Separable Lean And Fat Trimmed To 1/8 Inch Fat Choice Raw</t>
  </si>
  <si>
    <t>Lamb Domestic Loin Separable Lean And Fat Trimmed To 1/8 Inch Fat Choice Cooked Broiled</t>
  </si>
  <si>
    <t>Lamb Domestic Loin Separable Lean And Fat Trimmed To 1/8 Inch Fat Choice Cooked Roasted</t>
  </si>
  <si>
    <t>Lamb Domestic Rib Separable Lean And Fat Trimmed To 1/8 Inch Fat Choice Raw</t>
  </si>
  <si>
    <t>Lamb Domestic Rib Separable Lean And Fat Trimmed To 1/8 Inch Fat Choice Cooked Broiled</t>
  </si>
  <si>
    <t>Lamb Domestic Shoulder Whole (Arm And Blade) Separable Lean And Fat Trimmed To 1/8 Inch Fat Choice Cooked Roasted</t>
  </si>
  <si>
    <t>Lamb Domestic Shoulder Arm Separable Lean And Fat Trimmed To 1/8 Inch Fat Choice Raw</t>
  </si>
  <si>
    <t>Lamb Domestic Shoulder Arm Separable Lean And Fat Trimmed To 1/8 Inch Fat Choice Cooked Braised</t>
  </si>
  <si>
    <t>Lamb Domestic Shoulder Arm Separable Lean And Fat Trimmed To 1/8 Inch Fat Cooked Broiled</t>
  </si>
  <si>
    <t>Lamb Domestic Shoulder Arm Separable Lean And Fat Trimmed To 1/8 Inch Fat Choice Roasted</t>
  </si>
  <si>
    <t>Lamb New Zealand Imported Frozen Composite Of Trimmed Retail Cuts Separable Lean And Fat Trimmed To 1/8 Inch Fat Raw</t>
  </si>
  <si>
    <t>Lamb New Zealand Imported Frozen Composite Of Trimmed Retail Cuts Separable Lean And Fat Trimmed To 1/8 Inch Fat Cooked</t>
  </si>
  <si>
    <t>Lamb New Zealand Imported Frozen Foreshank Separable Lean And Fat Trimmed To 1/8 Inch Fat Raw</t>
  </si>
  <si>
    <t>Lamb New Zealand Imported Frozen Foreshank Separable Lean And Fat Trimmed To 1/8 Inch Fat Cooked Braised</t>
  </si>
  <si>
    <t>Lamb New Zealand Imported Frozen Rib Separable Lean And Fat Trimmed To 1/8 Inch Fat Raw</t>
  </si>
  <si>
    <t>Lamb New Zealand Imported Frozen Rib Separable Lean And Fat Trimmed To 1/8 Inch Fat Cooked Roasted</t>
  </si>
  <si>
    <t>Lamb New Zealand Imported Frozen Shoulder Whole (Arm And Blade) Separable Lean And Fat Trimmed To 1/8 Inch Fat Raw</t>
  </si>
  <si>
    <t>Lamb New Zealand Imported Frozen Shoulder Whole (Arm And Blade) Separable Lean And Fat Trimmed To 1/8 Inch Fat Cooked Braised</t>
  </si>
  <si>
    <t>Veal Breast Whole Boneless Separable Lean And Fat Raw</t>
  </si>
  <si>
    <t>Veal Breast Whole Boneless Separable Lean And Fat Cooked Braised</t>
  </si>
  <si>
    <t>Veal Breast Plate Half Boneless Separable Lean And Fat Cooked Braised</t>
  </si>
  <si>
    <t>Veal Breast Point Half Boneless Separable Lean And Fat Cooked Braised</t>
  </si>
  <si>
    <t>Veal Breast Whole Boneless Separable Lean Only Cooked Braised</t>
  </si>
  <si>
    <t>Lamb Australian Imported Fresh Composite Of Trimmed Retail Cuts Separable Lean And Fat Trimmed To 1/8 Inch Fat Raw</t>
  </si>
  <si>
    <t>Lamb Australian Imported Fresh Composite Of Trimmed Retail Cuts Separable Lean And Fat Trimmed To 1/8 Inch Fat Cooked</t>
  </si>
  <si>
    <t>Lamb Australian Imported Fresh Composite Of Trimmed Retail Cuts Separable Lean Only Trimmed To 1/8 Inch Fat Raw</t>
  </si>
  <si>
    <t>Lamb Australian Imported Fresh Composite Of Trimmed Retail Cuts Separable Lean Only Trimmed To 1/8 Inch Fat Cooked</t>
  </si>
  <si>
    <t>Lamb Australian Imported Fresh Foreshank Separable Lean Only Trimmed To 1/8 Inch Fat Raw</t>
  </si>
  <si>
    <t>Lamb Australian Imported Fresh Foreshank Separable Lean Only Trimmed To 1/8 Inch Fat Cooked Braised</t>
  </si>
  <si>
    <t>Lamb Australian Imported Fresh Leg Whole (Shank And Sirloin) Separable Lean And Fat Trimmed To 1/8 Inch Fat Raw</t>
  </si>
  <si>
    <t>Lamb Australian Imported Fresh Leg Whole (Shank And Sirloin) Separable Lean And Fat Trimmed To 1/8 Inch Fat Cooked Roasted</t>
  </si>
  <si>
    <t>Lamb Australian Imported Fresh Leg Shank Half Separable Lean Only Trimmed To 1/8 Inch Fat Cooked Roasted</t>
  </si>
  <si>
    <t>Lamb Australian Imported Fresh Leg Sirloin Half Boneless Separable Lean And Fat Trimmed To 1/8 Inch Fat Raw</t>
  </si>
  <si>
    <t>Lamb Australian Imported Fresh Leg Sirloin Half Boneless Separable Lean And Fat Trimmed To 1/8 Inch Fat Cooked Roasted</t>
  </si>
  <si>
    <t>Lamb Australian Imported Fresh Leg Sirloin Half Boneless Separable Lean Only Trimmed To 1/8 Inch Fat Raw</t>
  </si>
  <si>
    <t>Lamb Australian Imported Fresh Leg Sirloin Chops Boneless Separable Lean Only Trimmed To 1/8 Inch Fat Cooked Broiled</t>
  </si>
  <si>
    <t>Lamb Australian Imported Fresh Leg Center Slice Bone-In Separable Lean And Fat Trimmed To 1/8 Inch Fat Raw</t>
  </si>
  <si>
    <t>Lamb Australian Imported Fresh Leg Center Slice Bone-In Separable Lean And Fat Trimmed To 1/8 Inch Fat Cooked Broiled</t>
  </si>
  <si>
    <t>Lamb Australian Imported Fresh Leg Center Slice Bone-In Separable Lean Only Trimmed To 1/8 Inch Fat Raw</t>
  </si>
  <si>
    <t>Lamb Australian Imported Fresh Loin Separable Lean Only Trimmed To 1/8 Inch Fat Cooked Broiled</t>
  </si>
  <si>
    <t>Lamb Australian Imported Fresh Rib Chop/rack Roast Frenched Bone-In Separable Lean And Fat Trimmed To 1/8 Inch Fat Raw</t>
  </si>
  <si>
    <t>Lamb Australian Imported Fresh Rib Chop Frenched Bone-In Separable Lean And Fat Trimmed To 1/8 Inch Fat Cooked Grilled</t>
  </si>
  <si>
    <t>Lamb Australian Imported Fresh Rib Chop/rack Roast Frenched Bone-In Separable Lean Only Trimmed To 1/8 Inch Fat Raw</t>
  </si>
  <si>
    <t>Lamb Australian Imported Fresh Shoulder Arm Separable Lean And Fat Trimmed To 1/8 Inch Fat Raw</t>
  </si>
  <si>
    <t>Lamb Australian Imported Fresh Shoulder Arm Separable Lean And Fat Trimmed To 1/8 Inch Fat Cooked Braised</t>
  </si>
  <si>
    <t>Lamb Australian Imported Fresh Shoulder Arm Separable Lean Only Trimmed To 1/8 Inch Fat Raw</t>
  </si>
  <si>
    <t>Lamb Australian Imported Fresh Shoulder Arm Separable Lean Only   Trimmed To 1/8 Inch Fat Cooked Braised</t>
  </si>
  <si>
    <t>Game Meat  Bison Ground Raw</t>
  </si>
  <si>
    <t>Pan-Broiled Ground Bison</t>
  </si>
  <si>
    <t>Buffalo Sirloin Steak</t>
  </si>
  <si>
    <t>Game Meat Bison Chuck Shoulder Clod Separable Lean Only Cooked Braised</t>
  </si>
  <si>
    <t>Game Meat Elk Ground Raw</t>
  </si>
  <si>
    <t>Game Meat Elk Ground Cooked Pan-Broiled</t>
  </si>
  <si>
    <t>Game Meat Elk Loin Separable Lean Only Cooked Broiled</t>
  </si>
  <si>
    <t>Game Meat Elk Round Separable Lean Only Cooked Broiled</t>
  </si>
  <si>
    <t>Game Meat Elk Tenderloin Separable Lean Only Cooked Broiled</t>
  </si>
  <si>
    <t>Cooked Deer Tenderloin</t>
  </si>
  <si>
    <t>Game Meat Deer Top Round Separable Lean Only 1 Inch Steak Cooked Broiled</t>
  </si>
  <si>
    <t>Veal Australian Shank Fore Bone-In Separable Lean Only Raw</t>
  </si>
  <si>
    <t>Veal Australian Shank Fore Bone-In Separable Lean And Fat Raw</t>
  </si>
  <si>
    <t>Lamb New Zealand Imported Intermuscular Fat Raw</t>
  </si>
  <si>
    <t>Lamb New Zealand Imported Subcutaneous Fat Raw</t>
  </si>
  <si>
    <t>Lamb New Zealand Imported Brains Cooked Soaked And Fried</t>
  </si>
  <si>
    <t>Lamb New Zealand Imported Brains Raw</t>
  </si>
  <si>
    <t>Lamb New Zealand Imported Chump Boneless Separable Lean Only Raw</t>
  </si>
  <si>
    <t>Lamb New Zealand Imported Kidney Cooked Soaked And Fried</t>
  </si>
  <si>
    <t>Lamb New Zealand Imported Flap Boneless Separable Lean Only Cooked Braised</t>
  </si>
  <si>
    <t>Lamb New Zealand Imported Flap Boneless Separable Lean Only Raw</t>
  </si>
  <si>
    <t>Lamb New Zealand Imported Kidney Raw</t>
  </si>
  <si>
    <t>Lamb New Zealand Imported Heart Cooked Soaked And Simmered</t>
  </si>
  <si>
    <t>Lamb New Zealand Imported Heart Raw</t>
  </si>
  <si>
    <t>Lamb New Zealand Imported Sweetbread Cooked Soaked And Simmered</t>
  </si>
  <si>
    <t>Lamb New Zealand Imported Sweetbread Raw</t>
  </si>
  <si>
    <t>Lamb New Zealand Imported Tunnel-Boned Leg Chump Off Shank Off Separable Lean Only Cooked Slow Roasted</t>
  </si>
  <si>
    <t>Lamb New Zealand Imported Tunnel-Boned Leg Chump Off Shank Off Separable Lean Only Raw</t>
  </si>
  <si>
    <t>Lamb New Zealand Imported Square-Cut Shoulder Chops Separable Lean Only Cooked Braised</t>
  </si>
  <si>
    <t>Lamb New Zealand Imported Square-Cut Shoulder Chops Separable Lean Only Raw</t>
  </si>
  <si>
    <t>Lamb New Zealand Imported Loin Boneless Separable Lean Only Cooked Fast Roasted</t>
  </si>
  <si>
    <t>Lamb New Zealand Imported Loin Boneless Separable Lean Only Raw</t>
  </si>
  <si>
    <t>Lamb New Zealand Imported Hind-Shank Separable Lean Only Cooked Braised</t>
  </si>
  <si>
    <t>Lamb New Zealand Imported Hind-Shank Separable Lean Only Raw</t>
  </si>
  <si>
    <t>Lamb New Zealand Imported Neck Chops Separable Lean Only Raw</t>
  </si>
  <si>
    <t>Lamb New Zealand Imported Rack - Fully Frenched Separable Lean Only Raw</t>
  </si>
  <si>
    <t>Lamb New Zealand Imported Loin Chop Separable Lean Only Cooked Fast Fried</t>
  </si>
  <si>
    <t>Lamb New Zealand Imported Square-Cut Shoulder Separable Lean Only Cooked Slow Roasted</t>
  </si>
  <si>
    <t>Lamb New Zealand Imported Leg Chop/steak Bone-In Separable Lean Only Cooked Fast Fried</t>
  </si>
  <si>
    <t>Lamb New Zealand Imported Leg Chop/steak Bone-In Separable Lean And Fat Cooked Fast Fried</t>
  </si>
  <si>
    <t>Lamb New Zealand Imported Loin Chop Separable Lean And Fat Cooked Fast Fried</t>
  </si>
  <si>
    <t>Lamb New Zealand Imported Loin Saddle Separable Lean And Fat Cooked Fast Roasted</t>
  </si>
  <si>
    <t>Lamb New Zealand Imported Loin Saddle Separable Lean And Fat Raw</t>
  </si>
  <si>
    <t>Lamb New Zealand Imported Netted Shoulder Rolled Boneless Separable Lean And Fat Raw</t>
  </si>
  <si>
    <t>Chicken Capons Giblets Raw</t>
  </si>
  <si>
    <t>Chicken Capons Giblets Cooked Simmered</t>
  </si>
  <si>
    <t>Duck Domesticated Liver Raw</t>
  </si>
  <si>
    <t>Duck Wild Meat And Skin Raw</t>
  </si>
  <si>
    <t>Duck Wild Breast Meat Only Raw</t>
  </si>
  <si>
    <t>Goose Domesticated Meat And Skin Raw</t>
  </si>
  <si>
    <t>Guinea Hen Meat Only Raw</t>
  </si>
  <si>
    <t>Pheasant Raw Meat And Skin</t>
  </si>
  <si>
    <t>Pheasant Raw Meat Only</t>
  </si>
  <si>
    <t>Pheasant Breast Meat Only Raw</t>
  </si>
  <si>
    <t>Squab (Pigeon) Meat And Skin Raw</t>
  </si>
  <si>
    <t>Emu Fan Fillet Raw</t>
  </si>
  <si>
    <t>Emu Steak</t>
  </si>
  <si>
    <t>Emu Flat Fillet Raw</t>
  </si>
  <si>
    <t>Emu Full Rump Raw</t>
  </si>
  <si>
    <t>Emu Top Loin Cooked Broiled</t>
  </si>
  <si>
    <t>Ostrich Ground Raw</t>
  </si>
  <si>
    <t>Ostrich Ground Cooked Pan-Broiled</t>
  </si>
  <si>
    <t>Ostrich Fan Raw</t>
  </si>
  <si>
    <t>Ostrich Outside Leg Raw</t>
  </si>
  <si>
    <t>Ostrich Outside Strip Raw</t>
  </si>
  <si>
    <t>Ostrich Outside Strip Cooked</t>
  </si>
  <si>
    <t>Ostrich Oyster Raw</t>
  </si>
  <si>
    <t>Ostrich Tip Trimmed Cooked</t>
  </si>
  <si>
    <t>Ostrich Top Loin Raw</t>
  </si>
  <si>
    <t>Ostrich Top Loin Cooked</t>
  </si>
  <si>
    <t>Chicken Liver All Classes Cooked Pan-Fried</t>
  </si>
  <si>
    <t>Low Fat Broiled Turkey Patties</t>
  </si>
  <si>
    <t>Ground Turkey 85% Lean 15% Fat Raw</t>
  </si>
  <si>
    <t>Ground Turkey 85% Lean 15% Fat Pan-Broiled Crumbles</t>
  </si>
  <si>
    <t>Broiled Turkey Patties</t>
  </si>
  <si>
    <t>Chicken Skin (Drumsticks And Thighs) Cooked Roasted</t>
  </si>
  <si>
    <t>Chicken Broilers Or Fryers Dark Meat Drumstick Meat And Skin Cooked Braised</t>
  </si>
  <si>
    <t>Chicken Broilers Or Fryers Dark Meat Thigh Meat And Skin Cooked Braised</t>
  </si>
  <si>
    <t>Chicken Dark Meat Drumstick Meat Only With Added Solution Raw</t>
  </si>
  <si>
    <t>Chicken Dark Meat Thigh Meat Only With Added Solution Cooked Roasted</t>
  </si>
  <si>
    <t>Chicken Skin (Drumsticks And Thighs) With Added Solution Cooked Braised</t>
  </si>
  <si>
    <t>Chicken Skin (Drumsticks And Thighs) With Added Solution Raw</t>
  </si>
  <si>
    <t>Chicken Skin (Drumsticks And Thighs) With Added Solution Cooked Roasted</t>
  </si>
  <si>
    <t>Chicken Dark Meat Drumstick Meat And Skin With Added Solution Cooked Braised</t>
  </si>
  <si>
    <t>Chicken Dark Meat Thigh Meat And Skin With Added Solution Cooked Roasted</t>
  </si>
  <si>
    <t>Chicken Broiler Rotisserie BBQ Back Meat Only</t>
  </si>
  <si>
    <t>Turkey Dark Meat From Whole Meat Only With Added Solution Raw</t>
  </si>
  <si>
    <t>Turkey Dark Meat Meat Only With Added Solution Cooked Roasted</t>
  </si>
  <si>
    <t>Turkey Dark Meat From Whole Meat And Skin With Added Solution Raw</t>
  </si>
  <si>
    <t>Turkey Dark Meat From Whole Meat And Skin With Added Solution Cooked Roasted</t>
  </si>
  <si>
    <t>Turkey From Whole Light Meat Meat And Skin With Added Solution Raw</t>
  </si>
  <si>
    <t>Turkey From Whole Light Meat Meat And Skin With Added Solution Cooked Roasted</t>
  </si>
  <si>
    <t>Turkey Retail Parts Breast Meat Only With Added Solution Raw</t>
  </si>
  <si>
    <t>Turkey Retail Parts Breast Meat Only With Added Solution Cooked Roasted</t>
  </si>
  <si>
    <t>Turkey Retail Parts Breast Meat Only Raw</t>
  </si>
  <si>
    <t>Turkey Retail Parts Breast Meat Only Cooked Roasted</t>
  </si>
  <si>
    <t>Turkey Retail Parts Wing Meat Only Raw</t>
  </si>
  <si>
    <t>Turkey Retail Parts Thigh Meat Only Raw</t>
  </si>
  <si>
    <t>Turkey Breast From Whole Bird Meat Only With Added Solution Roasted</t>
  </si>
  <si>
    <t>Turkey Back From Whole Bird Meat Only With Added Solution Raw</t>
  </si>
  <si>
    <t>Turkey Back From Whole Bird Meat Only With Added Solution Roasted</t>
  </si>
  <si>
    <t>Soup Chicken Mushroom Canned Condensed</t>
  </si>
  <si>
    <t>Barbecue Sauce</t>
  </si>
  <si>
    <t>Sauce Salsa Ready-To-Serve</t>
  </si>
  <si>
    <t>Sauce Homemade White Medium</t>
  </si>
  <si>
    <t>Sauce Homemade White Thick</t>
  </si>
  <si>
    <t>Hot Sauce</t>
  </si>
  <si>
    <t>Tabasco Sauce</t>
  </si>
  <si>
    <t>Osyter Sauce</t>
  </si>
  <si>
    <t>Low Sodium Minestrone</t>
  </si>
  <si>
    <t>Sauce Fish Ready-To-Serve</t>
  </si>
  <si>
    <t>Soup Shark Fin Restaurant-Prepared</t>
  </si>
  <si>
    <t>Soup Bean &amp; Ham Canned Reduced Sodium Prepared With Water Or Ready-To-Serve</t>
  </si>
  <si>
    <t>Split Pea Soup Canned Reduced Sodium Prepared With Water Or Ready-To Serve</t>
  </si>
  <si>
    <t>Split Pea With Ham Soup Canned Reduced Sodium Prepared With Water Or Ready-To-Serve</t>
  </si>
  <si>
    <t>Soup Chicken Broth Ready-To-Serve</t>
  </si>
  <si>
    <t>Soup Cream Of Chicken Canned Prepared With Equal Volume Milk</t>
  </si>
  <si>
    <t>Soup Vegetable Canned Low Sodium Condensed</t>
  </si>
  <si>
    <t>Soup Clam Chowder New England Canned Prepared With Equal Volume Low Fat (2%) Milk</t>
  </si>
  <si>
    <t>Soup Cream Of Mushroom Canned Prepared With Equal Volume Low Fat (2%) Milk</t>
  </si>
  <si>
    <t>Soup Cream Of Onion Canned Prepared With Equal Volume Milk</t>
  </si>
  <si>
    <t>Sauce White Thin Prepared-From-Recipe With Butter</t>
  </si>
  <si>
    <t>Sauce Sweet And Sour Prepared-From-Recipe</t>
  </si>
  <si>
    <t>Sauce Barbecue Kraft Original</t>
  </si>
  <si>
    <t>Soup Healthy Choice Chicken Noodle Soup Canned</t>
  </si>
  <si>
    <t>Soup Tomato Canned Prepared With Equal Volume Low Fat (2%) Milk</t>
  </si>
  <si>
    <t>Campbells Tomato Soup Condensed</t>
  </si>
  <si>
    <t>Campbells Chunky Classic Chicken Noodle Soup</t>
  </si>
  <si>
    <t>Cream Of Asparagus Soup</t>
  </si>
  <si>
    <t>Soup Cheese Canned Prepared With Equal Volume Water</t>
  </si>
  <si>
    <t>Soup Chicken Broth Canned Prepared With Equal Volume Water</t>
  </si>
  <si>
    <t>Campbells Beef Barley Soup</t>
  </si>
  <si>
    <t>Cream Of Chicken Soup</t>
  </si>
  <si>
    <t>Manhattan Clam Chowder (Prepared With Equal Part Water)</t>
  </si>
  <si>
    <t>New England Clam Chowder</t>
  </si>
  <si>
    <t>Campbells Chunky New England Clam Chowder</t>
  </si>
  <si>
    <t>Beef Broth From Bouillon</t>
  </si>
  <si>
    <t>Soup Mushroom With Beef Stock Canned Prepared With Equal Volume Water</t>
  </si>
  <si>
    <t>Soup Cream Of Onion Canned Prepared With Equal Volume Water</t>
  </si>
  <si>
    <t>Soup Oyster Stew Canned Prepared With Equal Volume Water</t>
  </si>
  <si>
    <t>Soup Pea Green Canned Prepared With Equal Volume Water</t>
  </si>
  <si>
    <t>Soup Turkey Noodle Canned Prepared With Equal Volume Water</t>
  </si>
  <si>
    <t>Soup Turkey Vegetable Canned Prepared With Equal Volume Water</t>
  </si>
  <si>
    <t>Vegetable Soup</t>
  </si>
  <si>
    <t>Soup Vegetable Beef Canned Prepared With Equal Volume Water</t>
  </si>
  <si>
    <t>Soup Chicken Broth Cubes Dry Prepared With Water</t>
  </si>
  <si>
    <t>Soup Cream Of Chicken Dry Mix Prepared With Water</t>
  </si>
  <si>
    <t>Soup Onion Dry Mix Prepared With Water</t>
  </si>
  <si>
    <t>Soup Tomato Dry Mix Prepared With Water</t>
  </si>
  <si>
    <t>Roast Beef Deli Style Prepackaged Sliced</t>
  </si>
  <si>
    <t>Luncheon Meat Pork Canned</t>
  </si>
  <si>
    <t>Turkey Breast Low Salt Prepackaged Or Deli Luncheon Meat</t>
  </si>
  <si>
    <t>Mortadella Beef Pork</t>
  </si>
  <si>
    <t>Peppered Loaf Pork Beef</t>
  </si>
  <si>
    <t>Pepperoni</t>
  </si>
  <si>
    <t>Pickle And Pimiento Loaf Pork</t>
  </si>
  <si>
    <t>Polish Sausage Pork</t>
  </si>
  <si>
    <t>Pork Sausage Link/patty Cooked Pan-Fried</t>
  </si>
  <si>
    <t>Pork And Beef Sausage Fresh Cooked</t>
  </si>
  <si>
    <t>Turkey Sausage Reduced Fat Brown And Serve Cooked (Include Butterball Breakfast Links Turkey Sausage)</t>
  </si>
  <si>
    <t>Poultry Salad Sandwich Spread</t>
  </si>
  <si>
    <t>Dry Pork And Beef Salami</t>
  </si>
  <si>
    <t>Sandwich Spread Pork Beef</t>
  </si>
  <si>
    <t>Smoked Link Sausage Pork</t>
  </si>
  <si>
    <t>Sausage Smoked Link Sausage Pork And Beef</t>
  </si>
  <si>
    <t>Sausage Italian Pork Cooked</t>
  </si>
  <si>
    <t>Luncheon Sausage (Pork And Beef)</t>
  </si>
  <si>
    <t>New England Brand Sausage Pork Beef</t>
  </si>
  <si>
    <t>Oscar Mayer Bologna (Beef)</t>
  </si>
  <si>
    <t>Oscar Mayer Smokies Sausage Little Cheese (Pork Turkey)</t>
  </si>
  <si>
    <t>Oscar Mayer Wieners (Beef Franks)</t>
  </si>
  <si>
    <t>Unprepared Turkey Bacon</t>
  </si>
  <si>
    <t>Hormel Pillow Pak Sliced Turkey Pepperoni</t>
  </si>
  <si>
    <t>Luncheon Meat Pork And Chicken Minced Canned Includes Spam Lite</t>
  </si>
  <si>
    <t>Veal Bratwurst</t>
  </si>
  <si>
    <t>Liverwurst Spread</t>
  </si>
  <si>
    <t>Roast Beef Spread</t>
  </si>
  <si>
    <t>Salami Pork Beef Less Sodium</t>
  </si>
  <si>
    <t>Sausage Summer Pork And Beef Sticks With Cheddar Cheese</t>
  </si>
  <si>
    <t>Sausage Turkey Breakfast Links Mild</t>
  </si>
  <si>
    <t>Swisswurst Pork And Beef With Swiss Cheese Smoked</t>
  </si>
  <si>
    <t>Bacon And Beef Sticks</t>
  </si>
  <si>
    <t>Salami</t>
  </si>
  <si>
    <t>Sausage Italian Turkey Smoked</t>
  </si>
  <si>
    <t>Sausage Chicken Beef Pork Skinless Smoked</t>
  </si>
  <si>
    <t>Sausage Turkey Hot Smoked</t>
  </si>
  <si>
    <t>Kielbasa Polish Turkey And Beef Smoked</t>
  </si>
  <si>
    <t>Oven-Roasted Chicken Breast Roll</t>
  </si>
  <si>
    <t>Bologna Pork And Turkey Lite</t>
  </si>
  <si>
    <t>Bologna Pork Turkey And Beef</t>
  </si>
  <si>
    <t>Ham Honey Smoked Cooked</t>
  </si>
  <si>
    <t>Turkey Breast Smoked Lemon Pepper Flavor 97% Fat-Free</t>
  </si>
  <si>
    <t>Turkey White Rotisserie Deli Cut</t>
  </si>
  <si>
    <t>Frankfurter Beef Heated</t>
  </si>
  <si>
    <t>Frankfurter Meat Heated</t>
  </si>
  <si>
    <t>Beef Sausage Pre-Cooked</t>
  </si>
  <si>
    <t>Turkey Sausage Fresh Raw</t>
  </si>
  <si>
    <t>Beef Sausage Fresh Cooked</t>
  </si>
  <si>
    <t>Malt-O-Meal Coco-Roos</t>
  </si>
  <si>
    <t>Quaker Quaker Oat Cinnamon Life</t>
  </si>
  <si>
    <t>Quaker Honey Graham Oh!s</t>
  </si>
  <si>
    <t>Quaker Oatmeal Squares</t>
  </si>
  <si>
    <t>Quaker Oatmeal Squares Cinnamon</t>
  </si>
  <si>
    <t>Quaker Instant Oatmeal Fruit And Cream Variety Dry</t>
  </si>
  <si>
    <t>Quaker Instant Oatmeal Raisins Dates And Walnuts Dry</t>
  </si>
  <si>
    <t>Quaker Oat Bran Quaker/mothers Oat Bran Dry</t>
  </si>
  <si>
    <t>Quaker Oat Bran Quaker/mothers Oat Bran Prepared With Water No Salt</t>
  </si>
  <si>
    <t>Post Waffle Crisp</t>
  </si>
  <si>
    <t>Quaker Hominy Grits White Quick Dry</t>
  </si>
  <si>
    <t>Quaker Hominy Grits White Regular Dry</t>
  </si>
  <si>
    <t>Malt-O-Meal Colossal Crunch</t>
  </si>
  <si>
    <t>Quaker Mothers Cinnamon Oat Crunch</t>
  </si>
  <si>
    <t>Quaker Mothers Graham Bumpers</t>
  </si>
  <si>
    <t>Quaker Mothers Cocoa Bumpers</t>
  </si>
  <si>
    <t>Sun Country Kretschmer Toasted Wheat Bran</t>
  </si>
  <si>
    <t>Quaker Instant Oatmeal Cinnamon-Spice Dry</t>
  </si>
  <si>
    <t>Quaker Instant Oatmeal Dinosaur Eggs Brown Sugar Dry</t>
  </si>
  <si>
    <t>Quaker Instant Oatmeal Banana Bread Dry</t>
  </si>
  <si>
    <t>Uncle Sam Cereal</t>
  </si>
  <si>
    <t>Quaker Quick Oats With Iron Dry</t>
  </si>
  <si>
    <t>Quaker Whole Wheat Natural Cereal Dry</t>
  </si>
  <si>
    <t>Malt-O-Meal Honey Buzzers</t>
  </si>
  <si>
    <t>Malt-O-Meal Golden Puffs</t>
  </si>
  <si>
    <t>Moms Best Honey Nut Toasty Os</t>
  </si>
  <si>
    <t>Malt-O-Meal Apple Zings</t>
  </si>
  <si>
    <t>Malt-O-Meal Cinnamon Toasters</t>
  </si>
  <si>
    <t>Malt-O-Meal Cocoa Dyno-Bites</t>
  </si>
  <si>
    <t>Ralston Corn Flakes</t>
  </si>
  <si>
    <t>Ralston Crispy Hexagons</t>
  </si>
  <si>
    <t>Milk And Cereal Bar</t>
  </si>
  <si>
    <t>Malt-O-Meal Original Plain Prepared With Water Without Salt</t>
  </si>
  <si>
    <t>Quaker Christmas Crunch</t>
  </si>
  <si>
    <t>Post Selects Maple Pecan Crunch</t>
  </si>
  <si>
    <t>Natures Path Organic Flax Plus Pumpkin Granola</t>
  </si>
  <si>
    <t>Cream Of Wheat 2 1/2 Minute Cook Time Dry</t>
  </si>
  <si>
    <t>Incaparina Dry Mix (Corn And Soy Flours) Unprepared</t>
  </si>
  <si>
    <t>Quaker Capn Crunchs Halloween Crunch</t>
  </si>
  <si>
    <t>Quaker Natural Granola Apple Cranberry Almond</t>
  </si>
  <si>
    <t>Quaker Maple Brown Sugar Life Cereal</t>
  </si>
  <si>
    <t>Quaker Instant Oatmeal Organic Regular</t>
  </si>
  <si>
    <t>Quaker Instant Oatmeal Fruit And Cream Variety Of Flavors Reduced Sugar</t>
  </si>
  <si>
    <t>Quaker Instant Oatmeal Apple And Cinnamon Reduced Sugar</t>
  </si>
  <si>
    <t>Post Honey Bunches Of Oats Pecan Bunches</t>
  </si>
  <si>
    <t>Malt-O-Meal Chocolate Marshmallow Mateys</t>
  </si>
  <si>
    <t>Dried Figs</t>
  </si>
  <si>
    <t>Figs Dried Stewed</t>
  </si>
  <si>
    <t>Fruit Cocktail (Peach And Pineapple And Pear And Grape And Cherry) Canned Water Pack Solids And Liquids</t>
  </si>
  <si>
    <t>Fruit Cocktail (Peach And Pineapple And Pear And Grape And Cherry) Canned Juice Pack Solids And Liquids</t>
  </si>
  <si>
    <t>Fruit Salad (Peach And Pear And Apricot And Pineapple And Cherry) Canned Water Pack Solids And Liquids</t>
  </si>
  <si>
    <t>Fruit Salad (Peach And Pear And Apricot And Pineapple And Cherry) Canned Juice Pack Solids And Liquids</t>
  </si>
  <si>
    <t>Fruit Salad (Peach And Pear And Apricot And Pineapple And Cherry) Canned Light Syrup Solids And Liquids</t>
  </si>
  <si>
    <t>Fruit Salad (Peach And Pear And Apricot And Pineapple And Cherry) Canned Extra Heavy Syrup Solids And Liquids</t>
  </si>
  <si>
    <t>Pink Grapefruit</t>
  </si>
  <si>
    <t>California Grapefruit</t>
  </si>
  <si>
    <t>Florida Grapefruit</t>
  </si>
  <si>
    <t>White Grapefruit</t>
  </si>
  <si>
    <t>White California Grapefruit</t>
  </si>
  <si>
    <t>Grapefruit Juice White Canned Or Bottled Unsweetened</t>
  </si>
  <si>
    <t>Grapefruit Juice White Canned Sweetened</t>
  </si>
  <si>
    <t>Grapefruit Juice White Frozen Concentrate Unsweetened Undiluted</t>
  </si>
  <si>
    <t>Grapefruit Juice White Frozen Concentrate Unsweetened Diluted With 3 Volume Water</t>
  </si>
  <si>
    <t>Grapes</t>
  </si>
  <si>
    <t>Red Or Green Grapes (European)</t>
  </si>
  <si>
    <t>Grapes Canned Thompson Seedless Water Pack Solids And Liquids</t>
  </si>
  <si>
    <t>Grapes Canned Thompson Seedless Heavy Syrup Pack Solids And Liquids</t>
  </si>
  <si>
    <t>Guava Sauce Cooked</t>
  </si>
  <si>
    <t>Jackfruit</t>
  </si>
  <si>
    <t>Beef Top Loin Filet Boneless Separable Lean Only Trimmed To 1/8 Inch Fat All Grades Cooked Grilled</t>
  </si>
  <si>
    <t>Beef Top Loin Filet Boneless Separable Lean Only Trimmed To 1/8 Inch Fat Choice Cooked Grilled</t>
  </si>
  <si>
    <t>Beef Top Loin Filet Boneless Separable Lean Only Trimmed To 1/8 Inch Fat Select Cooked Grilled</t>
  </si>
  <si>
    <t>Beef Top Loin Petite Roast/filet Boneless Separable Lean Only Trimmed To 1/8 Inch Fat Choice Raw</t>
  </si>
  <si>
    <t>Beef Top Loin Petite Roast/filet Boneless Separable Lean Only Trimmed To 1/8 Inch Fat Select Raw</t>
  </si>
  <si>
    <t>Beef Loin Top Sirloin Filet Boneless Separable Lean Only Trimmed To 0 Inch Fat All Grades Cooked Grilled</t>
  </si>
  <si>
    <t>Beef Loin Top Sirloin Filet Boneless Separable Lean Only Trimmed To 0 Inch Fat Choice Cooked Grilled</t>
  </si>
  <si>
    <t>Beef Loin Top Sirloin Petite Roast/filet Boneless Separable Lean Only Trimmed To 0 Inch Fat Select Raw</t>
  </si>
  <si>
    <t>Beef Ribeye  Petite Roast/filet Boneless Separable Lean Only Trimmed To 0 Inch Fat All Grades Raw</t>
  </si>
  <si>
    <t>Beef Ribeye  Petite Roast/filet Boneless Separable Lean Only Trimmed To 0 Inch Fat Choice Raw</t>
  </si>
  <si>
    <t>Beef Ribeye  Petite Roast/filet Boneless Separable Lean Only Trimmed To 0 Inch Fat Select Raw</t>
  </si>
  <si>
    <t>Beef Ribeye Cap Steak Boneless Separable Lean Only Trimmed To 0 Inch Fat Choice Raw</t>
  </si>
  <si>
    <t>Beef Ribeye Cap Steak Boneless Separable Lean Only Trimmed To 0 Inch Fat Select Raw</t>
  </si>
  <si>
    <t>Beef Ribeye Filet Boneless Separable Lean Only Trimmed To 0 Inch Fat All Grades Cooked Grilled</t>
  </si>
  <si>
    <t>Beef Ribeye Filet Boneless Separable Lean Only Trimmed To 0 Inch Fat Choice Cooked Grilled</t>
  </si>
  <si>
    <t>Ribeye Steak (Filet)</t>
  </si>
  <si>
    <t>Beef Loin Top Sirloin Cap Steak Boneless Separable Lean And Fat Trimmed To 1/8 Inch Fat Choice Cooked Grilled</t>
  </si>
  <si>
    <t>Beef Loin Top Sirloin Cap Steak Boneless Separable Lean And Fat Trimmed To 1/8 Inch Fat Select Cooked Grilled</t>
  </si>
  <si>
    <t>Beef Loin Top Sirloin Cap Steak Boneless Separable Lean And Fat Trimmed To 1/8 Inch Fat All Grades Raw</t>
  </si>
  <si>
    <t>Beef Loin Top Sirloin Cap Steak Boneless Separable Lean And Fat Trimmed To 1/8 Inch Fat Choice Raw</t>
  </si>
  <si>
    <t>Beef Top Loin Petite Roast Boneless Separable Lean And Fat Trimmed To 1/8 Inch Fat All Grades Cooked Roasted</t>
  </si>
  <si>
    <t>Beef Top Loin Petite Roast Boneless Separable Lean And Fat Trimmed To 1/8 Inch Fat Choice Cooked Roasted</t>
  </si>
  <si>
    <t>Beef Top Loin Petite Roast Boneless Separable Lean And Fat Trimmed To 1/8 Inch Fat Select Cooked Roasted</t>
  </si>
  <si>
    <t>Beef Top Loin Petite Roast/filet Boneless Separable Lean And Fat Trimmed To 1/8 Inch Fat All Grades Raw</t>
  </si>
  <si>
    <t>Beef Loin Top Loin Steak Boneless Lip-On Separable Lean And Fat Trimmed To 1/8 Inch Fat Choice Cooked Grilled</t>
  </si>
  <si>
    <t>Beef Loin Top Loin Steak Boneless Lip-On Separable Lean And Fat Trimmed To 1/8 Inch Fat Select Cooked Grilled</t>
  </si>
  <si>
    <t>Beef Loin Top Loin Steak Boneless Lip-On Separable Lean And Fat Trimmed To 1/8 Inch Fat All Grades Cooked Grilled</t>
  </si>
  <si>
    <t>Beef New Zealand Imported Bolar Blade Separable Lean Only Cooked Fast Roasted</t>
  </si>
  <si>
    <t>Beef New Zealand Imported Bolar Blade Separable Lean Only Raw</t>
  </si>
  <si>
    <t>Beef New Zealand Imported Brisket Navel End Separable Lean Only Cooked Braised</t>
  </si>
  <si>
    <t>Beef New Zealand Imported Brisket Navel End Separable Lean Only Raw</t>
  </si>
  <si>
    <t>Beef New Zealand Imported Cube Roll Separable Lean Only Cooked Fast Roasted</t>
  </si>
  <si>
    <t>Beef New Zealand Imported Cube Roll Separable Lean Only Raw</t>
  </si>
  <si>
    <t>Beef New Zealand Imported Eye Round Separable Lean Only Cooked Slow Roasted</t>
  </si>
  <si>
    <t>Beef New Zealand Imported Eye Round Separable Lean Only Raw</t>
  </si>
  <si>
    <t>Beef New Zealand Imported Variety Meats And By-Products Heart Raw</t>
  </si>
  <si>
    <t>Beef New Zealand Imported Hind Shin Separable Lean Only Cooked Braised</t>
  </si>
  <si>
    <t>Beef New Zealand Imported Hind Shin Separable Lean Only Raw</t>
  </si>
  <si>
    <t>Beef New Zealand Imported Inside Raw</t>
  </si>
  <si>
    <t>Beef New Zealand Imported Variety Meats And By-Products Kidney Raw</t>
  </si>
  <si>
    <t>Beef New Zealand Imported Variety Meats And By-Products Liver Cooked Boiled</t>
  </si>
  <si>
    <t>Beef New Zealand Imported Variety Meats And By-Products Liver Raw</t>
  </si>
  <si>
    <t>Beef New Zealand Imported Manufacturing Beef Cooked Boiled</t>
  </si>
  <si>
    <t>Beef New Zealand Imported Ribs Prepared Raw</t>
  </si>
  <si>
    <t>Beef New Zealand Imported Rump Centre Separable Lean Only Cooked Fast Fried</t>
  </si>
  <si>
    <t>Beef New Zealand Imported Striploin Separable Lean Only Cooked Fast Fried</t>
  </si>
  <si>
    <t>Beef New Zealand Imported Striploin Separable Lean Only Raw</t>
  </si>
  <si>
    <t>Beef New Zealand Imported Oyster Blade Separable Lean And Fat Raw</t>
  </si>
  <si>
    <t>Beef New Zealand Imported Tenderloin Separable Lean Only Raw</t>
  </si>
  <si>
    <t>Beef New Zealand Imported Variety Meats And By-Products Tongue Cooked Boiled</t>
  </si>
  <si>
    <t>Beef New Zealand Imported Variety Meats And By-Products Tongue Raw</t>
  </si>
  <si>
    <t>Beef New Zealand Imported Brisket Navel End Separable Lean And Fat Cooked Braised</t>
  </si>
  <si>
    <t>Beef New Zealand Imported Brisket Navel End Separable Lean And Fat Raw</t>
  </si>
  <si>
    <t>Beef New Zealand Imported Brisket Point End Separable Lean And Fat Cooked Braised</t>
  </si>
  <si>
    <t>Beef New Zealand Imported Brisket Point End Separable Lean And Fat Raw</t>
  </si>
  <si>
    <t>Beef New Zealand Imported Eye Round Separable Lean And Fat Cooked Slow Roasted</t>
  </si>
  <si>
    <t>Beef New Zealand Imported Eye Round Separable Lean And Fat Raw</t>
  </si>
  <si>
    <t>Beef New Zealand Imported Flank Separable Lean And Fat Cooked Braised</t>
  </si>
  <si>
    <t>Beef New Zealand Imported Flank Separable Lean And Fat Raw</t>
  </si>
  <si>
    <t>Beef New Zealand Imported Flat Separable Lean And Fat Cooked Braised</t>
  </si>
  <si>
    <t>Beef New Zealand Imported Rump Centre Separable Lean And Fat Cooked Fast Fried</t>
  </si>
  <si>
    <t>Beef New Zealand Imported Rump Centre Separable Lean Only Raw</t>
  </si>
  <si>
    <t>Beef New Zealand Imported Rump Centre Separable Lean And Fat Raw</t>
  </si>
  <si>
    <t>Beef New Zealand Imported Striploin Separable Lean And Fat Cooked Fast Fried</t>
  </si>
  <si>
    <t>Broiled Ground Beef Patty (93% Lean)</t>
  </si>
  <si>
    <t>Beef Ground 93% Lean Meat /7% Fat Patty Cooked Pan-Broiled</t>
  </si>
  <si>
    <t>Beef Ground 93% Lean Meat / 7% Fat Loaf Cooked Baked</t>
  </si>
  <si>
    <t>Beef Ground 93% Lean Meat / 7% Fat Crumbles Cooked Pan-Browned</t>
  </si>
  <si>
    <t>Beef Ground 97% Lean Meat / 3% Fat Crumbles Cooked Pan-Browned</t>
  </si>
  <si>
    <t>Beef Composite Of Trimmed Retail Cuts Separable Lean And Fat Trimmed To 0 Inch Fat All Grades Raw</t>
  </si>
  <si>
    <t>Beef Composite Of Trimmed Retail Cuts Separable Lean Only Trimmed To 1/8 Inch Fat All Grades Raw</t>
  </si>
  <si>
    <t>Beef Composite Of Trimmed Retail Cuts Separable Lean Only Trimmed To 1/8 Inch Fat All Grades Cooked</t>
  </si>
  <si>
    <t>Beef Composite Of Trimmed Retail Cuts Separable Lean Only Trimmed To 0 Inch Fat All Grades Raw</t>
  </si>
  <si>
    <t>Beef Rib Small End (Ribs 10-12) Separable Lean Only Trimmed To 1/8 Inch Fat Choice Raw</t>
  </si>
  <si>
    <t>Beef Tenderloin Steak Separable Lean Only Trimmed To 1/8 Inch Fat Choice Raw</t>
  </si>
  <si>
    <t>Beef Top Sirloin Steak Separable Lean Only Trimmed To 1/8 Inch Fat Choice Raw</t>
  </si>
  <si>
    <t>Beef Rib Small End (Ribs 10-12) Separable Lean Only Trimmed To 1/8 Inchfat Choice Cooked Broiled</t>
  </si>
  <si>
    <t>Beef Chuck Arm Pot Roast Separable Lean Only Trimmed To 1/8 Inch Fat Select Raw</t>
  </si>
  <si>
    <t>Beef Brisket Flat Half Separable Lean Only Trimmed To 1/8 Inch Fat Select Raw</t>
  </si>
  <si>
    <t>Beef Chuck Arm Pot Roast Separable Lean Only Trimmed To 1/8 Inch Fat Select Cooked Braised</t>
  </si>
  <si>
    <t>Beef Brisket Flat Half Separable Lean Only Trimmed To 1/8 Inch Fat Select Cooked Braised</t>
  </si>
  <si>
    <t>Beef Variety Meats And By-Products Tripe Cooked Simmered</t>
  </si>
  <si>
    <t>Beef Bottom Sirloin Tri-Tip Roast Separable Lean Only Trimmed To 0 Inch Fat All Grades Raw</t>
  </si>
  <si>
    <t>Beef Bottom Sirloin Tri-Tip Roast Separable Lean Only Trimmed To 0 Inch Fat Choice Cooked Roasted</t>
  </si>
  <si>
    <t>Beef Bottom Sirloin Tri-Tip Roast Separable Lean Only Trimmed To 0 Inch Fat Choice Raw</t>
  </si>
  <si>
    <t>Beef Bottom Sirloin Tri-Tip Roast Separable Lean Only Trimmed To 0 Inch Fat Select Cooked Roasted</t>
  </si>
  <si>
    <t>Beef Flank Steak Separable Lean Only Trimmed To 0 Inch Fat All Grades Cooked Broiled</t>
  </si>
  <si>
    <t>Beef Flank Steak Separable Lean Only Trimmed To 0 Inch Fat Select Cooked Broiled</t>
  </si>
  <si>
    <t>Beef Flank Steak Separable Lean Only Trimmed To 0 Inch Fat All Grades Raw</t>
  </si>
  <si>
    <t>Beef Flank Steak Separable Lean Only Trimmed To 0 Inch Fat Select Raw</t>
  </si>
  <si>
    <t>Snacks Popcorn Microwave Low Fat</t>
  </si>
  <si>
    <t>Snacks Candy Rolls Yogurt-Covered Fruit Flavored With High Vitamin C</t>
  </si>
  <si>
    <t>Formulated Bar Mars Snackfood Us Snickers Marathon Chewy Chocolate Peanut Bar</t>
  </si>
  <si>
    <t>Formulated Bar Mars Snackfood Us Snickers Marathon Multigrain Crunch Bar</t>
  </si>
  <si>
    <t>Formulated Bar Mars Snackfood Us Cocoavia Chocolate Almond Snack Bar</t>
  </si>
  <si>
    <t>Snacks Sweet Potato Chips Unsalted</t>
  </si>
  <si>
    <t>Snacks Fritolay Sunchips Multigrain Snack Original Flavor</t>
  </si>
  <si>
    <t>Snacks Popcorn Microwave Regular (Butter) Flavor Made With Partially Hydrogenated Oil</t>
  </si>
  <si>
    <t>Formulated Bar Mars Snackfood Us Snickers Marathon Protein Performance Bar Caramel Nut Rush</t>
  </si>
  <si>
    <t>Formulated Bar Luna Bar Nutz Over Chocolate</t>
  </si>
  <si>
    <t>Snacks Fritolay Sunchips Multigrain French Onion Flavor</t>
  </si>
  <si>
    <t>Snacks Fritolay Sunchips Multigrain Snack Harvest Cheddar Flavor</t>
  </si>
  <si>
    <t>Soft Pretzels</t>
  </si>
  <si>
    <t>Snacks Vegetable Chips Hain Celestial Group Terra Chips</t>
  </si>
  <si>
    <t>Formulated Bar Zone Perfect Classic Crunch Bar Mixed Flavors</t>
  </si>
  <si>
    <t>Snacks Granola Bar Kashi Golean Chewy Mixed Flavors</t>
  </si>
  <si>
    <t>Snacks Granola Bar Kashi Tlc Bar Chewy Mixed Flavors</t>
  </si>
  <si>
    <t>Snacks Granola Bars Quaker Oatmeal To Go All Flavors</t>
  </si>
  <si>
    <t>Snacks Vegetable Chips Made From Garden Vegetables</t>
  </si>
  <si>
    <t>Snacks Granola Bar Kashi Tlc Bar Crunchy Mixed Flavors</t>
  </si>
  <si>
    <t>Snacks Candy Bits Yogurt Covered With Vitamin C</t>
  </si>
  <si>
    <t>Snacks Clif Bar Mixed Flavors</t>
  </si>
  <si>
    <t>Snacks Granola Bar Quaker Chewy 90 Calorie Bar</t>
  </si>
  <si>
    <t>Snacks Granola Bar General Mills Nature Valley Sweet&amp;salty Nut Peanut</t>
  </si>
  <si>
    <t>Snacks Granola Bar General Mills Nature Valley With Yogurt Coating</t>
  </si>
  <si>
    <t>Snack Mixed Berry Bar</t>
  </si>
  <si>
    <t>Snacks Potato Chips Made From Dried Potatoes (Preformed) Multigrain</t>
  </si>
  <si>
    <t>Snacks Potato Chips Lightly Salted</t>
  </si>
  <si>
    <t>Snacks Pretzels Gluten- Free Made With Cornstarch And Potato Flour</t>
  </si>
  <si>
    <t>Soup Egg Drop Chinese Restaurant</t>
  </si>
  <si>
    <t>Soup Hot And Sour Chinese Restaurant</t>
  </si>
  <si>
    <t>The Coca-Cola Company Nos Zero Energy Drink Sugar-Free With Guarana Fortified With Vitamins B6 And B12</t>
  </si>
  <si>
    <t>Alcoholic Beverage Whiskey Sour Canned</t>
  </si>
  <si>
    <t>Whiskey Sour Mix Bottled</t>
  </si>
  <si>
    <t>Alcoholic Beverage Whiskey Sour Prepared From Item 14028</t>
  </si>
  <si>
    <t>Abbott Eas Soy Protein Powder</t>
  </si>
  <si>
    <t>Cytosport Muscle Milk Ready-To-Drink</t>
  </si>
  <si>
    <t>Alcoholic Beverage Distilled All (Gin Rum Vodka Whiskey) 80 Proof</t>
  </si>
  <si>
    <t>Ocean Spray Cran-Energy Cranberry Energy Juice Drink</t>
  </si>
  <si>
    <t>Rum</t>
  </si>
  <si>
    <t>Vodka</t>
  </si>
  <si>
    <t>Whiskey</t>
  </si>
  <si>
    <t>Chocolate Almond Milk</t>
  </si>
  <si>
    <t>Energy Drink</t>
  </si>
  <si>
    <t>Energy Drink Sugar Free</t>
  </si>
  <si>
    <t>Abbott Ensure Nutritional Shake Ready-To-Drink</t>
  </si>
  <si>
    <t>Chocolate Drink Powder</t>
  </si>
  <si>
    <t>Zevia Cola</t>
  </si>
  <si>
    <t>Zevia Cola Caffeine Free</t>
  </si>
  <si>
    <t>Gerolsteiner Brunnen Gmbh &amp; Co. Kggerolsteiner Naturally Sparkling Mineral Water</t>
  </si>
  <si>
    <t>Yellow Green Colored Citrus Soft Drink With Caffeine</t>
  </si>
  <si>
    <t>V8 Splash Smoothies Strawberry Banana</t>
  </si>
  <si>
    <t>V8 Splash Smoothies Tropical Colada</t>
  </si>
  <si>
    <t>Coconut Water Ready-To-Drink Unsweetened</t>
  </si>
  <si>
    <t>Unsweetened Almond Milk</t>
  </si>
  <si>
    <t>Cabernet Sauvignon</t>
  </si>
  <si>
    <t>Cabernet Franc</t>
  </si>
  <si>
    <t>Pinot Noir</t>
  </si>
  <si>
    <t>Syrah</t>
  </si>
  <si>
    <t>White Wine</t>
  </si>
  <si>
    <t>Lemberger</t>
  </si>
  <si>
    <t>Sangiovese</t>
  </si>
  <si>
    <t>Carignane</t>
  </si>
  <si>
    <t>Pinot Gris (Grigio)</t>
  </si>
  <si>
    <t>Club Soda</t>
  </si>
  <si>
    <t>Gewurztraminer</t>
  </si>
  <si>
    <t>Gewurztraminer (Late Harvest)</t>
  </si>
  <si>
    <t>Semillon</t>
  </si>
  <si>
    <t>Ginger Ale</t>
  </si>
  <si>
    <t>Nestea</t>
  </si>
  <si>
    <t>Pinot Blanc</t>
  </si>
  <si>
    <t>Muscat Wine</t>
  </si>
  <si>
    <t>Diet Pepper Cola</t>
  </si>
  <si>
    <t>Caffeine Free Cola</t>
  </si>
  <si>
    <t>Cola Soft Drink</t>
  </si>
  <si>
    <t>Diet Cola</t>
  </si>
  <si>
    <t>Orange Soda</t>
  </si>
  <si>
    <t>Tea Black Ready-To-Drink Peach Diet</t>
  </si>
  <si>
    <t>Ocean Spray Ruby Red Cranberry</t>
  </si>
  <si>
    <t>Motts Apple Juice Light Fortified With Vitamin C</t>
  </si>
  <si>
    <t>Lemonade Powder</t>
  </si>
  <si>
    <t>Lemonade Powder Prepared With Water</t>
  </si>
  <si>
    <t>Lemonade-Flavor Drink Powder</t>
  </si>
  <si>
    <t>Lemonade-Flavor Drink Powder Prepared With Water</t>
  </si>
  <si>
    <t>Limeade Frozen Concentrate Prepared With Water</t>
  </si>
  <si>
    <t>Malt Beverage Includes Non-Alcoholic Beer</t>
  </si>
  <si>
    <t>Ovaltine Classic Malt Powder</t>
  </si>
  <si>
    <t>Malted Drink Mix Chocolate With Added Nutrients Powder Prepared With Whole Milk</t>
  </si>
  <si>
    <t>Malted Drink Mix Chocolate Powder</t>
  </si>
  <si>
    <t>Malted Drink Mix Chocolate Powder Prepared With Whole Milk</t>
  </si>
  <si>
    <t>Orange Drink Canned With Added Vitamin C</t>
  </si>
  <si>
    <t>Strawberry-Flavor Beverage Mix Powder</t>
  </si>
  <si>
    <t>Strawberry-Flavor Beverage Mix Powder Prepared With Whole Milk</t>
  </si>
  <si>
    <t>Tea Black Brewed Prepared With Tap Water Decaffeinated</t>
  </si>
  <si>
    <t>Tea Instant Decaffeinated Unsweetened</t>
  </si>
  <si>
    <t>Tea Instant Unsweetened Prepared With Water</t>
  </si>
  <si>
    <t>Lamb New Zealand Imported Square-Cut Shoulder Chops Separable Lean And Fat Cooked Braised</t>
  </si>
  <si>
    <t>Lamb New Zealand Imported Square-Cut Shoulder Chops Separable Lean And Fat Raw</t>
  </si>
  <si>
    <t>Lamb New Zealand Imported Square-Cut Shoulder Separable Lean And Fat Cooked Slow Roasted</t>
  </si>
  <si>
    <t>Lamb New Zealand Imported Tunnel-Boned Leg Chump Off Shank Off Separable Lean And Fat Raw</t>
  </si>
  <si>
    <t>Lamb New Zealand Imported Tenderloin Separable Lean And Fat Raw</t>
  </si>
  <si>
    <t>Veal Ground Cooked Pan-Fried</t>
  </si>
  <si>
    <t>Veal Leg Top Round Cap Off Cutlet Boneless Cooked Grilled</t>
  </si>
  <si>
    <t>Veal Shoulder Blade Chop Separable Lean Only Cooked Grilled</t>
  </si>
  <si>
    <t>Veal External Fat Only Raw</t>
  </si>
  <si>
    <t>Veal External Fat Only Cooked</t>
  </si>
  <si>
    <t>Veal Seam Fat Only Raw</t>
  </si>
  <si>
    <t>Lamb Australian Imported Fresh Leg Bottom Boneless Separable Lean Only Trimmed To 1/8 Inch Fat Cooked Roasted</t>
  </si>
  <si>
    <t>Lamb Australian Imported Fresh Leg Hindshank Heel On Bone-In Separable Lean Only Trimmed To 1/8 Inch Fat Cooked Braised</t>
  </si>
  <si>
    <t>Lamb Australian Imported Fresh Leg Hindshank Heel On Bone-In Separable Lean Only Trimmed To 1/8 Inch Fat Raw</t>
  </si>
  <si>
    <t>Lamb Australian Imported Fresh Tenderloin Boneless Separable Lean Only Trimmed To 1/8 Inch Fat Cooked Roasted</t>
  </si>
  <si>
    <t>Lamb Australian Imported Fresh Rack Roast Frenched Denuded Bone-In Separable Lean Only Trimmed To 0 Inch Fat Cooked Roasted</t>
  </si>
  <si>
    <t>Lamb Australian Imported Fresh Rack Roast Frenched Bone-In Separable Lean Only Trimmed To 1/8 Inch Fat Cooked Roasted</t>
  </si>
  <si>
    <t>Lamb Australian Imported Fresh External Fat Cooked</t>
  </si>
  <si>
    <t>Lamb Australian Imported Fresh External Fat Raw</t>
  </si>
  <si>
    <t>Lamb Australian Imported Fresh Leg Hindshank Heel On Bone-In Separable Lean And Fat Trimmed To 1/8 Inch Fat Cooked Braised</t>
  </si>
  <si>
    <t>Lamb Australian Imported Fresh Leg Hindshank Heel On Bone-In Separable Lean And Fat Trimmed To 1/8 Inch Fat Raw</t>
  </si>
  <si>
    <t>Lamb Australian Imported Fresh Leg Trotter Off Bone-In Separable Lean And Fat Trimmed To 1/8 Inch Fat Cooked Roasted</t>
  </si>
  <si>
    <t>Lamb Australian Imported Fresh Leg Trotter Off Bone-In Separable Lean And Fat Trimmed To 1/8 Inch Fat Raw</t>
  </si>
  <si>
    <t>Lamb Australian Imported Fresh Tenderloin Boneless Separable Lean And Fat Trimmed To 1/8 Inch Fat Cooked Roasted</t>
  </si>
  <si>
    <t>Lamb Australian Imported Fresh Rib Chop Frenched Denuded Bone-In Separable Lean And Fat Trimmed To 0 Inch Fat Cooked Grilled</t>
  </si>
  <si>
    <t>Bagels</t>
  </si>
  <si>
    <t>Toasted Bagels</t>
  </si>
  <si>
    <t>Egg Bagel</t>
  </si>
  <si>
    <t>Biscuits Plain Or Buttermilk Dry Mix</t>
  </si>
  <si>
    <t>Plain Buttermilk Biscuits</t>
  </si>
  <si>
    <t>Biscuits Plain Or Buttermilk Refrigerated Dough Lower Fat</t>
  </si>
  <si>
    <t>Biscuits Plain Or Buttermilk Refrigerated Dough Lower Fat Baked</t>
  </si>
  <si>
    <t>Bread Banana Prepared From Recipe Made With Margarine</t>
  </si>
  <si>
    <t>Bread Boston Brown Canned</t>
  </si>
  <si>
    <t>Bread Cornbread Dry Mix Enriched (Includes Corn Muffin Mix)</t>
  </si>
  <si>
    <t>Bread Cornbread Dry Mix Prepared With 2% Milk 80% Margarine And Eggs</t>
  </si>
  <si>
    <t>Bread Cornbread Prepared From Recipe Made With Low Fat (2%) Milk</t>
  </si>
  <si>
    <t>Bread French Or Vienna Toasted (Includes Sourdough)</t>
  </si>
  <si>
    <t>Bread Irish Soda Prepared From Recipe</t>
  </si>
  <si>
    <t>Bread Italian</t>
  </si>
  <si>
    <t>Multi-Grain Toast</t>
  </si>
  <si>
    <t>Pita Bread</t>
  </si>
  <si>
    <t>Whole Wheat Pita</t>
  </si>
  <si>
    <t>Bread Protein (Includes Gluten)</t>
  </si>
  <si>
    <t>Bread Pumpernickel</t>
  </si>
  <si>
    <t>Bread Reduced-Calorie Oatmeal</t>
  </si>
  <si>
    <t>Bread Reduced-Calorie Rye</t>
  </si>
  <si>
    <t>Bread Reduced-Calorie Wheat</t>
  </si>
  <si>
    <t>Bread Reduced-Calorie White</t>
  </si>
  <si>
    <t>Bread Rice Bran</t>
  </si>
  <si>
    <t>White Bread</t>
  </si>
  <si>
    <t>Toasted White Bread</t>
  </si>
  <si>
    <t>Bread White Prepared From Recipe Made With Nonfat Dry Milk</t>
  </si>
  <si>
    <t>Bread White Prepared From Recipe Made With Low Fat (2%) Milk</t>
  </si>
  <si>
    <t>Bread Crumbs Dry Grated Plain</t>
  </si>
  <si>
    <t>Bread Sticks Plain</t>
  </si>
  <si>
    <t>Bread Stuffing Bread Dry Mix</t>
  </si>
  <si>
    <t>Bread Stuffing Bread Dry Mix Prepared</t>
  </si>
  <si>
    <t>Cake Pudding-Type Carrot Dry Mix</t>
  </si>
  <si>
    <t>Cake Cherry Fudge With Chocolate Frosting</t>
  </si>
  <si>
    <t>Chocolate Cake With Frosting</t>
  </si>
  <si>
    <t>Cake Pudding-Type Chocolate Dry Mix</t>
  </si>
  <si>
    <t>Coffeecake Creme-Filled With Chocolate Frosting</t>
  </si>
  <si>
    <t>Coffeecake Fruit</t>
  </si>
  <si>
    <t>Coffeecake Cinnamon With Crumb Topping Dry Mix Prepared</t>
  </si>
  <si>
    <t>Cake Fruitcake Commercially Prepared</t>
  </si>
  <si>
    <t>Cake Pound Commercially Prepared Other Than All Butter Enriched</t>
  </si>
  <si>
    <t>Cake Shortcake Biscuit-Type Prepared From Recipe</t>
  </si>
  <si>
    <t>Cake Snack Cakes Creme-Filled Chocolate With Frosting</t>
  </si>
  <si>
    <t>Cake Snack Cakes Creme-Filled Sponge</t>
  </si>
  <si>
    <t>Yellow Cake With Chocolate Frosting</t>
  </si>
  <si>
    <t>Yellow Cake With Vanilla Frosting</t>
  </si>
  <si>
    <t>Cake Pudding-Type Yellow Dry Mix</t>
  </si>
  <si>
    <t>Cake Yellow Enriched Dry Mix</t>
  </si>
  <si>
    <t>Cookies Brownies Dry Mix Regular</t>
  </si>
  <si>
    <t>Cookies Brownies Prepared From Recipe</t>
  </si>
  <si>
    <t>Cookies Butter Commercially Prepared Enriched</t>
  </si>
  <si>
    <t>Cookies Fudge Cake-Type (Includes Trolley Cakes)</t>
  </si>
  <si>
    <t>Cookies Chocolate Chip Dry Mix</t>
  </si>
  <si>
    <t>Cookies Chocolate Chip Refrigerated Dough</t>
  </si>
  <si>
    <t>Cookies Chocolate Chip Refrigerated Dough Baked</t>
  </si>
  <si>
    <t>Cookies Chocolate Chip Prepared From Recipe Made With Margarine</t>
  </si>
  <si>
    <t>Gingersnaps</t>
  </si>
  <si>
    <t>Plain Graham Crackers</t>
  </si>
  <si>
    <t>Chocolate Coated Graham Crackers</t>
  </si>
  <si>
    <t>Ladyfingers</t>
  </si>
  <si>
    <t>Cookies Oatmeal Dry Mix</t>
  </si>
  <si>
    <t>Cookies Oatmeal Refrigerated Dough</t>
  </si>
  <si>
    <t>Cookies Oatmeal Refrigerated Dough Baked</t>
  </si>
  <si>
    <t>Cookies Oatmeal Prepared From Recipe With Raisins</t>
  </si>
  <si>
    <t>Cookies Peanut Butter Prepared From Recipe</t>
  </si>
  <si>
    <t>Cookies Peanut Butter Sandwich Regular</t>
  </si>
  <si>
    <t>Cookies Raisin Soft-Type</t>
  </si>
  <si>
    <t>Cookies Shortbread Commercially Prepared Plain</t>
  </si>
  <si>
    <t>Cookies Shortbread Commercially Prepared Pecan</t>
  </si>
  <si>
    <t>Cookies Peanut Butter Sandwich Special Dietary</t>
  </si>
  <si>
    <t>Cookies Sugar Wafer With Creme Filling Sugar Free</t>
  </si>
  <si>
    <t>Cookies Sugar Commercially Prepared Regular (Includes Vanilla)</t>
  </si>
  <si>
    <t>Cookies Sugar Refrigerated Dough</t>
  </si>
  <si>
    <t>Cookies Vanilla Wafers Lower Fat</t>
  </si>
  <si>
    <t>Cookies Vanilla Wafers Higher Fat</t>
  </si>
  <si>
    <t>Crackers Cheese Regular</t>
  </si>
  <si>
    <t>Crackers Cheese Sandwich-Type With Peanut Butter Filling</t>
  </si>
  <si>
    <t>Melba Toast</t>
  </si>
  <si>
    <t>Pumpernickel Melba Rye Toast</t>
  </si>
  <si>
    <t>Wheat Melba Toast Crackers</t>
  </si>
  <si>
    <t>Crackers Milk</t>
  </si>
  <si>
    <t>Crackers Rusk Toast</t>
  </si>
  <si>
    <t>Crackers Standard Snack-Type Regular</t>
  </si>
  <si>
    <t>Crackers Standard Snack-Type Sandwich With Cheese Filling</t>
  </si>
  <si>
    <t>Crackers Standard Snack-Type Sandwich With Peanut Butter Filling</t>
  </si>
  <si>
    <t>Crackers Wheat Regular</t>
  </si>
  <si>
    <t>Cream Puff Shell Prepared From Recipe</t>
  </si>
  <si>
    <t>Butter Croissants</t>
  </si>
  <si>
    <t>Croissants Apple</t>
  </si>
  <si>
    <t>Cheese Croissants</t>
  </si>
  <si>
    <t>Doughnuts Cake-Type Plain (Includes Unsugared Old-Fashioned)</t>
  </si>
  <si>
    <t>Doughnuts Cake-Type Plain Chocolate-Coated Or Frosted</t>
  </si>
  <si>
    <t>Doughnuts Cake-Type Plain Sugared Or Glazed</t>
  </si>
  <si>
    <t>Doughnuts Cake-Type Chocolate Sugared Or Glazed</t>
  </si>
  <si>
    <t>English Muffins Plain Enriched With Ca Prop (Includes Sourdough)</t>
  </si>
  <si>
    <t>English Muffins Plain Toasted Enriched With Calcium Propionate (Includes Sourdough)</t>
  </si>
  <si>
    <t>English Muffins Mixed-Grain (Includes Granola)</t>
  </si>
  <si>
    <t>English Muffins Raisin-Cinnamon (Includes Apple-Cinnamon)</t>
  </si>
  <si>
    <t>French Toast Prepared From Recipe Made With Low Fat (2%) Milk</t>
  </si>
  <si>
    <t>Hush Puppies Prepared From Recipe</t>
  </si>
  <si>
    <t>Ice Cream Cones Cake Or Wafer-Type</t>
  </si>
  <si>
    <t>Ice Cream Cones Sugar Rolled-Type</t>
  </si>
  <si>
    <t>Corn Muffins</t>
  </si>
  <si>
    <t>Muffins Corn Dry Mix Prepared</t>
  </si>
  <si>
    <t>Muffins Corn Toaster-Type</t>
  </si>
  <si>
    <t>Muffins Corn Prepared From Recipe Made With Low Fat (2%) Milk</t>
  </si>
  <si>
    <t>Pancakes Plain Dry Mix Complete Prepared</t>
  </si>
  <si>
    <t>Pancakes Plain Dry Mix Incomplete (Includes Buttermilk)</t>
  </si>
  <si>
    <t>Pancakes Plain Dry Mix Incomplete Prepared</t>
  </si>
  <si>
    <t>Pancakes Plain Prepared From Recipe</t>
  </si>
  <si>
    <t>Pancakes Whole-Wheat Dry Mix Incomplete Prepared</t>
  </si>
  <si>
    <t>Pie Apple Commercially Prepared Enriched Flour</t>
  </si>
  <si>
    <t>Pie Apple Prepared From Recipe</t>
  </si>
  <si>
    <t>Pie Banana Cream Prepared From Mix No-Bake Type</t>
  </si>
  <si>
    <t>Pie Chocolate Creme Commercially Prepared</t>
  </si>
  <si>
    <t>Pie Chocolate Mousse Prepared From Mix No-Bake Type</t>
  </si>
  <si>
    <t>Pie Coconut Creme Commercially Prepared</t>
  </si>
  <si>
    <t>Pie Coconut Cream Prepared From Mix No-Bake Type</t>
  </si>
  <si>
    <t>Pie Lemon Meringue Prepared From Recipe</t>
  </si>
  <si>
    <t>Pie Mince Prepared From Recipe</t>
  </si>
  <si>
    <t>Pie Peach</t>
  </si>
  <si>
    <t>Pie Pecan Commercially Prepared</t>
  </si>
  <si>
    <t>Pie Crust Standard-Type Dry Mix</t>
  </si>
  <si>
    <t>Pie Crust Standard-Type Dry Mix Prepared Baked</t>
  </si>
  <si>
    <t>Pie Crust Standard-Type Frozen Ready-To-Bake Enriched</t>
  </si>
  <si>
    <t>Pie Crust Standard-Type Frozen Ready-To-Bake Enriched Baked</t>
  </si>
  <si>
    <t>Pie Crust Standard-Type Prepared From Recipe Baked</t>
  </si>
  <si>
    <t>Rolls Dinner Egg</t>
  </si>
  <si>
    <t>Rolls Dinner Oat Bran</t>
  </si>
  <si>
    <t>Rolls Dinner Rye</t>
  </si>
  <si>
    <t>Rolls Dinner Wheat</t>
  </si>
  <si>
    <t>Rolls Hard (Includes Kaiser)</t>
  </si>
  <si>
    <t>Apple Strudel</t>
  </si>
  <si>
    <t>Sweet Rolls Cheese</t>
  </si>
  <si>
    <t>Sweet Rolls Cinnamon Commercially Prepared With Raisins</t>
  </si>
  <si>
    <t>Toaster Pastries Fruit (Includes Apple Blueberry Cherry Strawberry)</t>
  </si>
  <si>
    <t>Tortillas Ready-To-Bake Or -Fry Corn</t>
  </si>
  <si>
    <t>Tortillas Ready-To-Bake Or -Fry Flour Refrigerated</t>
  </si>
  <si>
    <t>Waffles Plain Frozen Ready-To-Heat</t>
  </si>
  <si>
    <t>Waffles Plain Prepared From Recipe</t>
  </si>
  <si>
    <t>Leavening Agents Baking Soda</t>
  </si>
  <si>
    <t>Leavening Agents Cream Of Tartar</t>
  </si>
  <si>
    <t>Leavening Agents Yeast Bakers Compressed</t>
  </si>
  <si>
    <t>Leavening Agents Yeast Bakers Active Dry</t>
  </si>
  <si>
    <t>Bread Rice Bran Toasted</t>
  </si>
  <si>
    <t>Muffins Blueberry Toaster-Type Toasted</t>
  </si>
  <si>
    <t>Muffins Wheat Bran Toaster-Type With Raisins Toasted</t>
  </si>
  <si>
    <t>Pancakes Buttermilk Prepared From Recipe</t>
  </si>
  <si>
    <t>Waffles Plain Frozen Ready -To-Heat Toasted</t>
  </si>
  <si>
    <t>Bagels Plain Enriched Without Calcium Propionate (Includes Onion Poppy Sesame)</t>
  </si>
  <si>
    <t>Bagels Plain Unenriched With Calcium Propionate (Includes Onion Poppy Sesame)</t>
  </si>
  <si>
    <t>Bagels Plain Unenriched Without Calcium Propionate(Includes Onion Poppy Sesame)</t>
  </si>
  <si>
    <t>Coffeecake Cinnamon With Crumb Topping Commercially Prepared Unenriched</t>
  </si>
  <si>
    <t>Cake Pound Commercially Prepared Other Than All Butter Unenriched</t>
  </si>
  <si>
    <t>Cake Pudding-Type White Unenriched Dry Mix</t>
  </si>
  <si>
    <t>Cake Yellow Unenriched Dry Mix</t>
  </si>
  <si>
    <t>Crackers Saltines Low Salt (Includes Oyster Soda Soup)</t>
  </si>
  <si>
    <t>Crackers Saltines Unsalted Tops (Includes Oyster Soda Soup)</t>
  </si>
  <si>
    <t>Crackers Standard Snack-Type Regular Low Salt</t>
  </si>
  <si>
    <t>Crackers Wheat Low Salt</t>
  </si>
  <si>
    <t>Crackers Cheese Low Sodium</t>
  </si>
  <si>
    <t>Danish Pastry Raspberry Unenriched</t>
  </si>
  <si>
    <t>Doughnuts Yeast-Leavened Glazed Unenriched (Includes Honey Buns)</t>
  </si>
  <si>
    <t>English Muffins Plain Enriched Without Calcium Propionate(Includes Sourdough)</t>
  </si>
  <si>
    <t>Pie Fried Pies Lemon</t>
  </si>
  <si>
    <t>Pie Crust Standard-Type Frozen Ready-To-Bake Unenriched</t>
  </si>
  <si>
    <t>Popovers Dry Mix Unenriched</t>
  </si>
  <si>
    <t>Taco Shells Baked Without Added Salt</t>
  </si>
  <si>
    <t>Crackers Saltines Fat-Free Low-Sodium</t>
  </si>
  <si>
    <t>Breakfast Tart Low Fat</t>
  </si>
  <si>
    <t>Archway Home Style Cookies Sugar Free Oatmeal</t>
  </si>
  <si>
    <t>Archway Home Style Cookies Chocolate Chip Ice Box</t>
  </si>
  <si>
    <t>Archway Home Style Cookies Iced Oatmeal</t>
  </si>
  <si>
    <t>Archway Home Style Cookies Molasses</t>
  </si>
  <si>
    <t>Archway Home Style Cookies Oatmeal</t>
  </si>
  <si>
    <t>Archway Home Style Cookies Oatmeal Raisin</t>
  </si>
  <si>
    <t>Archway Home Style Cookies Strawberry Filled</t>
  </si>
  <si>
    <t>Archway Home Style Cookies Reduced Fat Ginger Snaps</t>
  </si>
  <si>
    <t>Artificial Blueberry Muffin Mix Dry</t>
  </si>
  <si>
    <t>Kraft Stove Top Stuffing Mix Chicken Flavor</t>
  </si>
  <si>
    <t>Martha White Foods Martha Whites Chewy Fudge Brownie Mix Dry</t>
  </si>
  <si>
    <t>Martha White Foods Martha Whites Buttermilk Biscuit Mix Dry</t>
  </si>
  <si>
    <t>Mission Foods Mission Flour Tortillas Soft Taco 8 Inch</t>
  </si>
  <si>
    <t>Nabisco Nabisco Grahams Crackers</t>
  </si>
  <si>
    <t>Nabisco Nabisco Oreo Crunchies Cookie Crumb Topping</t>
  </si>
  <si>
    <t>Game Meat Deer Cooked Roasted</t>
  </si>
  <si>
    <t>Game Meat Horse Raw</t>
  </si>
  <si>
    <t>Game Meat Horse Cooked Roasted</t>
  </si>
  <si>
    <t>Tea Instant Lemon Unsweetened</t>
  </si>
  <si>
    <t>Tea Instant Lemon Sweetened Powder</t>
  </si>
  <si>
    <t>Tea Instant Lemon Sweetened Prepared With Water</t>
  </si>
  <si>
    <t>Tea Instant Sweetened With Sodium Saccharin Lemon-Flavored Powder</t>
  </si>
  <si>
    <t>Cocoa Mix With Aspartame Powder Prepared With Water</t>
  </si>
  <si>
    <t>Carbonated Cola Fast-Food Cola</t>
  </si>
  <si>
    <t>Fruit Punch Juice Drink Frozen Concentrate</t>
  </si>
  <si>
    <t>Fruit Punch Juice Drink Frozen Concentrate Prepared With Water</t>
  </si>
  <si>
    <t>Well Water</t>
  </si>
  <si>
    <t>Coffee Liqueur</t>
  </si>
  <si>
    <t>Coffee Cream Liqueur</t>
  </si>
  <si>
    <t>Carbonated Low Calorie Cola Or Pepper-Type With Aspartame Contains Caffeine</t>
  </si>
  <si>
    <t>Orange Drink Breakfast Type With Juice And Pulp Frozen Concentrate</t>
  </si>
  <si>
    <t>Orange Drink Breakfast Type With Juice And Pulp Frozen Concentrate Prepared With Water</t>
  </si>
  <si>
    <t>Shake Fast Food Strawberry</t>
  </si>
  <si>
    <t>Water Tap Municipal</t>
  </si>
  <si>
    <t>The Coca-Cola Company Dasani Water Bottled Non-Carbonated</t>
  </si>
  <si>
    <t>Orange Breakfast Drink Ready-To-Drink With Added Nutrients</t>
  </si>
  <si>
    <t>Water Bottled Non-Carbonated Calistoga</t>
  </si>
  <si>
    <t>Water Bottled Non-Carbonated Crystal Geyser</t>
  </si>
  <si>
    <t>Coca-Cola Powerade Lemon-Lime Flavored Ready-To-Drink</t>
  </si>
  <si>
    <t>Propel Zero Fruit-Flavored Non-Carbonated</t>
  </si>
  <si>
    <t>Arizona Tea Ready-To-Drink Lemon</t>
  </si>
  <si>
    <t>Lipton Brisk Tea Black Ready-To-Drink Lemon</t>
  </si>
  <si>
    <t>Dry Dessert Wine</t>
  </si>
  <si>
    <t>Carbonated Beverage Low Calorie Other Than Cola Or Pepper With Sodium Saccharin Without Caffeine</t>
  </si>
  <si>
    <t>Cocoa Mix Low Calorie Powder With Added Calcium Phosphorus Aspartame Without Added Sodium Or Vitamin A</t>
  </si>
  <si>
    <t>Fruit Punch-Flavor Drink Powder Without Added Sodium Prepared With Water</t>
  </si>
  <si>
    <t>Fish Herring Atlantic Raw</t>
  </si>
  <si>
    <t>Atlantic Herring</t>
  </si>
  <si>
    <t>Pickled Herring</t>
  </si>
  <si>
    <t>Atlantic Mackerel (Raw)</t>
  </si>
  <si>
    <t>Atlantic Mackerel (Cooked)</t>
  </si>
  <si>
    <t>Fish Mackerel Jack Canned Drained Solids</t>
  </si>
  <si>
    <t>Fish Mackerel King Raw</t>
  </si>
  <si>
    <t>Fish Mullet Striped Raw</t>
  </si>
  <si>
    <t>Fish Mullet Striped Cooked Dry Heat</t>
  </si>
  <si>
    <t>Fish Ocean Perch Atlantic Raw</t>
  </si>
  <si>
    <t>Cooked Atlantic Perch</t>
  </si>
  <si>
    <t>Cooked Northern Pike</t>
  </si>
  <si>
    <t>Fish Pike Walleye Raw</t>
  </si>
  <si>
    <t>Fish Pollock Atlantic Raw</t>
  </si>
  <si>
    <t>Fish Pollock Alaska Raw (May Have Been Previously Frozen)</t>
  </si>
  <si>
    <t>Fish Rockfish Pacific Mixed Species Cooked Dry Heat</t>
  </si>
  <si>
    <t>Fish Roe</t>
  </si>
  <si>
    <t>Fish Roughy Orange Raw</t>
  </si>
  <si>
    <t>Fish Sablefish Raw</t>
  </si>
  <si>
    <t>Fish Salmon Chum Canned Drained Solids With Bone</t>
  </si>
  <si>
    <t>Fish Salmon Coho Wild Raw</t>
  </si>
  <si>
    <t>Cooked Coho Salmon (Wild Moist Heat)</t>
  </si>
  <si>
    <t>Pink Salmon (Raw)</t>
  </si>
  <si>
    <t>Canned Sardines</t>
  </si>
  <si>
    <t>Fish Sardine Pacific Canned In Tomato Sauce Drained Solids With Bone</t>
  </si>
  <si>
    <t>Fish Scup Raw</t>
  </si>
  <si>
    <t>Fish Sea Bass Mixed Species Raw</t>
  </si>
  <si>
    <t>Fish Shark Mixed Species Cooked Batter-Dipped And Fried</t>
  </si>
  <si>
    <t>Fish Sheepshead Raw</t>
  </si>
  <si>
    <t>Fish Sheepshead Cooked Dry Heat</t>
  </si>
  <si>
    <t>Fish Smelt Rainbow Raw</t>
  </si>
  <si>
    <t>Cooked Smelt</t>
  </si>
  <si>
    <t>Cooked Sturgeon</t>
  </si>
  <si>
    <t>Smoked Sturgeon</t>
  </si>
  <si>
    <t>Fish Sucker White Raw</t>
  </si>
  <si>
    <t>Fish Sunfish Pumpkin Seed Raw</t>
  </si>
  <si>
    <t>Cooked Tilefish</t>
  </si>
  <si>
    <t>Fish Trout Mixed Species Raw</t>
  </si>
  <si>
    <t>Fish Trout Rainbow Wild Raw</t>
  </si>
  <si>
    <t>Cooked Trout</t>
  </si>
  <si>
    <t>Skipjack Tuna (Raw)</t>
  </si>
  <si>
    <t>Canned White Tuna (Oil Packed)</t>
  </si>
  <si>
    <t>Canned White Tuna (Water Packed)</t>
  </si>
  <si>
    <t>Yellowfin Tuna (Raw)</t>
  </si>
  <si>
    <t>Fish Tuna Salad</t>
  </si>
  <si>
    <t>Cooked Whiting</t>
  </si>
  <si>
    <t>Fish Wolffish Atlantic Raw</t>
  </si>
  <si>
    <t>Yellowtail (Raw)</t>
  </si>
  <si>
    <t>Crustaceans Crab Alaska King Raw</t>
  </si>
  <si>
    <t>Fish Catfish Channel Farmed Raw</t>
  </si>
  <si>
    <t>Fish Catfish Channel Farmed Cooked Dry Heat</t>
  </si>
  <si>
    <t>Farmed Atlantic Salmon (Raw)</t>
  </si>
  <si>
    <t>Farmed Atlantic Salmon</t>
  </si>
  <si>
    <t>Crustaceans Crayfish Mixed Species Farmed Raw</t>
  </si>
  <si>
    <t>Cooked Crayfish</t>
  </si>
  <si>
    <t>Cooked Eastern Oysters (Wild)</t>
  </si>
  <si>
    <t>Raw Eastern Oysters</t>
  </si>
  <si>
    <t>Cooked Eastern Oysters (Farmed)</t>
  </si>
  <si>
    <t>Canned Sockeye Salmon (With Skin And Bones)</t>
  </si>
  <si>
    <t>Canned Pink Salmon (With Skin And Bones)</t>
  </si>
  <si>
    <t>Raw Tilapia</t>
  </si>
  <si>
    <t>Cooked Tilapia</t>
  </si>
  <si>
    <t>Cooked Cod</t>
  </si>
  <si>
    <t>Crustaceans Shrimp Raw (Not Previously Frozen)</t>
  </si>
  <si>
    <t>Crustaceans Shrimp Cooked (Not Previously Frozen)</t>
  </si>
  <si>
    <t>Fish Trout Brook Raw New York State</t>
  </si>
  <si>
    <t>Canned Baked Beans</t>
  </si>
  <si>
    <t>Canned Baked Beans With Beef</t>
  </si>
  <si>
    <t>Beans Baked Canned With Franks</t>
  </si>
  <si>
    <t>Beans Baked Canned With Pork</t>
  </si>
  <si>
    <t>Beans Black Turtle Mature Seeds Raw</t>
  </si>
  <si>
    <t>Black Turtle Beans</t>
  </si>
  <si>
    <t>Beans Black Turtle Mature Seeds Canned</t>
  </si>
  <si>
    <t>Beans Cranberry (Roman) Mature Seeds Raw</t>
  </si>
  <si>
    <t>Beans Great Northern Mature Seeds Raw</t>
  </si>
  <si>
    <t>Great Northern Beans</t>
  </si>
  <si>
    <t>Beans Great Northern Mature Seeds Canned</t>
  </si>
  <si>
    <t>Beans Kidney All Types Mature Seeds Raw</t>
  </si>
  <si>
    <t>Cooked Red Kidney Beans</t>
  </si>
  <si>
    <t>Canned Red Kidney Beans</t>
  </si>
  <si>
    <t>Beans Kidney Royal Red Mature Seeds Raw</t>
  </si>
  <si>
    <t>Boiled Red Kidney Beans</t>
  </si>
  <si>
    <t>Beans Pink Mature Seeds Cooked Boiled Without Salt</t>
  </si>
  <si>
    <t>Beans Pinto Mature Seeds Raw</t>
  </si>
  <si>
    <t>Pinto Beans (Cooked)</t>
  </si>
  <si>
    <t>Beans Pinto Mature Seeds Canned Solids And Liquids</t>
  </si>
  <si>
    <t>Beans White Mature Seeds Raw</t>
  </si>
  <si>
    <t>Cooked Large White Beans</t>
  </si>
  <si>
    <t>Beans White Mature Seeds Canned</t>
  </si>
  <si>
    <t>Broadbeans (Fava Beans) Mature Seeds Raw</t>
  </si>
  <si>
    <t>Chickpeas (Garbanzo Beans Bengal Gram) Mature Seeds Canned Solids And Liquids</t>
  </si>
  <si>
    <t>Canned Chili With Beans</t>
  </si>
  <si>
    <t>Cowpeas Catjang Mature Seeds Raw</t>
  </si>
  <si>
    <t>Cooked Catjang Beans</t>
  </si>
  <si>
    <t>Hyacinth Beans Mature Seeds Raw</t>
  </si>
  <si>
    <t>Hyacinth Beans Mature Seeds Cooked Boiled Without Salt</t>
  </si>
  <si>
    <t>Vitasoy Usa Vitasoy Organic Creamy Original Soy Milk</t>
  </si>
  <si>
    <t>Vitasoy Usa Vitasoy Organic Classic Original Soy Milk</t>
  </si>
  <si>
    <t>Vitasoy Usa Vitasoy Light Vanilla Soy Milk</t>
  </si>
  <si>
    <t>Soy Milk</t>
  </si>
  <si>
    <t>Soy Milk (All Flavors) Nonfat With Added Calcium Vitamins A And D</t>
  </si>
  <si>
    <t>Soy Milk Chocolate Nonfat With Added Calcium Vitamins A And D</t>
  </si>
  <si>
    <t>Silk (Soy Milk)</t>
  </si>
  <si>
    <t>Silk Vanilla Soy Milk</t>
  </si>
  <si>
    <t>Silk Plus Omega-3 Dha Soy Milk</t>
  </si>
  <si>
    <t>Silk Plus For Bone Health Soy Milk</t>
  </si>
  <si>
    <t>Silk Plus Fiber Soy Milk</t>
  </si>
  <si>
    <t>Unsweetened Soy Milk</t>
  </si>
  <si>
    <t>Silk Coffee Soy Milk</t>
  </si>
  <si>
    <t>Silk Vanilla Soy Yogurt (Family Size)</t>
  </si>
  <si>
    <t>Silk Vanilla Soy Yogurt (Single Serving Size)</t>
  </si>
  <si>
    <t>Silk Plain Soy Yogurt</t>
  </si>
  <si>
    <t>Silk Strawberry Soy Yogurt</t>
  </si>
  <si>
    <t>Silk Key Lime Soy Yogurt</t>
  </si>
  <si>
    <t>Silk Banana-Strawberry Soy Yogurt</t>
  </si>
  <si>
    <t>Silk Original Creamer</t>
  </si>
  <si>
    <t>Silk French Vanilla Creamer</t>
  </si>
  <si>
    <t>Vitasoy Usa Organic Nasoya Tofu Plus Firm</t>
  </si>
  <si>
    <t>Vitasoy Usa Organic Nasoya Sprouted Tofu Plus Super Firm</t>
  </si>
  <si>
    <t>Vitasoy Usa Azumaya Extra Firm Tofu</t>
  </si>
  <si>
    <t>Vitasoy Usa Azumaya Firm Tofu</t>
  </si>
  <si>
    <t>Beans Black Mature Seeds Cooked Boiled With Salt</t>
  </si>
  <si>
    <t>Beans Black Mature Seeds Canned Low Sodium</t>
  </si>
  <si>
    <t>Beans Black Turtle Mature Seeds Cooked Boiled With Salt</t>
  </si>
  <si>
    <t>Beans Cranberry (Roman) Mature Seeds Cooked Boiled With Salt</t>
  </si>
  <si>
    <t>Beans French Mature Seeds Cooked Boiled With Salt</t>
  </si>
  <si>
    <t>Beans Kidney Red Mature Seeds Cooked Boiled With Salt</t>
  </si>
  <si>
    <t>Beans Kidney Red Mature Seeds Canned Drained Solids Rinsed In Tap Water</t>
  </si>
  <si>
    <t>Beans Kidney Royal Red Mature Seeds Cooked Boiled With Salt</t>
  </si>
  <si>
    <t>Beans Kidney Red Mature Seeds Canned Solids And Liquid Low Sodium</t>
  </si>
  <si>
    <t>Beans Small White Mature Seeds Cooked Boiled With Salt</t>
  </si>
  <si>
    <t>Beans Pinto Mature Seeds Canned Solids And Liquids Low Sodium</t>
  </si>
  <si>
    <t>Beans Yellow Mature Seeds Cooked Boiled With Salt</t>
  </si>
  <si>
    <t>Beans White Mature Seeds Cooked Boiled With Salt</t>
  </si>
  <si>
    <t>Chickpeas (Garbanzo Beans Bengal Gram) Mature Seeds Canned Solids And Liquids Low Sodium</t>
  </si>
  <si>
    <t>Cowpeas Catjang Mature Seeds Cooked Boiled With Salt</t>
  </si>
  <si>
    <t>Cowpeas Common (Blackeyes Crowder Southern) Mature Seeds Cooked Boiled With Salt</t>
  </si>
  <si>
    <t>Hyacinth Beans Mature Seeds Cooked Boiled With Salt</t>
  </si>
  <si>
    <t>Lentils Mature Seeds Cooked Boiled With Salt</t>
  </si>
  <si>
    <t>Mung Beans Mature Seeds Cooked Boiled With Salt</t>
  </si>
  <si>
    <t>Mungo Beans Mature Seeds Cooked Boiled With Salt</t>
  </si>
  <si>
    <t>Peas Split Mature Seeds Cooked Boiled With Salt</t>
  </si>
  <si>
    <t>Peanuts All Types Oil-Roasted Without Salt</t>
  </si>
  <si>
    <t>Lamb New Zealand Imported Frozen Loin Separable Lean And Fat Cooked Broiled</t>
  </si>
  <si>
    <t>Lamb New Zealand Imported Rack - Partly Frenched Separable Lean Only Raw</t>
  </si>
  <si>
    <t>Lamb New Zealand Imported Rack - Partly Frenched Separable Lean Only Cooked Fast Roasted</t>
  </si>
  <si>
    <t>Lamb New Zealand Imported Square-Cut Shoulder Separable Lean And Fat Raw</t>
  </si>
  <si>
    <t>Lamb New Zealand Imported Frozen Shoulder Whole (Arm And Blade) Separable Lean And Fat Cooked Braised</t>
  </si>
  <si>
    <t>Lamb New Zealand Imported Square-Cut Shoulder Separable Lean Only Raw</t>
  </si>
  <si>
    <t>Veal Composite Of Trimmed Retail Cuts Separable Lean Only Cooked</t>
  </si>
  <si>
    <t>Veal Composite Of Trimmed Retail Cuts Separable Fat Raw</t>
  </si>
  <si>
    <t>Veal Composite Of Trimmed Retail Cuts Separable Fat Cooked</t>
  </si>
  <si>
    <t>Veal Leg (Top Round) Separable Lean And Fat Raw</t>
  </si>
  <si>
    <t>Veal Leg (Top Round) Separable Lean Only Raw</t>
  </si>
  <si>
    <t>Veal Leg Top Roast (Cooked)</t>
  </si>
  <si>
    <t>Veal Leg (Top Round) Separable Lean Only Cooked Pan-Fried Breaded</t>
  </si>
  <si>
    <t>Veal Leg (Top Round) Separable Lean Only Cooked Pan-Fried Not Breaded</t>
  </si>
  <si>
    <t>Veal Loin Separable Lean Only Cooked Braised</t>
  </si>
  <si>
    <t>Veal Loin Separable Lean Only Cooked Roasted</t>
  </si>
  <si>
    <t>Veal Rib Separable Lean And Fat Raw</t>
  </si>
  <si>
    <t>Veal Rib Separable Lean And Fat Cooked Braised</t>
  </si>
  <si>
    <t>Veal Shoulder Whole (Arm And Blade) Separable Lean And Fat Raw</t>
  </si>
  <si>
    <t>Veal Shoulder Whole (Arm And Blade) Separable Lean And Fat Cooked Braised</t>
  </si>
  <si>
    <t>Veal Shoulder Whole (Arm And Blade) Separable Lean And Fat Cooked Roasted</t>
  </si>
  <si>
    <t>Veal Shoulder Whole (Arm And Blade) Separable Lean Only Raw</t>
  </si>
  <si>
    <t>Veal Shoulder Arm Separable Lean And Fat Cooked Roasted</t>
  </si>
  <si>
    <t>Veal Shoulder Arm Separable Lean Only Raw</t>
  </si>
  <si>
    <t>Veal Shoulder Arm Separable Lean Only Cooked Braised</t>
  </si>
  <si>
    <t>Veal Shoulder Arm Separable Lean Only Cooked Roasted</t>
  </si>
  <si>
    <t>Veal Shoulder Blade Separable Lean Only Cooked Roasted</t>
  </si>
  <si>
    <t>Veal Sirloin Separable Lean And Fat Raw</t>
  </si>
  <si>
    <t>Veal Sirloin Separable Lean And Fat Cooked Braised</t>
  </si>
  <si>
    <t>Veal Sirloin Separable Lean And Fat Cooked Roasted</t>
  </si>
  <si>
    <t>Veal Cubed For Stew (Leg And Shoulder) Separable Lean Only Cooked Braised</t>
  </si>
  <si>
    <t>Veal Ground Raw</t>
  </si>
  <si>
    <t>Veal Ground Cooked Broiled</t>
  </si>
  <si>
    <t>Game Meat Antelope Raw</t>
  </si>
  <si>
    <t>Bison Ground Grass-Fed Raw</t>
  </si>
  <si>
    <t>Game Meat Beaver Raw</t>
  </si>
  <si>
    <t>Game Meat Beaver Cooked Roasted</t>
  </si>
  <si>
    <t>Game Meat Beefalo Composite Of Cuts Raw</t>
  </si>
  <si>
    <t>Game Meat Boar Wild Raw</t>
  </si>
  <si>
    <t>Roasted Wild Boar</t>
  </si>
  <si>
    <t>Game Meat Buffalo Water Raw</t>
  </si>
  <si>
    <t>Game Meat Buffalo Water Cooked Roasted</t>
  </si>
  <si>
    <t>Game Meat Elk Raw</t>
  </si>
  <si>
    <t>Game Meat Elk Cooked Roasted</t>
  </si>
  <si>
    <t>Goat Raw</t>
  </si>
  <si>
    <t>Game Meat Goat Cooked Roasted</t>
  </si>
  <si>
    <t>Milk Nfs</t>
  </si>
  <si>
    <t xml:space="preserve">Dairy and Egg Products </t>
  </si>
  <si>
    <t>Buttermilk Fat Free (Skim)</t>
  </si>
  <si>
    <t>Buttermilk Low Fat (1%)</t>
  </si>
  <si>
    <t>Kefir Ns As To Fat Content</t>
  </si>
  <si>
    <t>Milk Dry Reconstituted Ns As To Fat Content</t>
  </si>
  <si>
    <t>Milk Dry Reconstituted Whole</t>
  </si>
  <si>
    <t>Milk Dry Reconstituted Low Fat (1%)</t>
  </si>
  <si>
    <t>Milk Dry Reconstituted Fat Free (Skim)</t>
  </si>
  <si>
    <t>Milk Evaporated Reduced Fat (2%)</t>
  </si>
  <si>
    <t>Non-Dairy Milk Nfs</t>
  </si>
  <si>
    <t>Almond Milk Unsweetened</t>
  </si>
  <si>
    <t>Yogurt Ns As To Type Of Milk Fruit</t>
  </si>
  <si>
    <t>Yogurt Whole Milk Fruit</t>
  </si>
  <si>
    <t>Yogurt Low Fat Milk Fruit</t>
  </si>
  <si>
    <t>Yogurt Nonfat Milk Fruit</t>
  </si>
  <si>
    <t>Yogurt Greek Ns As To Type Of Milk Fruit</t>
  </si>
  <si>
    <t>Yogurt Greek Low Fat Milk Fruit</t>
  </si>
  <si>
    <t>Yogurt Ns As To Type Of Milk Flavors Other Than Fruit</t>
  </si>
  <si>
    <t>Yogurt Whole Milk Flavors Other Than Fruit</t>
  </si>
  <si>
    <t>Yogurt Low Fat Milk Flavors Other Than Fruit</t>
  </si>
  <si>
    <t>Yogurt Nonfat Milk Flavors Other Than Fruit</t>
  </si>
  <si>
    <t>Yogurt Greek Whole Milk Flavors Other Than Fruit</t>
  </si>
  <si>
    <t>Yogurt Greek With Oats</t>
  </si>
  <si>
    <t>Yogurt Liquid</t>
  </si>
  <si>
    <t>Chipotle Dip Yogurt Based</t>
  </si>
  <si>
    <t>Dill Dip Yogurt Based</t>
  </si>
  <si>
    <t>Onion Dip Yogurt Based</t>
  </si>
  <si>
    <t>Ranch Dip Yogurt Based</t>
  </si>
  <si>
    <t>Spinach Dip Yogurt Based</t>
  </si>
  <si>
    <t>Tzatziki Dip</t>
  </si>
  <si>
    <t>Vegetable Dip Yogurt Based</t>
  </si>
  <si>
    <t>Yogurt Frozen Chocolate Lowfat Milk</t>
  </si>
  <si>
    <t>Yogurt Frozen Ns As To Flavor Nonfat Milk</t>
  </si>
  <si>
    <t>Yogurt Frozen Flavors Other Than Chocolate With Sorbet Or Sorbet-Coated</t>
  </si>
  <si>
    <t>Yogurt Frozen Chocolate-Coated</t>
  </si>
  <si>
    <t>Yogurt Frozen Sandwich</t>
  </si>
  <si>
    <t>Yogurt Frozen Cone Chocolate</t>
  </si>
  <si>
    <t>Yogurt Frozen Cone Flavors Other Than Chocolate</t>
  </si>
  <si>
    <t>Yogurt Frozen Cone Flavors Other Than Chocolate Lowfat Milk</t>
  </si>
  <si>
    <t>Yogurt Frozen Cone Chocolate Lowfat Milk</t>
  </si>
  <si>
    <t>Chocolate Milk Ready To Drink Low Fat</t>
  </si>
  <si>
    <t>Chocolate Milk Ready To Drink Reduced Sugar Ns As To Milk</t>
  </si>
  <si>
    <t>Chocolate Milk Ready To Drink Low Fat (Nesquik)</t>
  </si>
  <si>
    <t>Chocolate Milk Ready To Drink Low Fat No Sugar Added (Nesquik)</t>
  </si>
  <si>
    <t>Hot Chocolate / Cocoa Ready To Drink</t>
  </si>
  <si>
    <t>Hot Chocolate / Cocoa Ready To Drink Made With Nonfat Milk</t>
  </si>
  <si>
    <t>Hot Chocolate / Cocoa Ready To Drink Made With Non-Dairy Milk</t>
  </si>
  <si>
    <t>Hot Chocolate / Cocoa Ready To Drink With Whipped Cream</t>
  </si>
  <si>
    <t>Hot Chocolate / Cocoa Ready To Drink Made With Nonfat Milk And Whipped Cream</t>
  </si>
  <si>
    <t>Hot Chocolate / Cocoa Ready To Drink Made With Non-Dairy Milk And Whipped Cream</t>
  </si>
  <si>
    <t>Chocolate Milk Made From Dry Mix Ns As To Type Of Milk</t>
  </si>
  <si>
    <t>Chocolate Milk Made From Dry Mix With Whole Milk</t>
  </si>
  <si>
    <t>Chocolate Milk Made From Dry Mix With Reduced Fat Milk</t>
  </si>
  <si>
    <t>Chocolate Milk Made From Dry Mix With Low Fat Milk</t>
  </si>
  <si>
    <t>Chocolate Milk Made From Dry Mix With Fat Free Milk</t>
  </si>
  <si>
    <t>Chocolate Milk Made From Dry Mix With Non-Dairy Milk</t>
  </si>
  <si>
    <t>Chocolate Milk Made From Reduced Sugar Mix Ns As To Type Of Milk</t>
  </si>
  <si>
    <t>Chocolate Milk Made From Reduced Sugar Mix With Whole Milk</t>
  </si>
  <si>
    <t>Chocolate Milk Made From Reduced Sugar Mix With Reduced Fat Milk</t>
  </si>
  <si>
    <t>Chocolate Milk Made From Reduced Sugar Mix With Low Fat Milk</t>
  </si>
  <si>
    <t>Chocolate Milk Made From Reduced Sugar Mix With Fat Free Milk</t>
  </si>
  <si>
    <t>Chocolate Milk Made From Reduced Sugar Mix With Non-Dairy Milk</t>
  </si>
  <si>
    <t>Chocolate Milk Made From Dry Mix Ns As To Type Of Milk (Nesquik)</t>
  </si>
  <si>
    <t>Chocolate Milk Made From Dry Mix With Whole Milk (Nesquik)</t>
  </si>
  <si>
    <t>Chocolate Milk Made From Dry Mix With Reduced Fat Milk (Nesquik)</t>
  </si>
  <si>
    <t>Chocolate Milk Made From Dry Mix With Low Fat Milk (Nesquik)</t>
  </si>
  <si>
    <t>Chocolate Milk Made From Dry Mix With Fat Free Milk (Nesquik)</t>
  </si>
  <si>
    <t>Chocolate Milk Made From Dry Mix With Non-Dairy Milk (Nesquik)</t>
  </si>
  <si>
    <t>Chocolate Milk Made From No Sugar Added Dry Mix Ns As To Type Of Milk (Nesquik)</t>
  </si>
  <si>
    <t>Chocolate Milk Made From No Sugar Added Dry Mix With Whole Milk (Nesquik)</t>
  </si>
  <si>
    <t>Chocolate Milk Made From No Sugar Added Dry Mix With Reduced Fat Milk (Nesquik)</t>
  </si>
  <si>
    <t>Chocolate Milk Made From No Sugar Added Dry Mix With Low Fat Milk (Nesquik)</t>
  </si>
  <si>
    <t>Chocolate Milk Made From No Sugar Added Dry Mix With Fat Free Milk  (Nesquik)</t>
  </si>
  <si>
    <t>Chocolate Milk Made From No Sugar Added Dry Mix With Non-Dairy Milk (Nesquik)</t>
  </si>
  <si>
    <t>Chocolate Milk Made From Syrup Ns As To Type Of Milk</t>
  </si>
  <si>
    <t>Chocolate Milk Made From Syrup With Whole Milk</t>
  </si>
  <si>
    <t>Chocolate Milk Made From Syrup With Reduced Fat Milk</t>
  </si>
  <si>
    <t>Chocolate Milk Made From Syrup With Low Fat Milk</t>
  </si>
  <si>
    <t>Chocolate Milk Made From Syrup With Fat Free Milk</t>
  </si>
  <si>
    <t>Chocolate Milk Made From Syrup With Non-Dairy Milk</t>
  </si>
  <si>
    <t>Chocolate Milk Made From Light Syrup Ns As To Type Of Milk</t>
  </si>
  <si>
    <t>Chocolate Milk Made From Light Syrup With Whole Milk</t>
  </si>
  <si>
    <t>Chocolate Milk Made From Light Syrup With Reduced Fat Milk</t>
  </si>
  <si>
    <t>Chocolate Milk Made From Light Syrup With Low Fat Milk</t>
  </si>
  <si>
    <t>Chocolate Milk Made From Light Syrup With Fat Free Milk</t>
  </si>
  <si>
    <t>Chocolate Milk Made From Light Syrup With Non-Dairy Milk</t>
  </si>
  <si>
    <t>Chocolate Milk Made From Sugar Free Syrup Ns As To Type Of Milk</t>
  </si>
  <si>
    <t>Chocolate Milk Made From Sugar Free Syrup With Whole Milk</t>
  </si>
  <si>
    <t>Chocolate Milk Made From Sugar Free Syrup With Reduced Fat Milk</t>
  </si>
  <si>
    <t>Chocolate Milk Made From Sugar Free Syrup With Low Fat Milk</t>
  </si>
  <si>
    <t>Chocolate Milk Made From Sugar Free Syrup With Fat Free Milk</t>
  </si>
  <si>
    <t>Chocolate Milk Made From Sugar Free Syrup With Non-Dairy Milk</t>
  </si>
  <si>
    <t>Hot Chocolate / Cocoa Made With Dry Mix And Water</t>
  </si>
  <si>
    <t>Hot Chocolate / Cocoa Made With Dry Mix And Whole Milk</t>
  </si>
  <si>
    <t>Hot Chocolate / Cocoa Made With Dry Mix And Reduced Fat Milk</t>
  </si>
  <si>
    <t>Hot Chocolate / Cocoa Made With Dry Mix And Low Fat Milk</t>
  </si>
  <si>
    <t>Hot Chocolate / Cocoa Made With Dry Mix And Fat Free Milk</t>
  </si>
  <si>
    <t>Hot Chocolate / Cocoa Made With Dry Mix And Non-Dairy Milk</t>
  </si>
  <si>
    <t>Hot Chocolate / Cocoa Made With No Sugar Added Dry Mix And Water</t>
  </si>
  <si>
    <t>Hot Chocolate / Cocoa Made With No Sugar Added Dry Mix And Whole Milk</t>
  </si>
  <si>
    <t>Hot Chocolate / Cocoa Made With No Sugar Added Dry Mix And Reduced Fat Milk</t>
  </si>
  <si>
    <t>Hot Chocolate / Cocoa Made With No Sugar Added Dry Mix And Low Fat Milk</t>
  </si>
  <si>
    <t>Hot Chocolate / Cocoa Made With No Sugar Added Dry Mix And Fat Free Milk</t>
  </si>
  <si>
    <t>Hot Chocolate / Cocoa Made With No Sugar Added Dry Mix And Non-Dairy Milk</t>
  </si>
  <si>
    <t>Strawberry Milk Nfs</t>
  </si>
  <si>
    <t>Strawberry Milk Whole</t>
  </si>
  <si>
    <t>Strawberry Milk Reduced Fat</t>
  </si>
  <si>
    <t>Strawberry Milk Low Fat</t>
  </si>
  <si>
    <t>Strawberry Milk Fat Free</t>
  </si>
  <si>
    <t>Strawberry Milk Non-Dairy</t>
  </si>
  <si>
    <t>Milk Malted</t>
  </si>
  <si>
    <t>Eggnog Lowfat / Light</t>
  </si>
  <si>
    <t>Milk Shake Home Recipe Chocolate</t>
  </si>
  <si>
    <t>Milk Shake Home Recipe Flavors Other Than Chocolate</t>
  </si>
  <si>
    <t>Milk Shake Home Recipe Chocolate Light</t>
  </si>
  <si>
    <t>Milk Shake Home Recipe Flavors Other Than Chocolate Light</t>
  </si>
  <si>
    <t>Milk Shake With Malt</t>
  </si>
  <si>
    <t>Milk Shake Fast Food Chocolate</t>
  </si>
  <si>
    <t>Milk Shake Bottled Chocolate</t>
  </si>
  <si>
    <t>Licuado Or Batido</t>
  </si>
  <si>
    <t>Fruit Smoothie Nfs</t>
  </si>
  <si>
    <t>Fruit Smoothie With Whole Fruit And Dairy</t>
  </si>
  <si>
    <t>Fruit Smoothie With Whole Fruit And Dairy Added Protein</t>
  </si>
  <si>
    <t>Infant Formula Nfs</t>
  </si>
  <si>
    <t>Infant Formula Ns As To Form (Similac Advance)</t>
  </si>
  <si>
    <t>Infant Formula Ready-To-Feed (Similac Advance)</t>
  </si>
  <si>
    <t>Infant Formula Liquid Concentrate Made With Water NFS (Similac Advance)</t>
  </si>
  <si>
    <t>Infant Formula Powder Made With Water NFS (Similac Advance)</t>
  </si>
  <si>
    <t>Infant Formula Liquid Concentrate Made With Tap Water (Similac Advance)</t>
  </si>
  <si>
    <t>Infant Formula Liquid Concentrate Made With Plain Bottled Water (Similac Advance)</t>
  </si>
  <si>
    <t>Infant Formula Liquid Concentrate Made With Baby Water (Similac Advance)</t>
  </si>
  <si>
    <t>Infant Formula Powder Made With Tap Water (Similac Advance)</t>
  </si>
  <si>
    <t>Infant Formula Powder Made With Plain Bottled Water (Similac Advance)</t>
  </si>
  <si>
    <t>Infant Formula Powder Made With Baby Water (Similac Advance)</t>
  </si>
  <si>
    <t>Infant Formula Ns As To Form (Similac Advance Organic)</t>
  </si>
  <si>
    <t>Infant Formula Ready-To-Feed (Similac Advance Organic)</t>
  </si>
  <si>
    <t>Infant Formula Powder Made With Water NFS (Similac Advance Organic)</t>
  </si>
  <si>
    <t>Infant Formula Powder Made With Tap Water (Similac Advance Organic)</t>
  </si>
  <si>
    <t>Infant Formula Powder Made With Plain Bottled Water (Similac Advance Organic)</t>
  </si>
  <si>
    <t>Infant Formula Powder Made With Baby Water (Similac Advance Organic)</t>
  </si>
  <si>
    <t>Infant Formula Ns As To Form (Similac Sensitive)</t>
  </si>
  <si>
    <t>Infant Formula Ready-To-Feed (Similac Sensitive)</t>
  </si>
  <si>
    <t>Infant Formula Liquid Concentrate Made With Water NFS (Similac Sensitive)</t>
  </si>
  <si>
    <t>Infant Formula Powder Made With Water NFS (Similac Sensitive)</t>
  </si>
  <si>
    <t>Infant Formula Liquid Concentrate Made With Tap Water (Similac Sensitive)</t>
  </si>
  <si>
    <t>Infant Formula Liquid Concentrate Made With Plain Bottled Water (Similac Sensitive)</t>
  </si>
  <si>
    <t>Infant Formula Liquid Concentrate Made With Baby Water (Similac Sensitive)</t>
  </si>
  <si>
    <t>Infant Formula Powder Made With Tap Water (Similac Sensitive)</t>
  </si>
  <si>
    <t>Infant Formula Powder Made With Plain Bottled Water (Similac Sensitive)</t>
  </si>
  <si>
    <t>Infant Formula Powder Made With Baby Water (Similac Sensitive)</t>
  </si>
  <si>
    <t>Infant Formula Ns As To Form (Similac For Spit-Up)</t>
  </si>
  <si>
    <t>Infant Formula Ready-To-Feed (Similac For Spit-Up)</t>
  </si>
  <si>
    <t>Infant Formula Powder Made With Water NFS (Similac For Spit-Up)</t>
  </si>
  <si>
    <t>Infant Formula Ns As To Form (Similac Expert Care Neosure)</t>
  </si>
  <si>
    <t>Infant Formula Ready-To-Feed (Similac Expert Care Neosure)</t>
  </si>
  <si>
    <t>Infant Formula Powder Made With Water NFS (Similac Expert Care Neosure)</t>
  </si>
  <si>
    <t>Infant Formula Powder Made With Tap Water (Similac Expert Care Neosure)</t>
  </si>
  <si>
    <t>Infant Formula Powder Made With Plain Bottled Water (Similac Expert Care Neosure)</t>
  </si>
  <si>
    <t>Infant Formula Powder Made With Baby Water (Similac Expert Care Neosure)</t>
  </si>
  <si>
    <t>Infant Formula Ns As To Form (Similac Go And Grow)</t>
  </si>
  <si>
    <t>Infant Formula Powder Made With Water NFS (Similac Go And Grow)</t>
  </si>
  <si>
    <t>Infant Formula Ns As To Form (Enfamil Infant)</t>
  </si>
  <si>
    <t>Infant Formula Ready-To-Feed (Enfamil Infant)</t>
  </si>
  <si>
    <t>Infant Formula Liquid Concentrate Made With Water NFS (Enfamil Infant)</t>
  </si>
  <si>
    <t>Infant Formula Liquid Concentrate Made With Tap Water (Enfamil Infant)</t>
  </si>
  <si>
    <t>Infant Formula Liquid Concentrate Made With Plain Bottled Water (Enfamil Infant)</t>
  </si>
  <si>
    <t>Infant Formula Liquid Concentrate Made With Baby Water (Enfamil Infant)</t>
  </si>
  <si>
    <t>Infant Formula Powder Made With Water NFS (Enfamil Infant)</t>
  </si>
  <si>
    <t>Infant Formula Powder Made With Tap Water (Enfamil Infant)</t>
  </si>
  <si>
    <t>Infant Formula Powder Made With Plain Bottled Water (Enfamil Infant)</t>
  </si>
  <si>
    <t>Infant Formula Powder Made With Baby Water (Enfamil Infant)</t>
  </si>
  <si>
    <t>Infant Formula Ns As To Form (Enfamil A.r.)</t>
  </si>
  <si>
    <t>Infant Formula Ready-To-Feed (Enfamil A.r.)</t>
  </si>
  <si>
    <t>Infant Formula Powder Made With Water NFS (Enfamil A.r.)</t>
  </si>
  <si>
    <t>Infant Formula Powder Made With Tap Water (Enfamil A.r.)</t>
  </si>
  <si>
    <t>Infant Formula Ns As To Form (Enfamil Enfacare)</t>
  </si>
  <si>
    <t>Infant Formula Ready-To-Feed (Enfamil Enfacare)</t>
  </si>
  <si>
    <t>Infant Formula Powder Made With Water NFS (Enfamil Enfacare)</t>
  </si>
  <si>
    <t>Infant Formula Powder Made With Plain Bottled Water (Enfamil A.r.)</t>
  </si>
  <si>
    <t>Infant Formula Powder Made With Baby Water (Enfamil A.r.)</t>
  </si>
  <si>
    <t>Infant Formula Ns As To Form (Enfamil Gentlease)</t>
  </si>
  <si>
    <t>Infant Formula Ready-To-Feed (Enfamil Gentlease)</t>
  </si>
  <si>
    <t>Infant Formula Powder Made With Water NFS (Enfamil Gentlease)</t>
  </si>
  <si>
    <t>Infant Formula Powder Made With Tap Water (Enfamil Enfacare)</t>
  </si>
  <si>
    <t>Infant Formula Powder Made With Plain Bottled Water (Enfamil Enfacare)</t>
  </si>
  <si>
    <t>Infant Formula Powder Made With Baby Water (Enfamil Enfacare)</t>
  </si>
  <si>
    <t>Infant Formula Powder Made With Tap Water (Enfamil Gentlease)</t>
  </si>
  <si>
    <t>Infant Formula Powder Made With Plain Bottled Water (Enfamil Gentlease)</t>
  </si>
  <si>
    <t>Infant Formula Powder Made With Baby Water (Enfamil Gentlease)</t>
  </si>
  <si>
    <t>Infant Formula Ns As To Form (Enfamil Enfagrow Toddler Transitions)</t>
  </si>
  <si>
    <t>Infant Formula Ready-To-Feed (Enfamil Enfragrow Toddler Transitions)</t>
  </si>
  <si>
    <t>Infant Formula Powder Made With Water NFS (Enfamil Enfragrow Toddler Transitions)</t>
  </si>
  <si>
    <t>Infant Formula Powder Made With Tap Water (Enfamil Enfagrow Toddler Transitions)</t>
  </si>
  <si>
    <t>Infant Formula Powder Made With Plain Bottled Water (Enfamil Enfagrow Toddler Transitions)</t>
  </si>
  <si>
    <t>Infant Formula Powder Made With Baby Water (Enfamil Enfagrow Toddler Transitions)</t>
  </si>
  <si>
    <t>Infant Formula Ns As To Form (Enfamil Enfagrow Toddler Transitions Gentlease)</t>
  </si>
  <si>
    <t>Infant Formula Powder Made With Water NFS (Enfamil Enfagrow Toddler Transitions Gentlease)</t>
  </si>
  <si>
    <t>Infant Formula Powder Made With Tap Water (Enfamil Enfagrow Toddler Transitions Gentlease)</t>
  </si>
  <si>
    <t>Infant Formula Powder Made With Plain Bottled Water (Enfamil Enfagrow Toddler Transitions Gentlease)</t>
  </si>
  <si>
    <t>Infant Formula Powder Made With Baby Water (Enfamil Enfagrow Toddler Transitions Gentlease)</t>
  </si>
  <si>
    <t>Infant Formula Ns As To Form (Gerber Good Start Gentle)</t>
  </si>
  <si>
    <t>Infant Formula Ready-To-Feed (Gerber Good Start Gentle)</t>
  </si>
  <si>
    <t>Infant Formula Liquid Concentrate Made With Water NFS (Gerber Good Start Gentle)</t>
  </si>
  <si>
    <t>Infant Formula Powder Made With Water NFS (Gerber Good Start Gentle)</t>
  </si>
  <si>
    <t>Infant Formula Liquid Concentrate Made With Tap Water (Gerber Good Start Gentle)</t>
  </si>
  <si>
    <t>Infant Formula Liquid Concentrate Made With Plain Bottled Water (Gerber Good Start Gentle)</t>
  </si>
  <si>
    <t>Infant Formula Liquid Concentrate Made With Baby Water (Gerber Good Start Gentle)</t>
  </si>
  <si>
    <t>Infant Formula Powder Made With Tap Water (Gerber Good Start Gentle)</t>
  </si>
  <si>
    <t>Infant Formula Powder Made With Plain Bottled Water (Gerber Good Start Gentle)</t>
  </si>
  <si>
    <t>Infant Formula Powder Made With Baby Water (Gerber Good Start Gentle)</t>
  </si>
  <si>
    <t>Infant Formula Ns As To Form (Gerber Good Start Protect)</t>
  </si>
  <si>
    <t>Infant Formula Powder Made With Water NFS (Gerber Good Start Protect)</t>
  </si>
  <si>
    <t>Infant Formula Powder Made With Tap Water (Gerber Good Start Protect)</t>
  </si>
  <si>
    <t>Infant Formula Powder Made With Plain Bottled Water (Gerber Good Start Protect)</t>
  </si>
  <si>
    <t>Infant Formula Powder Made With Baby Water (Gerber Good Start Protect)</t>
  </si>
  <si>
    <t>Infant Formula Ns As To Form (Gerber Graduates Gentle)</t>
  </si>
  <si>
    <t>Infant Formula Ns As To Form (Gerber Graduates Protect)</t>
  </si>
  <si>
    <t>Infant Formula Ns As To Form (Store Brand)</t>
  </si>
  <si>
    <t>Infant Formula Liquid Concentrate Made With Water NFS (Store Brand)</t>
  </si>
  <si>
    <t>Infant Formula Powder Made With Water NFS (Store Brand)</t>
  </si>
  <si>
    <t>Infant Formula Ready-To-Feed (Store Brand)</t>
  </si>
  <si>
    <t>Infant Formula Liquid Concentrate Made With Tap Water (Store Brand)</t>
  </si>
  <si>
    <t>Infant Formula Liquid Concentrate Made With Plain Bottled Water (Store Brand)</t>
  </si>
  <si>
    <t>Infant Formula Liquid Concentrate Made With Baby Water (Store Brand)</t>
  </si>
  <si>
    <t>Infant Formula Powder Made With Tap Water (Store Brand)</t>
  </si>
  <si>
    <t>Infant Formula Powder Made With Plain Bottled Water (Store Brand)</t>
  </si>
  <si>
    <t>Infant Formula Powder Made With Baby Water (Store Brand)</t>
  </si>
  <si>
    <t>Infant Formula Ns As To Form (Enfamil Prosobee)</t>
  </si>
  <si>
    <t>Infant Formula Ready-To-Feed (Enfamil Prosobee)</t>
  </si>
  <si>
    <t>Infant Formula Liquid Concentrate Made With Water NFS (Enfamil Prosobee)</t>
  </si>
  <si>
    <t>Infant Formula Powder Made With Water NFS (Enfamil Prosobee)</t>
  </si>
  <si>
    <t>Infant Formula Liquid Concentrate Made With Tap Water (Enfamil Prosobee)</t>
  </si>
  <si>
    <t>Infant Formula Liquid Concentrate Made With Plain Bottled Water (Enfamil Prosobee)</t>
  </si>
  <si>
    <t>Infant Formula Liquid Concentrate Made With Baby Water (Enfamil Prosobee)</t>
  </si>
  <si>
    <t>Infant Formula Powder Made With Tap Water (Enfamil Prosobee)</t>
  </si>
  <si>
    <t>Infant Formula Powder Made With Plain Bottled Water (Enfamil Prosobee)</t>
  </si>
  <si>
    <t>Infant Formula Powder Made With Baby Water (Enfamil Prosobee)</t>
  </si>
  <si>
    <t>Infant Formula Ns As To Form (Enfamil Enfagrow Toddler Transitions Soy)</t>
  </si>
  <si>
    <t>Infant Formula Powder Made With Water NFS (Enfamil Enfagrow Toddler Transitions Soy)</t>
  </si>
  <si>
    <t>Infant Formula Ns As To Form (Similac Isomil Soy)</t>
  </si>
  <si>
    <t>Infant Formula Ready-To-Feed (Similac Isomil Soy)</t>
  </si>
  <si>
    <t>Infant Formula Liquid Concentrate Made With Water NFS (Similac Isomil Soy)</t>
  </si>
  <si>
    <t>Infant Formula Powder Made With Water NFS (Similac Isomil Soy)</t>
  </si>
  <si>
    <t>Infant Formula Liquid Concentrate Made With Tap Water (Similac Isomil Soy)</t>
  </si>
  <si>
    <t>Infant Formula Liquid Concentrate Made With Plain Bottled Water (Similac Isomil Soy)</t>
  </si>
  <si>
    <t>Infant Formula Liquid Concentrate Made With Baby Water (Similac Isomil Soy)</t>
  </si>
  <si>
    <t>Infant Formula Powder Made With Tap Water (Similac Isomil Soy)</t>
  </si>
  <si>
    <t>Infant Formula Powder Made With Plain Bottled Water (Similac Isomil Soy)</t>
  </si>
  <si>
    <t>Infant Formula Powder Made With Baby Water (Similac Isomil Soy)</t>
  </si>
  <si>
    <t>Infant Formula Ns As To Form (Gerber Good Start Soy)</t>
  </si>
  <si>
    <t>Infant Formula Ready-To-Feed (Gerber Good Start Soy)</t>
  </si>
  <si>
    <t>Infant Formula Liquid Concentrate Made With Water NFS (Gerber Good Start Soy)</t>
  </si>
  <si>
    <t>Infant Formula Powder Made With Water NFS (Gerber Good Start Soy)</t>
  </si>
  <si>
    <t>Infant Formula Liquid Concentrate Made With Tap Water (Gerber Good Start Soy)</t>
  </si>
  <si>
    <t>Infant Formula Liquid Concentrate Made With Plain Bottled Water (Gerber Good Start Soy)</t>
  </si>
  <si>
    <t>Infant Formula Liquid Concentrate Made With Baby Water (Gerber Good Start Soy)</t>
  </si>
  <si>
    <t>Infant Formula Powder Made With Tap Water (Gerber Good Start Soy)</t>
  </si>
  <si>
    <t>Infant Formula Powder Made With Plain Bottled Water (Gerber Good Start Soy)</t>
  </si>
  <si>
    <t>Infant Formula Powder Made With Baby Water (Gerber Good Start Soy)</t>
  </si>
  <si>
    <t>Infant Formula Ns As To Form (Store Brand Soy)</t>
  </si>
  <si>
    <t>Infant Formula Ready-To-Feed (Store Brand Soy)</t>
  </si>
  <si>
    <t>Infant Formula Liquid Concentrate Made With Water NFS (Store Brand Soy)</t>
  </si>
  <si>
    <t>Infant Formula Powder Made With Water NFS (Store Brand Soy)</t>
  </si>
  <si>
    <t>Infant Formula Powder Made With Tap Water (Store Brand Soy)</t>
  </si>
  <si>
    <t>Infant Formula Powder Made With Plain Bottled Water (Store Brand Soy)</t>
  </si>
  <si>
    <t>Infant Formula Powder Made With Baby Water (Store Brand Soy)</t>
  </si>
  <si>
    <t>Infant Formula Ns As To Form (Enfamil Nutramigen)</t>
  </si>
  <si>
    <t>Infant Formula Ready-To-Feed (Enfamil Nutramigen)</t>
  </si>
  <si>
    <t>Infant Formula Liquid Concentrate Made With Water NFS (Enfamil Nutramigen)</t>
  </si>
  <si>
    <t>Infant Formula Powder Made With Water NFS (Enfamil Nutramigen)</t>
  </si>
  <si>
    <t>Infant Formula Ns As To Form (Puramino)</t>
  </si>
  <si>
    <t>Infant Formula Powder Made With Water NFS (Puramino)</t>
  </si>
  <si>
    <t>Infant Formula Ns As To Form (Enfamil Pregestimil)</t>
  </si>
  <si>
    <t>Infant Formula Ready-To-Feed (Enfamil Pregestimil)</t>
  </si>
  <si>
    <t>Infant Formula Powder Made With Water NFS (Enfamil Pregestimil)</t>
  </si>
  <si>
    <t>Infant Formula Ready-To-Feed With Iron (Enfamil Premature 20 Cal)</t>
  </si>
  <si>
    <t>Milk Dry Not Reconstituted Low Fat (1%)</t>
  </si>
  <si>
    <t>Chocolate Beverage Powder Reduced Sugar Dry Mix Not Reconstituted</t>
  </si>
  <si>
    <t>Cream Ns As To Light Heavy Or Half And Half</t>
  </si>
  <si>
    <t>Cream Light</t>
  </si>
  <si>
    <t>Cream Half And Half</t>
  </si>
  <si>
    <t>Cream Half And Half Flavored</t>
  </si>
  <si>
    <t>Cream Heavy</t>
  </si>
  <si>
    <t>Cream Whipped</t>
  </si>
  <si>
    <t>Coffee Creamer Liquid Fat Free Flavored</t>
  </si>
  <si>
    <t>Dip Nfs</t>
  </si>
  <si>
    <t>Chipotle Dip Regular</t>
  </si>
  <si>
    <t>Chipotle Dip Light</t>
  </si>
  <si>
    <t>Dill Dip Regular</t>
  </si>
  <si>
    <t>Dill Dip Light</t>
  </si>
  <si>
    <t>Onion Dip Regular</t>
  </si>
  <si>
    <t>Onion Dip Light</t>
  </si>
  <si>
    <t>Ranch Dip Regular</t>
  </si>
  <si>
    <t>Ranch Dip Light</t>
  </si>
  <si>
    <t>Spinach Dip Regular</t>
  </si>
  <si>
    <t>Spinach Dip Light</t>
  </si>
  <si>
    <t>Vegetable Dip Regular</t>
  </si>
  <si>
    <t>Vegetable Dip Light</t>
  </si>
  <si>
    <t>Ice Cream Bar Or Stick Rich Chocolate Ice Cream Thick Chocolate Covering</t>
  </si>
  <si>
    <t>Ice Cream Bar Or Stick Rich Ice Cream Thick Chocolate Covering</t>
  </si>
  <si>
    <t>Ice Cream Bar Or Stick Chocolate Ice Cream Chocolate Covered</t>
  </si>
  <si>
    <t>Ice Cream Bar Cake Covered</t>
  </si>
  <si>
    <t>Ice Cream Bar Or Stick With Fruit</t>
  </si>
  <si>
    <t>Ice Cream Cone With Nuts Flavors Other Than Chocolate</t>
  </si>
  <si>
    <t>Ice Cream Cone Chocolate Covered Or Dipped Flavors Other Than Chocolate</t>
  </si>
  <si>
    <t>Ice Cream Cone No Topping Flavors Other Than Chocolate</t>
  </si>
  <si>
    <t>Ice Cream Cone No Topping Ns As To Flavor</t>
  </si>
  <si>
    <t>Ice Cream Cone With Nuts Chocolate Ice Cream</t>
  </si>
  <si>
    <t>Ice Cream Cone Chocolate Covered Or Dipped Chocolate Ice Cream</t>
  </si>
  <si>
    <t>Ice Cream Cone No Topping Chocolate Ice Cream</t>
  </si>
  <si>
    <t>Ice Cream Cone Chocolate Covered With Nuts Chocolate Ice Cream</t>
  </si>
  <si>
    <t>Ice Cream Soda Flavors Other Than Chocolate</t>
  </si>
  <si>
    <t>Ice Cream Soda Chocolate</t>
  </si>
  <si>
    <t>Ice Cream Sundae Ns As To Topping With Whipped Cream</t>
  </si>
  <si>
    <t>Ice Cream Sundae Fruit Topping With Whipped Cream</t>
  </si>
  <si>
    <t>Ice Cream Sundae Prepackaged Type Flavors Other Than Chocolate</t>
  </si>
  <si>
    <t>Ice Cream Sundae Chocolate Or Fudge Topping With Whipped Cream</t>
  </si>
  <si>
    <t>Ice Cream Sundae Not Fruit Or Chocolate Topping With Whipped Cream</t>
  </si>
  <si>
    <t>Ice Cream Sundae Fudge Topping With Cake With Whipped Cream</t>
  </si>
  <si>
    <t>Ice Cream Pie No Crust</t>
  </si>
  <si>
    <t>Ice Cream Pie With Cookie Crust Fudge Topping And Whipped Cream</t>
  </si>
  <si>
    <t>Ice Cream Fried</t>
  </si>
  <si>
    <t>Light Ice Cream Soft Serve Cone Chocolate</t>
  </si>
  <si>
    <t>Light Ice Cream Soft Serve Blended With Candy Or Cookies</t>
  </si>
  <si>
    <t>Ice Cream Sandwich Made With Light Chocolate Ice Cream</t>
  </si>
  <si>
    <t>Light Ice Cream Bar Or Stick Chocolate Coated</t>
  </si>
  <si>
    <t>Light Ice Cream Bar Or Stick Chocolate Covered With Nuts</t>
  </si>
  <si>
    <t>Light Ice Cream Cone Nfs</t>
  </si>
  <si>
    <t>Light Ice Cream Cone Flavors Other Than Chocolate</t>
  </si>
  <si>
    <t>Light Ice Cream Cone Chocolate</t>
  </si>
  <si>
    <t>Light Ice Cream No Sugar Added Cone Ns As To Flavor</t>
  </si>
  <si>
    <t>Light Ice Cream No Sugar Added Cone Chocolate</t>
  </si>
  <si>
    <t>Light Ice Cream Sundae Soft Serve Chocolate Or Fudge Topping With Whipped Cream</t>
  </si>
  <si>
    <t>Light Ice Cream Sundae Soft Serve Fruit Topping With Whipped Cream</t>
  </si>
  <si>
    <t>Light Ice Cream Sundae Soft Serve Not Fruit Or Chocolate Topping With Whipped Cream</t>
  </si>
  <si>
    <t>Light Ice Cream Sundae Soft Serve Chocolate Or Fudge Topping Without Whipped Cream</t>
  </si>
  <si>
    <t>Light Ice Cream Sundae Soft Serve Fruit Topping Without Whipped Cream</t>
  </si>
  <si>
    <t>Light Ice Cream Sundae Soft Serve Not Fruit Or Chocolate Topping Without Whipped Cream</t>
  </si>
  <si>
    <t>Light Ice Cream Creamsicle Or Dreamsicle No Sugar Added</t>
  </si>
  <si>
    <t>Light Ice Cream Fudgesicle</t>
  </si>
  <si>
    <t>Milk Dessert Bar Or Stick Frozen With Coconut</t>
  </si>
  <si>
    <t>Milk Dessert Sandwich Bar Frozen Made From Lowfat Milk</t>
  </si>
  <si>
    <t>Milk Dessert Sandwich Bar Frozen With Low-Calorie Sweetener Made From Lowfat Milk</t>
  </si>
  <si>
    <t>Baked Alaska</t>
  </si>
  <si>
    <t>Pudding Bread</t>
  </si>
  <si>
    <t>Bread Pudding Made With Evaporated Milk And Rum</t>
  </si>
  <si>
    <t>Diplomat Pudding Puerto Rican Style</t>
  </si>
  <si>
    <t>Pudding Mexican Bread</t>
  </si>
  <si>
    <t>Pudding Mexican Bread Low Fat</t>
  </si>
  <si>
    <t>Rice Flour Cream Puerto Rican Style</t>
  </si>
  <si>
    <t>Custard Puerto Rican Style</t>
  </si>
  <si>
    <t>Custard</t>
  </si>
  <si>
    <t>Flan</t>
  </si>
  <si>
    <t>Pudding Rice Flour And Nuts</t>
  </si>
  <si>
    <t>Pudding Tapioca Made From Home Recipe Made With Milk</t>
  </si>
  <si>
    <t>Pudding Tapioca Made From Dry Mix Made With Milk</t>
  </si>
  <si>
    <t>Pudding Tapioca Chocolate Made With Milk</t>
  </si>
  <si>
    <t>Pudding Coconut</t>
  </si>
  <si>
    <t>Pudding Cornmeal Milk And Molasses</t>
  </si>
  <si>
    <t>Pudding Pumpkin</t>
  </si>
  <si>
    <t>Pumpkin Pudding Puerto Rican Style</t>
  </si>
  <si>
    <t>Fresh Corn Custard Puerto Rican Style</t>
  </si>
  <si>
    <t>Pudding Flavors Other Than Chocolate Prepared From Dry Mix Milk Added</t>
  </si>
  <si>
    <t>Pudding Chocolate Prepared From Dry Mix Milk Added</t>
  </si>
  <si>
    <t>Pudding Flavors Other Than Chocolate Prepared From Dry Mix Low Calorie Containing Artificial Sweetener Milk Added</t>
  </si>
  <si>
    <t>Pudding Chocolate Prepared From Dry Mix Low Calorie Containing Artificial Sweetener Milk Added</t>
  </si>
  <si>
    <t>Pudding Ready-To-Eat Chocolate And Non-Chocolate Flavors Combined</t>
  </si>
  <si>
    <t>Pudding With Fruit And Vanilla Wafers</t>
  </si>
  <si>
    <t>Mousse Chocolate</t>
  </si>
  <si>
    <t>Mousse Not Chocolate</t>
  </si>
  <si>
    <t>Coconut Custard Puerto Rican Style</t>
  </si>
  <si>
    <t>Barfi Or Burfi Indian Dessert Made From Milk And/or Cream And/or Ricotta Cheese</t>
  </si>
  <si>
    <t>Tiramisu</t>
  </si>
  <si>
    <t>Custard Pudding Flavor Other Than Chocolate Baby Food Ns As To Strained Or Junior</t>
  </si>
  <si>
    <t>White Sauce Milk Sauce</t>
  </si>
  <si>
    <t>Milk Gravy Quick Gravy</t>
  </si>
  <si>
    <t>Cheese Nfs</t>
  </si>
  <si>
    <t>Cheese Cheddar</t>
  </si>
  <si>
    <t>Cheese Colby Jack</t>
  </si>
  <si>
    <t>Cheese Goat</t>
  </si>
  <si>
    <t>Cheese Gouda Or Edam</t>
  </si>
  <si>
    <t>Queso Asadero</t>
  </si>
  <si>
    <t>Cottage Cheese Farmer's</t>
  </si>
  <si>
    <t>Cheese Ricotta</t>
  </si>
  <si>
    <t>Cheese Cottage Salted Dry Curd</t>
  </si>
  <si>
    <t>Puerto Rican White Cheese</t>
  </si>
  <si>
    <t>Cheese Cottage Lowfat With Fruit</t>
  </si>
  <si>
    <t>Cheese Cream Light Or Lite</t>
  </si>
  <si>
    <t>Cheese Spread Cream Cheese Light Or Lite</t>
  </si>
  <si>
    <t>Cheese Cottage Cheese With Gelatin Dessert</t>
  </si>
  <si>
    <t>Cheese Cottage Cheese With Gelatin Dessert And Fruit</t>
  </si>
  <si>
    <t>Cheese Cottage Cheese With Gelatin Dessert And Vegetables</t>
  </si>
  <si>
    <t>Cheese With Nuts</t>
  </si>
  <si>
    <t>Artichoke Dip</t>
  </si>
  <si>
    <t>Spinach And Artichoke Dip</t>
  </si>
  <si>
    <t>Seafood Dip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</si>
  <si>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</si>
  <si>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</si>
  <si>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</si>
  <si>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</si>
  <si>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</si>
  <si>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</si>
  <si>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</si>
  <si>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</si>
  <si>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 Nfs</t>
  </si>
  <si>
    <t>Cheese Sandwich American Cheese On White Bread No Spread</t>
  </si>
  <si>
    <t>Cheese Sandwich American Cheese On Wheat Bread No Spread</t>
  </si>
  <si>
    <t>Cheese Sandwich American Cheese On Whole Wheat Bread No Spread</t>
  </si>
  <si>
    <t>Cheese Sandwich Cheddar Cheese On White Bread No Spread</t>
  </si>
  <si>
    <t>Cheese Sandwich Cheddar Cheese On Wheat Bread No Spread</t>
  </si>
  <si>
    <t>Cheese Sandwich Cheddar Cheese On Whole Wheat Bread No Spread</t>
  </si>
  <si>
    <t>Cheese Sandwich Reduced Fat American Cheese On White Bread No Spread</t>
  </si>
  <si>
    <t>Cheese Sandwich Reduced Fat American Cheese On Wheat Bread No Spread</t>
  </si>
  <si>
    <t>Cheese Sandwich Reduced Fat American Cheese On Whole Wheat Bread No Spread</t>
  </si>
  <si>
    <t>Cheese Sandwich Reduced Fat Cheddar Cheese On White Bread No Spread</t>
  </si>
  <si>
    <t>Cheese Sandwich Reduced Fat Cheddar Cheese On Wheat Bread No Spread</t>
  </si>
  <si>
    <t>Cheese Sandwich Reduced Fat Cheddar Cheese On Whole Wheat Bread No Spread</t>
  </si>
  <si>
    <t>Cheese Sandwich American Cheese On White Bread With Mayonnaise</t>
  </si>
  <si>
    <t>Cheese Sandwich American Cheese On Wheat Bread With Mayonnaise</t>
  </si>
  <si>
    <t>Cheese Sandwich American Cheese On Whole Wheat Bread With Mayonnaise</t>
  </si>
  <si>
    <t>Cheese Sandwich Cheddar Cheese On White Bread With Mayonnaise</t>
  </si>
  <si>
    <t>Cheese Sandwich Cheddar Cheese On Wheat Bread With Mayonnaise</t>
  </si>
  <si>
    <t>Cheese Sandwich Cheddar Cheese On Whole Wheat Bread With Mayonnaise</t>
  </si>
  <si>
    <t>Cheese Sandwich Reduced Fat American Cheese On White Bread With Mayonnaise</t>
  </si>
  <si>
    <t>Cheese Sandwich Reduced Fat American Cheese On Wheat Bread With Mayonnaise</t>
  </si>
  <si>
    <t>Cheese Sandwich Reduced Fat American Cheese On Whole Wheat Bread With Mayonnaise</t>
  </si>
  <si>
    <t>Cheese Sandwich Reduced Fat Cheddar Cheese On White Bread With Mayonnaise</t>
  </si>
  <si>
    <t>Cheese Sandwich Reduced Fat Cheddar Cheese On Wheat Bread With Mayonnaise</t>
  </si>
  <si>
    <t>Cheese Sandwich Reduced Fat Cheddar Cheese On Whole Wheat Bread With Mayonnaise</t>
  </si>
  <si>
    <t>Cheese Sandwich American Cheese On White Bread With Butter</t>
  </si>
  <si>
    <t>Cheese Sandwich American Cheese On Wheat Bread With Butter</t>
  </si>
  <si>
    <t>Cheese Sandwich American Cheese On Whole Wheat Bread With Butter</t>
  </si>
  <si>
    <t>Cheese Sandwich Cheddar Cheese On White Bread With Butter</t>
  </si>
  <si>
    <t>Cheese Sandwich Cheddar Cheese On Wheat Bread With Butter</t>
  </si>
  <si>
    <t>Cheese Sandwich Cheddar Cheese On Whole Wheat Bread With Butter</t>
  </si>
  <si>
    <t>Cheese Sandwich Reduced Fat American Cheese On White Bread With Butter</t>
  </si>
  <si>
    <t>Cheese Sandwich Reduced Fat American Cheese On Wheat Bread With Butter</t>
  </si>
  <si>
    <t>Cheese Sandwich Reduced Fat American Cheese On Whole Wheat Bread With Butter</t>
  </si>
  <si>
    <t>Cheese Sandwich Reduced Fat Cheddar Cheese On White Bread With Butter</t>
  </si>
  <si>
    <t>Cheese Sandwich Reduced Fat Cheddar Cheese On Wheat Bread With Butter</t>
  </si>
  <si>
    <t>Cheese Sandwich Reduced Fat Cheddar Cheese On Whole Wheat Bread With Butter</t>
  </si>
  <si>
    <t>Grilled Cheese Sandwich Nfs</t>
  </si>
  <si>
    <t>Grilled Cheese Sandwich American Cheese On White Bread</t>
  </si>
  <si>
    <t>Grilled Cheese Sandwich American Cheese On Wheat Bread</t>
  </si>
  <si>
    <t>Grilled Cheese Sandwich American Cheese On Whole Wheat Bread</t>
  </si>
  <si>
    <t>Grilled Cheese Sandwich Cheddar Cheese On White Bread</t>
  </si>
  <si>
    <t>Grilled Cheese Sandwich Cheddar Cheese On Wheat Bread</t>
  </si>
  <si>
    <t>Grilled Cheese Sandwich Cheddar Cheese On Whole Wheat Bread</t>
  </si>
  <si>
    <t>Grilled Cheese Sandwich Reduced Fat American Cheese On White Bread</t>
  </si>
  <si>
    <t>Grilled Cheese Sandwich Reduced Fat American Cheese On Wheat Bread</t>
  </si>
  <si>
    <t>Grilled Cheese Sandwich Reduced Fat American Cheese On Whole Wheat Bread</t>
  </si>
  <si>
    <t>Grilled Cheese Sandwich Reduced Fat Cheddar Cheese On White Bread</t>
  </si>
  <si>
    <t>Grilled Cheese Sandwich Reduced Fat Cheddar Cheese On Wheat Bread</t>
  </si>
  <si>
    <t>Grilled Cheese Sandwich Reduced Fat Cheddar Cheese On Whole Wheat Bread</t>
  </si>
  <si>
    <t>Cheese Sauce</t>
  </si>
  <si>
    <t>Cheese Sauce Made With Lowfat Cheese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</si>
  <si>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</si>
  <si>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</si>
  <si>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</si>
  <si>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</si>
  <si>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</si>
  <si>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</si>
  <si>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</si>
  <si>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</si>
  <si>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Cheese Tomato And Basil With Oil And Vinegar Dressing</t>
  </si>
  <si>
    <t>Cheddar Cheese Soup Home Recipe Canned Or Ready-To-Serve</t>
  </si>
  <si>
    <t>Beer Cheese Soup Made With Milk</t>
  </si>
  <si>
    <t>Meat Nfs</t>
  </si>
  <si>
    <t>Meat Baby Food Ns As To Type Ns As To Strained Or Junior</t>
  </si>
  <si>
    <t>Ground Meat Nfs</t>
  </si>
  <si>
    <t>Beef Ns As To Cut Cooked Ns As To Fat Eaten</t>
  </si>
  <si>
    <t>Beef Ns As To Cut Cooked Lean And Fat Eaten</t>
  </si>
  <si>
    <t>Beef Ns As To Cut Cooked Lean Only Eaten</t>
  </si>
  <si>
    <t>Steak Ns As To Type Of Meat Cooked Ns As To Fat Eaten</t>
  </si>
  <si>
    <t>Steak Ns As To Type Of Meat Cooked Lean And Fat Eaten</t>
  </si>
  <si>
    <t>Steak Ns As To Type Of Meat Cooked Lean Only Eaten</t>
  </si>
  <si>
    <t>Beef Ns As To Cut Fried Ns To Fat Eaten</t>
  </si>
  <si>
    <t>Beef Steak Ns As To Cooking Method Ns As To Fat Eaten</t>
  </si>
  <si>
    <t>Beef Steak Ns As To Cooking Method Lean And Fat Eaten</t>
  </si>
  <si>
    <t>Beef Steak Ns As To Cooking Method Lean Only Eaten</t>
  </si>
  <si>
    <t>Beef Steak Broiled Or Baked Ns As To Fat Eaten</t>
  </si>
  <si>
    <t>Beef Steak Broiled Or Baked Lean And Fat Eaten</t>
  </si>
  <si>
    <t>Beef Steak Broiled Or Baked Lean Only Eaten</t>
  </si>
  <si>
    <t>Beef Steak Fried Ns As To Fat Eaten</t>
  </si>
  <si>
    <t>Beef Steak Fried Lean And Fat Eaten</t>
  </si>
  <si>
    <t>Beef Steak Fried Lean Only Eaten</t>
  </si>
  <si>
    <t>Beef Steak Breaded Or Floured Baked Or Fried Ns As To Fat Eaten</t>
  </si>
  <si>
    <t>Beef Steak Breaded Or Floured Baked Or Fried Lean And Fat Eaten</t>
  </si>
  <si>
    <t>Beef Steak Breaded Or Floured Baked Or Fried Lean Only Eaten</t>
  </si>
  <si>
    <t>Beef Steak Battered Fried Ns As To Fat Eaten</t>
  </si>
  <si>
    <t>Beef Steak Battered Fried Lean And Fat Eaten</t>
  </si>
  <si>
    <t>Beef Steak Battered Fried Lean Only Eaten</t>
  </si>
  <si>
    <t>Beef Steak Braised Ns As To Fat Eaten</t>
  </si>
  <si>
    <t>Beef Steak Braised Lean And Fat Eaten</t>
  </si>
  <si>
    <t>Beef Steak Braised Lean Only Eaten</t>
  </si>
  <si>
    <t>Beef Oxtails Cooked</t>
  </si>
  <si>
    <t>Beef Neck Bones Cooked</t>
  </si>
  <si>
    <t>Beef Shortribs Cooked Ns As To Fat Eaten</t>
  </si>
  <si>
    <t>Beef Shortribs Cooked Lean And Fat Eaten</t>
  </si>
  <si>
    <t>Beef Shortribs Cooked Lean Only Eaten</t>
  </si>
  <si>
    <t>Beef Shortribs Barbecued With Sauce Ns As To Fat Eaten</t>
  </si>
  <si>
    <t>Beef Shortribs Barbecued With Sauce Lean And Fat Eaten</t>
  </si>
  <si>
    <t>Beef Shortribs Barbecued With Sauce Lean Only Eaten</t>
  </si>
  <si>
    <t>Beef Cow Head Cooked</t>
  </si>
  <si>
    <t>Beef Roast Roasted Ns As To Fat Eaten</t>
  </si>
  <si>
    <t>Beef Roast Roasted Lean And Fat Eaten</t>
  </si>
  <si>
    <t>Beef Roast Roasted Lean Only Eaten</t>
  </si>
  <si>
    <t>Beef Pot Roast Braised Or Boiled Ns As To Fat Eaten</t>
  </si>
  <si>
    <t>Beef Pot Roast Braised Or Boiled Lean And Fat Eaten</t>
  </si>
  <si>
    <t>Beef Pot Roast Braised Or Boiled Lean Only Eaten</t>
  </si>
  <si>
    <t>Beef Stew Meat Cooked Ns As To Fat Eaten</t>
  </si>
  <si>
    <t>Beef Stew Meat Cooked Lean And Fat Eaten</t>
  </si>
  <si>
    <t>Beef Stew Meat Cooked Lean Only Eaten</t>
  </si>
  <si>
    <t>Beef Brisket Cooked Ns As To Fat Eaten</t>
  </si>
  <si>
    <t>Beef Brisket Cooked Lean And Fat Eaten</t>
  </si>
  <si>
    <t>Beef Brisket Cooked Lean Only Eaten</t>
  </si>
  <si>
    <t>Beef Sandwich Steak Flaked Formed Thinly Sliced</t>
  </si>
  <si>
    <t>Ground Beef Raw</t>
  </si>
  <si>
    <t>Ground Beef Cooked</t>
  </si>
  <si>
    <t>Ground Beef Patty Cooked</t>
  </si>
  <si>
    <t>Beef Dried Chipped Cooked In Fat</t>
  </si>
  <si>
    <t>Pork Ns As To Cut Cooked Ns As To Fat Eaten</t>
  </si>
  <si>
    <t>Pork Ns As To Cut Cooked Lean And Fat Eaten</t>
  </si>
  <si>
    <t>Pork Ns As To Cut Cooked Lean Only Eaten</t>
  </si>
  <si>
    <t>Pork Ns As To Cut Fried Ns As To Fat Eaten</t>
  </si>
  <si>
    <t>Pork Ns As To Cut Fried Lean And Fat Eaten</t>
  </si>
  <si>
    <t>Pork Ns As To Cut Fried Lean Only Eaten</t>
  </si>
  <si>
    <t>Pork Ns As To Cut Breaded Or Floured Fried Ns As To Fat Eaten</t>
  </si>
  <si>
    <t>Pork Ns As To Cut Breaded Or Floured Fried Lean And Fat Eaten</t>
  </si>
  <si>
    <t>Pork Ns As To Cut Breaded Or Floured Fried Lean Only Eaten</t>
  </si>
  <si>
    <t>Pork Ground Or Patty Cooked</t>
  </si>
  <si>
    <t>Pork Ground Or Patty Breaded Cooked</t>
  </si>
  <si>
    <t>Pork Chop Ns As To Cooking Method Ns As To Fat Eaten</t>
  </si>
  <si>
    <t>Pork Chop Ns As To Cooking Method Lean And Fat Eaten</t>
  </si>
  <si>
    <t>Pork Chop Ns As To Cooking Method Lean Only Eaten</t>
  </si>
  <si>
    <t>Pork Chop Broiled Or Baked Ns As To Fat Eaten</t>
  </si>
  <si>
    <t>Pork Chop Broiled Or Baked Lean And Fat Eaten</t>
  </si>
  <si>
    <t>Pork Chop Broiled Or Baked Lean Only Eaten</t>
  </si>
  <si>
    <t>Pork Chop Breaded Or Floured Broiled Or Baked Ns As To Fat Eaten</t>
  </si>
  <si>
    <t>Pork Chop Breaded Or Floured Broiled Or Baked Lean And Fat Eaten</t>
  </si>
  <si>
    <t>Pork Chop Breaded Or Floured Broiled Or Baked Lean Only Eaten</t>
  </si>
  <si>
    <t>Pork Chop Fried Ns As To Fat Eaten</t>
  </si>
  <si>
    <t>Pork Chop Fried Lean And Fat Eaten</t>
  </si>
  <si>
    <t>Pork Chop Fried Lean Only Eaten</t>
  </si>
  <si>
    <t>Pork Chop Breaded Or Floured Fried Ns As To Fat Eaten</t>
  </si>
  <si>
    <t>Pork Chop Breaded Or Floured Fried Lean And Fat Eaten</t>
  </si>
  <si>
    <t>Pork Chop Breaded Or Floured Fried Lean Only Eaten</t>
  </si>
  <si>
    <t>Pork Chop Battered Fried Ns As To Fat Eaten</t>
  </si>
  <si>
    <t>Pork Chop Battered Fried Lean And Fat Eaten</t>
  </si>
  <si>
    <t>Pork Chop Battered Fried Lean Only Eaten</t>
  </si>
  <si>
    <t>Pork Chop Stewed Ns As To Fat Eaten</t>
  </si>
  <si>
    <t>Pork Chop Stewed Lean And Fat Eaten</t>
  </si>
  <si>
    <t>Pork Chop Stewed Lean Only Eaten</t>
  </si>
  <si>
    <t>Pork Steak Or Cutlet Ns As To Cooking Method Ns As To Fat Eaten</t>
  </si>
  <si>
    <t>Pork Steak Or Cutlet Ns As To Cooking Method Lean And Fat Eaten</t>
  </si>
  <si>
    <t>Pork Steak Or Cutlet Ns As To Cooking Method Lean Only Eaten</t>
  </si>
  <si>
    <t>Pork Steak Or Cutlet Battered Fried Ns As To Fat Eaten</t>
  </si>
  <si>
    <t>Pork Steak Or Cutlet Battered Fried Lean And Fat Eaten</t>
  </si>
  <si>
    <t>Pork Steak Or Cutlet Battered Fried Lean Only Eaten</t>
  </si>
  <si>
    <t>Pork Steak Or Cutlet Broiled Or Baked Ns As To Fat Eaten</t>
  </si>
  <si>
    <t>Pork Steak Or Cutlet Broiled Or Baked Lean And Fat Eaten</t>
  </si>
  <si>
    <t>Pork Steak Or Cutlet Broiled Or Baked Lean Only Eaten</t>
  </si>
  <si>
    <t>Pork Steak Or Cutlet Fried Ns As To Fat Eaten</t>
  </si>
  <si>
    <t>Pork Steak Or Cutlet Fried Lean And Fat Eaten</t>
  </si>
  <si>
    <t>Pork Steak Or Cutlet Fried Lean Only Eaten</t>
  </si>
  <si>
    <t>Pork Steak Or Cutlet Breaded Or Floured Broiled Or Baked Ns As To Fat Eaten</t>
  </si>
  <si>
    <t>Pork Steak Or Cutlet Breaded Or Floured Broiled Or Baked Lean And Fat Eaten</t>
  </si>
  <si>
    <t>Pork Steak Or Cutlet Breaded Or Floured Broiled Or Baked Lean Only Eaten</t>
  </si>
  <si>
    <t>Pork Steak Or Cutlet Breaded Or Floured Fried Ns As To Fat Eaten</t>
  </si>
  <si>
    <t>Pork Steak Or Cutlet Breaded Or Floured Fried Lean And Fat Eaten</t>
  </si>
  <si>
    <t>Pork Steak Or Cutlet Breaded Or Floured Fried Lean Only Eaten</t>
  </si>
  <si>
    <t>Pork Tenderloin Cooked Ns As To Cooking Method</t>
  </si>
  <si>
    <t>Pork Tenderloin Breaded Fried</t>
  </si>
  <si>
    <t>Pork Tenderloin Braised</t>
  </si>
  <si>
    <t>Pork Tenderloin Baked</t>
  </si>
  <si>
    <t>Pork Tenderloin Battered Fried</t>
  </si>
  <si>
    <t>Ham Fried Ns As To Fat Eaten</t>
  </si>
  <si>
    <t>Ham Fried Lean And Fat Eaten</t>
  </si>
  <si>
    <t>Ham Fried Lean Only Eaten</t>
  </si>
  <si>
    <t>Ham Breaded Or Floured Fried Ns As To Fat Eaten</t>
  </si>
  <si>
    <t>Ham Breaded Or Floured Fried Lean And Fat Eaten</t>
  </si>
  <si>
    <t>Ham Breaded Or Floured Fried Lean Only Eaten</t>
  </si>
  <si>
    <t>Ham Fresh Cooked Ns As To Fat Eaten</t>
  </si>
  <si>
    <t>Ham Fresh Cooked Lean And Fat Eaten</t>
  </si>
  <si>
    <t>Ham Fresh Cooked Lean Only Eaten</t>
  </si>
  <si>
    <t>Ham Smoked Or Cured Cooked Ns As To Fat Eaten</t>
  </si>
  <si>
    <t>Ham Smoked Or Cured Cooked Lean And Fat Eaten</t>
  </si>
  <si>
    <t>Ham Smoked Or Cured Cooked Lean Only Eaten</t>
  </si>
  <si>
    <t>Ham Smoked Or Cured Canned Ns As To Fat Eaten</t>
  </si>
  <si>
    <t>Ham Smoked Or Cured Canned Lean And Fat Eaten</t>
  </si>
  <si>
    <t>Ham Smoked Or Cured Canned Lean Only Eaten</t>
  </si>
  <si>
    <t>Pork Roast Ns As To Cut Cooked Ns As To Fat Eaten</t>
  </si>
  <si>
    <t>Pork Roast Ns As To Cut Cooked Lean And Fat Eaten</t>
  </si>
  <si>
    <t>Pork Roast Ns As To Cut Cooked Lean Only Eaten</t>
  </si>
  <si>
    <t>Pork Roast Loin Cooked Ns As To Fat Eaten</t>
  </si>
  <si>
    <t>Pork Roast Loin Cooked Lean And Fat Eaten</t>
  </si>
  <si>
    <t>Pork Roast Loin Cooked Lean Only Eaten</t>
  </si>
  <si>
    <t>Fried Pork Chunks Puerto Rican Style</t>
  </si>
  <si>
    <t>Pork Roast Shoulder Cooked Ns As To Fat Eaten</t>
  </si>
  <si>
    <t>Pork Roast Shoulder Cooked Lean And Fat Eaten</t>
  </si>
  <si>
    <t>Pork Roast Shoulder Cooked Lean Only Eaten</t>
  </si>
  <si>
    <t>Pork Roll Cured Fried</t>
  </si>
  <si>
    <t>Salt Pork Cooked</t>
  </si>
  <si>
    <t>Fat Back Cooked</t>
  </si>
  <si>
    <t>Pork Spareribs Cooked Ns As To Fat Eaten</t>
  </si>
  <si>
    <t>Pork Spareribs Cooked Lean And Fat Eaten</t>
  </si>
  <si>
    <t>Pork Spareribs Cooked Lean Only Eaten</t>
  </si>
  <si>
    <t>Pork Spareribs Barbecued With Sauce Ns As To Fat Eaten</t>
  </si>
  <si>
    <t>Pork Spareribs Barbecued With Sauce Lean And Fat Eaten</t>
  </si>
  <si>
    <t>Pork Spareribs Barbecued With Sauce Lean Only Eaten</t>
  </si>
  <si>
    <t>Pork Ears Tail Head Snout Miscellaneous Parts Cooked</t>
  </si>
  <si>
    <t>Pork Neck Bones Cooked</t>
  </si>
  <si>
    <t>Pork Pig's Feet Cooked</t>
  </si>
  <si>
    <t>Pork Pig's Hocks Cooked</t>
  </si>
  <si>
    <t>Pork Skin Boiled</t>
  </si>
  <si>
    <t>Lamb Ns As To Cut Cooked</t>
  </si>
  <si>
    <t>Lamb Chop Ns As To Cut Cooked Ns As To Fat Eaten</t>
  </si>
  <si>
    <t>Lamb Chop Ns As To Cut Cooked Lean And Fat Eaten</t>
  </si>
  <si>
    <t>Lamb Chop Ns As To Cut Cooked Lean Only Eaten</t>
  </si>
  <si>
    <t>Lamb Loin Chop Cooked Ns As To Fat Eaten</t>
  </si>
  <si>
    <t>Lamb Loin Chop Cooked Lean And Fat Eaten</t>
  </si>
  <si>
    <t>Lamb Loin Chop Cooked Lean Only Eaten</t>
  </si>
  <si>
    <t>Lamb Shoulder Chop Cooked Ns As To Fat Eaten</t>
  </si>
  <si>
    <t>Lamb Shoulder Chop Cooked Lean And Fat Eaten</t>
  </si>
  <si>
    <t>Lamb Shoulder Chop Cooked Lean Only Eaten</t>
  </si>
  <si>
    <t>Lamb Ribs Cooked Lean Only Eaten</t>
  </si>
  <si>
    <t>Lamb Ribs Cooked Ns As To Fat Eaten</t>
  </si>
  <si>
    <t>Lamb Ribs Cooked Lean And Fat Eaten</t>
  </si>
  <si>
    <t>Lamb Hocks Cooked</t>
  </si>
  <si>
    <t>Lamb Roast Cooked Ns As To Fat Eaten</t>
  </si>
  <si>
    <t>Lamb Roast Cooked Lean And Fat Eaten</t>
  </si>
  <si>
    <t>Lamb Roast Cooked Lean Only Eaten</t>
  </si>
  <si>
    <t>Lamb Ground Or Patty Cooked</t>
  </si>
  <si>
    <t>Goat Boiled</t>
  </si>
  <si>
    <t>Goat Fried</t>
  </si>
  <si>
    <t>Goat Baked</t>
  </si>
  <si>
    <t>Goat Head Cooked</t>
  </si>
  <si>
    <t>Goat Ribs Cooked</t>
  </si>
  <si>
    <t>Veal Ns As To Cut Cooked Ns As To Fat Eaten</t>
  </si>
  <si>
    <t>Veal Ns As To Cut Cooked Lean And Fat Eaten</t>
  </si>
  <si>
    <t>Veal Ns As To Cut Cooked Lean Only Eaten</t>
  </si>
  <si>
    <t>Veal Chop Ns As To Cooking Method Ns As To Fat Eaten</t>
  </si>
  <si>
    <t>Veal Chop Ns As To Cooking Method Lean And Fat Eaten</t>
  </si>
  <si>
    <t>Veal Chop Ns As To Cooking Method Lean Only Eaten</t>
  </si>
  <si>
    <t>Veal Chop Broiled Ns As To Fat Eaten</t>
  </si>
  <si>
    <t>Veal Chop Broiled Lean And Fat Eaten</t>
  </si>
  <si>
    <t>Veal Chop Broiled Lean Only Eaten</t>
  </si>
  <si>
    <t>Veal Cutlet Or Steak Ns As To Cooking Method Ns As To Fat Eaten</t>
  </si>
  <si>
    <t>Veal Cutlet Or Steak Ns As To Cooking Method Lean And Fat Eaten</t>
  </si>
  <si>
    <t>Veal Cutlet Or Steak Ns As To Cooking Method Lean Only Eaten</t>
  </si>
  <si>
    <t>Veal Cutlet Or Steak Broiled Ns As To Fat Eaten</t>
  </si>
  <si>
    <t>Veal Cutlet Or Steak Broiled Lean And Fat Eaten</t>
  </si>
  <si>
    <t>Veal Cutlet Or Steak Broiled Lean Only Eaten</t>
  </si>
  <si>
    <t>Veal Cutlet Or Steak Fried Lean Only Eaten</t>
  </si>
  <si>
    <t>Veal Roasted Ns As To Fat Eaten</t>
  </si>
  <si>
    <t>Veal Roasted Lean And Fat Eaten</t>
  </si>
  <si>
    <t>Veal Roasted Lean Only Eaten</t>
  </si>
  <si>
    <t>Veal Ground Or Patty Cooked</t>
  </si>
  <si>
    <t>Mock Chicken Legs Cooked</t>
  </si>
  <si>
    <t>Veal Patty Breaded Cooked</t>
  </si>
  <si>
    <t>Rabbit Ns As To Domestic Or Wild Cooked</t>
  </si>
  <si>
    <t>Rabbit Domestic Ns As To Cooking Method</t>
  </si>
  <si>
    <t>Rabbit Ns As To Domestic Or Wild Breaded Fried</t>
  </si>
  <si>
    <t>Rabbit Wild Cooked</t>
  </si>
  <si>
    <t>Venison/deer Nfs</t>
  </si>
  <si>
    <t>Venison/deer Cured</t>
  </si>
  <si>
    <t>Venison/deer Roasted</t>
  </si>
  <si>
    <t>Venison/deer Steak Cooked Ns As To Cooking Method</t>
  </si>
  <si>
    <t>Venison/deer Steak Breaded Or Floured Cooked Ns As To Cooking Method</t>
  </si>
  <si>
    <t>Venison/deer Jerky</t>
  </si>
  <si>
    <t>Deer Chop Cooked</t>
  </si>
  <si>
    <t>Venison/deer Ribs Cooked</t>
  </si>
  <si>
    <t>Venison/deer Stewed</t>
  </si>
  <si>
    <t>Moose Cooked</t>
  </si>
  <si>
    <t>Bear Cooked</t>
  </si>
  <si>
    <t>Caribou Cooked</t>
  </si>
  <si>
    <t>Bison Cooked</t>
  </si>
  <si>
    <t>Ground Hog Cooked</t>
  </si>
  <si>
    <t>Opossum Cooked</t>
  </si>
  <si>
    <t>Squirrel Cooked</t>
  </si>
  <si>
    <t>Beaver Cooked</t>
  </si>
  <si>
    <t>Raccoon Cooked</t>
  </si>
  <si>
    <t>Armadillo Cooked</t>
  </si>
  <si>
    <t>Wild Pig Smoked</t>
  </si>
  <si>
    <t>Ostrich Cooked</t>
  </si>
  <si>
    <t>Lamb Baby Food Strained</t>
  </si>
  <si>
    <t>Chicken Ns As To Part And Cooking Method Ns As To Skin Eaten</t>
  </si>
  <si>
    <t>Chicken Ns As To Part And Cooking Method Skin Eaten</t>
  </si>
  <si>
    <t>Chicken Ns As To Part And Cooking Method Skin Not Eaten</t>
  </si>
  <si>
    <t>Chicken Ns As To Part Baked Broiled Or Roasted Ns As To Skin Eaten</t>
  </si>
  <si>
    <t>Chicken Ns As To Part Baked Broiled Or Roasted Skin Eaten</t>
  </si>
  <si>
    <t>Chicken Ns As To Part Baked Broiled Or Roasted Skin Not Eaten</t>
  </si>
  <si>
    <t>Chicken Ns As To Part Rotisserie Ns As To Skin Eaten</t>
  </si>
  <si>
    <t>Chicken Ns As To Part Rotisserie Skin Eaten</t>
  </si>
  <si>
    <t>Chicken Ns As To Part Rotisserie Skin Not Eaten</t>
  </si>
  <si>
    <t>Chicken Ns As To Part Stewed Ns As To Skin Eaten</t>
  </si>
  <si>
    <t>Chicken Ns As To Part Stewed Skin Eaten</t>
  </si>
  <si>
    <t>Chicken Ns As To Part Stewed Skin Not Eaten</t>
  </si>
  <si>
    <t>Chicken Ns As To Part Grilled Without Sauce Ns As To Skin Eaten</t>
  </si>
  <si>
    <t>Chicken Ns As To Part Grilled Without Sauce Skin Eaten</t>
  </si>
  <si>
    <t>Chicken Ns As To Part Grilled Without Sauce Skin Not Eaten</t>
  </si>
  <si>
    <t>Chicken Ns As To Part Grilled With Sauce Ns As To Skin Eaten</t>
  </si>
  <si>
    <t>Chicken Ns As To Part Grilled With Sauce Skin Eaten</t>
  </si>
  <si>
    <t>Chicken Ns As To Part Grilled With Sauce Skin Not Eaten</t>
  </si>
  <si>
    <t>Chicken Ns As To Part Sauteed Skin Eaten</t>
  </si>
  <si>
    <t>Chicken Ns As To Part Sauteed Skin Not Eaten</t>
  </si>
  <si>
    <t>Chicken Ns As To Part Fried Coated Skin / Coating Eaten</t>
  </si>
  <si>
    <t>Chicken Ns As To Part Fried Coated Skin / Coating Not Eaten</t>
  </si>
  <si>
    <t>Chicken Ns As To Part Baked Coated Skin / Coating Eaten</t>
  </si>
  <si>
    <t>Chicken Ns As To Part Baked Coated Skin / Coating Not Eaten</t>
  </si>
  <si>
    <t>Chicken Breast Baked Broiled Or Roasted Skin Eaten From Raw</t>
  </si>
  <si>
    <t>Chicken Breast Baked Broiled Or Roasted Skin Not Eaten From Raw</t>
  </si>
  <si>
    <t>Chicken Breast Baked Or Broiled Skin Eaten From Fast Food / Restaurant</t>
  </si>
  <si>
    <t>Chicken Breast Baked Or Broiled Skin Not Eaten From Fast Food / Restaurant</t>
  </si>
  <si>
    <t>Chicken Breast Baked Broiled Or Roasted With Marinade Skin Eaten From Raw</t>
  </si>
  <si>
    <t>Chicken Breast Baked Broiled Or Roasted With Marinade Skin Not Eaten From Raw</t>
  </si>
  <si>
    <t>Chicken Breast Stewed Skin Eaten</t>
  </si>
  <si>
    <t>Chicken Breast Stewed Skin Not Eaten</t>
  </si>
  <si>
    <t>Chicken Breast Grilled Without Sauce Skin Eaten</t>
  </si>
  <si>
    <t>Chicken Breast Grilled Without Sauce Skin Not Eaten</t>
  </si>
  <si>
    <t>Chicken Breast Grilled With Sauce Skin Eaten</t>
  </si>
  <si>
    <t>Chicken Breast Grilled With Sauce Skin Not Eaten</t>
  </si>
  <si>
    <t>Chicken Breast Sauteed Skin Eaten</t>
  </si>
  <si>
    <t>Chicken Breast Sauteed Skin Not Eaten</t>
  </si>
  <si>
    <t>Chicken Breast Fried Coated Skin / Coating Eaten From Raw</t>
  </si>
  <si>
    <t>Chicken Breast Fried Coated Skin / Coating Not Eaten From Raw</t>
  </si>
  <si>
    <t>Chicken Breast Fried Coated Prepared Skinless Coating Eaten From Raw</t>
  </si>
  <si>
    <t>Chicken Breast Fried Coated Skin / Coating Eaten From Pre-Cooked</t>
  </si>
  <si>
    <t>Chicken Breast Fried Coated Skin / Coating Not Eaten From Pre-Cooked</t>
  </si>
  <si>
    <t>Chicken Breast Fried Coated Skin / Coating Eaten From Fast Food / Restaurant</t>
  </si>
  <si>
    <t>Chicken Breast Fried Coated Skin / Coating Not Eaten From Fast Food / Restaurant</t>
  </si>
  <si>
    <t>Chicken Breast Baked Coated Skin / Coating Eaten</t>
  </si>
  <si>
    <t>Chicken Breast Baked Coated Skin / Coating Not Eaten</t>
  </si>
  <si>
    <t>Chicken Leg Drumstick And Thigh Ns As To Cooking Method Skin Eaten</t>
  </si>
  <si>
    <t>Chicken Leg Drumstick And Thigh Ns As To Cooking Method Skin Not Eaten</t>
  </si>
  <si>
    <t>Chicken Leg Drumstick And Thigh Baked Or Broiled Skin Eaten</t>
  </si>
  <si>
    <t>Chicken Leg Drumstick And Thigh Baked Or Broiled Skin Not Eaten</t>
  </si>
  <si>
    <t>Chicken Leg Drumstick And Thigh Rotisserie Skin Eaten</t>
  </si>
  <si>
    <t>Chicken Leg Drumstick And Thigh Rotisserie Skin Not Eaten</t>
  </si>
  <si>
    <t>Chicken Leg Drumstick And Thigh Stewed Skin Eaten</t>
  </si>
  <si>
    <t>Chicken Leg Drumstick And Thigh Stewed Skin Not Eaten</t>
  </si>
  <si>
    <t>Chicken Leg Drumstick And Thigh Grilled Without Sauce Skin Eaten</t>
  </si>
  <si>
    <t>Chicken Leg Drumstick And Thigh Grilled Without Sauce Skin Not Eaten</t>
  </si>
  <si>
    <t>Chicken Leg Drumstick And Thigh Grilled With Sauce Skin Eaten</t>
  </si>
  <si>
    <t>Chicken Leg Drumstick And Thigh Grilled With Sauce Skin Not Eaten</t>
  </si>
  <si>
    <t>Chicken Leg Drumstick And Thigh Sauteed Skin Eaten</t>
  </si>
  <si>
    <t>Chicken Leg Drumstick And Thigh Sauteed Skin Not Eaten</t>
  </si>
  <si>
    <t>Chicken Leg Drumstick And Thigh Fried Coated Skin / Coating Eaten</t>
  </si>
  <si>
    <t>Chicken Leg Drumstick And Thigh Fried Coated Skin / Coating Not Eaten</t>
  </si>
  <si>
    <t>Chicken Leg Drumstick And Thigh Baked Coated Skin / Coating Eaten</t>
  </si>
  <si>
    <t>Chicken Leg Drumstick And Thigh Baked Coated Skin / Coating Not Eaten</t>
  </si>
  <si>
    <t>Chicken Drumstick Baked Broiled Or Roasted Skin Eaten From Raw</t>
  </si>
  <si>
    <t>Chicken Drumstick Baked Broiled Or Roasted Skin Not Eaten From Raw</t>
  </si>
  <si>
    <t>Chicken Drumstick Baked Or Broiled Skin Eaten From Fast Food / Restaurant</t>
  </si>
  <si>
    <t>Chicken Drumstick Baked Or Broiled Skin Not Eaten From Fast Food / Restaurant</t>
  </si>
  <si>
    <t>Chicken Drumstick Grilled Without Sauce Skin Eaten</t>
  </si>
  <si>
    <t>Chicken Drumstick Grilled Without Sauce Skin Not Eaten</t>
  </si>
  <si>
    <t>Chicken Drumstick Grilled With Sauce Skin Eaten</t>
  </si>
  <si>
    <t>Chicken Drumstick Grilled With Sauce Skin Not Eaten</t>
  </si>
  <si>
    <t>Chicken Drumstick Stewed Skin Eaten</t>
  </si>
  <si>
    <t>Chicken Drumstick Stewed Skin Not Eaten</t>
  </si>
  <si>
    <t>Chicken Drumstick Sauteed Skin Eaten</t>
  </si>
  <si>
    <t>Chicken Drumstick Sauteed Skin Not Eaten</t>
  </si>
  <si>
    <t>Chicken Drumstick Fried Coated Skin / Coating Eaten From Raw</t>
  </si>
  <si>
    <t>Chicken Drumstick Fried Coated Skin / Coating Not Eaten From Raw</t>
  </si>
  <si>
    <t>Chicken Drumstick Fried Coated Prepared Skinless Coating Eaten From Raw</t>
  </si>
  <si>
    <t>Chicken Drumstick Fried Coated Skin / Coating Eaten From Pre-Cooked</t>
  </si>
  <si>
    <t>Chicken Drumstick Fried Coated Skin / Coating Not Eaten From Pre-Cooked</t>
  </si>
  <si>
    <t>Chicken Drumstick Fried Coated Skin / Coating Eaten From Fast Food / Restaurant</t>
  </si>
  <si>
    <t>Chicken Drumstick Fried Coated Skin / Coating Not Eaten From Fast Food / Restaurant</t>
  </si>
  <si>
    <t>Chicken Drumstick Baked Coated Skin / Coating Eaten</t>
  </si>
  <si>
    <t>Chicken Drumstick Baked Coated Skin / Coating Not Eaten</t>
  </si>
  <si>
    <t>Chicken Thigh Baked Broiled Or Roasted Skin Eaten From Raw</t>
  </si>
  <si>
    <t>Chicken Thigh Baked Broiled Or Roasted Skin Not Eaten From Raw</t>
  </si>
  <si>
    <t>Chicken Thigh Baked Or Broiled Skin Eaten From Fast Food / Restaurant</t>
  </si>
  <si>
    <t>Chicken Thigh Baked Or Broiled Skin Not Eaten From Fast Food / Restaurant</t>
  </si>
  <si>
    <t>Chicken Thigh Stewed Skin Eaten</t>
  </si>
  <si>
    <t>Chicken Thigh Stewed Skin Not Eaten</t>
  </si>
  <si>
    <t>Chicken Thigh Grilled Without Sauce Skin Eaten</t>
  </si>
  <si>
    <t>Chicken Thigh Grilled Without Sauce Skin Not Eaten</t>
  </si>
  <si>
    <t>Chicken Thigh Grilled With Sauce Skin Eaten</t>
  </si>
  <si>
    <t>Chicken Thigh Grilled With Sauce Skin Not Eaten</t>
  </si>
  <si>
    <t>Chicken Thigh Sauteed Skin Eaten</t>
  </si>
  <si>
    <t>Chicken Thigh Sauteed Skin Not Eaten</t>
  </si>
  <si>
    <t>Chicken Thigh Fried Coated Skin / Coating Eaten From Raw</t>
  </si>
  <si>
    <t>Chicken Thigh Fried Coated Skin / Coating Not Eaten From Raw</t>
  </si>
  <si>
    <t>Chicken Thigh Fried Coated Prepared Skinless Coating Eaten From Raw</t>
  </si>
  <si>
    <t>Chicken Thigh Fried Coated Skin / Coating Eaten From Pre-Cooked</t>
  </si>
  <si>
    <t>Chicken Thigh Fried Coated Skin / Coating Not Eaten From Pre-Cooked</t>
  </si>
  <si>
    <t>Chicken Thigh Fried Coated Skin / Coating Eaten From Fast Food</t>
  </si>
  <si>
    <t>Chicken Thigh Fried Coated Skin / Coating Not Eaten From Fast Food</t>
  </si>
  <si>
    <t>Chicken Thigh Fried Coated Skin / Coating Eaten From Restaurant</t>
  </si>
  <si>
    <t>Chicken Thigh Fried Coated Skin / Coating Not Eaten From Restaurant</t>
  </si>
  <si>
    <t>Chicken Thigh Baked Coated Skin / Coating Eaten</t>
  </si>
  <si>
    <t>Chicken Thigh Baked Coated Skin / Coating Not Eaten</t>
  </si>
  <si>
    <t>Chicken Wing Baked Broiled Or Roasted From Raw</t>
  </si>
  <si>
    <t>Chicken Wing Baked Or Broiled From Fast Food / Restaurant</t>
  </si>
  <si>
    <t>Chicken Wing Stewed</t>
  </si>
  <si>
    <t>Chicken Wing Grilled Without Sauce</t>
  </si>
  <si>
    <t>Chicken Wing Grilled With Sauce</t>
  </si>
  <si>
    <t>Chicken Wing Sauteed</t>
  </si>
  <si>
    <t>Chicken Wing Fried Coated From Raw</t>
  </si>
  <si>
    <t>Chicken Wing Fried Coated From Pre-Cooked</t>
  </si>
  <si>
    <t>Chicken Wing Fried Coated From Fast Food</t>
  </si>
  <si>
    <t>Chicken Wing Fried Coated From Restaurant</t>
  </si>
  <si>
    <t>Chicken Wing Baked Coated</t>
  </si>
  <si>
    <t>Chicken "wings" With Hot Sauce From Fast Food / Restaurant</t>
  </si>
  <si>
    <t>Chicken "wings" With Other Sauces Or Seasoning From Fast Food / Restaurant</t>
  </si>
  <si>
    <t>Chicken "wings" Plain From Fast Food / Restaurant</t>
  </si>
  <si>
    <t>Chicken "wings" With Hot Sauce From Precooked</t>
  </si>
  <si>
    <t>Chicken "wings" With Other Sauces Or Seasoning From Precooked</t>
  </si>
  <si>
    <t>Chicken "wings" Plain From Precooked</t>
  </si>
  <si>
    <t>Chicken "wings" With Hot Sauce From Other Sources</t>
  </si>
  <si>
    <t>Chicken "wings" With Other Sauces Or Seasoning From Other Sources</t>
  </si>
  <si>
    <t>Chicken "wings" Plain From Other Sources</t>
  </si>
  <si>
    <t>Chicken "wings" Boneless With Hot Sauce From Fast Food / Restaurant</t>
  </si>
  <si>
    <t>Chicken "wings" Boneless With Hot Sauce From Other Sources</t>
  </si>
  <si>
    <t>Chicken Back</t>
  </si>
  <si>
    <t>Chicken Neck Or Ribs</t>
  </si>
  <si>
    <t>Chicken Skin</t>
  </si>
  <si>
    <t>Chicken Chicken Roll Roasted</t>
  </si>
  <si>
    <t>Chicken Fillet Grilled</t>
  </si>
  <si>
    <t>Chicken Ground</t>
  </si>
  <si>
    <t>Chicken Nuggets From Frozen</t>
  </si>
  <si>
    <t>Chicken Nuggets From Other Sources</t>
  </si>
  <si>
    <t>Chicken Tenders Or Strips Breaded From Restaurant</t>
  </si>
  <si>
    <t>Chicken Tenders Or Strips Breaded From Other Sources</t>
  </si>
  <si>
    <t>Fried Chicken Chunks Puerto Rican Style</t>
  </si>
  <si>
    <t>Turkey Nfs</t>
  </si>
  <si>
    <t>Turkey Light Meat Skin Not Eaten</t>
  </si>
  <si>
    <t>Turkey Light Meat Skin Eaten</t>
  </si>
  <si>
    <t>Turkey Light Meat Breaded Baked Or Fried Skin Not Eaten</t>
  </si>
  <si>
    <t>Turkey Light Meat Breaded Baked Or Fried Skin Eaten</t>
  </si>
  <si>
    <t>Turkey Light Meat Roasted Skin Not Eaten</t>
  </si>
  <si>
    <t>Turkey Light Meat Roasted Skin Eaten</t>
  </si>
  <si>
    <t>Turkey Dark Meat Roasted Skin Not Eaten</t>
  </si>
  <si>
    <t>Turkey Dark Meat Roasted Skin Eaten</t>
  </si>
  <si>
    <t>Turkey Light And Dark Meat Roasted Skin Not Eaten</t>
  </si>
  <si>
    <t>Turkey Light And Dark Meat Roasted Skin Eaten</t>
  </si>
  <si>
    <t>Turkey Light Or Dark Meat Fried Coated Skin Not Eaten</t>
  </si>
  <si>
    <t>Turkey Light Or Dark Meat Fried Coated Skin Eaten</t>
  </si>
  <si>
    <t>Turkey Light Or Dark Meat Stewed Skin Not Eaten</t>
  </si>
  <si>
    <t>Turkey Light Or Dark Meat Stewed Skin Eaten</t>
  </si>
  <si>
    <t>Turkey Light Or Dark Meat Smoked Skin Not Eaten</t>
  </si>
  <si>
    <t>Turkey Drumstick Cooked Skin Not Eaten</t>
  </si>
  <si>
    <t>Turkey Drumstick Cooked Skin Eaten</t>
  </si>
  <si>
    <t>Turkey Drumstick Roasted Skin Not Eaten</t>
  </si>
  <si>
    <t>Turkey Drumstick Roasted Skin Eaten</t>
  </si>
  <si>
    <t>Turkey Drumstick Smoked Skin Eaten</t>
  </si>
  <si>
    <t>Turkey Thigh Cooked Skin Eaten</t>
  </si>
  <si>
    <t>Turkey Thigh Cooked Skin Not Eaten</t>
  </si>
  <si>
    <t>Turkey Neck</t>
  </si>
  <si>
    <t>Turkey Wing Cooked Skin Not Eaten</t>
  </si>
  <si>
    <t>Turkey Wing Cooked Skin Eaten</t>
  </si>
  <si>
    <t>Turkey Tail</t>
  </si>
  <si>
    <t>Turkey Back</t>
  </si>
  <si>
    <t>Turkey Ground</t>
  </si>
  <si>
    <t>Turkey Nuggets</t>
  </si>
  <si>
    <t>Turkey With Barbecue Sauce Skin Eaten</t>
  </si>
  <si>
    <t>Turkey With Barbecue Sauce Skin Not Eaten</t>
  </si>
  <si>
    <t>Duck Cooked Skin Eaten</t>
  </si>
  <si>
    <t>Duck Cooked Skin Not Eaten</t>
  </si>
  <si>
    <t>Duck Roasted Skin Eaten</t>
  </si>
  <si>
    <t>Duck Roasted Skin Not Eaten</t>
  </si>
  <si>
    <t>Duck Coated Fried</t>
  </si>
  <si>
    <t>Duck Pressed Chinese</t>
  </si>
  <si>
    <t>Goose Wild Roasted</t>
  </si>
  <si>
    <t>Cornish Game Hen Cooked Skin Eaten</t>
  </si>
  <si>
    <t>Cornish Game Hen Cooked Skin Not Eaten</t>
  </si>
  <si>
    <t>Cornish Game Hen Roasted Skin Eaten</t>
  </si>
  <si>
    <t>Cornish Game Hen Roasted Skin Not Eaten</t>
  </si>
  <si>
    <t>Dove Cooked Ns As To Cooking Method</t>
  </si>
  <si>
    <t>Dove Fried</t>
  </si>
  <si>
    <t>Quail Cooked</t>
  </si>
  <si>
    <t>Pheasant Cooked</t>
  </si>
  <si>
    <t>Chicken Baby Food Ns As To Strained Or Junior</t>
  </si>
  <si>
    <t>Beef Liver Braised</t>
  </si>
  <si>
    <t>Beef Liver Fried</t>
  </si>
  <si>
    <t>Chicken Liver Braised</t>
  </si>
  <si>
    <t>Chicken Liver Fried</t>
  </si>
  <si>
    <t>Heart Cooked</t>
  </si>
  <si>
    <t>Kidney Cooked</t>
  </si>
  <si>
    <t>Sweetbreads Cooked</t>
  </si>
  <si>
    <t>Brains Cooked</t>
  </si>
  <si>
    <t>Tongue Cooked</t>
  </si>
  <si>
    <t>Tongue Smoked Cured Or Pickled Cooked</t>
  </si>
  <si>
    <t>Tongue Pot Roast Puerto Rican Style</t>
  </si>
  <si>
    <t>Tripe Cooked</t>
  </si>
  <si>
    <t>Chitterlings Cooked</t>
  </si>
  <si>
    <t>Hog Maws Cooked</t>
  </si>
  <si>
    <t>Gizzard Cooked</t>
  </si>
  <si>
    <t>Frankfurter Wiener Or Hot Dog Nfs</t>
  </si>
  <si>
    <t>Frankfurter Or Hot Dog Cheese-Filled</t>
  </si>
  <si>
    <t>Frankfurter Or Hot Dog Beef</t>
  </si>
  <si>
    <t>Frankfurter Or Hot Dog Beef And Pork</t>
  </si>
  <si>
    <t>Frankfurter Or Hot Dog Beef And Pork Reduced Fat Or Light</t>
  </si>
  <si>
    <t>Frankfurter Or Hot Dog Meat And Poultry Fat Free</t>
  </si>
  <si>
    <t>Frankfurter Or Hot Dog Meat And Poultry</t>
  </si>
  <si>
    <t>Frankfurter Or Hot Dog Meat And Poultry Reduced Fat Or Light</t>
  </si>
  <si>
    <t>Frankfurter Or Hot Dog Chicken</t>
  </si>
  <si>
    <t>Frankfurter Or Hot Dog Turkey</t>
  </si>
  <si>
    <t>Frankfurter Or Hot Dog Beef Reduced Fat Or Light</t>
  </si>
  <si>
    <t>Frankfurter Or Hot Dog Reduced Fat Or Light Nfs</t>
  </si>
  <si>
    <t>Beef Sausage</t>
  </si>
  <si>
    <t>Beef Sausage With Cheese</t>
  </si>
  <si>
    <t>Bratwurst With Cheese</t>
  </si>
  <si>
    <t>Turkey Or Chicken And Beef Sausage</t>
  </si>
  <si>
    <t>Italian Sausage</t>
  </si>
  <si>
    <t>Scrapple Cooked</t>
  </si>
  <si>
    <t>Pickled Sausage</t>
  </si>
  <si>
    <t>Ham Luncheon Meat Loaf Type</t>
  </si>
  <si>
    <t>Turkey Ham Prepackaged Or Deli Luncheon Meat</t>
  </si>
  <si>
    <t>Fish Ns As To Type Raw</t>
  </si>
  <si>
    <t>Fish Ns As To Type Cooked Ns As To Cooking Method</t>
  </si>
  <si>
    <t>Fish Ns As To Type Baked Or Broiled Made With Oil</t>
  </si>
  <si>
    <t>Fish Ns As To Type Baked Or Broiled Made With Butter</t>
  </si>
  <si>
    <t>Fish Ns As To Type Baked Or Broiled Made With Margarine</t>
  </si>
  <si>
    <t>Fish Ns As To Type Baked Or Broiled Made Without Fat</t>
  </si>
  <si>
    <t>Fish Ns As To Type Baked Or Broiled Made With Cooking Spray</t>
  </si>
  <si>
    <t>Fish Ns As To Type Coated Baked Or Broiled Made With Oil</t>
  </si>
  <si>
    <t>Fish Ns As To Type Coated Baked Or Broiled Made With Butter</t>
  </si>
  <si>
    <t>Fish Ns As To Type Coated Baked Or Broiled Made With Margarine</t>
  </si>
  <si>
    <t>Fish Ns As To Type Coated Baked Or Broiled Made Without Fat</t>
  </si>
  <si>
    <t>Fish Ns As To Type Coated Baked Or Broiled Made With Cooking Spray</t>
  </si>
  <si>
    <t>Fish Ns As To Type Coated Fried Made With Oil</t>
  </si>
  <si>
    <t>Fish Ns As To Type Coated Fried Made With Butter</t>
  </si>
  <si>
    <t>Fish Ns As To Type Coated Fried Made With Margarine</t>
  </si>
  <si>
    <t>Fish Ns As To Type Coated Fried Made Without Fat</t>
  </si>
  <si>
    <t>Fish Ns As To Type Coated Fried Made With Cooking Spray</t>
  </si>
  <si>
    <t>Fish Ns As To Type Steamed</t>
  </si>
  <si>
    <t>Barracuda Cooked Ns As To Cooking Method</t>
  </si>
  <si>
    <t>Barracuda Baked Or Broiled Fat Added In Cooking</t>
  </si>
  <si>
    <t>Barracuda Baked Or Broiled Fat Not Added In Cooking</t>
  </si>
  <si>
    <t>Barracuda Coated Baked Or Broiled Fat Added In Cooking</t>
  </si>
  <si>
    <t>Barracuda Coated Baked Or Broiled Fat Not Added In Cooking</t>
  </si>
  <si>
    <t>Barracuda Coated Fried</t>
  </si>
  <si>
    <t>Barracuda Steamed Or Poached</t>
  </si>
  <si>
    <t>Carp Cooked Ns As To Cooking Method</t>
  </si>
  <si>
    <t>Carp Baked Or Broiled Fat Added In Cooking</t>
  </si>
  <si>
    <t>Carp Baked Or Broiled Fat Not Added In Cooking</t>
  </si>
  <si>
    <t>Carp Coated Baked Or Broiled Fat Added In Cooking</t>
  </si>
  <si>
    <t>Carp Coated Baked Or Broiled Fat Not Added In Cooking</t>
  </si>
  <si>
    <t>Carp Coated Fried</t>
  </si>
  <si>
    <t>Carp Steamed Or Poached</t>
  </si>
  <si>
    <t>Carp Smoked</t>
  </si>
  <si>
    <t>Catfish Cooked Ns As To Cooking Method</t>
  </si>
  <si>
    <t>Catfish Baked Or Broiled Made With Oil</t>
  </si>
  <si>
    <t>Catfish Baked Or Broiled Made With Butter</t>
  </si>
  <si>
    <t>Catfish Baked Or Broiled Made With Margarine</t>
  </si>
  <si>
    <t>Catfish Baked Or Broiled Made Without Fat</t>
  </si>
  <si>
    <t>Catfish Baked Or Broiled Made With Cooking Spray</t>
  </si>
  <si>
    <t>Catfish Coated Baked Or Broiled Made With Oil</t>
  </si>
  <si>
    <t>Catfish Coated Baked Or Broiled Made With Butter</t>
  </si>
  <si>
    <t>Catfish Coated Baked Or Broiled Made With Margarine</t>
  </si>
  <si>
    <t>Catfish Coated Baked Or Broiled Made Without Fat</t>
  </si>
  <si>
    <t>Catfish Coated Baked Or Broiled Made With Cooking Spray</t>
  </si>
  <si>
    <t>Catfish Coated Fried Made With Oil</t>
  </si>
  <si>
    <t>Catfish Coated Fried Made With Butter</t>
  </si>
  <si>
    <t>Catfish Coated Fried Made With Margarine</t>
  </si>
  <si>
    <t>Catfish Coated Fried Made Without Fat</t>
  </si>
  <si>
    <t>Catfish Coated Fried Made With Cooking Spray</t>
  </si>
  <si>
    <t>Catfish Steamed Or Poached</t>
  </si>
  <si>
    <t>Cod Cooked Ns As To Cooking Method</t>
  </si>
  <si>
    <t>Cod Baked Or Broiled Made With Oil</t>
  </si>
  <si>
    <t>Cod Baked Or Broiled Made With Butter</t>
  </si>
  <si>
    <t>Cod Baked Or Broiled Made With Margarine</t>
  </si>
  <si>
    <t>Cod Baked Or Broiled Made Without Fat</t>
  </si>
  <si>
    <t>Cod Baked Or Broiled Made With Cooking Spray</t>
  </si>
  <si>
    <t>Cod Coated Baked Or Broiled Made With Oil</t>
  </si>
  <si>
    <t>Cod Coated Baked Or Broiled Made With Butter</t>
  </si>
  <si>
    <t>Cod Coated Baked Or Broiled Made With Margarine</t>
  </si>
  <si>
    <t>Cod Coated Baked Or Broiled Made Without Fat</t>
  </si>
  <si>
    <t>Cod Coated Baked Or Broiled Made With Cooking Spray</t>
  </si>
  <si>
    <t>Cod Coated Fried Made With Oil</t>
  </si>
  <si>
    <t>Cod Coated Fried Made With Butter</t>
  </si>
  <si>
    <t>Cod Coated Fried Made With Margarine</t>
  </si>
  <si>
    <t>Cod Coated Fried Made Without Fat</t>
  </si>
  <si>
    <t>Cod Coated Fried Made With Cooking Spray</t>
  </si>
  <si>
    <t>Cod Steamed Or Poached</t>
  </si>
  <si>
    <t>Cod Smoked</t>
  </si>
  <si>
    <t>Croaker Cooked Ns As To Cooking Method</t>
  </si>
  <si>
    <t>Croaker Baked Or Broiled Fat Added In Cooking</t>
  </si>
  <si>
    <t>Croaker Baked Or Broiled Fat Not Added In Cooking</t>
  </si>
  <si>
    <t>Croaker Coated Baked Or Broiled Fat Added In Cooking</t>
  </si>
  <si>
    <t>Croaker Coated Baked Or Broiled Fat Not Added In Cooking</t>
  </si>
  <si>
    <t>Croaker Coated Fried</t>
  </si>
  <si>
    <t>Croaker Steamed Or Poached</t>
  </si>
  <si>
    <t>Eel Cooked Ns As To Cooking Method</t>
  </si>
  <si>
    <t>Eel Steamed Or Poached</t>
  </si>
  <si>
    <t>Eel Smoked</t>
  </si>
  <si>
    <t>Flounder Cooked Ns As To Cooking Method</t>
  </si>
  <si>
    <t>Flounder Baked Or Broiled Made With Oil</t>
  </si>
  <si>
    <t>Flounder Baked Or Broiled Made With Butter</t>
  </si>
  <si>
    <t>Flounder Baked Or Broiled Made With Margarine</t>
  </si>
  <si>
    <t>Flounder Baked Or Broiled Made Without Fat</t>
  </si>
  <si>
    <t>Flounder Baked Or Broiled Made With Cooking Spray</t>
  </si>
  <si>
    <t>Flounder Coated Baked Or Broiled Made With Oil</t>
  </si>
  <si>
    <t>Flounder Coated Baked Or Broiled Made With Butter</t>
  </si>
  <si>
    <t>Flounder Coated Baked Or Broiled Made With Margarine</t>
  </si>
  <si>
    <t>Flounder Coated Baked Or Broiled Made Without Fat</t>
  </si>
  <si>
    <t>Flounder Coated Baked Or Broiled Made With Cooking Spray</t>
  </si>
  <si>
    <t>Flounder Coated Fried Made With Oil</t>
  </si>
  <si>
    <t>Flounder Coated Fried Made With Butter</t>
  </si>
  <si>
    <t>Flounder Coated Fried Made With Margarine</t>
  </si>
  <si>
    <t>Flounder Coated Fried Made Without Fat</t>
  </si>
  <si>
    <t>Flounder Coated Fried Made With Cooking Spray</t>
  </si>
  <si>
    <t>Flounder Steamed Or Poached</t>
  </si>
  <si>
    <t>Flounder Smoked</t>
  </si>
  <si>
    <t>Haddock Cooked Ns As To Cooking Method</t>
  </si>
  <si>
    <t>Haddock Baked Or Broiled Fat Added In Cooking</t>
  </si>
  <si>
    <t>Haddock Baked Or Broiled Fat Not Added In Cooking</t>
  </si>
  <si>
    <t>Haddock Coated Baked Or Broiled Fat Added In Cooking</t>
  </si>
  <si>
    <t>Haddock Coated Baked Or Broiled Fat Not Added In Cooking</t>
  </si>
  <si>
    <t>Haddock Coated Fried</t>
  </si>
  <si>
    <t>Haddock Steamed Or Poached</t>
  </si>
  <si>
    <t>Halibut Cooked Ns As To Cooking Method</t>
  </si>
  <si>
    <t>Halibut Baked Or Broiled Made With Oil</t>
  </si>
  <si>
    <t>Halibut Baked Or Broiled Made With Butter</t>
  </si>
  <si>
    <t>Halibut Baked Or Broiled Made With Margarine</t>
  </si>
  <si>
    <t>Halibut Baked Or Broiled Made Without Fat</t>
  </si>
  <si>
    <t>Halibut Baked Or Broiled Made With Cooking Spray</t>
  </si>
  <si>
    <t>Halibut Coated Baked Or Broiled Made With Oil</t>
  </si>
  <si>
    <t>Halibut Coated Baked Or Broiled Made With Butter</t>
  </si>
  <si>
    <t>Halibut Coated Baked Or Broiled Made With Margarine</t>
  </si>
  <si>
    <t>Halibut Coated Baked Or Broiled Made Without Fat</t>
  </si>
  <si>
    <t>Halibut Coated Baked Or Broiled Made With Cooking Spray</t>
  </si>
  <si>
    <t>Halibut Coated Fried Made With Oil</t>
  </si>
  <si>
    <t>Halibut Coated Fried Made With Butter</t>
  </si>
  <si>
    <t>Halibut Coated Fried Made With Margarine</t>
  </si>
  <si>
    <t>Halibut Coated Fried Made Without Fat</t>
  </si>
  <si>
    <t>Halibut Coated Fried Made With Cooking Spray</t>
  </si>
  <si>
    <t>Halibut Steamed Or Poached</t>
  </si>
  <si>
    <t>Halibut Smoked</t>
  </si>
  <si>
    <t>Herring Cooked Ns As To Cooking Method</t>
  </si>
  <si>
    <t>Herring Baked Or Broiled Fat Added In Cooking</t>
  </si>
  <si>
    <t>Herring Baked Or Broiled Fat Not Added In Cooking</t>
  </si>
  <si>
    <t>Herring Coated Baked Or Broiled Fat Added In Cooking</t>
  </si>
  <si>
    <t>Herring Coated Baked Or Broiled Fat Not Added In Cooking</t>
  </si>
  <si>
    <t>Herring Coated Fried</t>
  </si>
  <si>
    <t>Herring Pickled In Cream Sauce</t>
  </si>
  <si>
    <t>Herring Dried Salted</t>
  </si>
  <si>
    <t>Mackerel Raw</t>
  </si>
  <si>
    <t>Mackerel Cooked Ns As To Cooking Method</t>
  </si>
  <si>
    <t>Mackerel Baked Or Broiled Fat Added In Cooking</t>
  </si>
  <si>
    <t>Mackerel Baked Or Broiled Fat Not Added In Cooking</t>
  </si>
  <si>
    <t>Mackerel Coated Baked Or Broiled Fat Added In Cooking</t>
  </si>
  <si>
    <t>Mackerel Coated Baked Or Broiled Fat Not Added In Cooking</t>
  </si>
  <si>
    <t>Mackerel Coated Fried</t>
  </si>
  <si>
    <t>Mackerel Pickled</t>
  </si>
  <si>
    <t>Mackerel Smoked</t>
  </si>
  <si>
    <t>Mullet Cooked Ns As To Cooking Method</t>
  </si>
  <si>
    <t>Mullet Baked Or Broiled Fat Added In Cooking</t>
  </si>
  <si>
    <t>Mullet Baked Or Broiled Fat Not Added In Cooking</t>
  </si>
  <si>
    <t>Mullet Coated Baked Or Broiled Fat Added In Cooking</t>
  </si>
  <si>
    <t>Mullet Coated Baked Or Broiled Fat Not Added In Cooking</t>
  </si>
  <si>
    <t>Mullet Coated Fried</t>
  </si>
  <si>
    <t>Mullet Steamed Or Poached</t>
  </si>
  <si>
    <t>Ocean Perch Cooked Ns As To Cooking Method</t>
  </si>
  <si>
    <t>Ocean Perch Baked Or Broiled Fat Added In Cooking</t>
  </si>
  <si>
    <t>Ocean Perch Baked Or Broiled Fat Not Added In Cooking</t>
  </si>
  <si>
    <t>Ocean Perch Coated Baked Or Broiled Fat Added In Cooking</t>
  </si>
  <si>
    <t>Ocean Perch Coated Baked Or Broiled Fat Not Added In Cooking</t>
  </si>
  <si>
    <t>Ocean Perch Coated Fried</t>
  </si>
  <si>
    <t>Ocean Perch Steamed Or Poached</t>
  </si>
  <si>
    <t>Perch Cooked Ns As To Cooking Method</t>
  </si>
  <si>
    <t>Perch Baked Or Broiled Made With Oil</t>
  </si>
  <si>
    <t>Perch Baked Or Broiled Made With Butter</t>
  </si>
  <si>
    <t>Perch Baked Or Broiled Made With Margarine</t>
  </si>
  <si>
    <t>Perch Baked Or Broiled Made Without Fat</t>
  </si>
  <si>
    <t>Perch Baked Or Broiled Made With Cooking Spray</t>
  </si>
  <si>
    <t>Perch Coated Baked Or Broiled Made With Oil</t>
  </si>
  <si>
    <t>Perch Coated Baked Or Broiled Made With Butter</t>
  </si>
  <si>
    <t>Perch Coated Baked Or Broiled Made With Margarine</t>
  </si>
  <si>
    <t>Perch Coated Baked Or Broiled Made Without Fat</t>
  </si>
  <si>
    <t>Perch Coated Baked Or Broiled Made With Cooking Spray</t>
  </si>
  <si>
    <t>Perch Coated Fried Made With Oil</t>
  </si>
  <si>
    <t>Perch Coated Fried Made With Butter</t>
  </si>
  <si>
    <t>Perch Coated Fried Made With Margarine</t>
  </si>
  <si>
    <t>Perch Coated Fried Made Without Fat</t>
  </si>
  <si>
    <t>Perch Coated Fried Made With Cooking Spray</t>
  </si>
  <si>
    <t>Perch Steamed Or Poached</t>
  </si>
  <si>
    <t>Pike Cooked Ns As To Cooking Method</t>
  </si>
  <si>
    <t>Pike Baked Or Broiled Fat Added In Cooking</t>
  </si>
  <si>
    <t>Pike Baked Or Broiled Fat Not Added In Cooking</t>
  </si>
  <si>
    <t>Pike Coated Baked Or Broiled Fat Added In Cooking</t>
  </si>
  <si>
    <t>Pike Coated Baked Or Broiled Fat Not Added In Cooking</t>
  </si>
  <si>
    <t>Pike Coated Fried</t>
  </si>
  <si>
    <t>Pike Steamed Or Poached</t>
  </si>
  <si>
    <t>Pompano Cooked Ns As To Cooking Method</t>
  </si>
  <si>
    <t>Pompano Baked Or Broiled Fat Added In Cooking</t>
  </si>
  <si>
    <t>Pompano Baked Or Broiled Fat Not Added In Cooking</t>
  </si>
  <si>
    <t>Pompano Coated Baked Or Broiled Fat Added In Cooking</t>
  </si>
  <si>
    <t>Pompano Coated Baked Or Broiled Fat Not Added In Cooking</t>
  </si>
  <si>
    <t>Pompano Coated Fried</t>
  </si>
  <si>
    <t>Pompano Steamed Or Poached</t>
  </si>
  <si>
    <t>Pompano Smoked</t>
  </si>
  <si>
    <t>Porgy Cooked Ns As To Cooking Method</t>
  </si>
  <si>
    <t>Porgy Baked Or Broiled Fat Added In Cooking</t>
  </si>
  <si>
    <t>Porgy Baked Or Broiled Fat Not Added In Cooking</t>
  </si>
  <si>
    <t>Porgy Coated Baked Or Broiled Fat Added In Cooking</t>
  </si>
  <si>
    <t>Porgy Coated Baked Or Broiled Fat Not Added In Cooking</t>
  </si>
  <si>
    <t>Porgy Coated Fried</t>
  </si>
  <si>
    <t>Porgy Steamed Or Poached</t>
  </si>
  <si>
    <t>Ray Cooked Ns As To Cooking Method</t>
  </si>
  <si>
    <t>Ray Baked Or Broiled Fat Added In Cooking</t>
  </si>
  <si>
    <t>Ray Baked Or Broiled Fat Not Added In Cooking</t>
  </si>
  <si>
    <t>Ray Coated Baked Or Broiled Fat Added In Cooking</t>
  </si>
  <si>
    <t>Ray Coated Baked Or Broiled Fat Not Added In Cooking</t>
  </si>
  <si>
    <t>Ray Coated Fried</t>
  </si>
  <si>
    <t>Ray Steamed Or Poached</t>
  </si>
  <si>
    <t>Salmon Cooked Ns As To Cooking Method</t>
  </si>
  <si>
    <t>Salmon Baked Or Broiled Made With Oil</t>
  </si>
  <si>
    <t>Salmon Baked Or Broiled Made With Butter</t>
  </si>
  <si>
    <t>Salmon Baked Or Broiled Made With Margarine</t>
  </si>
  <si>
    <t>Salmon Baked Or Broiled Made Without Fat</t>
  </si>
  <si>
    <t>Salmon Baked Or Broiled Made With Cooking Spray</t>
  </si>
  <si>
    <t>Salmon Coated Baked Or Broiled Made With Oil</t>
  </si>
  <si>
    <t>Salmon Coated Baked Or Broiled Made With Butter</t>
  </si>
  <si>
    <t>Salmon Coated Baked Or Broiled Made With Margarine</t>
  </si>
  <si>
    <t>Salmon Coated Baked Or Broiled Made Without Fat</t>
  </si>
  <si>
    <t>Salmon Coated Baked Or Broiled Made With Cooking Spray</t>
  </si>
  <si>
    <t>Salmon Coated Fried Made With Oil</t>
  </si>
  <si>
    <t>Salmon Coated Fried Made With Butter</t>
  </si>
  <si>
    <t>Salmon Coated Fried Made With Margarine</t>
  </si>
  <si>
    <t>Salmon Coated Fried Made Without Fat</t>
  </si>
  <si>
    <t>Salmon Coated Fried Made With Cooking Spray</t>
  </si>
  <si>
    <t>Salmon Steamed Or Poached</t>
  </si>
  <si>
    <t>Salmon Dried</t>
  </si>
  <si>
    <t>Salmon Canned</t>
  </si>
  <si>
    <t>Sardines Dried</t>
  </si>
  <si>
    <t>Sea Bass Cooked Ns As To Cooking Method</t>
  </si>
  <si>
    <t>Sea Bass Baked Or Broiled Fat Added In Cooking</t>
  </si>
  <si>
    <t>Sea Bass Baked Or Broiled Fat Not Added In Cooking</t>
  </si>
  <si>
    <t>Sea Bass Coated Baked Or Broiled Fat Added In Cooking</t>
  </si>
  <si>
    <t>Sea Bass Coated Baked Or Broiled Fat Not Added In Cooking</t>
  </si>
  <si>
    <t>Sea Bass Coated Fried</t>
  </si>
  <si>
    <t>Sea Bass Steamed Or Poached</t>
  </si>
  <si>
    <t>Sea Bass Pickled</t>
  </si>
  <si>
    <t>Shark Cooked Ns As To Cooking Method</t>
  </si>
  <si>
    <t>Shark Baked Or Broiled Fat Added In Cooking</t>
  </si>
  <si>
    <t>Shark Baked Or Broiled Fat Not Added In Cooking</t>
  </si>
  <si>
    <t>Shark Coated Baked Or Broiled Fat Added In Cooking</t>
  </si>
  <si>
    <t>Shark Coated Baked Or Broiled Fat Not Added In Cooking</t>
  </si>
  <si>
    <t>Shark Coated Fried</t>
  </si>
  <si>
    <t>Shark Steamed Or Poached</t>
  </si>
  <si>
    <t>Sturgeon Cooked Ns As To Cooking Method</t>
  </si>
  <si>
    <t>Sturgeon Baked Or Broiled Fat Added In Cooking</t>
  </si>
  <si>
    <t>Sturgeon Steamed</t>
  </si>
  <si>
    <t>Sturgeon Coated Fried</t>
  </si>
  <si>
    <t>Swordfish Cooked Ns As To Cooking Method</t>
  </si>
  <si>
    <t>Swordfish Baked Or Broiled Fat Added In Cooking</t>
  </si>
  <si>
    <t>Swordfish Baked Or Broiled Fat Not Added In Cooking</t>
  </si>
  <si>
    <t>Swordfish Coated Baked Or Broiled Fat Added In Cooking</t>
  </si>
  <si>
    <t>Swordfish Coated Baked Or Broiled Fat Not Added In Cooking</t>
  </si>
  <si>
    <t>Swordfish Coated Fried</t>
  </si>
  <si>
    <t>Swordfish Steamed Or Poached</t>
  </si>
  <si>
    <t>Trout Cooked Ns As To Cooking Method</t>
  </si>
  <si>
    <t>Trout Baked Or Broiled Made With Oil</t>
  </si>
  <si>
    <t>Trout Baked Or Broiled Made With Butter</t>
  </si>
  <si>
    <t>Trout Baked Or Broiled Made With Margarine</t>
  </si>
  <si>
    <t>Trout Baked Or Broiled Made Without Fat</t>
  </si>
  <si>
    <t>Trout Baked Or Broiled Made With Cooking Spray</t>
  </si>
  <si>
    <t>Trout Coated Baked Or Broiled Made With Oil</t>
  </si>
  <si>
    <t>Trout Coated Baked Or Broiled Made With Butter</t>
  </si>
  <si>
    <t>Trout Coated Baked Or Broiled Made With Margarine</t>
  </si>
  <si>
    <t>Trout Coated Baked Or Broiled Made Without Fat</t>
  </si>
  <si>
    <t>Trout Coated Baked Or Broiled Made With Cooking Spray</t>
  </si>
  <si>
    <t>Trout Coated Fried Made With Oil</t>
  </si>
  <si>
    <t>Trout Coated Fried Made With Butter</t>
  </si>
  <si>
    <t>Trout Coated Fried Made With Margarine</t>
  </si>
  <si>
    <t>Trout Coated Fried Made Without Fat</t>
  </si>
  <si>
    <t>Trout Coated Fried Made With Cooking Spray</t>
  </si>
  <si>
    <t>Trout Steamed Or Poached</t>
  </si>
  <si>
    <t>Trout Smoked</t>
  </si>
  <si>
    <t>Tuna Fresh Cooked Ns As To Cooking Method</t>
  </si>
  <si>
    <t>Tuna Fresh Baked Or Broiled Fat Added In Cooking</t>
  </si>
  <si>
    <t>Tuna Fresh Baked Or Broiled Fat Not Added In Cooking</t>
  </si>
  <si>
    <t>Tuna Fresh Coated Baked Or Broiled Fat Added In Cooking</t>
  </si>
  <si>
    <t>Tuna Fresh Coated Baked Or Broiled Fat Not Added</t>
  </si>
  <si>
    <t>Tuna Fresh Coated Fried</t>
  </si>
  <si>
    <t>Tuna Fresh Steamed Or Poached</t>
  </si>
  <si>
    <t>Tuna Fresh Dried</t>
  </si>
  <si>
    <t>Tuna Fresh Smoked</t>
  </si>
  <si>
    <t>Whiting Cooked Ns As To Cooking Method</t>
  </si>
  <si>
    <t>Whiting Baked Or Broiled Made With Oil</t>
  </si>
  <si>
    <t>Whiting Baked Or Broiled Made With Butter</t>
  </si>
  <si>
    <t>Whiting Baked Or Broiled Made With Margarine</t>
  </si>
  <si>
    <t>Whiting Baked Or Broiled Made Without Fat</t>
  </si>
  <si>
    <t>Whiting Baked Or Broiled Made With Cooking Spray</t>
  </si>
  <si>
    <t>Whiting Coated Baked Or Broiled Made With Oil</t>
  </si>
  <si>
    <t>Whiting Coated Baked Or Broiled Made With Butter</t>
  </si>
  <si>
    <t>Whiting Coated Baked Or Broiled Made With Margarine</t>
  </si>
  <si>
    <t>Whiting Coated Baked Or Broiled Made Without Fat</t>
  </si>
  <si>
    <t>Whiting Coated Baked Or Broiled Made With Cooking Spray</t>
  </si>
  <si>
    <t>Whiting Coated Fried Made With Oil</t>
  </si>
  <si>
    <t>Whiting Coated Fried Made With Butter</t>
  </si>
  <si>
    <t>Whiting Coated Fried Made With Margarine</t>
  </si>
  <si>
    <t>Whiting Coated Fried Made Without Fat</t>
  </si>
  <si>
    <t>Whiting Coated Fried Made With Cooking Spray</t>
  </si>
  <si>
    <t>Whiting Steamed Or Poached</t>
  </si>
  <si>
    <t>Tilapia Cooked Ns As To Cooking Method</t>
  </si>
  <si>
    <t>Tilapia Baked Or Broiled Made With Oil</t>
  </si>
  <si>
    <t>Tilapia Baked Or Broiled Made With Butter</t>
  </si>
  <si>
    <t>Tilapia Baked Or Broiled Made With Margarine</t>
  </si>
  <si>
    <t>Tilapia Baked Or Broiled Made Without Fat</t>
  </si>
  <si>
    <t>Tilapia Baked Or Broiled Made With Cooking Spray</t>
  </si>
  <si>
    <t>Tilapia Coated Baked Or Broiled Made  With Oil</t>
  </si>
  <si>
    <t>Tilapia Coated Baked Or Broiled Made With Butter</t>
  </si>
  <si>
    <t>Tilapia Coated Baked Or Broiled Made With Margarine</t>
  </si>
  <si>
    <t>Tilapia Coated Baked Or Broiled Made Without Fat</t>
  </si>
  <si>
    <t>Tilapia Coated Baked Or Broiled Made With Cooking Spray</t>
  </si>
  <si>
    <t>Tilapia Coated Fried Made With Oil</t>
  </si>
  <si>
    <t>Tilapia Coated Fried Made With Butter</t>
  </si>
  <si>
    <t>Tilapia Coated Fried Made With Margarine</t>
  </si>
  <si>
    <t>Tilapia Coated Fried Made Without Fat</t>
  </si>
  <si>
    <t>Tilapia Coated Fried Made With Cooking Spray</t>
  </si>
  <si>
    <t>Tilapia Steamed Or Poached</t>
  </si>
  <si>
    <t>Frog Legs Ns As To Cooking Method</t>
  </si>
  <si>
    <t>Frog Legs Steamed</t>
  </si>
  <si>
    <t>Octopus Cooked Ns As To Cooking Method</t>
  </si>
  <si>
    <t>Octopus Steamed</t>
  </si>
  <si>
    <t>Octopus Dried</t>
  </si>
  <si>
    <t>Octopus Dried Boiled</t>
  </si>
  <si>
    <t>Octopus Smoked</t>
  </si>
  <si>
    <t>Roe Shad Cooked</t>
  </si>
  <si>
    <t>Squid Baked Or Broiled Fat Added In Cooking</t>
  </si>
  <si>
    <t>Squid Baked Or Broiled Fat Not Added In Cooking</t>
  </si>
  <si>
    <t>Squid Coated Baked Or Broiled Fat Added In Cooking</t>
  </si>
  <si>
    <t>Squid Coated Baked Or Broiled Fat Not Added In Cooking</t>
  </si>
  <si>
    <t>Squid Coated Fried</t>
  </si>
  <si>
    <t>Squid Steamed Or Boiled</t>
  </si>
  <si>
    <t>Squid Dried</t>
  </si>
  <si>
    <t>Squid Pickled</t>
  </si>
  <si>
    <t>Squid Canned</t>
  </si>
  <si>
    <t>Turtle Cooked Ns As To Cooking Method</t>
  </si>
  <si>
    <t>Abalone Cooked Ns As To Cooking Method</t>
  </si>
  <si>
    <t>Abalone Floured Or Breaded Fried</t>
  </si>
  <si>
    <t>Abalone Steamed Or Poached</t>
  </si>
  <si>
    <t>Clams Cooked Ns As To Cooking Method</t>
  </si>
  <si>
    <t>Clams Baked Or Broiled Fat Added In Cooking</t>
  </si>
  <si>
    <t>Clams Baked Or Broiled Fat Not Added In Cooking</t>
  </si>
  <si>
    <t>Clams Coated Baked Or Broiled Fat Added In Cooking</t>
  </si>
  <si>
    <t>Clams Coated Baked Or Broiled Fat Not Added In Cooking</t>
  </si>
  <si>
    <t>Clams Coated Fried</t>
  </si>
  <si>
    <t>Clams Steamed Or Boiled</t>
  </si>
  <si>
    <t>Clams Canned</t>
  </si>
  <si>
    <t>Clams Smoked In Oil</t>
  </si>
  <si>
    <t>Crab Cooked Ns As To Cooking Method</t>
  </si>
  <si>
    <t>Crab Baked Or Broiled Fat Added In Cooking</t>
  </si>
  <si>
    <t>Crab Baked Or Broiled Fat Not Added In Cooking</t>
  </si>
  <si>
    <t>Crab Coated Baked Or Broiled Fat Added In Cooking</t>
  </si>
  <si>
    <t>Crab Coated Baked Or Broiled Fat Not Added In Cooking</t>
  </si>
  <si>
    <t>Crab Hard Shell Steamed</t>
  </si>
  <si>
    <t>Crab Soft Shell Coated Fried</t>
  </si>
  <si>
    <t>Crayfish Coated Fried</t>
  </si>
  <si>
    <t>Crayfish Boiled Or Steamed</t>
  </si>
  <si>
    <t>Lobster Cooked Ns As To Cooking Method</t>
  </si>
  <si>
    <t>Lobster Baked Or Broiled Fat Added In Cooking</t>
  </si>
  <si>
    <t>Lobster Baked Or Broiled Fat Not Added In Cooking</t>
  </si>
  <si>
    <t>Lobster Coated Fried</t>
  </si>
  <si>
    <t>Lobster Steamed Or Boiled</t>
  </si>
  <si>
    <t>Lobster Coated Baked Or Broiled Fat Added In Cooking</t>
  </si>
  <si>
    <t>Lobster Coated Baked Or Broiled Fat Not Added In Cooking</t>
  </si>
  <si>
    <t>Mussels Cooked Ns As To Cooking Method</t>
  </si>
  <si>
    <t>Mussels Steamed Or Poached</t>
  </si>
  <si>
    <t>Oysters Cooked Ns As To Cooking Method</t>
  </si>
  <si>
    <t>Oysters Baked Or Broiled Fat Added In Cooking</t>
  </si>
  <si>
    <t>Oysters Baked Or Broiled Fat Not Added In Cooking</t>
  </si>
  <si>
    <t>Oysters Steamed</t>
  </si>
  <si>
    <t>Oysters Coated Fried</t>
  </si>
  <si>
    <t>Oysters Coated Baked Or Broiled Fat Added In Cooking</t>
  </si>
  <si>
    <t>Oysters Coated Baked Or Broiled Fat Not Added In Cooking</t>
  </si>
  <si>
    <t>Oysters Canned</t>
  </si>
  <si>
    <t>Oysters Smoked</t>
  </si>
  <si>
    <t>Scallops Cooked Ns As To Cooking Method</t>
  </si>
  <si>
    <t>Scallops Baked Or Broiled Fat Added In Cooking</t>
  </si>
  <si>
    <t>Scallops Baked Or Broiled Fat Not Added In Cooking</t>
  </si>
  <si>
    <t>Scallops Steamed Or Boiled</t>
  </si>
  <si>
    <t>Scallops Coated Fried</t>
  </si>
  <si>
    <t>Scallops Coated Baked Or Broiled Fat Added In Cooking</t>
  </si>
  <si>
    <t>Scallops Coated Baked Or Broiled Fat Not Added In Cooking</t>
  </si>
  <si>
    <t>Shrimp Cooked Ns As To Cooking Method</t>
  </si>
  <si>
    <t>Shrimp Baked Or Broiled Made With Oil</t>
  </si>
  <si>
    <t>Shrimp Baked Or Broiled Made With Butter</t>
  </si>
  <si>
    <t>Shrimp Baked Or Broiled Made With Margarine</t>
  </si>
  <si>
    <t>Shrimp Baked Or Broiled Made Without Fat</t>
  </si>
  <si>
    <t>Shrimp Baked Or Broiled Made With Cooking Spray</t>
  </si>
  <si>
    <t>Shrimp Steamed Or Boiled</t>
  </si>
  <si>
    <t>Shrimp Coated Fried Made With Oil</t>
  </si>
  <si>
    <t>Shrimp Coated Fried Made With Butter</t>
  </si>
  <si>
    <t>Shrimp Coated Fried Made With Margarine</t>
  </si>
  <si>
    <t>Shrimp Coated Fried Made Without Fat</t>
  </si>
  <si>
    <t>Shrimp Coated Fried Made With Cooking Spray</t>
  </si>
  <si>
    <t>Shrimp Coated Baked Or Broiled Made With Oil</t>
  </si>
  <si>
    <t>Shrimp Coated Baked Or Broiled Made With Butter</t>
  </si>
  <si>
    <t>Shrimp Coated Baked Or Broiled Made With Margarine</t>
  </si>
  <si>
    <t>Shrimp Coated Baked Or Broiled Made Without Fat</t>
  </si>
  <si>
    <t>Shrimp Coated Baked Or Broiled Made With Cooking Spray</t>
  </si>
  <si>
    <t>Shrimp Dried</t>
  </si>
  <si>
    <t>Snails Cooked Ns As To Cooking Method</t>
  </si>
  <si>
    <t>Beef With Tomato-Based Sauce</t>
  </si>
  <si>
    <t>Beef Goulash</t>
  </si>
  <si>
    <t>Beef Burgundy</t>
  </si>
  <si>
    <t>Beef Stew No Potatoes Tomato-Based Sauce Mexican Style</t>
  </si>
  <si>
    <t>Beef Stew No Potatoes Tomato-Based Sauce With Chili Peppers Mexican Style</t>
  </si>
  <si>
    <t>Chili Con Carne Ns As To Beans</t>
  </si>
  <si>
    <t>Chili Con Carne With Beans Home Recipe</t>
  </si>
  <si>
    <t>Chili Con Carne With Beans</t>
  </si>
  <si>
    <t>Chili Con Carne Ns As To Beans With Cheese</t>
  </si>
  <si>
    <t>Chili Con Carne With Beans And Cheese</t>
  </si>
  <si>
    <t>Beef Sloppy Joe No Bun</t>
  </si>
  <si>
    <t>Beef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</si>
  <si>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</si>
  <si>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</si>
  <si>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</si>
  <si>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</si>
  <si>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</si>
  <si>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</si>
  <si>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</si>
  <si>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</si>
  <si>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With Barbecue Sauce</t>
  </si>
  <si>
    <t>Beef With Sweet And Sour Sauce</t>
  </si>
  <si>
    <t>Stewed Seasoned Ground Beef Mexican Style</t>
  </si>
  <si>
    <t>Steak Tartare</t>
  </si>
  <si>
    <t>Meatballs Puerto Rican Style</t>
  </si>
  <si>
    <t>Stewed Seasoned Ground Beef Puerto Rican Style</t>
  </si>
  <si>
    <t>Stewed Dried Beef Puerto Rican Style</t>
  </si>
  <si>
    <t>Stuffed Pot Roast Puerto Rican Style Nfs</t>
  </si>
  <si>
    <t>Beef Stew Meat With Gravy No Potatoes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</si>
  <si>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</si>
  <si>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</si>
  <si>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</si>
  <si>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</si>
  <si>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</si>
  <si>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</si>
  <si>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</si>
  <si>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</si>
  <si>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 No Potatoes Tomato-Based Sauce Mexican Style</t>
  </si>
  <si>
    <t>Pork Or Ham With Soy-Based Sauce</t>
  </si>
  <si>
    <t>Pork Curry</t>
  </si>
  <si>
    <t>Frankfurter Or Hot Dog With Chili No Bun</t>
  </si>
  <si>
    <t>Frankfurters Or Hot Dogs With Tomato-Based Sauce</t>
  </si>
  <si>
    <t>Pork With Chili And Tomatoes</t>
  </si>
  <si>
    <t>Stewed Pork Puerto Rican Style</t>
  </si>
  <si>
    <t>Chili Con Carne With Beans Made With Pork</t>
  </si>
  <si>
    <t>Lamb Or Mutton With Gravy</t>
  </si>
  <si>
    <t>Lamb Or Mutton Goulash</t>
  </si>
  <si>
    <t>Lamb Or Mutton Curry</t>
  </si>
  <si>
    <t>Stewed Goat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</si>
  <si>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</si>
  <si>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</si>
  <si>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</si>
  <si>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</si>
  <si>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</si>
  <si>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</si>
  <si>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</si>
  <si>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</si>
  <si>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</si>
  <si>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</si>
  <si>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</si>
  <si>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</si>
  <si>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</si>
  <si>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</si>
  <si>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</si>
  <si>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</si>
  <si>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</si>
  <si>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</si>
  <si>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</si>
  <si>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</si>
  <si>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</si>
  <si>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 Shredded Or Pulled With Barbecue Sauce</t>
  </si>
  <si>
    <t>Chicken Curry</t>
  </si>
  <si>
    <t>Chicken With Mole Sauce</t>
  </si>
  <si>
    <t>Chicken Or Turkey With Cheese Sauce</t>
  </si>
  <si>
    <t>Chicken Or Turkey Cordon Bleu</t>
  </si>
  <si>
    <t>Chicken Or Turkey Parmigiana</t>
  </si>
  <si>
    <t>Chicken Kiev</t>
  </si>
  <si>
    <t>Stuffed Chicken Drumstick Or Breast Puerto Rican Style</t>
  </si>
  <si>
    <t>Fish With Cream Or White Sauce Not Tuna Or Lobster</t>
  </si>
  <si>
    <t>Crab Deviled</t>
  </si>
  <si>
    <t>Crab Imperial</t>
  </si>
  <si>
    <t>Fish Timbale Or Mousse</t>
  </si>
  <si>
    <t>Lobster Newburg</t>
  </si>
  <si>
    <t>Lobster With Butter Sauce</t>
  </si>
  <si>
    <t>Shrimp Curry</t>
  </si>
  <si>
    <t>Shrimp Cocktail</t>
  </si>
  <si>
    <t>Tuna With Cream Or White Sauce</t>
  </si>
  <si>
    <t>Seafood Newburg</t>
  </si>
  <si>
    <t>Clam Sauce White</t>
  </si>
  <si>
    <t>Spaghetti Sauce With Seafood</t>
  </si>
  <si>
    <t>Spaghetti Sauce With Seafood And Added Vegetables</t>
  </si>
  <si>
    <t>Shrimp With Lobster Sauce</t>
  </si>
  <si>
    <t>Sweet And Sour Shrimp</t>
  </si>
  <si>
    <t>Lobster Sauce</t>
  </si>
  <si>
    <t>Oyster Sauce</t>
  </si>
  <si>
    <t>Shrimp Scampi</t>
  </si>
  <si>
    <t>Fish Moochim</t>
  </si>
  <si>
    <t>Fish With Tomato-Based Sauce</t>
  </si>
  <si>
    <t>Fish Curry</t>
  </si>
  <si>
    <t>Mussels With Tomato-Based Sauce</t>
  </si>
  <si>
    <t>Shrimp Teriyaki</t>
  </si>
  <si>
    <t>Scallops With Cheese Sauce</t>
  </si>
  <si>
    <t>Ceviche</t>
  </si>
  <si>
    <t>Crabs In Tomato-Based Sauce Puerto Rican Style</t>
  </si>
  <si>
    <t>Shrimp In Garlic Sauce Puerto Rican Style</t>
  </si>
  <si>
    <t>Stewed Codfish No Potatoes Puerto Rican Style</t>
  </si>
  <si>
    <t>Meat With Barbecue Sauce Ns As To Type Of Meat</t>
  </si>
  <si>
    <t>Meatballs Ns As To Type Of Meat With Sauce</t>
  </si>
  <si>
    <t>Meat Loaf Puerto Rican Style</t>
  </si>
  <si>
    <t>Meat With Tomato-Based Sauce</t>
  </si>
  <si>
    <t>Spaghetti Sauce With Meat</t>
  </si>
  <si>
    <t>Spaghetti Sauce With Meat And Added Vegetables</t>
  </si>
  <si>
    <t>Stewed Seasoned Ground Beef And Pork Mexican Style</t>
  </si>
  <si>
    <t>Meat With Gravy Ns As To Type Of Meat</t>
  </si>
  <si>
    <t>Beef And Potatoes No Sauce</t>
  </si>
  <si>
    <t>Beef Stew With Potatoes Tomato-Based Sauce</t>
  </si>
  <si>
    <t>Beef Stew With Potatoes Tomato-Based Sauce Mexican Style</t>
  </si>
  <si>
    <t>Beef Goulash With Potatoes</t>
  </si>
  <si>
    <t>Beef And Potatoes With Cream Sauce White Sauce Or Mushroom Sauce</t>
  </si>
  <si>
    <t>Beef Stew With Potatoes Gravy</t>
  </si>
  <si>
    <t>Beef Roast Hash</t>
  </si>
  <si>
    <t>Beef And Potatoes With Cheese Sauce</t>
  </si>
  <si>
    <t>Stewed Seasoned Ground Beef With Potatoes Mexican Style</t>
  </si>
  <si>
    <t>Beef And Noodles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</si>
  <si>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</si>
  <si>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</si>
  <si>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</si>
  <si>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</si>
  <si>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</si>
  <si>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</si>
  <si>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</si>
  <si>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</si>
  <si>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</si>
  <si>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</si>
  <si>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</si>
  <si>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</si>
  <si>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</si>
  <si>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</si>
  <si>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</si>
  <si>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</si>
  <si>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</si>
  <si>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</si>
  <si>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</si>
  <si>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</si>
  <si>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</si>
  <si>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 With Tomato-Based Sauce</t>
  </si>
  <si>
    <t>Beef Wellington</t>
  </si>
  <si>
    <t>Creamed Dried Beef On Toast</t>
  </si>
  <si>
    <t>Stuffed Pot Roast With Potatoes Puerto Rican Style</t>
  </si>
  <si>
    <t>Beef Stew With Potatoes Puerto Rican Style</t>
  </si>
  <si>
    <t>Stewed Corned Beef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</si>
  <si>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</si>
  <si>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</si>
  <si>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</si>
  <si>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</si>
  <si>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</si>
  <si>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</si>
  <si>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</si>
  <si>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</si>
  <si>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</si>
  <si>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</si>
  <si>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 No Sauce</t>
  </si>
  <si>
    <t>Ham Or Pork And Rice No Sauce</t>
  </si>
  <si>
    <t>Ham Or Pork And Potatoes With Gravy</t>
  </si>
  <si>
    <t>Ham Or Pork And Potatoes With Cheese Sauce</t>
  </si>
  <si>
    <t>Stewed Pig's Feet Puerto Rican Style</t>
  </si>
  <si>
    <t>Stuffed Pork Roast Puerto Rican Style</t>
  </si>
  <si>
    <t>Pork Stew With Potatoes Tomato-Based Sauce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</si>
  <si>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</si>
  <si>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</si>
  <si>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</si>
  <si>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</si>
  <si>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</si>
  <si>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</si>
  <si>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</si>
  <si>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</si>
  <si>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</si>
  <si>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</si>
  <si>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</si>
  <si>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</si>
  <si>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</si>
  <si>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</si>
  <si>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</si>
  <si>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</si>
  <si>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</si>
  <si>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</si>
  <si>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</si>
  <si>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</si>
  <si>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</si>
  <si>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</si>
  <si>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</si>
  <si>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In Cheese Sauce With Spanish Rice</t>
  </si>
  <si>
    <t>Chicken Or Turkey With Dumplings</t>
  </si>
  <si>
    <t>Chicken Or Turkey With Stuffing</t>
  </si>
  <si>
    <t>Chicken Or Turkey Cake Patty Or Croquette</t>
  </si>
  <si>
    <t>Chicken Or Turkey Souffle</t>
  </si>
  <si>
    <t>Meat Loaf Made With Chicken Or Turkey</t>
  </si>
  <si>
    <t>Meat Loaf Made With Chicken Or Turkey With Tomato-Based Sauce</t>
  </si>
  <si>
    <t>Clams Stuffed</t>
  </si>
  <si>
    <t>Codfish Ball Or Cake</t>
  </si>
  <si>
    <t>Crab Cake</t>
  </si>
  <si>
    <t>Fish Cake Or Patty Ns As To Fish</t>
  </si>
  <si>
    <t>Gefilte Fish</t>
  </si>
  <si>
    <t>Salmon Cake Or Patty</t>
  </si>
  <si>
    <t>Salmon Loaf</t>
  </si>
  <si>
    <t>Scallops And Noodles With Cheese Sauce</t>
  </si>
  <si>
    <t>Shrimp And Noodles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</si>
  <si>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</si>
  <si>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</si>
  <si>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</si>
  <si>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</si>
  <si>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</si>
  <si>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</si>
  <si>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</si>
  <si>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</si>
  <si>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</si>
  <si>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</si>
  <si>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</si>
  <si>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</si>
  <si>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</si>
  <si>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</si>
  <si>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</si>
  <si>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</si>
  <si>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</si>
  <si>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 Fried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</si>
  <si>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</si>
  <si>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</si>
  <si>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</si>
  <si>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</si>
  <si>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</si>
  <si>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</si>
  <si>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</si>
  <si>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</si>
  <si>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</si>
  <si>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 Puerto Rican Style</t>
  </si>
  <si>
    <t>Meat Loaf Ns As To Type Of Meat</t>
  </si>
  <si>
    <t>Meatballs With Breading Ns As To Type Of Meat With Gravy</t>
  </si>
  <si>
    <t>Meat Loaf Made With Beef And Pork</t>
  </si>
  <si>
    <t>Meat Loaf Made With Beef Veal And Pork</t>
  </si>
  <si>
    <t>Meat Loaf Made With Beef And Pork With Tomato-Based Sauce</t>
  </si>
  <si>
    <t>Vienna Sausages Stewed With Potatoes Puerto Rican Style</t>
  </si>
  <si>
    <t>Liver Dumpling</t>
  </si>
  <si>
    <t>Breaded Brains Puerto Rican Style</t>
  </si>
  <si>
    <t>Stewed Seasoned Ground Beef And Pork With Potatoes Mexican Style</t>
  </si>
  <si>
    <t>Beef Potatoes And Vegetables Including Carrots Broccoli And/or Dark-Green Leafy; No Sauce</t>
  </si>
  <si>
    <t>Beef Potatoes And Vegetables Excluding Carrots Broccoli And Dark-Green Leafy; No Sauce</t>
  </si>
  <si>
    <t>Corned Beef Potatoes And Vegetables Including Carrots Broccoli And/or Dark-Green Leafy; No Sauce</t>
  </si>
  <si>
    <t>Corned Beef Potatoes And Vegetables Excluding Carrots Broccoli And Dark-Green Leafy; No Sauce</t>
  </si>
  <si>
    <t>Beef Stew With Potatoes And Vegetables Including Carrots Broccoli And/or Dark-Green Leafy; Tomato-Based Sauce</t>
  </si>
  <si>
    <t>Beef Stew With Potatoes And Vegetables Excluding Carrots Broccoli And Dark-Green Leafy; Tomato-Based Sauce</t>
  </si>
  <si>
    <t>Beef Stew With Potatoes And Vegetables Including Carrots Broccoli And/or Dark-Green Leafy; Gravy</t>
  </si>
  <si>
    <t>Beef Stew With Potatoes And Vegetables Excluding Carrots Broccoli And Dark-Green Leafy; Gravy</t>
  </si>
  <si>
    <t>Shepherd's Pie With Beef</t>
  </si>
  <si>
    <t>Beef Potatoes And Vegetables Including Carrots Broccoli And/or Dark-Green Leafy; Gravy</t>
  </si>
  <si>
    <t>Beef Potatoes And Vegetables Excluding Carrots Broccoli And Dark-Green Leafy; Gravy</t>
  </si>
  <si>
    <t>Beef Potatoes And Vegetables Including Carrots Broccoli And/or Dark-Green Leafy; Cream Sauce White Sauce Or Mushroom Sauce</t>
  </si>
  <si>
    <t>Beef Potatoes And Vegetables Excluding Carrots Broccoli And Dark-Green Leafy; Cream Sauce White Sauce Or Mushroom Sauce</t>
  </si>
  <si>
    <t>Beef Potatoes And Vegetables Including Carrots Broccoli And/or Dark-Green Leafy; Tomato-Based Sauce</t>
  </si>
  <si>
    <t>Beef Potatoes And Vegetables Excluding Carrots Broccoli And Dark-Green Leafy; Tomato-Based Sauce</t>
  </si>
  <si>
    <t>Beef Potatoes And Vegetables Including Carrots Broccoli And/or Dark-Green Leafy; Cheese Sauce</t>
  </si>
  <si>
    <t>Beef Potatoes And Vegetables Excluding Carrots Broccoli And Dark-Green Leafy; Cheese Sauce</t>
  </si>
  <si>
    <t>Beef Potatoes And Vegetables Including Carrots Broccoli And/or Dark-Green Leafy; Soy-Based Sauce</t>
  </si>
  <si>
    <t>Beef Potatoes And Vegetables Excluding Carrots Broccoli And Dark-Green Leafy; Soy-Based Sauce</t>
  </si>
  <si>
    <t>Beef Noodles And Vegetables Including Carrots Broccoli And/or Dark-Green Leafy; No Sauce</t>
  </si>
  <si>
    <t>Beef Noodles And Vegetables Excluding Carrots Broccoli And Dark-Green Leafy; No Sauce</t>
  </si>
  <si>
    <t>Beef Chow Mein Or Chop Suey With Noodles</t>
  </si>
  <si>
    <t>Beef Noodles And Vegetables Including Carrots Broccoli And/or Dark-Green Leafy; Soy-Based Sauce</t>
  </si>
  <si>
    <t>Beef Noodles And Vegetables Excluding Carrots Broccoli And Dark-Green Leafy; Soy-Based Sauce</t>
  </si>
  <si>
    <t>Beef Noodles And Vegetables Including Carrots Broccoli And/or Dark-Green Leafy; Tomato-Based Sauce</t>
  </si>
  <si>
    <t>Beef Noodles And Vegetables Excluding Carrots Broccoli And Dark-Green Leafy; Tomato-Based Sauce</t>
  </si>
  <si>
    <t>Beef Noodles And Vegetables Including Carrots Broccoli And/or Dark-Green Leafy; Mushroom Sauce</t>
  </si>
  <si>
    <t>Beef Noodles And Vegetables Excluding Carrots Broccoli And Dark-Green Leafy; Mushroom Sauce</t>
  </si>
  <si>
    <t>Beef Noodles And Vegetables Including Carrots Broccoli And/or Dark-Green Leafy; Gravy</t>
  </si>
  <si>
    <t>Beef Noodles And Vegetables Excluding Carrots Broccoli And Dark-Green Leafy; Gravy</t>
  </si>
  <si>
    <t>Beef Rice And Vegetables Including Carrots Broccoli And/or Dark-Green Leafy; No Sauce</t>
  </si>
  <si>
    <t>Beef Rice And Vegetables Excluding Carrots Broccoli And Dark-Green Leafy; No Sauce</t>
  </si>
  <si>
    <t>Beef Rice And Vegetables Including Carrots Broccoli And/or Dark-Green Leafy; Tomato-Based Sauce</t>
  </si>
  <si>
    <t>Beef Rice And Vegetables Excluding Carrots Broccoli And/or Dark-Green Leafy; Tomato-Based Sauce</t>
  </si>
  <si>
    <t>Stuffed Cabbage Rolls With Beef And Rice</t>
  </si>
  <si>
    <t>Stuffed Grape Leaves With Beef And Rice</t>
  </si>
  <si>
    <t>Beef Rice And Vegetables Including Carrots Broccoli And/or Dark-Green Leafy; Mushroom Sauce</t>
  </si>
  <si>
    <t>Beef Rice And Vegetables Excluding Carrots Broccoli And Dark-Green Leafy; Mushroom Sauce</t>
  </si>
  <si>
    <t>Beef Rice And Vegetables Including Carrots Broccoli And/or Dark-Green Leafy; Cheese Sauce</t>
  </si>
  <si>
    <t>Beef Rice And Vegetables Excluding Carrots Broccoli And Dark-Green Leafy; Cheese Sauce</t>
  </si>
  <si>
    <t>Beef Rice And Vegetables Including Carrots Broccoli And/or Dark-Green Leafy; Gravy</t>
  </si>
  <si>
    <t>Beef Rice And Vegetables Excluding Carrots Broccoli And Dark-Green Leafy; Gravy</t>
  </si>
  <si>
    <t>Beef Rice And Vegetables Including Carrots Broccoli And/or Dark-Green Leafy; Soy-Based Sauce</t>
  </si>
  <si>
    <t>Beef Rice And Vegetables Excluding Carrots Broccoli And Dark-Green Leafy; Soy-Based Sauce</t>
  </si>
  <si>
    <t>Beef Pot Pie</t>
  </si>
  <si>
    <t>Beef Dumplings And Vegetables Including Carrots Broccoli And/or Dark-Green Leafy; Gravy</t>
  </si>
  <si>
    <t>Beef Dumplings And Vegetables Excluding Carrots Broccoli And Dark-Green Leafy; Gravy</t>
  </si>
  <si>
    <t>Stuffed Green Pepper Puerto Rican Style</t>
  </si>
  <si>
    <t>Ham Pot Pie</t>
  </si>
  <si>
    <t>Ham Or Pork Noodles And Vegetables Excluding Carrots Broccoli And Dark-Green Leafy; No Sauce</t>
  </si>
  <si>
    <t>Ham Or Pork Noodles And Vegetables Including Carrots Broccoli And/or Dark-Green Leafy; No Sauce</t>
  </si>
  <si>
    <t>Ham Or Pork Noodles And Vegetables Excluding Carrots Broccoli And Dark-Green Leafy; Cheese Sauce</t>
  </si>
  <si>
    <t>Pork Potatoes And Vegetables Including Carrots Broccoli And/or Dark-Green Leafy; No Sauce</t>
  </si>
  <si>
    <t>Ham Or Pork Noodles And Vegetables Including Carrots Broccoli And/or Dark-Green Leafy; Tomato-Based Sauce</t>
  </si>
  <si>
    <t>Sausage Noodles And Vegetables Excluding Carrots Broccoli And Dark-Green Leafy; Tomato-Based Sauce</t>
  </si>
  <si>
    <t>Sausage Noodles And Vegetables Including Carrots Broccoli And/or Dark-Green Leafy; Tomato-Based Sauce</t>
  </si>
  <si>
    <t>Pork Potatoes And Vegetables Including Carrots Broccoli And/or Dark-Green Leafy; Tomato-Based Sauce</t>
  </si>
  <si>
    <t>Pork Potatoes And Vegetables Excluding Carrots Broccoli And Dark-Green Leafy; Tomato-Based Sauce</t>
  </si>
  <si>
    <t>Sausage Potatoes And Vegetables Including Carrots Broccoli And/or Dark-Green Leafy; Gravy</t>
  </si>
  <si>
    <t>Sausage Potatoes And Vegetables Excluding Carrots Broccoli And Dark-Green Leafy; Gravy</t>
  </si>
  <si>
    <t>Pork Potatoes And Vegetables Including Carrots Broccoli And/or Dark-Green Leafy; Gravy</t>
  </si>
  <si>
    <t>Pork Potatoes And Vegetables Excluding Carrots Broccoli And Dark-Green Leafy; Gravy</t>
  </si>
  <si>
    <t>Pork Potatoes And Vegetables Excluding Carrots Broccoli And Dark-Green Leafy; No Sauce</t>
  </si>
  <si>
    <t>Pork Chow Mein Or Chop Suey With Noodles</t>
  </si>
  <si>
    <t>Pork Rice And Vegetables Including Carrots Broccoli And/or Dark-Green Leafy; Soy-Based Sauce</t>
  </si>
  <si>
    <t>Pork Rice And Vegetables Excluding Carrots Broccoli And Dark-Green Leafy; Soy-Based Sauce</t>
  </si>
  <si>
    <t>Pork Rice And Vegetables Including Carrots Broccoli And/or Dark-Green Leafy; Tomato-Based Sauce</t>
  </si>
  <si>
    <t>Pork Rice And Vegetables Excluding Carrots Broccoli And Dark-Green Leafy; Tomato-Based Sauce</t>
  </si>
  <si>
    <t>Ham Potatoes And Vegetables Excluding Carrots Broccoli And Dark-Green Leafy; No Sauce</t>
  </si>
  <si>
    <t>Ham Potatoes And Vegetables Including Carrots Broccoli And/or Dark-Green Leafy; No Sauce</t>
  </si>
  <si>
    <t>Sweet And Sour Pork With Rice</t>
  </si>
  <si>
    <t>Shepherd's Pie With Lamb</t>
  </si>
  <si>
    <t>Lamb Or Mutton Stew With Potatoes And Vegetables Including Carrots Broccoli And/or Dark-Green Leafy; Gravy</t>
  </si>
  <si>
    <t>Lamb Or Mutton Rice And Vegetables Excluding Carrots Broccoli And Dark-Green Leafy; Gravy</t>
  </si>
  <si>
    <t>Lamb Or Mutton Rice And Vegetables Including Carrots Broccoli And/or Dark-Green Leafy; Tomato-Based Sauce</t>
  </si>
  <si>
    <t>Lamb Or Mutton Rice And Vegetables  Including Carrots Broccoli And/or Dark-Green Leafy; Gravy</t>
  </si>
  <si>
    <t>Lamb Or Mutton Stew With Potatoes And Vegetables Excluding Carrots Broccoli And Dark-Green Leafy; Gravy</t>
  </si>
  <si>
    <t>Stuffed Grape Leaves With Lamb And Rice</t>
  </si>
  <si>
    <t>Lamb Or Mutton Stew With Potatoes And Vegetables Including Carrots Broccoli And/or Dark-Green Leafy; Tomato-Based Sauce</t>
  </si>
  <si>
    <t>Lamb Or Mutton Stew With Potatoes And Vegetables Excluding Carrots Broccoli And Dark-Green Leafy; Tomato-Based Sauce</t>
  </si>
  <si>
    <t>Veal Fricassee Puerto Rican Style</t>
  </si>
  <si>
    <t>Veal Stew With Potatoes And Vegetables Including Carrots Broccoli And/or Dark-Green Leafy; Tomato-Based Sauce</t>
  </si>
  <si>
    <t>Veal Stew With Potatoes And Vegetables Excluding Carrots Broccoli And/or Dark-Green Leafy; Tomato-Based Sauce</t>
  </si>
  <si>
    <t>Rabbit Stew With Potatoes And Vegetables</t>
  </si>
  <si>
    <t>Stewed Rabbit Puerto Rican Style</t>
  </si>
  <si>
    <t>Venison Or Deer Stew With Potatoes And Vegetables Including Carrots Broccoli And/or Dark-Green Leafy; Tomato-Based Sauce</t>
  </si>
  <si>
    <t>Venison Or Deer Stew With Potatoes And Vegetables Excluding Carrots Broccoli And Dark-Green Leafy; Tomato-Based Sauce</t>
  </si>
  <si>
    <t>Venison Or Deer Potatoes And Vegetables Including Carrots Broccoli And/or Dark-Green Leafy; Gravy</t>
  </si>
  <si>
    <t>Venison Or Deer Potatoes And Vegetables Excluding Carrots Broccoli And Dark-Green Leafy; Gravy</t>
  </si>
  <si>
    <t>Venison Or Deer Noodles And Vegetables Including Carrots Broccoli And/or Dark-Green Leafy; Tomato-Based Sauce</t>
  </si>
  <si>
    <t>Venison Or Deer Noodles And Vegetables Excluding Carrots Broccoli And Dark-Green Leafy; Tomato-Based Sauce</t>
  </si>
  <si>
    <t>Chicken Or Turkey Potatoes Corn And Cheese With Gravy</t>
  </si>
  <si>
    <t>Chicken Or Turkey Potatoes And Vegetables Including Carrots Broccoli And/or Dark-Green Leafy; No Sauce</t>
  </si>
  <si>
    <t>Chicken Or Turkey Potatoes And Vegetables Excluding Carrots Broccoli And Dark-Green Leafy; No Sauce</t>
  </si>
  <si>
    <t>Chicken Or Turkey Potatoes And Vegetables Including Carrots Broccoli And/or Dark-Green Leafy; Gravy</t>
  </si>
  <si>
    <t>Chicken Or Turkey Potatoes And Vegetables Excluding Carrots Broccoli And Dark-Green Leafy; Gravy</t>
  </si>
  <si>
    <t>Chicken Or Turkey Potatoes And Vegetables Including Carrots Broccoli And/or Dark-Green Leafy; Cream Sauce White Sauce Or Mushroom Sauce</t>
  </si>
  <si>
    <t>Chicken Or Turkey Potatoes And Vegetables Excluding Carrots Broccoli And Dark-Green Leafy; Cream Sauce White Sauce Or Mushroom Sauce</t>
  </si>
  <si>
    <t>Chicken Or Turkey Potatoes And Vegetables Including Carrots Broccoli And/or Dark-Green Leafy; Cheese Sauce</t>
  </si>
  <si>
    <t>Chicken Or Turkey Potatoes And Vegetables Excluding Carrots Broccoli And Dark-Green Leafy; Cheese Sauce</t>
  </si>
  <si>
    <t>Chicken Or Turkey Potatoes And Vegetables Including Carrots Broccoli And/or Dark-Green Leafy; Tomato-Based Sauce</t>
  </si>
  <si>
    <t>Chicken Or Turkey Potatoes And Vegetables Excluding Carrots Broccoli And Dark-Green Leafy; Tomato-Based Sauce</t>
  </si>
  <si>
    <t>Chicken Or Turkey Stew With Potatoes And Vegetables Including Carrots Broccoli And/or Dark-Green Leafy; Gravy</t>
  </si>
  <si>
    <t>Chicken Or Turkey Stew With Potatoes And Vegetables Excluding Carrots Broccoli And Dark-Green Leafy; Gravy</t>
  </si>
  <si>
    <t>Chicken Or Turkey Stew With Potatoes And Vegetables Including Carrots Broccoli And/or Dark-Green Leafy; Tomato-Based Sauce</t>
  </si>
  <si>
    <t>Chicken Or Turkey Stew With Potatoes And Vegetables Excluding Carrots Broccoli And Dark-Green Leafy; Tomato- Based Sauce</t>
  </si>
  <si>
    <t>Chicken Or Turkey Noodles And Vegetables Including Carrots Broccoli And/or Dark-Green Leafy; No Sauce</t>
  </si>
  <si>
    <t>Chicken Or Turkey Noodles And Vegetables Excluding Carrots Broccoli And Dark-Green Leafy; No Sauce</t>
  </si>
  <si>
    <t>Chicken Or Turkey Noodles And Vegetables Including Carrots Broccoli And/or Dark-Green Leafy; Gravy</t>
  </si>
  <si>
    <t>Chicken Or Turkey Noodles And Vegetables Excluding Carrots Broccoli And Dark-Green Leafy; Gravy</t>
  </si>
  <si>
    <t>Chicken Or Turkey Noodles And Vegetables Including Carrots Broccoli And/or Dark-Green Leafy; Cream Sauce White Sauce Or Mushroom Sauce</t>
  </si>
  <si>
    <t>Chicken Or Turkey Noodles And Vegetables Excluding Carrots Broccoli And/or Dark-Green Leafy; Cream Sauce White Sauce Or Mushroom Sauce</t>
  </si>
  <si>
    <t>Chicken Or Turkey Noodles And Vegetables Including Carrots Broccoli And/or Dark-Green Leafy; Tomato-Based Sauce</t>
  </si>
  <si>
    <t>Chicken Or Turkey Noodles And Vegetables Excluding Carrots Broccoli And Dark-Green Leafy; Tomato-Based Sauce</t>
  </si>
  <si>
    <t>Chicken Or Turkey Chow Mein Or Chop Suey With Noodles</t>
  </si>
  <si>
    <t>Chicken Or Turkey Noodles And Vegetables Including Carrots Broccoli And/or Dark-Green Leafy; Cheese Sauce</t>
  </si>
  <si>
    <t>Chicken Or Turkey Noodles And Vegetables Excluding Carrots Broccoli And Dark-Green Leafy; Cheese Sauce</t>
  </si>
  <si>
    <t>Chicken Or Turkey Rice And Vegetables Including Carrots Broccoli And/or Dark-Green Leafy; No Sauce</t>
  </si>
  <si>
    <t>Chicken Or Turkey Rice And Vegetables Excluding Carrots Broccoli And Dark-Green Leafy; No Sauce</t>
  </si>
  <si>
    <t>Chicken Or Turkey Rice And Vegetables Including Carrots Broccoli And/or Dark-Green Leafy; Gravy</t>
  </si>
  <si>
    <t>Chicken Or Turkey Rice And Vegetables Excluding Carrots Broccoli And Dark-Green Leafy; Gravy</t>
  </si>
  <si>
    <t>Chicken Or Turkey Rice Corn And Cheese With Gravy</t>
  </si>
  <si>
    <t>Chicken Or Turkey Rice And Vegetables Including Carrots Broccoli And/or Dark-Green Leafy; Soy-Based Sauce</t>
  </si>
  <si>
    <t>Chicken Or Turkey Rice And Vegetables Excluding Carrots Broccoli And Dark-Green Leafy; Soy-Based Sauce</t>
  </si>
  <si>
    <t>Chicken Or Turkey Rice And Vegetables Including Carrots Broccoli And/or Dark-Green Leafy; Cream Sauce White Sauce Or Mushroom Sauce</t>
  </si>
  <si>
    <t>Chicken Or Turkey Rice And Vegetables Excluding Carrots Broccoli And Dark-Green Leafy; Cream Sauce White Sauce Or Mushroom Sauce</t>
  </si>
  <si>
    <t>Chicken Or Turkey Rice And Vegetables Including Carrots Broccoli And/or Dark-Green Leafy; Cheese Sauce</t>
  </si>
  <si>
    <t>Chicken Or Turkey Rice And Vegetables Excluding Carrots Broccoli And Dark-Green Leafy; Cheese Sauce</t>
  </si>
  <si>
    <t>Chicken Or Turkey Rice And Vegetables Including Carrots Broccoli And/or Dark-Green Leafy; Tomato-Based Sauce</t>
  </si>
  <si>
    <t>Chicken Or Turkey Rice And Vegetables Excluding Carrots Broccoli And Dark-Green Leafy; Tomato-Based Sauce</t>
  </si>
  <si>
    <t>Chicken Or Turkey Stuffing And Vegetables Including Carrots Broccoli And/or Dark-Green Leafy; No Sauce</t>
  </si>
  <si>
    <t>Chicken Or Turkeystuffing And Vegetables Excluding Carrots Broccoli And Dark Green Leafy; No Sauce</t>
  </si>
  <si>
    <t>Chicken Or Turkey Stuffing And Vegetables Including Carrots Broccoli And/or Dark-Green Leafy; Gravy</t>
  </si>
  <si>
    <t>Chicken Or Turkey Stuffing And Vegetables Excluding Carrots Broccoli And Dark-Green Leafy; Gravy</t>
  </si>
  <si>
    <t>Chicken Or Turkey Dumplings And Vegetables Including Carrots Broccoli And/or Dark Green Leafy; Gravy</t>
  </si>
  <si>
    <t>Chicken Or Turkey Dumplings And Vegetables Excluding Carrots Broccoli And Dark Green Leafy; Gravy</t>
  </si>
  <si>
    <t>Chicken Fricassee Puerto Rican Style</t>
  </si>
  <si>
    <t>Paella With Seafood</t>
  </si>
  <si>
    <t>Seafood Stew With Potatoes And Vegetables Excluding Carrots Broccoli And Dark-Green Leafy; Tomato-Based Sauce</t>
  </si>
  <si>
    <t>Shrimp Chow Mein Or Chop Suey With Noodles</t>
  </si>
  <si>
    <t>Shrimp Creole With Rice</t>
  </si>
  <si>
    <t>Tuna Pot Pie</t>
  </si>
  <si>
    <t>Tuna Noodle Casserole With Vegetables Cream Or White Sauce</t>
  </si>
  <si>
    <t>Fish Noodles And Vegetables Including Carrots Broccoli And/or Dark Green Leafy; Cheese Sauce</t>
  </si>
  <si>
    <t>Fish Noodles And Vegetables Excluding Carrots Broccoli And Dark-Green Leafy; Cheese Sauce</t>
  </si>
  <si>
    <t>Bouillabaisse</t>
  </si>
  <si>
    <t>Oyster Pie</t>
  </si>
  <si>
    <t>Seafood Stew With Potatoes And Vegetables Including Carrots Broccoli And/or Dark-Green Leafy; Tomato-Based Sauce</t>
  </si>
  <si>
    <t>Tuna Noodle Casserole With Vegetables And Mushroom Sauce</t>
  </si>
  <si>
    <t>Codfish With Starchy Vegetables Puerto Rican Style</t>
  </si>
  <si>
    <t>Stewed Codfish Puerto Rican Style</t>
  </si>
  <si>
    <t>Biscayne Codfish Puerto Rican Style</t>
  </si>
  <si>
    <t>Stew Nfs</t>
  </si>
  <si>
    <t>Goulash Nfs</t>
  </si>
  <si>
    <t>Chow Mein Or Chop Suey Ns As To Type Of Meat With Noodles</t>
  </si>
  <si>
    <t>Paella Nfs</t>
  </si>
  <si>
    <t>Brunswick Stew</t>
  </si>
  <si>
    <t>Chow Mein Or Chop Suey Various Types Of Meat With Noodles</t>
  </si>
  <si>
    <t>Stewed Variety Meats Mostly Liver Puerto Rican Style</t>
  </si>
  <si>
    <t>Stewed Tripe With Potatoes Puerto Rican Style</t>
  </si>
  <si>
    <t>Gumbo With Rice</t>
  </si>
  <si>
    <t>Jambalaya With Meat And Rice</t>
  </si>
  <si>
    <t>Beef And Vegetables Including Carrots Broccoli And/or Dark-Green Leafy; No Potatoes No Sauce</t>
  </si>
  <si>
    <t>Beef And Vegetables Excluding Carrots Broccoli And Dark-Green Leafy; No Potatoes No Sauce</t>
  </si>
  <si>
    <t>Beef Shish Kabob With Vegetables Excluding Potatoes</t>
  </si>
  <si>
    <t>Beef With Vegetables Including Carrots Broccoli And/or Dark-Green Leafy; No Potatoes Tomato-Based Sauce</t>
  </si>
  <si>
    <t>Swiss Steak</t>
  </si>
  <si>
    <t>Beef Rolls Stuffed With Vegetables Or Meat Mixture Tomato-Based Sauce</t>
  </si>
  <si>
    <t>Beef With Vegetables Excluding Carrots Broccoli And Dark-Green Leafy; No Potatoes Tomato-Based Sauce</t>
  </si>
  <si>
    <t>Beef With Vegetables Including Carrots Broccoli And/or Dark-Green Leafy; No Potatoes Mushroom Sauce</t>
  </si>
  <si>
    <t>Beef With Vegetables Excluding Carrots Broccoli And Dark-Green Leafy; No Potatoes Mushroom Sauce</t>
  </si>
  <si>
    <t>Beef And Vegetables Including Carrots Broccoli And/or Dark-Green Leafy; No Potatoes Soy-Based Sauce</t>
  </si>
  <si>
    <t>Beef And Broccoli</t>
  </si>
  <si>
    <t>Beef Tofu And Vegetables Including Carrots Broccoli And/or Dark-Green Leafy; No Potatoes Soy-Based Sauce</t>
  </si>
  <si>
    <t>Beef Chow Mein Or Chop Suey No Noodles</t>
  </si>
  <si>
    <t>Kung Pao Beef</t>
  </si>
  <si>
    <t>Beef And Vegetables Excluding Carrots Broccoli And Dark-Green Leafy; No Potatoes Soy-Based Sauce</t>
  </si>
  <si>
    <t>Beef Tofu And Vegetables Excluding Carrots Broccoli  And Dark-Green Leafy; No Potatoes Soy-Based Sauce</t>
  </si>
  <si>
    <t>Beef And Vegetables Hawaiian Style</t>
  </si>
  <si>
    <t>Pepper Steak</t>
  </si>
  <si>
    <t>Beef Ground With Egg And Onion</t>
  </si>
  <si>
    <t>Beef Salad</t>
  </si>
  <si>
    <t>Beef Taco Filling: Beef Cheese Tomato Taco Sauce</t>
  </si>
  <si>
    <t>Stir Fried Beef And Vegetables In Soy Sauce</t>
  </si>
  <si>
    <t>Beef And Vegetables Including Carrots Broccoli And/or Dark-Green Leafy; No Potatoes Gravy</t>
  </si>
  <si>
    <t>Beef And Vegetables Excluding Carrots Broccoli And Dark-Green Leafy; No Potatoes Gravy</t>
  </si>
  <si>
    <t>Seasoned Shredded Soup Meat</t>
  </si>
  <si>
    <t>Beef Stew With Vegetables Excluding Potatoes Puerto Rican Style</t>
  </si>
  <si>
    <t>Corned Beef With Tomato Sauce And Onion Puerto Rican Style</t>
  </si>
  <si>
    <t>Beef Steak With Onions Puerto Rican Style</t>
  </si>
  <si>
    <t>Cabbage With Ham Hocks</t>
  </si>
  <si>
    <t>Ham Or Pork Salad</t>
  </si>
  <si>
    <t>Frankfurters Or Hot Dogs And Sauerkraut</t>
  </si>
  <si>
    <t>Pork And Vegetables Including Carrots Broccoli And/or Dark-Green Leafy; No Potatoes No Sauce</t>
  </si>
  <si>
    <t>Greens With Ham Or Pork</t>
  </si>
  <si>
    <t>Pork Tofu And Vegetables Including Carrots Broccoli And/or Dark-Green Leafy; No Potatoes Soy-Base Sauce</t>
  </si>
  <si>
    <t>Pork And Vegetables Hawaiian Style</t>
  </si>
  <si>
    <t>Pork And Watercress With Soy-Based Sauce</t>
  </si>
  <si>
    <t>Kung Pao Pork</t>
  </si>
  <si>
    <t>Moo Shu Pork Without Chinese Pancake</t>
  </si>
  <si>
    <t>Pork And Onions With Soy-Based Sauce</t>
  </si>
  <si>
    <t>Pork Hash</t>
  </si>
  <si>
    <t>Ham And Vegetables Including Carrots Broccoli And/or Dark- Green Leafy; No Potatoes No Sauce</t>
  </si>
  <si>
    <t>Ham And Vegetables Excluding Carrots Broccoli And Dark-Green Leafy; No Potatoes No Sauce</t>
  </si>
  <si>
    <t>Pork And Vegetables Excluding Carrots Broccoli And Dark-Green Leafy; No Potatoes No Sauce</t>
  </si>
  <si>
    <t>Pork Tofu And Vegetables Excluding Carrots Broccoli And Dark-Green Leafy; No Potatoes Soy-Based Sauce</t>
  </si>
  <si>
    <t>Pork Chow Mein Or Chop Suey No Noodles</t>
  </si>
  <si>
    <t>Pork And Vegetables Including Carrots Broccoli And/or Dark-Green Leafy; No Potatoes Tomato-Based Sauce</t>
  </si>
  <si>
    <t>Pork And Vegetables Excluding  Carrots Broccoli And Dark-Green Leafy; No Potatoes Tomato-Based Sauce</t>
  </si>
  <si>
    <t>Sausage And Vegetables Including  Carrots Broccoli And/or Dark-Green Leafy; No Potatoes Tomato-Based Sauce</t>
  </si>
  <si>
    <t>Sausage And Vegetables Excluding Carrots Broccoli And Dark-Green Leafy; No Potatoes Tomato-Based Sauce</t>
  </si>
  <si>
    <t>Sausage And Peppers No Sauce</t>
  </si>
  <si>
    <t>Pork And Vegetables Including Carrots Broccoli And/or Dark-Green Leafy; No Potatoes Soy-Based Sauce</t>
  </si>
  <si>
    <t>Pork And Vegetables Excluding Carrots Broccoli And Dark- Green Leafy; No Potatoes Soy-Based Sauce</t>
  </si>
  <si>
    <t>Pork Shish Kabob With Vegetables Excluding Potatoes</t>
  </si>
  <si>
    <t>Stuffed Christophine Puerto Rican Style</t>
  </si>
  <si>
    <t>Pork Chop Stewed With Vegetables Puerto Rican Style</t>
  </si>
  <si>
    <t>Lamb Or Mutton Stew With Vegetables Including Carrots Broccoli And/or Dark-Green Leafy; No Potatoes Gravy</t>
  </si>
  <si>
    <t>Lamb Or Mutton Stew With Vegetables Excluding Carrots Broccoli And Dark-Green Leafy; No Potatoes Gravy</t>
  </si>
  <si>
    <t>Veal Goulash With Vegetables Excluding Carrots Broccoli And Dark-Green Leafy; No Potatoes Tomato-Based Sauce</t>
  </si>
  <si>
    <t>Veal Goulash With Vegetables Including Carrots Broccoli And/or Dark-Green Leafy; No Potatoes Tomato-Based Sauce</t>
  </si>
  <si>
    <t>Veal With Vegetables Including Carrots Broccoli And/or Dark-Green Leafy; No Potatoes Cream Or White Sauce</t>
  </si>
  <si>
    <t>Veal With Vegetables Excluding Carrots Broccoli And Dark-Green Leafy; And Potatoes Cream Or White Sauce</t>
  </si>
  <si>
    <t>Lamb Shish Kabob With Vegetables Excluding Potatoes</t>
  </si>
  <si>
    <t>Chicken Or Turkey And Vegetables Including Carrots Broccoli And/or Dark-Green Leafy; No Potatoes No Sauce</t>
  </si>
  <si>
    <t>Chicken Or Turkey And Vegetables Excluding Carrots Broccoli And Dark-Green Leafy; No Potatoes No Sauce</t>
  </si>
  <si>
    <t>Chicken Or Turkey Shish Kabob With Vegetables Excluding Potatoes</t>
  </si>
  <si>
    <t>Chicken Or Turkey Creole Without Rice</t>
  </si>
  <si>
    <t>Chicken Or Turkey And Vegetables Including Carrots Broccoli And/or Dark-Green Leafy; No Potatoes Gravy</t>
  </si>
  <si>
    <t>Chicken Or Turkey And Vegetables Excluding Carrots Broccoli And Dark-Green Leafy; No Potatoes Gravy</t>
  </si>
  <si>
    <t>Chicken Or Turkey A La King With Vegetables Including Carrots Broccoli And/or Dark-Green Leafy; No Potatoes Cream White Or Soup-Based Sauce</t>
  </si>
  <si>
    <t>Chicken Or Turkey A La King With Vegetables Excluding Carrorts Broccoli And Dark-Green Leafy; No Potatoes Cream White Or Soup-Based Sauce</t>
  </si>
  <si>
    <t>Chicken Or Turkey Divan</t>
  </si>
  <si>
    <t>Chicken Or Turkey And Vegetables Excluding Carrots Broccoli And Dark-Green Leafy; No Potatoes Soy-Based Sauce</t>
  </si>
  <si>
    <t>Chicken Or Turkey And Vegetables Including Carrots Broccoli And/or Dark-Green Leafy; No Potatoes Tomato-Based Sauce</t>
  </si>
  <si>
    <t>Chicken Or Turkey And Vegetables Excluding Carrots Broccoli And Dark-Green Leafy; No Potatoes Tomato-Based Sauce</t>
  </si>
  <si>
    <t>Moo Goo Gai Pan</t>
  </si>
  <si>
    <t>Almond Chicken</t>
  </si>
  <si>
    <t>Chicken Or Turkey Chow Mein Or Chop Suey No Noodles</t>
  </si>
  <si>
    <t>Chicken Or Turkey Salad Made With Mayonnaise</t>
  </si>
  <si>
    <t>Chicken Or Turkey Salad With Nuts And/or Fruits</t>
  </si>
  <si>
    <t>Chicken Or Turkey Salad With Egg</t>
  </si>
  <si>
    <t>Chicken Or Turkey Salad Made With Light Mayonnaise</t>
  </si>
  <si>
    <t>Chicken Or Turkey Salad Made With Mayonnaise-Type Salad Dressing</t>
  </si>
  <si>
    <t>Chicken Or Turkey Salad Made With Light Mayonnaise-Type Salad Dressing</t>
  </si>
  <si>
    <t>Chicken Or Turkey Salad Made With Creamy Dressing</t>
  </si>
  <si>
    <t>Chicken Or Turkey Salad Made With Light Creamy Dressing</t>
  </si>
  <si>
    <t>Chicken Or Turkey Salad Made With Italian Dressing</t>
  </si>
  <si>
    <t>Chicken Or Turkey Salad Made With Light Italian Dressing</t>
  </si>
  <si>
    <t>Chicken Or Turkey Salad Made With Any Type Of Fat Free Dressing</t>
  </si>
  <si>
    <t>Chicken Or Turkey Garden Salad Chicken And/or Turkey Tomato And/or Carrots Other Vegetables No Dressing</t>
  </si>
  <si>
    <t>Chicken Or Turkey Garden Salad Chicken And/or Turkey Other Vegetables Excluding Tomato And Carrots No Dressing</t>
  </si>
  <si>
    <t>Chicken Or Turkey Garden Salad With Bacon And Cheese Chicken And/or Turkey Bacon Cheese Lettuce And/or Greens Tomato And/or Carrots Other Vegetables No Dressing</t>
  </si>
  <si>
    <t>Chicken Or Turkey Breaded Fried Garden Salad With Bacon And Cheese Chicken And/or Turkey Bacon Cheese Lettuce And/or Greens Tomato And/or Carrots Other Vegetables No Dressing</t>
  </si>
  <si>
    <t>Chicken Or Turkey Garden Salad With Cheese Chicken And/or Turkey Cheese Lettuce And/or Greens Tomato And/or Carrots Other Vegetables No Dressing</t>
  </si>
  <si>
    <t>Chicken Or Turkey Breaded Fried Garden Salad With Cheese Chicken And/or Turkey Cheese Lettuce And/or Greens Tomato And/or Carrots Other Vegetables No Dressing</t>
  </si>
  <si>
    <t>Asian Chicken Or Turkey Garden Salad Chicken And/or Turkey Lettuce Fruit Nuts No Dressing</t>
  </si>
  <si>
    <t>Asian Chicken Or Turkey Garden Salad With Crispy Noodles Chicken And/or Turkey Lettuce Fruit Nuts Crispy Noodles No Dressing</t>
  </si>
  <si>
    <t>Chicken Or Turkey Caesar Garden Salad Chicken And/or Turkey Lettuce Tomato Cheese No Dressing</t>
  </si>
  <si>
    <t>Chicken Or Turkey Breaded Fried Caesar Garden Salad Chicken And/or Turkey Lettuce Tomatoes Cheese No Dressing</t>
  </si>
  <si>
    <t>Chicken Or Turkey And Vegetables Including Carrots Broccoli And/or Dark-Green Leafy; No Potatoes Cheese Sauce</t>
  </si>
  <si>
    <t>Chicken Or Turkey And Vegetables Excluding Carrots Broccoli And Dark-Green Leafy; No Potatoes Cheese Sauce</t>
  </si>
  <si>
    <t>Chicken Or Turkey Fricassee With Sauce No Potatoes Potatoes Reported Separately Puerto Rican Style</t>
  </si>
  <si>
    <t>Chicken Or Turkey Fricassee No Sauce No Potatoes Puerto Rican Style</t>
  </si>
  <si>
    <t>Crab Salad</t>
  </si>
  <si>
    <t>Lobster Salad</t>
  </si>
  <si>
    <t>Salmon Salad</t>
  </si>
  <si>
    <t>Shrimp Chow Mein Or Chop Suey No Noodles</t>
  </si>
  <si>
    <t>Tuna Salad Made With Mayonnaise</t>
  </si>
  <si>
    <t>Tuna Salad Made With Light Mayonnaise</t>
  </si>
  <si>
    <t>Tuna Salad Made With Mayonnaise-Type Salad Dressing</t>
  </si>
  <si>
    <t>Tuna Salad Made With Light Mayonnaise-Type Salad Dressing</t>
  </si>
  <si>
    <t>Tuna Salad Made With Creamy Dressing</t>
  </si>
  <si>
    <t>Tuna Salad Made With Light Creamy Dressing</t>
  </si>
  <si>
    <t>Tuna Salad Made With Italian Dressing</t>
  </si>
  <si>
    <t>Tuna Salad Made With Light Italian Dressing</t>
  </si>
  <si>
    <t>Tuna Salad Made With Any Type Of Fat Free Dressing</t>
  </si>
  <si>
    <t>Shrimp Salad</t>
  </si>
  <si>
    <t>Seafood Salad</t>
  </si>
  <si>
    <t>Tuna Salad With Cheese</t>
  </si>
  <si>
    <t>Tuna Salad With Egg</t>
  </si>
  <si>
    <t>Shrimp Garden Salad Shrimp Lettuce Eggs Tomato And/or Carrots Other Vegetables No Dressing</t>
  </si>
  <si>
    <t>Shrimp Garden Salad Shrimp Lettuce Eggs Vegetables Excluding Tomato And Carrots No Dressing</t>
  </si>
  <si>
    <t>Crab Salad Made With Imitation Crab</t>
  </si>
  <si>
    <t>Fish Tofu And Vegetables Tempura</t>
  </si>
  <si>
    <t>Seafood Garden Salad With Seafood Lettuce Vegetables Excluding Tomato And Carrots No Dressing</t>
  </si>
  <si>
    <t>Seafood Garden Salad With Seafood Lettuce Tomato And/or Carrots Other Vegetables No Dressing</t>
  </si>
  <si>
    <t>Seafood Garden Salad With Seafood Lettuce Eggs Vegetables Excluding Tomato And Carrots No Dressing</t>
  </si>
  <si>
    <t>Seafood Garden Salad With Seafood Lettuce Eggs Tomato And/or Carrots Other Vegetables No Dressing</t>
  </si>
  <si>
    <t>Oysters Rockefeller</t>
  </si>
  <si>
    <t>Lomi Salmon</t>
  </si>
  <si>
    <t>Shrimp And Vegetables Including Carrots Broccoli And/or Dark-Green Leafy; No Potatoes No Sauce</t>
  </si>
  <si>
    <t>Shrimp And Vegetables Excluding Carrots Broccoli And Dark-Green Leafy; No Potatoes No Sauce</t>
  </si>
  <si>
    <t>Shrimp And Vegetables Including Carrots Broccoli And/or Dark-Green Leafy; No Potatoes Soy-Based Sauce</t>
  </si>
  <si>
    <t>Shrimp And Vegetables Excluding Carrots Broccoli And Dark-Green Leafy; No Potatoes Soy-Based Sauce</t>
  </si>
  <si>
    <t>Shrimp Shish Kabob With Vegetables Excluding Potatoes</t>
  </si>
  <si>
    <t>Shrimp Creole No Rice</t>
  </si>
  <si>
    <t>Kung Pao Shrimp</t>
  </si>
  <si>
    <t>Tuna Casserole With Vegetables And Mushroom Sauce No Noodles</t>
  </si>
  <si>
    <t>Shellfish Mixture And Vegetables Including Carrots Broccoli And/or Dark-Green Leafy; No Potatoes Soy-Based Sauce</t>
  </si>
  <si>
    <t>Shellfish Mixture And Vegetables Excluding Carrots Broccoli And Dark-Green Leafy; No Potatoes Soy-Based Sauce</t>
  </si>
  <si>
    <t>Shellfish Mixture And Vegetables Including Carrots Broccoli And/or Dark-Green Leafy; No Potatoes Mushroom Sauce</t>
  </si>
  <si>
    <t>Shellfish Mixture And Vegetables Excluding Carrots Broccoli And Dark-Green Leafy; No Potatoes Mushroom Sauce</t>
  </si>
  <si>
    <t>Fish And Vegetables Including Carrots Broccoli And/or Dark-Green Leafy; No Potatoes Tomato-Based Sauce</t>
  </si>
  <si>
    <t>Fish And Vegetables Excluding Carrots Broccoli And Dark- Green Leafy; No Potatoes Tomato-Based Sauce</t>
  </si>
  <si>
    <t>Fish And Vegetables Including Carrots Broccoli And/or Dark-Green Leafy; No Potatoes Soy-Based Sauce</t>
  </si>
  <si>
    <t>Fish And Vegetables Excluding  Carrots Broccoli And Dark-Green Leafy; No Potatoes Soy-Based Sauce</t>
  </si>
  <si>
    <t>Fish Shish Kabob With Vegetables Excluding Potatoes</t>
  </si>
  <si>
    <t>Fried Fish With Sauce Puerto Rican Style</t>
  </si>
  <si>
    <t>Lobster With Sauce Puerto Rican Style</t>
  </si>
  <si>
    <t>Octopus Salad Puerto Rican Style</t>
  </si>
  <si>
    <t>Codfish Salad Puerto Rican Style Serenata</t>
  </si>
  <si>
    <t>Chow Mein Or Chop Suey Ns As To Type Of Meat No Noodles</t>
  </si>
  <si>
    <t>Lau Lau</t>
  </si>
  <si>
    <t>Julienne Salad Meat Cheese Eggs Vegetables No Dressing</t>
  </si>
  <si>
    <t>Antipasto With Ham Fish Cheese Vegetables</t>
  </si>
  <si>
    <t>Livers Chicken Chopped With Eggs And Onion</t>
  </si>
  <si>
    <t>Liver Beef Or Calves And Onions</t>
  </si>
  <si>
    <t>Stewed Chitterlings Puerto Rican Style</t>
  </si>
  <si>
    <t>Stewed Gizzards Puerto Rican Style</t>
  </si>
  <si>
    <t>Gumbo No Rice</t>
  </si>
  <si>
    <t>Sandwich Nfs</t>
  </si>
  <si>
    <t>Meat Sandwich Nfs</t>
  </si>
  <si>
    <t>Wrap Sandwich Filled With Meat Poultry Or Fish Vegetables And Cheese</t>
  </si>
  <si>
    <t>Wrap Sandwich Filled With Meat Poultry Or Fish And Vegetables</t>
  </si>
  <si>
    <t>Beef Sandwich Nfs</t>
  </si>
  <si>
    <t>Beef Barbecue Sandwich Or Sloppy Joe On Bun</t>
  </si>
  <si>
    <t>Beef Barbecue Submarine Sandwich On Bun</t>
  </si>
  <si>
    <t>Cheeseburger 1 Miniature Patty Plain On Miniature Bun From Fast Food / Restaurant</t>
  </si>
  <si>
    <t>Cheeseburger 1 Miniature Patty With Condiments On Miniature Bun From Fast Food / Restaurant</t>
  </si>
  <si>
    <t>Cheeseburger 1 Miniature Patty On Miniature Bun From School</t>
  </si>
  <si>
    <t>Cheeseburger Nfs</t>
  </si>
  <si>
    <t>Cheeseburger 1 Small Patty With Condiments On Bun From Fast Food / Restaurant (Burger King Whopper Jr. With Cheese)</t>
  </si>
  <si>
    <t>Cheeseburger 1 Small Patty With Condiments On Bun From Fast Food / Restaurant (Wendy's Jr. Cheeseburger Deluxe)</t>
  </si>
  <si>
    <t>Cheeseburger On Bun From School</t>
  </si>
  <si>
    <t>Cheeseburger 1 Small Patty Plain On White Bun</t>
  </si>
  <si>
    <t>Cheeseburger 1 Small Patty Plain On Wheat Bun</t>
  </si>
  <si>
    <t>Cheeseburger 1 Small Patty With Condiments On White Bun</t>
  </si>
  <si>
    <t>Cheeseburger 1 Small Patty With Condiments On Wheat Bun</t>
  </si>
  <si>
    <t>Cheeseburger 1 Small Patty With Condiments On Whole Wheat Bun</t>
  </si>
  <si>
    <t>Cheeseburger 1 Medium Patty Plain On White Bun</t>
  </si>
  <si>
    <t>Cheeseburger 1 Medium Patty Plain On Wheat Bun</t>
  </si>
  <si>
    <t>Cheeseburger 1 Medium Patty Plain On Whole Wheat Bun</t>
  </si>
  <si>
    <t>Cheeseburger 1 Medium Patty With Condiments On White Bun</t>
  </si>
  <si>
    <t>Cheeseburger 1 Medium Patty With Condiments On Wheat Bun</t>
  </si>
  <si>
    <t>Cheeseburger 1 Medium Patty With Condiments On Whole Wheat Bun</t>
  </si>
  <si>
    <t>Cheeseburger 1 Large Patty Plain On Bun From Fast Food / Restaurant</t>
  </si>
  <si>
    <t>Cheeseburger 1 Large Patty With Condiments On Bun From Fast Food / Restaurant</t>
  </si>
  <si>
    <t>Bacon Cheeseburger 1 Small Patty With Condiments On Bun From Fast Food / Restaurant</t>
  </si>
  <si>
    <t>Bacon Cheeseburger 1 Small Patty With Condiments On Bun From Fast Food / Restaurant (Wendy's Jr. Bacon Cheeseburger)</t>
  </si>
  <si>
    <t>Bacon Cheeseburger 1 Medium Patty Plain On Bun From Fast Food / Restaurant</t>
  </si>
  <si>
    <t>Bacon Cheeseburger 1 Medium Patty With Condiments On Bun From Fast Food / Restaurant</t>
  </si>
  <si>
    <t>Bacon Cheeseburger 1 Medium Patty Plain On White Bun</t>
  </si>
  <si>
    <t>Bacon Cheeseburger 1 Medium Patty With Condiments On White Bun</t>
  </si>
  <si>
    <t>Bacon Cheeseburger 1 Medium Patty With Condiments On Wheat Bun</t>
  </si>
  <si>
    <t>Bacon Cheeseburger 1 Medium Patty With Condiments On Whole Wheat Bun</t>
  </si>
  <si>
    <t>Bacon Cheeseburger 1 Large Patty With Condiments On Bun From Fast Food / Restaurant</t>
  </si>
  <si>
    <t>Double Cheeseburger 2 Small Patties Plain On Bun From Fast Food / Restaurant</t>
  </si>
  <si>
    <t>Double Cheeseburger 2 Medium Patties Plain On Bun From Fast Food / Restaurant</t>
  </si>
  <si>
    <t>Double Bacon Cheeseburger 2 Small Patties With Condiments On Bun From Fast Food / Restaurant (Burger King Bacon Double Cheeseburger)</t>
  </si>
  <si>
    <t>Double Bacon Cheeseburger 2 Medium Patties Plain On Bun From Fast Food / Restaurant</t>
  </si>
  <si>
    <t>Double Bacon Cheeseburger 2 Medium Patties With Condiments On Bun From Fast Food / Restaurant</t>
  </si>
  <si>
    <t>Double Bacon Cheeseburger 2 Medium Patties With Condiments On Bun From Fast Food / Restaurant (Wendy's Baconator)</t>
  </si>
  <si>
    <t>Double Bacon Cheeseburger 2 Large Patties With Condiments On Bun From Fast Food / Restaurant</t>
  </si>
  <si>
    <t>Triple Cheeseburger 3 Medium Patties With Condiments On Bun From Fast Food / Restaurant</t>
  </si>
  <si>
    <t>Hamburger 1 Miniature Patty Plain On Miniature Bun From Fast Food / Restaurant</t>
  </si>
  <si>
    <t>Hamburger 1 Miniature Patty With Condiments On Miniature Bun From Fast Food / Restaurant</t>
  </si>
  <si>
    <t>Hamburger 1 Miniature Patty On Miniature Bun From School</t>
  </si>
  <si>
    <t>Hamburger Nfs</t>
  </si>
  <si>
    <t>Hamburger 1 Small Patty With Condiments On Bun From Fast Food / Restaurant (Burger King Whopper Jr.)</t>
  </si>
  <si>
    <t>Hamburger On Bun From School</t>
  </si>
  <si>
    <t>Hamburger 1 Small Patty Plain On White Bun</t>
  </si>
  <si>
    <t>Hamburger 1 Small Patty Plain On Wheat Bun</t>
  </si>
  <si>
    <t>Hamburger 1 Small Patty Plain On Whole Wheat Bun</t>
  </si>
  <si>
    <t>Hamburger 1 Small Patty With Condiments On White Bun</t>
  </si>
  <si>
    <t>Hamburger 1 Small Patty With Condiments On Whole Wheat Bun</t>
  </si>
  <si>
    <t>Hamburger 1 Medium Patty Plain On White Bun</t>
  </si>
  <si>
    <t>Hamburger 1 Medium Patty Plain On Wheat Bun</t>
  </si>
  <si>
    <t>Hamburger 1 Medium Patty Plain On Whole Wheat Bun</t>
  </si>
  <si>
    <t>Hamburger 1 Medium Patty With Condiments On White Bun</t>
  </si>
  <si>
    <t>Hamburger 1 Medium Patty With Condiments On Wheat Bun</t>
  </si>
  <si>
    <t>Hamburger 1 Medium Patty With Condiments On Whole Wheat Bun</t>
  </si>
  <si>
    <t>Double Hamburger 2 Small Patties Plain On Bun From Fast Food / Restaurant</t>
  </si>
  <si>
    <t>Double Hamburger 2 Small Patties With Condiments On Bun From Fast Food / Restaurant</t>
  </si>
  <si>
    <t>Double Hamburger 2 Medium Patties Plain On Bun From Fast Food / Restaurant</t>
  </si>
  <si>
    <t>Chiliburger With Or Without Cheese On Bun</t>
  </si>
  <si>
    <t>Corned Beef Sandwich</t>
  </si>
  <si>
    <t>Reuben Sandwich Corned Beef Sandwich With Sauerkraut And Cheese With Spread</t>
  </si>
  <si>
    <t>Pastrami Sandwich</t>
  </si>
  <si>
    <t>Roast Beef Sandwich With Gravy</t>
  </si>
  <si>
    <t>Roast Beef Submarine Sandwich With Lettuce Tomato And Spread</t>
  </si>
  <si>
    <t>Roast Beef Submarine Sandwich With Cheese Lettuce Tomato And Spread</t>
  </si>
  <si>
    <t>Roast Beef Sandwich With Cheese</t>
  </si>
  <si>
    <t>Roast Beef Sandwich With Bacon And Cheese Sauce</t>
  </si>
  <si>
    <t>Roast Beef Submarine Sandwich On Roll Au Jus</t>
  </si>
  <si>
    <t>Steak Submarine Sandwich With Lettuce And Tomato</t>
  </si>
  <si>
    <t>Steak Sandwich Plain On Roll</t>
  </si>
  <si>
    <t>Steak And Cheese Sandwich Plain On Roll</t>
  </si>
  <si>
    <t>Steak And Cheese Submarine Sandwich Plain On Roll</t>
  </si>
  <si>
    <t>Fajita-Style Beef Sandwich With Cheese On Pita Bread With Lettuce And Tomato</t>
  </si>
  <si>
    <t>Steak And Cheese Submarine Sandwich With Fried Peppers And Onions On Roll</t>
  </si>
  <si>
    <t>Steak Sandwich Plain On Biscuit</t>
  </si>
  <si>
    <t>Gyro Sandwich (Pita Bread Beef Lamb Onion Condiments) With Tomato And Spread</t>
  </si>
  <si>
    <t>Wrap Sandwich Filled With Beef Patty Cheese And Spread And/or Sauce</t>
  </si>
  <si>
    <t>Bacon Sandwich With Spread</t>
  </si>
  <si>
    <t>Bacon And Cheese Sandwich With Spread</t>
  </si>
  <si>
    <t>Bacon And Egg Sandwich</t>
  </si>
  <si>
    <t>Bacon Lettuce And Tomato Sandwich With Spread</t>
  </si>
  <si>
    <t>Bacon Lettuce Tomato And Cheese Submarine Sandwich With Spread</t>
  </si>
  <si>
    <t>Bacon Chicken And Tomato Club Sandwich On Multigrain Roll With Lettuce And Spread</t>
  </si>
  <si>
    <t>Bacon Breaded Fried Chicken Fillet And Tomato Club With Lettuce And Spread</t>
  </si>
  <si>
    <t>Bacon On Biscuit</t>
  </si>
  <si>
    <t>Ham Sandwich With Spread</t>
  </si>
  <si>
    <t>Ham Sandwich With Lettuce And Spread</t>
  </si>
  <si>
    <t>Ham And Cheese Sandwich With Lettuce And Spread</t>
  </si>
  <si>
    <t>Ham And Egg Sandwich</t>
  </si>
  <si>
    <t>Ham Salad Sandwich</t>
  </si>
  <si>
    <t>Ham And Cheese Sandwich With Spread Grilled</t>
  </si>
  <si>
    <t>Ham And Cheese Sandwich On Bun With Lettuce And Spread</t>
  </si>
  <si>
    <t>Hot Ham And Cheese Sandwich On Bun</t>
  </si>
  <si>
    <t>Ham And Cheese On English Muffin</t>
  </si>
  <si>
    <t>Cuban Sandwich With Spread</t>
  </si>
  <si>
    <t>Midnight Sandwich With Spread</t>
  </si>
  <si>
    <t>Pork Sandwich On White Roll With Onions Dill Pickles And Barbecue Sauce</t>
  </si>
  <si>
    <t>Pork Barbecue Sandwich Or Sloppy Joe On Bun</t>
  </si>
  <si>
    <t>Pork Sandwich</t>
  </si>
  <si>
    <t>Pork Sandwich With Gravy</t>
  </si>
  <si>
    <t>Ham And Tomato Club Sandwich With Lettuce And Spread</t>
  </si>
  <si>
    <t>Chicken Sandwich With Spread</t>
  </si>
  <si>
    <t>Chicken Sandwich With Cheese And Spread</t>
  </si>
  <si>
    <t>Chicken Salad Or Chicken Spread Sandwich</t>
  </si>
  <si>
    <t>Chicken Barbecue Sandwich</t>
  </si>
  <si>
    <t>Chicken Fillet Breaded Fried Sandwich With Cheese Lettuce Tomato And Spread</t>
  </si>
  <si>
    <t>Chicken Patty Sandwich Miniature With Spread</t>
  </si>
  <si>
    <t>Chicken Patty Sandwich Or Biscuit</t>
  </si>
  <si>
    <t>Fajita-Style Chicken Sandwich With Cheese On Pita Bread With Lettuce And Tomato</t>
  </si>
  <si>
    <t>Chicken Patty Sandwich With Cheese On Wheat Bun With Lettuce Tomato And Spread</t>
  </si>
  <si>
    <t>Chicken Fillet Broiled Sandwich On Whole Wheat Roll With Lettuce Tomato And Spread</t>
  </si>
  <si>
    <t>Chicken Fillet Broiled Sandwich With Cheese On Whole Wheat Roll With Lettuce Tomato And Non-Mayonnaise Type Spread</t>
  </si>
  <si>
    <t>Chicken Fillet Broiled Sandwich On Oat Bran Bun With Lettuce Tomato Spread</t>
  </si>
  <si>
    <t>Buffalo Chicken Submarine Sandwich</t>
  </si>
  <si>
    <t>Buffalo Chicken Submarine Sandwich With Cheese</t>
  </si>
  <si>
    <t>Turkey Sandwich With Spread</t>
  </si>
  <si>
    <t>Turkey Salad Or Turkey Spread Sandwich</t>
  </si>
  <si>
    <t>Turkey Sandwich With Gravy</t>
  </si>
  <si>
    <t>Turkey And Bacon Submarine Sandwich With Lettuce Tomato And Spread</t>
  </si>
  <si>
    <t>Turkey And Bacon Submarine Sandwich With Cheese Lettuce Tomato And Spread</t>
  </si>
  <si>
    <t>Turkey Ham And Roast Beef Club Sandwich With Lettuce Tomato And Spread</t>
  </si>
  <si>
    <t>Turkey Or Chicken Burger Plain On Bun From Fast Food / Restaurant</t>
  </si>
  <si>
    <t>Turkey Or Chicken Burger With Condiments On Bun From Fast Food / Restaurant</t>
  </si>
  <si>
    <t>Turkey Or Chicken Burger Plain On White Bun</t>
  </si>
  <si>
    <t>Turkey Or Chicken Burger Plain On Wheat Bun</t>
  </si>
  <si>
    <t>Turkey Or Chicken Burger With Condiments On White Bun</t>
  </si>
  <si>
    <t>Turkey Or Chicken Burger With Condiments On Wheat Bun</t>
  </si>
  <si>
    <t>Turkey Or Chicken Burger With Condiments On Whole Wheat Bun</t>
  </si>
  <si>
    <t>Crab Cake Sandwich On Bun</t>
  </si>
  <si>
    <t>Sardine Sandwich With Lettuce And Spread</t>
  </si>
  <si>
    <t>Tuna Salad Sandwich With Lettuce</t>
  </si>
  <si>
    <t>Tuna Salad Sandwich</t>
  </si>
  <si>
    <t>Tuna Melt Sandwich</t>
  </si>
  <si>
    <t>Bologna Sandwich With Spread</t>
  </si>
  <si>
    <t>Bologna And Cheese Sandwich With Spread</t>
  </si>
  <si>
    <t>Pig In A Blanket Frankfurter Or Hot Dog Wrapped In Dough</t>
  </si>
  <si>
    <t>Puerto Rican Sandwich</t>
  </si>
  <si>
    <t>Pepperoni And Salami Submarine Sandwich With Lettuce Tomato And Spread</t>
  </si>
  <si>
    <t>Salami Sandwich With Spread</t>
  </si>
  <si>
    <t>Sausage Balls Made With Biscuit Mix And Cheese</t>
  </si>
  <si>
    <t>Sausage Sandwich</t>
  </si>
  <si>
    <t>Sausage And Spaghetti Sauce Sandwich</t>
  </si>
  <si>
    <t>Meat Spread Or Potted Meat Sandwich</t>
  </si>
  <si>
    <t>Frankfurter Or Hot Dog Sandwich NFS Plain On White Bun</t>
  </si>
  <si>
    <t>Frankfurter Or Hot Dog Sandwich NFS Plain On Wheat Bun</t>
  </si>
  <si>
    <t>Frankfurter Or Hot Dog Sandwich NFS Plain On Whole Wheat Bun</t>
  </si>
  <si>
    <t>Frankfurter Or Hot Dog Sandwich NFS Plain On Whole Grain White Bun</t>
  </si>
  <si>
    <t>Frankfurter Or Hot Dog Sandwich NFS Plain On Multigrain Bun</t>
  </si>
  <si>
    <t>Frankfurter Or Hot Dog Sandwich NFS Plain On White Bread</t>
  </si>
  <si>
    <t>Frankfurter Or Hot Dog Sandwich NFS Plain On Wheat Bread</t>
  </si>
  <si>
    <t>Frankfurter Or Hot Dog Sandwich NFS Plain On Whole Wheat Bread</t>
  </si>
  <si>
    <t>Frankfurter Or Hot Dog Sandwich NFS Plain On Whole Grain White Bread</t>
  </si>
  <si>
    <t>Frankfurter Or Hot Dog Sandwich NFS Plain On Multigrain Bread</t>
  </si>
  <si>
    <t>Frankfurter Or Hot Dog Sandwich Beef Plain On White Bun</t>
  </si>
  <si>
    <t>Frankfurter Or Hot Dog Sandwich Beef Plain On Wheat Bun</t>
  </si>
  <si>
    <t>Frankfurter Or Hot Dog Sandwich Beef Plain On Whole Wheat Bun</t>
  </si>
  <si>
    <t>Frankfurter Or Hot Dog Sandwich Beef Plain On Whole Grain White Bun</t>
  </si>
  <si>
    <t>Frankfurter Or Hot Dog Sandwich Beef Plain On Multigrain Bun</t>
  </si>
  <si>
    <t>Frankfurter Or Hot Dog Sandwich Beef Plain On White Bread</t>
  </si>
  <si>
    <t>Frankfurter Or Hot Dog Sandwich Beef Plain On Wheat Bread</t>
  </si>
  <si>
    <t>Frankfurter Or Hot Dog Sandwich Beef Plain On Whole Wheat Bread</t>
  </si>
  <si>
    <t>Frankfurter Or Hot Dog Sandwich Beef Plain On Whole Grain White Bread</t>
  </si>
  <si>
    <t>Frankfurter Or Hot Dog Sandwich Beef Plain On Multigrain Bread</t>
  </si>
  <si>
    <t>Frankfurter Or Hot Dog Sandwich Beef And Pork Plain On White Bun</t>
  </si>
  <si>
    <t>Frankfurter Or Hot Dog Sandwich Beef And Pork Plain On Wheat Bun</t>
  </si>
  <si>
    <t>Frankfurter Or Hot Dog Sandwich Beef And Pork Plain On Whole Wheat Bun</t>
  </si>
  <si>
    <t>Frankfurter Or Hot Dog Sandwich Beef And Pork Plain On Whole Grain White Bun</t>
  </si>
  <si>
    <t>Frankfurter Or Hot Dog Sandwich Beef And Pork Plain On Multigrain Bun</t>
  </si>
  <si>
    <t>Frankfurter Or Hot Dog Sandwich Beef And Pork Plain On White Bread</t>
  </si>
  <si>
    <t>Frankfurter Or Hot Dog Sandwich Beef And Pork Plain On Wheat Bread</t>
  </si>
  <si>
    <t>Frankfurter Or Hot Dog Sandwich Beef And Pork Plain On Whole Wheat Bread</t>
  </si>
  <si>
    <t>Frankfurter Or Hot Dog Sandwich Beef And Pork Plain On Whole Grain White Bread</t>
  </si>
  <si>
    <t>Frankfurter Or Hot Dog Sandwich Beef And Pork Plain On Multigrain Bread</t>
  </si>
  <si>
    <t>Frankfurter Or Hot Dog Sandwich Meat And Poultry Plain On White Bun</t>
  </si>
  <si>
    <t>Frankfurter Or Hot Dog Sandwich Meat And Poultry Plain On Wheat Bun</t>
  </si>
  <si>
    <t>Frankfurter Or Hot Dog Sandwich Meat And Poultry Plain On Whole Wheat Bun</t>
  </si>
  <si>
    <t>Frankfurter Or Hot Dog Sandwich Meat And Poultry Plain On Whole Grain White Bun</t>
  </si>
  <si>
    <t>Frankfurter Or Hot Dog Sandwich Meat And Poultry Plain On Multigrain Bun</t>
  </si>
  <si>
    <t>Frankfurter Or Hot Dog Sandwich Meat And Poultry Plain On White Bread</t>
  </si>
  <si>
    <t>Frankfurter Or Hot Dog Sandwich Meat And Poultry Plain On Wheat Bread</t>
  </si>
  <si>
    <t>Frankfurter Or Hot Dog Sandwich Meat And Poultry Plain On Whole Wheat Bread</t>
  </si>
  <si>
    <t>Frankfurter Or Hot Dog Sandwich Meat And Poultry Plain On Whole Grain White Bread</t>
  </si>
  <si>
    <t>Frankfurter Or Hot Dog Sandwich Meat And Poultry Plain On Multigrain Bread</t>
  </si>
  <si>
    <t>Frankfurter Or Hot Dog Sandwich Chicken And/or Turkey Plain On White Bun</t>
  </si>
  <si>
    <t>Frankfurter Or Hot Dog Sandwich Chicken And/or Turkey Plain On Wheat Bun</t>
  </si>
  <si>
    <t>Frankfurter Or Hot Dog Sandwich Chicken And/or Turkey Plain On Whole Wheat Bun</t>
  </si>
  <si>
    <t>Frankfurter Or Hot Dog Sandwich Chicken And/or Turkey Plain On Whole Grain White Bun</t>
  </si>
  <si>
    <t>Frankfurter Or Hot Dog Sandwich Chicken And/or Turkey Plain On Multigrain Bun</t>
  </si>
  <si>
    <t>Frankfurter Or Hot Dog Sandwich Chicken And/or Turkey Plain On White Bread</t>
  </si>
  <si>
    <t>Frankfurter Or Hot Dog Sandwich Chicken And/or Turkey Plain On Wheat Bread</t>
  </si>
  <si>
    <t>Frankfurter Or Hot Dog Sandwich Chicken And/or Turkey Plain On Whole Wheat Bread</t>
  </si>
  <si>
    <t>Frankfurter Or Hot Dog Sandwich Chicken And/or Turkey Plain On Whole Grain White Bread</t>
  </si>
  <si>
    <t>Frankfurter Or Hot Dog Sandwich Chicken And/or Turkey Plain On Multigrain Bread</t>
  </si>
  <si>
    <t>Frankfurter Or Hot Dog Sandwich Reduced Fat Or Light Plain On White Bun</t>
  </si>
  <si>
    <t>Frankfurter Or Hot Dog Sandwich Reduced Fat Or Light Plain On Wheat Bun</t>
  </si>
  <si>
    <t>Frankfurter Or Hot Dog Sandwich Reduced Fat Or Light Plain On Whole Wheat Bun</t>
  </si>
  <si>
    <t>Frankfurter Or Hot Dog Sandwich Reduced Fat Or Light Plain On Whole Grain White Bun</t>
  </si>
  <si>
    <t>Frankfurter Or Hot Dog Sandwich Reduced Fat Or Light Plain On Multigrain Bun</t>
  </si>
  <si>
    <t>Frankfurter Or Hot Dog Sandwich Reduced Fat Or Light Plain On White Bread</t>
  </si>
  <si>
    <t>Frankfurter Or Hot Dog Sandwich Reduced Fat Or Light Plain On Wheat Bread</t>
  </si>
  <si>
    <t>Frankfurter Or Hot Dog Sandwich Reduced Fat Or Light Plain On Whole Wheat Bread</t>
  </si>
  <si>
    <t>Frankfurter Or Hot Dog Sandwich Reduced Fat Or Light Plain On Whole Grain White Bread</t>
  </si>
  <si>
    <t>Frankfurter Or Hot Dog Sandwich Reduced Fat Or Light Plain On Multigrain Bread</t>
  </si>
  <si>
    <t>Frankfurter Or Hot Dog Sandwich Fat Free Plain On White Bun</t>
  </si>
  <si>
    <t>Frankfurter Or Hot Dog Sandwich Fat Free Plain On Wheat Bun</t>
  </si>
  <si>
    <t>Frankfurter Or Hot Dog Sandwich Fat Free Plain On Whole Wheat Bun</t>
  </si>
  <si>
    <t>Frankfurter Or Hot Dog Sandwich Fat Free Plain On Whole Grain White Bun</t>
  </si>
  <si>
    <t>Frankfurter Or Hot Dog Sandwich Fat Free Plain On Multigrain Bun</t>
  </si>
  <si>
    <t>Frankfurter Or Hot Dog Sandwich Fat Free Plain On White Bread</t>
  </si>
  <si>
    <t>Frankfurter Or Hot Dog Sandwich Fat Free Plain On Wheat Bread</t>
  </si>
  <si>
    <t>Frankfurter Or Hot Dog Sandwich Fat Free Plain On Whole Wheat Bread</t>
  </si>
  <si>
    <t>Frankfurter Or Hot Dog Sandwich Fat Free Plain On Whole Grain White Bread</t>
  </si>
  <si>
    <t>Frankfurter Or Hot Dog Sandwich Fat Free Plain On Multigrain Bread</t>
  </si>
  <si>
    <t>Frankfurter Or Hot Dog Sandwich Meatless Plain On Bun</t>
  </si>
  <si>
    <t>Frankfurter Or Hot Dog Sandwich Meatless Plain On Bread</t>
  </si>
  <si>
    <t>Frankfurter Or Hot Dog Sandwich With Chili On White Bun</t>
  </si>
  <si>
    <t>Frankfurter Or Hot Dog Sandwich With Chili On Wheat Bun</t>
  </si>
  <si>
    <t>Frankfurter Or Hot Dog Sandwich With Chili On Whole Wheat Bun</t>
  </si>
  <si>
    <t>Frankfurter Or Hot Dog Sandwich With Chili On Whole Grain White Bun</t>
  </si>
  <si>
    <t>Frankfurter Or Hot Dog Sandwich With Chili On Multigrain Bun</t>
  </si>
  <si>
    <t>Frankfurter Or Hot Dog Sandwich With Chili On White Bread</t>
  </si>
  <si>
    <t>Frankfurter Or Hot Dog Sandwich With Chili On Wheat Bread</t>
  </si>
  <si>
    <t>Frankfurter Or Hot Dog Sandwich With Chili On Whole Wheat Bread</t>
  </si>
  <si>
    <t>Frankfurter Or Hot Dog Sandwich With Chili On Whole Grain White Bread</t>
  </si>
  <si>
    <t>Frankfurter Or Hot Dog Sandwich With Chili On Multigrain Bread</t>
  </si>
  <si>
    <t>Frankfurter Or Hot Dog Sandwich With Meatless Chili On White Bun</t>
  </si>
  <si>
    <t>Frankfurter Or Hot Dog Sandwich With Meatless Chili On Wheat Bun</t>
  </si>
  <si>
    <t>Frankfurter Or Hot Dog Sandwich With Meatless Chili On Whole Wheat Bun</t>
  </si>
  <si>
    <t>Frankfurter Or Hot Dog Sandwich With Meatless Chili On Whole Grain White Bun</t>
  </si>
  <si>
    <t>Frankfurter Or Hot Dog Sandwich With Meatless Chili On Multigrain Bun</t>
  </si>
  <si>
    <t>Frankfurter Or Hot Dog Sandwich With Meatless Chili On White Bread</t>
  </si>
  <si>
    <t>Frankfurter Or Hot Dog Sandwich With Meatless Chili On Wheat Bread</t>
  </si>
  <si>
    <t>Frankfurter Or Hot Dog Sandwich With Meatless Chili On Whole Wheat Bread</t>
  </si>
  <si>
    <t>Frankfurter Or Hot Dog Sandwich With Meatless Chili On Whole Grain White Bread</t>
  </si>
  <si>
    <t>Frankfurter Or Hot Dog Sandwich With Meatless Chili On Multigrain Bread</t>
  </si>
  <si>
    <t>Frankfurter Or Hot Dog Sandwich Meatless On Bun With Meatless Chili</t>
  </si>
  <si>
    <t>Frankfurter Or Hot Dog Sandwich Meatless On Bread With Meatless Chili</t>
  </si>
  <si>
    <t>Hors D'oeuvres With Spread</t>
  </si>
  <si>
    <t>Beef Stew Baby Food Toddler</t>
  </si>
  <si>
    <t>Beef And Egg Noodles Baby Food Ns As To Strained Or Junior</t>
  </si>
  <si>
    <t>Beef With Vegetables Baby Food Toddler</t>
  </si>
  <si>
    <t>Chicken Noodle Dinner Baby Food Ns As To Strained Or Junior</t>
  </si>
  <si>
    <t>Chicken Noodle Dinner Baby Food Strained</t>
  </si>
  <si>
    <t>Chicken Noodle Dinner Baby Food Junior</t>
  </si>
  <si>
    <t>Chicken Noodles And Vegetables Baby Food Toddler</t>
  </si>
  <si>
    <t>Turkey Rice And Vegetables Baby Food Ns As To Strained Or Junior</t>
  </si>
  <si>
    <t>Frozen Dinner Nfs</t>
  </si>
  <si>
    <t>Beef Dinner NFS Frozen Meal</t>
  </si>
  <si>
    <t>Beef With Vegetable Diet Frozen Meal</t>
  </si>
  <si>
    <t>Sirloin Chopped With Gravy Mashed Potatoes Vegetable Frozen Meal</t>
  </si>
  <si>
    <t>Sirloin Tips With Gravy Potatoes Vegetable Frozen Meal</t>
  </si>
  <si>
    <t>Sirloin Beef With Gravy Potatoes Vegetable Frozen Meal</t>
  </si>
  <si>
    <t>Salisbury Steak Dinner NFS Frozen Meal</t>
  </si>
  <si>
    <t>Salisbury Steak With Gravy Potatoes Vegetable Frozen Meal</t>
  </si>
  <si>
    <t>Salisbury Steak With Gravy Whipped Potatoes Vegetable Dessert Frozen Meal</t>
  </si>
  <si>
    <t>Salisbury Steak With Gravy Potatoes Vegetable Soup Or Macaroni And Cheese Dessert Frozen Meal</t>
  </si>
  <si>
    <t>Salisbury Steak With Gravy Potatoes Vegetable Dessert Frozen Meal</t>
  </si>
  <si>
    <t>Salisbury Steak With Gravy Macaroni And Cheese Vegetable Frozen Meal</t>
  </si>
  <si>
    <t>Salisbury Steak With Gravy Macaroni And Cheese Frozen Meal</t>
  </si>
  <si>
    <t>Salisbury Steak Potatoes Vegetable Dessert Diet Frozen Meal</t>
  </si>
  <si>
    <t>Beef Sliced With Gravy Potatoes Vegetable Frozen Meal</t>
  </si>
  <si>
    <t>Beef Short Ribs Boneless With Barbecue Sauce Potatoes Vegetable Frozen Meal</t>
  </si>
  <si>
    <t>Meatballs Swedish In Sauce With Noodles Frozen Meal</t>
  </si>
  <si>
    <t>Meatballs Swedish In Gravy With Noodles Diet Frozen Meal</t>
  </si>
  <si>
    <t>Salisbury Steak Baked With Tomato Sauce Vegetable Diet Frozen Meal</t>
  </si>
  <si>
    <t>Beef With Spaetzle Or Rice Vegetable Frozen Meal</t>
  </si>
  <si>
    <t>Veal Dinner NFS Frozen Meal</t>
  </si>
  <si>
    <t>Veal Breaded With Spaghetti In Tomato Sauce Frozen Meal</t>
  </si>
  <si>
    <t>Veal Parmigiana With Vegetable Fettuccine Alfredo Dessert Frozen Meal</t>
  </si>
  <si>
    <t>Chicken Dinner NFS Frozen Meal</t>
  </si>
  <si>
    <t>Chicken Divan Frozen Meal</t>
  </si>
  <si>
    <t>Chicken Boneless With Gravy Dressing Rice Vegetable Dessert Frozen Meal</t>
  </si>
  <si>
    <t>Chicken And Noodles With Vegetable Dessert Frozen Meal</t>
  </si>
  <si>
    <t>Chicken Fried With Potatoes Vegetable Frozen Meal</t>
  </si>
  <si>
    <t>Chicken Patty Or Nuggets Boneless Breaded Potatoes Vegetable Frozen Meal</t>
  </si>
  <si>
    <t>Chicken Patty Breaded With Tomato Sauce And Cheese Fettuccine Alfredo Vegetable Frozen Meal</t>
  </si>
  <si>
    <t>Chicken Patty Or Nuggets Boneless Breaded With Pasta And Tomato Sauce Fruit Dessert Frozen Meal</t>
  </si>
  <si>
    <t>Chicken Fried With Potatoes Vegetable Dessert Frozen Meal</t>
  </si>
  <si>
    <t>Chicken Fried With Potatoes Vegetable Dessert Frozen Meal Large Meat Portion</t>
  </si>
  <si>
    <t>Chicken Patty Parmigiana Breaded With Vegetable Diet Frozen Meal</t>
  </si>
  <si>
    <t>Chicken With Rice And Vegetable Diet Frozen Meal</t>
  </si>
  <si>
    <t>Chicken A La King With Rice Frozen Meal</t>
  </si>
  <si>
    <t>Chicken And Vegetables In Cream Or White Sauce Diet Frozen Meal</t>
  </si>
  <si>
    <t>Chicken And Vegetables Au Gratin With Rice Diet Frozen Entree</t>
  </si>
  <si>
    <t>Chicken And Vegetable Entree With Rice Diet Frozen Meal</t>
  </si>
  <si>
    <t>Chicken Chow Mein With Rice Diet Frozen Meal</t>
  </si>
  <si>
    <t>Chicken With Noodles And Cheese Sauce Diet Frozen Meal</t>
  </si>
  <si>
    <t>Chicken Cacciatore With Noodles Diet Frozen Meal</t>
  </si>
  <si>
    <t>Chicken And Vegetable Entree With Noodles Frozen Meal</t>
  </si>
  <si>
    <t>Chicken And Vegetable Entree With Noodles Diet Frozen Meal</t>
  </si>
  <si>
    <t>Chicken In Cream Sauce With Noodles And Vegetable Frozen Meal</t>
  </si>
  <si>
    <t>Chicken In Butter Sauce With Potatoes And Vegetable Diet Frozen Meal</t>
  </si>
  <si>
    <t>Chicken In Mushroom Sauce White And Wild Rice Vegetable Frozen Meal</t>
  </si>
  <si>
    <t>Chicken In Soy-Based Sauce Rice And Vegetables Frozen Meal</t>
  </si>
  <si>
    <t>Chicken In Orange Sauce With Almond Rice Diet Frozen Meal</t>
  </si>
  <si>
    <t>Chicken And Vegetable Entree With Noodles And Cream Sauce Frozen Meal</t>
  </si>
  <si>
    <t>Turkey With Gravy Dressing Vegetable And Fruit Diet Frozen Meal</t>
  </si>
  <si>
    <t>Turkey With Vegetable Stuffing Diet Frozen Meal</t>
  </si>
  <si>
    <t>Turkey With Gravy Dressing Potatoes Vegetable Dessert Frozen Meal</t>
  </si>
  <si>
    <t>Turkey Tetrazzini Frozen Meal</t>
  </si>
  <si>
    <t>Haddock With Chopped Spinach Diet Frozen Meal</t>
  </si>
  <si>
    <t>Flounder With Chopped Broccoli Diet Frozen Meal</t>
  </si>
  <si>
    <t>Fish In Lemon-Butter Sauce With Starch Item Vegetable Frozen Meal</t>
  </si>
  <si>
    <t>Shrimp And Clams In Tomato-Based Sauce With Noodles Frozen Meal</t>
  </si>
  <si>
    <t>Shrimp And Vegetables In Sauce With Noodles Diet Frozen Meal</t>
  </si>
  <si>
    <t>Meat Loaf Dinner NFS Frozen Meal</t>
  </si>
  <si>
    <t>Meat Loaf With Potatoes Vegetable Frozen Meal</t>
  </si>
  <si>
    <t>Stuffed Green Pepper Frozen Meal</t>
  </si>
  <si>
    <t>Stuffed Cabbage With Meat And Tomato Sauce Diet Frozen Meal</t>
  </si>
  <si>
    <t>Oxtail Soup</t>
  </si>
  <si>
    <t>Beef Broth With Tomato Home Recipe</t>
  </si>
  <si>
    <t>Meatball Soup Home Recipe Mexican Style</t>
  </si>
  <si>
    <t>Beef Noodle Soup Puerto Rican Style</t>
  </si>
  <si>
    <t>Pho</t>
  </si>
  <si>
    <t>Beef And Rice Soup Puerto Rican Style</t>
  </si>
  <si>
    <t>Pepperpot Soup</t>
  </si>
  <si>
    <t>Menudo Soup Home Recipe</t>
  </si>
  <si>
    <t>Menudo Soup Canned Prepared With Water Or Ready-To-Serve</t>
  </si>
  <si>
    <t>Beef Vegetable Soup Home Recipe Mexican Style</t>
  </si>
  <si>
    <t>Meat And Corn Hominy Soup Home Recipe Mexican Style</t>
  </si>
  <si>
    <t>Italian Wedding Soup</t>
  </si>
  <si>
    <t>Ham Rice And Potato Soup Puerto Rican Style</t>
  </si>
  <si>
    <t>Ham Noodle And Vegetable Soup Puerto Rican Style</t>
  </si>
  <si>
    <t>Pork Vegetable Soup With Potato Pasta Or Rice Stew Type Chunky Style</t>
  </si>
  <si>
    <t>Pork With Vegetable Excluding Carrots Broccoli And/or Dark-Green Leafy; Soup Asian Style</t>
  </si>
  <si>
    <t>Bacon Soup Cream Of Prepared With Water</t>
  </si>
  <si>
    <t>Lamb Pasta And Vegetable Soup Puerto Rican Style</t>
  </si>
  <si>
    <t>Chicken Or Turkey Broth With Tomato Home Recipe</t>
  </si>
  <si>
    <t>Mexican Style Chicken Broth Soup Stock</t>
  </si>
  <si>
    <t>Chicken Rice Soup Puerto Rican Style</t>
  </si>
  <si>
    <t>Chicken Soup With Noodles And Potatoes Puerto Rican Style</t>
  </si>
  <si>
    <t>Sweet And Sour Soup</t>
  </si>
  <si>
    <t>Chicken Or Turkey Soup With Vegetables Broccoli Carrots Celery Potatoes And Onions Asian Style</t>
  </si>
  <si>
    <t>Chicken Or Turkey Corn Soup With Noodles Home Recipe</t>
  </si>
  <si>
    <t>Chicken Or Turkey Vegetable Soup Home Recipe</t>
  </si>
  <si>
    <t>Chicken Or Turkey Vegetable Soup With Rice Home Recipe Mexican Style</t>
  </si>
  <si>
    <t>Chicken Or Turkey And Corn Hominy Soup  Home Recipe Mexican Style</t>
  </si>
  <si>
    <t>Bird's Nest Soup</t>
  </si>
  <si>
    <t>Chicken Or Turkey Soup With Vegetables And Fruit Asian Style</t>
  </si>
  <si>
    <t>Chicken Or Turkey Soup Cream Of Canned Reduced Sodium Ns As To Made With Milk Or Water</t>
  </si>
  <si>
    <t>Chicken Or Turkey Soup Cream Of Canned Reduced Sodium Made With Milk</t>
  </si>
  <si>
    <t>Chicken Or Turkey Soup Cream Of Canned Reduced Sodium Made With Water</t>
  </si>
  <si>
    <t>Chicken Or Turkey Soup Cream Of Ns As To Prepared With Milk Or Water</t>
  </si>
  <si>
    <t>Chicken Or Turkey Soup Cream Of Prepared With Milk</t>
  </si>
  <si>
    <t>Chicken Or Turkey Soup Cream Of Prepared With Water</t>
  </si>
  <si>
    <t>Chicken Or Turkey Mushroom Soup Cream Of Prepared With Milk</t>
  </si>
  <si>
    <t>Duck Soup</t>
  </si>
  <si>
    <t>Fish Chowder</t>
  </si>
  <si>
    <t>Crab Soup Ns As To Tomato-Base Or Cream Style</t>
  </si>
  <si>
    <t>Crab Soup Tomato-Base</t>
  </si>
  <si>
    <t>Clam Chowder Ns As To Manhattan Or New England Style</t>
  </si>
  <si>
    <t>Turtle And Vegetable Soup</t>
  </si>
  <si>
    <t>Fish And Vegetable Soup No Potatoes Mexican Style</t>
  </si>
  <si>
    <t>Fish Soup With Potatoes Mexican Style</t>
  </si>
  <si>
    <t>Codfish Rice And Vegetable Soup Puerto Rican Style</t>
  </si>
  <si>
    <t>Codfish Soup With Noodles Puerto Rican Style</t>
  </si>
  <si>
    <t>Clam Chowder New England Prepared With Milk</t>
  </si>
  <si>
    <t>Crab Soup Cream Of Prepared With Milk</t>
  </si>
  <si>
    <t>Lobster Bisque</t>
  </si>
  <si>
    <t>Lobster Gumbo</t>
  </si>
  <si>
    <t>Oyster Stew</t>
  </si>
  <si>
    <t>Salmon Soup Cream Style</t>
  </si>
  <si>
    <t>Shrimp Gumbo</t>
  </si>
  <si>
    <t>Seafood Soup With Potatoes And Vegetables Including Carrots Broccoli And/or Dark-Green Leafy</t>
  </si>
  <si>
    <t>Seafood Soup With Potatoes And Vegetables Excluding Carrots Broccoli And Dark-Green Leafy</t>
  </si>
  <si>
    <t>Seafood Soup With Vegetables Including Carrots Broccoli And/or Dark-Green Leafy; No Potatoes</t>
  </si>
  <si>
    <t>Seafood Soup With Vegetables Excluding Carrots Broccoli And Dark-Green Leafy; No Potatoes</t>
  </si>
  <si>
    <t>Spanish Vegetable Soup Puerto Rican Style</t>
  </si>
  <si>
    <t>Gravy Meat Or Poultry With Wine</t>
  </si>
  <si>
    <t>Gravy Meat With Fruit</t>
  </si>
  <si>
    <t>Gravy Giblet</t>
  </si>
  <si>
    <t>Gravy Beef Or Meat Home Recipe</t>
  </si>
  <si>
    <t>Gravy Poultry Home Recipe</t>
  </si>
  <si>
    <t>Gravy Mushroom</t>
  </si>
  <si>
    <t>Gravy Redeye</t>
  </si>
  <si>
    <t>Gravy Beef Or Meat Fat Free</t>
  </si>
  <si>
    <t>Gravy Poultry Fat Free</t>
  </si>
  <si>
    <t>Gravy Or Sauce Poultry-Based From Puerto Rican-Style Chicken Fricasse</t>
  </si>
  <si>
    <t>Gravy Meat-Based From Puerto-Rican Style Stuffed Pot Roast</t>
  </si>
  <si>
    <t>Gravy Meat-Based From Puerto-Rican Style Beef Stew</t>
  </si>
  <si>
    <t>Gravy Or Sauce Made With Soy Sauce Stock Or Bouillon Cornstarch</t>
  </si>
  <si>
    <t>Mole Poblano Sauce</t>
  </si>
  <si>
    <t>Mole Verde Sauce</t>
  </si>
  <si>
    <t>Egg Whole Cooked Ns As To Cooking Method</t>
  </si>
  <si>
    <t>Egg Whole Boiled Or Poached</t>
  </si>
  <si>
    <t>Egg Whole Fried Ns As To Fat Added In Cooking</t>
  </si>
  <si>
    <t>Egg Whole Fried Without Fat</t>
  </si>
  <si>
    <t>Egg Whole Fried With Margarine</t>
  </si>
  <si>
    <t>Egg Whole Fried With Oil</t>
  </si>
  <si>
    <t>Egg Whole Fried With Butter</t>
  </si>
  <si>
    <t>Egg Whole Fried With Animal Fat Or Meat Drippings</t>
  </si>
  <si>
    <t>Egg Whole Fried With Cooking Spray</t>
  </si>
  <si>
    <t>Egg Whole Fried Ns As To Type Of Fat</t>
  </si>
  <si>
    <t>Egg Whole Baked Ns As To Fat Added In Cooking</t>
  </si>
  <si>
    <t>Egg Whole Baked Fat Not Added In Cooking</t>
  </si>
  <si>
    <t>Egg Whole Baked Fat Added In Cooking</t>
  </si>
  <si>
    <t>Egg Whole Pickled</t>
  </si>
  <si>
    <t>Egg White Cooked Ns As To Fat Added In Cooking</t>
  </si>
  <si>
    <t>Egg White Cooked Fat Not Added In Cooking</t>
  </si>
  <si>
    <t>Egg White Cooked Fat Added In Cooking</t>
  </si>
  <si>
    <t>Egg Yolk Only Cooked Ns As To Fat Added In Cooking</t>
  </si>
  <si>
    <t>Egg Yolk Only Cooked Fat Not Added In Cooking</t>
  </si>
  <si>
    <t>Egg Yolk Only Cooked Fat Added In Cooking</t>
  </si>
  <si>
    <t>Duck Egg Cooked</t>
  </si>
  <si>
    <t>Goose Egg Cooked</t>
  </si>
  <si>
    <t>Quail Egg Canned</t>
  </si>
  <si>
    <t>Egg Creamed</t>
  </si>
  <si>
    <t>Egg Benedict</t>
  </si>
  <si>
    <t>Egg Curry</t>
  </si>
  <si>
    <t>Egg Deviled</t>
  </si>
  <si>
    <t>Egg Salad Made With Mayonnaise</t>
  </si>
  <si>
    <t>Egg Salad Made With Light Mayonnaise</t>
  </si>
  <si>
    <t>Egg Salad Made With Mayonnaise-Type Salad Dressing</t>
  </si>
  <si>
    <t>Egg Salad Made With Light Mayonnaise-Type Salad Dressing</t>
  </si>
  <si>
    <t>Egg Salad Made With Creamy Dressing</t>
  </si>
  <si>
    <t>Egg Salad Made With Light Creamy Dressing</t>
  </si>
  <si>
    <t>Egg Salad Made With Italian Dressing</t>
  </si>
  <si>
    <t>Egg Salad Made With Light Italian Dressing</t>
  </si>
  <si>
    <t>Egg Salad Made With Any Type Of Fat Free Dressing</t>
  </si>
  <si>
    <t>Huevos Rancheros</t>
  </si>
  <si>
    <t>Egg Casserole With Bread Cheese Milk And Meat</t>
  </si>
  <si>
    <t>Egg Foo Yung Nfs</t>
  </si>
  <si>
    <t>Chicken Egg Foo Yung</t>
  </si>
  <si>
    <t>Pork Egg Foo Yung</t>
  </si>
  <si>
    <t>Shrimp Egg Foo Yung</t>
  </si>
  <si>
    <t>Beef Egg Foo Yung</t>
  </si>
  <si>
    <t>Ripe Plantain Omelet Puerto Rican Style</t>
  </si>
  <si>
    <t>Scrambled Eggs With Jerked Beef Puerto Rican Style</t>
  </si>
  <si>
    <t>Eggs A La Malaguena Puerto Rican Style</t>
  </si>
  <si>
    <t>Shrimp-Egg Patty</t>
  </si>
  <si>
    <t>Egg Dessert Puerto Rican Style</t>
  </si>
  <si>
    <t>Zabaglione</t>
  </si>
  <si>
    <t>Egg Omelet Or Scrambled Egg Ns As To Fat Added In Cooking</t>
  </si>
  <si>
    <t>Egg Omelet Or Scrambled Egg Made With Margarine</t>
  </si>
  <si>
    <t>Egg Omelet Or Scrambled Egg Made With Oil</t>
  </si>
  <si>
    <t>Egg Omelet Or Scrambled Egg Made With Butter</t>
  </si>
  <si>
    <t>Egg Omelet Or Scrambled Egg Made With Animal Fat Or Meat Drippings</t>
  </si>
  <si>
    <t>Egg Omelet Or Scrambled Egg Made With Cooking Spray</t>
  </si>
  <si>
    <t>Egg Omelet Or Scrambled Egg Ns As To Type Of Fat</t>
  </si>
  <si>
    <t>Egg Omelet Or Scrambled Egg Made Without Fat</t>
  </si>
  <si>
    <t>Egg Omelet Or Scrambled Egg With Cheese Made With Margarine</t>
  </si>
  <si>
    <t>Egg Omelet Or Scrambled Egg With Cheese Made With Oil</t>
  </si>
  <si>
    <t>Egg Omelet Or Scrambled Egg With Cheese Made With Butter</t>
  </si>
  <si>
    <t>Egg Omelet Or Scrambled Egg With Cheese Made With Animal Fat Or Meat Drippings</t>
  </si>
  <si>
    <t>Egg Omelet Or Scrambled Egg With Cheese Made With Cooking Spray</t>
  </si>
  <si>
    <t>Egg Omelet Or Scrambled Egg With Cheese Made Without Fat</t>
  </si>
  <si>
    <t>Egg Omelet Or Scrambled Egg With Meat Ns As To Fat Added In Cooking</t>
  </si>
  <si>
    <t>Egg Omelet Or Scrambled Egg With Meat Made With Margarine</t>
  </si>
  <si>
    <t>Egg Omelet Or Scrambled Egg With Meat Made With Oil</t>
  </si>
  <si>
    <t>Egg Omelet Or Scrambled Egg With Meat Made With Butter</t>
  </si>
  <si>
    <t>Egg Omelet Or Scrambled Egg With Meat Made With Animal Fat Or Meat Drippings</t>
  </si>
  <si>
    <t>Egg Omelet Or Scrambled Egg With Meat Made With Cooking Spray</t>
  </si>
  <si>
    <t>Egg Omelet Or Scrambled Egg With Meat Ns As To Type Of Fat</t>
  </si>
  <si>
    <t>Egg Omelet Or Scrambled Egg With Meat Made Without Fat</t>
  </si>
  <si>
    <t>Egg Omelet Or Scrambled Egg With Cheese And Meat Ns As To Fat Added In Cooking</t>
  </si>
  <si>
    <t>Egg Omelet Or Scrambled Egg With Cheese And Meat Made With Margarine</t>
  </si>
  <si>
    <t>Egg Omelet Or Scrambled Egg With Cheese And Meat Made With Oil</t>
  </si>
  <si>
    <t>Egg Omelet Or Scrambled Egg With Cheese And Meat Made With Butter</t>
  </si>
  <si>
    <t>Egg Omelet Or Scrambled Egg With Cheese And Meat Made With Animal Fat Or Meat Drippings</t>
  </si>
  <si>
    <t>Egg Omelet Or Scrambled Egg With Cheese And Meat Made With Cooking Spray</t>
  </si>
  <si>
    <t>Egg Omelet Or Scrambled Egg With Cheese And Meat Ns As To Type Of Fat</t>
  </si>
  <si>
    <t>Egg Omelet Or Scrambled Egg With Cheese And Meat Made Without Fat</t>
  </si>
  <si>
    <t>Egg Omelet Or Scrambled Egg With Tomatoes Fat Added In Cooking</t>
  </si>
  <si>
    <t>Egg Omelet Or Scrambled Egg With Tomatoes Fat Not Added In Cooking</t>
  </si>
  <si>
    <t>Egg Omelet Or Scrambled Egg With Tomatoes Ns As To Fat Added In Cooking</t>
  </si>
  <si>
    <t>Egg Omelet Or Scrambled Egg With Dark-Green Vegetables Fat Added In Cooking</t>
  </si>
  <si>
    <t>Egg Omelet Or Scrambled Egg With Dark-Green Vegetables Fat Not Added In Cooking</t>
  </si>
  <si>
    <t>Egg Omelet Or Scrambled Egg With Dark-Green Vegetables Ns As To Fat Added In Cooking</t>
  </si>
  <si>
    <t>Egg Omelet Or Scrambled Egg With Tomatoes And Dark-Green Vegetables Fat Added In Cooking</t>
  </si>
  <si>
    <t>Egg Omelet Or Scrambled Egg With Tomatoes And Dark-Green Vegetables Fat Not Added In Cooking</t>
  </si>
  <si>
    <t>Egg Omelet Or Scrambled Egg With Tomatoes And Dark-Green Vegetables Ns As To Fat Added In Cooking</t>
  </si>
  <si>
    <t>Egg Omelet Or Scrambled Egg With Vegetables Other Than Dark Green And/or Tomatoes Fat Added In Cooking</t>
  </si>
  <si>
    <t>Egg Omelet Or Scrambled Egg With Vegetables Other Than Dark Green And/or Tomatoes Fat Not Added In Cooking</t>
  </si>
  <si>
    <t>Egg Omelet Or Scrambled Egg With Vegetables Other Than Dark Green And/or Tomatoes Ns As To Fat Added In Cooking</t>
  </si>
  <si>
    <t>Egg Omelet Or Scrambled Egg With Cheese And Tomatoes Fat Added In Cooking</t>
  </si>
  <si>
    <t>Egg Omelet Or Scrambled Egg With Cheese And Tomatoes Fat Not Added In Cooking</t>
  </si>
  <si>
    <t>Egg Omelet Or Scrambled Egg With Cheese And Tomatoes Ns As To Fat Added In Cooking</t>
  </si>
  <si>
    <t>Egg Omelet Or Scrambled Egg With Cheese And Dark-Green Vegetables Fat Added In Cooking</t>
  </si>
  <si>
    <t>Egg Omelet Or Scrambled Egg With Cheese And Dark-Green Vegetables Fat Not Added In Cooking</t>
  </si>
  <si>
    <t>Egg Omelet Or Scrambled Egg With Cheese And Dark-Green Vegetables Ns As To Fat Added In Cooking</t>
  </si>
  <si>
    <t>Egg Omelet Or Scrambled Egg With Cheese Tomatoes And Dark-Green Vegetables Fat Added In Cooking</t>
  </si>
  <si>
    <t>Egg Omelet Or Scrambled Egg With Cheese Tomatoes And Dark-Green Vegetables Fat Not Added In Cooking</t>
  </si>
  <si>
    <t>Egg Omelet Or Scrambled Egg With Cheese Tomatoes And Dark-Green Vegetables Ns As To Fat Added In Cooking</t>
  </si>
  <si>
    <t>Egg Omelet Or Scrambled Egg With Cheese And Vegetables Other Than Dark Green And/or Tomatoes Fat Added In Cooking</t>
  </si>
  <si>
    <t>Egg Omelet Or Scrambled Egg With Cheese And Vegetables Other Than Dark Green And/or Tomatoes Fat Not Added In Cooking</t>
  </si>
  <si>
    <t>Egg Omelet Or Scrambled Egg With Cheese And Vegetables Other Than Dark Green And/or Tomatoes Ns As To Fat Added In Cooking</t>
  </si>
  <si>
    <t>Egg Omelet Or Scrambled Egg With Meat And Tomatoes Fat Added In Cooking</t>
  </si>
  <si>
    <t>Egg Omelet Or Scrambled Egg With Meat And Tomatoes Fat Not Added In Cooking</t>
  </si>
  <si>
    <t>Egg Omelet Or Scrambled Egg With Meat And Tomatoes Ns As To Fat Added In Cooking</t>
  </si>
  <si>
    <t>Egg Omelet Or Scrambled Egg With Meat And Dark-Green Vegetables Fat Added In Cooking</t>
  </si>
  <si>
    <t>Egg Omelet Or Scrambled Egg With Meat And Dark-Green Vegetables Fat Not Added In Cooking</t>
  </si>
  <si>
    <t>Egg Omelet Or Scrambled Egg With Meat And Dark-Green Vegetables Ns As To Fat Added In Cooking</t>
  </si>
  <si>
    <t>Egg Omelet Or Scrambled Egg With Meat Tomatoes And Dark-Green Vegetables Fat Added In Cooking</t>
  </si>
  <si>
    <t>Egg Omelet Or Scrambled Egg With Meat Tomatoes And Dark-Green Vegetables Fat Not Added In Cooking</t>
  </si>
  <si>
    <t>Egg Omelet Or Scrambled Egg With Meat Tomatoes And Dark-Green Vegetables Ns As To Fat Added In Cooking</t>
  </si>
  <si>
    <t>Egg Omelet Or Scrambled Egg With Meat And Vegetables Other Than Dark-Green And/or Tomatoes Fat Added In Cooking</t>
  </si>
  <si>
    <t>Egg Omelet Or Scrambled Egg With Meat And Vegetables Other Than Dark-Green And/or Tomatoes Fat Not Added In Cooking</t>
  </si>
  <si>
    <t>Egg Omelet Or Scrambled Egg With Meat And Vegetables Other Than Dark-Green And/or Tomatoes Ns As To Fat Added In Cooking</t>
  </si>
  <si>
    <t>Egg Omelet Or Scrambled Egg With Cheese Meat And Tomatoes Fat Added In Cooking</t>
  </si>
  <si>
    <t>Egg Omelet Or Scrambled Egg With Cheese Meat And Tomatoes Fat Not Added In Cooking</t>
  </si>
  <si>
    <t>Egg Omelet Or Scrambled Egg With Cheese Meat And Tomatoes Ns As To Fat Added In Cooking</t>
  </si>
  <si>
    <t>Egg Omelet Or Scrambled Egg With Cheese Meat And Dark-Green Vegetables Fat Added In Cooking</t>
  </si>
  <si>
    <t>Egg Omelet Or Scrambled Egg With Cheese Meat And Dark-Green Vegetables Fat Not Added In Cooking</t>
  </si>
  <si>
    <t>Egg Omelet Or Scrambled Egg With Cheese Meat And Dark-Green Vegetables Ns As To Fat Added In Cooking</t>
  </si>
  <si>
    <t>Egg Omelet Or Scrambled Egg With Cheese Meat Tomatoes And Dark-Green Vegetables Fat Added In Cooking</t>
  </si>
  <si>
    <t>Egg Omelet Or Scrambled Egg With Cheese Meat Tomatoes And Dark-Green Vegetables Fat Not Added In Cooking</t>
  </si>
  <si>
    <t>Egg Omelet Or Scrambled Egg With Cheese Meat Tomatoes And Dark-Green Vegetables Ns As To Fat Added In Cooking</t>
  </si>
  <si>
    <t>Egg Omelet Or Scrambled Egg With Cheese Meat And Vegetables Other Than Dark-Green And/or Tomatoes Fat Added In Cooking</t>
  </si>
  <si>
    <t>Egg Omelet Or Scrambled Egg With Cheese Meat And Vegetables Other Than Dark-Green And/or Tomatoes Fat Not Added In Cooking</t>
  </si>
  <si>
    <t>Egg Omelet Or Scrambled Egg With Cheese Meat And Vegetables Other Than Dark-Green And/or Tomatoes Ns As To Fat Added In Cooking</t>
  </si>
  <si>
    <t>Egg Omelet Or Scrambled Egg With Potatoes And/or Onions Fat Added In Cooking</t>
  </si>
  <si>
    <t>Egg Omelet Or Scrambled Egg With Potatoes And/or Onions Fat Not Added In Cooking</t>
  </si>
  <si>
    <t>Egg Omelet Or Scrambled Egg With Potatoes And/or Onions Ns As To Fat Added In Cooking</t>
  </si>
  <si>
    <t>Fried Egg Sandwich</t>
  </si>
  <si>
    <t>Egg Cheese Ham And Bacon On Bun</t>
  </si>
  <si>
    <t>Egg Cheese And Ham On Biscuit</t>
  </si>
  <si>
    <t>Egg Cheese And Ham On Bagel</t>
  </si>
  <si>
    <t>Egg Cheese And Sausage On Bun</t>
  </si>
  <si>
    <t>Egg Extra Cheese And Extra Sausage On Bun</t>
  </si>
  <si>
    <t>Egg Cheese And Beef On English Muffin</t>
  </si>
  <si>
    <t>Egg Cheese And Bacon On Bagel</t>
  </si>
  <si>
    <t>Egg And Steak On Biscuit</t>
  </si>
  <si>
    <t>Egg And Cheese On Biscuit</t>
  </si>
  <si>
    <t>Egg Salad Sandwich</t>
  </si>
  <si>
    <t>Scrambled Egg Sandwich</t>
  </si>
  <si>
    <t>Garlic Egg Soup Puerto Rican Style</t>
  </si>
  <si>
    <t>Egg White Omelet Scrambled Or Fried Ns As To Fat Added In Cooking</t>
  </si>
  <si>
    <t>Egg White Omelet Scrambled Or Fried Made With Margarine</t>
  </si>
  <si>
    <t>Egg White Omelet Scrambled Or Fried Made With Oil</t>
  </si>
  <si>
    <t>Egg White Omelet Scrambled Or Fried Made With Butter</t>
  </si>
  <si>
    <t>Egg White Omelet Scrambled Or Fried Made With Cooking Spray</t>
  </si>
  <si>
    <t>Egg White Omelet Scrambled Or Fried Ns As To Type Of Fat</t>
  </si>
  <si>
    <t>Egg White Omelet Scrambled Or Fried Made Without Fat</t>
  </si>
  <si>
    <t>Egg White Omelet Scrambled Or Fried With Cheese Fat Added In Cooking</t>
  </si>
  <si>
    <t>Egg White Omelet Scrambled Or Fried With Cheese Fat Not Added In Cooking</t>
  </si>
  <si>
    <t>Egg White Omelet Scrambled Or Fried With Cheese Ns As To Fat Added In Cooking</t>
  </si>
  <si>
    <t>Egg White Omelet Scrambled Or Fried With Meat Fat Added In Cooking</t>
  </si>
  <si>
    <t>Egg White Omelet Scrambled Or Fried With Meat Fat Not Added In Cooking</t>
  </si>
  <si>
    <t>Egg White Omelet Scrambled Or Fried With Meat Ns As To Fat Added In Cooking</t>
  </si>
  <si>
    <t>Egg White Omelet Scrambled Or Fried With Vegetables Fat Added In Cooking</t>
  </si>
  <si>
    <t>Egg White Omelet Scrambled Or Fried With Vegetables Fat Not Added In Cooking</t>
  </si>
  <si>
    <t>Egg White Omelet Scrambled Or Fried With Vegetables Ns As To Fat Added In Cooking</t>
  </si>
  <si>
    <t>Egg White Omelet Scrambled Or Fried With Cheese And Meat Fat Added In Cooking</t>
  </si>
  <si>
    <t>Egg White Omelet Scrambled Or Fried With Cheese And Meat Fat Not Added In Cooking</t>
  </si>
  <si>
    <t>Egg White Omelet Scrambled Or Fried With Cheese And Meat Ns As To Fat Added In Cooking</t>
  </si>
  <si>
    <t>Egg White Omelet Scrambled Or Fried With Cheese And Vegetables Fat Added In Cooking</t>
  </si>
  <si>
    <t>Egg White Omelet Scrambled Or Fried With Cheese And Vegetables Fat Not Added In Cooking</t>
  </si>
  <si>
    <t>Egg White Omelet Scrambled Or Fried With Cheese And Vegetables Ns As To Fat Added In Cooking</t>
  </si>
  <si>
    <t>Egg White Omelet Scrambled Or Fried With Meat And Vegetables Fat Added In Cooking</t>
  </si>
  <si>
    <t>Egg White Omelet Scrambled Or Fried With Meat And Vegetables Fat Not Added In Cooking</t>
  </si>
  <si>
    <t>Egg White Omelet Scrambled Or Fried With Meat And Vegetables Ns As To Fat Added In Cooking</t>
  </si>
  <si>
    <t>Egg White Omelet Scrambled Or Fried With Cheese Meat And Vegetables Fat Added In Cooking</t>
  </si>
  <si>
    <t>Egg White Omelet Scrambled Or Fried With Cheese Meat And Vegetables Fat Not Added In Cooking</t>
  </si>
  <si>
    <t>Egg White Omelet Scrambled Or Fried With Cheese Meat And Vegetables Ns As To Fat Added In Cooking</t>
  </si>
  <si>
    <t>Meringues</t>
  </si>
  <si>
    <t>Egg Substitute Omelet Scrambled Or Fried Ns As To Fat Added In Cooking</t>
  </si>
  <si>
    <t>Egg Substitute Omelet Scrambled Or Fried Made With Margarine</t>
  </si>
  <si>
    <t>Egg Substitute Omelet Scrambled Or Fried Made With Oil</t>
  </si>
  <si>
    <t>Egg Substitute Omelet Scrambled Or Fried Made With Butter</t>
  </si>
  <si>
    <t>Egg Substitute Omelet Scrambled Or Fried Ns As To Type Of Fat</t>
  </si>
  <si>
    <t>Egg Substitute Omelet Scrambled Or Fried Made With Cooking Spray</t>
  </si>
  <si>
    <t>Egg Substitute Omelet Scrambled Or Fried Made Without Fat</t>
  </si>
  <si>
    <t>Egg Substitute Cheese Flavored Omelet Scrambled Or Fried Fat Added In Cooking</t>
  </si>
  <si>
    <t>Egg Substitute Cheese Flavored Omelet Scrambled Or Fried Fat Not Added In Cooking</t>
  </si>
  <si>
    <t>Egg Substitute Cheese Flavored Omelet Scrambled Or Fried Ns As To Fat Added In Cooking</t>
  </si>
  <si>
    <t>Egg Substitute Vegetable Flavored Omelet Scrambled Or Fried Fat Added In Cooking</t>
  </si>
  <si>
    <t>Egg Substitute Vegetable Flavored Omelet Scrambled Or Fried Fat Not Added In Cooking</t>
  </si>
  <si>
    <t>Egg Substitute Vegetable Flavored Omelet Scrambled Or Fried Ns As To Fat Added In Cooking</t>
  </si>
  <si>
    <t>Egg Substitute Omelet Scrambled Or Fried With Cheese Fat Added In Cooking</t>
  </si>
  <si>
    <t>Egg Substitute Omelet Scrambled Or Fried With Cheese Fat Not Added In Cooking</t>
  </si>
  <si>
    <t>Egg Substitute Omelet Scrambled Or Fried With Cheese Ns As To Fat Added In Cooking</t>
  </si>
  <si>
    <t>Egg Substitute Omelet Scrambled Or Fried With Meat Fat Added In Cooking</t>
  </si>
  <si>
    <t>Egg Substitute Omelet Scrambled Or Fried With Meat Fat Not Added In Cooking</t>
  </si>
  <si>
    <t>Egg Substitute Omelet Scrambled Or Fried With Meat Ns As To Fat Added In Cooking</t>
  </si>
  <si>
    <t>Egg Substitute Omelet Scrambled Or Fried With Vegetables Fat Added In Cooking</t>
  </si>
  <si>
    <t>Egg Substitute Omelet Scrambled Or Fried With Vegetables Fat Not Added In Cooking</t>
  </si>
  <si>
    <t>Egg Substitute Omelet Scrambled Or Fried With Vegetables Ns As To Fat Added In Cooking</t>
  </si>
  <si>
    <t>Egg Substitute Omelet Scrambled Or Fried With Cheese And Meat Fat Added In Cooking</t>
  </si>
  <si>
    <t>Egg Substitute Omelet Scrambled Or Fried With Cheese And Meat Fat Not Added In Cooking</t>
  </si>
  <si>
    <t>Egg Substitute Omelet Scrambled Or Fried With Cheese And Meat Ns As To Fat Added In Cooking</t>
  </si>
  <si>
    <t>Egg Substitute Omelet Scrambled Or Fried With Cheese And Vegetables Fat Added In Cooking</t>
  </si>
  <si>
    <t>Egg Substitute Omelet Scrambled Or Fried With Cheese And Vegetables Fat Not Added In Cooking</t>
  </si>
  <si>
    <t>Egg Substitute Omelet Scrambled Or Fried With Cheese And Vegetables Ns As To Fat Added In Cooking</t>
  </si>
  <si>
    <t>Egg Substitute Omelet Scrambled Or Fried With Meat And Vegetables Fat Added In Cooking</t>
  </si>
  <si>
    <t>Egg Substitute Omelet Scrambled Or Fried With Meat And Vegetables Fat Not Added In Cooking</t>
  </si>
  <si>
    <t>Egg Substitute Omelet Scrambled Or Fried With Meat And Vegetables Ns As To Fat Added In Cooking</t>
  </si>
  <si>
    <t>Egg Substitute Omelet Scrambled Or Fried With Cheese Meat And Vegetables Fat Added In Cooking</t>
  </si>
  <si>
    <t>Egg Substitute Omelet Scrambled Or Fried With Cheese Meat And Vegetables Fat Not Added In Cooking</t>
  </si>
  <si>
    <t>Egg Substitute Omelet Scrambled Or Fried With Cheese Meat And Vegetables Ns As To Fat Added In Cooking</t>
  </si>
  <si>
    <t>Beans Dry Cooked Ns As To Type And As To Fat Added In Cooking</t>
  </si>
  <si>
    <t>Beans Dry Cooked Ns As To Type Fat Added In Cooking</t>
  </si>
  <si>
    <t>Beans Dry Cooked Ns As To Type Fat Not Added In Cooking</t>
  </si>
  <si>
    <t>Beans Canned Drained Ns As To Type And As To Fat Added In Cooking</t>
  </si>
  <si>
    <t>Beans Canned Drained Ns As To Type Fat Added In Cooking</t>
  </si>
  <si>
    <t>Beans Canned Drained Ns As To Type Fat Not Added In Cooking</t>
  </si>
  <si>
    <t>White Beans Dry Cooked Ns As To Fat Added In Cooking</t>
  </si>
  <si>
    <t>White Beans Dry Cooked Fat Added In Cooking Ns As To Type Of Fat</t>
  </si>
  <si>
    <t>White Beans Dry Cooked Made With Oil</t>
  </si>
  <si>
    <t>White Beans Dry Cooked Made With Animal Fat Or Meat Drippings</t>
  </si>
  <si>
    <t>White Beans Dry Cooked Made With Margarine</t>
  </si>
  <si>
    <t>White Beans Dry Cooked Fat Not Added In Cooking</t>
  </si>
  <si>
    <t>White Beans Canned Drained Fat Added In Cooking Ns As To Type Of Fat</t>
  </si>
  <si>
    <t>White Beans Canned Drained Made With Oil</t>
  </si>
  <si>
    <t>White Beans Canned Drained Fat Not Added In Cooking</t>
  </si>
  <si>
    <t>White Beans Canned Drained Low Sodium Ns As To Fat Added In Cooking</t>
  </si>
  <si>
    <t>White Beans Canned Drained Low Sodium Fat Added In Cooking</t>
  </si>
  <si>
    <t>White Beans Canned Drained Low Sodium Fat Not Added In Cooking</t>
  </si>
  <si>
    <t>Black Brown Or Bayo Beans Dry Cooked Ns As To Fat Added In Cooking</t>
  </si>
  <si>
    <t>Black Brown Or Bayo Beans Dry Cooked Fat Added In Cooking Ns As To Type Of Fat</t>
  </si>
  <si>
    <t>Black Brown Or Bayo Beans Dry Cooked Made With Oil</t>
  </si>
  <si>
    <t>Black Brown Or Bayo Beans Dry Cooked Made With Animal Fat Or Meat Drippings</t>
  </si>
  <si>
    <t>Black Brown Or Bayo Beans Dry Cooked Made With Margarine</t>
  </si>
  <si>
    <t>Black Brown Or Bayo Beans Dry Cooked Fat Not Added In Cooking</t>
  </si>
  <si>
    <t>Black Brown Or Bayo Beans Canned Drained Ns As To Fat Added In Cooking</t>
  </si>
  <si>
    <t>Black Brown Or Bayo Beans Canned Drained Fat Added In Cooking Ns As To Type Of Fat</t>
  </si>
  <si>
    <t>Black Brown Or Bayo Beans Canned Drained Made With Oil</t>
  </si>
  <si>
    <t>Black Brown Or Bayo Beans Canned Drained Made With Animal Fat Or Meat Drippings</t>
  </si>
  <si>
    <t>Black Brown Or Bayo Beans Canned Drained Made With Margarine</t>
  </si>
  <si>
    <t>Black Brown Or Bayo Beans Canned Drained Fat Not Added In Cooking</t>
  </si>
  <si>
    <t>Black Brown Or Bayo Beans Canned Drained Low Sodium Ns As To Fat Added In Cooking</t>
  </si>
  <si>
    <t>Black Brown Or Bayo Beans Canned Drained Low Sodium Fat Added In Cooking</t>
  </si>
  <si>
    <t>Black Brown Or Bayo Beans Canned Drained Low Sodium Fat Not Added In Cooking</t>
  </si>
  <si>
    <t>Fava Beans Dry Cooked Ns As To Fat Added In Cooking</t>
  </si>
  <si>
    <t>Fava Beans Dry Cooked Fat Added In Cooking</t>
  </si>
  <si>
    <t>Fava Beans Dry Cooked Fat Not Added In Cooking</t>
  </si>
  <si>
    <t>Fava Beans Canned Drained Fat Added In Cooking</t>
  </si>
  <si>
    <t>Lima Beans Dry Cooked Ns As To Fat Added In Cooking</t>
  </si>
  <si>
    <t>Lima Beans Dry Cooked Fat Added In Cooking Ns As To Type Of Fat</t>
  </si>
  <si>
    <t>Lima Beans Dry Cooked Made With Oil</t>
  </si>
  <si>
    <t>Lima Beans Dry Cooked Made With Animal Fat Or Meat Drippings</t>
  </si>
  <si>
    <t>Lima Beans Dry Cooked Made With Margarine</t>
  </si>
  <si>
    <t>Lima Beans Dry Cooked Fat Not Added In Cooking</t>
  </si>
  <si>
    <t>Pink Beans Dry Cooked Ns As To Fat Added In Cooking</t>
  </si>
  <si>
    <t>Pink Beans Dry Cooked Fat Not Added In Cooking</t>
  </si>
  <si>
    <t>Pink Beans Dry Cooked Fat Added In Cooking</t>
  </si>
  <si>
    <t>Pink Beans Canned Drained Fat Added In Cooking</t>
  </si>
  <si>
    <t>Pink Beans Canned Drained Fat Not Added In Cooking</t>
  </si>
  <si>
    <t>Pinto Calico Or Red Mexican Beans Dry Cooked Ns As To Fat Added In Cooking</t>
  </si>
  <si>
    <t>Pinto Calico Or Red Mexican Beans Dry Cooked Fat Added In Cooking Ns As To Type Of Fat</t>
  </si>
  <si>
    <t>Pinto Calico Or Red Mexican Beans Dry Cooked Made With Oil</t>
  </si>
  <si>
    <t>Pinto Calico Or Red Mexican Beans Dry Cooked Made With Animal Fat Or Meat Drippings</t>
  </si>
  <si>
    <t>Pinto Calico Or Red Mexican Beans Dry Cooked Made With Margarine</t>
  </si>
  <si>
    <t>Pinto Calico Or Red Mexican Beans Dry Cooked Fat Not Added In Cooking</t>
  </si>
  <si>
    <t>Pinto Calico Or Red Mexican Beans Canned Drained Ns As To Fat Added In Cooking</t>
  </si>
  <si>
    <t>Pinto Calico Or Red Mexican Beans Canned Drained Fat Added In Cooking Ns As To Type Of Fat</t>
  </si>
  <si>
    <t>Pinto Calico Or Red Mexican Beans Canned Drained Made With Oil</t>
  </si>
  <si>
    <t>Pinto Calico Or Red Mexican Beans Canned Drained Made With Animal Fat Or Meat Drippings</t>
  </si>
  <si>
    <t>Pinto Calico Or Red Mexican Beans Canned Drained Made With Margarine</t>
  </si>
  <si>
    <t>Pinto Calico Or Red Mexican Beans Canned Drained Fat Not Added In Cooking</t>
  </si>
  <si>
    <t>Pinto Calico Or Red Mexican Beans Canned Drained Low Sodium Ns As To Fat Added In Cooking</t>
  </si>
  <si>
    <t>Pinto Calico Or Red Mexican Beans Canned Drained Low Sodium Fat Added In Cooking</t>
  </si>
  <si>
    <t>Pinto Calico Or Red Mexican Beans Canned Drained Low Sodium Fat Not Added In Cooking</t>
  </si>
  <si>
    <t>Red Kidney Beans Dry Cooked Ns As To Fat Added In Cooking</t>
  </si>
  <si>
    <t>Red Kidney Beans Dry Cooked Fat Added In Cooking Ns As To Type Of Fat</t>
  </si>
  <si>
    <t>Red Kidney Beans Dry Cooked Made With Oil</t>
  </si>
  <si>
    <t>Red Kidney Beans Dry Cooked Made With Animal Fat Or Meat Drippings</t>
  </si>
  <si>
    <t>Red Kidney Beans Dry Cooked Made With Margarine</t>
  </si>
  <si>
    <t>Red Kidney Beans Dry Cooked Fat Not Added In Cooking</t>
  </si>
  <si>
    <t>Red Kidney Beans Canned Drained Fat Added In Cooking Ns As To Type Of Fat</t>
  </si>
  <si>
    <t>Red Kidney Beans Canned Drained Made With Oil</t>
  </si>
  <si>
    <t>Red Kidney Beans Canned Drained Fat Not Added In Cooking</t>
  </si>
  <si>
    <t>Red Kidney Beans Canned Drained Low Sodium Ns As To Fat Added In Cooking</t>
  </si>
  <si>
    <t>Red Kidney Beans Canned Drained Low Sodium Fat Added In Cooking</t>
  </si>
  <si>
    <t>Red Kidney Beans Canned Drained Low Sodium Fat Not Added In Cooking</t>
  </si>
  <si>
    <t>Yellow Canary Or Peruvian Beans Dry Cooked Ns As To Fat Added In Cooking</t>
  </si>
  <si>
    <t>Yellow Canary Or Peruvian Beans Dry Cooked Fat Added In Cooking Ns As To Type Of Fat</t>
  </si>
  <si>
    <t>Yellow Canary Or Peruvian Beans Dry Cooked Made With Oil</t>
  </si>
  <si>
    <t>Yellow Canary Or Peruvian Beans Dry Cooked Made With Animal Fat Or Meat Drippings</t>
  </si>
  <si>
    <t>Yellow Canary Or Peruvian Beans Dry Cooked Made With Margarine</t>
  </si>
  <si>
    <t>Yellow Canary Or Peruvian Beans Dry Cooked Fat Not Added In Cooking</t>
  </si>
  <si>
    <t>Yellow Canary Or Peruvian Beans Canned Drained Fat Added In Cooking Ns As To Type Of Fat</t>
  </si>
  <si>
    <t>Soybeans Dry Cooked Fat Not Added In Cooking</t>
  </si>
  <si>
    <t>Soybeans Dry Cooked Fat Added In Cooking</t>
  </si>
  <si>
    <t>Soybeans Dry Cooked Ns As To Fat Added In Cooking</t>
  </si>
  <si>
    <t>Mung Beans Dry Cooked Fat Not Added In Cooking</t>
  </si>
  <si>
    <t>Mung Beans Dry Cooked Fat Added In Cooking</t>
  </si>
  <si>
    <t>Mung Beans Dry Cooked Ns As To Fat Added In Cooking</t>
  </si>
  <si>
    <t>Mung Beans Canned Drained Ns As To Fat Added In Cooking</t>
  </si>
  <si>
    <t>Beans And Tomatoes Ns As To Fat Added In Cooking</t>
  </si>
  <si>
    <t>Beans And Tomatoes Fat Not Added In Cooking</t>
  </si>
  <si>
    <t>Beans And Tomatoes Fat Added In Cooking</t>
  </si>
  <si>
    <t>Black Bean Salad</t>
  </si>
  <si>
    <t>Refried Beans Fat Added In Cooking Ns As To Type Of Fat</t>
  </si>
  <si>
    <t>Refried Beans Made With Oil</t>
  </si>
  <si>
    <t>Refried Beans Made With Animal Fat Or Meat Drippings</t>
  </si>
  <si>
    <t>Refried Beans Made With Margarine</t>
  </si>
  <si>
    <t>Refried Beans Ns As To Fat Added In Cooking</t>
  </si>
  <si>
    <t>Refried Beans With Cheese</t>
  </si>
  <si>
    <t>Refried Beans With Meat</t>
  </si>
  <si>
    <t>Layer Dip</t>
  </si>
  <si>
    <t>Hummus Plain</t>
  </si>
  <si>
    <t>Hummus Flavored</t>
  </si>
  <si>
    <t>Black Bean Sauce</t>
  </si>
  <si>
    <t>Beans And Franks</t>
  </si>
  <si>
    <t>Beans Dry Cooked With Ground Beef</t>
  </si>
  <si>
    <t>Beans Dry Cooked With Pork</t>
  </si>
  <si>
    <t>Bean Cake</t>
  </si>
  <si>
    <t>Stewed Beans With Pork Tomatoes And Chili Peppers Mexican Style</t>
  </si>
  <si>
    <t>Stewed Red Beans Puerto Rican Style</t>
  </si>
  <si>
    <t>Stewed Pink Beans With White Potatoes And Ham Puerto Rican Style</t>
  </si>
  <si>
    <t>Stewed Pink Beans With Pig's Feet Puerto Rican Style</t>
  </si>
  <si>
    <t>Stewed Red Beans With Pig's Feet Puerto Rican Style</t>
  </si>
  <si>
    <t>Stewed Red Beans With Pig's Feet And Potatoes Puerto Rican Style</t>
  </si>
  <si>
    <t>Black Beans Cuban Style</t>
  </si>
  <si>
    <t>Chili With Beans Without Meat</t>
  </si>
  <si>
    <t>Cowpeas Dry Cooked Ns As To Fat Added In Cooking</t>
  </si>
  <si>
    <t>Cowpeas Dry Cooked Fat Added In Cooking</t>
  </si>
  <si>
    <t>Cowpeas Dry Cooked Fat Not Added In Cooking</t>
  </si>
  <si>
    <t>Chickpeas Dry Cooked Ns As To Fat Added In Cooking</t>
  </si>
  <si>
    <t>Chickpeas Dry Cooked Fat Added In Cooking Ns As To Type Of Fat</t>
  </si>
  <si>
    <t>Chickpeas Dry Cooked Made With Oil</t>
  </si>
  <si>
    <t>Chickpeas Dry Cooked Made With Animal Fat Or Meat Drippings</t>
  </si>
  <si>
    <t>Chickpeas Dry Cooked Made With Margarine</t>
  </si>
  <si>
    <t>Chickpeas Dry Cooked Fat Not Added In Cooking</t>
  </si>
  <si>
    <t>Chickpeas Canned Drained Ns As To Fat Added In Cooking</t>
  </si>
  <si>
    <t>Chickpeas Canned Drained Fat Added In Cooking Ns As To Type Of Fat</t>
  </si>
  <si>
    <t>Chickpeas Canned Drained Made With Oil</t>
  </si>
  <si>
    <t>Chickpeas Canned Drained Fat Not Added In Cooking</t>
  </si>
  <si>
    <t>Chickpeas Canned Drained Low Sodium Ns As To Fat Added In Cooking</t>
  </si>
  <si>
    <t>Chickpeas Canned Drained Low Sodium Fat Added In Cooking</t>
  </si>
  <si>
    <t>Chickpeas Canned Drained Low Sodium Fat Not Added In Cooking</t>
  </si>
  <si>
    <t>Green Or Yellow Split Peas Dry Cooked Fat Not Added In Cooking</t>
  </si>
  <si>
    <t>Green Or Yellow Split Peas Dry Cooked Fat Added In Cooking Ns As To Type Of Fat</t>
  </si>
  <si>
    <t>Green Or Yellow Split Peas Dry Cooked Made With Oil</t>
  </si>
  <si>
    <t>Green Or Yellow Split Peas Dry Cooked Made With Animal Fat Or Meat Drippings</t>
  </si>
  <si>
    <t>Green Or Yellow Split Peas Dry Cooked Made With Margarine</t>
  </si>
  <si>
    <t>Green Or Yellow Split Peas Dry Cooked Ns As To Fat Added In Cooking</t>
  </si>
  <si>
    <t>Peas Dry Cooked With Pork</t>
  </si>
  <si>
    <t>Cowpeas Dry Cooked With Pork</t>
  </si>
  <si>
    <t>Lentils Dry Cooked Ns As To Fat Added In Cooking</t>
  </si>
  <si>
    <t>Lentils Dry Cooked Fat Added In Cooking Ns As To Type Of Fat</t>
  </si>
  <si>
    <t>Lentils Dry Cooked Made With Oil</t>
  </si>
  <si>
    <t>Lentils Dry Cooked Made With Animal Fat Or Meat Drippings</t>
  </si>
  <si>
    <t>Lentils Dry Cooked Made With Margarine</t>
  </si>
  <si>
    <t>Lentils Dry Cooked Fat Not Added In Cooking</t>
  </si>
  <si>
    <t>Loaf Lentil</t>
  </si>
  <si>
    <t>Stewed Chickpeas Puerto Rican Style</t>
  </si>
  <si>
    <t>Stewed Chickpeas With Potatoes Puerto Rican Style</t>
  </si>
  <si>
    <t>Chickpeas Stewed With Pig's Feet Puerto Rican Style</t>
  </si>
  <si>
    <t>Stewed Chickpeas With Spanish Sausages Puerto Rican Style</t>
  </si>
  <si>
    <t>Fried Chickpeas With Bacon Puerto Rican Style</t>
  </si>
  <si>
    <t>Bean Chips</t>
  </si>
  <si>
    <t>Sambar Vegetable Stew</t>
  </si>
  <si>
    <t>Miso Sauce</t>
  </si>
  <si>
    <t>Soybean Curd Breaded Fried</t>
  </si>
  <si>
    <t>Vermicelli Made From Soybeans</t>
  </si>
  <si>
    <t>Tofu Frozen Dessert Flavors Other Than Chocolate</t>
  </si>
  <si>
    <t>Tofu Frozen Dessert Chocolate</t>
  </si>
  <si>
    <t>Bean Soup Nfs</t>
  </si>
  <si>
    <t>Bean With Bacon Or Ham Soup Canned Or Ready-To-Serve</t>
  </si>
  <si>
    <t>Lima Bean Soup Home Recipe Canned Or Ready-To-Serve</t>
  </si>
  <si>
    <t>Soybean Soup Miso Broth</t>
  </si>
  <si>
    <t>Pinto Bean Soup Home Recipe Canned Or Ready-To-Serve</t>
  </si>
  <si>
    <t>Bean Soup With Macaroni Home Recipe Canned Or Ready-To-Serve</t>
  </si>
  <si>
    <t>Portuguese Bean Soup Home Recipe Canned Or Ready-To-Serve</t>
  </si>
  <si>
    <t>Bean Soup Mixed Beans Home Recipe Canned Or Ready-To-Serve</t>
  </si>
  <si>
    <t>Bean Soup Home Recipe</t>
  </si>
  <si>
    <t>Bean And Ham Soup Home Recipe</t>
  </si>
  <si>
    <t>Garbanzo Bean Or Chickpea Soup Home Recipe Canned Or Ready-To-Serve</t>
  </si>
  <si>
    <t>Lentil Soup Home Recipe Canned Or Ready-To-Serve</t>
  </si>
  <si>
    <t>Swiss Steak With Gravy Meatless</t>
  </si>
  <si>
    <t>Vegetarian Pot Pie</t>
  </si>
  <si>
    <t>Vegetarian Chili Made With Meat Substitute</t>
  </si>
  <si>
    <t>Tofu And Vegetables Including Carrots Broccoli And/or Dark-Green Leafy; No Potatoes With Soy-Based Sauce</t>
  </si>
  <si>
    <t>Tofu And Vegetables Excluding Carrots Broccoli And Dark-Green Leafy; No Potatoes With Soy-Based Sauce</t>
  </si>
  <si>
    <t>Vegetarian Stew</t>
  </si>
  <si>
    <t>Vegetarian Stroganoff</t>
  </si>
  <si>
    <t>Soyburger Meatless With Cheese On Bun</t>
  </si>
  <si>
    <t>Nuts Nfs</t>
  </si>
  <si>
    <t>Almonds Salted</t>
  </si>
  <si>
    <t>Almonds Unsalted</t>
  </si>
  <si>
    <t>Almonds Flavored</t>
  </si>
  <si>
    <t>Almonds Honey Roasted</t>
  </si>
  <si>
    <t>Cashews Lightly Salted</t>
  </si>
  <si>
    <t>Cashews Unsalted</t>
  </si>
  <si>
    <t>Mixed Nuts Nfs</t>
  </si>
  <si>
    <t>Mixed Nuts Unroasted</t>
  </si>
  <si>
    <t>Mixed Nuts With Peanuts Unsalted</t>
  </si>
  <si>
    <t>Mixed Nuts Without Peanuts Salted</t>
  </si>
  <si>
    <t>Mixed Nuts Without Peanuts Unsalted</t>
  </si>
  <si>
    <t>Mixed Nuts Honey Roasted</t>
  </si>
  <si>
    <t>Peanuts Dry Roasted Lightly Salted</t>
  </si>
  <si>
    <t>Pecans Salted</t>
  </si>
  <si>
    <t>Pecans Unsalted</t>
  </si>
  <si>
    <t>Pecans Honey Roasted</t>
  </si>
  <si>
    <t>Pistachio Nuts Salted</t>
  </si>
  <si>
    <t>Pistachio Nuts Lightly Salted</t>
  </si>
  <si>
    <t>Pistachio Nuts Unsalted</t>
  </si>
  <si>
    <t>Walnuts Honey Roasted</t>
  </si>
  <si>
    <t>Peanut Butter Lower Sodium And Lower Sugar</t>
  </si>
  <si>
    <t>Peanut Butter And Jelly</t>
  </si>
  <si>
    <t>Peanut Butter And Chocolate Spread</t>
  </si>
  <si>
    <t>Brown Nut Gravy Meatless</t>
  </si>
  <si>
    <t>Peanut Butter Sandwich Nfs</t>
  </si>
  <si>
    <t>Peanut Butter Sandwich With Regular Peanut Butter On White Bread</t>
  </si>
  <si>
    <t>Peanut Butter Sandwich With Regular Peanut Butter On Wheat Bread</t>
  </si>
  <si>
    <t>Peanut Butter Sandwich With Regular Peanut Butter On Whole Wheat Bread</t>
  </si>
  <si>
    <t>Peanut Butter Sandwich With Reduced Fat Peanut Butter On White Bread</t>
  </si>
  <si>
    <t>Peanut Butter Sandwich With Reduced Fat Peanut Butter On Wheat Bread</t>
  </si>
  <si>
    <t>Peanut Butter Sandwich With Reduced Fat Peanut Butter On Whole Wheat Bread</t>
  </si>
  <si>
    <t>Peanut Butter And Jelly Sandwich Nfs</t>
  </si>
  <si>
    <t>Peanut Butter And Jelly Sandwich With Regular Peanut Butter Regular Jelly On White Bread</t>
  </si>
  <si>
    <t>Peanut Butter And Jelly Sandwich With Regular Peanut Butter Regular Jelly On Wheat Bread</t>
  </si>
  <si>
    <t>Peanut Butter And Jelly Sandwich With Regular Peanut Butter Regular Jelly On Whole Wheat Bread</t>
  </si>
  <si>
    <t>Peanut Butter And Jelly Sandwich With Reduced Fat Peanut Butter Regular Jelly On White Bread</t>
  </si>
  <si>
    <t>Peanut Butter And Jelly Sandwich With Reduced Fat Peanut Butter Regular Jelly On Wheat Bread</t>
  </si>
  <si>
    <t>Peanut Butter And Jelly Sandwich With Reduced Fat Peanut Butter Regular Jelly On Whole Wheat Bread</t>
  </si>
  <si>
    <t>Peanut Butter And Jelly Sandwich With Regular Peanut Butter Reduced Sugar Jelly On White Bread</t>
  </si>
  <si>
    <t>Peanut Butter And Jelly Sandwich With Regular Peanut Butter Reduced Sugar Jelly On Wheat Bread</t>
  </si>
  <si>
    <t>Peanut Butter And Jelly Sandwich With Regular Peanut Butter Reduced Sugar Jelly On Whole Wheat Bread</t>
  </si>
  <si>
    <t>Peanut Butter And Jelly Sandwich With Reduced Fat Peanut Butter Reduced Sugar Jelly On White Bread</t>
  </si>
  <si>
    <t>Peanut Butter And Jelly Sandwich With Reduced Fat Peanut Butter Reduced Sugar Jelly On Wheat Bread</t>
  </si>
  <si>
    <t>Peanut Butter And Jelly Sandwich With Reduced Fat Peanut Butter Reduced Sugar Jelly On Whole Wheat Bread</t>
  </si>
  <si>
    <t>Peanut Butter And Jelly Sandwich Frozen Commercial Product Without Crusts</t>
  </si>
  <si>
    <t>Yogurt Coconut Milk</t>
  </si>
  <si>
    <t>Coconut Water Sweetened</t>
  </si>
  <si>
    <t>Trail Mix Nfs</t>
  </si>
  <si>
    <t>Trail Mix With Nuts</t>
  </si>
  <si>
    <t>Trail Mix With Nuts And Fruit</t>
  </si>
  <si>
    <t>Trail Mix With Chocolate</t>
  </si>
  <si>
    <t>Trail Mix With Pretzels Cereal Or Granola</t>
  </si>
  <si>
    <t>Pumpkin Seeds Salted</t>
  </si>
  <si>
    <t>Sunflower Seeds Plain Salted</t>
  </si>
  <si>
    <t>Sunflower Seeds Flavored</t>
  </si>
  <si>
    <t>Mixed Seeds</t>
  </si>
  <si>
    <t>Bread Made From Home Recipe Or Purchased At A Bakery Ns As To Major Flour</t>
  </si>
  <si>
    <t>Bread Made From Home Recipe Or Purchased At A Bakery Toasted Ns As To Major Flour</t>
  </si>
  <si>
    <t>Bread White Made From Home Recipe Or Purchased At A Bakery</t>
  </si>
  <si>
    <t>Bread White Made From Home Recipe Or Purchased At A Bakery Toasted</t>
  </si>
  <si>
    <t>Bread White With Whole Wheat Swirl</t>
  </si>
  <si>
    <t>Bread White With Whole Wheat Swirl Toasted</t>
  </si>
  <si>
    <t>Bread Cuban Toasted</t>
  </si>
  <si>
    <t>Bread Native Water Puerto Rican Style</t>
  </si>
  <si>
    <t>Bread Native Water Toasted Puerto Rican Style</t>
  </si>
  <si>
    <t>Bread Lard Puerto Rican Style</t>
  </si>
  <si>
    <t>Bread Lard Toasted Puerto Rican Style</t>
  </si>
  <si>
    <t>Bread Caressed Puerto Rican Style</t>
  </si>
  <si>
    <t>Bread Caressed Toasted Puerto Rican Style</t>
  </si>
  <si>
    <t>Naan Indian Flatbread</t>
  </si>
  <si>
    <t>Bread Italian Grecian Armenian</t>
  </si>
  <si>
    <t>Bread Italian Grecian Armenian Toasted</t>
  </si>
  <si>
    <t>Bread Pita Toasted</t>
  </si>
  <si>
    <t>Bread Pita With Fruit</t>
  </si>
  <si>
    <t>Bread Pita With Fruit Toasted</t>
  </si>
  <si>
    <t>Bread Cheese Toasted</t>
  </si>
  <si>
    <t>Bread Cornmeal And Molasses</t>
  </si>
  <si>
    <t>Bread Cornmeal And Molasses Toasted</t>
  </si>
  <si>
    <t>Bread Egg Challah Toasted</t>
  </si>
  <si>
    <t>Garlic Bread Nfs</t>
  </si>
  <si>
    <t>Garlic Bread From Fast Food / Restaurant</t>
  </si>
  <si>
    <t>Garlic Bread With Parmesan Cheese From Fast Food / Restaurant</t>
  </si>
  <si>
    <t>Garlic Bread With Parmesan Cheese From Frozen</t>
  </si>
  <si>
    <t>Garlic Bread With Melted Cheese From Fast Food / Restaurant</t>
  </si>
  <si>
    <t>Garlic Bread With Melted Cheese From Frozen</t>
  </si>
  <si>
    <t>Bread Onion</t>
  </si>
  <si>
    <t>Bread Onion Toasted</t>
  </si>
  <si>
    <t>Bread White Special Formula Added Fiber Toasted</t>
  </si>
  <si>
    <t>Bread High Protein Toasted</t>
  </si>
  <si>
    <t>Bread Potato Toasted</t>
  </si>
  <si>
    <t>Bread Raisin</t>
  </si>
  <si>
    <t>Bread Raisin Toasted</t>
  </si>
  <si>
    <t>Bread White Low Sodium Or No Salt Toasted</t>
  </si>
  <si>
    <t>Bread Sweet Potato</t>
  </si>
  <si>
    <t>Bread Sweet Potato Toasted</t>
  </si>
  <si>
    <t>Bread Vegetable</t>
  </si>
  <si>
    <t>Bread Vegetable Toasted</t>
  </si>
  <si>
    <t>Bruschetta</t>
  </si>
  <si>
    <t>Bread Dough Fried</t>
  </si>
  <si>
    <t>Roll Cheese</t>
  </si>
  <si>
    <t>Roll Garlic</t>
  </si>
  <si>
    <t>Roll Sweet With Fruit Frosted</t>
  </si>
  <si>
    <t>Roll Sweet Frosted</t>
  </si>
  <si>
    <t>Pan Dulce With Sugar Topping</t>
  </si>
  <si>
    <t>Pan Dulce With Raisins And Icing</t>
  </si>
  <si>
    <t>Croissant Chocolate</t>
  </si>
  <si>
    <t>Croissant Fruit</t>
  </si>
  <si>
    <t>Brioche</t>
  </si>
  <si>
    <t>Bread Spanish Coffee</t>
  </si>
  <si>
    <t>Bagel</t>
  </si>
  <si>
    <t>Bagel With Raisins</t>
  </si>
  <si>
    <t>Bagel With Fruit Other Than Raisins</t>
  </si>
  <si>
    <t>Bread Stuffing</t>
  </si>
  <si>
    <t>Bread Stuffing Made With Egg</t>
  </si>
  <si>
    <t>Breadsticks Nfs</t>
  </si>
  <si>
    <t>Breadsticks Hard Reduced Sodium</t>
  </si>
  <si>
    <t>Breadsticks Soft Nfs</t>
  </si>
  <si>
    <t>Breadsticks Soft From Fast Food / Restaurant</t>
  </si>
  <si>
    <t>Breadsticks Soft From Frozen</t>
  </si>
  <si>
    <t>Breadsticks Soft With Parmesan Cheese From Fast Food / Restaurant</t>
  </si>
  <si>
    <t>Breadsticks Soft With Parmesan Cheese From Frozen</t>
  </si>
  <si>
    <t>Breadsticks Soft Topped With Melted Cheese</t>
  </si>
  <si>
    <t>Breadsticks Soft Stuffed With Melted Cheese</t>
  </si>
  <si>
    <t>Muffin English With Raisins</t>
  </si>
  <si>
    <t>Muffin English Cheese</t>
  </si>
  <si>
    <t>Muffin English With Fruit Other Than Raisins</t>
  </si>
  <si>
    <t>Pannetone</t>
  </si>
  <si>
    <t>Bread Whole Grain White Toasted</t>
  </si>
  <si>
    <t>Bagel Whole Grain White</t>
  </si>
  <si>
    <t>Bread Whole Wheat Toasted</t>
  </si>
  <si>
    <t>Bread Whole Wheat Made From Home Recipe Or Purchased At Bakery</t>
  </si>
  <si>
    <t>Bread Whole Wheat Made From Home Recipe Or Purchased At Bakery Toasted</t>
  </si>
  <si>
    <t>Bread Puri Wheat</t>
  </si>
  <si>
    <t>Bread Whole Wheat With Raisins</t>
  </si>
  <si>
    <t>Bread Whole Wheat With Raisins Toasted</t>
  </si>
  <si>
    <t>Bread Sprouted Wheat Toasted</t>
  </si>
  <si>
    <t>Bread Wheat Or Cracked Wheat Toasted</t>
  </si>
  <si>
    <t>Bread Wheat Or Cracked Wheat Made From Home Recipe Or Purchased At Bakery</t>
  </si>
  <si>
    <t>Bread Wheat Or Cracked Wheat Made From Home Recipe Or Purchased At Bakery Toasted</t>
  </si>
  <si>
    <t>Bread Wheat Or Cracked Wheat With Raisins</t>
  </si>
  <si>
    <t>Bread Wheat Or Cracked Wheat With Raisins Toasted</t>
  </si>
  <si>
    <t>Bread French Or Vienna Whole Wheat Toasted</t>
  </si>
  <si>
    <t>Bread Pita Whole Wheat Toasted</t>
  </si>
  <si>
    <t>Bread Pita Wheat Or Cracked Wheat Toasted</t>
  </si>
  <si>
    <t>Bagel Wheat</t>
  </si>
  <si>
    <t>Bagel Whole Wheat</t>
  </si>
  <si>
    <t>Bagel Wheat With Raisins</t>
  </si>
  <si>
    <t>Bagel Whole Wheat With Raisins</t>
  </si>
  <si>
    <t>Bagel Wheat With Fruit And Nuts</t>
  </si>
  <si>
    <t>Bagel Wheat Bran</t>
  </si>
  <si>
    <t>Muffin English Wheat Bran With Raisins</t>
  </si>
  <si>
    <t>Muffin English Wheat Or Cracked Wheat With Raisins</t>
  </si>
  <si>
    <t>Muffin English Whole Wheat With Raisins</t>
  </si>
  <si>
    <t>Breadsticks Hard Whole Wheat</t>
  </si>
  <si>
    <t>Bread Marble Rye And Pumpernickel Toasted</t>
  </si>
  <si>
    <t>Bread Pumpernickel Toasted</t>
  </si>
  <si>
    <t>Bagel Pumpernickel</t>
  </si>
  <si>
    <t>Bread Black Toasted</t>
  </si>
  <si>
    <t>Bagel Oat Bran</t>
  </si>
  <si>
    <t>Muffin English Oat Bran With Raisins</t>
  </si>
  <si>
    <t>Bread Multigrain Toasted</t>
  </si>
  <si>
    <t>Bread Multigrain With Raisins</t>
  </si>
  <si>
    <t>Bread Multigrain With Raisins Toasted</t>
  </si>
  <si>
    <t>Bagel Multigrain</t>
  </si>
  <si>
    <t>Bagel Multigrain With Raisins</t>
  </si>
  <si>
    <t>Bread Barley Toasted</t>
  </si>
  <si>
    <t>Bread Soy</t>
  </si>
  <si>
    <t>Bread Soy Toasted</t>
  </si>
  <si>
    <t>Bread Sunflower Meal</t>
  </si>
  <si>
    <t>Bread Sunflower Meal Toasted</t>
  </si>
  <si>
    <t>Bread Rice Toasted</t>
  </si>
  <si>
    <t>Injera Ethiopian Bread</t>
  </si>
  <si>
    <t>Bread Gluten Free Toasted</t>
  </si>
  <si>
    <t>Biscuit Dough Fried</t>
  </si>
  <si>
    <t>Crumpet</t>
  </si>
  <si>
    <t>Crumpet Toasted</t>
  </si>
  <si>
    <t>Biscuit Baking Powder Or Buttermilk Type Made From Mix</t>
  </si>
  <si>
    <t>Biscuit Baking Powder Or Buttermilk Type Made From Home Recipe</t>
  </si>
  <si>
    <t>Biscuit Whole Wheat</t>
  </si>
  <si>
    <t>Biscuit Cheese</t>
  </si>
  <si>
    <t>Biscuit Cinnamon-Raisin</t>
  </si>
  <si>
    <t>Scone</t>
  </si>
  <si>
    <t>Scone With Fruit</t>
  </si>
  <si>
    <t>Cornbread Made From Home Recipe</t>
  </si>
  <si>
    <t>Cornbread Muffin Stick Round Made From Home Recipe</t>
  </si>
  <si>
    <t>Corn Flour Patty Or Tart Fried</t>
  </si>
  <si>
    <t>Corn Pone Baked</t>
  </si>
  <si>
    <t>Corn Pone Fried</t>
  </si>
  <si>
    <t>Gordita/sope Shell Plain No Filling</t>
  </si>
  <si>
    <t>Johnnycake</t>
  </si>
  <si>
    <t>Spoonbread</t>
  </si>
  <si>
    <t>Tortilla Nfs</t>
  </si>
  <si>
    <t>Taco Shell Flour</t>
  </si>
  <si>
    <t>Arepa Dominicana</t>
  </si>
  <si>
    <t>Muffin Chocolate Chip</t>
  </si>
  <si>
    <t>Muffin Chocolate</t>
  </si>
  <si>
    <t>Muffin Whole Wheat</t>
  </si>
  <si>
    <t>Muffin Wheat</t>
  </si>
  <si>
    <t>Muffin Whole Grain</t>
  </si>
  <si>
    <t>Muffin Wheat Bran</t>
  </si>
  <si>
    <t>Muffin Oatmeal</t>
  </si>
  <si>
    <t>Muffin Plain</t>
  </si>
  <si>
    <t>Muffin Cheese</t>
  </si>
  <si>
    <t>Muffin Pumpkin</t>
  </si>
  <si>
    <t>Muffin Zucchini</t>
  </si>
  <si>
    <t>Muffin Carrot</t>
  </si>
  <si>
    <t>Popover</t>
  </si>
  <si>
    <t>Bread Nut</t>
  </si>
  <si>
    <t>Bread Pumpkin</t>
  </si>
  <si>
    <t>Bread Fruit</t>
  </si>
  <si>
    <t>Bread Zucchini</t>
  </si>
  <si>
    <t>Bread Irish Soda</t>
  </si>
  <si>
    <t>Cake Batter Raw Chocolate</t>
  </si>
  <si>
    <t>Cake Batter Raw Not Chocolate</t>
  </si>
  <si>
    <t>Cake Angel Food With Icing Or Filling</t>
  </si>
  <si>
    <t>Cake Angel Food With Fruit And Icing Or Filling</t>
  </si>
  <si>
    <t>Cake Or Cupcake Applesauce Without Icing Or Filling</t>
  </si>
  <si>
    <t>Cake Or Cupcake Applesauce With Icing Or Filling</t>
  </si>
  <si>
    <t>Cake Or Cupcake Banana Without Icing Or Filling</t>
  </si>
  <si>
    <t>Cake Or Cupcake Banana With Icing Or Filling</t>
  </si>
  <si>
    <t>Cake Or Cupcake Carrot Without Icing Or Filling</t>
  </si>
  <si>
    <t>Cake Or Cupcake Carrot With Icing Or Filling</t>
  </si>
  <si>
    <t>Cheesecake With Fruit</t>
  </si>
  <si>
    <t>Cheesecake Chocolate</t>
  </si>
  <si>
    <t>Cake Or Cupcake Chocolate Devil's Food Or Fudge Without Icing Or Filling</t>
  </si>
  <si>
    <t>Cake Or Cupcake German Chocolate With Icing Or Filling</t>
  </si>
  <si>
    <t>Cake Cream Without Icing Or Topping</t>
  </si>
  <si>
    <t>Cake Dobos Torte</t>
  </si>
  <si>
    <t>Cake Or Cupcake Gingerbread</t>
  </si>
  <si>
    <t>Cake Ice Cream And Cake Roll Chocolate</t>
  </si>
  <si>
    <t>Cake Ice Cream And Cake Roll Not Chocolate</t>
  </si>
  <si>
    <t>Cake Jelly Roll</t>
  </si>
  <si>
    <t>Cake Or Cupcake Lemon Without Icing Or Filling</t>
  </si>
  <si>
    <t>Cake Or Cupcake Lemon With Icing Or Filling</t>
  </si>
  <si>
    <t>Cake Or Cupcake Marble Without Icing Or Filling</t>
  </si>
  <si>
    <t>Cake Or Cupcake Marble With Icing Or Filling</t>
  </si>
  <si>
    <t>Cake Or Cupcake Nut Without Icing Or Filling</t>
  </si>
  <si>
    <t>Cake Or Cupcake Nut With Icing Or Filling</t>
  </si>
  <si>
    <t>Cake Or Cupcake Oatmeal</t>
  </si>
  <si>
    <t>Cake Or Cupcake Peanut Butter</t>
  </si>
  <si>
    <t>Cake Pound With Icing Or Filling</t>
  </si>
  <si>
    <t>Cake Pound Chocolate</t>
  </si>
  <si>
    <t>Cake Pound Puerto Rican Style</t>
  </si>
  <si>
    <t>Cake Or Cupcake Pumpkin Without Icing Or Filling</t>
  </si>
  <si>
    <t>Cake Or Cupcake Pumpkin With Icing Or Filling</t>
  </si>
  <si>
    <t>Cake Or Cupcake Raisin-Nut</t>
  </si>
  <si>
    <t>Cake Ravani</t>
  </si>
  <si>
    <t>Cake Rice Flour Without Icing Or Filling</t>
  </si>
  <si>
    <t>Cake Or Cupcake Spice Without Icing Or Filling</t>
  </si>
  <si>
    <t>Cake Or Cupcake Spice With Icing Or Filling</t>
  </si>
  <si>
    <t>Cake Sponge With Icing Or Filling</t>
  </si>
  <si>
    <t>Cake Sponge Chocolate</t>
  </si>
  <si>
    <t>Cake Torte</t>
  </si>
  <si>
    <t>Cake Tres Leche</t>
  </si>
  <si>
    <t>Cake Pineapple Upside Down</t>
  </si>
  <si>
    <t>Cake Or Cupcake White Without Icing Or Filling</t>
  </si>
  <si>
    <t>Cake Or Cupcake Yellow Without Icing Or Filling</t>
  </si>
  <si>
    <t>Cake Shortcake Biscuit Type With Whipped Cream And Fruit</t>
  </si>
  <si>
    <t>Cake Shortcake Biscuit Type With Fruit</t>
  </si>
  <si>
    <t>Cake Shortcake Sponge Type With Whipped Cream And Fruit</t>
  </si>
  <si>
    <t>Cake Shortcake Sponge Type With Fruit</t>
  </si>
  <si>
    <t>Cake Shortcake With Whipped Topping And Fruit Diet</t>
  </si>
  <si>
    <t>Cake Or Cupcake Zucchini</t>
  </si>
  <si>
    <t>Cookie Batter Or Dough Raw</t>
  </si>
  <si>
    <t>Cookie Biscotti</t>
  </si>
  <si>
    <t>Cookie Brownie With Icing Or Filling</t>
  </si>
  <si>
    <t>Cookie Chocolate Chip Made From Home Recipe Or Purchased At A Bakery</t>
  </si>
  <si>
    <t>Cookie Graham Cracker With Chocolate And Marshmallow</t>
  </si>
  <si>
    <t>Cookie Lemon Bar</t>
  </si>
  <si>
    <t>Cookie Marshmallow With Rice Cereal No Bake</t>
  </si>
  <si>
    <t>Cookie Marshmallow And Peanut Butter With Oat Cereal No Bake</t>
  </si>
  <si>
    <t>Cookie Meringue</t>
  </si>
  <si>
    <t>Cookie Oatmeal With Chocolate Chips</t>
  </si>
  <si>
    <t>Cookie Peanut Butter With Chocolate</t>
  </si>
  <si>
    <t>Cookie Peanut Butter With Rice Cereal No Bake</t>
  </si>
  <si>
    <t>Cookie Shortbread With Icing Or Filling</t>
  </si>
  <si>
    <t>Cookie Butter Or Sugar With Fruit And/or Nuts</t>
  </si>
  <si>
    <t>Cookie Butter Or Sugar With Icing Or Filling Other Than Chocolate</t>
  </si>
  <si>
    <t>Cookies Puerto Rican Style</t>
  </si>
  <si>
    <t>Pie Apple One Crust</t>
  </si>
  <si>
    <t>Pie Apple Diet</t>
  </si>
  <si>
    <t>Pie Apricot Two Crust</t>
  </si>
  <si>
    <t>Pie Blackberry Two Crust</t>
  </si>
  <si>
    <t>Pie Blackberry Individual Size Or Tart</t>
  </si>
  <si>
    <t>Pie Berry Not Blackberry Blueberry Boysenberry Huckleberry Raspberry Or Strawberry; Two Crust</t>
  </si>
  <si>
    <t>Pie Berry Not Blackberry Blueberry Boysenberry Huckleberry Raspberry Or Strawberry; One Crust</t>
  </si>
  <si>
    <t>Pie Berry Not Blackberry Blueberry Boysenberry Huckleberry Raspberry Or Strawberry Individual Size Or Tart</t>
  </si>
  <si>
    <t>Pie Blueberry One Crust</t>
  </si>
  <si>
    <t>Pie Blueberry Individual Size Or Tart</t>
  </si>
  <si>
    <t>Pie Cherry One Crust</t>
  </si>
  <si>
    <t>Pie Lemon Not Cream Or Meringue</t>
  </si>
  <si>
    <t>Pie Lemon Not Cream Or Meringue Individual Size Or Tart</t>
  </si>
  <si>
    <t>Pie Mince Individual Size Or Tart</t>
  </si>
  <si>
    <t>Pie Peach One Crust</t>
  </si>
  <si>
    <t>Pie Peach Individual Size Or Tart</t>
  </si>
  <si>
    <t>Pie Pear Two Crust</t>
  </si>
  <si>
    <t>Pie Pear Individual Size Or Tart</t>
  </si>
  <si>
    <t>Pie Pineapple Two Crust</t>
  </si>
  <si>
    <t>Pie Plum Two Crust</t>
  </si>
  <si>
    <t>Pie Prune One Crust</t>
  </si>
  <si>
    <t>Pie Raisin Two Crust</t>
  </si>
  <si>
    <t>Pie Raisin Individual Size Or Tart</t>
  </si>
  <si>
    <t>Pie Raspberry One Crust</t>
  </si>
  <si>
    <t>Pie Raspberry Two Crust</t>
  </si>
  <si>
    <t>Pie Rhubarb Two Crust</t>
  </si>
  <si>
    <t>Pie Rhubarb One Crust</t>
  </si>
  <si>
    <t>Pie Rhubarb Individual Size Or Tart</t>
  </si>
  <si>
    <t>Pie Strawberry One Crust</t>
  </si>
  <si>
    <t>Pie Strawberry-Rhubarb Two Crust</t>
  </si>
  <si>
    <t>Pie Strawberry Individual Size Or Tart</t>
  </si>
  <si>
    <t>Pie Apple-Sour Cream</t>
  </si>
  <si>
    <t>Pie Cherry Made With Cream Cheese And Sour Cream</t>
  </si>
  <si>
    <t>Pie Banana Cream Individual Size Or Tart</t>
  </si>
  <si>
    <t>Pie Buttermilk</t>
  </si>
  <si>
    <t>Pie Chess</t>
  </si>
  <si>
    <t>Pie Chocolate Cream Individual Size Or Tart</t>
  </si>
  <si>
    <t>Pie Coconut Cream Individual Size Or Tart</t>
  </si>
  <si>
    <t>Pie Custard Individual Size Or Tart</t>
  </si>
  <si>
    <t>Mixed Fruit Tart Filled With Custard Or Cream Cheese</t>
  </si>
  <si>
    <t>Dessert Pizza</t>
  </si>
  <si>
    <t>Pie Lemon Cream</t>
  </si>
  <si>
    <t>Pie Lemon Cream Individual Size Or Tart</t>
  </si>
  <si>
    <t>Pie Peanut Butter Cream</t>
  </si>
  <si>
    <t>Pie Pineapple Cream</t>
  </si>
  <si>
    <t>Pie Raspberry Cream</t>
  </si>
  <si>
    <t>Pie Sour Cream Raisin</t>
  </si>
  <si>
    <t>Pie Squash</t>
  </si>
  <si>
    <t>Pie Strawberry Cream</t>
  </si>
  <si>
    <t>Pie Strawberry Cream Individual Size Or Tart</t>
  </si>
  <si>
    <t>Pie Sweet Potato</t>
  </si>
  <si>
    <t>Pie Yogurt Frozen</t>
  </si>
  <si>
    <t>Pie Chiffon Not Chocolate</t>
  </si>
  <si>
    <t>Pie Chiffon Chocolate</t>
  </si>
  <si>
    <t>Pie Black Bottom</t>
  </si>
  <si>
    <t>Pie Chocolate-Marshmallow</t>
  </si>
  <si>
    <t>Pie Oatmeal</t>
  </si>
  <si>
    <t>Pie Pudding Flavors Other Than Chocolate</t>
  </si>
  <si>
    <t>Pie Pudding Flavors Other Than Chocolate Individual Size Or Tart</t>
  </si>
  <si>
    <t>Pie Pudding Chocolate With Chocolate Coating Individual Size</t>
  </si>
  <si>
    <t>Pie Pudding Flavors Other Than Chocolate With Chocolate Coating Individual Size</t>
  </si>
  <si>
    <t>Pie Toll House Chocolate Chip</t>
  </si>
  <si>
    <t>Pie Shoo-Fly</t>
  </si>
  <si>
    <t>Pie Tofu With Fruit</t>
  </si>
  <si>
    <t>Blintz Cheese-Filled</t>
  </si>
  <si>
    <t>Blintz Fruit-Filled</t>
  </si>
  <si>
    <t>Cobbler Apple</t>
  </si>
  <si>
    <t>Cobbler Apricot</t>
  </si>
  <si>
    <t>Cobbler Berry</t>
  </si>
  <si>
    <t>Cobbler Cherry</t>
  </si>
  <si>
    <t>Cobbler Peach</t>
  </si>
  <si>
    <t>Cobbler Pear</t>
  </si>
  <si>
    <t>Cobbler Pineapple</t>
  </si>
  <si>
    <t>Cobbler Plum</t>
  </si>
  <si>
    <t>Cobbler Rhubarb</t>
  </si>
  <si>
    <t>Crisp Apple Apple Dessert</t>
  </si>
  <si>
    <t>Fritter Apple</t>
  </si>
  <si>
    <t>Fritter Banana</t>
  </si>
  <si>
    <t>Fritter Berry</t>
  </si>
  <si>
    <t>Crisp Blueberry</t>
  </si>
  <si>
    <t>Crisp Cherry</t>
  </si>
  <si>
    <t>Crisp Peach</t>
  </si>
  <si>
    <t>Crisp Rhubarb</t>
  </si>
  <si>
    <t>Cream Puff Eclair Custard Or Cream Filled Ns As To Icing</t>
  </si>
  <si>
    <t>Cream Puff Eclair Custard Or Cream Filled Not Iced</t>
  </si>
  <si>
    <t>Cream Puff Eclair Custard Or Cream Filled Iced Reduced Fat</t>
  </si>
  <si>
    <t>Air Filled Fritter Or Fried Puff Without Syrup Puerto Rican Style</t>
  </si>
  <si>
    <t>Wheat Flour Fritter Without Syrup</t>
  </si>
  <si>
    <t>Sopaipilla Without Syrup Or Honey</t>
  </si>
  <si>
    <t>Sopaipilla With Syrup Or Honey</t>
  </si>
  <si>
    <t>Crepe Ns As To Filling</t>
  </si>
  <si>
    <t>Crepe Chocolate Filled</t>
  </si>
  <si>
    <t>Crepe Fruit Filled</t>
  </si>
  <si>
    <t>Tamale Sweet</t>
  </si>
  <si>
    <t>Tamale Sweet With Fruit</t>
  </si>
  <si>
    <t>Strudel Berry</t>
  </si>
  <si>
    <t>Strudel Cherry</t>
  </si>
  <si>
    <t>Strudel Cheese</t>
  </si>
  <si>
    <t>Strudel Peach</t>
  </si>
  <si>
    <t>Strudel Pineapple</t>
  </si>
  <si>
    <t>Strudel Cheese And Fruit</t>
  </si>
  <si>
    <t>Baklava</t>
  </si>
  <si>
    <t>Basbousa</t>
  </si>
  <si>
    <t>Turnover Or Dumpling Apple</t>
  </si>
  <si>
    <t>Turnover Or Dumpling Berry</t>
  </si>
  <si>
    <t>Turnover Or Dumpling Cherry</t>
  </si>
  <si>
    <t>Turnover Or Dumpling Lemon</t>
  </si>
  <si>
    <t>Turnover Or Dumpling Peach</t>
  </si>
  <si>
    <t>Turnover Guava</t>
  </si>
  <si>
    <t>Turnover Pumpkin</t>
  </si>
  <si>
    <t>Pastry Fruit-Filled</t>
  </si>
  <si>
    <t>Pastry Made With Bean Or Lotus Seed Paste Filling Baked</t>
  </si>
  <si>
    <t>Pastry Made With Bean Paste And Salted Egg Yolk Filling Baked</t>
  </si>
  <si>
    <t>Pastry Chinese Made With Rice Flour</t>
  </si>
  <si>
    <t>Pastry Cookie Type Fried</t>
  </si>
  <si>
    <t>Pastry Italian With Cheese</t>
  </si>
  <si>
    <t>Pastry Puff Custard Or Cream Filled Iced Or Not Iced</t>
  </si>
  <si>
    <t>Cheese Pastry Puffs</t>
  </si>
  <si>
    <t>Pastry Mainly Flour And Water Fried</t>
  </si>
  <si>
    <t>Empanada Mexican Turnover Fruit-Filled</t>
  </si>
  <si>
    <t>Empanada  Mexican Turnover Pumpkin</t>
  </si>
  <si>
    <t>Doughnut Cake Type Chocolate Covered Dipped In Peanuts</t>
  </si>
  <si>
    <t>Churros</t>
  </si>
  <si>
    <t>Doughnut Chocolate Raised Or Yeast With Chocolate Icing</t>
  </si>
  <si>
    <t>Doughnut Chocolate Raised Or Yeast</t>
  </si>
  <si>
    <t>Doughnut Raised Or Yeast Chocolate Covered</t>
  </si>
  <si>
    <t>Doughnut Chocolate Cream-Filled</t>
  </si>
  <si>
    <t>Doughnut Custard-Filled With Icing</t>
  </si>
  <si>
    <t>Coffee Cake Crumb Or Quick-Bread Type</t>
  </si>
  <si>
    <t>Coffee Cake Crumb Or Quick-Bread Type With Fruit</t>
  </si>
  <si>
    <t>Coffee Cake Crumb Or Quick-Bread Type Cheese-Filled</t>
  </si>
  <si>
    <t>Cereal Or Granola Bar With Rice Cereal</t>
  </si>
  <si>
    <t>Breakfast Bar Nfs</t>
  </si>
  <si>
    <t>Breakfast Bar Cereal Crust With Fruit Filling Lowfat</t>
  </si>
  <si>
    <t>Nutrition Bar (Clif Kids Organic Zbar)</t>
  </si>
  <si>
    <t>Nutrition Bar (Tiger's Milk)</t>
  </si>
  <si>
    <t>Nutrition Bar (Zone Perfect Classic Crunch)</t>
  </si>
  <si>
    <t>Nutrition Bar Or Meal Replacement Bar Nfs</t>
  </si>
  <si>
    <t>Cookie Teething Baby</t>
  </si>
  <si>
    <t>Crackers Breakfast Biscuit</t>
  </si>
  <si>
    <t>Crackers Saltine Reduced Sodium</t>
  </si>
  <si>
    <t>Crackers Flatbread</t>
  </si>
  <si>
    <t>Crackers Rice And Nuts</t>
  </si>
  <si>
    <t>Rice Paper</t>
  </si>
  <si>
    <t>Crackers Sandwich Peanut Butter Filled (Ritz)</t>
  </si>
  <si>
    <t>Crackers Sandwich Cheese Filled (Ritz)</t>
  </si>
  <si>
    <t>Crackers Woven Wheat</t>
  </si>
  <si>
    <t>Crackers Woven Wheat Plain (Triscuit)</t>
  </si>
  <si>
    <t>Crackers Woven Wheat Flavored (Triscuit)</t>
  </si>
  <si>
    <t>Crackers Wheat</t>
  </si>
  <si>
    <t>Crackers Wheat Plain (Wheat Thins)</t>
  </si>
  <si>
    <t>Crackers Wheat Flavored (Wheat Thins)</t>
  </si>
  <si>
    <t>Finger Foods Puffs Baby Food</t>
  </si>
  <si>
    <t>Corn Chips Plain</t>
  </si>
  <si>
    <t>Corn Chips Flavored</t>
  </si>
  <si>
    <t>Corn Chips Plain (Fritos)</t>
  </si>
  <si>
    <t>Corn Chips Flavored (Fritos)</t>
  </si>
  <si>
    <t>Cheese Flavored Corn Snacks</t>
  </si>
  <si>
    <t>Cheese Flavored Corn Snacks (Cheetos)</t>
  </si>
  <si>
    <t>Corn Chips Reduced Sodium</t>
  </si>
  <si>
    <t>Tortilla Chips Popped</t>
  </si>
  <si>
    <t>Tortilla Chips Cool Ranch Flavor (Doritos)</t>
  </si>
  <si>
    <t>Tortilla Chips Reduced Fat Plain</t>
  </si>
  <si>
    <t>Tortilla Chips Reduced Fat Flavored</t>
  </si>
  <si>
    <t>Tortilla Chips Reduced Sodium</t>
  </si>
  <si>
    <t>Snack Mix</t>
  </si>
  <si>
    <t>Popcorn Nfs</t>
  </si>
  <si>
    <t>Popcorn Movie Theater With Added Butter</t>
  </si>
  <si>
    <t>Popcorn Movie Theater Unbuttered</t>
  </si>
  <si>
    <t>Popcorn Air-Popped Unbuttered</t>
  </si>
  <si>
    <t>Popcorn Air-Popped With Added Butter Or Margarine</t>
  </si>
  <si>
    <t>Popcorn Popped In Oil Unbuttered</t>
  </si>
  <si>
    <t>Popcorn Popped In Oil With Added Butter Or Margarine</t>
  </si>
  <si>
    <t>Popcorn Microwave Nfs</t>
  </si>
  <si>
    <t>Popcorn Microwave Plain</t>
  </si>
  <si>
    <t>Popcorn Microwave Plain Light</t>
  </si>
  <si>
    <t>Popcorn Microwave Low Sodium</t>
  </si>
  <si>
    <t>Popcorn Microwave Unsalted</t>
  </si>
  <si>
    <t>Popcorn Microwave Butter Flavored</t>
  </si>
  <si>
    <t>Popcorn Microwave Butter Flavored Light</t>
  </si>
  <si>
    <t>Popcorn Microwave Cheese Flavored</t>
  </si>
  <si>
    <t>Popcorn Microwave Kettle Corn</t>
  </si>
  <si>
    <t>Popcorn Microwave Kettle Corn Light</t>
  </si>
  <si>
    <t>Popcorn Microwave Other Flavored</t>
  </si>
  <si>
    <t>Popcorn Ready-To-Eat Packaged Nfs</t>
  </si>
  <si>
    <t>Popcorn Ready-To-Eat Packaged Plain</t>
  </si>
  <si>
    <t>Popcorn Ready-To-Eat Packaged Plain Light</t>
  </si>
  <si>
    <t>Popcorn Ready-To-Eat Packaged Low Sodium</t>
  </si>
  <si>
    <t>Popcorn Ready-To-Eat Packaged Unsalted</t>
  </si>
  <si>
    <t>Popcorn Ready-To-Eat Packaged Butter Flavored</t>
  </si>
  <si>
    <t>Popcorn Ready-To-Eat Packaged Butter Flavored Light</t>
  </si>
  <si>
    <t>Popcorn Ready-To-Eat Packaged Cheese Flavored Light</t>
  </si>
  <si>
    <t>Popcorn Ready-To-Eat-Packaged Kettle Corn</t>
  </si>
  <si>
    <t>Popcorn Ready-To-Eat Packaged Kettle Corn Light</t>
  </si>
  <si>
    <t>Popcorn Caramel Coated</t>
  </si>
  <si>
    <t>Popcorn Caramel Coated With Nuts</t>
  </si>
  <si>
    <t>Popcorn Chips Plain</t>
  </si>
  <si>
    <t>Popcorn Chips Other Flavors</t>
  </si>
  <si>
    <t>Popcorn Chips Sweet Flavors</t>
  </si>
  <si>
    <t>Pretzels Hard Plain Lightly Salted</t>
  </si>
  <si>
    <t>Pretzels Hard Flavored</t>
  </si>
  <si>
    <t>Pretzels Hard Multigrain</t>
  </si>
  <si>
    <t>Pretzels Hard Flavored Gluten Free</t>
  </si>
  <si>
    <t>Pretzel Chips Hard Plain</t>
  </si>
  <si>
    <t>Pretzel Chips Hard Flavored</t>
  </si>
  <si>
    <t>Pretzel Chips Hard Gluten Free</t>
  </si>
  <si>
    <t>Pretzels Hard White Chocolate Coated</t>
  </si>
  <si>
    <t>Pretzels Hard Yogurt Coated</t>
  </si>
  <si>
    <t>Pretzels Hard Coated Gluten Free</t>
  </si>
  <si>
    <t>Pretzels Hard Peanut Butter Filled</t>
  </si>
  <si>
    <t>Pretzels Soft Nfs</t>
  </si>
  <si>
    <t>Pretzels Soft Ready-To-Eat Nfs</t>
  </si>
  <si>
    <t>Pretzels Soft Ready-To-Eat Salted Buttered</t>
  </si>
  <si>
    <t>Pretzels Soft Ready-To-Eat Unsalted Buttered</t>
  </si>
  <si>
    <t>Pretzels Soft Ready-To-Eat Salted No Butter</t>
  </si>
  <si>
    <t>Pretzels Soft Ready-To-Eat Cinnamon Sugar Coated</t>
  </si>
  <si>
    <t>Pretzels Soft Ready-To-Eat Coated Or Flavored</t>
  </si>
  <si>
    <t>Pretzels Soft Ready-To-Eat Topped With Meat</t>
  </si>
  <si>
    <t>Pretzels Soft Ready-To-Eat Topped With Cheese</t>
  </si>
  <si>
    <t>Pretzels Soft From Frozen Nfs</t>
  </si>
  <si>
    <t>Pretzels Soft From Frozen Salted</t>
  </si>
  <si>
    <t>Pretzels Soft From Frozen Cinnamon Sugar Coated</t>
  </si>
  <si>
    <t>Pretzels Soft From Frozen Coated Or Flavored</t>
  </si>
  <si>
    <t>Pretzels Soft From Frozen Topped With Meat</t>
  </si>
  <si>
    <t>Pretzels Soft From Frozen Topped With Cheese</t>
  </si>
  <si>
    <t>Pretzels Soft Filled With Cheese</t>
  </si>
  <si>
    <t>Pretzels Soft From School Lunch</t>
  </si>
  <si>
    <t>Pretzels Soft Multigrain</t>
  </si>
  <si>
    <t>Pretzels Soft Gluten Free</t>
  </si>
  <si>
    <t>Pretzels Soft Gluten Free Cinnamon Sugar Coated</t>
  </si>
  <si>
    <t>Pretzels Soft Gluten Free Coated Or Flavored</t>
  </si>
  <si>
    <t>Snack Mix Plain (Chex Mix)</t>
  </si>
  <si>
    <t>Pancakes Nfs</t>
  </si>
  <si>
    <t>Pancakes Plain Reduced Fat From Fozen</t>
  </si>
  <si>
    <t>Pancakes With Fruit From Frozen</t>
  </si>
  <si>
    <t>Pancakes With Chocolate From Frozen</t>
  </si>
  <si>
    <t>Pancakes Whole Grain From Frozen</t>
  </si>
  <si>
    <t>Pancakes Whole Grain Reduced Fat From Frozen</t>
  </si>
  <si>
    <t>Pancakes Plain From Fast Food / Restaurant</t>
  </si>
  <si>
    <t>Pancakes With Fruit From Fast Food / Restaurant</t>
  </si>
  <si>
    <t>Pancakes With Chocolate From Fast Food / Restaurant</t>
  </si>
  <si>
    <t>Pancakes Whole Grain From Fast Food / Restaurant</t>
  </si>
  <si>
    <t>Pancakes Whole Grain And Nuts From Fast Food / Restaurant</t>
  </si>
  <si>
    <t>Pancakes From School Nfs</t>
  </si>
  <si>
    <t>Pancakes Plain</t>
  </si>
  <si>
    <t>Pancakes With Fruit</t>
  </si>
  <si>
    <t>Pancakes Pumpkin</t>
  </si>
  <si>
    <t>Pancakes With Chocolate</t>
  </si>
  <si>
    <t>Pancakes Buckwheat</t>
  </si>
  <si>
    <t>Pancakes Cornmeal</t>
  </si>
  <si>
    <t>Pancakes Whole Grain</t>
  </si>
  <si>
    <t>Pancakes Whole Grain Reduced Fat</t>
  </si>
  <si>
    <t>Waffle Plain Reduced Fat From Frozen</t>
  </si>
  <si>
    <t>Waffle Fruit From Frozen</t>
  </si>
  <si>
    <t>Waffle Chocolate From Frozen</t>
  </si>
  <si>
    <t>Waffle Whole Grain From Frozen</t>
  </si>
  <si>
    <t>Waffle Whole Grain Fruit From Frozen</t>
  </si>
  <si>
    <t>Waffle Plain From Fast Food / Restaurant</t>
  </si>
  <si>
    <t>Waffle Chocolate From Fast Food / Restaurant</t>
  </si>
  <si>
    <t>Waffle Fruit From Fast Food / Restaurant</t>
  </si>
  <si>
    <t>Waffle Whole Grain From Fast Food / Restaurant</t>
  </si>
  <si>
    <t>Waffle Plain</t>
  </si>
  <si>
    <t>Waffle Fruit</t>
  </si>
  <si>
    <t>Waffle Chocolate</t>
  </si>
  <si>
    <t>Waffle Cinnamon</t>
  </si>
  <si>
    <t>Waffle Cornmeal</t>
  </si>
  <si>
    <t>Waffle Whole Grain</t>
  </si>
  <si>
    <t>Waffle Plain Reduced Fat</t>
  </si>
  <si>
    <t>Waffle Whole Grain Reduced Fat</t>
  </si>
  <si>
    <t>French Toast Nfs</t>
  </si>
  <si>
    <t>French Toast Plain From Frozen</t>
  </si>
  <si>
    <t>French Toast Whole Grain From Frozen</t>
  </si>
  <si>
    <t>French Toast Gluten Free From Frozen</t>
  </si>
  <si>
    <t>French Toast Plain From Fast Food / Restaurant</t>
  </si>
  <si>
    <t>French Toast Whole Grain From Fast Food / Restaurant</t>
  </si>
  <si>
    <t>French Toast From School Nfs</t>
  </si>
  <si>
    <t>French Toast Plain</t>
  </si>
  <si>
    <t>French Toast Plain Reduced Fat</t>
  </si>
  <si>
    <t>French Toast Whole Grain</t>
  </si>
  <si>
    <t>French Toast Whole Grain Reduced Fat</t>
  </si>
  <si>
    <t>French Toast Gluten Free</t>
  </si>
  <si>
    <t>French Toast Sticks Nfs</t>
  </si>
  <si>
    <t>French Toast Sticks Plain From Frozen</t>
  </si>
  <si>
    <t>French Toast Sticks Plain From Fast Food / Restaurant</t>
  </si>
  <si>
    <t>French Toast Sticks From School Nfs</t>
  </si>
  <si>
    <t>French Toast Sticks Whole Grain</t>
  </si>
  <si>
    <t>Fried Bread Puerto Rican Style</t>
  </si>
  <si>
    <t>Crepe Nfs</t>
  </si>
  <si>
    <t>Crepe Plain</t>
  </si>
  <si>
    <t>Chinese Pancake</t>
  </si>
  <si>
    <t>Flour And Water Gravy</t>
  </si>
  <si>
    <t>Dumpling Fried Puerto Rican Style</t>
  </si>
  <si>
    <t>Dumpling Plain</t>
  </si>
  <si>
    <t>Cake Made With Glutinous Rice</t>
  </si>
  <si>
    <t>Cake Or Pancake Made With Rice Flour And/or Dried Beans</t>
  </si>
  <si>
    <t>Dosa (Indian) Plain</t>
  </si>
  <si>
    <t>Cake Made With Glutinous Rice And Dried Beans</t>
  </si>
  <si>
    <t>Funnel Cake With Sugar</t>
  </si>
  <si>
    <t>Funnel Cake With Sugar And Fruit</t>
  </si>
  <si>
    <t>Pasta Vegetable Cooked</t>
  </si>
  <si>
    <t>Noodles Cooked</t>
  </si>
  <si>
    <t>Noodles Whole Grain Cooked</t>
  </si>
  <si>
    <t>Noodles Vegetable Cooked</t>
  </si>
  <si>
    <t>Long Rice Noodles Made From Mung Beans Cooked</t>
  </si>
  <si>
    <t>Pasta Cooked</t>
  </si>
  <si>
    <t>Pasta Whole Grain Cooked</t>
  </si>
  <si>
    <t>Cereal Cooked Nfs</t>
  </si>
  <si>
    <t>Barley Ns As To Fat Added In Cooking</t>
  </si>
  <si>
    <t>Barley Fat Not Added In Cooking</t>
  </si>
  <si>
    <t>Barley Fat Added In Cooking</t>
  </si>
  <si>
    <t>Buckwheat Groats Ns As To Fat Added In Cooking</t>
  </si>
  <si>
    <t>Buckwheat Groats Fat Not Added In Cooking</t>
  </si>
  <si>
    <t>Buckwheat Groats Fat Added In Cooking</t>
  </si>
  <si>
    <t>Grits Ns As To Regular Quick Or Instant Ns As To Fat Added In Cooking</t>
  </si>
  <si>
    <t>Grits Ns As To Regular Quick Or Instant Fat Not Added In Cooking</t>
  </si>
  <si>
    <t>Grits Ns As To Regular Quick Or Instant Fat Added In Cooking</t>
  </si>
  <si>
    <t>Grits Regular Or Quick Made With Water Ns As To Fat Added In Cooking</t>
  </si>
  <si>
    <t>Grits Regular Or Quick Made With Water Fat Not Added In Cooking</t>
  </si>
  <si>
    <t>Grits Regular Or Quick Made With Water Fat Added In Cooking</t>
  </si>
  <si>
    <t>Grits Regular Or Quick Made With Milk Ns As To Fat Added In Cooking</t>
  </si>
  <si>
    <t>Grits Regular Or Quick Made With Milk Fat Not Added In Cooking</t>
  </si>
  <si>
    <t>Grits Regular Or Quick Made With Milk Fat Added In Cooking</t>
  </si>
  <si>
    <t>Grits Regular Or Quick Made With Non-Dairy Milk Ns As To Fat Added In Cooking</t>
  </si>
  <si>
    <t>Grits Regular Or Quick Made With Non-Dairy Milk Fat Not Added In Cooking</t>
  </si>
  <si>
    <t>Grits Regular Or Quick Made With Non-Dairy Milk Fat Added In Cooking</t>
  </si>
  <si>
    <t>Grits With Cheese Ns As To Fat Added In Cooking</t>
  </si>
  <si>
    <t>Grits With Cheese Fat Not Added In Cooking</t>
  </si>
  <si>
    <t>Grits With Cheese Fat Added In Cooking</t>
  </si>
  <si>
    <t>Grits Instant Made With Water Fat Not Added In Cooking</t>
  </si>
  <si>
    <t>Grits Instant Made With Water Fat Added In Cooking</t>
  </si>
  <si>
    <t>Grits Instant Made With Water Ns As To Fat Added In Cooking</t>
  </si>
  <si>
    <t>Grits Instant Made With Milk Fat Added In Cooking</t>
  </si>
  <si>
    <t>Grits Instant Made With Milk Fat Not Added In Cooking</t>
  </si>
  <si>
    <t>Grits Instant Made With Milk Ns As To Fat Added In Cooking</t>
  </si>
  <si>
    <t>Grits Instant Made With Non-Dairy Milk Ns As To Fat Added In Cooking</t>
  </si>
  <si>
    <t>Instant Grits (Made with Vegetable Fat)</t>
  </si>
  <si>
    <t>Grits Instant Made With Non-Dairy Milk Fat Added In Cooking</t>
  </si>
  <si>
    <t>Cornmeal Mush Ns As To Fat Added In Cooking</t>
  </si>
  <si>
    <t>Cornmeal Mush Fat Not Added In Cooking</t>
  </si>
  <si>
    <t>Cornmeal Mush Fat Added In Cooking</t>
  </si>
  <si>
    <t>Cornmeal Puerto Rican Style</t>
  </si>
  <si>
    <t>Cornmeal Dumpling</t>
  </si>
  <si>
    <t>Masa Harina Cooked</t>
  </si>
  <si>
    <t>Millet Ns As To Fat Added In Cooking</t>
  </si>
  <si>
    <t>Millet Fat Not Added In Cooking</t>
  </si>
  <si>
    <t>Millet Fat Added In Cooking</t>
  </si>
  <si>
    <t>Oatmeal From Fast Food Plain</t>
  </si>
  <si>
    <t>Oatmeal From Fast Food Maple Flavored</t>
  </si>
  <si>
    <t>Oatmeal From Fast Food Fruit Flavored</t>
  </si>
  <si>
    <t>Oatmeal From Fast Food Other Flavors</t>
  </si>
  <si>
    <t>Oatmeal Ns As To Regular Quick Or Instant Ns As To Fat Added In Cooking</t>
  </si>
  <si>
    <t>Oatmeal Ns As To Regular Quick Or Instant Fat Not Added In Cooking</t>
  </si>
  <si>
    <t>Oatmeal Ns As To Regular Quick Or Instant Fat Added In Cooking</t>
  </si>
  <si>
    <t>Oatmeal Regular Or Quick Made With Water Ns As To Fat Added In Cooking</t>
  </si>
  <si>
    <t>Oatmeal Regular Or Quick Made With Water Fat Not Added In Cooking</t>
  </si>
  <si>
    <t>Oatmeal Regular Or Quick Made With Water Fat Added In Cooking</t>
  </si>
  <si>
    <t>Oatmeal Regular Or Quick Made With Milk Ns As To Fat Added In Cooking</t>
  </si>
  <si>
    <t>Oatmeal Regular Or Quick Made With Milk Fat Not Added In Cooking</t>
  </si>
  <si>
    <t>Oatmeal Regular Or Quick Made With Milk Fat Added In Cooking</t>
  </si>
  <si>
    <t>Oatmeal Regular Or Quick Made With Non-Dairy Milk Ns As To Fat Added In Cooking</t>
  </si>
  <si>
    <t>Oatmeal Regular Or Quick Made With Non-Dairy Milk Fat Not Added In Cooking</t>
  </si>
  <si>
    <t>Oatmeal Regular Or Quick Made With Non-Dairy Milk Fat Added In Cooking</t>
  </si>
  <si>
    <t>Oatmeal Instant Plain Made With Water Ns As To Fat Added In Cooking</t>
  </si>
  <si>
    <t>Oatmeal Instant Plain Made With Water Fat Not Added In Cooking</t>
  </si>
  <si>
    <t>Oatmeal Instant Plain Made With Water Fat Added In Cooking</t>
  </si>
  <si>
    <t>Oatmeal Instant Plain Made With Milk Ns As To Fat Added In Cooking</t>
  </si>
  <si>
    <t>Oatmeal Instant Plain Made With Milk Fat Not Added In Cooking</t>
  </si>
  <si>
    <t>Oatmeal  Instant Plain Made With Milk Fat Added In Cooking</t>
  </si>
  <si>
    <t>Oatmeal Instant Plain Made With Non-Dairy Milk Ns As To Fat Added In Cooking</t>
  </si>
  <si>
    <t>Oatmeal Instant Plain Made With Non-Dairy Milk Fat Not Added In Cooking</t>
  </si>
  <si>
    <t>Oatmeal Instant Plain Made With Non-Dairy Milk Fat Added In Cooking</t>
  </si>
  <si>
    <t>Oatmeal Instant Maple Flavored Ns As To Fat Added In Cooking</t>
  </si>
  <si>
    <t>Oatmeal Instant Maple Flavored Fat Not Added In Cooking</t>
  </si>
  <si>
    <t>Oatmeal Instant Maple Flavored Fat Added In Cooking</t>
  </si>
  <si>
    <t>Oatmeal Instant Fruit Flavored Ns As To Fat Added In Cooking</t>
  </si>
  <si>
    <t>Oatmeal Instant Fruit Flavored Fat Not Added In Cooking</t>
  </si>
  <si>
    <t>Oatmeal Instant Fruit Flavored Fat Added In Cooking</t>
  </si>
  <si>
    <t>Oatmeal Instant Other Flavors Ns As To Fat Added In Cooking</t>
  </si>
  <si>
    <t>Oatmeal Instant Other Flavors Fat Not Added In Cooking</t>
  </si>
  <si>
    <t>Oatmeal Instant Other Flavors Fat Added In Cooking</t>
  </si>
  <si>
    <t>Oatmeal Reduced Sugar Plain Ns As To Fat Added In Cooking</t>
  </si>
  <si>
    <t>Oatmeal Reduced Sugar Plain Fat Not Added In Cooking</t>
  </si>
  <si>
    <t>Oatmeal Reduced Sugar Plain Fat Added In Cooking</t>
  </si>
  <si>
    <t>Oatmeal Made With Milk And Sugar Puerto Rican Style</t>
  </si>
  <si>
    <t>Oatmeal Reduced Sugar Flavored Ns As To Fat Added In Cooking</t>
  </si>
  <si>
    <t>Oatmeal Reduced Sugar Flavored Fat Not Added In Cooking</t>
  </si>
  <si>
    <t>Oatmeal Reduced Sugar Flavored Fat Added In Cooking</t>
  </si>
  <si>
    <t>Oatmeal Multigrain Ns As To Fat Added In Cooking</t>
  </si>
  <si>
    <t>Oatmeal Multigrain Fat Not Added In Cooking</t>
  </si>
  <si>
    <t>Oatmeal Multigrain Fat Added In Cooking</t>
  </si>
  <si>
    <t>Quinoa Ns As To Fat Added In Cooking</t>
  </si>
  <si>
    <t>Quinoa Fat Not Added In Cooking</t>
  </si>
  <si>
    <t>Quinoa Fat Added In Cooking</t>
  </si>
  <si>
    <t>Rice Cooked Nfs</t>
  </si>
  <si>
    <t>Rice White Cooked Ns As To Fat Added In Cooking</t>
  </si>
  <si>
    <t>Rice White Cooked Fat Added In Cooking Made With Oil</t>
  </si>
  <si>
    <t>Rice White Cooked Fat Added In Cooking Made With Butter</t>
  </si>
  <si>
    <t>Rice White Cooked Fat Added In Cooking Made With Margarine</t>
  </si>
  <si>
    <t>Rice White Cooked Fat Added In Cooking Ns As To Type Of Fat</t>
  </si>
  <si>
    <t>Rice White Cooked Fat Not Added In Cooking</t>
  </si>
  <si>
    <t>Rice Brown Cooked Ns As To Fat Added In Cooking</t>
  </si>
  <si>
    <t>Rice Brown Cooked Fat Added In Cooking Made With Oil</t>
  </si>
  <si>
    <t>Rice Brown Cooked Fat Added In Cooking Made With Butter</t>
  </si>
  <si>
    <t>Rice Brown Cooked Fat Added In Cooking Made With Margarine</t>
  </si>
  <si>
    <t>Rice Brown Cooked Fat Added In Cooking Ns As To Type Of Fat</t>
  </si>
  <si>
    <t>Rice Brown Cooked Fat Not Added In Cooking</t>
  </si>
  <si>
    <t>Rice Cream Of Cooked Fat Not Added In Cooking</t>
  </si>
  <si>
    <t>Rice Cooked With Milk</t>
  </si>
  <si>
    <t>Rice Sweet Cooked With Honey</t>
  </si>
  <si>
    <t>Rice Creamed Made With Milk And Sugar Puerto Rican Style</t>
  </si>
  <si>
    <t>Rice Cream Of Cooked Fat Added In Cooking</t>
  </si>
  <si>
    <t>Rice Cream Of Cooked Ns As To Fat Added In Cooking</t>
  </si>
  <si>
    <t>Rice Cream Of Cooked Made With Milk</t>
  </si>
  <si>
    <t>Congee</t>
  </si>
  <si>
    <t>Yellow Rice Cooked Ns As To Fat Added In Cooking</t>
  </si>
  <si>
    <t>Yellow Rice Cooked Fat Not Added In Cooking</t>
  </si>
  <si>
    <t>Yellow Rice Cooked Fat Added In Cooking</t>
  </si>
  <si>
    <t>Rice White Cooked Glutinous</t>
  </si>
  <si>
    <t>Rice Frozen Dessert Nondairy Flavors Other Than Chocolate</t>
  </si>
  <si>
    <t>Rice Wild 100% Cooked Ns As To Fat Added In Cooking</t>
  </si>
  <si>
    <t>Rice Wild 100% Cooked Fat Not Added In Cooking</t>
  </si>
  <si>
    <t>Rice Wild 100% Cooked Fat Added In Cooking</t>
  </si>
  <si>
    <t>Rice Dessert Bar Frozen Flavors Other Than Chocolate Nondairy Carob Covered</t>
  </si>
  <si>
    <t>Rice Dessert Bar Frozen Chocolate Nondairy Chocolate Covered</t>
  </si>
  <si>
    <t>Rice White And Wild Cooked Fat Not Added In Cooking</t>
  </si>
  <si>
    <t>Rice Brown And Wild Cooked Fat Not Added In Cooking</t>
  </si>
  <si>
    <t>Rice White And Wild Cooked Fat Added In Cooking</t>
  </si>
  <si>
    <t>Rice White And Wild Cooked Ns As To Fat Added In Cooking</t>
  </si>
  <si>
    <t>Rice Brown And Wild Cooked Fat Added In Cooking</t>
  </si>
  <si>
    <t>Rice Brown And Wild Cooked Ns As To Fat Added In Cooking</t>
  </si>
  <si>
    <t>Rice White Cooked With Fat Puerto Rican Style</t>
  </si>
  <si>
    <t>Cream Of Wheat Ns As To Regular Quick Or Instant Ns As To Fat Added In Cooking</t>
  </si>
  <si>
    <t>Cream Of Wheat Ns As To Regular Quick Or Instant Fat Not Added In Cooking</t>
  </si>
  <si>
    <t>Cream Of Wheat Ns As To Regular Quick Or Instant Fat Added In Cooking</t>
  </si>
  <si>
    <t>Cream Of Wheat Regular Or Quick Made With Water Ns As To Fat Added In Cooking</t>
  </si>
  <si>
    <t>Cream Of Wheat Regular Or Quick Made With Water Fat Not Added In Cooking</t>
  </si>
  <si>
    <t>Cream Of Wheat Regular Or Quick Made With Water Fat Added In Cooking</t>
  </si>
  <si>
    <t>Cream Of Wheat Regular Or Quick Made With Milk Ns As To Fat Added In Cooking</t>
  </si>
  <si>
    <t>Cream Of Wheat Regular Or Quick Made With Milk Fat Not Added In Cooking</t>
  </si>
  <si>
    <t>Cream Of Wheat Regular Or Quick Made With Milk Fat Added In Cooking</t>
  </si>
  <si>
    <t>Cream Of Wheat Regular Or Quick Made With Non-Dairy Milk Ns As To Fat Added In Cooking</t>
  </si>
  <si>
    <t>Cream Of Wheat Regular Or Quick Made With Non-Dairy Milk Fat Not Added In Cooking</t>
  </si>
  <si>
    <t>Cream Of Wheat Regular Or Quick Made With Non-Dairy Milk Fat Added In Cooking</t>
  </si>
  <si>
    <t>Cream Of Wheat Instant Made With Water Fat Not Added In Cooking</t>
  </si>
  <si>
    <t>Wheat Cream Of Cooked Made With Milk And Sugar Puerto Rican Style</t>
  </si>
  <si>
    <t>Cream Of Wheat Instant Made With Water Fat Added In Cooking</t>
  </si>
  <si>
    <t>Cream Of Wheat Instant Made With Water Ns As To Fat Added In Cooking</t>
  </si>
  <si>
    <t>Cream Of Wheat Instant Made With Milk Fat Added In Cooking</t>
  </si>
  <si>
    <t>Cream Of Wheat Instant Made With Milk Fat Not Added In Cooking</t>
  </si>
  <si>
    <t>Cream Of Wheat Instant Made With Milk Ns As To Fat Added In Cooking</t>
  </si>
  <si>
    <t>Cream Of Wheat Instant Made With Non-Dairy Milk Ns As To Fat Added In Cooking</t>
  </si>
  <si>
    <t>Cream Of Wheat Instant Made With Non-Dairy Milk Fat Not Added In Cooking</t>
  </si>
  <si>
    <t>Cream Of Wheat Instant Made With Non-Dairy Milk Fat Added In Cooking</t>
  </si>
  <si>
    <t>Bulgur Fat Not Added In Cooking</t>
  </si>
  <si>
    <t>Bulgur Fat Added In Cooking</t>
  </si>
  <si>
    <t>Bulgur Ns As To Fat Added In Cooking</t>
  </si>
  <si>
    <t>Couscous Plain Cooked</t>
  </si>
  <si>
    <t>Whole Wheat Cereal Cooked Ns As To Fat Added In Cooking</t>
  </si>
  <si>
    <t>Whole Wheat Cereal Cooked Fat Not Added In Cooking</t>
  </si>
  <si>
    <t>Whole Wheat Cereal Cooked Fat Added In Cooking</t>
  </si>
  <si>
    <t>Wheat Cereal Chocolate Flavored Cooked</t>
  </si>
  <si>
    <t>Cream Of Rye</t>
  </si>
  <si>
    <t>Cereal Nestum</t>
  </si>
  <si>
    <t>Cereal Oat Nfs</t>
  </si>
  <si>
    <t>Cereal Ready-To-Eat Nfs</t>
  </si>
  <si>
    <t>Cereal (General Mills Cheerios Apple Cinnamon)</t>
  </si>
  <si>
    <t>Cereal (General Mills Cheerios Banana Nut)</t>
  </si>
  <si>
    <t>Cereal (General Mills Basic 4)</t>
  </si>
  <si>
    <t>Cereal (General Mills Kix Berry Berry)</t>
  </si>
  <si>
    <t>Cereal (General Mills Cheerios Berry Burst)</t>
  </si>
  <si>
    <t>Cereal (General Mills Boo Berry)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</si>
  <si>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</si>
  <si>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</si>
  <si>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</si>
  <si>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</si>
  <si>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 (General Mills Lucky Charms Chocolate)</t>
  </si>
  <si>
    <t>Cereal (Kellogg's Cinnabon)</t>
  </si>
  <si>
    <t>Cereal (General Mills Cinnamon Toast Crunch)</t>
  </si>
  <si>
    <t>Cereal (General Mills Honey Nut Clusters)</t>
  </si>
  <si>
    <t>Cereal (Kellogg's Cocoa Krispies)</t>
  </si>
  <si>
    <t>Cereal (General Mills Cocoa Puffs)</t>
  </si>
  <si>
    <t>Cereal (General Mills 25% Less Sugar Cocoa Puffs)</t>
  </si>
  <si>
    <t>Cereal (General Mills Cookie Crisp)</t>
  </si>
  <si>
    <t>Cereal (General Mills Chex Corn)</t>
  </si>
  <si>
    <t>Cereal Corn Flakes</t>
  </si>
  <si>
    <t>Cereal (Kellogg's Corn Flakes)</t>
  </si>
  <si>
    <t>Cereal (General Mills Count Chocula)</t>
  </si>
  <si>
    <t>Cereal (Kellogg's Crispix)</t>
  </si>
  <si>
    <t>Cereal Crispy Brown Rice</t>
  </si>
  <si>
    <t>Cereal (General Mills Frankenberry)</t>
  </si>
  <si>
    <t>Cereal (Kellogg's Froot Loops Marshmallow)</t>
  </si>
  <si>
    <t>Cereal (General Mills Cheerios Frosted)</t>
  </si>
  <si>
    <t>Cereal Frosted Rice</t>
  </si>
  <si>
    <t>Cereal (Kellogg's Frosted Krispies)</t>
  </si>
  <si>
    <t>Cereal (General Mills Cheerios Fruity)</t>
  </si>
  <si>
    <t>Cereal (General Mills Golden Grahams)</t>
  </si>
  <si>
    <t>Cereal Granola</t>
  </si>
  <si>
    <t>Cereal (Kellogg's Low Fat Granola)</t>
  </si>
  <si>
    <t>Cereal (Kellogg's Low Fat Granola With Raisins)</t>
  </si>
  <si>
    <t>Cereal (Kellogg's Honey Crunch Corn Flakes)</t>
  </si>
  <si>
    <t>Cereal (General Mills Chex Honey Nut)</t>
  </si>
  <si>
    <t>Cereal (General Mills Cheerios Honey Nut)</t>
  </si>
  <si>
    <t>Cereal (Kellogg's Honey Smacks)</t>
  </si>
  <si>
    <t>Cereal (Kashi Heart To Heart Oat Flakes And Blueberry Clusters)</t>
  </si>
  <si>
    <t>Cereal (General Mills Lucky Charms)</t>
  </si>
  <si>
    <t>Cereal (Malt-O-Meal Blueberry Muffin Tops)</t>
  </si>
  <si>
    <t>Cereal (Malt-O-Meal Crispy Rice)</t>
  </si>
  <si>
    <t>Cereal (Malt-O-Meal Honey Graham Squares)</t>
  </si>
  <si>
    <t>Cereal (Malt-O-Meal Honey Nut Toasty O's)</t>
  </si>
  <si>
    <t>Cereal (Malt-O-Meal Golden Puffs)</t>
  </si>
  <si>
    <t>Cereal (Malt-O-Meal Toasted Oat Cereal)</t>
  </si>
  <si>
    <t>Cereal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</si>
  <si>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</si>
  <si>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</si>
  <si>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</si>
  <si>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</si>
  <si>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</si>
  <si>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(General Mills Oatmeal Crisp With Raisins)</t>
  </si>
  <si>
    <t>Cereal (Kellogg's Product 19)</t>
  </si>
  <si>
    <t>Cereal (General Mills Reese's Puffs)</t>
  </si>
  <si>
    <t>Cereal (General Mills Chex Rice)</t>
  </si>
  <si>
    <t>Cereal Rice Flakes</t>
  </si>
  <si>
    <t>Cereal (Kellogg's Rice Krispies)</t>
  </si>
  <si>
    <t>Cereal (Kellogg's Rice Krispies Treats Cereal)</t>
  </si>
  <si>
    <t>Cereal (Kellogg's Smart Start Strong)</t>
  </si>
  <si>
    <t>Cereal (Kellogg's Special K)</t>
  </si>
  <si>
    <t>Cereal (Kellogg's Special K Blueberry)</t>
  </si>
  <si>
    <t>Cereal (Kellogg's Special K Low Fat Granola)</t>
  </si>
  <si>
    <t>Cereal (Kellogg's Corn Pops)</t>
  </si>
  <si>
    <t>Cereal Frosted Corn Flakes</t>
  </si>
  <si>
    <t>Cereal (Kellogg's Frosted Flakes)</t>
  </si>
  <si>
    <t>Cereal (Kellogg's Frosted Flakes Reduced Sugar)</t>
  </si>
  <si>
    <t>Cereal (General Mills Trix)</t>
  </si>
  <si>
    <t>Cereal (General Mills 25% Less Sugar Trix)</t>
  </si>
  <si>
    <t>Cereal Puffed Wheat Sweetened</t>
  </si>
  <si>
    <t>Cereal (General Mills Cheerios Yogurt Burst)</t>
  </si>
  <si>
    <t>Cereal Baby Food Jarred Nfs</t>
  </si>
  <si>
    <t>Mixed Cereal With Applesauce And Bananas Baby Food Jarred</t>
  </si>
  <si>
    <t>Oatmeal With Applesauce And Bananas Baby Food Jarred</t>
  </si>
  <si>
    <t>Burrito Taco Or Quesadilla With Egg</t>
  </si>
  <si>
    <t>Burrito Taco Or Quesadilla With Egg And Potato</t>
  </si>
  <si>
    <t>Burrito Taco Or Quesadilla With Egg And Breakfast Meat</t>
  </si>
  <si>
    <t>Burrito Taco Or Quesadilla With Egg Potato And Breakfast Meat</t>
  </si>
  <si>
    <t>Burrito Taco Or Quesadilla With Egg Potato And Breakfast Meat From Fast Food</t>
  </si>
  <si>
    <t>Burrito Taco Or Quesadilla With Egg Beans And Breakfast Meat</t>
  </si>
  <si>
    <t>Burrito With Meat</t>
  </si>
  <si>
    <t>Burrito With Meat And Beans</t>
  </si>
  <si>
    <t>Burrito With Meat And Sour Cream</t>
  </si>
  <si>
    <t>Burrito With Meat Beans And Sour Cream</t>
  </si>
  <si>
    <t>Burrito With Meat Beans And Sour Cream From Fast Food</t>
  </si>
  <si>
    <t>Burrito With Meat Beans And Rice</t>
  </si>
  <si>
    <t>Burrito With Meat Beans Rice And Sour Cream</t>
  </si>
  <si>
    <t>Burrito With Chicken</t>
  </si>
  <si>
    <t>Burrito With Chicken And Beans</t>
  </si>
  <si>
    <t>Burrito With Chicken And Sour Cream</t>
  </si>
  <si>
    <t>Burrito With Chicken Beans And Sour Cream</t>
  </si>
  <si>
    <t>Burrito With Chicken Beans And Rice</t>
  </si>
  <si>
    <t>Burrito With Chicken Beans Rice And Sour Cream</t>
  </si>
  <si>
    <t>Burrito With Beans And Rice Meatless</t>
  </si>
  <si>
    <t>Burrito With Beans Meatless</t>
  </si>
  <si>
    <t>Burrito With Beans Rice And Sour Cream Meatless</t>
  </si>
  <si>
    <t>Chilaquiles Tortilla Casserole With Salsa Cheese And Egg</t>
  </si>
  <si>
    <t>Chilaquiles Tortilla Casserole With Salsa And Cheese No Egg</t>
  </si>
  <si>
    <t>Enchilada With Meat And Beans Red-Chile Or Enchilada Sauce</t>
  </si>
  <si>
    <t>Enchilada With Meat And Beans Green-Chile Or Enchilada Sauce</t>
  </si>
  <si>
    <t>Enchilada With Meat Red-Chile Or Enchilada Sauce</t>
  </si>
  <si>
    <t>Enchilada With Meat Green-Chile Or Enchilada Sauce</t>
  </si>
  <si>
    <t>Enchilada With Chicken And Beans Red-Chile Or Enchilada Sauce</t>
  </si>
  <si>
    <t>Enchilada With Chicken And Beans Green-Chile Or Enchilada Sauce</t>
  </si>
  <si>
    <t>Enchilada With Chicken Red-Chile Or Enchilada Sauce</t>
  </si>
  <si>
    <t>Enchilada With Chicken Green-Chile Or Enchilada Sauce</t>
  </si>
  <si>
    <t>Enchilada With Beans Meatless Red-Chile Or Enchilada Sauce</t>
  </si>
  <si>
    <t>Enchilada With Beans Green-Chile Or Enchilada Sauce</t>
  </si>
  <si>
    <t>Enchilada Just Cheese Meatless No Beans Red-Chile Or Enchilada Sauce</t>
  </si>
  <si>
    <t>Enchilada Just Cheese Meatless No Beans Green-Chile Or Enchilada Sauce</t>
  </si>
  <si>
    <t>Taco Or Tostada With Meat</t>
  </si>
  <si>
    <t>Taco Or Tostada With Meat And Sour Cream</t>
  </si>
  <si>
    <t>Soft Taco With Meat</t>
  </si>
  <si>
    <t>Soft Taco With Meat And Sour Cream</t>
  </si>
  <si>
    <t>Soft Taco With Meat And Sour Cream From Fast Food</t>
  </si>
  <si>
    <t>Soft Taco With Chicken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</si>
  <si>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</si>
  <si>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</si>
  <si>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</si>
  <si>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</si>
  <si>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</si>
  <si>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</si>
  <si>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</si>
  <si>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</si>
  <si>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</si>
  <si>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 Beans And Sour Cream</t>
  </si>
  <si>
    <t>Soft Taco With Chicken Beans And Sour Cream</t>
  </si>
  <si>
    <t>Taco Or Tostada With Beans</t>
  </si>
  <si>
    <t>Taco Or Tostada With Beans And Sour Cream</t>
  </si>
  <si>
    <t>Taco Or Tostada With Meat And Beans</t>
  </si>
  <si>
    <t>Taco Or Tostada With Meat And Beans From Fast Food</t>
  </si>
  <si>
    <t>Taco Or Tostada With Chicken And Beans</t>
  </si>
  <si>
    <t>Taco Or Tostada With Meat Beans And Sour Cream</t>
  </si>
  <si>
    <t>Taco Or Tostada With Chicken Beans And Sour Cream</t>
  </si>
  <si>
    <t>Ground Beef With Tomato Sauce And Taco Seasonings On A Cornbread Crust</t>
  </si>
  <si>
    <t>Mexican Casserole Made With Ground Beef Beans Tomato Sauce Cheese Taco Seasonings And Corn Chips</t>
  </si>
  <si>
    <t>Mexican Casserole Made With Ground Beef Tomato Sauce Cheese Taco Seasonings And Corn Chips</t>
  </si>
  <si>
    <t>Taco Or Tostada Salad With Meat</t>
  </si>
  <si>
    <t>Taco Or Tostada Salad With Chicken</t>
  </si>
  <si>
    <t>Taco Or Tostada Salad Meatless</t>
  </si>
  <si>
    <t>Taco Or Tostada Salad With Meat And Sour Cream</t>
  </si>
  <si>
    <t>Taco Or Tostada Salad With Chicken And Sour Cream</t>
  </si>
  <si>
    <t>Taco Or Tostada Salad Meatless With Sour Cream</t>
  </si>
  <si>
    <t>Tamale With Chicken</t>
  </si>
  <si>
    <t>Tamale Plain Meatless No Sauce Puerto Rican Style Or Carribean Style</t>
  </si>
  <si>
    <t>Tamale Meatless With Sauce Puerto Rican Or Caribbean Style</t>
  </si>
  <si>
    <t>Tamale Casserole With Meat</t>
  </si>
  <si>
    <t>Nachos With Cheese And Sour Cream</t>
  </si>
  <si>
    <t>Nachos With Meat And Cheese</t>
  </si>
  <si>
    <t>Nachos With Chicken And Cheese</t>
  </si>
  <si>
    <t>Nachos With Chili</t>
  </si>
  <si>
    <t>Nachos With Meat Cheese And Sour Cream</t>
  </si>
  <si>
    <t>Nachos With Chicken Cheese And Sour Cream</t>
  </si>
  <si>
    <t>Gordita Sope Or Chalupa With Beans</t>
  </si>
  <si>
    <t>Gordita Sope Or Chalupa With Beans And Sour Cream</t>
  </si>
  <si>
    <t>Gordita Sope Or Chalupa With Meat And Sour Cream</t>
  </si>
  <si>
    <t>Gordita Sope Or Chalupa With Meat</t>
  </si>
  <si>
    <t>Gordita Sope Or Chalupa With Chicken And Sour Cream</t>
  </si>
  <si>
    <t>Gordita Sope Or Chalupa With Chicken</t>
  </si>
  <si>
    <t>Chimichanga With Meat</t>
  </si>
  <si>
    <t>Chimichanga Meatless</t>
  </si>
  <si>
    <t>Chimichanga With Chicken</t>
  </si>
  <si>
    <t>Chimichanga With Meat And Sour Cream</t>
  </si>
  <si>
    <t>Chimichanga Meatless With Sour Cream</t>
  </si>
  <si>
    <t>Chimichanga With Chicken And Sour Cream</t>
  </si>
  <si>
    <t>Quesadilla Just Cheese Meatless</t>
  </si>
  <si>
    <t>Quesadilla Just Cheese From Fast Food</t>
  </si>
  <si>
    <t>Quesadilla With Meat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</si>
  <si>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</si>
  <si>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</si>
  <si>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</si>
  <si>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</si>
  <si>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</si>
  <si>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</si>
  <si>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</si>
  <si>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</si>
  <si>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</si>
  <si>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 Bean-Filled</t>
  </si>
  <si>
    <t>Pizza Cheese From School Lunch Medium Crust</t>
  </si>
  <si>
    <t>Pizza Extra Cheese Thin Crust</t>
  </si>
  <si>
    <t>Pizza Extra Cheese Thick Crust</t>
  </si>
  <si>
    <t>Pizza Cheese With Vegetables From Frozen Thin Crust</t>
  </si>
  <si>
    <t>Pizza Cheese With Vegetables From Frozen Thick Crust</t>
  </si>
  <si>
    <t>Pizza Cheese With Vegetables From Restaurant Or Fast Food Thin Crust</t>
  </si>
  <si>
    <t>Pizza Cheese With Vegetables From Restaurant Or Fast Food Medium Crust</t>
  </si>
  <si>
    <t>Pizza Cheese With Vegetables From Restaurant Or Fast Food Thick Crust</t>
  </si>
  <si>
    <t>Pizza With Cheese And Extra Vegetables Thin Crust</t>
  </si>
  <si>
    <t>Pizza With Cheese And Extra Vegetables Medium Crust</t>
  </si>
  <si>
    <t>Pizza With Cheese And Extra Vegetables Thick Crust</t>
  </si>
  <si>
    <t>Pizza Cheese With Fruit Thin Crust</t>
  </si>
  <si>
    <t>Pizza Cheese With Fruit Medium Crust</t>
  </si>
  <si>
    <t>Pizza Cheese With Fruit Thick Crust</t>
  </si>
  <si>
    <t>Pizza With Pepperoni From Frozen Thin Crust</t>
  </si>
  <si>
    <t>Pizza With Pepperoni From Frozen Medium Crust</t>
  </si>
  <si>
    <t>Pizza With Pepperoni From Frozen Thick Crust</t>
  </si>
  <si>
    <t>Pizza With Pepperoni Stuffed Crust</t>
  </si>
  <si>
    <t>Pizza With Pepperoni From School Lunch Medium Crust</t>
  </si>
  <si>
    <t>Pizza With Meat Other Than Pepperoni From Frozen Thin Crust</t>
  </si>
  <si>
    <t>Pizza With Meat Other Than Pepperoni From Frozen Medium Crust</t>
  </si>
  <si>
    <t>Pizza With Meat Other Than Pepperoni From Frozen Thick Crust</t>
  </si>
  <si>
    <t>Pizza With Meat Other Than Pepperoni Stuffed Crust</t>
  </si>
  <si>
    <t>Pizza With Meat Other Than Pepperoni From School Lunch Medium Crust</t>
  </si>
  <si>
    <t>Pizza With Extra Meat Thin Crust</t>
  </si>
  <si>
    <t>Pizza With Extra Meat Medium Crust</t>
  </si>
  <si>
    <t>Pizza With Extra Meat Thick Crust</t>
  </si>
  <si>
    <t>Pizza With Meat And Vegetables From Restaurant Or Fast Food Thin Crust</t>
  </si>
  <si>
    <t>Pizza With Meat And Vegetables From Restaurant Or Fast Food Thick Crust</t>
  </si>
  <si>
    <t>Pizza With Extra Meat And Extra Vegetables Thin Crust</t>
  </si>
  <si>
    <t>Pizza With Extra Meat And Extra Vegetables Thick Crust</t>
  </si>
  <si>
    <t>Pizza With Extra Meat And Extra Vegetables Medium Crust</t>
  </si>
  <si>
    <t>Pizza With Meat And Fruit Thin Crust</t>
  </si>
  <si>
    <t>Pizza With Meat And Fruit Medium Crust</t>
  </si>
  <si>
    <t>Pizza With Meat And Fruit Thick Crust</t>
  </si>
  <si>
    <t>Pizza With Beans And Vegetables Thin Crust</t>
  </si>
  <si>
    <t>Pizza With Beans And Vegetables Thick Crust</t>
  </si>
  <si>
    <t>Pizza No Cheese Thin Crust</t>
  </si>
  <si>
    <t>Pizza No Cheese Thick Crust</t>
  </si>
  <si>
    <t>White Pizza Cheese Thin Crust</t>
  </si>
  <si>
    <t>White Pizza Cheese Thick Crust</t>
  </si>
  <si>
    <t>White Pizza Cheese With Vegetables Thin Crust</t>
  </si>
  <si>
    <t>White Pizza Cheese With Vegetables Thick Crust</t>
  </si>
  <si>
    <t>White Pizza Cheese With Meat Thin Crust</t>
  </si>
  <si>
    <t>White Pizza Cheese With Meat Thick Crust</t>
  </si>
  <si>
    <t>White Pizza Cheese With Meat And Vegetables Thin Crust</t>
  </si>
  <si>
    <t>White Pizza Cheese With Meat And Vegetables Thick Crust</t>
  </si>
  <si>
    <t>Calzone With Cheese Meatless</t>
  </si>
  <si>
    <t>Calzone With Meat And Cheese</t>
  </si>
  <si>
    <t>Pizza Rolls</t>
  </si>
  <si>
    <t>Pizza Cheese Whole Wheat Thin Crust</t>
  </si>
  <si>
    <t>Pizza Cheese Whole Wheat Thick Crust</t>
  </si>
  <si>
    <t>Pizza With Meat Whole Wheat Thin Crust</t>
  </si>
  <si>
    <t>Pizza With Meat Whole Wheat Thick Crust</t>
  </si>
  <si>
    <t>Pizza Cheese And Vegetables Whole Wheat Thin Crust</t>
  </si>
  <si>
    <t>Pizza Cheese And Vegetables Whole Wheat Thick Crust</t>
  </si>
  <si>
    <t>Pizza Cheese Gluten-Free Thin Crust</t>
  </si>
  <si>
    <t>Pizza Cheese Gluten-Free Thick Crust</t>
  </si>
  <si>
    <t>Pizza With Meat Gluten-Free Thin Crust</t>
  </si>
  <si>
    <t>Pizza With Meat Gluten-Free Thick Crust</t>
  </si>
  <si>
    <t>Pizza Cheese And Vegetables Gluten-Free Thin Crust</t>
  </si>
  <si>
    <t>Pizza Cheese And Vegetables Gluten-Free Thick Crust</t>
  </si>
  <si>
    <t>Breakfast Pizza With Egg</t>
  </si>
  <si>
    <t>Egg Roll Meatless</t>
  </si>
  <si>
    <t>Egg Roll With Shrimp</t>
  </si>
  <si>
    <t>Egg Roll With Beef And/or Pork</t>
  </si>
  <si>
    <t>Egg Roll With Chicken Or Turkey</t>
  </si>
  <si>
    <t>Roll With Meat And/or Shrimp Vegetables And Rice Paper Not Fried</t>
  </si>
  <si>
    <t>Wonton Fried Filled With Meat Poultry Or Seafood</t>
  </si>
  <si>
    <t>Wonton Fried Meatless</t>
  </si>
  <si>
    <t>Wonton Fried Filled With Meat Poultry Or Seafood And Vegetable</t>
  </si>
  <si>
    <t>Puffs Fried Crab Meat And Cream Cheese Filled</t>
  </si>
  <si>
    <t>Dumpling Steamed Filled With Meat Poultry Or Seafood</t>
  </si>
  <si>
    <t>Tamale Casserole Puerto Rican Style</t>
  </si>
  <si>
    <t>Tamal In A Leaf Puerto Rican Style</t>
  </si>
  <si>
    <t>Taco With Crab Meat Puerto Rican Style</t>
  </si>
  <si>
    <t>Meat Turnover Puerto Rican Style</t>
  </si>
  <si>
    <t>Empanada Mexican Turnover Filled With Cheese And Vegetables</t>
  </si>
  <si>
    <t>Empanada Mexican Turnover Filled With Chicken And Vegetables</t>
  </si>
  <si>
    <t>Meat Pie Puerto Rican Style</t>
  </si>
  <si>
    <t>Cheese Turnover Puerto Rican Style</t>
  </si>
  <si>
    <t>Cornmeal Fritter Puerto Rican Style</t>
  </si>
  <si>
    <t>Cornmeal Stick Puerto Rican Style</t>
  </si>
  <si>
    <t>Kibby Puerto Rican Style</t>
  </si>
  <si>
    <t>Codfish Fritter Puerto Rican Style</t>
  </si>
  <si>
    <t>Hayacas Puerto Rican Style</t>
  </si>
  <si>
    <t>Cornstarch Coconut Dessert Puerto Rican Style</t>
  </si>
  <si>
    <t>Cornmeal Coconut Dessert Puerto Rican Style</t>
  </si>
  <si>
    <t>Crepe Filled With Meat Poultry Or Seafood With Sauce</t>
  </si>
  <si>
    <t>Crepe Filled With Meat Poultry Or Seafood No Sauce</t>
  </si>
  <si>
    <t>Dumpling Meat-Filled</t>
  </si>
  <si>
    <t>Dumpling Vegetable</t>
  </si>
  <si>
    <t>Gnocchi Cheese</t>
  </si>
  <si>
    <t>Gnocchi Potato</t>
  </si>
  <si>
    <t>Kishke Stuffed Derma</t>
  </si>
  <si>
    <t>Knish Potato</t>
  </si>
  <si>
    <t>Knish Cheese</t>
  </si>
  <si>
    <t>Knish Meat</t>
  </si>
  <si>
    <t>Sweet Bread Dough Filled With Meat Steamed</t>
  </si>
  <si>
    <t>Sweet Bread Dough Filled With Bean Paste Meatless Steamed</t>
  </si>
  <si>
    <t>Pastry Cheese-Filled</t>
  </si>
  <si>
    <t>Pastry Egg And Cheese Filled</t>
  </si>
  <si>
    <t>Pastry Meat / Poultry-Filled</t>
  </si>
  <si>
    <t>Spanakopitta</t>
  </si>
  <si>
    <t>Pastry Filled With Potatoes And Peas Fried</t>
  </si>
  <si>
    <t>Quiche With Meat Poultry Or Fish</t>
  </si>
  <si>
    <t>Spinach Quiche Meatless</t>
  </si>
  <si>
    <t>Cheese Quiche Meatless</t>
  </si>
  <si>
    <t>Turnover Filled With Ground Beef And Cabbage</t>
  </si>
  <si>
    <t>Turnover Meat-Filled No Gravy</t>
  </si>
  <si>
    <t>Turnover Meat-Filled With Gravy</t>
  </si>
  <si>
    <t>Turnover Meat- And Cheese-Filled No Gravy</t>
  </si>
  <si>
    <t>Turnover Meat- And Bean-Filled No Gravy</t>
  </si>
  <si>
    <t>Turnover Meat- And Cheese-Filled Tomato-Based Sauce</t>
  </si>
  <si>
    <t>Turnover Cheese-Filled Tomato-Based Sauce</t>
  </si>
  <si>
    <t>Turnover Filled With Meat And Vegetable No Potatoes No Gravy</t>
  </si>
  <si>
    <t>Turnover Meat- Potato- And Vegetable-Filled No Gravy</t>
  </si>
  <si>
    <t>Turnover Chicken With Gravy</t>
  </si>
  <si>
    <t>Vegetables In Pastry</t>
  </si>
  <si>
    <t>Vegetables And Cheese In Pastry</t>
  </si>
  <si>
    <t>Croissant Sandwich Filled With Broccoli And Cheese</t>
  </si>
  <si>
    <t>Croissant Sandwich Filled With Ham And Cheese</t>
  </si>
  <si>
    <t>Croissant Sandwich Filled With Chicken Broccoli And Cheese Sauce</t>
  </si>
  <si>
    <t>Croissant Sandwich With Sausage And Egg</t>
  </si>
  <si>
    <t>Croissant Sandwich With Bacon And Egg</t>
  </si>
  <si>
    <t>Croissant Sandwich With Bacon Egg And Cheese</t>
  </si>
  <si>
    <t>Vegetable Submarine Sandwich With Fat Free Spread</t>
  </si>
  <si>
    <t>Vegetable Submarine Sandwich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</si>
  <si>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</si>
  <si>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</si>
  <si>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</si>
  <si>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</si>
  <si>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</si>
  <si>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</si>
  <si>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</si>
  <si>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 Home Recipe</t>
  </si>
  <si>
    <t>Lasagna With Meat And Spinach</t>
  </si>
  <si>
    <t>Lasagna With Chicken Or Turkey</t>
  </si>
  <si>
    <t>Lasagna With Chicken Or Turkey And Spinach</t>
  </si>
  <si>
    <t>Lasagna Meatless With Vegetables</t>
  </si>
  <si>
    <t>Lasagna With Meat Whole Wheat Noodles</t>
  </si>
  <si>
    <t>Lasagna Meatless Whole Wheat Noodles</t>
  </si>
  <si>
    <t>Lasagna With Meat Spinach Noodles</t>
  </si>
  <si>
    <t>Lasagna Meatless Spinach Noodles</t>
  </si>
  <si>
    <t>Ravioli Ns As To Filling No Sauce</t>
  </si>
  <si>
    <t>Ravioli Ns As To Filling With Tomato Sauce</t>
  </si>
  <si>
    <t>Ravioli Ns As To Filling With Cream Sauce</t>
  </si>
  <si>
    <t>Ravioli Meat-Filled No Sauce</t>
  </si>
  <si>
    <t>Ravioli Meat-Filled With Tomato Sauce Or Meat Sauce</t>
  </si>
  <si>
    <t>Ravioli Meat-Filled With Cream Sauce</t>
  </si>
  <si>
    <t>Ravioli Cheese-Filled No Sauce</t>
  </si>
  <si>
    <t>Ravioli Cheese-Filled With Tomato Sauce</t>
  </si>
  <si>
    <t>Ravioli Cheese-Filled With Meat Sauce</t>
  </si>
  <si>
    <t>Ravioli Cheese-Filled With Cream Sauce</t>
  </si>
  <si>
    <t>Ravioli Cheese And Spinach-Filled No Sauce</t>
  </si>
  <si>
    <t>Ravioli Cheese And Spinach-Filled With Cream Sauce</t>
  </si>
  <si>
    <t>Ravioli Cheese And Spinach Filled With Tomato Sauce</t>
  </si>
  <si>
    <t>Manicotti Cheese-Filled No Sauce</t>
  </si>
  <si>
    <t>Manicotti Cheese-Filled With Tomato Sauce Meatless</t>
  </si>
  <si>
    <t>Manicotti Cheese-Filled With Meat Sauce</t>
  </si>
  <si>
    <t>Manicotti Vegetable- And Cheese-Filled With Tomato Sauce Meatless</t>
  </si>
  <si>
    <t>Stuffed Shells Cheese-Filled No Sauce</t>
  </si>
  <si>
    <t>Stuffed Shells Cheese-Filled With Tomato Sauce Meatless</t>
  </si>
  <si>
    <t>Stuffed Shells Cheese-Filled With Meat Sauce</t>
  </si>
  <si>
    <t>Stuffed Shells Cheese- And Spinach- Filled No Sauce</t>
  </si>
  <si>
    <t>Stuffed Shells With Chicken With Tomato Sauce</t>
  </si>
  <si>
    <t>Stuffed Shells With Fish And/or Shellfish With Tomato Sauce</t>
  </si>
  <si>
    <t>Tortellini Meat-Filled With Tomato Sauce</t>
  </si>
  <si>
    <t>Tortellini Meat-Filled With Tomato Sauce Canned</t>
  </si>
  <si>
    <t>Tortellini Cheese-Filled Meatless With Tomato Sauce</t>
  </si>
  <si>
    <t>Tortellini Cheese-Filled Meatless With Tomato Sauce Canned</t>
  </si>
  <si>
    <t>Tortellini Cheese-Filled Meatless With Vegetables And Vinaigrette Dressing</t>
  </si>
  <si>
    <t>Tortellini Cheese-Filled Meatless With Vinaigrette Dressing</t>
  </si>
  <si>
    <t>Tortellini Meat-Filled No Sauce</t>
  </si>
  <si>
    <t>Tortellini Cheese-Filled With Cream Sauce</t>
  </si>
  <si>
    <t>Tortellini Cheese-Filled No Sauce</t>
  </si>
  <si>
    <t>Tortellini Spinach-Filled With Tomato Sauce</t>
  </si>
  <si>
    <t>Tortellini Spinach-Filled No Sauce</t>
  </si>
  <si>
    <t>Cannelloni Cheese- And Spinach-Filled No Sauce</t>
  </si>
  <si>
    <t>Chow Fun Noodles With Meat And Vegetables</t>
  </si>
  <si>
    <t>Chow Fun Noodles With Vegetables Meatless</t>
  </si>
  <si>
    <t>Lo Mein With Shrimp</t>
  </si>
  <si>
    <t>Lo Mein With Pork</t>
  </si>
  <si>
    <t>Lo Mein With Beef</t>
  </si>
  <si>
    <t>Lo Mein With Chicken</t>
  </si>
  <si>
    <t>Pad Thai Nfs</t>
  </si>
  <si>
    <t>Pad Thai Meatless</t>
  </si>
  <si>
    <t>Pad Thai With Chicken</t>
  </si>
  <si>
    <t>Pad Thai With Seafood</t>
  </si>
  <si>
    <t>Pad Thai With Meat</t>
  </si>
  <si>
    <t>Adobo With Noodles</t>
  </si>
  <si>
    <t>Spaghetti With Corned Beef Puerto Rican Style</t>
  </si>
  <si>
    <t>Macaroni With Tuna Puerto Rican Style</t>
  </si>
  <si>
    <t>Macaroni Or Noodles With Cheese</t>
  </si>
  <si>
    <t>Macaroni Or Noodles With Cheese Made From Packaged Mix</t>
  </si>
  <si>
    <t>Macaroni Or Noodles With Cheese Easy Mac Type</t>
  </si>
  <si>
    <t>Macaroni Or Noodles With Cheese Made From Reduced Fat Packaged Mix</t>
  </si>
  <si>
    <t>Macaroni Or Noodles With Cheese And Tuna</t>
  </si>
  <si>
    <t>Macaroni Or Noodles With Cheese And Meat</t>
  </si>
  <si>
    <t>Macaroni Or Noodles With Cheese And Meat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</si>
  <si>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</si>
  <si>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</si>
  <si>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</si>
  <si>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</si>
  <si>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Pasta With Tomato-Based Sauce Cheese And Meat</t>
  </si>
  <si>
    <t>Pasta With Tomato-Based Sauce And Cheese</t>
  </si>
  <si>
    <t>Pasta With Vegetables No Sauce Or Dressing</t>
  </si>
  <si>
    <t>Pasta Meat-Filled With Gravy Canned</t>
  </si>
  <si>
    <t>Pasta With Sauce Nfs</t>
  </si>
  <si>
    <t>Pasta With Sauce Meatless School Lunch</t>
  </si>
  <si>
    <t>Pasta With Tomato-Based Sauce Restaurant</t>
  </si>
  <si>
    <t>Pasta With Tomato-Based Sauce Home Recipe</t>
  </si>
  <si>
    <t>Pasta With Tomato-Based Sauce Ready-To-Heat</t>
  </si>
  <si>
    <t>Pasta With Tomato-Based Sauce And Added Vegetables Restaurant</t>
  </si>
  <si>
    <t>Pasta With Tomato-Based Sauce And Added Vegetables Home Recipe</t>
  </si>
  <si>
    <t>Pasta With Tomato-Based Sauce And Added Vegetables Ready-To-Heat</t>
  </si>
  <si>
    <t>Pasta With Sauce And Meat From School Lunch</t>
  </si>
  <si>
    <t>Pasta With Tomato-Based Sauce And Meat Restaurant</t>
  </si>
  <si>
    <t>Pasta With Tomato-Based Sauce And Meat Home Recipe</t>
  </si>
  <si>
    <t>Pasta With Tomato-Based Sauce And Meat Ready-To-Heat</t>
  </si>
  <si>
    <t>Pasta With Tomato-Based Sauce Meat And Added Vegetables Restaurant</t>
  </si>
  <si>
    <t>Pasta With Tomato-Based Sauce Meat And Added Vegetables Home Recipe</t>
  </si>
  <si>
    <t>Pasta With Tomato-Based Sauce Meat And Added Vegetables Ready-To-Heat</t>
  </si>
  <si>
    <t>Pasta With Tomato-Based Sauce And Poultry Restaurant</t>
  </si>
  <si>
    <t>Pasta With Tomato-Based Sauce And Poultry Home Recipe</t>
  </si>
  <si>
    <t>Pasta With Tomato-Based Sauce And Poultry Ready-To-Heat</t>
  </si>
  <si>
    <t>Pasta With Tomato-Based Sauce Poultry And Added Vegetables Restaurant</t>
  </si>
  <si>
    <t>Pasta With Tomato-Based Sauce Poultry And Added Vegetables Home Recipe</t>
  </si>
  <si>
    <t>Pasta With Tomato-Based Sauce Poultry And Added Vegetables Ready-To-Heat</t>
  </si>
  <si>
    <t>Pasta With Tomato-Based Sauce And Seafood Restaurant</t>
  </si>
  <si>
    <t>Pasta With Tomato-Based Sauce And Seafood Home Recipe</t>
  </si>
  <si>
    <t>Pasta With Tomato-Based Sauce And Seafood Ready-To-Heat</t>
  </si>
  <si>
    <t>Pasta With Tomato-Based Sauce Seafood And Added Vegetables Restaurant</t>
  </si>
  <si>
    <t>Pasta With Tomato-Based Sauce Seafood And Added Vegetables Home Recipe</t>
  </si>
  <si>
    <t>Pasta With Tomato-Based Sauce Seafood And Added Vegetables Ready-To-Heat</t>
  </si>
  <si>
    <t>Pasta With Cream Sauce Restaurant</t>
  </si>
  <si>
    <t>Pasta With Cream Sauce Home Recipe</t>
  </si>
  <si>
    <t>Pasta With Cream Sauce Ready-To-Heat</t>
  </si>
  <si>
    <t>Pasta With Cream Sauce And Added Vegetables Restaurant</t>
  </si>
  <si>
    <t>Pasta With Cream Sauce And Added Vegetables From Home Recipe</t>
  </si>
  <si>
    <t>Pasta With Cream Sauce And Added Vegetables Ready-To-Heat</t>
  </si>
  <si>
    <t>Pasta With Cream Sauce And Meat Restaurant</t>
  </si>
  <si>
    <t>Pasta With Cream Sauce And Meat Home Recipe</t>
  </si>
  <si>
    <t>Pasta With Cream Sauce And Meat Ready-To-Heat</t>
  </si>
  <si>
    <t>Pasta With Cream Sauce Meat And Added Vegetables Restaurant</t>
  </si>
  <si>
    <t>Pasta With Cream Sauce Meat And Added Vegetables Home Recipe</t>
  </si>
  <si>
    <t>Pasta With Cream Sauce Meat And Added Vegetables Ready-To-Heat</t>
  </si>
  <si>
    <t>Pasta With Cream Sauce And Poultry Restaurant</t>
  </si>
  <si>
    <t>Pasta With Cream Sauce And Poultry Home Recipe</t>
  </si>
  <si>
    <t>Pasta With Cream Sauce And Poultry Ready-To-Heat</t>
  </si>
  <si>
    <t>Pasta With Cream Sauce Poultry And Added Vegetables Restaurant</t>
  </si>
  <si>
    <t>Pasta With Cream Sauce Poultry And Added Vegetables Home Recipe</t>
  </si>
  <si>
    <t>Pasta With Cream Sauce Poultry And Added Vegetables Ready-To-Heat</t>
  </si>
  <si>
    <t>Pasta With Cream Sauce And Seafood Restaurant</t>
  </si>
  <si>
    <t>Pasta With Cream Sauce And Seafood Home Recipe</t>
  </si>
  <si>
    <t>Pasta With Cream Sauce And Seafood Ready-To-Heat</t>
  </si>
  <si>
    <t>Pasta With Cream Sauce Seafood And Added Vegetables Restaurant</t>
  </si>
  <si>
    <t>Pasta With Cream Sauce Seafood And Added Vegetables Home Recipe</t>
  </si>
  <si>
    <t>Pasta With Cream Sauce Seafood And Added Vegetables Ready-To-Heat</t>
  </si>
  <si>
    <t>Pasta Whole Grain With Tomato-Based Sauce Restaurant</t>
  </si>
  <si>
    <t>Pasta Whole Grain With Tomato-Based Sauce Home Recipe</t>
  </si>
  <si>
    <t>Pasta Whole Grain With Tomato-Based Sauce Ready-To-Heat</t>
  </si>
  <si>
    <t>Pasta Whole Grain With Tomato-Based Sauce And Added Vegetables Restaurant</t>
  </si>
  <si>
    <t>Pasta Whole Grain With Tomato-Based Sauce And Added Vegetables Home Recipe</t>
  </si>
  <si>
    <t>Pasta Whole Grain With Tomato-Based Sauce And Added Vegetables Ready-To-Heat</t>
  </si>
  <si>
    <t>Pasta Whole Grain With Tomato-Based Sauce And Meat Restaurant</t>
  </si>
  <si>
    <t>Pasta Whole Grain With Tomato-Based Sauce And Meat Home Recipe</t>
  </si>
  <si>
    <t>Pasta Whole Grain With Tomato-Based Sauce And Meat Ready-To-Heat</t>
  </si>
  <si>
    <t>Pasta Whole Grain With Tomato-Based Sauce Meat And Added Vegetables Restaurant</t>
  </si>
  <si>
    <t>Pasta Whole Grain With Tomato-Based Sauce Meat And Added Vegetables Home Recipe</t>
  </si>
  <si>
    <t>Pasta Whole Grain With Tomato-Based Sauce Meat And Added Vegetables Ready-To-Heat</t>
  </si>
  <si>
    <t>Pasta Whole Grain With Tomato-Based Sauce And Poultry Restaurant</t>
  </si>
  <si>
    <t>Pasta Whole Grain With Tomato-Based Sauce And Poultry Home Recipe</t>
  </si>
  <si>
    <t>Pasta Whole Grain With Tomato-Based Sauce And Poultry Ready-To-Heat</t>
  </si>
  <si>
    <t>Pasta Whole Grain With Tomato-Based Sauce Poultry And Added Vegetables Restaurant</t>
  </si>
  <si>
    <t>Pasta Whole Grain With Tomato-Based Sauce Poultry And Added Vegetables Home Recipe</t>
  </si>
  <si>
    <t>Pasta Whole Grain With Tomato-Based Sauce Poultry And Added Vegetables Ready-To-Heat</t>
  </si>
  <si>
    <t>Pasta Whole Grain With Tomato-Based Sauce And Seafood Restaurant</t>
  </si>
  <si>
    <t>Pasta Whole Grain With Tomato-Based Sauce And Seafood Home Recipe</t>
  </si>
  <si>
    <t>Pasta Whole Grain With Tomato-Based Sauce And Seafood Ready-To-Heat</t>
  </si>
  <si>
    <t>Pasta Whole Grain With Tomato-Based Sauce Seafood And Added Vegetables Restaurant</t>
  </si>
  <si>
    <t>Pasta Whole Grain With Tomato-Based Sauce Seafood And Added Vegetables Home Recipe</t>
  </si>
  <si>
    <t>Pasta Whole Grain With Tomato-Based Sauce Seafood And Added Vegetables Ready-To-Heat</t>
  </si>
  <si>
    <t>Pasta Whole Grain With Cream Sauce Restaurant</t>
  </si>
  <si>
    <t>Pasta Whole Grain With Cream Sauce Home Recipe</t>
  </si>
  <si>
    <t>Pasta Whole Grain With Cream Sauce Ready-To-Heat</t>
  </si>
  <si>
    <t>Pasta Whole Grain With Cream Sauce And Added Vegetables Restaurant</t>
  </si>
  <si>
    <t>Pasta Whole Grain With Cream Sauce And Added Vegetables Home Recipe</t>
  </si>
  <si>
    <t>Pasta Whole Grain With Cream Sauce And Added Vegetables Ready-To-Heat</t>
  </si>
  <si>
    <t>Pasta Whole Grain With Cream Sauce And Meat Restaurant</t>
  </si>
  <si>
    <t>Pasta Whole Grain With Cream Sauce And Meat Home Recipe</t>
  </si>
  <si>
    <t>Pasta Whole Grain With Cream Sauce And Meat Ready-To-Heat</t>
  </si>
  <si>
    <t>Pasta Whole Grain With Cream Sauce Meat And Added Vegetables Restaurant</t>
  </si>
  <si>
    <t>Pasta Whole Grain With Cream Sauce Meat And Added Vegetables Home Recipe</t>
  </si>
  <si>
    <t>Pasta Whole Grain With Cream Sauce Meat And Added Vegetables Ready-To-Heat</t>
  </si>
  <si>
    <t>Pasta Whole Grain With Cream Sauce And Poultry Restaurant</t>
  </si>
  <si>
    <t>Pasta Whole Grain With Cream Sauce And Poultry Home Recipe</t>
  </si>
  <si>
    <t>Pasta Whole Grain With Cream Sauce And Poultry Ready-To-Heat</t>
  </si>
  <si>
    <t>Pasta Whole Grain With Cream Sauce Poultry And Added Vegetables Restaurant</t>
  </si>
  <si>
    <t>Pasta Whole Grain With Cream Sauce Poultry And Added Vegetables Home Recipe</t>
  </si>
  <si>
    <t>Pasta Whole Grain With Cream Sauce Poultry And Added Vegetables Ready-To-Heat</t>
  </si>
  <si>
    <t>Pasta Whole Grain With Cream Sauce And Seafood Restaurant</t>
  </si>
  <si>
    <t>Pasta Whole Grain With Cream Sauce And Seafood Home Recipe</t>
  </si>
  <si>
    <t>Pasta Whole Grain With Cream Sauce And Seafood Ready-To-Heat</t>
  </si>
  <si>
    <t>Pasta Whole Grain With Cream Sauce Seafood And Added Vegetables Restaurant</t>
  </si>
  <si>
    <t>Pasta Whole Grain With Cream Sauce Seafood And Added Vegetables Home Recipe</t>
  </si>
  <si>
    <t>Pasta Whole Grain With Cream Sauce Seafood And Added Vegetables Ready-To-Heat</t>
  </si>
  <si>
    <t>Pasta With Tomato-Based Sauce And Beans Or Lentils</t>
  </si>
  <si>
    <t>Macaroni Or Noodles Creamed With Cheese</t>
  </si>
  <si>
    <t>Macaroni Or Noodles Creamed With Cheese And Tuna</t>
  </si>
  <si>
    <t>Flavored Pasta</t>
  </si>
  <si>
    <t>Yat Ga Mein With Meat Fish Or Poultry</t>
  </si>
  <si>
    <t>Macaroni Or Pasta Salad Made With Mayonnaise</t>
  </si>
  <si>
    <t>Macaroni Or Pasta Salad Made With Light Mayonnaise</t>
  </si>
  <si>
    <t>Macaroni Or Pasta Salad Made With Mayonnaise-Type Salad Dressing</t>
  </si>
  <si>
    <t>Macaroni Or Pasta Salad Made With Light Mayonnaise-Type Salad Dressing</t>
  </si>
  <si>
    <t>Macaroni Or Pasta Salad Made With Italian Dressing</t>
  </si>
  <si>
    <t>Macaroni Or Pasta Salad Made With Light Italian Dressing</t>
  </si>
  <si>
    <t>Macaroni Or Pasta Salad Made With Creamy Dressing</t>
  </si>
  <si>
    <t>Macaroni Or Pasta Salad Made With Light Creamy Dressing</t>
  </si>
  <si>
    <t>Macaroni Or Pasta Salad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</si>
  <si>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</si>
  <si>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</si>
  <si>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</si>
  <si>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</si>
  <si>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</si>
  <si>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</si>
  <si>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</si>
  <si>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</si>
  <si>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</si>
  <si>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Noodle Pudding With Milk</t>
  </si>
  <si>
    <t>Somen Salad With Noodles Lettuce Egg Fish And Pork</t>
  </si>
  <si>
    <t>Bibimbap Korean</t>
  </si>
  <si>
    <t>Rice Fried With Chicken</t>
  </si>
  <si>
    <t>Rice Fried With Pork</t>
  </si>
  <si>
    <t>Rice Fried With Beef</t>
  </si>
  <si>
    <t>Rice Fried With Shrimp</t>
  </si>
  <si>
    <t>Dukboki Or Tteokbokki Korean</t>
  </si>
  <si>
    <t>Adobo With Rice</t>
  </si>
  <si>
    <t>Sushi Nfs</t>
  </si>
  <si>
    <t>Sushi Roll Avocado</t>
  </si>
  <si>
    <t>Sushi Roll California</t>
  </si>
  <si>
    <t>Sushi Roll Eel</t>
  </si>
  <si>
    <t>Sushi Roll Salmon</t>
  </si>
  <si>
    <t>Sushi Roll Shrimp</t>
  </si>
  <si>
    <t>Sushi Roll Tuna</t>
  </si>
  <si>
    <t>Sushi Roll Vegetable</t>
  </si>
  <si>
    <t>Sushi Topped With Crab</t>
  </si>
  <si>
    <t>Sushi Topped With Eel</t>
  </si>
  <si>
    <t>Sushi Topped With Salmon</t>
  </si>
  <si>
    <t>Sushi Topped With Shrimp</t>
  </si>
  <si>
    <t>Sushi Topped With Tuna</t>
  </si>
  <si>
    <t>Sushi Topped With Egg</t>
  </si>
  <si>
    <t>Rice With Chicken Puerto Rican Style</t>
  </si>
  <si>
    <t>Paella With Meat Valenciana Style</t>
  </si>
  <si>
    <t>Seafood Paella Puerto Rican Style</t>
  </si>
  <si>
    <t>Soupy Rice With Chicken Puerto Rican Style</t>
  </si>
  <si>
    <t>Soupy Rice Mixture With Chicken And Potatoes Puerto Rican Style</t>
  </si>
  <si>
    <t>Rice Meal Fritter Puerto Rican Style</t>
  </si>
  <si>
    <t>Stewed Rice Puerto Rican Style</t>
  </si>
  <si>
    <t>Rice With Squid Puerto Rican Style</t>
  </si>
  <si>
    <t>Fried Rice Puerto Rican Style</t>
  </si>
  <si>
    <t>Rice With Vienna Sausage Puerto Rican Style</t>
  </si>
  <si>
    <t>Rice With Spanish Sausage Puerto Rican Style</t>
  </si>
  <si>
    <t>Rice With Onions Puerto Rican Style</t>
  </si>
  <si>
    <t>Pigeon Pea Asopao Asopao De Gandules</t>
  </si>
  <si>
    <t>Rice With Stewed Beans Puerto Rican Style</t>
  </si>
  <si>
    <t>Spicy Rice Pudding Puerto Rican Style</t>
  </si>
  <si>
    <t>Rice Pudding Made With Coconut Milk Puerto Rican Style</t>
  </si>
  <si>
    <t>Congee With Meat Poultry And/or Seafood</t>
  </si>
  <si>
    <t>Congee With Meat Poultry And/or Seafood And Vegetables</t>
  </si>
  <si>
    <t>Congee With Vegetables</t>
  </si>
  <si>
    <t>Biryani With Vegetables</t>
  </si>
  <si>
    <t>Rice With Beans</t>
  </si>
  <si>
    <t>Rice With Beans And Tomatoes</t>
  </si>
  <si>
    <t>Rice With Beans And Chicken</t>
  </si>
  <si>
    <t>Rice With Beans And Beef</t>
  </si>
  <si>
    <t>Rice With Beans And Pork</t>
  </si>
  <si>
    <t>Red Beans And Rice</t>
  </si>
  <si>
    <t>Hopping John</t>
  </si>
  <si>
    <t>Rice White With Corn Ns As To Fat Added In Cooking</t>
  </si>
  <si>
    <t>Rice White With Corn Fat Not Added In Cooking</t>
  </si>
  <si>
    <t>Rice White With Corn Fat Added In Cooking</t>
  </si>
  <si>
    <t>Rice White With Peas Ns As To Fat Added In Cooking</t>
  </si>
  <si>
    <t>Rice White With Peas Fat Not Added In Cooking</t>
  </si>
  <si>
    <t>Rice White With Peas Fat Added In Cooking</t>
  </si>
  <si>
    <t>Rice White With Carrots Ns As To Fat Added In Cooking</t>
  </si>
  <si>
    <t>Rice White With Carrots Fat Not Added In Cooking</t>
  </si>
  <si>
    <t>Rice White With Carrots Fat Added In Cooking</t>
  </si>
  <si>
    <t>Rice White With Peas And Carrots Ns As To Fat Added In Cooking</t>
  </si>
  <si>
    <t>Rice White With Peas And Carrots Fat Not Added In Cooking</t>
  </si>
  <si>
    <t>Rice White With Peas And Carrots Fat Added In Cooking</t>
  </si>
  <si>
    <t>Rice White With Tomatoes And/or Tomato-Based Sauce Ns As To Fat Added In Cooking</t>
  </si>
  <si>
    <t>Rice White With Tomatoes And/or Tomato-Based Sauce Fat Not Added In Cooking</t>
  </si>
  <si>
    <t>Rice White With Tomatoes And/or Tomato-Based Sauce Fat Added In Cooking</t>
  </si>
  <si>
    <t>Rice White With Dark Green Vegetables Ns As To Fat Added In Cooking</t>
  </si>
  <si>
    <t>Rice White With Dark Green Vegetables Fat Not Added In Cooking</t>
  </si>
  <si>
    <t>Rice White With Dark Green Vegetables Fat Added In Cooking</t>
  </si>
  <si>
    <t>Rice White With Carrots And Tomatoes And/or Tomato-Based Sauce Ns As To Fat Added In Cooking</t>
  </si>
  <si>
    <t>Rice White With Carrots And Tomatoes And/or Tomato-Based Sauce Fat Not Added In Cooking</t>
  </si>
  <si>
    <t>Rice White With Carrots And Tomatoes And/or Tomato-Based Sauce Fat Added In Cooking</t>
  </si>
  <si>
    <t>Rice White With Dark Green Vegetables And Tomatoes And/or Tomato-Based Sauce Ns As To Fat Added In Cooking</t>
  </si>
  <si>
    <t>Rice White With Dark Green Vegetables And Tomatoes And/or Tomato-Based Sauce Fat Not Added In Cooking</t>
  </si>
  <si>
    <t>Rice White With Dark Green Vegetables And Tomatoes And/or Tomato-Based Sauce Fat Added In Cooking</t>
  </si>
  <si>
    <t>Rice White With Carrots And Dark Green Vegetables Ns As To Fat Added In Cooking</t>
  </si>
  <si>
    <t>Rice White With Carrots And Dark Green Vegetables Fat Not Added In Cooking</t>
  </si>
  <si>
    <t>Rice White With Carrots And Dark Green Vegetables Fat Added In Cooking</t>
  </si>
  <si>
    <t>Rice White With Carrots Dark Green Vegetables And Tomatoes And/or Tomato-Based Sauce Ns As To Fat Added In Cooking</t>
  </si>
  <si>
    <t>Rice White With Carrots Dark Green Vegetables And Tomatoes And/or Tomato-Based Sauce Fat Not Added In Cooking</t>
  </si>
  <si>
    <t>Rice White With Carrots Dark Green Vegetables And Tomatoes And/or Tomato-Based Sauce Fat Added In Cooking</t>
  </si>
  <si>
    <t>Rice White With Other Vegetables Ns As To Fat Added In Cooking</t>
  </si>
  <si>
    <t>Rice White With Other Vegetables Fat Not Added In Cooking</t>
  </si>
  <si>
    <t>Rice White With Other Vegetables Fat Added In Cooking</t>
  </si>
  <si>
    <t>Rice White With Lentils Ns As To Fat Added In Cooking</t>
  </si>
  <si>
    <t>Rice White With Lentils Fat Added In Cooking</t>
  </si>
  <si>
    <t>Rice White With Lentils Fat Not Added In Cooking</t>
  </si>
  <si>
    <t>Rice Cooked With Coconut Milk</t>
  </si>
  <si>
    <t>Rice Brown With Beans</t>
  </si>
  <si>
    <t>Rice Brown With Beans And Tomatoes</t>
  </si>
  <si>
    <t>Rice Brown With Corn Ns As To Fat Added In Cooking</t>
  </si>
  <si>
    <t>Rice Brown With Corn Fat Not Added In Cooking</t>
  </si>
  <si>
    <t>Rice Brown With Corn Fat Added In Cooking</t>
  </si>
  <si>
    <t>Rice Brown With Peas Ns As To Fat Added In Cooking</t>
  </si>
  <si>
    <t>Rice Brown With Peas Fat Not Added In Cooking</t>
  </si>
  <si>
    <t>Rice Brown With Peas Fat Added In Cooking</t>
  </si>
  <si>
    <t>Rice Brown With Carrots Ns As To Fat Added In Cooking</t>
  </si>
  <si>
    <t>Rice Brown With Carrots Fat Not Added In Cooking</t>
  </si>
  <si>
    <t>Rice Brown With Carrots Fat Added In Cooking</t>
  </si>
  <si>
    <t>Rice Brown With Peas And Carrots Ns As To Fat Added In Cooking</t>
  </si>
  <si>
    <t>Rice Brown With Peas And Carrots Fat Not Added In Cooking</t>
  </si>
  <si>
    <t>Rice Brown With Peas And Carrots Fat Added In Cooking</t>
  </si>
  <si>
    <t>Rice Brown With Tomatoes And/or Tomato Based Sauce Ns As To Fat Added In Cooking</t>
  </si>
  <si>
    <t>Rice Brown With Tomatoes And/or Tomato Based Sauce Fat Not Added In Cooking</t>
  </si>
  <si>
    <t>Rice Brown With Tomatoes And/or Tomato Based Sauce Fat Added In Cooking</t>
  </si>
  <si>
    <t>Rice Brown With Dark Green Vegetables Ns As To Fat Added In Cooking</t>
  </si>
  <si>
    <t>Rice Brown With Dark Green Vegetables Fat Not Added In Cooking</t>
  </si>
  <si>
    <t>Rice Brown With Dark Green Vegetables Fat Added In Cooking</t>
  </si>
  <si>
    <t>Rice Brown With Carrots And Tomatoes And/or Tomato-Based Sauce Ns As To Fat Added In Cooking</t>
  </si>
  <si>
    <t>Rice Brown With Carrots And Tomatoes And/or Tomato-Based Sauce Fat Not Added In Cooking</t>
  </si>
  <si>
    <t>Rice Brown With Carrots And Tomatoes And/or Tomato-Based Sauce Fat Added In Cooking</t>
  </si>
  <si>
    <t>Rice Brown With Dark Green Vegetables And Tomatoes And/or Tomato-Based Sauce Ns As To Fat Added In Cooking</t>
  </si>
  <si>
    <t>Rice Brown With Dark Green Vegetables And Tomatoes And/or Tomato-Based Sauce Fat Not Added In Cooking</t>
  </si>
  <si>
    <t>Rice Brown With Dark Green Vegetables And Tomatoes And/or Tomato-Based Sauce Fat Added In Cooking</t>
  </si>
  <si>
    <t>Rice Brown With Carrots And Dark Green Vegetables Ns As To Fat Added In Cooking</t>
  </si>
  <si>
    <t>Rice Brown With Carrots And Dark Green Vegetables Fat Not Added In Cooking</t>
  </si>
  <si>
    <t>Rice Brown With Carrots And Dark Green Vegetables Fat Added In Cooking</t>
  </si>
  <si>
    <t>Grape Leaves Stuffed With Rice</t>
  </si>
  <si>
    <t>Rice Brown With Carrots Dark Green Vegetables And Tomatoes And/or Tomato-Based Sauce Ns As To Fat Added In Cooking</t>
  </si>
  <si>
    <t>Rice Brown With Carrots Dark Green Vegetables And Tomatoes And/or Tomato-Based Sauce Fat Not Added In Cooking</t>
  </si>
  <si>
    <t>Rice Brown With Carrots Dark Green Vegetables And Tomatoes And/or Tomato-Based Sauce Fat Added In Cooking</t>
  </si>
  <si>
    <t>Rice Brown With Other Vegetables Ns As To Fat Added In Cooking</t>
  </si>
  <si>
    <t>Rice Brown With Other Vegetables Fat Not Added In Cooking</t>
  </si>
  <si>
    <t>Rice Brown With Other Vegetables Fat Added In Cooking</t>
  </si>
  <si>
    <t>Rice Croquette</t>
  </si>
  <si>
    <t>Stuffed Pepper With Meat</t>
  </si>
  <si>
    <t>Stuffed Pepper With Rice And Meat</t>
  </si>
  <si>
    <t>Stuffed Pepper With Rice Meatless</t>
  </si>
  <si>
    <t>Stuffed Tomato With Rice And Meat</t>
  </si>
  <si>
    <t>Stuffed Tomato With Rice Meatless</t>
  </si>
  <si>
    <t>Dirty Rice</t>
  </si>
  <si>
    <t>Flavored Rice Mixture</t>
  </si>
  <si>
    <t>Flavored Rice Mixture With Cheese</t>
  </si>
  <si>
    <t>Flavored Rice Brown And Wild</t>
  </si>
  <si>
    <t>Flavored Rice And Pasta Mixture</t>
  </si>
  <si>
    <t>Flavored Rice And Pasta Mixture Reduced Sodium</t>
  </si>
  <si>
    <t>Spanish Rice Fat Added In Cooking</t>
  </si>
  <si>
    <t>Spanish Rice Fat Not Added In Cooking</t>
  </si>
  <si>
    <t>Spanish Rice Ns As To Fat Added In Cooking</t>
  </si>
  <si>
    <t>Spanish Rice With Ground Beef</t>
  </si>
  <si>
    <t>Rice Dressing</t>
  </si>
  <si>
    <t>Rice With Raisins</t>
  </si>
  <si>
    <t>Rice Dessert Or Salad With Fruit</t>
  </si>
  <si>
    <t>Rice White With Cheese And/or Cream Based Sauce Ns As To Fat Added In Cooking</t>
  </si>
  <si>
    <t>Rice White With Cheese And/or Cream Based Sauce Fat Not Added In Cooking</t>
  </si>
  <si>
    <t>Rice White With Cheese And/or Cream Based Sauce Fat Added In Cooking</t>
  </si>
  <si>
    <t>Rice White With Gravy Ns As To Fat Added In Cooking</t>
  </si>
  <si>
    <t>Rice White With Gravy Fat Not Added In Cooking</t>
  </si>
  <si>
    <t>Rice White With Gravy Fat Added In Cooking</t>
  </si>
  <si>
    <t>Rice White With Soy-Based Sauce Ns As To Fat Added In Cooking</t>
  </si>
  <si>
    <t>Rice White With Soy-Based Sauce Fat Not Added In Cooking</t>
  </si>
  <si>
    <t>Rice White With Soy-Based Sauce Fat Added In Cooking</t>
  </si>
  <si>
    <t>Rice Brown With Cheese And/or Cream Based Sauce Ns As To Fat Added In Cooking</t>
  </si>
  <si>
    <t>Rice Brown With Cheese And/or Cream Based Sauce Fat Not Added In Cooking</t>
  </si>
  <si>
    <t>Rice Brown With Cheese And/or Cream Based Sauce Fat Added In Cooking</t>
  </si>
  <si>
    <t>Rice Brown With Gravy Ns As To Fat Added In Cooking</t>
  </si>
  <si>
    <t>Rice Brown With Gravy Fat Not Added In Cooking</t>
  </si>
  <si>
    <t>Rice Brown With Gravy Fat Added In Cooking</t>
  </si>
  <si>
    <t>Rice Brown With Soy-Based Sauce Ns As To Fat Added In Cooking</t>
  </si>
  <si>
    <t>Rice Brown With Soy-Based Sauce Fat Not Added In Cooking</t>
  </si>
  <si>
    <t>Rice Brown With Soy-Based Sauce Fat Added In Cooking</t>
  </si>
  <si>
    <t>Rice White With Vegetables Cheese And/or Cream Based Sauce Ns As To Fat Added In Cooking</t>
  </si>
  <si>
    <t>Rice White With Vegetables Cheese And/or Cream Based Sauce Fat Not Added In Cooking</t>
  </si>
  <si>
    <t>Rice White With Vegetables Cheese And/or Cream Based Sauce Fat Added In Cooking</t>
  </si>
  <si>
    <t>Rice White With Vegetables And Gravy Ns As To Fat Added In Cooking</t>
  </si>
  <si>
    <t>Rice White With Vegetables And Gravy Fat Not Added In Cooking</t>
  </si>
  <si>
    <t>Rice White With Vegetables And Gravy Fat Added In Cooking</t>
  </si>
  <si>
    <t>Rice White With Vegetables Soy-Based Sauce Ns As To Fat Added In Cooking</t>
  </si>
  <si>
    <t>Rice White With Vegetables Soy-Based Sauce Fat Not Added In Cooking</t>
  </si>
  <si>
    <t>Rice White With Vegetables Soy-Based Sauce Fat Added In Cooking</t>
  </si>
  <si>
    <t>Rice Brown With Vegetables Cheese And/or Cream Based Sauce Ns As To Fat Added In Cooking</t>
  </si>
  <si>
    <t>Rice Brown With Vegetables Cheese And/or Cream Based Sauce Fat Not Added In Cooking</t>
  </si>
  <si>
    <t>Rice Brown With Vegetables Cheese And/or Cream Based Sauce Fat Added In Cooking</t>
  </si>
  <si>
    <t>Rice Brown With Vegetables And Gravy Ns As To Fat Added In Cooking</t>
  </si>
  <si>
    <t>Rice Brown With Vegetables And Gravy Fat Not Added In Cooking</t>
  </si>
  <si>
    <t>Rice Brown With Vegetables And Gravy Fat Added In Cooking</t>
  </si>
  <si>
    <t>Rice Brown With Vegetables Soy-Based Sauce Ns As To Fat Added In Cooking</t>
  </si>
  <si>
    <t>Rice Brown With Vegetables Soy-Based Sauce Fat Not Added In Cooking</t>
  </si>
  <si>
    <t>Rice Brown With Vegetables Soy-Based Sauce Fat Added In Cooking</t>
  </si>
  <si>
    <t>Upma Indian Breakfast Dish</t>
  </si>
  <si>
    <t>Dosa (Indian) With Filling</t>
  </si>
  <si>
    <t>Vada Fried Dumpling</t>
  </si>
  <si>
    <t>Tabbouleh</t>
  </si>
  <si>
    <t>Wrap Sandwich Filled With Meat Poultry Or Fish Vegetables And Rice</t>
  </si>
  <si>
    <t>Wrap Sandwich Filled With Vegetables And Rice</t>
  </si>
  <si>
    <t>Wrap Sandwich Filled With Vegetables</t>
  </si>
  <si>
    <t>Wrap Sandwich Filled With Meat Poultry Or Fish Vegetables Rice And Cheese</t>
  </si>
  <si>
    <t>Jelly Sandwich Regular Jelly Nfs</t>
  </si>
  <si>
    <t>Jelly Sandwich Regular Jelly On White Bread</t>
  </si>
  <si>
    <t>Jelly Sandwich Regular Jelly On Wheat Bread</t>
  </si>
  <si>
    <t>Jelly Sandwich Regular Jelly On Whole Wheat Bread</t>
  </si>
  <si>
    <t>Jelly Sandwich Reduced Sugar Jelly On White Bread</t>
  </si>
  <si>
    <t>Jelly Sandwich Reduced Sugar Jelly On Wheat Bread</t>
  </si>
  <si>
    <t>Jelly Sandwich Reduced Sugar Jelly On Whole Wheat Bread</t>
  </si>
  <si>
    <t>Lasagna With Cheese And Sauce Diet Frozen Meal</t>
  </si>
  <si>
    <t>Veal Lasagna Diet Frozen Meal</t>
  </si>
  <si>
    <t>Lasagna With Cheese And Meat Sauce Diet Frozen Meal</t>
  </si>
  <si>
    <t>Vegetable Lasagna Frozen Meal</t>
  </si>
  <si>
    <t>Zucchini Lasagna Diet Frozen Meal</t>
  </si>
  <si>
    <t>Macaroni And Cheese Diet Frozen Meal</t>
  </si>
  <si>
    <t>Beef And Noodles With Meat Sauce And Cheese Diet Frozen Meal</t>
  </si>
  <si>
    <t>Noodles With Vegetables In Tomato-Based Sauce Diet Frozen Meal</t>
  </si>
  <si>
    <t>Rice With Broccoli Cheese Sauce Frozen Side Dish</t>
  </si>
  <si>
    <t>Rice With Green Beans Water Chestnuts In Sherry Mushroom Sauce Frozen Side Dish</t>
  </si>
  <si>
    <t>Spaghetti And Meatballs Dinner NFS Frozen Meal</t>
  </si>
  <si>
    <t>Spaghetti And Meatballs With Tomato Sauce Sliced Apples Bread Frozen Meal</t>
  </si>
  <si>
    <t>Spaghetti With Meat And Mushroom Sauce Diet Frozen Meal</t>
  </si>
  <si>
    <t>Spaghetti With Meat Sauce Diet Frozen Meal</t>
  </si>
  <si>
    <t>Ravioli Cheese-Filled With Tomato Sauce Diet Frozen Meal</t>
  </si>
  <si>
    <t>Rigatoni With Meat Sauce And Cheese Diet Frozen Meal</t>
  </si>
  <si>
    <t>Manicotti Cheese-Filled With Tomato Sauce Diet Frozen Meal</t>
  </si>
  <si>
    <t>Cannelloni Cheese-Filled With Tomato Sauce Diet Frozen Meal</t>
  </si>
  <si>
    <t>Linguini With Vegetables And Seafood In White Wine Sauce Diet Frozen Meal</t>
  </si>
  <si>
    <t>Pasta With Vegetable And Cheese Sauce Diet Frozen Meal</t>
  </si>
  <si>
    <t>Beef Enchilada Dinner NFS Frozen Meal</t>
  </si>
  <si>
    <t>Beef Enchilada Chili Gravy Rice Refried Beans Frozen Meal</t>
  </si>
  <si>
    <t>Cheese Enchilada Frozen Meal</t>
  </si>
  <si>
    <t>Chicken Enchilada Diet Frozen Meal</t>
  </si>
  <si>
    <t>Chicken Fajitas Diet Frozen Meal</t>
  </si>
  <si>
    <t>Chicken Burritos Diet Frozen Meal</t>
  </si>
  <si>
    <t>Sausage And French Toast Frozen Meal</t>
  </si>
  <si>
    <t>Pancakes And Sausage Frozen Meal</t>
  </si>
  <si>
    <t>Soup Nfs</t>
  </si>
  <si>
    <t>Noodle Soup Nfs</t>
  </si>
  <si>
    <t>Rice Soup Nfs</t>
  </si>
  <si>
    <t>Barley Soup Sweet With Or Without Nuts Asian Style</t>
  </si>
  <si>
    <t>Beef Noodle Soup Canned Or Ready-To-Serve</t>
  </si>
  <si>
    <t>Beef Noodle Soup Home Recipe</t>
  </si>
  <si>
    <t>Chicken Or Turkey Noodle Soup Canned Or Ready-To-Serve</t>
  </si>
  <si>
    <t>Chicken Or Turkey Noodle Soup Home Recipe</t>
  </si>
  <si>
    <t>Chicken Or Turkey Noodle Soup Cream Of Home Recipe Canned Or Ready-To-Serve</t>
  </si>
  <si>
    <t>Noodle And Potato Soup Puerto Rican Style</t>
  </si>
  <si>
    <t>Chicken Or Turkey Rice Soup Canned Or Ready-To-Serve</t>
  </si>
  <si>
    <t>Chicken Or Turkey Rice Soup Home Recipe</t>
  </si>
  <si>
    <t>Chicken Or Turkey Rice Soup Reduced Sodium Canned Prepared With Water Or Ready-To-Serve</t>
  </si>
  <si>
    <t>Chicken Or Turkey Rice Soup Reduced Sodium Canned Prepared With Milk</t>
  </si>
  <si>
    <t>Rice And Potato Soup Puerto Rican Style</t>
  </si>
  <si>
    <t>Matzo Ball Soup</t>
  </si>
  <si>
    <t>Instant Soup Noodle</t>
  </si>
  <si>
    <t>Soup Mostly Noodles</t>
  </si>
  <si>
    <t>Soup Mostly Noodles Reduced Sodium</t>
  </si>
  <si>
    <t>Instant Soup Noodle With Egg Shrimp Or Chicken</t>
  </si>
  <si>
    <t>Noodle Soup With Vegetables Asian Style</t>
  </si>
  <si>
    <t>Noodle Soup With Fish Ball Shrimp And Dark Green Leafy Vegetable</t>
  </si>
  <si>
    <t>Sopa Seca Mexican Style Nfs</t>
  </si>
  <si>
    <t>Sopa Seca De Fideo Mexican Style Made With Dry Noodles Home Recipe</t>
  </si>
  <si>
    <t>Sopa De Fideo Aguada Mexican Style Noodle Soup Home Recipe</t>
  </si>
  <si>
    <t>Sopa Seca De Arroz Home Recipe Mexican Style</t>
  </si>
  <si>
    <t>Sopa De Tortilla Mexican Style Tortilla Soup Home Recipe</t>
  </si>
  <si>
    <t>Macaroni Tomatoes And Beef Baby Food Ns As To Strained Or Junior</t>
  </si>
  <si>
    <t>Macaroni With Beef And Tomato Sauce Baby Food Toddler</t>
  </si>
  <si>
    <t>Macaroni And Cheese Baby Food Strained</t>
  </si>
  <si>
    <t>Meat Substitute Cereal- And Vegetable Protein-Based Fried</t>
  </si>
  <si>
    <t>Grapefruit And Orange Sections Raw</t>
  </si>
  <si>
    <t>Grapefruit And Orange Sections Cooked Canned Or Frozen Ns As To Added Sweetener</t>
  </si>
  <si>
    <t>Grapefruit And Orange Sections Cooked Canned Or Frozen Unsweetened Water Pack</t>
  </si>
  <si>
    <t>Grapefruit And Orange Sections Cooked Canned Or Frozen In Light Syrup</t>
  </si>
  <si>
    <t>Kumquat Cooked Or Canned In Syrup</t>
  </si>
  <si>
    <t>Lemon Pie Filling</t>
  </si>
  <si>
    <t>Orange Sections Canned Juice Pack</t>
  </si>
  <si>
    <t>Grapefruit Juice 100% Ns As To Form</t>
  </si>
  <si>
    <t>Grapefruit Juice 100% Canned Bottled Or In A Carton</t>
  </si>
  <si>
    <t>Grapefruit Juice 100% With Calcium Added</t>
  </si>
  <si>
    <t>Grapefruit Juice100% Frozen Reconstituted</t>
  </si>
  <si>
    <t>Orange Juice 100% Nfs</t>
  </si>
  <si>
    <t>Orange Juice 100% Frozen Reconstituted</t>
  </si>
  <si>
    <t>Orange Juice 100% With Calcium Added Frozen Reconstituted</t>
  </si>
  <si>
    <t>Apple Dried Cooked Ns As To Sweetened Or Unsweetened; Sweetened Ns As To Type Of Sweetener</t>
  </si>
  <si>
    <t>Apple Dried Cooked With Sugar</t>
  </si>
  <si>
    <t>Apple Chips</t>
  </si>
  <si>
    <t>Apricot Dried Cooked Ns As To Sweetened Or Unsweetened; Sweetened Ns As To Type Of Sweetener</t>
  </si>
  <si>
    <t>Apricot Dried Cooked With Sugar</t>
  </si>
  <si>
    <t>Fig Dried Cooked Ns As To Sweetened Or Unsweetened; Sweetened Ns As To Type Of Sweetener</t>
  </si>
  <si>
    <t>Fig Dried Cooked With Sugar</t>
  </si>
  <si>
    <t>Papaya Dried</t>
  </si>
  <si>
    <t>Peach Dried Cooked Ns As To Sweetened Or Unsweetened; Sweetened Ns As To Type Of Sweetener</t>
  </si>
  <si>
    <t>Peach Dried Cooked With Sugar</t>
  </si>
  <si>
    <t>Pear Dried Cooked Ns As To Sweetened Or Unsweetened; Sweetened Ns As To Type Of Sweetener</t>
  </si>
  <si>
    <t>Pear Dried Cooked With Sugar</t>
  </si>
  <si>
    <t>Pineapple Dried</t>
  </si>
  <si>
    <t>Prune Dried Cooked Ns As To Sweetened Or Unsweetened; Sweetened Ns As To Type Of Sweetener</t>
  </si>
  <si>
    <t>Prune Dried Cooked With Sugar</t>
  </si>
  <si>
    <t>Raisins Cooked</t>
  </si>
  <si>
    <t>Fruit Ns As To Type</t>
  </si>
  <si>
    <t>Apple Baked Ns As To Added Sweetener</t>
  </si>
  <si>
    <t>Apple Baked Unsweetened</t>
  </si>
  <si>
    <t>Apple Baked With Sugar</t>
  </si>
  <si>
    <t>Apple Rings Fried</t>
  </si>
  <si>
    <t>Apple Pickled</t>
  </si>
  <si>
    <t>Apple Fried</t>
  </si>
  <si>
    <t>Banana Red Fried</t>
  </si>
  <si>
    <t>Banana Baked</t>
  </si>
  <si>
    <t>Banana Ripe Fried</t>
  </si>
  <si>
    <t>Banana Batter-Dipped Fried</t>
  </si>
  <si>
    <t>Starfruit Cooked With Sugar</t>
  </si>
  <si>
    <t>Cherry Pie Filling</t>
  </si>
  <si>
    <t>Guava Shell Canned In Heavy Syrup</t>
  </si>
  <si>
    <t>Lychee Cooked Or Canned In Sugar Or Syrup</t>
  </si>
  <si>
    <t>Mango Pickled</t>
  </si>
  <si>
    <t>Mango Cooked</t>
  </si>
  <si>
    <t>Nectarine Cooked</t>
  </si>
  <si>
    <t>Papaya Green Cooked</t>
  </si>
  <si>
    <t>Papaya Cooked Or Canned In Sugar Or Syrup</t>
  </si>
  <si>
    <t>Peach Pickled</t>
  </si>
  <si>
    <t>Plum Pickled</t>
  </si>
  <si>
    <t>Rhubarb Cooked Or Canned Unsweetened</t>
  </si>
  <si>
    <t>Rhubarb Cooked Or Canned In Light Syrup</t>
  </si>
  <si>
    <t>Rhubarb Cooked Or Canned Drained Solids</t>
  </si>
  <si>
    <t>Blackberries Frozen Sweetened Ns As To Type Of Sweetener</t>
  </si>
  <si>
    <t>Blueberries Cooked Or Canned Unsweetened Water Pack</t>
  </si>
  <si>
    <t>Raspberries Cooked Or Canned Unsweetened Water Pack</t>
  </si>
  <si>
    <t>Raspberries Frozen Unsweetened</t>
  </si>
  <si>
    <t>Strawberries Raw With Sugar</t>
  </si>
  <si>
    <t>Strawberries Cooked Or Canned Unsweetened Water Pack</t>
  </si>
  <si>
    <t>Ambrosia</t>
  </si>
  <si>
    <t>Cranberry-Orange Relish Uncooked</t>
  </si>
  <si>
    <t>Cranberry-Raspberry Sauce</t>
  </si>
  <si>
    <t>Fruit Salad Fresh Or Raw  Excluding Citrus Fruits No Dressing</t>
  </si>
  <si>
    <t>Fruit Salad Fresh Or Raw Including Citrus Fruits No Dressing</t>
  </si>
  <si>
    <t>Fruit Cocktail Or Mix Frozen</t>
  </si>
  <si>
    <t>Fruit Salad Puerto Rican Style</t>
  </si>
  <si>
    <t>Apple Salad With Dressing</t>
  </si>
  <si>
    <t>Apple Candied</t>
  </si>
  <si>
    <t>Banana Whip</t>
  </si>
  <si>
    <t>Prune Whip</t>
  </si>
  <si>
    <t>Fried Dwarf Banana Puerto Rican Style</t>
  </si>
  <si>
    <t>Fried Dwarf Banana With Cheese Puerto Rican Style</t>
  </si>
  <si>
    <t>Fruit Salad Excluding Citrus Fruits With Salad Dressing Or Mayonnaise</t>
  </si>
  <si>
    <t>Fruit Salad Excluding Citrus Fruits With Whipped Cream</t>
  </si>
  <si>
    <t>Fruit Salad Excluding Citrus Fruits With Nondairy Whipped Topping</t>
  </si>
  <si>
    <t>Fruit Salad Excluding Citrus Fruits With Marshmallows</t>
  </si>
  <si>
    <t>Fruit Salad Including Citrus Fruits With Pudding</t>
  </si>
  <si>
    <t>Fruit Salad Excluding Citrus Fruits With Pudding</t>
  </si>
  <si>
    <t>Fruit Salad Including Citrus Fruits With Salad Dressing Or Mayonnaise</t>
  </si>
  <si>
    <t>Fruit Salad Including Citrus Fruit With Whipped Cream</t>
  </si>
  <si>
    <t>Fruit Salad Including Citrus Fruits With Nondairy Whipped Topping</t>
  </si>
  <si>
    <t>Fruit Salad Including Citrus Fruits With Marshmallows</t>
  </si>
  <si>
    <t>Fruit Dessert With Cream And/or Pudding And Nuts</t>
  </si>
  <si>
    <t>Lime Souffle</t>
  </si>
  <si>
    <t>Guacamole Nfs</t>
  </si>
  <si>
    <t>Guacamole With Tomatoes</t>
  </si>
  <si>
    <t>Chutney</t>
  </si>
  <si>
    <t>Cranberry Salad Congealed</t>
  </si>
  <si>
    <t>Pineapple Salad With Dressing</t>
  </si>
  <si>
    <t>Soup Fruit</t>
  </si>
  <si>
    <t>Fruit Smoothie With Whole Fruit No Dairy</t>
  </si>
  <si>
    <t>Fruit Smoothie With Whole Fruit No Dairy Added Protein</t>
  </si>
  <si>
    <t>Fruit Smoothie Juice Drink No Dairy</t>
  </si>
  <si>
    <t>Fruit Smoothie Light</t>
  </si>
  <si>
    <t>Apricot Nectar</t>
  </si>
  <si>
    <t>Banana Nectar</t>
  </si>
  <si>
    <t>Cantaloupe Nectar</t>
  </si>
  <si>
    <t>Peach Nectar</t>
  </si>
  <si>
    <t>Passion Fruit Nectar</t>
  </si>
  <si>
    <t>Tropical Fruit Medley Baby Food Strained</t>
  </si>
  <si>
    <t>Apples Baby Food Toddler</t>
  </si>
  <si>
    <t>Apple-Raspberry Baby Food Ns As To Strained Or Junior</t>
  </si>
  <si>
    <t>Apple-Raspberry Baby Food Junior</t>
  </si>
  <si>
    <t>Applesauce Baby Food Ns As To Strained Or Junior</t>
  </si>
  <si>
    <t>Applesauce And Apricots Baby Food Ns As To Strained Or Junior</t>
  </si>
  <si>
    <t>Bananas With Orange Baby Food Strained</t>
  </si>
  <si>
    <t>Pears Baby Food Ns As To Strained Or Junior</t>
  </si>
  <si>
    <t>Apples And Pears Baby Food Ns As To Strained Or Junior</t>
  </si>
  <si>
    <t>Apples And Pears Baby Food Strained</t>
  </si>
  <si>
    <t>Apples And Pears Baby Food Junior</t>
  </si>
  <si>
    <t>Pears And Pineapple Baby Food Ns As To Strained Or Junior</t>
  </si>
  <si>
    <t>Pear Juice Baby Food</t>
  </si>
  <si>
    <t>Apple-Sweet Potato Juice Baby Food</t>
  </si>
  <si>
    <t>Banana Juice With Lowfat Yogurt Baby Food</t>
  </si>
  <si>
    <t>Mixed Fruit Juice With Lowfat Yogurt Baby Food</t>
  </si>
  <si>
    <t>Fruit Juice And Water Drink With High Vitamin C And Added Calcium Baby Food</t>
  </si>
  <si>
    <t>Plums Baby Food Ns As To Strained Or Junior</t>
  </si>
  <si>
    <t>Apricots Baby Food Ns As To Strained Or Junior</t>
  </si>
  <si>
    <t>Bananas Baby Food Ns As To Strained Or Junior</t>
  </si>
  <si>
    <t>Bananas And Pineapple Baby Food Ns As To Strained Or Junior</t>
  </si>
  <si>
    <t>Fruit Dessert Baby Food Ns As To Strained Or Junior</t>
  </si>
  <si>
    <t>Apple Yogurt Dessert Baby Food Strained</t>
  </si>
  <si>
    <t>Peach Cobbler Baby Food Ns As To Strained Or Junior</t>
  </si>
  <si>
    <t>Cherry Vanilla Pudding Baby Food Strained</t>
  </si>
  <si>
    <t>Dutch Apple Dessert Baby Food Ns As To Strained Or Junior</t>
  </si>
  <si>
    <t>Peach Yogurt Dessert Baby Food Strained</t>
  </si>
  <si>
    <t>Tutti-Fruitti Pudding Baby Food Ns As To Strained Or Junior</t>
  </si>
  <si>
    <t>Potato Nfs</t>
  </si>
  <si>
    <t>Potato Baked Nfs</t>
  </si>
  <si>
    <t>Potato Baked Peel Not Eaten</t>
  </si>
  <si>
    <t>Potato Boiled Nfs</t>
  </si>
  <si>
    <t>Potato Boiled Ready-To-Heat</t>
  </si>
  <si>
    <t>Potato Boiled From Fresh Peel Not Eaten Ns As To Fat Added In Cooking</t>
  </si>
  <si>
    <t>Potato Boiled From Fresh Peel Not Eaten Fat Not Added In Cooking</t>
  </si>
  <si>
    <t>Potato Boiled From Fresh Peel Not Eaten Fat Added In Cooking Ns As To Type Of Fat</t>
  </si>
  <si>
    <t>Potato Boiled From Fresh Peel Not Eaten Made With Oil</t>
  </si>
  <si>
    <t>Potato Boiled From Fresh Peel Not Eaten Made With Butter</t>
  </si>
  <si>
    <t>Potato Boiled From Fresh Peel Not Eaten Made With Margarine</t>
  </si>
  <si>
    <t>Potato Boiled From Fresh Peel Eaten Ns As To Fat Added In Cooking</t>
  </si>
  <si>
    <t>Potato Boiled From Fresh Peel Eaten Fat Added In Cooking Ns As To Type Of Fat</t>
  </si>
  <si>
    <t>Potato Boiled From Fresh  Peel Eaten Fat Not Added In Cooking</t>
  </si>
  <si>
    <t>Potato Boiled From Fresh Peel Eaten Made With Oil</t>
  </si>
  <si>
    <t>Potato Boiled From Fresh Peel Eaten Made With Butter</t>
  </si>
  <si>
    <t>Potato Boiled From Fresh Peel Eaten Made With Margarine</t>
  </si>
  <si>
    <t>Potato Canned Ns As To Fat Added In Cooking</t>
  </si>
  <si>
    <t>Potato Canned Fat Added In Cooking Ns As To Type Of Fat</t>
  </si>
  <si>
    <t>Potato Canned Fat Not Added In Cooking</t>
  </si>
  <si>
    <t>Potato Roasted Nfs</t>
  </si>
  <si>
    <t>Potato Roasted From Fresh Peel Eaten Ns As To Fat Added In Cooking</t>
  </si>
  <si>
    <t>Potato Roasted From Fresh Peel Eaten Fat Not Added In Cooking</t>
  </si>
  <si>
    <t>Potato Roasted From Fresh Peel Eaten Fat Added In Cooking Ns As To Type Of Fat</t>
  </si>
  <si>
    <t>Potato Roasted From Fresh Peel Eaten Made With Oil</t>
  </si>
  <si>
    <t>Potato Roasted From Fresh Peel Eaten Made With Butter</t>
  </si>
  <si>
    <t>Potato Roasted From Fresh Peel Eaten Made With Margarine</t>
  </si>
  <si>
    <t>Potato Roasted From Fresh Peel Not Eaten Ns As To Fat Added In Cooking</t>
  </si>
  <si>
    <t>Potato Roasted From Fresh Peel Not Eaten Fat Added In Cooking Ns As To Type Of Fat</t>
  </si>
  <si>
    <t>Potato Roasted From Fresh Peel Not Eaten Fat Not Added In Cooking</t>
  </si>
  <si>
    <t>Potato Roasted From Fresh Peel Not Eaten Made With Oil</t>
  </si>
  <si>
    <t>Potato Roasted From Fresh Peel Not Eaten Made With Butter</t>
  </si>
  <si>
    <t>Potato Roasted From Fresh Peel Not Eaten Made With Margarine</t>
  </si>
  <si>
    <t>Potato Roasted Ready-To-Heat</t>
  </si>
  <si>
    <t>Stewed Potatoes Puerto Rican Style</t>
  </si>
  <si>
    <t>Potato Only From Puerto Rican Mixed Dishes Gravy And Other Components Reported Separately</t>
  </si>
  <si>
    <t>Potato From Puerto Rican Style Stuffed Pot Roast With Gravy</t>
  </si>
  <si>
    <t>Potato From Puerto Rican Beef Stew With Gravy</t>
  </si>
  <si>
    <t>Potato From Puerto Rican Chicken Fricassee With Sauce</t>
  </si>
  <si>
    <t>Potato Chips Restructured Plain</t>
  </si>
  <si>
    <t>Potato Chips Restructured Flavored</t>
  </si>
  <si>
    <t>Potato Chips Baked Flavored</t>
  </si>
  <si>
    <t>Potato Chips Reduced Fat</t>
  </si>
  <si>
    <t>Potato Chips Fat Free</t>
  </si>
  <si>
    <t>Potato Chips Unsalted</t>
  </si>
  <si>
    <t>Potato Chips Lightly Salted</t>
  </si>
  <si>
    <t>Potato Chips Restructured Lightly Salted</t>
  </si>
  <si>
    <t>Potato Chips Popped Flavored</t>
  </si>
  <si>
    <t>Potato Sticks Flavored</t>
  </si>
  <si>
    <t>Potato Sticks Fry Shaped</t>
  </si>
  <si>
    <t>Vegetable Chips</t>
  </si>
  <si>
    <t>Potato Scalloped Nfs</t>
  </si>
  <si>
    <t>Potato Scalloped From Fast Food Or Restaurant</t>
  </si>
  <si>
    <t>Potato Scalloped From Fresh</t>
  </si>
  <si>
    <t>Potato Scalloped From Fresh With Meat</t>
  </si>
  <si>
    <t>Potato Scalloped From Dry Mix</t>
  </si>
  <si>
    <t>Potato Scalloped From Dry Mix With Meat</t>
  </si>
  <si>
    <t>Potato Scalloped Ready-To-Heat</t>
  </si>
  <si>
    <t>Potato Scalloped Ready-To-Heat With Meat</t>
  </si>
  <si>
    <t>Potato French Fries Nfs</t>
  </si>
  <si>
    <t>Potato French Fries Ns As To Fresh Or Frozen</t>
  </si>
  <si>
    <t>Potato French Fries From Fresh Fried</t>
  </si>
  <si>
    <t>Potato French Fries From Fresh Baked</t>
  </si>
  <si>
    <t>Potato French Fries From Frozen Fried</t>
  </si>
  <si>
    <t>Potato French Fries School</t>
  </si>
  <si>
    <t>Potato French Fries With Cheese Fast Food / Restaurant</t>
  </si>
  <si>
    <t>Potato French Fries With Cheese School</t>
  </si>
  <si>
    <t>Potato French Fries With Chili Fast Food / Restaurant</t>
  </si>
  <si>
    <t>Potato French Fries With Chili And Cheese Fast Food / Restaurant</t>
  </si>
  <si>
    <t>Potato French Fries With Cheese</t>
  </si>
  <si>
    <t>Potato French Fries With Chili And Cheese</t>
  </si>
  <si>
    <t>Potato French Fries With Chili</t>
  </si>
  <si>
    <t>Potato Home Fries Nfs</t>
  </si>
  <si>
    <t>Potato Home Fries From Restaurant / Fast Food</t>
  </si>
  <si>
    <t>Potato Home Fries From Fresh</t>
  </si>
  <si>
    <t>Potato Home Fries Ready-To-Heat</t>
  </si>
  <si>
    <t>Potato Home Fries With Vegetables</t>
  </si>
  <si>
    <t>Potato Hash Brown Nfs</t>
  </si>
  <si>
    <t>Potato Hash Brown From Fast Food With Cheese</t>
  </si>
  <si>
    <t>Potato Hash Brown From Restaurant With Cheese</t>
  </si>
  <si>
    <t>Potato Hash Brown From School Lunch</t>
  </si>
  <si>
    <t>Potato Hash Brown From Fresh</t>
  </si>
  <si>
    <t>Potato Hash Brown From Fresh With Cheese</t>
  </si>
  <si>
    <t>Potato Hash Brown From Dry Mix</t>
  </si>
  <si>
    <t>Potato Hash Brown Ready-To-Heat</t>
  </si>
  <si>
    <t>Potato Hash Brown Ready-To-Heat With Cheese</t>
  </si>
  <si>
    <t>Potato Skins Without Topping</t>
  </si>
  <si>
    <t>Potato Skins With Cheese</t>
  </si>
  <si>
    <t>Potato Skins With Cheese And Bacon</t>
  </si>
  <si>
    <t>Potato Skins Nfs</t>
  </si>
  <si>
    <t>Potato Mashed Nfs</t>
  </si>
  <si>
    <t>Potato Mashed From Fast Food With Gravy</t>
  </si>
  <si>
    <t>Potato Mashed From Fresh Made With Milk</t>
  </si>
  <si>
    <t>Potato Mashed From Fresh Made With Milk With Cheese</t>
  </si>
  <si>
    <t>Potato Mashed From Fresh Made With Milk With Gravy</t>
  </si>
  <si>
    <t>Potato Mashed From Fresh Nfs</t>
  </si>
  <si>
    <t>Potato Mashed From Restaurant</t>
  </si>
  <si>
    <t>Potato Mashed From Restaurant With Gravy</t>
  </si>
  <si>
    <t>Potato Mashed From School Lunch</t>
  </si>
  <si>
    <t>Potato Mashed From Dry Mix Nfs</t>
  </si>
  <si>
    <t>Potato Mashed From Dry Mix Made With Milk</t>
  </si>
  <si>
    <t>Potato Mashed From Dry Mix Made With Milk With Cheese</t>
  </si>
  <si>
    <t>Potato Mashed From Dry Mix Made With Milk With Gravy</t>
  </si>
  <si>
    <t>Potato Mashed Ready-To-Heat With Cheese</t>
  </si>
  <si>
    <t>Potato Mashed Ready-To-Heat With Gravy</t>
  </si>
  <si>
    <t>Potato Patty</t>
  </si>
  <si>
    <t>Potato Tots Nfs</t>
  </si>
  <si>
    <t>Potato Tots Fast Food / Restaurant</t>
  </si>
  <si>
    <t>Potato Tots School</t>
  </si>
  <si>
    <t>Potato Tots From Fresh Fried Or Baked</t>
  </si>
  <si>
    <t>Potato Tots Frozen Baked</t>
  </si>
  <si>
    <t>Potato Tots Frozen Fried</t>
  </si>
  <si>
    <t>Potato Tots Frozen Ns As To Fried Or Baked</t>
  </si>
  <si>
    <t>Potato Baked Peel Not Eaten With Butter</t>
  </si>
  <si>
    <t>Potato Baked Peel Not Eaten With Sour Cream</t>
  </si>
  <si>
    <t>Potato Baked Peel Not Eaten With Cheese</t>
  </si>
  <si>
    <t>Potato Baked Peel Not Eaten With Meat</t>
  </si>
  <si>
    <t>Potato Baked Peel Not Eaten With Chili</t>
  </si>
  <si>
    <t>Potato Baked Peel Not Eaten With Vegetables</t>
  </si>
  <si>
    <t>Potato Baked Peel Eaten</t>
  </si>
  <si>
    <t>Potato Baked Peel Eaten With Butter</t>
  </si>
  <si>
    <t>Potato Baked Peel Eaten With Sour Cream</t>
  </si>
  <si>
    <t>Potato Baked Peel Eaten With Cheese</t>
  </si>
  <si>
    <t>Potato Baked Peel Eaten With Meat</t>
  </si>
  <si>
    <t>Potato Baked Peel Eaten With Chili</t>
  </si>
  <si>
    <t>Potato Baked Peel Eaten With Vegetables</t>
  </si>
  <si>
    <t>Potato Salad With Egg From Restaurant</t>
  </si>
  <si>
    <t>Potato Salad With Egg Made With Light Mayonnaise</t>
  </si>
  <si>
    <t>Potato Salad With Egg Made With Mayonnaise-Type Salad Dressing</t>
  </si>
  <si>
    <t>Potato Salad With Egg Made With Light Mayonnaise-Type Salad Dressing</t>
  </si>
  <si>
    <t>Potato Salad With Egg Made With Creamy Dressing</t>
  </si>
  <si>
    <t>Potato Salad With Egg Made With Light Creamy Dressing</t>
  </si>
  <si>
    <t>Potato Salad With Egg Made With Italian Dressing</t>
  </si>
  <si>
    <t>Potato Salad With Egg Made With Light Italian Dressing</t>
  </si>
  <si>
    <t>Potato Salad With Egg Made With Any Type Of Fat Free Dressing</t>
  </si>
  <si>
    <t>Potato Salad German Style</t>
  </si>
  <si>
    <t>Potato Salad From Restaurant</t>
  </si>
  <si>
    <t>Potato Salad Made With Mayonnaise</t>
  </si>
  <si>
    <t>Potato Salad Made With Light Mayonnaise</t>
  </si>
  <si>
    <t>Potato Salad Made With Mayonnaise-Type Salad Dressing</t>
  </si>
  <si>
    <t>Potato Salad Made With Light Mayonnaise-Type Salad Dressing</t>
  </si>
  <si>
    <t>Potato Salad Made With Creamy Dressing</t>
  </si>
  <si>
    <t>Potato Salad Made With Light Creamy Dressing</t>
  </si>
  <si>
    <t>Potato Salad Made With Italian Dressing</t>
  </si>
  <si>
    <t>Potato Salad Made With Light Italian Dressing</t>
  </si>
  <si>
    <t>Potato Salad Made With Any Type Of Fat Free Dressing</t>
  </si>
  <si>
    <t>Potato Pancake</t>
  </si>
  <si>
    <t>Lefse (Norwegian)</t>
  </si>
  <si>
    <t>Potato Pudding</t>
  </si>
  <si>
    <t>Stewed Potatoes</t>
  </si>
  <si>
    <t>Stewed Potatoes With Tomatoes</t>
  </si>
  <si>
    <t>Potato Soup Ns As To Made With Milk Or Water</t>
  </si>
  <si>
    <t>Potato Soup Cream Of Prepared With Milk</t>
  </si>
  <si>
    <t>Potato Soup Prepared With Water</t>
  </si>
  <si>
    <t>Potato And Cheese Soup</t>
  </si>
  <si>
    <t>Potato Chowder</t>
  </si>
  <si>
    <t>Plantain Soup Puerto Rican Style</t>
  </si>
  <si>
    <t>Plantain Boiled Ns As To Green Or Ripe</t>
  </si>
  <si>
    <t>Plantain Fried Ns As To Green Or Ripe</t>
  </si>
  <si>
    <t>Green Plantains Boiled</t>
  </si>
  <si>
    <t>Fried Green Plantain Puerto Rican Style</t>
  </si>
  <si>
    <t>Fried Ripe Plantain Puerto Rican Style</t>
  </si>
  <si>
    <t>Plantain Ripe Rolled In Flour Fried</t>
  </si>
  <si>
    <t>Candied Ripe Plantain Puerto Rican Style</t>
  </si>
  <si>
    <t>Green Banana Cooked In Salt Water</t>
  </si>
  <si>
    <t>Green Banana Fried</t>
  </si>
  <si>
    <t>Pickled Green Bananas Puerto Rican Style</t>
  </si>
  <si>
    <t>Cassava Cooked Ns As To Fat Added In Cooking</t>
  </si>
  <si>
    <t>Cassava Cooked Fat Not Added In Cooking</t>
  </si>
  <si>
    <t>Cassava Cooked Fat Added In Cooking Ns As To Type Of Fat</t>
  </si>
  <si>
    <t>Cassava Cooked Made With Oil</t>
  </si>
  <si>
    <t>Cassava Cooked Made With Butter</t>
  </si>
  <si>
    <t>Cassava Cooked Made With Margarine</t>
  </si>
  <si>
    <t>Yuca Fries</t>
  </si>
  <si>
    <t>Casabe Cassava Bread</t>
  </si>
  <si>
    <t>Cassava With Creole Sauce Puerto Rican Style</t>
  </si>
  <si>
    <t>Yam Cooked Puerto Rican</t>
  </si>
  <si>
    <t>Yam Buns; Puerto Rican Style</t>
  </si>
  <si>
    <t>Tannier Cooked</t>
  </si>
  <si>
    <t>Celeriac Cooked</t>
  </si>
  <si>
    <t>Dasheen Boiled</t>
  </si>
  <si>
    <t>Dasheen Fried</t>
  </si>
  <si>
    <t>Taro Baked</t>
  </si>
  <si>
    <t>Starchy Vegetables NFS Puerto Rican Style</t>
  </si>
  <si>
    <t>Starchy Vegetables Including Tannier White Sweet Potato And Yam With Green Or Ripe Plantains Puerto Rican Style</t>
  </si>
  <si>
    <t>Starchy Vegetables Including Tannier White Sweet Potato And Yam No Plantain Puerto Rican Style</t>
  </si>
  <si>
    <t>Fufu</t>
  </si>
  <si>
    <t>Beet Greens Cooked Ns As To Fat Added In Cooking</t>
  </si>
  <si>
    <t>Beet Greens Cooked Fat Not Added In Cooking</t>
  </si>
  <si>
    <t>Beet Greens Cooked Fat Added In Cooking Ns As To Type Of Fat</t>
  </si>
  <si>
    <t>Beet Greens Cooked Made With Oil</t>
  </si>
  <si>
    <t>Beet Greens Cooked Made With Butter</t>
  </si>
  <si>
    <t>Beet Greens Cooked Made With Margarine</t>
  </si>
  <si>
    <t>Broccoli Raab Cooked Ns As To Fat Added In Cooking</t>
  </si>
  <si>
    <t>Broccoli Raab Cooked Fat Not Added In Cooking</t>
  </si>
  <si>
    <t>Broccoli Raab Cooked Fat Added In Cooking Ns As To Type Of Fat</t>
  </si>
  <si>
    <t>Broccoli Raab Cooked Made With Oil</t>
  </si>
  <si>
    <t>Broccoli Raab Cooked Made With Butter</t>
  </si>
  <si>
    <t>Broccoli Raab Cooked Made With Margarine</t>
  </si>
  <si>
    <t>Chard Cooked Ns As To Fat Added In Cooking</t>
  </si>
  <si>
    <t>Chard Cooked Fat Not Added In Cooking</t>
  </si>
  <si>
    <t>Chard Cooked Fat Added In Cooking Ns As To Type Of Fat</t>
  </si>
  <si>
    <t>Chard Cooked Made With Oil</t>
  </si>
  <si>
    <t>Chard Cooked Made With Butter</t>
  </si>
  <si>
    <t>Chard Cooked Made With Margarine</t>
  </si>
  <si>
    <t>Collards Cooked Ns As To Form Ns As To Fat Added In Cooking</t>
  </si>
  <si>
    <t>Collards Cooked From Fresh Ns As To Fat Added In Cooking</t>
  </si>
  <si>
    <t>Collards Cooked From Frozen Ns As To Fat Added In Cooking</t>
  </si>
  <si>
    <t>Collards Cooked From Canned Ns As To Fat Added In Cooking</t>
  </si>
  <si>
    <t>Collards Cooked Ns As To Form Fat Not Added In Cooking</t>
  </si>
  <si>
    <t>Collards Cooked From Fresh Fat Not Added In Cooking</t>
  </si>
  <si>
    <t>Collards Cooked From Frozen Fat Not Added In Cooking</t>
  </si>
  <si>
    <t>Collards Cooked From Canned Fat Not Added In Cooking</t>
  </si>
  <si>
    <t>Collards Cooked Ns As To Form Fat Added In Cooking Ns As To Type Of Fat</t>
  </si>
  <si>
    <t>Collards Cooked From Fresh Fat Added In Cooking Ns As To Type Of Fat</t>
  </si>
  <si>
    <t>Collards Cooked From Frozen Fat Added In Cooking Ns As To Type Of Fat</t>
  </si>
  <si>
    <t>Collards Cooked From Canned Fat Added In Cooking Ns As To Type Of Fat</t>
  </si>
  <si>
    <t>Collards Cooked Ns As To Form Made With Oil</t>
  </si>
  <si>
    <t>Collards Cooked Ns As To Form Made With Butter</t>
  </si>
  <si>
    <t>Collards Cooked Ns As To Form Made With Margarine</t>
  </si>
  <si>
    <t>Collards Cooked From Fresh Made With Oil</t>
  </si>
  <si>
    <t>Collards Cooked From Fresh Made With Butter</t>
  </si>
  <si>
    <t>Collards Cooked From Fresh Made With Margarine</t>
  </si>
  <si>
    <t>Collards Cooked From Frozen Made With Oil</t>
  </si>
  <si>
    <t>Collards Cooked From Frozen Made With Butter</t>
  </si>
  <si>
    <t>Collards Cooked From Frozen Made With Margarine</t>
  </si>
  <si>
    <t>Collards Cooked From Canned Made With Oil</t>
  </si>
  <si>
    <t>Collards Cooked From Canned Made With Butter</t>
  </si>
  <si>
    <t>Collards Cooked From Canned Made With Margarine</t>
  </si>
  <si>
    <t>Cress Cooked Ns As To Form Ns As To Fat Added In Cooking</t>
  </si>
  <si>
    <t>Cress Cooked From Fresh Ns As To Fat Added In Cooking</t>
  </si>
  <si>
    <t>Cress Cooked From Canned Ns As To Fat Added In Cooking</t>
  </si>
  <si>
    <t>Cress Cooked Ns As To Form Fat Not Added In Cooking</t>
  </si>
  <si>
    <t>Cress Cooked From Fresh Fat Not Added In Cooking</t>
  </si>
  <si>
    <t>Cress Cooked From Canned Fat Not Added In Cooking</t>
  </si>
  <si>
    <t>Cress Cooked Ns As To Form Fat Added In Cooking Ns As To Type Of Fat</t>
  </si>
  <si>
    <t>Cress Cooked From Fresh Fat Added In Cooking Ns As To Type Of Fat</t>
  </si>
  <si>
    <t>Cress Cooked From Canned Fat Added In Cooking Ns As To Type Of Fat</t>
  </si>
  <si>
    <t>Cress Cooked Ns As To Form Made With Oil</t>
  </si>
  <si>
    <t>Cress Cooked Ns As To Form Made With Butter</t>
  </si>
  <si>
    <t>Cress Cooked Ns As To Form Made With Margarine</t>
  </si>
  <si>
    <t>Cress Cooked From Fresh Made With Oil</t>
  </si>
  <si>
    <t>Cress Cooked From Fresh Made With Butter</t>
  </si>
  <si>
    <t>Cress Cooked From Fresh Made With Margarine</t>
  </si>
  <si>
    <t>Cress Cooked From Canned Made With Oil</t>
  </si>
  <si>
    <t>Cress Cooked From Canned Made With Butter</t>
  </si>
  <si>
    <t>Cress Cooked From Canned Made With Margarine</t>
  </si>
  <si>
    <t>Dandelion Greens Cooked Ns As To Fat Added In Cooking</t>
  </si>
  <si>
    <t>Dandelion Greens Cooked Fat Not Added In Cooking</t>
  </si>
  <si>
    <t>Dandelion Greens Cooked Fat Added In Cooking Ns As To Type Of Fat</t>
  </si>
  <si>
    <t>Dandelion Greens Cooked Made With Oil</t>
  </si>
  <si>
    <t>Dandelion Greens Cooked Made With Butter</t>
  </si>
  <si>
    <t>Dandelion Greens Cooked Made With Margarine</t>
  </si>
  <si>
    <t>Romaine Lettuce Raw</t>
  </si>
  <si>
    <t>Caesar Salad With Romaine No Dressing</t>
  </si>
  <si>
    <t>Escarole Cooked Ns As To Fat Added In Cooking</t>
  </si>
  <si>
    <t>Escarole Cooked Fat Not Added In Cooking</t>
  </si>
  <si>
    <t>Escarole Cooked Fat Added In Cooking Ns As To Type Of Fat</t>
  </si>
  <si>
    <t>Escarole Cooked Made With Oil</t>
  </si>
  <si>
    <t>Escarole Cooked Made With Butter</t>
  </si>
  <si>
    <t>Escarole Cooked Made With Margarine</t>
  </si>
  <si>
    <t>Escarole Creamed</t>
  </si>
  <si>
    <t>Greens Cooked Ns As To Form Ns As To Fat Added In Cooking</t>
  </si>
  <si>
    <t>Greens Cooked From Fresh Ns As To Fat Added In Cooking</t>
  </si>
  <si>
    <t>Greens Cooked From Frozen Ns As To Fat Added In Cooking</t>
  </si>
  <si>
    <t>Greens Cooked From Canned Ns As To Fat Added In Cooking</t>
  </si>
  <si>
    <t>Greens Cooked Ns As To Form Fat Not Added In Cooking</t>
  </si>
  <si>
    <t>Greens Cooked From Fresh Fat Not Added In Cooking</t>
  </si>
  <si>
    <t>Greens Cooked From Frozen Fat Not Added In Cooking</t>
  </si>
  <si>
    <t>Greens Cooked From Canned Fat Not Added In Cooking</t>
  </si>
  <si>
    <t>Greens Cooked Ns As To Form Fat Added In Cooking Ns As To Type Of Fat</t>
  </si>
  <si>
    <t>Greens Cooked From Fresh Fat Added In Cooking Ns As To Type Of Fat</t>
  </si>
  <si>
    <t>Greens Cooked From Frozen Fat Added In Cooking Ns As To Type Of Fat</t>
  </si>
  <si>
    <t>Greens Cooked From Canned Fat Added In Cooking Ns As To Type Of Fat</t>
  </si>
  <si>
    <t>Greens Cooked Ns As To Form Made With Oil</t>
  </si>
  <si>
    <t>Greens Cooked Ns As To Form Made With Butter</t>
  </si>
  <si>
    <t>Greens Cooked Ns As To Form Made With Margarine</t>
  </si>
  <si>
    <t>Greens Cooked From Fresh Made With Oil</t>
  </si>
  <si>
    <t>Greens Cooked From Fresh Made With Butter</t>
  </si>
  <si>
    <t>Greens Cooked From Fresh Made With Margarine</t>
  </si>
  <si>
    <t>Greens Cooked From Frozen Made With Oil</t>
  </si>
  <si>
    <t>Greens Cooked From Frozen Made With Butter</t>
  </si>
  <si>
    <t>Greens Cooked From Frozen Made With Margarine</t>
  </si>
  <si>
    <t>Greens Cooked From Canned Made With Oil</t>
  </si>
  <si>
    <t>Greens Cooked From Canned Made With Butter</t>
  </si>
  <si>
    <t>Greens Cooked From Canned Made With Margarine</t>
  </si>
  <si>
    <t>Chamnamul Cooked Ns As To Fat Added In Cooking</t>
  </si>
  <si>
    <t>Chamnamul Cooked Fat Not Added In Cooking</t>
  </si>
  <si>
    <t>Chamnamul Cooked Fat Added In Cooking</t>
  </si>
  <si>
    <t>Kale Cooked Ns As To Form Ns As To Fat Added In Cooking</t>
  </si>
  <si>
    <t>Kale Cooked From Fresh Ns As To Fat Added In Cooking</t>
  </si>
  <si>
    <t>Kale Cooked From Frozen Ns As To Fat Added In Cooking</t>
  </si>
  <si>
    <t>Kale Cooked From Canned Ns As To Fat Added In Cooking</t>
  </si>
  <si>
    <t>Kale Cooked Ns As To Form Fat Not Added In Cooking</t>
  </si>
  <si>
    <t>Kale Cooked From Fresh Fat Not Added In Cooking</t>
  </si>
  <si>
    <t>Kale Cooked From Frozen Fat Not Added In Cooking</t>
  </si>
  <si>
    <t>Kale Cooked From Canned Fat Not Added In Cooking</t>
  </si>
  <si>
    <t>Kale Cooked Ns As To Form Fat Added In Cooking Ns As To Type Of Fat</t>
  </si>
  <si>
    <t>Kale Cooked From Fresh Fat Added In Cooking Ns As To Type Of Fat</t>
  </si>
  <si>
    <t>Kale Cooked From Frozen Fat Added In Cooking Ns As To Type Of Fat</t>
  </si>
  <si>
    <t>Kale Cooked From Canned Fat Added In Cooking Ns As To Type Of Fat</t>
  </si>
  <si>
    <t>Kale Cooked Ns As To Form Made With Oil</t>
  </si>
  <si>
    <t>Kale Cooked Ns As To Form Made With Butter</t>
  </si>
  <si>
    <t>Kale Cooked Ns As To Form Made With Margarine</t>
  </si>
  <si>
    <t>Kale Cooked From Fresh Made With Oil</t>
  </si>
  <si>
    <t>Kale Cooked From Fresh Made With Butter</t>
  </si>
  <si>
    <t>Kale Cooked From Fresh Made With Margarine</t>
  </si>
  <si>
    <t>Kale Cooked From Frozen Made With Oil</t>
  </si>
  <si>
    <t>Kale Cooked From Frozen Made With Butter</t>
  </si>
  <si>
    <t>Kale Cooked From Frozen Made With Margarine</t>
  </si>
  <si>
    <t>Kale Cooked From Canned Made With Oil</t>
  </si>
  <si>
    <t>Kale Cooked From Canned Made With Butter</t>
  </si>
  <si>
    <t>Kale Cooked From Canned Made With Margarine</t>
  </si>
  <si>
    <t>Lambsquarter Cooked Ns As To Fat Added In Cooking</t>
  </si>
  <si>
    <t>Lambsquarter Cooked Fat Not Added In Cooking</t>
  </si>
  <si>
    <t>Lambsquarter Cooked Fat Added In Cooking Ns As To Type Of Fat</t>
  </si>
  <si>
    <t>Lambsquarter Cooked Made With Oil</t>
  </si>
  <si>
    <t>Lambsquarter Cooked Made With Butter</t>
  </si>
  <si>
    <t>Lambsquarter Cooked Made With Margarine</t>
  </si>
  <si>
    <t>Mustard Cabbage Cooked Ns As To Fat Added In Cooking</t>
  </si>
  <si>
    <t>Mustard Cabbage Cooked Fat Not Added In Cooking</t>
  </si>
  <si>
    <t>Mustard Cabbage Cooked Fat Added In Cooking</t>
  </si>
  <si>
    <t>Mustard Greens Cooked Ns As To Form Ns As To Fat Added In Cooking</t>
  </si>
  <si>
    <t>Mustard Greens Cooked From Fresh Ns As To Fat Added In Cooking</t>
  </si>
  <si>
    <t>Mustard Greens Cooked From Frozen Ns As To Fat Added In Cooking</t>
  </si>
  <si>
    <t>Mustard Greens Cooked From Canned Ns As To Fat Added In Cooking</t>
  </si>
  <si>
    <t>Mustard Greens Cooked Ns As To Form Fat Not Added In Cooking</t>
  </si>
  <si>
    <t>Mustard Greens Cooked From Fresh Fat Not Added In Cooking</t>
  </si>
  <si>
    <t>Mustard Greens Cooked From Frozen Fat Not Added In Cooking</t>
  </si>
  <si>
    <t>Mustard Greens Cooked From Canned Fat Not Added In Cooking</t>
  </si>
  <si>
    <t>Mustard Greens Cooked Ns As To Form Fat Added In Cooking Ns As To Type Of Fat</t>
  </si>
  <si>
    <t>Mustard Greens Cooked From Fresh Fat Added In Cooking Ns As To Type Of Fat</t>
  </si>
  <si>
    <t>Mustard Greens Cooked From Frozen Fat Added In Cooking Ns As To Type Of Fat</t>
  </si>
  <si>
    <t>Mustard Greens Cooked From Canned Fat Added In Cooking Ns As To Type Of Fat</t>
  </si>
  <si>
    <t>Mustard Greens Cooked Ns As To Form Made With Oil</t>
  </si>
  <si>
    <t>Mustard Greens Cooked Ns As To Form Made With Butter</t>
  </si>
  <si>
    <t>Mustard Greens Cooked Ns As To Form Made With Margarine</t>
  </si>
  <si>
    <t>Mustard Greens Cooked From Fresh Made With Oil</t>
  </si>
  <si>
    <t>Mustard Greens Cooked From Fresh Made With Butter</t>
  </si>
  <si>
    <t>Mustard Greens Cooked From Fresh Made With Margarine</t>
  </si>
  <si>
    <t>Mustard Greens Cooked From Frozen Made With Oil</t>
  </si>
  <si>
    <t>Mustard Greens Cooked From Frozen Made With Butter</t>
  </si>
  <si>
    <t>Mustard Greens Cooked From Frozen Made With Margarine</t>
  </si>
  <si>
    <t>Mustard Greens Cooked From Canned Made With Oil</t>
  </si>
  <si>
    <t>Mustard Greens Cooked From Canned Made With Butter</t>
  </si>
  <si>
    <t>Mustard Greens Cooked From Canned Made With Margarine</t>
  </si>
  <si>
    <t>Poke Greens Cooked Ns As To Fat Added In Cooking</t>
  </si>
  <si>
    <t>Poke Greens Cooked Fat Not Added In Cooking</t>
  </si>
  <si>
    <t>Poke Greens Cooked Fat Added In Cooking Ns As To Type Of Fat</t>
  </si>
  <si>
    <t>Poke Greens Cooked Made With Oil</t>
  </si>
  <si>
    <t>Poke Greens Cooked Made With Butter</t>
  </si>
  <si>
    <t>Poke Greens Cooked Made With Margarine</t>
  </si>
  <si>
    <t>Spinach Cooked Ns As To Form Ns As To Fat Added In Cooking</t>
  </si>
  <si>
    <t>Spinach Cooked From Fresh Ns As To Fat Added In Cooking</t>
  </si>
  <si>
    <t>Spinach Cooked From Frozen Ns As To Fat Added In Cooking</t>
  </si>
  <si>
    <t>Spinach Cooked From Canned Ns As To Fat Added In Cooking</t>
  </si>
  <si>
    <t>Spinach Cooked Ns As To Form Fat Not Added In Cooking</t>
  </si>
  <si>
    <t>Spinach Cooked From Fresh Fat Not Added In Cooking</t>
  </si>
  <si>
    <t>Spinach Cooked From Frozen Fat Not Added In Cooking</t>
  </si>
  <si>
    <t>Spinach Cooked From Canned Fat Not Added In Cooking</t>
  </si>
  <si>
    <t>Spinach Cooked Ns As To Form Made With Oil</t>
  </si>
  <si>
    <t>Spinach Cooked Ns As To Form Made With Butter</t>
  </si>
  <si>
    <t>Spinach Cooked Ns As To Form Made With Margarine</t>
  </si>
  <si>
    <t>Spinach Cooked From Fresh Made With Oil</t>
  </si>
  <si>
    <t>Spinach Cooked From Fresh Made With Butter</t>
  </si>
  <si>
    <t>Spinach Cooked From Fresh Made With Margarine</t>
  </si>
  <si>
    <t>Spinach Cooked Ns As To Form Fat Added In Cooking Ns As To Type Of Fat</t>
  </si>
  <si>
    <t>Spinach Cooked From Fresh Fat Added In Cooking Ns As To Type Of Fat</t>
  </si>
  <si>
    <t>Spinach Cooked From Frozen Fat Added In Cooking Ns As To Type Of Fat</t>
  </si>
  <si>
    <t>Spinach Cooked From Canned Fat Added In Cooking Ns As To Type Of Fat</t>
  </si>
  <si>
    <t>Spinach Cooked From Frozen Made With Oil</t>
  </si>
  <si>
    <t>Spinach Cooked From Frozen Made With Butter</t>
  </si>
  <si>
    <t>Spinach Cooked From Frozen Made With Margarine</t>
  </si>
  <si>
    <t>Spinach Cooked From Canned Made With Oil</t>
  </si>
  <si>
    <t>Spinach Cooked From Canned Made With Butter</t>
  </si>
  <si>
    <t>Spinach Cooked From Canned Made With Margarine</t>
  </si>
  <si>
    <t>Spinach Ns As To Form Creamed</t>
  </si>
  <si>
    <t>Spinach From Fresh Creamed</t>
  </si>
  <si>
    <t>Spinach From Frozen Creamed</t>
  </si>
  <si>
    <t>Spinach From Canned Creamed</t>
  </si>
  <si>
    <t>Spinach Cooked Ns As To Form With Cheese Sauce</t>
  </si>
  <si>
    <t>Spinach Cooked From Fresh With Cheese Sauce</t>
  </si>
  <si>
    <t>Spinach Cooked From Frozen With Cheese Sauce</t>
  </si>
  <si>
    <t>Spinach Cooked From Canned With Cheese Sauce</t>
  </si>
  <si>
    <t>Spinach And Cheese Casserole</t>
  </si>
  <si>
    <t>Palak Paneer</t>
  </si>
  <si>
    <t>Channa Saag</t>
  </si>
  <si>
    <t>Thistle Leaves Cooked Ns As To Fat Added In Cooking</t>
  </si>
  <si>
    <t>Thistle Leaves Cooked Fat Not Added In Cooking</t>
  </si>
  <si>
    <t>Thistle Leaves Cooked Fat Added In Cooking</t>
  </si>
  <si>
    <t>Turnip Greens Cooked Ns As To Form Ns As To Fat Added In Cooking</t>
  </si>
  <si>
    <t>Turnip Greens Cooked From Fresh Ns As To Fat Added In Cooking</t>
  </si>
  <si>
    <t>Turnip Greens Cooked From Frozen Ns As To Fat Added In Cooking</t>
  </si>
  <si>
    <t>Turnip Greens Cooked From Canned Ns As To Fat Added In Cooking</t>
  </si>
  <si>
    <t>Turnip Greens Cooked Ns As To Form Fat Not Added In Cooking</t>
  </si>
  <si>
    <t>Turnip Greens Cooked From Fresh Fat Not Added In Cooking</t>
  </si>
  <si>
    <t>Turnip Greens Cooked From Frozen Fat Not Added In Cooking</t>
  </si>
  <si>
    <t>Turnip Greens Cooked From Canned Fat Not Added In Cooking</t>
  </si>
  <si>
    <t>Turnip Greens Cooked Ns As To Form Fat Added In Cooking Ns As To Type Of Fat</t>
  </si>
  <si>
    <t>Turnip Greens Cooked From Fresh Fat Added In Cooking Ns As To Type Of Fat</t>
  </si>
  <si>
    <t>Turnip Greens Cooked From Frozen Fat Added In Cooking Ns As To Type Of Fat</t>
  </si>
  <si>
    <t>Turnip Greens Cooked From Canned Fat Added In Cooking Ns As To Type Of Fat</t>
  </si>
  <si>
    <t>Turnip Greens Cooked Ns As To Form Made With Oil</t>
  </si>
  <si>
    <t>Turnip Greens Cooked Ns As To Form Made With Butter</t>
  </si>
  <si>
    <t>Turnip Greens Cooked Ns As To Form Made With Margarine</t>
  </si>
  <si>
    <t>Turnip Greens Cooked From Fresh Made With Oil</t>
  </si>
  <si>
    <t>Turnip Greens Cooked From Fresh Made With Butter</t>
  </si>
  <si>
    <t>Turnip Greens Cooked From Fresh Made With Margarine</t>
  </si>
  <si>
    <t>Turnip Greens Cooked From Frozen Made With Oil</t>
  </si>
  <si>
    <t>Turnip Greens Cooked From Frozen Made With Butter</t>
  </si>
  <si>
    <t>Turnip Greens Cooked From Frozen Made With Margarine</t>
  </si>
  <si>
    <t>Turnip Greens Cooked From Canned Made With Oil</t>
  </si>
  <si>
    <t>Turnip Greens Cooked From Canned Made With Butter</t>
  </si>
  <si>
    <t>Turnip Greens Cooked From Canned Made With Margarine</t>
  </si>
  <si>
    <t>Turnip Greens Canned Reduced Sodium Cooked Ns As To Fat Added In Cooking</t>
  </si>
  <si>
    <t>Turnip Greens Canned Reduced Sodium Cooked Fat Added In Cooking Made With Any Type Of Fat</t>
  </si>
  <si>
    <t>Turnip Greens With Roots Cooked Ns As To Form Ns As To Fat Added In Cooking</t>
  </si>
  <si>
    <t>Turnip Greens With Roots Cooked From Fresh Ns As To Fat Added In Cooking</t>
  </si>
  <si>
    <t>Turnip Greens With Roots Cooked From Frozen Ns As To Fat Added In Cooking</t>
  </si>
  <si>
    <t>Turnip Greens With Roots Cooked From Canned Ns As To Fat Added In Cooking</t>
  </si>
  <si>
    <t>Turnip Greens With Roots Cooked Ns As To Form Fat Not Added In Cooking</t>
  </si>
  <si>
    <t>Turnip Greens With Roots Cooked From Fresh Fat Not Added In Cooking</t>
  </si>
  <si>
    <t>Turnip Greens With Roots Cooked From Frozen Fat Not Added In Cooking</t>
  </si>
  <si>
    <t>Turnip Greens With Roots Cooked From Canned Fat Not Added In Cooking</t>
  </si>
  <si>
    <t>Turnip Greens With Roots Cooked Ns As To Form Fat Added In Cooking</t>
  </si>
  <si>
    <t>Turnip Greens With Roots Cooked From Fresh Fat Added In Cooking</t>
  </si>
  <si>
    <t>Turnip Greens With Roots Cooked From Frozen Fat Added In Cooking</t>
  </si>
  <si>
    <t>Turnip Greens With Roots Cooked From Canned Fat Added In Cooking</t>
  </si>
  <si>
    <t>Watercress Cooked Ns As To Fat Added In Cooking</t>
  </si>
  <si>
    <t>Watercress Cooked Fat Not Added In Cooking</t>
  </si>
  <si>
    <t>Watercress Cooked Fat Added In Cooking</t>
  </si>
  <si>
    <t>Bitter Melon Leaves Horseradish Leaves Jute Leaves Or Radish Leaves Cooked Ns As To Fat Added In Cooking</t>
  </si>
  <si>
    <t>Bitter Melon Leaves Horseradish Leaves Jute Leaves Or Radish Leaves Cooked Fat Added In Cooking</t>
  </si>
  <si>
    <t>Sweet Potato Leaves Squash Leaves Pumpkin Leaves Chrysanthemum Leaves Bean Leaves Or Swamp Cabbage Cooked Ns As To Fat Added In Cooking</t>
  </si>
  <si>
    <t>Sweet Potato Leaves Squash Leaves Pumpkin Leaves Chrysanthemum Leaves Bean Leaves Or Swamp Cabbage Cooked Fat Not Added In Cooking</t>
  </si>
  <si>
    <t>Sweet Potato Leaves Squash Leaves Pumpkin Leaves Chrysanthemum Leaves Bean Leaves Or Swamp Cabbage Cooked Fat Added In Cooking</t>
  </si>
  <si>
    <t>Broccoli Cooked Ns As To Form Ns As To Fat Added In Cooking</t>
  </si>
  <si>
    <t>Broccoli Cooked From Fresh Ns As To Fat Added In Cooking</t>
  </si>
  <si>
    <t>Broccoli Cooked From Frozen Ns As To Fat Added In Cooking</t>
  </si>
  <si>
    <t>Broccoli Cooked Ns As To Form Fat Not Added In Cooking</t>
  </si>
  <si>
    <t>Broccoli Cooked From Fresh Fat Not Added In Cooking</t>
  </si>
  <si>
    <t>Broccoli Cooked From Frozen Fat Not Added In Cooking</t>
  </si>
  <si>
    <t>Broccoli Cooked Ns As To Form Made With Oil</t>
  </si>
  <si>
    <t>Broccoli Cooked Ns As To Form Made With Butter</t>
  </si>
  <si>
    <t>Broccoli Cooked Ns As To Form Made With Margarine</t>
  </si>
  <si>
    <t>Broccoli Cooked Ns As To Form Fat Added In Cooking Ns As To Type Of Fat</t>
  </si>
  <si>
    <t>Broccoli Cooked From Fresh Fat Added In Cooking Ns As To Type Of Fat</t>
  </si>
  <si>
    <t>Broccoli Cooked From Frozen Fat Added In Cooking Ns As To Type Of Fat</t>
  </si>
  <si>
    <t>Broccoli Cooked From Fresh Made With Oil</t>
  </si>
  <si>
    <t>Broccoli Cooked From Fresh Made With Butter</t>
  </si>
  <si>
    <t>Broccoli Cooked From Fresh Made With Margarine</t>
  </si>
  <si>
    <t>Broccoli Cooked From Frozen Made With Oil</t>
  </si>
  <si>
    <t>Broccoli Cooked From Frozen Made With Butter</t>
  </si>
  <si>
    <t>Broccoli Cooked From Frozen Made With Margarine</t>
  </si>
  <si>
    <t>Broccoli Cooked Ns As To Form With Cheese Sauce</t>
  </si>
  <si>
    <t>Broccoli Cooked From Fresh With Cheese Sauce</t>
  </si>
  <si>
    <t>Broccoli Cooked From Frozen With Cheese Sauce</t>
  </si>
  <si>
    <t>Broccoli Cooked Ns As To Form With Mushroom Sauce</t>
  </si>
  <si>
    <t>Broccoli Cooked From Fresh With Mushroom Sauce</t>
  </si>
  <si>
    <t>Broccoli Cooked From Frozen With Mushroom Sauce</t>
  </si>
  <si>
    <t>Broccoli Cooked Ns As To Form With Cream Sauce</t>
  </si>
  <si>
    <t>Broccoli Cooked From Fresh With Cream Sauce</t>
  </si>
  <si>
    <t>Broccoli Cooked From Frozen With Cream Sauce</t>
  </si>
  <si>
    <t>Broccoli Casserole With Noodles</t>
  </si>
  <si>
    <t>Broccoli Casserole With Rice</t>
  </si>
  <si>
    <t>Broccoli Batter-Dipped And Fried</t>
  </si>
  <si>
    <t>Broccoli Chinese Cooked Ns As To Form Ns As To Fat Added In Cooking</t>
  </si>
  <si>
    <t>Broccoli Chinese Cooked From Fresh Ns As To Fat Added In Cooking</t>
  </si>
  <si>
    <t>Broccoli Chinese Cooked From Frozen Ns As To Fat Added In Cooking</t>
  </si>
  <si>
    <t>Broccoli Chinese Cooked Ns As To Form Fat Not Added In Cooking</t>
  </si>
  <si>
    <t>Broccoli Chinese Cooked From Fresh Fat Not Added In Cooking</t>
  </si>
  <si>
    <t>Broccoli Chinese Cooked From Frozen Fat Not Added In Cooking</t>
  </si>
  <si>
    <t>Broccoli Chinese Cooked Ns As To Form Fat Added In Cooking Ns As To Type Of Fat</t>
  </si>
  <si>
    <t>Broccoli Chinese Cooked Ns As To Form Made With Oil</t>
  </si>
  <si>
    <t>Broccoli Chinese Cooked Ns As To Form Made With Butter</t>
  </si>
  <si>
    <t>Broccoli Chinese Cooked Ns As To Form Made With Margarine</t>
  </si>
  <si>
    <t>Broccoli Chinese Cooked From Fresh Fat Added In Cooking Ns As To Type Of Fat</t>
  </si>
  <si>
    <t>Broccoli Chinese Cooked From Fresh Made With Oil</t>
  </si>
  <si>
    <t>Broccoli Chinese Cooked From Fresh Made With Butter</t>
  </si>
  <si>
    <t>Broccoli Chinese Cooked From Fresh Made With Margarine</t>
  </si>
  <si>
    <t>Broccoli Chinese Cooked From Frozen Fat Added In Cooking Ns As To Type Of Fat</t>
  </si>
  <si>
    <t>Broccoli Chinese Cooked From Frozen Made With Oil</t>
  </si>
  <si>
    <t>Broccoli Chinese Cooked From Frozen Made With Butter</t>
  </si>
  <si>
    <t>Broccoli Chinese Cooked From Frozen Made With Margarine</t>
  </si>
  <si>
    <t>Broccoli Soup Prepared With Milk Home Recipe Canned Or Ready-To-Serve</t>
  </si>
  <si>
    <t>Broccoli Soup Prepared With Water Home Recipe Canned Or Ready-To-Serve</t>
  </si>
  <si>
    <t>Broccoli Cheese Soup Prepared With Milk Home Recipe Canned Or Ready-To-Serve</t>
  </si>
  <si>
    <t>Watercress Broth With Shrimp</t>
  </si>
  <si>
    <t>Spinach Soup</t>
  </si>
  <si>
    <t>Dark-Green Leafy Vegetable Soup With Meat Asian Style</t>
  </si>
  <si>
    <t>Dark-Green Leafy Vegetable Soup Meatless Asian Style</t>
  </si>
  <si>
    <t>Carrots Raw Salad</t>
  </si>
  <si>
    <t>Carrots Raw Salad With Apples</t>
  </si>
  <si>
    <t>Carrots Cooked Ns As To Form Ns As To Fat Added In Cooking</t>
  </si>
  <si>
    <t>Carrots Cooked From Fresh Ns As To Fat Added In Cooking</t>
  </si>
  <si>
    <t>Carrots Cooked From Frozen Ns As To Fat Added In Cooking</t>
  </si>
  <si>
    <t>Carrots Cooked From Canned Ns As To Fat Added In Cooking</t>
  </si>
  <si>
    <t>Carrots Cooked Ns As To Form Fat Not Added In Cooking</t>
  </si>
  <si>
    <t>Carrots Cooked From Fresh Fat Not Added In Cooking</t>
  </si>
  <si>
    <t>Carrots Cooked From Frozen Fat Not Added In Cooking</t>
  </si>
  <si>
    <t>Carrots Cooked From Canned Fat Not Added In Cooking</t>
  </si>
  <si>
    <t>Carrots Cooked Ns As To Form Made With Oil</t>
  </si>
  <si>
    <t>Carrots Cooked Ns As To Form Made With Butter</t>
  </si>
  <si>
    <t>Carrots Cooked Ns As To Form Made With Margarine</t>
  </si>
  <si>
    <t>Carrots Cooked From Fresh Made With Oil</t>
  </si>
  <si>
    <t>Carrots Cooked From Fresh Made With Butter</t>
  </si>
  <si>
    <t>Carrots Cooked From Fresh Made With Margarine</t>
  </si>
  <si>
    <t>Carrots Cooked Ns As To Form Fat Added In Cooking Ns As To Type Of Fat</t>
  </si>
  <si>
    <t>Carrots Cooked From Fresh Fat Added In Cooking Ns As To Type Of Fat</t>
  </si>
  <si>
    <t>Carrots Cooked From Frozen Fat Added In Cooking Ns As To Type Of Fat</t>
  </si>
  <si>
    <t>Carrots Cooked From Canned Fat Added In Cooking Ns As To Type Of Fat</t>
  </si>
  <si>
    <t>Carrots Cooked From Frozen Made With Oil</t>
  </si>
  <si>
    <t>Carrots Cooked From Frozen Made With Butter</t>
  </si>
  <si>
    <t>Carrots Cooked From Frozen Made With Margarine</t>
  </si>
  <si>
    <t>Carrots Cooked From Canned Made With Oil</t>
  </si>
  <si>
    <t>Carrots Cooked From Canned Made With Butter</t>
  </si>
  <si>
    <t>Carrots Cooked From Canned Made With Margarine</t>
  </si>
  <si>
    <t>Carrots Cooked Ns As To Form Creamed</t>
  </si>
  <si>
    <t>Carrots Cooked From Fresh Creamed</t>
  </si>
  <si>
    <t>Carrots Cooked From Frozen Creamed</t>
  </si>
  <si>
    <t>Carrots Cooked From Canned Creamed</t>
  </si>
  <si>
    <t>Carrots Cooked Ns As To Form Glazed</t>
  </si>
  <si>
    <t>Carrots Cooked From Fresh Glazed</t>
  </si>
  <si>
    <t>Carrots Cooked From Frozen Glazed</t>
  </si>
  <si>
    <t>Carrots Cooked From Canned Glazed</t>
  </si>
  <si>
    <t>Carrots Cooked Ns As To Form With Cheese Sauce</t>
  </si>
  <si>
    <t>Carrots Cooked From Fresh With Cheese Sauce</t>
  </si>
  <si>
    <t>Carrots Cooked From Frozen With Cheese Sauce</t>
  </si>
  <si>
    <t>Carrots Cooked From Canned With Cheese Sauce</t>
  </si>
  <si>
    <t>Carrots Canned Low Sodium Ns As To Fat Added In Cooking</t>
  </si>
  <si>
    <t>Carrots Canned Low Sodium Fat Added In Cooking Ns As To Type Of Fat</t>
  </si>
  <si>
    <t>Carrots Canned Low Sodium Made With Oil</t>
  </si>
  <si>
    <t>Carrots Canned Low Sodium Made With Butter</t>
  </si>
  <si>
    <t>Carrots Canned Low Sodium Made With Margarine</t>
  </si>
  <si>
    <t>Peas And Carrots Ns As To Form Creamed</t>
  </si>
  <si>
    <t>Peas And Carrots From Fresh Creamed</t>
  </si>
  <si>
    <t>Peas And Carrots From Frozen Creamed</t>
  </si>
  <si>
    <t>Peas And Carrots From Canned Creamed</t>
  </si>
  <si>
    <t>Peas And Carrots Cooked Ns As To Form Ns As To Fat Added In Cooking</t>
  </si>
  <si>
    <t>Peas And Carrots Cooked From Fresh Ns As To Fat Added In Cooking</t>
  </si>
  <si>
    <t>Peas And Carrots Cooked From Frozen Ns As To Fat Added In Cooking</t>
  </si>
  <si>
    <t>Peas And Carrots Cooked From Canned Ns As To Fat Added In Cooking</t>
  </si>
  <si>
    <t>Peas And Carrots Cooked Ns As To Form Fat Not Added In Cooking</t>
  </si>
  <si>
    <t>Peas And Carrots Cooked From Fresh Fat Not Added In Cooking</t>
  </si>
  <si>
    <t>Peas And Carrots Cooked From Frozen Fat Not Added In Cooking</t>
  </si>
  <si>
    <t>Peas And Carrots Cooked From Canned Fat Not Added In Cooking</t>
  </si>
  <si>
    <t>Peas And Carrots Cooked Ns As To Form Fat Added In Cooking Ns As To Type Of Fat</t>
  </si>
  <si>
    <t>Peas And Carrots Cooked From Fresh Fat Added In Cooking Ns As To Type Of Fat</t>
  </si>
  <si>
    <t>Peas And Carrots Cooked From Frozen Fat Added In Cooking Ns As To Type Of Fat</t>
  </si>
  <si>
    <t>Peas And Carrots Cooked From Canned Fat Added In Cooking Ns As To Type Of Fat</t>
  </si>
  <si>
    <t>Peas And Carrots Cooked Ns As To Form Made With Oil</t>
  </si>
  <si>
    <t>Peas And Carrots Cooked Ns As To Form Made With Butter</t>
  </si>
  <si>
    <t>Peas And Carrots Cooked Ns As To Form Made With Margarine</t>
  </si>
  <si>
    <t>Peas And Carrots Cooked From Fresh Made With Oil</t>
  </si>
  <si>
    <t>Peas And Carrots Cooked From Fresh Made With Butter</t>
  </si>
  <si>
    <t>Peas And Carrots Cooked From Fresh Made With Margarine</t>
  </si>
  <si>
    <t>Peas And Carrots Cooked From Frozen Made With Oil</t>
  </si>
  <si>
    <t>Peas And Carrots Cooked From Frozen Made With Butter</t>
  </si>
  <si>
    <t>Peas And Carrots Cooked From Frozen Made With Margarine</t>
  </si>
  <si>
    <t>Peas And Carrots Cooked From Canned Made With Oil</t>
  </si>
  <si>
    <t>Peas And Carrots Cooked From Canned Made With Butter</t>
  </si>
  <si>
    <t>Peas And Carrots Cooked From Canned Made With Margarine</t>
  </si>
  <si>
    <t>Carrots In Tomato Sauce</t>
  </si>
  <si>
    <t>Pumpkin Cooked Ns As To Form Ns As To Fat Added In Cooking</t>
  </si>
  <si>
    <t>Pumpkin Cooked From Fresh Ns As To Fat Added In Cooking</t>
  </si>
  <si>
    <t>Pumpkin Cooked From Frozen Ns As To Fat Added In Cooking</t>
  </si>
  <si>
    <t>Pumpkin Cooked From Canned Ns As To Fat Added In Cooking</t>
  </si>
  <si>
    <t>Pumpkin Cooked Ns As To Form Fat Not Added In Cooking</t>
  </si>
  <si>
    <t>Pumpkin Cooked From Fresh Fat Not Added In Cooking</t>
  </si>
  <si>
    <t>Pumpkin Cooked From Frozen Fat Not Added In Cooking</t>
  </si>
  <si>
    <t>Pumpkin Cooked From Canned Fat Not Added In Cooking</t>
  </si>
  <si>
    <t>Pumpkin Cooked Ns As To Form Fat Added In Cooking Ns As To Type Of Fat</t>
  </si>
  <si>
    <t>Pumpkin Cooked From Fresh Fat Added In Cooking Ns As To Type Of Fat</t>
  </si>
  <si>
    <t>Pumpkin Cooked From Frozen Fat Added In Cooking Ns As To Type Of Fat</t>
  </si>
  <si>
    <t>Pumpkin Cooked From Canned Fat Added In Cooking Ns As To Type Of Fat</t>
  </si>
  <si>
    <t>Pumpkin Cooked Ns As To Form Made With Oil</t>
  </si>
  <si>
    <t>Pumpkin Cooked Ns As To Form Made With Butter</t>
  </si>
  <si>
    <t>Pumpkin Cooked Ns As To Form Made With Margarine</t>
  </si>
  <si>
    <t>Pumpkin Cooked From Fresh Made With Oil</t>
  </si>
  <si>
    <t>Pumpkin Cooked From Fresh Made With Butter</t>
  </si>
  <si>
    <t>Pumpkin Cooked From Fresh Made With Margarine</t>
  </si>
  <si>
    <t>Pumpkin Cooked From Frozen Made With Oil</t>
  </si>
  <si>
    <t>Pumpkin Cooked From Frozen Made With Butter</t>
  </si>
  <si>
    <t>Pumpkin Cooked From Frozen Made With Margarine</t>
  </si>
  <si>
    <t>Pumpkin Cooked From Canned Made With Oil</t>
  </si>
  <si>
    <t>Pumpkin Cooked From Canned Made With Butter</t>
  </si>
  <si>
    <t>Pumpkin Cooked From Canned Made With Margarine</t>
  </si>
  <si>
    <t>Calabaza Cooked</t>
  </si>
  <si>
    <t>Pumpkin Fritters Puerto Rican Style</t>
  </si>
  <si>
    <t>Sweet Potato And Pumpkin Casserole Puerto Rican Style</t>
  </si>
  <si>
    <t>Squash Winter Type Mashed Ns As To Fat Or Sugar Added In Cooking</t>
  </si>
  <si>
    <t>Squash Winter Type Mashed No Fat Or Sugar Added In Cooking</t>
  </si>
  <si>
    <t>Squash Winter Type Mashed Fat Added In Cooking No Sugar Added In Cooking</t>
  </si>
  <si>
    <t>Squash Winter Type Mashed Fat And Sugar Added In Cooking</t>
  </si>
  <si>
    <t>Squash Winter Type Baked Ns As To Fat Or Sugar Added In Cooking</t>
  </si>
  <si>
    <t>Squash Winter Type Baked No Fat Or Sugar Added In Cooking</t>
  </si>
  <si>
    <t>Squash Winter Type Baked Fat Added In Cooking No Sugar Added In Cooking Ns As To Type Of Fat</t>
  </si>
  <si>
    <t>Squash Winter Type Baked No Sugar Added In Cooking Made With Oil</t>
  </si>
  <si>
    <t>Squash Winter Type Baked No Sugar Added In Cooking Made With Butter</t>
  </si>
  <si>
    <t>Squash Winter Type Baked No Sugar Added In Cooking Made With Margarine</t>
  </si>
  <si>
    <t>Squash Winter Type Baked Fat And Sugar Added In Cooking</t>
  </si>
  <si>
    <t>Squash Winter Type Baked No Fat Added In Cooking Sugar Added In Cooking</t>
  </si>
  <si>
    <t>Squash Fritter Or Cake</t>
  </si>
  <si>
    <t>Squash Winter Baked With Cheese</t>
  </si>
  <si>
    <t>Squash Winter Souffle</t>
  </si>
  <si>
    <t>Sweet Potato Nfs</t>
  </si>
  <si>
    <t>Sweet Potato Baked Peel Eaten Ns As To Fat Added In Cooking</t>
  </si>
  <si>
    <t>Sweet Potato Baked Peel Eaten Fat Not Added In Cooking</t>
  </si>
  <si>
    <t>Sweet Potato Baked Peel Eaten Fat Added In Cooking Ns As To Type Of Fat</t>
  </si>
  <si>
    <t>Sweet Potato Baked Peel Eaten Made With Oil</t>
  </si>
  <si>
    <t>Sweet Potato Baked Peel Eaten Made With Butter</t>
  </si>
  <si>
    <t>Sweet Potato Baked Peel Eaten Made With Margarine</t>
  </si>
  <si>
    <t>Sweet Potato Baked Peel Not Eaten Ns As To Fat Added In Cooking</t>
  </si>
  <si>
    <t>Sweet Potato Baked Peel Not Eaten Fat Not Added In Cooking</t>
  </si>
  <si>
    <t>Sweet Potato Baked Peel Not Eaten Fat Added In Cooking Ns As To Type Of Fat</t>
  </si>
  <si>
    <t>Sweet Potato Baked Peel Not Eaten Made With Oil</t>
  </si>
  <si>
    <t>Sweet Potato Baked Peel Not Eaten Made With Butter</t>
  </si>
  <si>
    <t>Sweet Potato Baked Peel Not Eaten Made With Margarine</t>
  </si>
  <si>
    <t>Sweet Potato Boiled Ns As To Fat Added In Cooking</t>
  </si>
  <si>
    <t>Sweet Potato Boiled Fat Not Added In Cooking</t>
  </si>
  <si>
    <t>Sweet Potato Boiled Fat Added In Cooking Ns As To Type Of Fat</t>
  </si>
  <si>
    <t>Sweet Potato Boiled Made With Oil</t>
  </si>
  <si>
    <t>Sweet Potato Boiled Made With Butter</t>
  </si>
  <si>
    <t>Sweet Potato Boiled Made With Margarine</t>
  </si>
  <si>
    <t>Sweet Potato Candied</t>
  </si>
  <si>
    <t>Sweet Potato Canned Ns As To Fat Added In Cooking</t>
  </si>
  <si>
    <t>Sweet Potato Canned Fat Not Added In Cooking</t>
  </si>
  <si>
    <t>Sweet Potato Canned Fat Added In Cooking</t>
  </si>
  <si>
    <t>Sweet Potato Casserole Or Mashed</t>
  </si>
  <si>
    <t>Sweet Potato Chips</t>
  </si>
  <si>
    <t>Sweet Potato Fries From Fresh Fried</t>
  </si>
  <si>
    <t>Sweet Potato Fries From Fresh Baked</t>
  </si>
  <si>
    <t>Sweet Potato Yellow Puerto Rican Cooked</t>
  </si>
  <si>
    <t>Carrot Soup Cream Of Prepared With Milk Home Recipe Canned Or Ready-To-Serve</t>
  </si>
  <si>
    <t>Carrot With Rice Soup Cream Of Prepared With Milk Home Recipe Canned Or Ready-To-Serve</t>
  </si>
  <si>
    <t>Squash Winter Type Soup Home Recipe Canned Or Ready-To-Serve</t>
  </si>
  <si>
    <t>Tomatoes Cooked Ns As To Form Ns As To Method</t>
  </si>
  <si>
    <t>Tomatoes Cooked From Fresh Ns As To Method</t>
  </si>
  <si>
    <t>Tomatoes Ns As To Form Broiled</t>
  </si>
  <si>
    <t>Tomatoes From Fresh Broiled</t>
  </si>
  <si>
    <t>Tomatoes Red Ns As To Form Fried</t>
  </si>
  <si>
    <t>Tomatoes Red From Fresh Fried</t>
  </si>
  <si>
    <t>Tomatoes Ns As To Form Scalloped</t>
  </si>
  <si>
    <t>Tomatoes From Fresh Scalloped</t>
  </si>
  <si>
    <t>Tomatoes From Fresh Stewed</t>
  </si>
  <si>
    <t>Tomatoes Green Cooked Ns As To Form</t>
  </si>
  <si>
    <t>Tomatoes Green Cooked From Fresh</t>
  </si>
  <si>
    <t>Tomato Green Pickled</t>
  </si>
  <si>
    <t>Salsa Pico De Gallo</t>
  </si>
  <si>
    <t>Salsa Red Homemade</t>
  </si>
  <si>
    <t>Enchilada Sauce Green</t>
  </si>
  <si>
    <t>Spaghetti Sauce With Added Vegetables</t>
  </si>
  <si>
    <t>Vodka Sauce With Tomatoes And Cream</t>
  </si>
  <si>
    <t>Tomato Relish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</si>
  <si>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</si>
  <si>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</si>
  <si>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</si>
  <si>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</si>
  <si>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</si>
  <si>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Corn Cooked Ns As To Fat Added In Cooking</t>
  </si>
  <si>
    <t>Tomato And Corn Cooked Fat Not Added In Cooking</t>
  </si>
  <si>
    <t>Tomato And Corn Cooked Fat Added In Cooking</t>
  </si>
  <si>
    <t>Tomato And Okra Cooked Ns As To Fat Added In Cooking</t>
  </si>
  <si>
    <t>Tomato And Okra Cooked Fat Not Added In Cooking</t>
  </si>
  <si>
    <t>Tomato And Okra Cooked Fat Added In Cooking Ns As To Type Of Fat</t>
  </si>
  <si>
    <t>Tomato And Okra Cooked Made With Oil</t>
  </si>
  <si>
    <t>Tomato And Okra Cooked Made With Butter</t>
  </si>
  <si>
    <t>Tomato And Okra Cooked Made With Margarine</t>
  </si>
  <si>
    <t>Tomato And Onion Cooked Ns As To Fat Added In Cooking</t>
  </si>
  <si>
    <t>Tomato And Onion Cooked Fat Not Added In Cooking</t>
  </si>
  <si>
    <t>Tomato And Onion Cooked Fat Added In Cooking Ns As To Type Of Fat</t>
  </si>
  <si>
    <t>Tomato And Onion Cooked Made With Oil</t>
  </si>
  <si>
    <t>Tomato And Onion Cooked Made With Butter</t>
  </si>
  <si>
    <t>Tomato And Onion Cooked Made With Margarine</t>
  </si>
  <si>
    <t>Tomato And Celery Cooked Ns As To Fat Added In Cooking</t>
  </si>
  <si>
    <t>Tomato And Celery Cooked Fat Added In Cooking</t>
  </si>
  <si>
    <t>Tomato And Celery Cooked Fat Not Added In Cooking</t>
  </si>
  <si>
    <t>Tomato With Corn And Okra Cooked Ns As To Fat Added In Cooking</t>
  </si>
  <si>
    <t>Tomato With Corn And Okra Cooked Fat Not Added In Cooking</t>
  </si>
  <si>
    <t>Tomato With Corn And Okra Cooked Fat Added In Cooking Ns As To Type Of Fat</t>
  </si>
  <si>
    <t>Tomato With Corn And Okra Cooked Made With Oil</t>
  </si>
  <si>
    <t>Tomato With Corn And Okra Cooked Made With Butter</t>
  </si>
  <si>
    <t>Tomato With Corn And Okra Cooked Made With Margarine</t>
  </si>
  <si>
    <t>Tomato And Cucumber Salad Made With Tomato Cucumber Oil And Vinegar</t>
  </si>
  <si>
    <t>Tomato Soup Nfs</t>
  </si>
  <si>
    <t>Tomato Soup Cream Of Prepared With Milk</t>
  </si>
  <si>
    <t>Tomato Soup Prepared With Water Or Ready-To-Serve</t>
  </si>
  <si>
    <t>Tomato Soup Canned Reduced Sodium Prepared With Water Or Ready-To-Serve</t>
  </si>
  <si>
    <t>Tomato Soup Canned Reduced Sodium Prepared With Milk</t>
  </si>
  <si>
    <t>Tomato Noodle Soup Canned Prepared With Water Or Ready-To-Serve</t>
  </si>
  <si>
    <t>Tomato Noodle Soup Canned Prepared With Milk</t>
  </si>
  <si>
    <t>Tomato Vegetable Soup Prepared With Water</t>
  </si>
  <si>
    <t>Tomato Sandwich</t>
  </si>
  <si>
    <t>Cucumber Raw</t>
  </si>
  <si>
    <t>Mixed Salad Greens Raw</t>
  </si>
  <si>
    <t>Pepper Hot Chili Raw</t>
  </si>
  <si>
    <t>Pepper Raw Nfs</t>
  </si>
  <si>
    <t>Pepper Sweet Red Raw</t>
  </si>
  <si>
    <t>Seaweed Raw</t>
  </si>
  <si>
    <t>Broccoli Salad With Cauliflower Cheese Bacon Bits And Dressing</t>
  </si>
  <si>
    <t>Broccoli Slaw Salad</t>
  </si>
  <si>
    <t>Cabbage Salad Or Coleslaw Made With Coleslaw Dressing</t>
  </si>
  <si>
    <t>Cabbage Salad Or Coleslaw Made With Light Coleslaw Dressing</t>
  </si>
  <si>
    <t>Cabbage Salad Or Coleslaw Made With Italian Dressing</t>
  </si>
  <si>
    <t>Cabbage Salad Or Coleslaw Made With Light Italian Dressing</t>
  </si>
  <si>
    <t>Cabbage Salad Or Coleslaw Made With Creamy Dressing</t>
  </si>
  <si>
    <t>Cabbage Salad Or Coleslaw Made With Light Creamy Dressing</t>
  </si>
  <si>
    <t>Cabbage Salad Or Coleslaw Made With Any Type Of Fat Free Dressing</t>
  </si>
  <si>
    <t>Cabbage Salad Or Coleslaw With Apples And/or Raisins With Dressing</t>
  </si>
  <si>
    <t>Cabbage Salad Or Coleslaw With Pineapple With Dressing</t>
  </si>
  <si>
    <t>Cabbage Chinese Salad With Dressing</t>
  </si>
  <si>
    <t>Celery Stuffed With Cheese</t>
  </si>
  <si>
    <t>Cucumber And Vegetable Namasu</t>
  </si>
  <si>
    <t>Cucumber Salad Made With Sour Cream Dressing</t>
  </si>
  <si>
    <t>Cucumber Salad Made With Italian Dressing</t>
  </si>
  <si>
    <t>Cucumber Salad Made With Cucumber And Vinegar</t>
  </si>
  <si>
    <t>Lettuce Salad With Assorted Vegetables Including Tomatoes And/or Carrots No Dressing</t>
  </si>
  <si>
    <t>Lettuce Salad With Assorted Vegetables Excluding Tomatoes And Carrots No Dressing</t>
  </si>
  <si>
    <t>Lettuce Salad With Avocado Tomato And/or Carrots With Or Without Other Vegetables No Dressing</t>
  </si>
  <si>
    <t>Lettuce Salad With Cheese Tomato And/or Carrots With Or Without Other Vegetables No Dressing</t>
  </si>
  <si>
    <t>Lettuce Salad With Egg Tomato And/or Carrots With Or Without Other Vegetables No Dressing</t>
  </si>
  <si>
    <t>Lettuce Salad With Egg Cheese Tomato And/or Carrots With Or Without Other Vegetables No Dressing</t>
  </si>
  <si>
    <t>Lettuce Wilted With Bacon Dressing</t>
  </si>
  <si>
    <t>Seven-Layer Salad Lettuce Salad Made With A Combination Of Onion Celery Green Pepper Peas Mayonnaise Cheese Eggs And/or Bacon</t>
  </si>
  <si>
    <t>Greek Salad No Dressing</t>
  </si>
  <si>
    <t>Spinach Salad No Dressing</t>
  </si>
  <si>
    <t>Cobb Salad No Dressing</t>
  </si>
  <si>
    <t>Vegetables Ns As To Type Cooked Ns As To Fat Added In Cooking</t>
  </si>
  <si>
    <t>Vegetables Ns As To Type Cooked Fat Not Added In Cooking</t>
  </si>
  <si>
    <t>Vegetables Ns As To Type Cooked Fat Added In Cooking Ns As To Type Of Fat</t>
  </si>
  <si>
    <t>Vegetables Ns As To Type Cooked Made With Oil</t>
  </si>
  <si>
    <t>Vegetables Ns As To Type Cooked Made With Butter</t>
  </si>
  <si>
    <t>Vegetables Ns As To Type Cooked Made With Margarine</t>
  </si>
  <si>
    <t>Artichoke Cooked Ns As To Form Ns As To Fat Added In Cooking</t>
  </si>
  <si>
    <t>Artichoke Cooked From Fresh Ns As To Fat Added In Cooking</t>
  </si>
  <si>
    <t>Artichoke Cooked From Frozen Ns As To Fat Added In Cooking</t>
  </si>
  <si>
    <t>Artichoke Cooked From Canned Ns As To Fat Added In Cooking</t>
  </si>
  <si>
    <t>Artichoke Cooked Ns As To Form Fat Not Added In Cooking</t>
  </si>
  <si>
    <t>Artichoke Cooked From Fresh Fat Not Added In Cooking</t>
  </si>
  <si>
    <t>Artichoke Cooked From Frozen Fat Not Added In Cooking</t>
  </si>
  <si>
    <t>Artichoke Cooked From Canned Fat Not Added In Cooking</t>
  </si>
  <si>
    <t>Artichoke Cooked Ns As To Form Fat Added In Cooking Ns As To Type Of Fat</t>
  </si>
  <si>
    <t>Artichoke Cooked From Fresh Fat Added In Cooking Ns As To Type Of Fat</t>
  </si>
  <si>
    <t>Artichoke Cooked From Frozen Fat Added In Cooking Ns As To Type Of Fat</t>
  </si>
  <si>
    <t>Artichoke Cooked From Canned Fat Added In Cooking Ns As To Type Of Fat</t>
  </si>
  <si>
    <t>Artichoke Salad In Oil</t>
  </si>
  <si>
    <t>Artichoke Cooked Ns As To Form Made With Oil</t>
  </si>
  <si>
    <t>Artichoke Cooked Ns As To Form Made With Butter</t>
  </si>
  <si>
    <t>Artichoke Cooked Ns As To Form Made With Margarine</t>
  </si>
  <si>
    <t>Artichoke Cooked From Fresh Made With Oil</t>
  </si>
  <si>
    <t>Artichoke Cooked From Fresh Made With Butter</t>
  </si>
  <si>
    <t>Artichoke Cooked From Fresh Made With Margarine</t>
  </si>
  <si>
    <t>Artichoke Cooked From Canned Made With Oil</t>
  </si>
  <si>
    <t>Artichoke Cooked From Canned Made With Butter</t>
  </si>
  <si>
    <t>Artichoke Cooked From Canned Made With Margarine</t>
  </si>
  <si>
    <t>Artichoke Cooked From Frozen Made With Oil</t>
  </si>
  <si>
    <t>Artichoke Cooked From Frozen Made With Butter</t>
  </si>
  <si>
    <t>Artichoke Cooked From Frozen Made With Margarine</t>
  </si>
  <si>
    <t>Asparagus Cooked Ns As To Form Ns As To Fat Added In Cooking</t>
  </si>
  <si>
    <t>Asparagus Cooked From Fresh Ns As To Fat Added In Cooking</t>
  </si>
  <si>
    <t>Asparagus Cooked From Frozen Ns As To Fat Added In Cooking</t>
  </si>
  <si>
    <t>Asparagus Cooked From Canned Ns As To Fat Added In Cooking</t>
  </si>
  <si>
    <t>Asparagus Cooked Ns As To Form Fat Not Added In Cooking</t>
  </si>
  <si>
    <t>Asparagus Cooked From Fresh Fat Not Added In Cooking</t>
  </si>
  <si>
    <t>Asparagus Cooked From Frozen Fat Not Added In Cooking</t>
  </si>
  <si>
    <t>Asparagus Cooked From Canned Fat Not Added In Cooking</t>
  </si>
  <si>
    <t>Asparagus Cooked Ns As To Form Fat Added In Cooking Ns As To Type Of Fat</t>
  </si>
  <si>
    <t>Asparagus Cooked From Fresh Fat Added In Cooking Ns As To Type Of Fat</t>
  </si>
  <si>
    <t>Asparagus Cooked From Frozen Fat Added In Cooking Ns As To Type Of Fat</t>
  </si>
  <si>
    <t>Asparagus Cooked From Canned Fat Added In Cooking Ns As To Type Of Fat</t>
  </si>
  <si>
    <t>Asparagus Cooked Ns As To Form Made With Oil</t>
  </si>
  <si>
    <t>Asparagus Cooked Ns As To Form Made With Butter</t>
  </si>
  <si>
    <t>Asparagus Cooked Ns As To Form Made With Margarine</t>
  </si>
  <si>
    <t>Asparagus Cooked From Fresh Made With Oil</t>
  </si>
  <si>
    <t>Asparagus Cooked From Fresh Made With Butter</t>
  </si>
  <si>
    <t>Asparagus Cooked From Fresh Made With Margarine</t>
  </si>
  <si>
    <t>Asparagus Cooked From Frozen Made With Oil</t>
  </si>
  <si>
    <t>Asparagus Cooked From Frozen Made With Butter</t>
  </si>
  <si>
    <t>Asparagus Cooked From Frozen Made With Margarine</t>
  </si>
  <si>
    <t>Asparagus Cooked From Canned Made With Oil</t>
  </si>
  <si>
    <t>Asparagus Cooked From Canned Made With Butter</t>
  </si>
  <si>
    <t>Asparagus Cooked From Canned Made With Margarine</t>
  </si>
  <si>
    <t>Bamboo Shoots Cooked Fat Not Added In Cooking</t>
  </si>
  <si>
    <t>Bamboo Shoots Cooked Fat Added In Cooking</t>
  </si>
  <si>
    <t>Bamboo Shoots Cooked Ns As To Fat Added In Cooking</t>
  </si>
  <si>
    <t>Beans Lima Immature Cooked Ns As To Form Ns As To Fat Added In Cooking</t>
  </si>
  <si>
    <t>Beans Lima Immature Cooked From Fresh Ns As To Fat Added In Cooking</t>
  </si>
  <si>
    <t>Beans Lima Immature Cooked From Frozen Ns As To Fat Added In Cooking</t>
  </si>
  <si>
    <t>Beans Lima Immature Cooked From Canned Ns As To Fat Added In Cooking</t>
  </si>
  <si>
    <t>Beans Lima Immature Cooked Ns As To Form Fat Not Added In Cooking</t>
  </si>
  <si>
    <t>Beans Lima Immature Cooked From Fresh Fat Not Added In Cooking</t>
  </si>
  <si>
    <t>Beans Lima Immature Cooked From Frozen Fat Not Added In Cooking</t>
  </si>
  <si>
    <t>Beans Lima Immature Cooked From Canned Fat Not Added In Cooking</t>
  </si>
  <si>
    <t>Beans Lima Immature Cooked Ns As To Form Fat Added In Cooking Ns As To Type Of Fat</t>
  </si>
  <si>
    <t>Beans Lima Immature Cooked From Fresh Fat Added In Cooking Ns As To Type Of Fat</t>
  </si>
  <si>
    <t>Beans Lima Immature Cooked From Frozen Fat Added In Cooking Ns As To Type Of Fat</t>
  </si>
  <si>
    <t>Beans Lima Immature Cooked From Canned Fat Added In Cooking Ns As To Type Of Fat</t>
  </si>
  <si>
    <t>Beans Lima Immature Cooked Ns As To Form Made With Oil</t>
  </si>
  <si>
    <t>Beans Lima Immature Cooked Ns As To Form Made With Butter</t>
  </si>
  <si>
    <t>Beans Lima Immature Cooked Ns As To Form Made With Margarine</t>
  </si>
  <si>
    <t>Beans Lima Immature Cooked From Fresh Made With Oil</t>
  </si>
  <si>
    <t>Beans Lima Immature Cooked From Fresh Made With Butter</t>
  </si>
  <si>
    <t>Beans Lima Immature Cooked From Fresh Made With Margarine</t>
  </si>
  <si>
    <t>Beans Lima Immature Cooked From Frozen Made With Oil</t>
  </si>
  <si>
    <t>Beans Lima Immature Cooked From Frozen Made With Butter</t>
  </si>
  <si>
    <t>Beans Lima Immature Cooked From Frozen Made With Margarine</t>
  </si>
  <si>
    <t>Beans Lima Immature Cooked From Canned Made With Oil</t>
  </si>
  <si>
    <t>Beans Lima Immature Cooked From Canned Made With Butter</t>
  </si>
  <si>
    <t>Beans Lima Immature Cooked From Canned Made With Margarine</t>
  </si>
  <si>
    <t>Beans String Cooked Ns As To Form Ns As To Color Made With Oil</t>
  </si>
  <si>
    <t>Beans String Cooked Ns As To Form Ns As To Color Made With Butter</t>
  </si>
  <si>
    <t>Beans String Cooked Ns As To Form Ns As To Color Made With Margarine</t>
  </si>
  <si>
    <t>Beans String Cooked From Fresh Ns As To Color Made With Oil</t>
  </si>
  <si>
    <t>Beans String Cooked From Fresh Ns As To Color Made With Butter</t>
  </si>
  <si>
    <t>Beans String Cooked From Fresh Ns As To Color Made With Margarine</t>
  </si>
  <si>
    <t>Beans String Cooked From Frozen Ns As To Color Made With Oil</t>
  </si>
  <si>
    <t>Beans String Cooked From Frozen Ns As To Color Made With Butter</t>
  </si>
  <si>
    <t>Beans String Cooked From Frozen Ns As To Color Made With Margarine</t>
  </si>
  <si>
    <t>Beans String Cooked From Canned Ns As To Color Made With Oil</t>
  </si>
  <si>
    <t>Beans String Cooked From Canned Ns As To Color Made With Butter</t>
  </si>
  <si>
    <t>Beans String Cooked From Canned Ns As To Color Made With Margarine</t>
  </si>
  <si>
    <t>Beans String Cooked Ns As To Form Ns As To Color Fat Added In Cooking Ns As To Type Of Fat</t>
  </si>
  <si>
    <t>Beans String Cooked From Fresh Ns As To Color Fat Added In Cooking Ns As To Type Of Fat</t>
  </si>
  <si>
    <t>Beans String Cooked From Frozen Ns As To Color Fat Added In Cooking Ns As To Type Of Fat</t>
  </si>
  <si>
    <t>Beans String Cooked From Canned Ns As To Color Fat Added In Cooking Ns As To Type Of Fat</t>
  </si>
  <si>
    <t>Beans String Cooked Ns As To Form Ns As To Color Fat Not Added In Cooking</t>
  </si>
  <si>
    <t>Beans String Cooked From Fresh Ns As To Color Fat Not Added In Cooking</t>
  </si>
  <si>
    <t>Beans String Cooked From Frozen Ns As To Color Fat Not Added In Cooking</t>
  </si>
  <si>
    <t>Beans String Cooked From Canned Ns As To Color Fat Not Added In Cooking</t>
  </si>
  <si>
    <t>Beans String Cooked Ns As To Form Ns As To Color Ns As To Fat Added In Cooking</t>
  </si>
  <si>
    <t>Beans String Cooked From Fresh Ns As To Color Ns As To Fat Added In Cooking</t>
  </si>
  <si>
    <t>Beans String Cooked From Frozen Ns As To Color Ns As To Fat Added In Cooking</t>
  </si>
  <si>
    <t>Beans String Cooked From Canned Ns As To Color Ns As To Fat Added In Cooking</t>
  </si>
  <si>
    <t>Beans String Green Cooked Ns As To Form Ns As To Fat Added In Cooking</t>
  </si>
  <si>
    <t>Beans String Green Cooked From Fresh Ns As To Fat Added In Cooking</t>
  </si>
  <si>
    <t>Beans String Green Cooked From Frozen Ns As To Fat Added In Cooking</t>
  </si>
  <si>
    <t>Beans String Green Cooked From Canned Ns As To Fat Added In Cooking</t>
  </si>
  <si>
    <t>Beans String Green Cooked Ns As To Form Fat Not Added In Cooking</t>
  </si>
  <si>
    <t>Beans String Green Cooked From Fresh Fat Not Added In Cooking</t>
  </si>
  <si>
    <t>Beans String Green Cooked From Frozen Fat Not Added In Cooking</t>
  </si>
  <si>
    <t>Beans String Green Cooked From Canned Fat Not Added In Cooking</t>
  </si>
  <si>
    <t>Beans String Green Cooked Ns As To Form Fat Added In Cooking Ns As To Type Of Fat</t>
  </si>
  <si>
    <t>Beans String Green Cooked From Fresh Fat Added In Cooking Ns As To Type Of Fat</t>
  </si>
  <si>
    <t>Beans String Green Cooked From Frozen Fat Added In Cooking Ns As To Type Of Fat</t>
  </si>
  <si>
    <t>Beans String Green Cooked From Canned Fat Added In Cooking Ns As To Type Of Fat</t>
  </si>
  <si>
    <t>Beans String Green Cooked Ns As To Form Made With Oil</t>
  </si>
  <si>
    <t>Beans String Green Cooked Ns As To Form Made With Butter</t>
  </si>
  <si>
    <t>Beans String Green Cooked Ns As To Form Made With Margarine</t>
  </si>
  <si>
    <t>Beans String Green Cooked From Fresh Made With Oil</t>
  </si>
  <si>
    <t>Beans String Green Cooked From Fresh Made With Butter</t>
  </si>
  <si>
    <t>Beans String Green Cooked From Fresh Made With Margarine</t>
  </si>
  <si>
    <t>Beans String Green Cooked From Frozen Made With Oil</t>
  </si>
  <si>
    <t>Beans String Green Cooked From Frozen Made With Butter</t>
  </si>
  <si>
    <t>Beans String Green Cooked From Frozen Made With Margarine</t>
  </si>
  <si>
    <t>Beans String Green Cooked From Canned Made With Oil</t>
  </si>
  <si>
    <t>Beans String Green Cooked From Canned Made With Butter</t>
  </si>
  <si>
    <t>Beans String Green Cooked From Canned Made With Margarine</t>
  </si>
  <si>
    <t>Beans String Green Canned Low Sodium Ns As To Fat Added In Cooking</t>
  </si>
  <si>
    <t>Beans String Green Canned Low Sodium Fat Added In Cooking Ns As To Type Of Fat</t>
  </si>
  <si>
    <t>Beans String Green Canned Low Sodium Made With Oil</t>
  </si>
  <si>
    <t>Beans String Green Canned Low Sodium Made With Butter</t>
  </si>
  <si>
    <t>Beans String Green Canned Low Sodium Made With Margarine</t>
  </si>
  <si>
    <t>Beans String Yellow Cooked Ns As To Form Ns As To Fat Added In Cooking</t>
  </si>
  <si>
    <t>Beans String Yellow Cooked From Fresh Ns As To Fat Added In Cooking</t>
  </si>
  <si>
    <t>Beans String Yellow Cooked From Frozen Ns As To Fat Added In Cooking</t>
  </si>
  <si>
    <t>Beans String Yellow Cooked From Canned Ns As To Fat Added In Cooking</t>
  </si>
  <si>
    <t>Beans String Yellow Cooked Ns As To Form Fat Not Added In Cooking</t>
  </si>
  <si>
    <t>Beans String Yellow Cooked From Fresh Fat Not Added In Cooking</t>
  </si>
  <si>
    <t>Beans String Yellow Cooked From Frozen Fat Not Added In Cooking</t>
  </si>
  <si>
    <t>Beans String Yellow Cooked From Canned Fat Not Added In Cooking</t>
  </si>
  <si>
    <t>Beans String Yellow Cooked Ns As To Form Fat Added In Cooking Ns As To Type Of Fat</t>
  </si>
  <si>
    <t>Beans String Yellow Cooked From Fresh Fat Added In Cooking Ns As To Type Of Fat</t>
  </si>
  <si>
    <t>Beans String Yellow Cooked From Frozen Fat Added In Cooking Ns As To Type Of Fat</t>
  </si>
  <si>
    <t>Beans String Yellow Cooked From Canned Fat Added In Cooking Ns As To Type Of Fat</t>
  </si>
  <si>
    <t>Beans String Yellow Cooked Ns As To Form Made With Oil</t>
  </si>
  <si>
    <t>Beans String Yellow Cooked Ns As To Form Made With Butter</t>
  </si>
  <si>
    <t>Beans String Yellow Cooked Ns As To Form Made With Margarine</t>
  </si>
  <si>
    <t>Beans String Yellow Cooked From Fresh Made With Oil</t>
  </si>
  <si>
    <t>Beans String Yellow Cooked From Fresh Made With Butter</t>
  </si>
  <si>
    <t>Beans String Yellow Cooked From Fresh Made With Margarine</t>
  </si>
  <si>
    <t>Beans String Yellow Cooked From Frozen Made With Oil</t>
  </si>
  <si>
    <t>Beans String Yellow Cooked From Frozen Made With Butter</t>
  </si>
  <si>
    <t>Beans String Yellow Cooked From Frozen Made With Margarine</t>
  </si>
  <si>
    <t>Beans String Yellow Cooked From Canned Made With Oil</t>
  </si>
  <si>
    <t>Beans String Yellow Cooked From Canned Made With Butter</t>
  </si>
  <si>
    <t>Beans String Yellow Cooked From Canned Made With Margarine</t>
  </si>
  <si>
    <t>Bean Sprouts Cooked Ns As To Form Ns As To Fat Added In Cooking</t>
  </si>
  <si>
    <t>Bean Sprouts Cooked From Fresh Ns As To Fat Added In Cooking</t>
  </si>
  <si>
    <t>Bean Sprouts Cooked Ns As To Form Fat Added In Cooking</t>
  </si>
  <si>
    <t>Bean Sprouts Cooked From Fresh Fat Added In Cooking</t>
  </si>
  <si>
    <t>Beets Cooked Ns As To Form Ns As To Fat Added In Cooking</t>
  </si>
  <si>
    <t>Beets Cooked From Fresh Ns As To Fat Added In Cooking</t>
  </si>
  <si>
    <t>Beets Cooked From Frozen Ns As To Fat Added In Cooking</t>
  </si>
  <si>
    <t>Beets Cooked From Canned Ns As To Fat Added In Cooking</t>
  </si>
  <si>
    <t>Beets Cooked Ns As To Form Fat Not Added In Cooking</t>
  </si>
  <si>
    <t>Beets Cooked From Fresh Fat Not Added In Cooking</t>
  </si>
  <si>
    <t>Beets Cooked From Frozen Fat Not Added In Cooking</t>
  </si>
  <si>
    <t>Beets Cooked From Canned Fat Not Added In Cooking</t>
  </si>
  <si>
    <t>Beets Cooked Ns As To Form Fat Added In Cooking Ns As To Type Of Fat</t>
  </si>
  <si>
    <t>Beets Cooked From Fresh Fat Added In Cooking Ns As To Type Of Fat</t>
  </si>
  <si>
    <t>Beets Cooked From Frozen Fat Added In Cooking Ns As To Type Of Fat</t>
  </si>
  <si>
    <t>Beets Cooked From Canned Fat Added In Cooking Ns As To Type Of Fat</t>
  </si>
  <si>
    <t>Beets Canned Low Sodium Ns As To Fat Added In Cooking</t>
  </si>
  <si>
    <t>Beets Canned Low Sodium Fat Not Added In Cooking</t>
  </si>
  <si>
    <t>Beets Canned Low Sodium Made With Oil</t>
  </si>
  <si>
    <t>Beets Canned Low Sodium Made With Butter</t>
  </si>
  <si>
    <t>Beets Canned Low Sodium Made With Margarine</t>
  </si>
  <si>
    <t>Beets Canned Low Sodium Fat Added In Cooking Ns As To Type Of Fat</t>
  </si>
  <si>
    <t>Beets Cooked Ns As To Form Made With Oil</t>
  </si>
  <si>
    <t>Beets Cooked Ns As To Form Made With Butter</t>
  </si>
  <si>
    <t>Beets Cooked Ns As To Form Made With Margarine</t>
  </si>
  <si>
    <t>Beets Cooked From Fresh Made With Oil</t>
  </si>
  <si>
    <t>Beets Cooked From Fresh Made With Butter</t>
  </si>
  <si>
    <t>Beets Cooked From Fresh Made With Margarine</t>
  </si>
  <si>
    <t>Beets Cooked From Frozen Made With Oil</t>
  </si>
  <si>
    <t>Beets Cooked From Frozen Made With Butter</t>
  </si>
  <si>
    <t>Beets Cooked From Frozen Made With Margarine</t>
  </si>
  <si>
    <t>Beets Cooked From Canned Made With Oil</t>
  </si>
  <si>
    <t>Beets Cooked From Canned Made With Butter</t>
  </si>
  <si>
    <t>Beets Cooked From Canned Made With Margarine</t>
  </si>
  <si>
    <t>Bitter Melon Cooked Ns As To Fat Added In Cooking</t>
  </si>
  <si>
    <t>Bitter Melon Cooked Fat Not Added In Cooking</t>
  </si>
  <si>
    <t>Bitter Melon Cooked Fat Added In Cooking</t>
  </si>
  <si>
    <t>Breadfruit Cooked Ns As To Fat Added In Cooking</t>
  </si>
  <si>
    <t>Breadfruit Cooked Fat Not Added In Cooking</t>
  </si>
  <si>
    <t>Breadfruit Cooked Fat Added In Cooking</t>
  </si>
  <si>
    <t>Breadfruit Fried</t>
  </si>
  <si>
    <t>Broccoflower Cooked Ns As To Fat Added In Cooking</t>
  </si>
  <si>
    <t>Broccoflower Cooked Fat Not Added In Cooking</t>
  </si>
  <si>
    <t>Broccoflower Cooked Fat Added In Cooking Ns As To Type Of Fat</t>
  </si>
  <si>
    <t>Broccoflower Cooked Made With Oil</t>
  </si>
  <si>
    <t>Broccoflower Cooked Made With Butter</t>
  </si>
  <si>
    <t>Broccoflower Cooked Made With Margarine</t>
  </si>
  <si>
    <t>Brussels Sprouts Cooked Ns As To Form Ns As To Fat Added In Cooking</t>
  </si>
  <si>
    <t>Brussels Sprouts Cooked From Fresh Ns As To Fat Added In Cooking</t>
  </si>
  <si>
    <t>Brussels Sprouts Cooked From Frozen Ns As To Fat Added In Cooking</t>
  </si>
  <si>
    <t>Brussels Sprouts Cooked Ns As To Form Fat Not Added In Cooking</t>
  </si>
  <si>
    <t>Brussels Sprouts Cooked From Fresh Fat Not Added In Cooking</t>
  </si>
  <si>
    <t>Brussels Sprouts Cooked From Frozen Fat Not Added In Cooking</t>
  </si>
  <si>
    <t>Brussels Sprouts Cooked Ns As To Form Fat Added In Cooking Ns As To Type Of Fat</t>
  </si>
  <si>
    <t>Brussels Sprouts Cooked From Fresh Fat Added In Cooking Ns As To Type Of Fat</t>
  </si>
  <si>
    <t>Brussels Sprouts Cooked From Frozen Fat Added In Cooking Ns As To Type Of Fat</t>
  </si>
  <si>
    <t>Brussels Sprouts Cooked Ns As To Form Made With Oil</t>
  </si>
  <si>
    <t>Brussels Sprouts Cooked Ns As To Form Made With Butter</t>
  </si>
  <si>
    <t>Brussels Sprouts Cooked Ns As To Form Made With Margarine</t>
  </si>
  <si>
    <t>Brussels Sprouts Cooked From Fresh Made With Oil</t>
  </si>
  <si>
    <t>Brussels Sprouts Cooked From Fresh Made With Butter</t>
  </si>
  <si>
    <t>Brussels Sprouts Cooked From Fresh Made With Margarine</t>
  </si>
  <si>
    <t>Brussels Sprouts Cooked From Frozen Made With Oil</t>
  </si>
  <si>
    <t>Brussels Sprouts Cooked From Frozen Made With Butter</t>
  </si>
  <si>
    <t>Brussels Sprouts Cooked From Frozen Made With Margarine</t>
  </si>
  <si>
    <t>Burdock Cooked Ns As To Fat Added In Cooking</t>
  </si>
  <si>
    <t>Burdock Cooked Fat Not Added In Cooking</t>
  </si>
  <si>
    <t>Burdock Cooked Fat Added In Cooking</t>
  </si>
  <si>
    <t>Cabbage Chinese Cooked Ns As To Fat Added In Cooking</t>
  </si>
  <si>
    <t>Cabbage Chinese Cooked Fat Not Added In Cooking</t>
  </si>
  <si>
    <t>Cabbage Chinese Cooked Fat Added In Cooking Ns As To Type Of Fat</t>
  </si>
  <si>
    <t>Cabbage Chinese Cooked Made With Oil</t>
  </si>
  <si>
    <t>Cabbage Chinese Cooked Made With Butter</t>
  </si>
  <si>
    <t>Cabbage Chinese Cooked Made With Margarine</t>
  </si>
  <si>
    <t>Cabbage Green Cooked Ns As To Fat Added In Cooking</t>
  </si>
  <si>
    <t>Cabbage Green Cooked Fat Not Added In Cooking</t>
  </si>
  <si>
    <t>Cabbage Green Cooked Fat Added In Cooking Ns As To Type Of Fat</t>
  </si>
  <si>
    <t>Cabbage Green Cooked Made With Oil</t>
  </si>
  <si>
    <t>Cabbage Green Cooked Made With Butter</t>
  </si>
  <si>
    <t>Cabbage Green Cooked Made With Margarine</t>
  </si>
  <si>
    <t>Cabbage Red Cooked Ns As To Fat Added In Cooking</t>
  </si>
  <si>
    <t>Cabbage Red Cooked Fat Not Added In Cooking</t>
  </si>
  <si>
    <t>Cabbage Red Cooked Fat Added In Cooking Ns As To Type Of Fat</t>
  </si>
  <si>
    <t>Cabbage Red Cooked Made With Oil</t>
  </si>
  <si>
    <t>Cabbage Red Cooked Made With Butter</t>
  </si>
  <si>
    <t>Cabbage Red Cooked Made With Margarine</t>
  </si>
  <si>
    <t>Cabbage Savoy Cooked Ns As To Fat Added In Cooking</t>
  </si>
  <si>
    <t>Cabbage Savoy Cooked Fat Not Added In Cooking</t>
  </si>
  <si>
    <t>Cabbage Savoy Cooked Fat Added In Cooking Ns As To Type Of Fat</t>
  </si>
  <si>
    <t>Cabbage Savoy Cooked Made With Oil</t>
  </si>
  <si>
    <t>Cabbage Savoy Cooked Made With Butter</t>
  </si>
  <si>
    <t>Cabbage Savoy Cooked Made With Margarine</t>
  </si>
  <si>
    <t>Cactus Cooked Ns As To Fat Added In Cooking</t>
  </si>
  <si>
    <t>Cactus Cooked Fat Not Added In Cooking</t>
  </si>
  <si>
    <t>Cactus Cooked Fat Added In Cooking Ns As To Type Of Fat</t>
  </si>
  <si>
    <t>Cactus Cooked Made With Oil</t>
  </si>
  <si>
    <t>Cactus Cooked Made With Butter</t>
  </si>
  <si>
    <t>Cactus Cooked Made With Margarine</t>
  </si>
  <si>
    <t>Cauliflower Cooked Ns As To Form Ns As To Fat Added In Cooking</t>
  </si>
  <si>
    <t>Cauliflower Cooked From Fresh Ns As To Fat Added In Cooking</t>
  </si>
  <si>
    <t>Cauliflower Cooked From Frozen Ns As To Fat Added In Cooking</t>
  </si>
  <si>
    <t>Cauliflower Cooked From Canned Ns As To Fat Added In Cooking</t>
  </si>
  <si>
    <t>Cauliflower Cooked Ns As To Form Fat Not Added In Cooking</t>
  </si>
  <si>
    <t>Cauliflower Cooked From Fresh Fat Not Added In Cooking</t>
  </si>
  <si>
    <t>Cauliflower Cooked From Frozen Fat Not Added In Cooking</t>
  </si>
  <si>
    <t>Cauliflower Cooked From Canned Fat Not Added In Cooking</t>
  </si>
  <si>
    <t>Cauliflower Cooked Ns As To Form Fat Added In Cooking Ns As To Type Of Fat</t>
  </si>
  <si>
    <t>Cauliflower Cooked From Fresh Fat Added In Cooking Ns As To Type Of Fat</t>
  </si>
  <si>
    <t>Cauliflower Cooked From Frozen Fat Added In Cooking Ns As To Type Of Fat</t>
  </si>
  <si>
    <t>Cauliflower Cooked From Canned Fat Added In Cooking Ns As To Type Of Fat</t>
  </si>
  <si>
    <t>Cauliflower Cooked Ns As To Form Made With Oil</t>
  </si>
  <si>
    <t>Cauliflower Cooked Ns As To Form Made With Butter</t>
  </si>
  <si>
    <t>Cauliflower Cooked Ns As To Form Made With Margarine</t>
  </si>
  <si>
    <t>Cauliflower Cooked From Fresh Made With Oil</t>
  </si>
  <si>
    <t>Cauliflower Cooked From Fresh Made With Butter</t>
  </si>
  <si>
    <t>Cauliflower Cooked From Fresh Made With Margarine</t>
  </si>
  <si>
    <t>Cauliflower Cooked From Frozen Made With Oil</t>
  </si>
  <si>
    <t>Cauliflower Cooked From Frozen Made With Butter</t>
  </si>
  <si>
    <t>Cauliflower Cooked From Frozen Made With Margarine</t>
  </si>
  <si>
    <t>Cauliflower Cooked From Canned Made With Oil</t>
  </si>
  <si>
    <t>Cauliflower Cooked From Canned Made With Butter</t>
  </si>
  <si>
    <t>Cauliflower Cooked From Canned Made With Margarine</t>
  </si>
  <si>
    <t>Celery Cooked Ns As To Fat Added In Cooking</t>
  </si>
  <si>
    <t>Celery Cooked Fat Not Added In Cooking</t>
  </si>
  <si>
    <t>Celery Cooked Fat Added In Cooking Ns As To Type Of Fat</t>
  </si>
  <si>
    <t>Celery Cooked Made With Oil</t>
  </si>
  <si>
    <t>Celery Cooked Made With Butter</t>
  </si>
  <si>
    <t>Celery Cooked Made With Margarine</t>
  </si>
  <si>
    <t>Fennel Bulb Cooked Ns As To Fat Added In Cooking</t>
  </si>
  <si>
    <t>Fennel Bulb Cooked Fat Not Added In Cooking</t>
  </si>
  <si>
    <t>Fennel Bulb Cooked Fat Added In Cooking Ns As To Type Of Fat</t>
  </si>
  <si>
    <t>Fennel Bulb Cooked Made With Oil</t>
  </si>
  <si>
    <t>Fennel Bulb Cooked Made With Butter</t>
  </si>
  <si>
    <t>Fennel Bulb Cooked Made With Margarine</t>
  </si>
  <si>
    <t>Christophine Cooked Ns As To Fat Added In Cooking</t>
  </si>
  <si>
    <t>Christophine Cooked Fat Not Added In Cooking</t>
  </si>
  <si>
    <t>Christophine Cooked Fat Added In Cooking</t>
  </si>
  <si>
    <t>Corn Cooked Ns As To Form Ns As To Color Ns As To Fat Added In Cooking</t>
  </si>
  <si>
    <t>Corn Cooked From Frozen Ns As To Color Ns As To Fat Added In Cooking</t>
  </si>
  <si>
    <t>Corn Cooked From Canned Ns As To Color Ns As To Fat Added In Cooking</t>
  </si>
  <si>
    <t>Corn Cooked From Canned Ns As To Color Fat Not Added In Cooking</t>
  </si>
  <si>
    <t>Corn Cooked Ns As To Form Ns As To Color Fat Added In Cooking Ns As To Type Of Fat</t>
  </si>
  <si>
    <t>Corn Cooked From Frozen Ns As To Color Fat Added In Cooking Ns As To Type Of Fat</t>
  </si>
  <si>
    <t>Corn Cooked From Canned Ns As To Color Fat Added In Cooking Ns As To Type Of Fat</t>
  </si>
  <si>
    <t>Corn Cooked Ns As To Form Ns As To Color Made With Oil</t>
  </si>
  <si>
    <t>Corn Cooked Ns As To Form Ns As To Color Made With Butter</t>
  </si>
  <si>
    <t>Corn Cooked Ns As To Form Ns As To Color Made With Margarine</t>
  </si>
  <si>
    <t>Corn Cooked From Fresh Ns As To Color Made With Oil</t>
  </si>
  <si>
    <t>Corn Cooked From Frozen Ns As To Color Made With Oil</t>
  </si>
  <si>
    <t>Corn Cooked From Frozen Ns As To Color Made With Butter</t>
  </si>
  <si>
    <t>Corn Cooked From Frozen Ns As To Color Made With Margarine</t>
  </si>
  <si>
    <t>Corn Cooked From Canned Ns As To Color Made With Oil</t>
  </si>
  <si>
    <t>Corn Cooked From Canned Ns As To Color Made With Butter</t>
  </si>
  <si>
    <t>Corn Cooked From Canned Ns As To Color Made With Margarine</t>
  </si>
  <si>
    <t>Corn Ns As To Form Ns As To Color Cream Style</t>
  </si>
  <si>
    <t>Corn From Canned Ns As To Color Cream Style</t>
  </si>
  <si>
    <t>Corn Dried Cooked</t>
  </si>
  <si>
    <t>Corn Yellow Cooked Ns As To Form Ns As To Fat Added In Cooking</t>
  </si>
  <si>
    <t>Corn Yellow Cooked From Frozen Ns As To Fat Added In Cooking</t>
  </si>
  <si>
    <t>Corn Yellow Cooked From Canned Ns As To Fat Added In Cooking</t>
  </si>
  <si>
    <t>Corn Yellow Cooked From Canned Fat Not Added In Cooking</t>
  </si>
  <si>
    <t>Corn Yellow Cooked Ns As To Form Fat Added In Cooking Ns As To Type Of Fat</t>
  </si>
  <si>
    <t>Corn Yellow Cooked From Frozen Fat Added In Cooking Ns As To Type Of Fat</t>
  </si>
  <si>
    <t>Corn Yellow Cooked From Canned Fat Added In Cooking Ns As To Type Of Fat</t>
  </si>
  <si>
    <t>Corn Yellow Cooked Ns As To Form Made With Oil</t>
  </si>
  <si>
    <t>Corn Yellow Cooked Ns As To Form Made With Butter</t>
  </si>
  <si>
    <t>Corn Yellow Cooked Ns As To Form Made With Margarine</t>
  </si>
  <si>
    <t>Corn Yellow Cooked From Fresh Made With Oil</t>
  </si>
  <si>
    <t>Corn Yellow Cooked From Frozen Made With Oil</t>
  </si>
  <si>
    <t>Corn Yellow Cooked From Frozen Made With Butter</t>
  </si>
  <si>
    <t>Corn Yellow Cooked From Frozen Made With Margarine</t>
  </si>
  <si>
    <t>Corn Yellow Cooked From Canned Made With Oil</t>
  </si>
  <si>
    <t>Corn Yellow Cooked From Canned Made With Butter</t>
  </si>
  <si>
    <t>Corn Yellow Cooked From Canned Made With Margarine</t>
  </si>
  <si>
    <t>Corn Yellow Ns As To Form Cream Style</t>
  </si>
  <si>
    <t>Corn Yellow From Canned Cream Style</t>
  </si>
  <si>
    <t>Corn Yellow And White Cooked Ns As To Form Ns As To Fat Added In Cooking</t>
  </si>
  <si>
    <t>Corn Yellow And White Cooked From Frozen Ns As To Fat Added In Cooking</t>
  </si>
  <si>
    <t>Corn Yellow And White Cooked From Canned Ns As To Fat Added In Cooking</t>
  </si>
  <si>
    <t>Corn Yellow And White Cooked From Canned Fat Not Added In Cooking</t>
  </si>
  <si>
    <t>Corn Yellow And White Cooked Ns As To Form Made With Oil</t>
  </si>
  <si>
    <t>Corn Yellow And White Cooked Ns As To Form Made With Butter</t>
  </si>
  <si>
    <t>Corn Yellow And White Cooked Ns As To Form Made With Margarine</t>
  </si>
  <si>
    <t>Corn Yellow And White Cooked Ns As To Form Fat Added In Cooking Ns As To Type Of Fat</t>
  </si>
  <si>
    <t>Corn Yellow And White Cooked From Frozen Fat Added In Cooking Ns As To Type Of Fat</t>
  </si>
  <si>
    <t>Corn Yellow And White Cooked From Canned Fat Added In Cooking Ns As To Type Of Fat</t>
  </si>
  <si>
    <t>Corn Yellow And White Cooked From Frozen Made With Oil</t>
  </si>
  <si>
    <t>Corn Yellow And White Cooked From Frozen Made With Butter</t>
  </si>
  <si>
    <t>Corn Yellow And White Cooked From Frozen Made With Margarine</t>
  </si>
  <si>
    <t>Corn Yellow And White Cooked From Canned Made With Oil</t>
  </si>
  <si>
    <t>Corn Yellow And White Cooked From Canned Made With Butter</t>
  </si>
  <si>
    <t>Corn Yellow And White Cooked From Canned Made With Margarine</t>
  </si>
  <si>
    <t>Corn Yellow Ns As To Form Cream Style Fat Added In Cooking</t>
  </si>
  <si>
    <t>Corn Yellow From Canned Cream Style Fat Added In Cooking</t>
  </si>
  <si>
    <t>Corn White Cooked From Canned Ns As To Fat Added In Cooking</t>
  </si>
  <si>
    <t>Corn White Cooked From Canned Fat Not Added In Cooking</t>
  </si>
  <si>
    <t>Corn White Cooked From Canned Fat Added In Cooking Ns As To Type Of Fat</t>
  </si>
  <si>
    <t>Corn White Cooked Ns As To Form Made With Oil</t>
  </si>
  <si>
    <t>Corn White Cooked Ns As To Form Made With Butter</t>
  </si>
  <si>
    <t>Corn White Cooked From Frozen Made With Oil</t>
  </si>
  <si>
    <t>Corn White Cooked From Frozen Made With Butter</t>
  </si>
  <si>
    <t>Corn White Cooked From Canned Made With Oil</t>
  </si>
  <si>
    <t>Corn White Cooked From Canned Made With Butter</t>
  </si>
  <si>
    <t>Corn White Cooked From Canned Made With Margarine</t>
  </si>
  <si>
    <t>Corn White Ns As To Form Cream Style</t>
  </si>
  <si>
    <t>Corn White From Canned Cream Style</t>
  </si>
  <si>
    <t>Corn Yellow Canned Low Sodium Ns As To Fat Added In Cooking</t>
  </si>
  <si>
    <t>Corn Yellow Canned Low Sodium Fat Added In Cooking Ns As To Type Of Fat</t>
  </si>
  <si>
    <t>Corn Yellow Canned Low Sodium Made With Oil</t>
  </si>
  <si>
    <t>Corn Yellow Canned Low Sodium Made With Butter</t>
  </si>
  <si>
    <t>Corn Yellow Canned Low Sodium Made With Margarine</t>
  </si>
  <si>
    <t>Cucumber Cooked Ns As To Fat Added In Cooking</t>
  </si>
  <si>
    <t>Cucumber Cooked Fat Not Added In Cooking</t>
  </si>
  <si>
    <t>Cucumber Cooked Fat Added In Cooking Ns As To Type Of Fat</t>
  </si>
  <si>
    <t>Cucumber Cooked Made With Oil</t>
  </si>
  <si>
    <t>Cucumber Cooked Made With Butter</t>
  </si>
  <si>
    <t>Cucumber Cooked Made With Margarine</t>
  </si>
  <si>
    <t>Eggplant Cooked Ns As To Fat Added In Cooking</t>
  </si>
  <si>
    <t>Eggplant Cooked Fat Not Added In Cooking</t>
  </si>
  <si>
    <t>Eggplant Cooked Fat Added In Cooking Ns As To Type Of Fat</t>
  </si>
  <si>
    <t>Eggplant Cooked Made With Oil</t>
  </si>
  <si>
    <t>Eggplant Cooked Made With Butter</t>
  </si>
  <si>
    <t>Eggplant Cooked Made With Margarine</t>
  </si>
  <si>
    <t>Flowers Or Blossoms Of Sesbania Squash Or Lily Ns As To Fat Added In Cooking</t>
  </si>
  <si>
    <t>Flowers Or Blossoms Of Sesbania Squash Or Lily Fat Not Added In Cooking</t>
  </si>
  <si>
    <t>Flowers Or Blossoms Of Sesbania Squash Or Lily Fat Added In Cooking</t>
  </si>
  <si>
    <t>Garlic Cooked</t>
  </si>
  <si>
    <t>Hominy Cooked Ns As To Fat Added In Cooking</t>
  </si>
  <si>
    <t>Hominy Cooked Fat Not Added In Cooking</t>
  </si>
  <si>
    <t>Hominy Cooked Fat Added In Cooking</t>
  </si>
  <si>
    <t>Kohlrabi Cooked Ns As To Fat Added In Cooking</t>
  </si>
  <si>
    <t>Kohlrabi Cooked Fat Not Added In Cooking</t>
  </si>
  <si>
    <t>Kohlrabi Cooked Fat Added In Cooking</t>
  </si>
  <si>
    <t>Leek Cooked Ns As To Fat Added In Cooking</t>
  </si>
  <si>
    <t>Lotus Root Cooked Ns As To Fat Added In Cooking</t>
  </si>
  <si>
    <t>Lotus Root Cooked Fat Not Added In Cooking</t>
  </si>
  <si>
    <t>Lotus Root Cooked Fat Added In Cooking</t>
  </si>
  <si>
    <t>Mushrooms Cooked Ns As To Form Ns As To Fat Added In Cooking</t>
  </si>
  <si>
    <t>Mushrooms Cooked From Fresh Ns As To Fat Added In Cooking</t>
  </si>
  <si>
    <t>Mushrooms Cooked From Frozen Ns As To Fat Added In Cooking</t>
  </si>
  <si>
    <t>Mushrooms Cooked From Canned Ns As To Fat Added In Cooking</t>
  </si>
  <si>
    <t>Mushrooms Cooked Ns As To Form Fat Not Added In Cooking</t>
  </si>
  <si>
    <t>Mushrooms Cooked From Fresh Fat Not Added In Cooking</t>
  </si>
  <si>
    <t>Mushrooms Cooked From Frozen Fat Not Added In Cooking</t>
  </si>
  <si>
    <t>Mushrooms Cooked From Canned Fat Not Added In Cooking</t>
  </si>
  <si>
    <t>Mushrooms Cooked Ns As To Form Fat Added In Cooking Ns Asa To Type Of Fat</t>
  </si>
  <si>
    <t>Mushrooms Cooked From Fresh Fat Added In Cooking Ns As To Type Of Fat</t>
  </si>
  <si>
    <t>Mushrooms Cooked From Frozen Fat Added In Cooking Ns As To Type Of Fat</t>
  </si>
  <si>
    <t>Mushrooms Cooked From Canned Fat Added In Cooking Ns As To Type Of Fat</t>
  </si>
  <si>
    <t>Mushrooms Cooked Ns As To Form Made With Oil</t>
  </si>
  <si>
    <t>Mushrooms Cooked Ns As To Form Made With Butter</t>
  </si>
  <si>
    <t>Mushrooms Cooked Ns As To Form Made With Margarine</t>
  </si>
  <si>
    <t>Mushrooms Cooked From Fresh Made With Oil</t>
  </si>
  <si>
    <t>Mushrooms Cooked From Fresh Made With Butter</t>
  </si>
  <si>
    <t>Mushrooms Cooked From Fresh Made With Margarine</t>
  </si>
  <si>
    <t>Mushrooms Cooked From Frozen Made With Oil</t>
  </si>
  <si>
    <t>Mushrooms Cooked From Frozen Made With Butter</t>
  </si>
  <si>
    <t>Mushrooms Cooked From Frozen Made With Margarine</t>
  </si>
  <si>
    <t>Mushrooms Cooked From Canned Made With Oil</t>
  </si>
  <si>
    <t>Mushrooms Cooked From Canned Made With Butter</t>
  </si>
  <si>
    <t>Mushrooms Cooked From Canned Made With Margarine</t>
  </si>
  <si>
    <t>Mushroom Asian Cooked From Dried</t>
  </si>
  <si>
    <t>Okra Cooked Ns As To Form Ns As To Fat Added In Cooking</t>
  </si>
  <si>
    <t>Okra Cooked From Fresh Ns As To Fat Added In Cooking</t>
  </si>
  <si>
    <t>Okra Cooked From Frozen Ns As To Fat Added In Cooking</t>
  </si>
  <si>
    <t>Okra Cooked From Canned Ns As To Fat Added In Cooking</t>
  </si>
  <si>
    <t>Okra Cooked Ns As To Form Fat Not Added In Cooking</t>
  </si>
  <si>
    <t>Okra Cooked From Fresh Fat Not Added In Cooking</t>
  </si>
  <si>
    <t>Okra Cooked From Frozen Fat Not Added In Cooking</t>
  </si>
  <si>
    <t>Okra Cooked From Canned Fat Not Added In Cooking</t>
  </si>
  <si>
    <t>Okra Cooked Ns As To Form Fat Added In Cooking Ns As To Type Of Fat</t>
  </si>
  <si>
    <t>Okra Cooked From Fresh Fat Added In Cooking Ns As To Type Of Fat</t>
  </si>
  <si>
    <t>Okra Cooked From Frozen Fat Added In Cooking Ns As To Type Of Fat</t>
  </si>
  <si>
    <t>Okra Cooked From Canned Fat Added In Cooking Ns As To Type Of Fat</t>
  </si>
  <si>
    <t>Okra Cooked Ns As To Form Made With Oil</t>
  </si>
  <si>
    <t>Okra Cooked Ns As To Form Made With Butter</t>
  </si>
  <si>
    <t>Okra Cooked Ns As To Form Made With Margarine</t>
  </si>
  <si>
    <t>Okra Cooked From Fresh Made With Oil</t>
  </si>
  <si>
    <t>Okra Cooked From Fresh Made With Butter</t>
  </si>
  <si>
    <t>Okra Cooked From Fresh Made With Margarine</t>
  </si>
  <si>
    <t>Okra Cooked From Frozen Made With Oil</t>
  </si>
  <si>
    <t>Okra Cooked From Frozen Made With Butter</t>
  </si>
  <si>
    <t>Okra Cooked From Frozen Made With Margarine</t>
  </si>
  <si>
    <t>Okra Cooked From Canned Made With Oil</t>
  </si>
  <si>
    <t>Okra Cooked From Canned Made With Butter</t>
  </si>
  <si>
    <t>Okra Cooked From Canned Made With Margarine</t>
  </si>
  <si>
    <t>Lettuce Cooked Ns As To Fat Added In Cooking</t>
  </si>
  <si>
    <t>Lettuce Cooked Fat Not Added In Cooking</t>
  </si>
  <si>
    <t>Lettuce Cooked Fat Added In Cooking</t>
  </si>
  <si>
    <t>Luffa Cooked Ns As To Fat Added In Cooking</t>
  </si>
  <si>
    <t>Luffa Cooked Fat Not Added In Cooking</t>
  </si>
  <si>
    <t>Luffa Cooked Fat Added In Cooking</t>
  </si>
  <si>
    <t>Onions Cooked Ns As To Form Ns As To Fat Added In Cooking</t>
  </si>
  <si>
    <t>Onions Cooked From Fresh Ns As To Fat Added In Cooking</t>
  </si>
  <si>
    <t>Onions Cooked From Frozen Ns As To Fat Added In Cooking</t>
  </si>
  <si>
    <t>Onions Cooked Ns As To Form Fat Not Added In Cooking</t>
  </si>
  <si>
    <t>Onions Cooked From Fresh Fat Not Added In Cooking</t>
  </si>
  <si>
    <t>Onions Cooked From Frozen Fat Not Added In Cooking</t>
  </si>
  <si>
    <t>Onions Cooked Ns As To Form Made With Oil</t>
  </si>
  <si>
    <t>Onions Cooked Ns As To Form Made With Butter</t>
  </si>
  <si>
    <t>Onions Cooked Ns As To Form Made With Margarine</t>
  </si>
  <si>
    <t>Onions Cooked From Fresh Made With Oil</t>
  </si>
  <si>
    <t>Onions Cooked From Fresh Made With Butter</t>
  </si>
  <si>
    <t>Onions Cooked From Fresh Made With Margarine</t>
  </si>
  <si>
    <t>Onions Cooked Ns As To Form Fat Added In Cooking Ns As To Type Of Fat</t>
  </si>
  <si>
    <t>Onions Cooked From Fresh Fat Added In Cooking Ns As To Type Of Fat</t>
  </si>
  <si>
    <t>Onions Cooked From Frozen Fat Added In Cooking Ns As To Type Of Fat</t>
  </si>
  <si>
    <t>Onions Cooked From Frozen Made With Oil</t>
  </si>
  <si>
    <t>Onions Cooked From Frozen Made With Butter</t>
  </si>
  <si>
    <t>Onions Cooked From Frozen Made With Margarine</t>
  </si>
  <si>
    <t>Onions Pearl Cooked Ns As To Form</t>
  </si>
  <si>
    <t>Onions Pearl Cooked From Fresh</t>
  </si>
  <si>
    <t>Onions Pearl Cooked From Frozen</t>
  </si>
  <si>
    <t>Onions Pearl Cooked From Canned</t>
  </si>
  <si>
    <t>Onions Green Cooked Ns As To Form Ns As To Fat Added In Cooking</t>
  </si>
  <si>
    <t>Onions Green Cooked From Fresh Ns As To Fat Added In Cooking</t>
  </si>
  <si>
    <t>Onions Green Cooked Ns As To Form Fat Not Added In Cooking</t>
  </si>
  <si>
    <t>Onions Green Cooked From Fresh Fat Not Added In Cooking</t>
  </si>
  <si>
    <t>Onions Green Cooked Ns As To Form Fat Added In Cooking</t>
  </si>
  <si>
    <t>Onions Green Cooked From Fresh Fat Added In Cooking</t>
  </si>
  <si>
    <t>Palm Hearts Cooked Assume Fat Not Added In Cooking</t>
  </si>
  <si>
    <t>Parsnips Cooked Ns As To Fat Added In Cooking</t>
  </si>
  <si>
    <t>Parsnips Cooked Fat Not Added In Cooking</t>
  </si>
  <si>
    <t>Parsnips Cooked Fat Added In Cooking Ns As To Type Of Fat</t>
  </si>
  <si>
    <t>Parsnips Cooked Made With Oil</t>
  </si>
  <si>
    <t>Parsnips Cooked Made With Butter</t>
  </si>
  <si>
    <t>Parsnips Cooked Made With Margarine</t>
  </si>
  <si>
    <t>Peas Cowpeas Field Peas Or Blackeye Peas Not Dried Cooked Ns As To Form Ns As To Fat Added In Cooking</t>
  </si>
  <si>
    <t>Peas Cowpeas Field Peas Or Blackeye Peas Not Dried Cooked From Fresh Ns As To Fat Added In Cooking</t>
  </si>
  <si>
    <t>Peas Cowpeas Field Peas Or Blackeye Peas Not Dried Cooked From Frozen Ns As To Fat Added In Cooking</t>
  </si>
  <si>
    <t>Peas Cowpeas Field Peas Or Blackeye Peas Not Dried Cooked From Canned Ns As To Fat Added In Cooking</t>
  </si>
  <si>
    <t>Peas Cowpeas Field Peas Or Blackeye Peas Not Dried Cooked Ns As To Form Fat Not Added In Cooking</t>
  </si>
  <si>
    <t>Peas Cowpeas Field Peas Or Blackeye Peas Not Dried Cooked From Fresh Fat Not Added In Cooking</t>
  </si>
  <si>
    <t>Peas Cowpeas Field Peas Or Blackeye Peas Not Dried Cooked From Frozen Fat Not Added In Cooking</t>
  </si>
  <si>
    <t>Peas Cowpeas Field Peas Or Blackeye Peas Not Dried Cooked From Canned Fat Not Added In Cooking</t>
  </si>
  <si>
    <t>Peas Cowpeas Field Peas Or Blackeye Peas Not Dried Cooked Ns As To Form Fat Added In Cooking Ns As To Type Of Fat</t>
  </si>
  <si>
    <t>Peas Cowpeas Field Peas Or Blackeye Peas Not Dried Cooked From Fresh Fat Added In Cooking Ns As To Type Of Fat</t>
  </si>
  <si>
    <t>Peas Cowpeas Field Peas Or Blackeye Peas Not Dried Cooked From Frozen Fat Added In Cooking Ns As To Type Of Fat</t>
  </si>
  <si>
    <t>Peas Cowpeas Field Peas Or Blackeye Peas Not Dried Cooked From Canned Fat Added In Cooking Ns As To Type Of Fat</t>
  </si>
  <si>
    <t>Peas Cowpeas Field Peas Or Blackeye Peas Not Dried Cooked Ns As To Form Made With Oil</t>
  </si>
  <si>
    <t>Peas Cowpeas Field Peas Or Blackeye Peas Not Dried Cooked Ns As To Form Made With Butter</t>
  </si>
  <si>
    <t>Peas Cowpeas Field Peas Or Blackeye Peas Not Dried Cooked Ns As To Form Made With Margarine</t>
  </si>
  <si>
    <t>Peas Cowpeas Field Peas Or Blackeye Peas Not Dried Cooked From Fresh Made With Oil</t>
  </si>
  <si>
    <t>Peas Cowpeas Field Peas Or Blackeye Peas Not Dried Cooked From Fresh Made With Butter</t>
  </si>
  <si>
    <t>Peas Cowpeas Field Peas Or Blackeye Peas Not Dried Cooked From Fresh Made With Margarine</t>
  </si>
  <si>
    <t>Peas Cowpeas Field Peas Or Blackeye Peas Not Dried Cooked From Frozen Made With Oil</t>
  </si>
  <si>
    <t>Peas Cowpeas Field Peas Or Blackeye Peas Not Dried Cooked From Frozen Made With Butter</t>
  </si>
  <si>
    <t>Peas Cowpeas Field Peas Or Blackeye Peas Not Dried Cooked From Frozen Made With Margarine</t>
  </si>
  <si>
    <t>Peas Cowpeas Field Peas Or Blackeye Peas Not Dried Cooked From Canned Made With Oil</t>
  </si>
  <si>
    <t>Peas Cowpeas Field Peas Or Blackeye Peas Not Dried Cooked From Canned Made With Butter</t>
  </si>
  <si>
    <t>Peas Cowpeas Field Peas Or Blackeye Peas Not Dried Cooked From Canned Made With Margarine</t>
  </si>
  <si>
    <t>Peas Green Cooked Ns As To Form Ns As To Fat Added In Cooking</t>
  </si>
  <si>
    <t>Peas Green Cooked From Fresh Ns As To Fat Added In Cooking</t>
  </si>
  <si>
    <t>Peas Green Cooked From Frozen Ns As To Fat Added In Cooking</t>
  </si>
  <si>
    <t>Peas Green Cooked From Canned Ns As To Fat Added In Cooking</t>
  </si>
  <si>
    <t>Peas Green Cooked Ns As To Form Fat Not Added In Cooking</t>
  </si>
  <si>
    <t>Peas Green Cooked From Fresh Fat Not Added In Cooking</t>
  </si>
  <si>
    <t>Peas Green Cooked From Frozen Fat Not Added In Cooking</t>
  </si>
  <si>
    <t>Peas Green Cooked From Canned Fat Not Added In Cooking</t>
  </si>
  <si>
    <t>Peas Green Cooked Ns As To Form Fat Added In Cooking Ns As To Type Of Fat</t>
  </si>
  <si>
    <t>Peas Green Cooked From Fresh Fat Added In Cooking Ns As To Type Of Fat</t>
  </si>
  <si>
    <t>Peas Green Cooked From Frozen Fat Added In Cooking Ns As To Type Of Fat</t>
  </si>
  <si>
    <t>Peas Green Cooked From Canned Fat Added In Cooking Ns As To Type Of Fat</t>
  </si>
  <si>
    <t>Peas Green Cooked Ns As To Form Made With Oil</t>
  </si>
  <si>
    <t>Peas Green Cooked Ns As To Form Made With Butter</t>
  </si>
  <si>
    <t>Peas Green Cooked Ns As To Form Made With Margarine</t>
  </si>
  <si>
    <t>Peas Green Cooked From Fresh Made With Oil</t>
  </si>
  <si>
    <t>Peas Green Cooked From Fresh Made With Butter</t>
  </si>
  <si>
    <t>Peas Green Cooked From Fresh Made With Margarine</t>
  </si>
  <si>
    <t>Peas Green Cooked From Frozen Made With Oil</t>
  </si>
  <si>
    <t>Peas Green Cooked From Frozen Made With Butter</t>
  </si>
  <si>
    <t>Peas Green Cooked From Frozen Made With Margarine</t>
  </si>
  <si>
    <t>Peas Green Cooked From Canned Made With Oil</t>
  </si>
  <si>
    <t>Peas Green Cooked From Canned Made With Butter</t>
  </si>
  <si>
    <t>Peas Green Cooked From Canned Made With Margarine</t>
  </si>
  <si>
    <t>Peas Green Canned Low Sodium Ns As To Fat Added In Cooking</t>
  </si>
  <si>
    <t>Peas Green Canned Low Sodium Fat Not Added In Cooking</t>
  </si>
  <si>
    <t>Peas Green Canned Low Sodium Fat Added In Cooking Ns As To Type Of Fat</t>
  </si>
  <si>
    <t>Peas Green Canned Low Sodium Made With Oil</t>
  </si>
  <si>
    <t>Peas Green Canned Low Sodium Made With Butter</t>
  </si>
  <si>
    <t>Peas Green Canned Low Sodium Made With Margarine</t>
  </si>
  <si>
    <t>Pigeon Peas Cooked Ns As To Form Fat Not Added In Cooking</t>
  </si>
  <si>
    <t>Pigeon Peas Cooked From Fresh Fat Not Added In Cooking</t>
  </si>
  <si>
    <t>Pigeon Peas Cooked From Canned Fat Not Added In Cooking</t>
  </si>
  <si>
    <t>Pigeon Peas Cooked Ns As To Form Ns As To Fat Added In Cooking</t>
  </si>
  <si>
    <t>Pigeon Peas Cooked Ns As To Form Fat Added In Cooking</t>
  </si>
  <si>
    <t>Pigeon Peas Cooked From Fresh Ns As To Fat Added In Cooking</t>
  </si>
  <si>
    <t>Pigeon Peas Cooked From Fresh Fat Added In Cooking</t>
  </si>
  <si>
    <t>Pigeon Peas Cooked From Canned Ns As To Fat Added In Cooking</t>
  </si>
  <si>
    <t>Pigeon Peas Cooked From Canned Fat Added In Cooking</t>
  </si>
  <si>
    <t>Peppers Green Cooked Ns As To Fat Added In Cooking</t>
  </si>
  <si>
    <t>Peppers Green Cooked Fat Not Added In Cooking</t>
  </si>
  <si>
    <t>Peppers Green Cooked Fat Added In Cooking Ns As To Type Of Fat</t>
  </si>
  <si>
    <t>Peppers Green Cooked Made With Oil</t>
  </si>
  <si>
    <t>Peppers Green Cooked Made With Butter</t>
  </si>
  <si>
    <t>Peppers Green Cooked Made With Margarine</t>
  </si>
  <si>
    <t>Peppers Red Cooked Ns As To Fat Added In Cooking</t>
  </si>
  <si>
    <t>Peppers Red Cooked Fat Not Added In Cooking</t>
  </si>
  <si>
    <t>Peppers Red Cooked Fat Added In Cooking Ns As To Type Of Fat</t>
  </si>
  <si>
    <t>Peppers Red Cooked Made With Oil</t>
  </si>
  <si>
    <t>Peppers Red Cooked Made With Butter</t>
  </si>
  <si>
    <t>Peppers Red Cooked Made With Margarine</t>
  </si>
  <si>
    <t>Peppers Hot Cooked Ns As To Form Ns As To Fat Added In Cooking</t>
  </si>
  <si>
    <t>Peppers Hot Cooked From Fresh Ns As To Fat Added In Cooking</t>
  </si>
  <si>
    <t>Peppers Hot Cooked From Frozen Ns As To Fat Added In Cooking</t>
  </si>
  <si>
    <t>Peppers Hot Cooked From Canned Ns As To Fat Added In Cooking</t>
  </si>
  <si>
    <t>Peppers Hot Cooked Ns As To Form Fat Not Added In Cooking</t>
  </si>
  <si>
    <t>Peppers Hot Cooked From Fresh Fat Not Added In Cooking</t>
  </si>
  <si>
    <t>Peppers Hot Cooked From Frozen Fat Not Added In Cooking</t>
  </si>
  <si>
    <t>Peppers Hot Cooked From Canned Fat Not Added In Cooking</t>
  </si>
  <si>
    <t>Peppers Hot Cooked Ns As To Form Fat Added In Cooking Ns As To Type Of Fat</t>
  </si>
  <si>
    <t>Peppers Hot Cooked From Fresh Fat Added In Cooking Ns As To Type Of Fat</t>
  </si>
  <si>
    <t>Peppers Hot Cooked From Frozen Fat Added In Cooking Ns As To Type Of Fat</t>
  </si>
  <si>
    <t>Peppers Hot Cooked From Canned Fat Added In Cooking Ns As To Type Of Fat</t>
  </si>
  <si>
    <t>Pimiento</t>
  </si>
  <si>
    <t>Radish Daikon Cooked Ns As To Fat Added In Cooking</t>
  </si>
  <si>
    <t>Radish Daikon Cooked Fat Not Added In Cooking</t>
  </si>
  <si>
    <t>Radish Daikon Cooked Fat Added In Cooking</t>
  </si>
  <si>
    <t>Rutabaga Cooked Ns As To Fat Added In Cooking</t>
  </si>
  <si>
    <t>Rutabaga Cooked Fat Not Added In Cooking</t>
  </si>
  <si>
    <t>Rutabaga Cooked Fat Added In Cooking Ns As To Type Of Fat</t>
  </si>
  <si>
    <t>Rutabaga Cooked Made With Oil</t>
  </si>
  <si>
    <t>Rutabaga Cooked Made With Butter</t>
  </si>
  <si>
    <t>Rutabaga Cooked Made With Margarine</t>
  </si>
  <si>
    <t>Salsify Cooked Ns As To Fat Added In Cooking</t>
  </si>
  <si>
    <t>Salsify Cooked Fat Not Added In Cooking</t>
  </si>
  <si>
    <t>Salsify Cooked Fat Added In Cooking</t>
  </si>
  <si>
    <t>Sauerkraut Cooked Ns As To Fat Added In Cooking</t>
  </si>
  <si>
    <t>Sauerkraut Cooked Fat Added In Cooking</t>
  </si>
  <si>
    <t>Snowpea Cooked Ns As To Form Ns As To Fat Added In Cooking</t>
  </si>
  <si>
    <t>Snowpea Cooked From Fresh Ns As To Fat Added In Cooking</t>
  </si>
  <si>
    <t>Snowpea Cooked From Frozen Ns As To Fat Added In Cooking</t>
  </si>
  <si>
    <t>Snowpea Cooked Ns As To Form Fat Not Added In Cooking</t>
  </si>
  <si>
    <t>Snowpea Cooked From Fresh Fat Not Added In Cooking</t>
  </si>
  <si>
    <t>Snowpea Cooked From Frozen Fat Not Added In Cooking</t>
  </si>
  <si>
    <t>Snowpea Cooked Ns As To Form Fat Added In Cooking Ns As To Type Of Fat</t>
  </si>
  <si>
    <t>Snowpea Cooked From Fresh Fat Added In Cooking Ns As To Type Of Fat</t>
  </si>
  <si>
    <t>Snowpea Cooked From Frozen Fat Added In Cooking Ns As To Type Of Fat</t>
  </si>
  <si>
    <t>Snowpea Cooked Ns As To Form Made With Oil</t>
  </si>
  <si>
    <t>Snowpea Cooked Ns As To Form Made With Butter</t>
  </si>
  <si>
    <t>Snowpea Cooked Ns As To Form Made With Margarine</t>
  </si>
  <si>
    <t>Snowpea Cooked From Fresh Made With Oil</t>
  </si>
  <si>
    <t>Snowpea Cooked From Fresh Made With Butter</t>
  </si>
  <si>
    <t>Snowpea Cooked From Fresh Made With Margarine</t>
  </si>
  <si>
    <t>Snowpea Cooked From Frozen Made With Oil</t>
  </si>
  <si>
    <t>Snowpea Cooked From Frozen Made With Butter</t>
  </si>
  <si>
    <t>Snowpea Cooked From Frozen Made With Margarine</t>
  </si>
  <si>
    <t>Seaweed Prepared With Soy Sauce</t>
  </si>
  <si>
    <t>Seaweed Cooked Ns As To Fat Added In Cooking</t>
  </si>
  <si>
    <t>Seaweed Cooked Fat Added In Cooking Ns As To Type Of Fat</t>
  </si>
  <si>
    <t>Seaweed Cooked Made With Oil</t>
  </si>
  <si>
    <t>Seaweed Cooked Made With Butter</t>
  </si>
  <si>
    <t>Squash Summer Yellow Or Green Cooked Ns As To Form Ns As To Fat Added In Cooking</t>
  </si>
  <si>
    <t>Squash Summer Yellow Or Green Cooked From Fresh Ns As To Fat Added In Cooking</t>
  </si>
  <si>
    <t>Squash Summer Yellow Or Green Cooked From Frozen Ns As To Fat Added In Cooking</t>
  </si>
  <si>
    <t>Squash Summer Yellow Or Green Cooked From Canned Ns As To Fat Added In Cooking</t>
  </si>
  <si>
    <t>Squash Summer Yellow Or Green Cooked Ns As To Form Fat Not Added In Cooking</t>
  </si>
  <si>
    <t>Squash Summer Yellow Or Green Cooked From Fresh Fat Not Added In Cooking</t>
  </si>
  <si>
    <t>Squash Summer Yellow Or Green Cooked From Frozen Fat Not Added In Cooking</t>
  </si>
  <si>
    <t>Squash Summer Yellow Or Green Cooked From Canned Fat Not Added In Cooking</t>
  </si>
  <si>
    <t>Squash Summer Yellow Or Green Cooked Ns As To Form Fat Added In Cooking Ns As To Type Of Fat</t>
  </si>
  <si>
    <t>Squash Summer Yellow Or Green Cooked From Fresh Fat Added In Cooking Ns As To Type Of Fat</t>
  </si>
  <si>
    <t>Squash Summer Yellow Or Green Cooked From Frozen Fat Added In Cooking Ns As To Type Of Fat</t>
  </si>
  <si>
    <t>Squash Summer Yellow Or Green Cooked From Canned Fat Added In Cooking Ns As To Type Of Fat</t>
  </si>
  <si>
    <t>Squash Summer Yellow Or Green Cooked Ns As To Form Made With Oil</t>
  </si>
  <si>
    <t>Squash Summer Yellow Or Green Cooked Ns As To Form Made With Butter</t>
  </si>
  <si>
    <t>Squash Summer Yellow Or Green Cooked Ns As To Form Made With Margarine</t>
  </si>
  <si>
    <t>Squash Summer Yellow Or Green Cooked From Fresh Made With Oil</t>
  </si>
  <si>
    <t>Squash Summer Yellow Or Green Cooked From Fresh Made With Butter</t>
  </si>
  <si>
    <t>Squash Summer Yellow Or Green Cooked From Fresh Made With Margarine</t>
  </si>
  <si>
    <t>Squash Summer Yellow Or Green Cooked From Frozen Made With Oil</t>
  </si>
  <si>
    <t>Squash Summer Yellow Or Green Cooked From Frozen Made With Butter</t>
  </si>
  <si>
    <t>Squash Summer Yellow Or Green Cooked From Frozen Made With Margarine</t>
  </si>
  <si>
    <t>Squash Summer Yellow Or Green Cooked From Canned Made With Oil</t>
  </si>
  <si>
    <t>Squash Summer Yellow Or Green Cooked From Canned Made With Butter</t>
  </si>
  <si>
    <t>Squash Summer Yellow Or Green Cooked From Canned Made With Margarine</t>
  </si>
  <si>
    <t>Squash Spaghetti Cooked Ns As To Fat Added In Cooking</t>
  </si>
  <si>
    <t>Squash Spaghetti Cooked Fat Added In Cooking Ns As To Type Of Fat</t>
  </si>
  <si>
    <t>Squash Spaghetti Cooked Fat Not Added In Cooking</t>
  </si>
  <si>
    <t>Squash Spaghetti Cooked Made With Oil</t>
  </si>
  <si>
    <t>Squash Spaghetti Cooked Made With Butter</t>
  </si>
  <si>
    <t>Squash Spaghetti Cooked Made With Margarine</t>
  </si>
  <si>
    <t>Turnip Cooked Ns As To Form Ns As To Fat Added In Cooking</t>
  </si>
  <si>
    <t>Turnip Cooked From Fresh Ns As To Fat Added In Cooking</t>
  </si>
  <si>
    <t>Turnip Cooked From Frozen Ns As To Fat Added In Cooking</t>
  </si>
  <si>
    <t>Turnip Cooked From Canned Ns As To Fat Added In Cooking</t>
  </si>
  <si>
    <t>Turnip Cooked Ns As To Form Fat Not Added In Cooking</t>
  </si>
  <si>
    <t>Turnip Cooked From Fresh Fat Not Added In Cooking</t>
  </si>
  <si>
    <t>Turnip Cooked From Frozen Fat Not Added In Cooking</t>
  </si>
  <si>
    <t>Turnip Cooked From Canned Fat Not Added In Cooking</t>
  </si>
  <si>
    <t>Turnip Cooked Ns As To Form Fat Added In Cooking Ns As To Type Of Fat</t>
  </si>
  <si>
    <t>Turnip Cooked From Fresh Fat Added In Cooking Ns As To Type Of Fat</t>
  </si>
  <si>
    <t>Turnip Cooked From Frozen Fat Added In Cooking Ns As To Type Of Fat</t>
  </si>
  <si>
    <t>Turnip Cooked From Canned Fat Added In Cooking Ns As To Type Of Fat</t>
  </si>
  <si>
    <t>Turnip Cooked From Canned Made With Oil</t>
  </si>
  <si>
    <t>Turnip Cooked From Canned Made With Butter</t>
  </si>
  <si>
    <t>Turnip Cooked From Canned Made With Margarine</t>
  </si>
  <si>
    <t>Turnip Cooked From Fresh Made With Oil</t>
  </si>
  <si>
    <t>Turnip Cooked From Fresh Made With Butter</t>
  </si>
  <si>
    <t>Turnip Cooked From Fresh Made With Margarine</t>
  </si>
  <si>
    <t>Turnip Cooked From Frozen Made With Oil</t>
  </si>
  <si>
    <t>Turnip Cooked From Frozen Made With Butter</t>
  </si>
  <si>
    <t>Turnip Cooked From Frozen Made With Margarine</t>
  </si>
  <si>
    <t>Turnip Cooked Ns As To Form Made With Oil</t>
  </si>
  <si>
    <t>Turnip Cooked Ns As To Form Made With Butter</t>
  </si>
  <si>
    <t>Turnip Cooked Ns As To Form Made With Margarine</t>
  </si>
  <si>
    <t>Water Chestnut</t>
  </si>
  <si>
    <t>Winter Melon Cooked</t>
  </si>
  <si>
    <t>Beans Lima And Corn Cooked Ns As To Fat Added In Cooking</t>
  </si>
  <si>
    <t>Beans Lima And Corn Cooked Fat Not Added In Cooking</t>
  </si>
  <si>
    <t>Beans Lima And Corn Cooked Fat Added In Cooking Ns As To Type Of Fat</t>
  </si>
  <si>
    <t>Beans Lima And Corn Cooked Made With Oil</t>
  </si>
  <si>
    <t>Beans Lima And Corn Cooked Made With Butter</t>
  </si>
  <si>
    <t>Beans Lima And Corn Cooked Made With Margarine</t>
  </si>
  <si>
    <t>Beans String Green With Tomatoes Cooked Ns As To Fat Added In Cooking</t>
  </si>
  <si>
    <t>Beans String Green With Tomatoes Cooked Fat Not Added In Cooking</t>
  </si>
  <si>
    <t>Beans String Green With Tomatoes Cooked Fat Added In Cooking</t>
  </si>
  <si>
    <t>Beans String Green With Chickpeas Cooked Ns As To Fat Added In Cooking</t>
  </si>
  <si>
    <t>Beans String Green With Chickpeas Cooked Fat Not Added In Cooking</t>
  </si>
  <si>
    <t>Beans String Green With Chickpeas Cooked Fat Added In Cooking</t>
  </si>
  <si>
    <t>Beans String Green With Almonds Cooked Ns As To Fat Added In Cooking</t>
  </si>
  <si>
    <t>Beans String Green With Almonds Cooked Fat Not Added In Cooking</t>
  </si>
  <si>
    <t>Beans String Green With Almonds Cooked Fat Added In Cooking Ns As To Type Of Fat</t>
  </si>
  <si>
    <t>Beans String Green With Almonds Cooked Made With Oil</t>
  </si>
  <si>
    <t>Beans String Green With Almonds Cooked Made With Butter</t>
  </si>
  <si>
    <t>Beans String Green With Almonds Cooked Made With Margarine</t>
  </si>
  <si>
    <t>Beans String Green With Pinto Beans Cooked Ns As To Fat Added In Cooking</t>
  </si>
  <si>
    <t>Beans String Green With Pinto Beans Cooked Fat Not Added In Cooking</t>
  </si>
  <si>
    <t>Beans String Green With Pinto Beans Cooked Fat Added In Cooking</t>
  </si>
  <si>
    <t>Beans String Green With Spaetzel Cooked Ns As To Fat Added In Cooking</t>
  </si>
  <si>
    <t>Beans String Green With Spaetzel Cooked Fat Not Added In Cooking</t>
  </si>
  <si>
    <t>Beans String Green With Spaetzel Cooked Fat Added In Cooking</t>
  </si>
  <si>
    <t>Bean Salad Yellow And/or Green String Beans</t>
  </si>
  <si>
    <t>Beans String Green With Onions Ns As To Fat Added In Cooking</t>
  </si>
  <si>
    <t>Beans String Green With Onions Cooked Fat Not Added In Cooking</t>
  </si>
  <si>
    <t>Beans String Green With Onions Cooked Fat Added In Cooking Ns As To Type Of Fat</t>
  </si>
  <si>
    <t>Beans String Green With Onions Cooked Made With Oil</t>
  </si>
  <si>
    <t>Beans String Green With Onions Cooked Made With Butter</t>
  </si>
  <si>
    <t>Beans String Green With Onions Cooked Made With Margarine</t>
  </si>
  <si>
    <t>Beans String Green And Potatoes Cooked Ns As To Fat Added In Cooking</t>
  </si>
  <si>
    <t>Beans String Green And Potatoes Cooked Fat Not Added In Cooking</t>
  </si>
  <si>
    <t>Beans String Green And Potatoes Cooked Fat Added In Cooking Ns As To Type Of Fat</t>
  </si>
  <si>
    <t>Beans String Green And Potatoes Cooked Made With Oil</t>
  </si>
  <si>
    <t>Beans String Green And Potatoes Cooked Made With Butter</t>
  </si>
  <si>
    <t>Beans String Green And Potatoes Cooked Made With Margarine</t>
  </si>
  <si>
    <t>Corn With Peppers Red Or Green Cooked Ns As To Fat Added In Cooking</t>
  </si>
  <si>
    <t>Corn With Peppers Red Or Green Cooked Fat Added In Cooking Ns As To Type Of Fat</t>
  </si>
  <si>
    <t>Corn With Peppers Red Or Green Cooked Made With Oil</t>
  </si>
  <si>
    <t>Corn With Peppers Red Or Green Cooked Made With Butter</t>
  </si>
  <si>
    <t>Corn With Peppers Red Or Green Cooked Made With Margarine</t>
  </si>
  <si>
    <t>Eggplant In Tomato Sauce Cooked Fat Not Added In Cooking</t>
  </si>
  <si>
    <t>Green Peppers And Onions Cooked Fat Not Added In Cooking</t>
  </si>
  <si>
    <t>Green Peppers And Onions Cooked Ns As To Fat Added In Cooking</t>
  </si>
  <si>
    <t>Green Peppers And Onions Cooked Fat Added In Cooking Ns As To Type Of Fat</t>
  </si>
  <si>
    <t>Green Peppers And Onions Cooked Made With Oil</t>
  </si>
  <si>
    <t>Green Peppers And Onions Cooked Made With Butter</t>
  </si>
  <si>
    <t>Green Peppers And Onions Cooked Made With Margarine</t>
  </si>
  <si>
    <t>Mixed Vegetables Cooked Ns As To Form Ns As To Fat Added In Cooking</t>
  </si>
  <si>
    <t>Mixed Vegetables Cooked From Frozen Ns As To Fat Added In Cooking</t>
  </si>
  <si>
    <t>Mixed Vegetables Cooked From Canned Ns As To Fat Added In Cooking</t>
  </si>
  <si>
    <t>Mixed Vegetables Cooked Ns As To Form Fat Not Added In Cooking</t>
  </si>
  <si>
    <t>Mixed Vegetables Cooked From Frozen Fat Not Added In Cooking</t>
  </si>
  <si>
    <t>Mixed Vegetables Cooked From Canned Fat Not Added In Cooking</t>
  </si>
  <si>
    <t>Mixed Vegetables Cooked Ns As To Form Fat Added In Cooking Ns As To Type Of Fat</t>
  </si>
  <si>
    <t>Mixed Vegetables Cooked From Frozen Fat Added In Cooking Ns As To Type Of Fat</t>
  </si>
  <si>
    <t>Mixed Vegetables Cooked From Canned Fat Added In Cooking Ns As To Type Of Fat</t>
  </si>
  <si>
    <t>Mixed Vegetables Cooked Ns As To Form Made With Oil</t>
  </si>
  <si>
    <t>Mixed Vegetables Cooked Ns As To Form Made With Butter</t>
  </si>
  <si>
    <t>Mixed Vegetables Cooked Ns As To Form Made With Margarine</t>
  </si>
  <si>
    <t>Mixed Vegetables Cooked From Frozen Made With Oil</t>
  </si>
  <si>
    <t>Mixed Vegetables Cooked From Frozen Made With Butter</t>
  </si>
  <si>
    <t>Mixed Vegetables Cooked From Frozen Made With Margarine</t>
  </si>
  <si>
    <t>Mixed Vegetables Cooked From Canned Made With Oil</t>
  </si>
  <si>
    <t>Mixed Vegetables Cooked From Canned Made With Butter</t>
  </si>
  <si>
    <t>Mixed Vegetables Cooked From Canned Made With Margarine</t>
  </si>
  <si>
    <t>Mixed Vegetables Canned Low Sodium Ns As To Fat Added In Cooking</t>
  </si>
  <si>
    <t>Mixed Vegetables Canned Low Sodium Fat Added In Cooking Ns As To Type Of Fat</t>
  </si>
  <si>
    <t>Mixed Vegetables Canned Low Sodium Made With Oil</t>
  </si>
  <si>
    <t>Mixed Vegetables Canned Low Sodium Made With Butter</t>
  </si>
  <si>
    <t>Mixed Vegetables Canned Low Sodium Made With Margarine</t>
  </si>
  <si>
    <t>Peas And Corn Cooked Ns As To Fat Added In Cooking</t>
  </si>
  <si>
    <t>Peas And Corn Cooked Fat Not Added In Cooking</t>
  </si>
  <si>
    <t>Peas And Corn Cooked Fat Added In Cooking Ns As To Type Of Fat</t>
  </si>
  <si>
    <t>Peas And Corn Cooked Made With Oil</t>
  </si>
  <si>
    <t>Peas And Corn Cooked Made With Butter</t>
  </si>
  <si>
    <t>Peas And Corn Cooked Made With Margarine</t>
  </si>
  <si>
    <t>Peas And Onions Cooked Ns As To Fat Added In Cooking</t>
  </si>
  <si>
    <t>Peas And Onions Cooked Fat Not Added In Cooking</t>
  </si>
  <si>
    <t>Peas And Onions Cooked Fat Added In Cooking Ns As To Type Of Fat</t>
  </si>
  <si>
    <t>Peas And Onions Cooked Made With Oil</t>
  </si>
  <si>
    <t>Peas And Onions Cooked Made With Butter</t>
  </si>
  <si>
    <t>Peas And Onions Cooked Made With Margarine</t>
  </si>
  <si>
    <t>Peas And Mushrooms Cooked Ns As To Fat Added In Cooking</t>
  </si>
  <si>
    <t>Peas And Mushrooms Cooked Fat Not Added In Cooking</t>
  </si>
  <si>
    <t>Peas And Mushrooms Cooked Fat Added In Cooking Ns As To Type Of Fat</t>
  </si>
  <si>
    <t>Peas And Mushrooms Cooked Made With Oil</t>
  </si>
  <si>
    <t>Peas And Mushrooms Cooked Made With Butter</t>
  </si>
  <si>
    <t>Peas And Mushrooms Cooked Made With Margarine</t>
  </si>
  <si>
    <t>Cowpeas With Snap Beans Cooked Ns As To Fat Added In Cooking</t>
  </si>
  <si>
    <t>Cowpeas With Snap Beans Cooked Fat Not Added In Cooking</t>
  </si>
  <si>
    <t>Cowpeas With Snap Beans Cooked Fat Added In Cooking</t>
  </si>
  <si>
    <t>Peas And Potatoes Cooked Fat Not Added In Cooking</t>
  </si>
  <si>
    <t>Peas And Potatoes Cooked Ns As To Fat Added In Cooking</t>
  </si>
  <si>
    <t>Peas And Potatoes Cooked Fat Added In Cooking Ns As To Type Of Fat</t>
  </si>
  <si>
    <t>Peas And Potatoes Cooked Made With Oil</t>
  </si>
  <si>
    <t>Peas And Potatoes Cooked Made With Butter</t>
  </si>
  <si>
    <t>Peas And Potatoes Cooked Made With Margarine</t>
  </si>
  <si>
    <t>Squash Summer Yellow Or Green And Onions Cooked Ns As To Fat Added In Cooking</t>
  </si>
  <si>
    <t>Squash Summer Yellow Or Green And Onions Cooked Fat Not Added In Cooking</t>
  </si>
  <si>
    <t>Squash Summer Yellow Or Green And Onions Cooked Fat Added In Cooking</t>
  </si>
  <si>
    <t>Squash Summer Yellow Or Green And Onions Cooked Made With Oil</t>
  </si>
  <si>
    <t>Squash Summer Yellow Or Green And Onions Cooked Made With Butter</t>
  </si>
  <si>
    <t>Squash Summer Yellow Or Green And Onions Cooked Made With Margarine</t>
  </si>
  <si>
    <t>Squash Summer Yellow Or Green With Tomato Sauce Cooked Fat Not Added In Cooking</t>
  </si>
  <si>
    <t>Squash Summer Yellow Or Green With Tomato Sauce Cooked Fat Added In Cooking</t>
  </si>
  <si>
    <t>Squash Summer Yellow Or Green With Tomato Sauce Cooked Ns As To Fat Added In Cooking</t>
  </si>
  <si>
    <t>Ratatouille</t>
  </si>
  <si>
    <t>Vegetables Stew Type Cooked Ns As To Fat Added In Cooking</t>
  </si>
  <si>
    <t>Vegetables Stew Type Cooked Fat Added In Cooking Ns As To Type Of Fat</t>
  </si>
  <si>
    <t>Vegetables Stew Type Cooked Made With Oil</t>
  </si>
  <si>
    <t>Vegetables Stew Type Cooked Made With Butter</t>
  </si>
  <si>
    <t>Vegetables Stew Type Cooked Made With Margarine</t>
  </si>
  <si>
    <t>Vegetables Stew Type Cooked Fat Not Added In Cooking</t>
  </si>
  <si>
    <t>Vegetable Combination Including Carrots Broccoli And/or Dark-Green Leafy; Cooked No Sauce Ns As To Fat Added In Cooking</t>
  </si>
  <si>
    <t>Vegetable Combination Including Carrots Broccoli And/or Dark-Green Leafy; Cooked No Sauce Fat Not Added In Cooking</t>
  </si>
  <si>
    <t>Vegetable Combination Including Carrots Broccoli And/or Dark-Green Leafy; Cooked No Sauce Fat Added In Cooking Ns As To Type Of Fat</t>
  </si>
  <si>
    <t>Vegetable Combination Including Carrots Broccoli And/or Dark-Green Leafy; Cooked No Sauce Made With Oil</t>
  </si>
  <si>
    <t>Vegetable Combination Including Carrots Broccoli And/or Dark-Green Leafy; Cooked No Sauce Made With Butter</t>
  </si>
  <si>
    <t>Vegetable Combination Including Carrots Broccoli And/or Dark-Green Leafy; Cooked No Sauce Made With Margarine</t>
  </si>
  <si>
    <t>Vegetable Combination Excluding Carrots Broccoli And Dark-Green Leafy; Cooked No Sauce Ns As To Fat Added In Cooking</t>
  </si>
  <si>
    <t>Vegetable Combination Excluding Carrots Broccoli And Dark-Green Leafy; Cooked No Sauce  Fat Not Added In Cooking</t>
  </si>
  <si>
    <t>Vegetable Combination Excluding Carrots Broccoli And Dark-Green Leafy; Cooked No Sauce Fat Added In Cooking Ns As To Type Of Fat</t>
  </si>
  <si>
    <t>Vegetable Combination Excluding Carrots Broccoli And Dark-Green Leafy; Cooked No Sauce Made With Oil</t>
  </si>
  <si>
    <t>Vegetable Combination Excluding Carrots Broccoli And Dark-Green Leafy; Cooked No Sauce Made With Butter</t>
  </si>
  <si>
    <t>Vegetable Combination Excluding Carrots Broccoli And Dark-Green Leafy; Cooked No Sauce Made With Margarine</t>
  </si>
  <si>
    <t>Vegetable Combinations Asian Style Broccoli Green Pepper Water Chestnut Etc. Cooked Ns As To Fat Added In Cooking</t>
  </si>
  <si>
    <t>Vegetable Combinations Asian Style Broccoli Green Pepper Water Chestnut Etc. Cooked Fat Not Added In Cooking</t>
  </si>
  <si>
    <t>Vegetable Combinations Asian Style Broccoli Green Pepper Water Chestnut Etc. Cooked Fat Added In Cooking Ns As To Type Of Fat</t>
  </si>
  <si>
    <t>Vegetable Combinations Asian Style Broccoli Green Pepper Water Chestnut Etc. Cooked Made With Oil</t>
  </si>
  <si>
    <t>Vegetable Combinations Asian Style Broccoli Green Pepper Water Chestnut Etc. Cooked Made With Butter</t>
  </si>
  <si>
    <t>Vegetable Combinations Asian Style Broccoli Green Pepper Water Chestnut Etc. Cooked Made With Margarine</t>
  </si>
  <si>
    <t>Vegetable And Pasta Combinations With Cream Or Cheese Sauce Broccoli Pasta Carrots Corn Zucchini Peppers Cauliflower Peas Etc. Cooked</t>
  </si>
  <si>
    <t>Jai Monk's Food</t>
  </si>
  <si>
    <t>Pinacbet</t>
  </si>
  <si>
    <t>Artichokes Stuffed</t>
  </si>
  <si>
    <t>Asparagus Ns As To Form Creamed Or With Cheese Sauce</t>
  </si>
  <si>
    <t>Asparagus From Fresh Creamed Or With Cheese Sauce</t>
  </si>
  <si>
    <t>Asparagus From Frozen Creamed Or With Cheese Sauce</t>
  </si>
  <si>
    <t>Asparagus From Canned Creamed Or With Cheese Sauce</t>
  </si>
  <si>
    <t>Beans Lima Immature Ns As To Form Creamed Or With Cheese Sauce</t>
  </si>
  <si>
    <t>Beans Lima Immature From Fresh Creamed Or With Cheese Sauce</t>
  </si>
  <si>
    <t>Beans Lima Immature From Frozen Creamed Or With Cheese Sauce</t>
  </si>
  <si>
    <t>Beans Lima Immature From Canned Creamed Or With Cheese Sauce</t>
  </si>
  <si>
    <t>Beans Lima Immature Cooked Ns As To Form With Mushroom Sauce</t>
  </si>
  <si>
    <t>Beans Lima Immature Cooked From Fresh With Mushroom Sauce</t>
  </si>
  <si>
    <t>Beans Lima Immature Cooked From Frozen With Mushroom Sauce</t>
  </si>
  <si>
    <t>Beans Lima Immature Cooked From Canned With Mushroom Sauce</t>
  </si>
  <si>
    <t>Beans String Green Ns As To Form Creamed Or With Cheese Sauce</t>
  </si>
  <si>
    <t>Beans String Green From Fresh Creamed Or With Cheese Sauce</t>
  </si>
  <si>
    <t>Beans String Green From Frozen Creamed Or With Cheese Sauce</t>
  </si>
  <si>
    <t>Beans String Green From Canned Creamed Or With Cheese Sauce</t>
  </si>
  <si>
    <t>Beans String Green Cooked Ns As To Form With Mushroom Sauce</t>
  </si>
  <si>
    <t>Beans String Green Cooked From Fresh With Mushroom Sauce</t>
  </si>
  <si>
    <t>Beans String Green Cooked From Frozen With Mushroom Sauce</t>
  </si>
  <si>
    <t>Beans String Green Cooked From Canned With Mushroom Sauce</t>
  </si>
  <si>
    <t>Beans String Green Cooked Szechuan-Style</t>
  </si>
  <si>
    <t>Beans String Yellow Ns As To Form Creamed Or With Cheese Sauce</t>
  </si>
  <si>
    <t>Beans String Yellow From Fresh Creamed Or With Cheese Sauce</t>
  </si>
  <si>
    <t>Beans String Yellow From Frozen Creamed Or With Cheese Sauce</t>
  </si>
  <si>
    <t>Beans String Yellow From Canned Creamed Or With Cheese Sauce</t>
  </si>
  <si>
    <t>Beets With Harvard Sauce</t>
  </si>
  <si>
    <t>Brussels Sprouts Ns As To Form Creamed</t>
  </si>
  <si>
    <t>Brussels Sprouts From Fresh Creamed</t>
  </si>
  <si>
    <t>Brussels Sprouts From Frozen Creamed</t>
  </si>
  <si>
    <t>Cabbage Creamed</t>
  </si>
  <si>
    <t>Cauliflower Ns As To Form Creamed</t>
  </si>
  <si>
    <t>Cauliflower From Fresh Creamed</t>
  </si>
  <si>
    <t>Cauliflower From Frozen Creamed</t>
  </si>
  <si>
    <t>Cauliflower From Canned Creamed</t>
  </si>
  <si>
    <t>Cauliflower Batter-Dipped Fried</t>
  </si>
  <si>
    <t>Celery Creamed</t>
  </si>
  <si>
    <t>Chiles Rellenos Cheese-Filled</t>
  </si>
  <si>
    <t>Chiles Rellenos Filled With Meat And Cheese</t>
  </si>
  <si>
    <t>Jalapeno Pepper Stuffed With Cheese Breaded Or Battered Fried</t>
  </si>
  <si>
    <t>Corn Scalloped Or Pudding</t>
  </si>
  <si>
    <t>Corn Fritter</t>
  </si>
  <si>
    <t>Corn Cooked Ns As To Form With Cream Sauce Made With Milk</t>
  </si>
  <si>
    <t>Corn Cooked From Fresh With Cream Sauce Made With Milk</t>
  </si>
  <si>
    <t>Corn Cooked From Frozen With Cream Sauce Made With Milk</t>
  </si>
  <si>
    <t>Corn Cooked From Canned With Cream Sauce Made With Milk</t>
  </si>
  <si>
    <t>Eggplant Batter-Dipped Fried</t>
  </si>
  <si>
    <t>Eggplant Dip</t>
  </si>
  <si>
    <t>Eggplant Parmesan Casserole Regular</t>
  </si>
  <si>
    <t>Eggplant With Cheese And Tomato Sauce</t>
  </si>
  <si>
    <t>Kohlrabi Creamed</t>
  </si>
  <si>
    <t>Mushrooms Ns As To Form Creamed</t>
  </si>
  <si>
    <t>Mushrooms From Fresh Creamed</t>
  </si>
  <si>
    <t>Mushrooms From Frozen Creamed</t>
  </si>
  <si>
    <t>Mushrooms From Canned Creamed</t>
  </si>
  <si>
    <t>Mushrooms Stuffed</t>
  </si>
  <si>
    <t>Mushrooms Batter-Dipped Fried</t>
  </si>
  <si>
    <t>Okra Batter-Dipped Fried</t>
  </si>
  <si>
    <t>Onions Ns As To Form Creamed</t>
  </si>
  <si>
    <t>Onions From Fresh Creamed</t>
  </si>
  <si>
    <t>Onion Rings From Fresh Batter-Dipped Baked Or Fried</t>
  </si>
  <si>
    <t>Parsnips Creamed</t>
  </si>
  <si>
    <t>Pea Salad</t>
  </si>
  <si>
    <t>Pea Salad With Cheese</t>
  </si>
  <si>
    <t>Peas Ns As To Form Creamed</t>
  </si>
  <si>
    <t>Peas From Fresh Creamed</t>
  </si>
  <si>
    <t>Peas From Frozen Creamed</t>
  </si>
  <si>
    <t>Peas From Canned Creamed</t>
  </si>
  <si>
    <t>Peas Cooked Ns As To Form With Mushroom Sauce</t>
  </si>
  <si>
    <t>Peas Cooked From Fresh With Mushroom Sauce</t>
  </si>
  <si>
    <t>Peas Cooked From Frozen With Mushroom Sauce</t>
  </si>
  <si>
    <t>Peas Cooked From Canned With Mushroom Sauce</t>
  </si>
  <si>
    <t>Peas Cooked Ns As To Form With Tomato Sauce</t>
  </si>
  <si>
    <t>Peas Cooked From Fresh With Tomato Sauce</t>
  </si>
  <si>
    <t>Peas Cooked From Frozen With Tomato Sauce</t>
  </si>
  <si>
    <t>Peas Cooked From Canned With Tomato Sauce</t>
  </si>
  <si>
    <t>Squash Summer Yellow Or Green Breaded Or Battered Baked</t>
  </si>
  <si>
    <t>Squash Summer Yellow Or Green Breaded Or Battered Fried</t>
  </si>
  <si>
    <t>Squash Summer Casserole With Tomato And Cheese</t>
  </si>
  <si>
    <t>Squash Summer Casserole With Rice And Tomato Sauce</t>
  </si>
  <si>
    <t>Squash Summer Casserole With Cheese Sauce</t>
  </si>
  <si>
    <t>Squash Summer Ns As To Form Creamed</t>
  </si>
  <si>
    <t>Squash Summer From Fresh Creamed</t>
  </si>
  <si>
    <t>Squash Summer From Frozen Creamed</t>
  </si>
  <si>
    <t>Squash Summer From Canned Creamed</t>
  </si>
  <si>
    <t>Squash Summer Souffle</t>
  </si>
  <si>
    <t>Turnips Ns As To Form Creamed</t>
  </si>
  <si>
    <t>Turnips From Fresh Creamed</t>
  </si>
  <si>
    <t>Turnips From Frozen Creamed</t>
  </si>
  <si>
    <t>Turnips From Canned Creamed</t>
  </si>
  <si>
    <t>Creamed Christophine Puerto Rican Style</t>
  </si>
  <si>
    <t>Vegetable Stew Without Meat</t>
  </si>
  <si>
    <t>Vegetable Combination Including Carrots Broccoli And/or Dark-Green Leafy; Cooked With Soy-Based Sauce</t>
  </si>
  <si>
    <t>Vegetable Combination Excluding Carrots Broccoli And Dark-Green Leafy; Cooked With Soy-Based Sauce</t>
  </si>
  <si>
    <t>Vegetable Tempura</t>
  </si>
  <si>
    <t>Vegetable Combinations Including Carrots Broccoli And/or Dark-Green Leafy; Cooked With Tomato Sauce</t>
  </si>
  <si>
    <t>Vegetable Combinations Excluding Carrots Broccoli And Dark-Green Leafy; Cooked With Tomato Sauce</t>
  </si>
  <si>
    <t>Vegetables Dipped In Chick-Pea Flour Batter Fried Pakora</t>
  </si>
  <si>
    <t>Vegetable Combinations Including Carrots Broccoli And/or Dark-Green Leafy; Cooked With Cheese Sauce</t>
  </si>
  <si>
    <t>Vegetable Combinations Excluding Carrots Broccoli And Dark-Green Leafy; Cooked With Cheese Sauce</t>
  </si>
  <si>
    <t>Vegetable Curry</t>
  </si>
  <si>
    <t>Vegetable Combination Including Carrots Broccoli And/or Dark-Green Leafy; Cooked With Cream Sauce</t>
  </si>
  <si>
    <t>Vegetable Combination Excluding Carrots Broccoli And Dark-Green Leafy; Cooked With Cream Sauce</t>
  </si>
  <si>
    <t>Vegetable Combination Including Carrots Broccoli And/or Dark-Green Leafy; Cooked With Butter Sauce</t>
  </si>
  <si>
    <t>Vegetable Combinations Including Carrots Broccoli And/or Dark-Green Leafy; Cooked With Pasta</t>
  </si>
  <si>
    <t>Vegetable Combinations Excluding Carrots Broccoli And Dark-Green Leafy; Cooked With Pasta</t>
  </si>
  <si>
    <t>Vegetable Combinations Including Carrots Broccoli And/or Dark-Green Leafy; Cooked With Butter Sauce And Pasta</t>
  </si>
  <si>
    <t>Vegetable Combinations Excluding Carrots Broccoli And Dark-Green Leafy; Cooked With Butter Sauce And Pasta</t>
  </si>
  <si>
    <t>Chow Mein Or Chop Suey Meatless With Noodles</t>
  </si>
  <si>
    <t>Beans String Green Pickled</t>
  </si>
  <si>
    <t>Celery Pickled</t>
  </si>
  <si>
    <t>Corn Relish</t>
  </si>
  <si>
    <t>Cauliflower Pickled</t>
  </si>
  <si>
    <t>Cabbage Red Pickled</t>
  </si>
  <si>
    <t>Mushrooms Pickled</t>
  </si>
  <si>
    <t>Honey Mustard Dip</t>
  </si>
  <si>
    <t>Okra Pickled</t>
  </si>
  <si>
    <t>Olives Nfs</t>
  </si>
  <si>
    <t>Olives Black</t>
  </si>
  <si>
    <t>Olives Green Stuffed</t>
  </si>
  <si>
    <t>Peppers Pickled</t>
  </si>
  <si>
    <t>Recaito</t>
  </si>
  <si>
    <t>Seaweed Pickled</t>
  </si>
  <si>
    <t>Vegetables Pickled Hawaiian Style</t>
  </si>
  <si>
    <t>Vegetable Relish</t>
  </si>
  <si>
    <t>Vegetables Pickled</t>
  </si>
  <si>
    <t>Turnip Pickled</t>
  </si>
  <si>
    <t>Tsukemono Japanese Pickles</t>
  </si>
  <si>
    <t>Zucchini Pickled</t>
  </si>
  <si>
    <t>Soup Cream Of Nfs</t>
  </si>
  <si>
    <t>Asparagus Soup Cream Of Ns As To Made With Milk Or Water</t>
  </si>
  <si>
    <t>Asparagus Soup Cream Of Prepared With Milk</t>
  </si>
  <si>
    <t>Asparagus Soup Cream Of Prepared With Water</t>
  </si>
  <si>
    <t>Borscht</t>
  </si>
  <si>
    <t>Cabbage Soup Home Recipe Canned Or Ready-To-Serve</t>
  </si>
  <si>
    <t>Cabbage With Meat Soup Home Recipe Canned Or Ready-To-Serve</t>
  </si>
  <si>
    <t>Celery Soup Cream Of Prepared With Milk Home Recipe Canned Or Ready-To-Serve</t>
  </si>
  <si>
    <t>Celery Soup Cream Of Prepared With Water Home Recipe Canned Or Ready-To-Serve</t>
  </si>
  <si>
    <t>Corn Soup Cream Of Prepared With Milk</t>
  </si>
  <si>
    <t>Corn Soup Cream Of Prepared With Water</t>
  </si>
  <si>
    <t>Gazpacho</t>
  </si>
  <si>
    <t>Leek Soup Cream Of Prepared With Milk</t>
  </si>
  <si>
    <t>Mushroom Soup Cream Of Prepared With Milk</t>
  </si>
  <si>
    <t>Mushroom Soup Cream Of Prepared With Water</t>
  </si>
  <si>
    <t>Mushroom Soup With Meat Broth Prepared With Water</t>
  </si>
  <si>
    <t>Mushroom Soup Cream Of Ns As To Made With Milk Or Water</t>
  </si>
  <si>
    <t>Mushroom With Chicken Soup Cream Of Prepared With Milk</t>
  </si>
  <si>
    <t>Mushroom Soup Cream Of Canned Reduced Sodium Ns As To Made With Milk Or Water</t>
  </si>
  <si>
    <t>Mushroom Soup Cream Of Canned Reduced Sodium Prepared With Milk</t>
  </si>
  <si>
    <t>Mushroom Soup Cream Of Canned Reduced Sodium Prepared With Water</t>
  </si>
  <si>
    <t>Onion Soup Cream Of Prepared With Milk</t>
  </si>
  <si>
    <t>Onion Soup French</t>
  </si>
  <si>
    <t>Pea Soup Prepared With Milk</t>
  </si>
  <si>
    <t>Vegetable Soup Cream Of Prepared With Milk</t>
  </si>
  <si>
    <t>Zucchini Soup Cream Of Prepared With Milk</t>
  </si>
  <si>
    <t>Shav Soup</t>
  </si>
  <si>
    <t>Seaweed Soup</t>
  </si>
  <si>
    <t>Vegetable Soup Made From Dry Mix</t>
  </si>
  <si>
    <t>Vegetable Soup Home Recipe</t>
  </si>
  <si>
    <t>Vegetable Noodle Soup Home Recipe</t>
  </si>
  <si>
    <t>Minestrone Soup Home Recipe</t>
  </si>
  <si>
    <t>Minestrone Soup Canned Prepared With Water Or Ready-To-Serve</t>
  </si>
  <si>
    <t>Vegetable Beef Soup Canned Prepared With Water Or Ready-To-Serve</t>
  </si>
  <si>
    <t>Vegetable Beef Noodle Soup Prepared With Water</t>
  </si>
  <si>
    <t>Vegetable Noodle Soup Canned Prepared With Water Or Ready-To-Serve</t>
  </si>
  <si>
    <t>Vegetable Beef Soup With Rice Canned Prepared With Water Or Ready-To-Serve</t>
  </si>
  <si>
    <t>Vegetable Soup With Chicken Broth Home Recipe Mexican Style</t>
  </si>
  <si>
    <t>Vegetable Beef Soup Home Recipe</t>
  </si>
  <si>
    <t>Vegetable Beef Soup Canned Prepared With Milk</t>
  </si>
  <si>
    <t>Vegetable Beef Soup With Noodles Or Pasta Home Recipe</t>
  </si>
  <si>
    <t>Vegetable Beef Soup With Rice Home Recipe</t>
  </si>
  <si>
    <t>Vegetarian Vegetable Soup Prepared With Water</t>
  </si>
  <si>
    <t>Vegetable Soup Spanish Style Stew Type</t>
  </si>
  <si>
    <t>Broccoli Carrots And Cheese Baby Food Junior</t>
  </si>
  <si>
    <t>Carrots Baby Food Ns As To Strained Or Junior</t>
  </si>
  <si>
    <t>Carrots Baby Food Toddler</t>
  </si>
  <si>
    <t>Carrots And Peas Baby Food Strained</t>
  </si>
  <si>
    <t>Squash Baby Food Ns As To Strained Or Junior</t>
  </si>
  <si>
    <t>Sweet Potatoes Baby Food Ns As To Strained Or Junior</t>
  </si>
  <si>
    <t>Beans Green String Baby Food Ns As To Strained Or Junior</t>
  </si>
  <si>
    <t>Corn Creamed Baby Food Ns As To Strained Or Junior</t>
  </si>
  <si>
    <t>Mixed Vegetables Garden Vegetables Baby Food Ns As To Strained Or Junior</t>
  </si>
  <si>
    <t>Vegetable And Chicken Baby Food Ns As To Strained Or Junior</t>
  </si>
  <si>
    <t>Vegetable And Turkey Baby Food Ns As To Strained Or Junior</t>
  </si>
  <si>
    <t>Fried Stuffed Potatoes Puerto Rican Style</t>
  </si>
  <si>
    <t>Potato And Ham Fritters Puerto Rican Style</t>
  </si>
  <si>
    <t>Potato Chicken Pie Puerto Rican Style</t>
  </si>
  <si>
    <t>Green Plantain With Cracklings Puerto Rican Style</t>
  </si>
  <si>
    <t>Ripe Plantain Fritters Puerto Rican Style</t>
  </si>
  <si>
    <t>Ripe Plantain Meat Pie Puerto Rican Style</t>
  </si>
  <si>
    <t>Cassava Pasteles Puerto Rican Style</t>
  </si>
  <si>
    <t>Cassava Fritter Stuffed With Crab Meat Puerto Rican Style</t>
  </si>
  <si>
    <t>Stuffed Tannier Fritters Puerto Rican Style</t>
  </si>
  <si>
    <t>Tannier Fritters Puerto Rican Style</t>
  </si>
  <si>
    <t>Puerto Rican Pasteles</t>
  </si>
  <si>
    <t>Stuffed Cabbage With Meat Puerto Rican Style</t>
  </si>
  <si>
    <t>Stuffed Cabbage With Meat And Rice Syrian Dish Puerto Rican Style</t>
  </si>
  <si>
    <t>Eggplant And Meat Casserole</t>
  </si>
  <si>
    <t>Spanish Stew</t>
  </si>
  <si>
    <t>Puerto Rican Stew</t>
  </si>
  <si>
    <t>Fruit And Vegetable Smoothie</t>
  </si>
  <si>
    <t>Fruit And Vegetable Smoothie Added Protein</t>
  </si>
  <si>
    <t>Table Fat Nfs</t>
  </si>
  <si>
    <t>Butter Whipped Tub Salted</t>
  </si>
  <si>
    <t>Margarine-Like Spread Liquid Salted</t>
  </si>
  <si>
    <t>Margarine Like Spread Whipped Tub Salted</t>
  </si>
  <si>
    <t>Vegetable Oil-Butter Spread Stick Salted</t>
  </si>
  <si>
    <t>Butter-Margarine Blend Stick Salted</t>
  </si>
  <si>
    <t>Oil Or Table Fat Nfs</t>
  </si>
  <si>
    <t>Animal Fat Or Drippings</t>
  </si>
  <si>
    <t>Garlic Sauce</t>
  </si>
  <si>
    <t>Lemon-Butter Sauce</t>
  </si>
  <si>
    <t>Hollandaise Sauce</t>
  </si>
  <si>
    <t>Pesto Sauce</t>
  </si>
  <si>
    <t>Tartar Sauce Reduced Fat/calorie</t>
  </si>
  <si>
    <t>Honey Butter</t>
  </si>
  <si>
    <t>Vegetable Oil Nfs</t>
  </si>
  <si>
    <t>Salad Dressing NFS For Sandwiches</t>
  </si>
  <si>
    <t>Coleslaw Dressing</t>
  </si>
  <si>
    <t>French Or Catalina Dressing</t>
  </si>
  <si>
    <t>Yogurt Dressing</t>
  </si>
  <si>
    <t>Korean Dressing Or Marinade</t>
  </si>
  <si>
    <t>Sugar Cinnamon</t>
  </si>
  <si>
    <t>Sugar Substitute And Sugar Blend</t>
  </si>
  <si>
    <t>Sugar Substitute Stevia Liquid</t>
  </si>
  <si>
    <t>Sugar Substitute Powder Nfs</t>
  </si>
  <si>
    <t>Sugar Substitute Liquid Nfs</t>
  </si>
  <si>
    <t>Sugar Substitute Saccharin Liquid</t>
  </si>
  <si>
    <t>Sugar White And Water Syrup</t>
  </si>
  <si>
    <t>Sugar Brown And Water Syrup</t>
  </si>
  <si>
    <t>Sugar Brown Liquid</t>
  </si>
  <si>
    <t>Hard Sauce</t>
  </si>
  <si>
    <t>Topping Chocolate Flavored Hazelnut Spread</t>
  </si>
  <si>
    <t>Topping Milk Chocolate With Cereal</t>
  </si>
  <si>
    <t>Caramel Dip Regular</t>
  </si>
  <si>
    <t>Chocolate Dip</t>
  </si>
  <si>
    <t>Dessert Dip</t>
  </si>
  <si>
    <t>Syrup Dietetic</t>
  </si>
  <si>
    <t>Topping Dietetic</t>
  </si>
  <si>
    <t>Sweet And Sour Sauce</t>
  </si>
  <si>
    <t>Fruit Sauce</t>
  </si>
  <si>
    <t>Dessert Sauce</t>
  </si>
  <si>
    <t>Duck Sauce</t>
  </si>
  <si>
    <t>Plum Sauce Asian Style</t>
  </si>
  <si>
    <t>Guava Paste</t>
  </si>
  <si>
    <t>Sweet Potato Paste</t>
  </si>
  <si>
    <t>Bean Paste Sweetened</t>
  </si>
  <si>
    <t>Chinese Preserved Sweet Vegetable</t>
  </si>
  <si>
    <t>Gelatin Dessert</t>
  </si>
  <si>
    <t>Gelatin Snacks</t>
  </si>
  <si>
    <t>Gelatin Dessert With Fruit</t>
  </si>
  <si>
    <t>Gelatin Dessert With Whipped Cream</t>
  </si>
  <si>
    <t>Gelatin Dessert With Fruit And Whipped Cream</t>
  </si>
  <si>
    <t>Gelatin Dessert With Cream Cheese</t>
  </si>
  <si>
    <t>Gelatin Dessert With Sour Cream</t>
  </si>
  <si>
    <t>Gelatin Dessert With Fruit And Sour Cream</t>
  </si>
  <si>
    <t>Gelatin Dessert With Fruit And Cream Cheese</t>
  </si>
  <si>
    <t>Gelatin Dessert With Fruit Vegetable And Nuts</t>
  </si>
  <si>
    <t>Gelatin Salad With Vegetables</t>
  </si>
  <si>
    <t>Gelatin Dessert With Fruit And Whipped Topping</t>
  </si>
  <si>
    <t>Gelatin Dessert With Fruit And Vegetables</t>
  </si>
  <si>
    <t>Gelatin Dessert Dietetic Sweetened With Low Calorie Sweetener</t>
  </si>
  <si>
    <t>Gelatin Dessert Dietetic With Fruit Sweetened With Low Calorie Sweetener</t>
  </si>
  <si>
    <t>Gelatin Dessert Dietetic With Whipped Topping Sweetened With Low Calorie Sweetener</t>
  </si>
  <si>
    <t>Gelatin Dessert Dietetic With Cream Cheese Sweetened With Low Calorie Sweetener</t>
  </si>
  <si>
    <t>Gelatin Dessert Dietetic With Sour Cream Sweetened With Low Calorie Sweetener</t>
  </si>
  <si>
    <t>Gelatin Dessert Dietetic With Fruit And Sour Cream Sweetened With Low Calorie Sweetener</t>
  </si>
  <si>
    <t>Gelatin Dessert Dietetic With Fruit And Cream Cheese Sweetened With Low Calorie Sweetener</t>
  </si>
  <si>
    <t>Gelatin Dessert Dietetic With Fruits And Vegetables Sweetened With Low Calorie Sweetener</t>
  </si>
  <si>
    <t>Gelatin Salad Dietetic With Vegetables Sweetened With Low Calorie Sweetener</t>
  </si>
  <si>
    <t>Gelatin Dessert Dietetic With Fruit And Whipped Topping Sweetened With Low Calorie Sweetener</t>
  </si>
  <si>
    <t>Danish Dessert Pudding</t>
  </si>
  <si>
    <t>Yokan</t>
  </si>
  <si>
    <t>Coconut Cream Cake Puerto Rican Style</t>
  </si>
  <si>
    <t>Pineapple Custard Puerto Rican Style</t>
  </si>
  <si>
    <t>Haupia</t>
  </si>
  <si>
    <t>Gelatin Frozen Whipped On A Stick</t>
  </si>
  <si>
    <t>Ice Pop Filled With Ice Cream All Flavor Varieties</t>
  </si>
  <si>
    <t>Almonds Chocolate Covered</t>
  </si>
  <si>
    <t>Almonds Sugar-Coated</t>
  </si>
  <si>
    <t>Almonds Yogurt-Covered</t>
  </si>
  <si>
    <t>Caramel With Nuts</t>
  </si>
  <si>
    <t>Caramel Candy Chocolate Covered</t>
  </si>
  <si>
    <t>Caramel With Nuts And Cereal Chocolate Covered</t>
  </si>
  <si>
    <t>Caramel All Flavors Sugar Free</t>
  </si>
  <si>
    <t>Twix Chocolate Fudge Cookie Bars</t>
  </si>
  <si>
    <t>Twix Peanut Butter Cookie Bars</t>
  </si>
  <si>
    <t>Nuts Carob-Coated</t>
  </si>
  <si>
    <t>Chocolate Milk With Nuts Not Almond Or Peanuts</t>
  </si>
  <si>
    <t>Milk Chocolate Candy With Fruit And Nuts</t>
  </si>
  <si>
    <t>Chocolate Candy With Fondant And Caramel</t>
  </si>
  <si>
    <t>Chocolate Sweet Or Dark</t>
  </si>
  <si>
    <t>Chocolate Sweet Or Dark With Almonds</t>
  </si>
  <si>
    <t>Chocolate White With Almonds</t>
  </si>
  <si>
    <t>Coconut Candy Chocolate Covered</t>
  </si>
  <si>
    <t>Coconut Candy Puerto Rican Style</t>
  </si>
  <si>
    <t>Date Candy</t>
  </si>
  <si>
    <t>Fruit Leather And Fruit Snacks Candy</t>
  </si>
  <si>
    <t>Fun Fruits Creme Supremes</t>
  </si>
  <si>
    <t>Tamarind Candy</t>
  </si>
  <si>
    <t>Gumdrops Chocolate Covered</t>
  </si>
  <si>
    <t>Fudge Chocolate Chocolate-Coated</t>
  </si>
  <si>
    <t>Fudge Chocolate Chocolate-Coated With Nuts</t>
  </si>
  <si>
    <t>Fudge Chocolate</t>
  </si>
  <si>
    <t>Fudge Chocolate With Nuts</t>
  </si>
  <si>
    <t>Fudge Peanut Butter</t>
  </si>
  <si>
    <t>Fudge Peanut Butter With Nuts</t>
  </si>
  <si>
    <t>Fudge Divinity</t>
  </si>
  <si>
    <t>Fudge Brown Sugar Penuche</t>
  </si>
  <si>
    <t>Baby Ruth</t>
  </si>
  <si>
    <t>Halvah Plain</t>
  </si>
  <si>
    <t>Halvah Chocolate Covered</t>
  </si>
  <si>
    <t>Honey-Combed Hard Candy With Peanut Butter</t>
  </si>
  <si>
    <t>Chocolate-Flavored Sprinkles</t>
  </si>
  <si>
    <t>Ladoo Round Ball Asian-Indian Dessert</t>
  </si>
  <si>
    <t>Marshmallow Chocolate Covered</t>
  </si>
  <si>
    <t>Marshmallow Candy-Coated</t>
  </si>
  <si>
    <t>Marshmallow Coconut-Coated</t>
  </si>
  <si>
    <t>Nougat Chocolate Covered</t>
  </si>
  <si>
    <t>Nuts Chocolate Covered Not Almonds Or Peanuts</t>
  </si>
  <si>
    <t>Sugared Pecans Sugar And Egg White Coating</t>
  </si>
  <si>
    <t>Peanuts Yogurt Covered</t>
  </si>
  <si>
    <t>Planters Peanut Bar</t>
  </si>
  <si>
    <t>Peanut Bar Chocolate Covered Candy</t>
  </si>
  <si>
    <t>Peanut Butter Chocolate Covered</t>
  </si>
  <si>
    <t>Pralines</t>
  </si>
  <si>
    <t>Pineapple Candy Puerto Rican Style</t>
  </si>
  <si>
    <t>Raisins Yogurt Covered</t>
  </si>
  <si>
    <t>Taffy</t>
  </si>
  <si>
    <t>Toffee Plain</t>
  </si>
  <si>
    <t>Toffee Chocolate-Coated With Nuts</t>
  </si>
  <si>
    <t>Truffles</t>
  </si>
  <si>
    <t>Wax Candy Liquid Filled</t>
  </si>
  <si>
    <t>Coffee Brewed Blend Of Regular And Decaffeinated</t>
  </si>
  <si>
    <t>Coffee Turkish</t>
  </si>
  <si>
    <t>Coffee Cuban</t>
  </si>
  <si>
    <t>Coffee Macchiato</t>
  </si>
  <si>
    <t>Coffee Macchiato Sweetened</t>
  </si>
  <si>
    <t>Coffee Cafe Con Leche</t>
  </si>
  <si>
    <t>Coffee Cafe Con Leche Decaffeinated</t>
  </si>
  <si>
    <t>Coffee Latte</t>
  </si>
  <si>
    <t>Coffee Latte Nonfat</t>
  </si>
  <si>
    <t>Coffee Latte With Non-Dairy Milk</t>
  </si>
  <si>
    <t>Coffee Latte Flavored</t>
  </si>
  <si>
    <t>Coffee Latte Nonfat Flavored</t>
  </si>
  <si>
    <t>Coffee Latte With Non-Dairy Milk Flavored</t>
  </si>
  <si>
    <t>Coffee Latte Decaffeinated</t>
  </si>
  <si>
    <t>Coffee Latte Decaffeinated Nonfat</t>
  </si>
  <si>
    <t>Coffee Latte Decaffeinated With Non-Dairy Milk</t>
  </si>
  <si>
    <t>Coffee Latte Decaffeinated Flavored</t>
  </si>
  <si>
    <t>Coffee Latte Decaffeinated Nonfat Flavored</t>
  </si>
  <si>
    <t>Coffee Latte Decaffeinated With Non-Dairy Milk Flavored</t>
  </si>
  <si>
    <t>Frozen Coffee Drink</t>
  </si>
  <si>
    <t>Frozen Coffee Drink Nonfat</t>
  </si>
  <si>
    <t>Frozen Coffee Drink With Non-Dairy Milk</t>
  </si>
  <si>
    <t>Frozen Coffee Drink With Whipped Cream</t>
  </si>
  <si>
    <t>Frozen Coffee Drink Nonfat With Whipped Cream</t>
  </si>
  <si>
    <t>Frozen Coffee Drink With Non-Dairy Milk And Whipped Cream</t>
  </si>
  <si>
    <t>Frozen Coffee Drink Decaffeinated</t>
  </si>
  <si>
    <t>Frozen Coffee Drink Decaffeinated Nonfat</t>
  </si>
  <si>
    <t>Frozen Coffee Drink Decaffeinated With Non-Dairy Milk</t>
  </si>
  <si>
    <t>Frozen Coffee Drink Decaffeinated With Whipped Cream</t>
  </si>
  <si>
    <t>Frozen Coffee Drink Decaffeinated Nonfat With Whipped Cream</t>
  </si>
  <si>
    <t>Frozen Coffee Drink Decaffeinated With Non-Dairy Milk And Whipped Cream</t>
  </si>
  <si>
    <t>Coffee Cafe Mocha</t>
  </si>
  <si>
    <t>Coffee Cafe Mocha Nonfat</t>
  </si>
  <si>
    <t>Coffee Cafe Mocha With Non-Dairy Milk</t>
  </si>
  <si>
    <t>Coffee Cafe Mocha Decaffeinated</t>
  </si>
  <si>
    <t>Coffee Cafe Mocha Decaffeinated Nonfat</t>
  </si>
  <si>
    <t>Coffee Cafe Mocha Decaffeinated With Non-Dairy Milk</t>
  </si>
  <si>
    <t>Frozen Mocha Coffee Drink</t>
  </si>
  <si>
    <t>Frozen Mocha Coffee Drink Nonfat</t>
  </si>
  <si>
    <t>Frozen Mocha Coffee Drink With Non-Dairy Milk</t>
  </si>
  <si>
    <t>Frozen Mocha Coffee Drink With Whipped Cream</t>
  </si>
  <si>
    <t>Frozen Mocha Coffee Drink Nonfat With Whipped Cream</t>
  </si>
  <si>
    <t>Frozen Mocha Coffee Drink With Non-Dairy Milk And Whipped Cream</t>
  </si>
  <si>
    <t>Frozen Mocha Coffee Drink Decaffeinated</t>
  </si>
  <si>
    <t>Frozen Mocha Coffee Drink Decaffeinated Nonfat</t>
  </si>
  <si>
    <t>Frozen Mocha Coffee Drink Decaffeinated With Non-Dairy Milk</t>
  </si>
  <si>
    <t>Frozen Mocha Coffee Drink Decaffeinated With Whipped Cream</t>
  </si>
  <si>
    <t>Frozen Mocha Coffee Drink Decaffeinated Nonfat With Whipped Cream</t>
  </si>
  <si>
    <t>Frozen Mocha Coffee Drink Decaffeinated With Non-Dairy Milk And Whipped Cream</t>
  </si>
  <si>
    <t>Iced Coffee Brewed</t>
  </si>
  <si>
    <t>Iced Coffee Brewed Decaffeinated</t>
  </si>
  <si>
    <t>Iced Coffee Pre-Lightened And Pre-Sweetened</t>
  </si>
  <si>
    <t>Coffee Iced Latte</t>
  </si>
  <si>
    <t>Coffee Iced Latte Nonfat</t>
  </si>
  <si>
    <t>Coffee Iced Latte With Non-Dairy Milk</t>
  </si>
  <si>
    <t>Coffee Iced Latte Flavored</t>
  </si>
  <si>
    <t>Coffee Iced Latte Nonfat Flavored</t>
  </si>
  <si>
    <t>Coffee Iced Latte With Non-Dairy Milk Flavored</t>
  </si>
  <si>
    <t>Coffee Iced Latte Decaffeinated</t>
  </si>
  <si>
    <t>Coffee Iced Latte Decaffeinated Nonfat</t>
  </si>
  <si>
    <t>Coffee Iced Latte Decaffeinated With Non-Dairy Milk</t>
  </si>
  <si>
    <t>Coffee Iced Latte Decaffeinated Flavored</t>
  </si>
  <si>
    <t>Coffee Iced Latte Decaffeinated Nonfat Flavored</t>
  </si>
  <si>
    <t>Coffee Iced Latte Decaffeinated With Non-Dairy Milk Flavored</t>
  </si>
  <si>
    <t>Coffee Iced Cafe Mocha</t>
  </si>
  <si>
    <t>Coffee Iced Cafe Mocha Nonfat</t>
  </si>
  <si>
    <t>Coffee Iced Cafe Mocha With Non-Dairy Milk</t>
  </si>
  <si>
    <t>Coffee Iced Cafe Mocha Decaffeinated</t>
  </si>
  <si>
    <t>Coffee Iced Cafe Mocha Decaffeinated Nonfat</t>
  </si>
  <si>
    <t>Coffee Iced Cafe Mocha Decaffeinated With Non-Dairy Milk</t>
  </si>
  <si>
    <t>Coffee Instant Reconstituted</t>
  </si>
  <si>
    <t>Coffee Instant 50% Less Caffeine Reconstituted</t>
  </si>
  <si>
    <t>Coffee Instant Decaffeinated Reconstituted</t>
  </si>
  <si>
    <t>Coffee Instant Pre-Lightened And Pre-Sweetened With Sugar Reconstituted</t>
  </si>
  <si>
    <t>Coffee Instant Decaffeinated Pre-Lightened And Pre-Sweetened With Sugar Reconsitituted</t>
  </si>
  <si>
    <t>Coffee Instant Pre-Sweetened With Sugar Reconstituted</t>
  </si>
  <si>
    <t>Coffee Mocha Instant Pre-Lightened And Pre-Sweetened With Sugar Reconstituted</t>
  </si>
  <si>
    <t>Coffee Mocha Instant Pre-Lightened And Pre-Sweetened With Low Calorie Sweetener Reconstituted</t>
  </si>
  <si>
    <t>Coffee Instant Pre-Lightened And Pre-Sweetened With Low Calorie Sweetener Reconstituted</t>
  </si>
  <si>
    <t>Coffee Instant Decaffeinated Pre-Lightened And Pre-Sweetened With Low Calorie Sweetener Reconstituted</t>
  </si>
  <si>
    <t>Coffee Mocha Instant Decaffeinated Pre-Lightened And Pre-Sweetened With Low Calorie Sweetener Reconstituted</t>
  </si>
  <si>
    <t>Coffee Pre-Lightened And Pre-Sweetened With Sugar</t>
  </si>
  <si>
    <t>Coffee Decaffeinated Pre-Lightened And Pre-Sweetened With Sugar</t>
  </si>
  <si>
    <t>Coffee Pre-Lightened And Pre-Sweetened With Low Calorie Sweetener</t>
  </si>
  <si>
    <t>Coffee Decaffeinated Pre-Lightened And Pre-Sweetened With Low Calorie Sweetener</t>
  </si>
  <si>
    <t>Coffee Pre-Lightened</t>
  </si>
  <si>
    <t>Coffee Decaffeinated Pre-Lightened</t>
  </si>
  <si>
    <t>Coffee Pre-Sweetened With Sugar</t>
  </si>
  <si>
    <t>Coffee Decaffeinated Pre-Sweetened With Sugar</t>
  </si>
  <si>
    <t>Coffee Pre-Sweetened With Low Calorie Sweetener</t>
  </si>
  <si>
    <t>Coffee Decaffeinated Pre-Sweetened With Low Calorie Sweetener</t>
  </si>
  <si>
    <t>Coffee Cappuccino</t>
  </si>
  <si>
    <t>Coffee Cappuccino Nonfat</t>
  </si>
  <si>
    <t>Coffee Cappuccino With Non-Dairy Milk</t>
  </si>
  <si>
    <t>Coffee Cappuccino Decaffeinated</t>
  </si>
  <si>
    <t>Coffee Cappuccino Decaffeinated Nonfat</t>
  </si>
  <si>
    <t>Coffee Cappuccino Decaffeinated With Non-Dairy Milk</t>
  </si>
  <si>
    <t>Coffee Bottled/canned Light</t>
  </si>
  <si>
    <t>Coffee Instant Pre-Sweetened With Sugar Not Reconstituted</t>
  </si>
  <si>
    <t>Coffee Mocha Instant Pre-Lightened And Pre-Sweetened With Low Calorie Sweetener Not Reconstituted</t>
  </si>
  <si>
    <t>Coffee Instant Pre-Lightened And Pre-Sweetened With Sugar Not Reconstituted</t>
  </si>
  <si>
    <t>Coffee Instant Decaffeinated Pre-Lightened And Pre-Sweetened With Low Calorie Sweetener Not Reconstituted</t>
  </si>
  <si>
    <t>Chicory Beverage</t>
  </si>
  <si>
    <t>Cereal Beverage</t>
  </si>
  <si>
    <t>Cereal Beverage With Beet Roots From Powdered Instant</t>
  </si>
  <si>
    <t>Tea Iced Instant Black Unsweetened</t>
  </si>
  <si>
    <t>Tea Iced Instant Black Pre-Sweetened With Sugar</t>
  </si>
  <si>
    <t>Tea Iced Instant Black Decaffeinated Pre-Sweetened With Sugar</t>
  </si>
  <si>
    <t>Tea Iced Instant Black Decaffeinated Pre-Sweetened With Low Calorie Sweetener</t>
  </si>
  <si>
    <t>Corn Beverage</t>
  </si>
  <si>
    <t>Tea Hot Chai With Milk</t>
  </si>
  <si>
    <t>Iced Tea / Lemonade Juice Drink</t>
  </si>
  <si>
    <t>Iced Tea / Lemonade Juice Drink Light</t>
  </si>
  <si>
    <t>Iced Tea / Lemonade Juice Drink Diet</t>
  </si>
  <si>
    <t>Tea Iced Brewed Black Pre-Sweetened With Sugar</t>
  </si>
  <si>
    <t>Tea Iced Brewed Black Pre-Sweetened With Low Calorie Sweetener</t>
  </si>
  <si>
    <t>Tea Iced Brewed Black Decaffeinated Pre-Sweetened With Sugar</t>
  </si>
  <si>
    <t>Tea Iced Brewed Black Decaffeinated Pre-Sweetened With Low Calorie Sweetener</t>
  </si>
  <si>
    <t>Tea Iced Brewed Green Pre-Sweetened With Sugar</t>
  </si>
  <si>
    <t>Tea Iced Brewed Green Pre-Sweetened With Low Calorie Sweetener</t>
  </si>
  <si>
    <t>Tea Iced Brewed Green Decaffeinated Pre-Sweetened With Sugar</t>
  </si>
  <si>
    <t>Tea Iced Brewed Green Decaffeinated Pre-Sweetened With Low Calorie Sweetener</t>
  </si>
  <si>
    <t>Soft Drink Fruit Flavored Caffeine Containing</t>
  </si>
  <si>
    <t>Fruit Juice Drink Citrus Carbonated</t>
  </si>
  <si>
    <t>Fruit Juice Drink Noncitrus Carbonated</t>
  </si>
  <si>
    <t>Tamarind Drink</t>
  </si>
  <si>
    <t>Fruit Punch Made With Fruit Juice And Soda</t>
  </si>
  <si>
    <t>Fruit Punch Made With Soda Fruit Juice And Sherbet Or Ice Cream</t>
  </si>
  <si>
    <t>Lemonade Fruit Flavored Drink</t>
  </si>
  <si>
    <t>Fruit Juice Beverage 40-50% Juice Citrus</t>
  </si>
  <si>
    <t>Frozen Daiquiri Mix From Frozen Concentrate Reconstituted</t>
  </si>
  <si>
    <t>Pina Colada Nonalcoholic</t>
  </si>
  <si>
    <t>Fruit Flavored Smoothie Drink Frozen No Dairy</t>
  </si>
  <si>
    <t>Fruit Flavored Smoothie Drink Frozen Light No Dairy</t>
  </si>
  <si>
    <t>Fruit Flavored Drink Powdered Reconstituted</t>
  </si>
  <si>
    <t>Fruit Flavored Drink With High Vitamin C Powdered Reconstituted</t>
  </si>
  <si>
    <t>Fruit Juice Drink Diet</t>
  </si>
  <si>
    <t>Grape Juice Drink Light</t>
  </si>
  <si>
    <t>Fruit Flavored Drink With High Vitamin C Diet</t>
  </si>
  <si>
    <t>Fruit Flavored Drink Diet</t>
  </si>
  <si>
    <t>Fruit Flavored Drink With High Vitamin C Powdered Reconstituted Diet</t>
  </si>
  <si>
    <t>Fruit Flavored Drink Powdered Reconstituted Diet</t>
  </si>
  <si>
    <t>Fruit Juice Drink Reduced Sugar (Sunny D)</t>
  </si>
  <si>
    <t>Horchata Beverage Made With Water</t>
  </si>
  <si>
    <t>Horchata Beverage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</si>
  <si>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</si>
  <si>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</si>
  <si>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</si>
  <si>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</si>
  <si>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</si>
  <si>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Shirley Temple</t>
  </si>
  <si>
    <t>Alcoholic Malt Beverage Higher Alcohol Sweetened</t>
  </si>
  <si>
    <t>Cocktail Nfs</t>
  </si>
  <si>
    <t>Alexander</t>
  </si>
  <si>
    <t>Bacardi Cocktail</t>
  </si>
  <si>
    <t>Bloody Mary</t>
  </si>
  <si>
    <t>Canadian Club And Soda</t>
  </si>
  <si>
    <t>Cape Cod</t>
  </si>
  <si>
    <t>Gelatin Shot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</si>
  <si>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</si>
  <si>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</si>
  <si>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</si>
  <si>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</si>
  <si>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</si>
  <si>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</si>
  <si>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</si>
  <si>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</si>
  <si>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</si>
  <si>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</si>
  <si>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</si>
  <si>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</si>
  <si>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</si>
  <si>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</si>
  <si>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</si>
  <si>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</si>
  <si>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</si>
  <si>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</si>
  <si>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</si>
  <si>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</si>
  <si>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</si>
  <si>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</si>
  <si>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</si>
  <si>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</si>
  <si>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</si>
  <si>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</si>
  <si>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</si>
  <si>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</si>
  <si>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</si>
  <si>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</si>
  <si>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</si>
  <si>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</si>
  <si>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</si>
  <si>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</si>
  <si>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</si>
  <si>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</si>
  <si>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</si>
  <si>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</si>
  <si>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</si>
  <si>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</si>
  <si>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</si>
  <si>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</si>
  <si>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</si>
  <si>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 Alcoholic</t>
  </si>
  <si>
    <t>Champagne Punch</t>
  </si>
  <si>
    <t>Singapore Sling</t>
  </si>
  <si>
    <t>Stinger</t>
  </si>
  <si>
    <t>Mai Tai</t>
  </si>
  <si>
    <t>Gin Rickey</t>
  </si>
  <si>
    <t>Golden Cadillac</t>
  </si>
  <si>
    <t>Long Island Iced Tea</t>
  </si>
  <si>
    <t>Fuzzy Navel</t>
  </si>
  <si>
    <t>Irish Coffee</t>
  </si>
  <si>
    <t>Frozen Daiquiri</t>
  </si>
  <si>
    <t>Frozen Margarita</t>
  </si>
  <si>
    <t>Eggnog Alcoholic</t>
  </si>
  <si>
    <t>Gin Fizz</t>
  </si>
  <si>
    <t>Rum Hot Buttered</t>
  </si>
  <si>
    <t>Zombie</t>
  </si>
  <si>
    <t>Sangria Red</t>
  </si>
  <si>
    <t>Sangria White</t>
  </si>
  <si>
    <t>Wine Spritzer</t>
  </si>
  <si>
    <t>Glug</t>
  </si>
  <si>
    <t>Nutritional Drink Or Shake Ready-To-Drink (Carnation Instant Breakfast)</t>
  </si>
  <si>
    <t>Nutritional Drink Or Shake Ready-To-Drink (Kellogg's Special K Protein)</t>
  </si>
  <si>
    <t>Nutritional Drink Or Shake Ready-To-Drink (Muscle Milk)</t>
  </si>
  <si>
    <t>Nutritional Drink Or Shake Ready-To-Drink Light (Muscle Milk)</t>
  </si>
  <si>
    <t>Nutritional Drink Or Shake High Protein Ready-To-Drink (Slim Fast)</t>
  </si>
  <si>
    <t>Nutritional Drink Or Shake High Protein Ready-To-Drink Nfs</t>
  </si>
  <si>
    <t>Nutritional Powder Mix (Kellogg's Special K20 Protein Water)</t>
  </si>
  <si>
    <t>Fluid Replacement 5% Glucose In Water</t>
  </si>
  <si>
    <t>Cheese As Ingredient In Sandwiches</t>
  </si>
  <si>
    <t>Breading Or Batter As Ingredient In Food</t>
  </si>
  <si>
    <t>Wheat Bread As Ingredient In Sandwiches</t>
  </si>
  <si>
    <t>Sauce As Ingredient In Hamburgers</t>
  </si>
  <si>
    <t>Industrial Oil As Ingredient In Food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</si>
</sst>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name val="Arial"/>
    </font>
    <font>
      <b/>
      <name val="Calibri"/>
    </font>
    <font/>
    <font>
      <sz val="11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4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43.86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3">
        <v>167512.0</v>
      </c>
      <c r="B2" s="3" t="s">
        <v>7</v>
      </c>
      <c r="C2" s="3" t="s">
        <v>8</v>
      </c>
      <c r="D2" s="3">
        <v>307.0</v>
      </c>
      <c r="E2" s="3">
        <v>13.24</v>
      </c>
      <c r="F2" s="3">
        <v>5.88</v>
      </c>
      <c r="G2" s="3">
        <v>41.18</v>
      </c>
    </row>
    <row r="3">
      <c r="A3" s="3">
        <v>167513.0</v>
      </c>
      <c r="B3" s="3" t="s">
        <v>9</v>
      </c>
      <c r="C3" s="3" t="s">
        <v>8</v>
      </c>
      <c r="D3" s="3">
        <v>330.0</v>
      </c>
      <c r="E3" s="3">
        <v>11.27</v>
      </c>
      <c r="F3" s="3">
        <v>4.34</v>
      </c>
      <c r="G3" s="3">
        <v>53.42</v>
      </c>
    </row>
    <row r="4">
      <c r="A4" s="3">
        <v>167514.0</v>
      </c>
      <c r="B4" s="3" t="s">
        <v>10</v>
      </c>
      <c r="C4" s="3" t="s">
        <v>8</v>
      </c>
      <c r="D4" s="3">
        <v>377.0</v>
      </c>
      <c r="E4" s="3">
        <v>3.7</v>
      </c>
      <c r="F4" s="3">
        <v>6.1</v>
      </c>
      <c r="G4" s="3">
        <v>79.8</v>
      </c>
    </row>
    <row r="5">
      <c r="A5" s="3">
        <v>167515.0</v>
      </c>
      <c r="B5" s="3" t="s">
        <v>11</v>
      </c>
      <c r="C5" s="3" t="s">
        <v>8</v>
      </c>
      <c r="D5" s="3">
        <v>232.0</v>
      </c>
      <c r="E5" s="3">
        <v>1.8</v>
      </c>
      <c r="F5" s="3">
        <v>8.0</v>
      </c>
      <c r="G5" s="3">
        <v>46.0</v>
      </c>
    </row>
    <row r="6">
      <c r="A6" s="3">
        <v>167516.0</v>
      </c>
      <c r="B6" s="3" t="s">
        <v>12</v>
      </c>
      <c r="C6" s="3" t="s">
        <v>8</v>
      </c>
      <c r="D6" s="3">
        <v>273.0</v>
      </c>
      <c r="E6" s="3">
        <v>9.22</v>
      </c>
      <c r="F6" s="3">
        <v>6.58</v>
      </c>
      <c r="G6" s="3">
        <v>41.05</v>
      </c>
    </row>
    <row r="7">
      <c r="A7" s="3">
        <v>167517.0</v>
      </c>
      <c r="B7" s="3" t="s">
        <v>13</v>
      </c>
      <c r="C7" s="3" t="s">
        <v>8</v>
      </c>
      <c r="D7" s="3">
        <v>309.0</v>
      </c>
      <c r="E7" s="3">
        <v>9.49</v>
      </c>
      <c r="F7" s="3">
        <v>7.42</v>
      </c>
      <c r="G7" s="3">
        <v>48.39</v>
      </c>
    </row>
    <row r="8">
      <c r="A8" s="3">
        <v>167518.0</v>
      </c>
      <c r="B8" s="3" t="s">
        <v>14</v>
      </c>
      <c r="C8" s="3" t="s">
        <v>8</v>
      </c>
      <c r="D8" s="3">
        <v>289.0</v>
      </c>
      <c r="E8" s="3">
        <v>9.4</v>
      </c>
      <c r="F8" s="3">
        <v>6.92</v>
      </c>
      <c r="G8" s="3">
        <v>44.16</v>
      </c>
    </row>
    <row r="9">
      <c r="A9" s="3">
        <v>167519.0</v>
      </c>
      <c r="B9" s="3" t="s">
        <v>15</v>
      </c>
      <c r="C9" s="3" t="s">
        <v>8</v>
      </c>
      <c r="D9" s="3">
        <v>298.0</v>
      </c>
      <c r="E9" s="3">
        <v>9.91</v>
      </c>
      <c r="F9" s="3">
        <v>6.71</v>
      </c>
      <c r="G9" s="3">
        <v>45.41</v>
      </c>
    </row>
    <row r="10">
      <c r="A10" s="3">
        <v>167520.0</v>
      </c>
      <c r="B10" s="3" t="s">
        <v>16</v>
      </c>
      <c r="C10" s="3" t="s">
        <v>8</v>
      </c>
      <c r="D10" s="3">
        <v>501.0</v>
      </c>
      <c r="E10" s="3">
        <v>24.83</v>
      </c>
      <c r="F10" s="3">
        <v>5.1</v>
      </c>
      <c r="G10" s="3">
        <v>64.3</v>
      </c>
    </row>
    <row r="11">
      <c r="A11" s="3">
        <v>167521.0</v>
      </c>
      <c r="B11" s="3" t="s">
        <v>17</v>
      </c>
      <c r="C11" s="3" t="s">
        <v>8</v>
      </c>
      <c r="D11" s="3">
        <v>484.0</v>
      </c>
      <c r="E11" s="3">
        <v>22.42</v>
      </c>
      <c r="F11" s="3">
        <v>6.08</v>
      </c>
      <c r="G11" s="3">
        <v>64.48</v>
      </c>
    </row>
    <row r="12">
      <c r="A12" s="3">
        <v>167522.0</v>
      </c>
      <c r="B12" s="3" t="s">
        <v>18</v>
      </c>
      <c r="C12" s="3" t="s">
        <v>8</v>
      </c>
      <c r="D12" s="3">
        <v>290.0</v>
      </c>
      <c r="E12" s="3">
        <v>11.5</v>
      </c>
      <c r="F12" s="3">
        <v>2.17</v>
      </c>
      <c r="G12" s="3">
        <v>44.54</v>
      </c>
    </row>
    <row r="13">
      <c r="A13" s="3">
        <v>167523.0</v>
      </c>
      <c r="B13" s="3" t="s">
        <v>19</v>
      </c>
      <c r="C13" s="3" t="s">
        <v>8</v>
      </c>
      <c r="D13" s="3">
        <v>468.0</v>
      </c>
      <c r="E13" s="3">
        <v>28.74</v>
      </c>
      <c r="F13" s="3">
        <v>5.52</v>
      </c>
      <c r="G13" s="3">
        <v>46.79</v>
      </c>
    </row>
    <row r="14">
      <c r="A14" s="3">
        <v>167524.0</v>
      </c>
      <c r="B14" s="3" t="s">
        <v>20</v>
      </c>
      <c r="C14" s="3" t="s">
        <v>8</v>
      </c>
      <c r="D14" s="3">
        <v>297.0</v>
      </c>
      <c r="E14" s="3">
        <v>10.1</v>
      </c>
      <c r="F14" s="3">
        <v>5.8</v>
      </c>
      <c r="G14" s="3">
        <v>45.68</v>
      </c>
    </row>
    <row r="15">
      <c r="A15" s="3">
        <v>167525.0</v>
      </c>
      <c r="B15" s="3" t="s">
        <v>21</v>
      </c>
      <c r="C15" s="3" t="s">
        <v>8</v>
      </c>
      <c r="D15" s="3">
        <v>474.0</v>
      </c>
      <c r="E15" s="3">
        <v>23.38</v>
      </c>
      <c r="F15" s="3">
        <v>6.15</v>
      </c>
      <c r="G15" s="3">
        <v>64.43</v>
      </c>
    </row>
    <row r="16">
      <c r="A16" s="3">
        <v>167526.0</v>
      </c>
      <c r="B16" s="3" t="s">
        <v>22</v>
      </c>
      <c r="C16" s="3" t="s">
        <v>8</v>
      </c>
      <c r="D16" s="3">
        <v>374.0</v>
      </c>
      <c r="E16" s="3">
        <v>17.12</v>
      </c>
      <c r="F16" s="3">
        <v>7.12</v>
      </c>
      <c r="G16" s="3">
        <v>47.84</v>
      </c>
    </row>
    <row r="17">
      <c r="A17" s="3">
        <v>167527.0</v>
      </c>
      <c r="B17" s="3" t="s">
        <v>23</v>
      </c>
      <c r="C17" s="3" t="s">
        <v>8</v>
      </c>
      <c r="D17" s="3">
        <v>390.0</v>
      </c>
      <c r="E17" s="3">
        <v>17.45</v>
      </c>
      <c r="F17" s="3">
        <v>7.06</v>
      </c>
      <c r="G17" s="3">
        <v>51.29</v>
      </c>
    </row>
    <row r="18">
      <c r="A18" s="3">
        <v>167528.0</v>
      </c>
      <c r="B18" s="3" t="s">
        <v>24</v>
      </c>
      <c r="C18" s="3" t="s">
        <v>8</v>
      </c>
      <c r="D18" s="3">
        <v>379.0</v>
      </c>
      <c r="E18" s="3">
        <v>18.5</v>
      </c>
      <c r="F18" s="3">
        <v>5.48</v>
      </c>
      <c r="G18" s="3">
        <v>47.76</v>
      </c>
    </row>
    <row r="19">
      <c r="A19" s="3">
        <v>167529.0</v>
      </c>
      <c r="B19" s="3" t="s">
        <v>25</v>
      </c>
      <c r="C19" s="3" t="s">
        <v>8</v>
      </c>
      <c r="D19" s="3">
        <v>433.0</v>
      </c>
      <c r="E19" s="3">
        <v>13.35</v>
      </c>
      <c r="F19" s="3">
        <v>14.25</v>
      </c>
      <c r="G19" s="3">
        <v>64.35</v>
      </c>
    </row>
    <row r="20">
      <c r="A20" s="3">
        <v>167530.0</v>
      </c>
      <c r="B20" s="3" t="s">
        <v>26</v>
      </c>
      <c r="C20" s="3" t="s">
        <v>8</v>
      </c>
      <c r="D20" s="3">
        <v>484.0</v>
      </c>
      <c r="E20" s="3">
        <v>20.37</v>
      </c>
      <c r="F20" s="3">
        <v>7.01</v>
      </c>
      <c r="G20" s="3">
        <v>64.55</v>
      </c>
    </row>
    <row r="21">
      <c r="A21" s="3">
        <v>167531.0</v>
      </c>
      <c r="B21" s="3" t="s">
        <v>27</v>
      </c>
      <c r="C21" s="3" t="s">
        <v>8</v>
      </c>
      <c r="D21" s="3">
        <v>464.0</v>
      </c>
      <c r="E21" s="3">
        <v>19.5</v>
      </c>
      <c r="F21" s="3">
        <v>7.19</v>
      </c>
      <c r="G21" s="3">
        <v>64.88</v>
      </c>
    </row>
    <row r="22">
      <c r="A22" s="3">
        <v>167532.0</v>
      </c>
      <c r="B22" s="3" t="s">
        <v>28</v>
      </c>
      <c r="C22" s="3" t="s">
        <v>8</v>
      </c>
      <c r="D22" s="3">
        <v>238.0</v>
      </c>
      <c r="E22" s="3">
        <v>2.15</v>
      </c>
      <c r="F22" s="3">
        <v>10.66</v>
      </c>
      <c r="G22" s="3">
        <v>43.91</v>
      </c>
    </row>
    <row r="23">
      <c r="A23" s="3">
        <v>167533.0</v>
      </c>
      <c r="B23" s="3" t="s">
        <v>29</v>
      </c>
      <c r="C23" s="3" t="s">
        <v>8</v>
      </c>
      <c r="D23" s="3">
        <v>250.0</v>
      </c>
      <c r="E23" s="3">
        <v>1.53</v>
      </c>
      <c r="F23" s="3">
        <v>10.2</v>
      </c>
      <c r="G23" s="3">
        <v>48.89</v>
      </c>
    </row>
    <row r="24">
      <c r="A24" s="3">
        <v>167534.0</v>
      </c>
      <c r="B24" s="3" t="s">
        <v>30</v>
      </c>
      <c r="C24" s="3" t="s">
        <v>8</v>
      </c>
      <c r="D24" s="3">
        <v>334.0</v>
      </c>
      <c r="E24" s="3">
        <v>18.52</v>
      </c>
      <c r="F24" s="3">
        <v>4.41</v>
      </c>
      <c r="G24" s="3">
        <v>37.43</v>
      </c>
    </row>
    <row r="25">
      <c r="A25" s="3">
        <v>167535.0</v>
      </c>
      <c r="B25" s="3" t="s">
        <v>31</v>
      </c>
      <c r="C25" s="3" t="s">
        <v>8</v>
      </c>
      <c r="D25" s="3">
        <v>297.0</v>
      </c>
      <c r="E25" s="3">
        <v>7.58</v>
      </c>
      <c r="F25" s="3">
        <v>8.01</v>
      </c>
      <c r="G25" s="3">
        <v>49.27</v>
      </c>
    </row>
    <row r="26">
      <c r="A26" s="3">
        <v>167536.0</v>
      </c>
      <c r="B26" s="3" t="s">
        <v>32</v>
      </c>
      <c r="C26" s="3" t="s">
        <v>33</v>
      </c>
      <c r="D26" s="3">
        <v>410.0</v>
      </c>
      <c r="E26" s="3">
        <v>25.6</v>
      </c>
      <c r="F26" s="3">
        <v>33.2</v>
      </c>
      <c r="G26" s="3">
        <v>11.0</v>
      </c>
    </row>
    <row r="27">
      <c r="A27" s="3">
        <v>167537.0</v>
      </c>
      <c r="B27" s="3" t="s">
        <v>34</v>
      </c>
      <c r="C27" s="3" t="s">
        <v>33</v>
      </c>
      <c r="D27" s="3">
        <v>539.0</v>
      </c>
      <c r="E27" s="3">
        <v>33.36</v>
      </c>
      <c r="F27" s="3">
        <v>6.17</v>
      </c>
      <c r="G27" s="3">
        <v>57.27</v>
      </c>
    </row>
    <row r="28">
      <c r="A28" s="3">
        <v>167538.0</v>
      </c>
      <c r="B28" s="3" t="s">
        <v>35</v>
      </c>
      <c r="C28" s="3" t="s">
        <v>33</v>
      </c>
      <c r="D28" s="3">
        <v>523.0</v>
      </c>
      <c r="E28" s="3">
        <v>32.7</v>
      </c>
      <c r="F28" s="3">
        <v>7.0</v>
      </c>
      <c r="G28" s="3">
        <v>56.2</v>
      </c>
    </row>
    <row r="29">
      <c r="A29" s="3">
        <v>167539.0</v>
      </c>
      <c r="B29" s="3" t="s">
        <v>36</v>
      </c>
      <c r="C29" s="3" t="s">
        <v>33</v>
      </c>
      <c r="D29" s="3">
        <v>510.0</v>
      </c>
      <c r="E29" s="3">
        <v>26.9</v>
      </c>
      <c r="F29" s="3">
        <v>5.8</v>
      </c>
      <c r="G29" s="3">
        <v>62.9</v>
      </c>
    </row>
    <row r="30">
      <c r="A30" s="3">
        <v>167540.0</v>
      </c>
      <c r="B30" s="3" t="s">
        <v>37</v>
      </c>
      <c r="C30" s="3" t="s">
        <v>38</v>
      </c>
      <c r="D30" s="3">
        <v>359.0</v>
      </c>
      <c r="E30" s="3">
        <v>2.68</v>
      </c>
      <c r="F30" s="3">
        <v>1.0</v>
      </c>
      <c r="G30" s="3">
        <v>82.82</v>
      </c>
    </row>
    <row r="31">
      <c r="A31" s="3">
        <v>167541.0</v>
      </c>
      <c r="B31" s="3" t="s">
        <v>39</v>
      </c>
      <c r="C31" s="3" t="s">
        <v>38</v>
      </c>
      <c r="D31" s="3">
        <v>371.0</v>
      </c>
      <c r="E31" s="3">
        <v>3.0</v>
      </c>
      <c r="F31" s="3">
        <v>0.1</v>
      </c>
      <c r="G31" s="3">
        <v>85.8</v>
      </c>
    </row>
    <row r="32">
      <c r="A32" s="3">
        <v>167542.0</v>
      </c>
      <c r="B32" s="3" t="s">
        <v>40</v>
      </c>
      <c r="C32" s="3" t="s">
        <v>33</v>
      </c>
      <c r="D32" s="3">
        <v>471.0</v>
      </c>
      <c r="E32" s="3">
        <v>19.8</v>
      </c>
      <c r="F32" s="3">
        <v>10.1</v>
      </c>
      <c r="G32" s="3">
        <v>64.4</v>
      </c>
    </row>
    <row r="33">
      <c r="A33" s="3">
        <v>167543.0</v>
      </c>
      <c r="B33" s="3" t="s">
        <v>41</v>
      </c>
      <c r="C33" s="3" t="s">
        <v>33</v>
      </c>
      <c r="D33" s="3">
        <v>495.0</v>
      </c>
      <c r="E33" s="3">
        <v>25.5</v>
      </c>
      <c r="F33" s="3">
        <v>7.7</v>
      </c>
      <c r="G33" s="3">
        <v>62.0</v>
      </c>
    </row>
    <row r="34">
      <c r="A34" s="3">
        <v>167544.0</v>
      </c>
      <c r="B34" s="3" t="s">
        <v>42</v>
      </c>
      <c r="C34" s="3" t="s">
        <v>33</v>
      </c>
      <c r="D34" s="3">
        <v>448.0</v>
      </c>
      <c r="E34" s="3">
        <v>17.8</v>
      </c>
      <c r="F34" s="3">
        <v>7.6</v>
      </c>
      <c r="G34" s="3">
        <v>66.4</v>
      </c>
    </row>
    <row r="35">
      <c r="A35" s="3">
        <v>167545.0</v>
      </c>
      <c r="B35" s="3" t="s">
        <v>43</v>
      </c>
      <c r="C35" s="3" t="s">
        <v>33</v>
      </c>
      <c r="D35" s="3">
        <v>466.0</v>
      </c>
      <c r="E35" s="3">
        <v>24.9</v>
      </c>
      <c r="F35" s="3">
        <v>5.8</v>
      </c>
      <c r="G35" s="3">
        <v>63.8</v>
      </c>
    </row>
    <row r="36">
      <c r="A36" s="3">
        <v>167546.0</v>
      </c>
      <c r="B36" s="3" t="s">
        <v>44</v>
      </c>
      <c r="C36" s="3" t="s">
        <v>38</v>
      </c>
      <c r="D36" s="3">
        <v>473.0</v>
      </c>
      <c r="E36" s="3">
        <v>20.18</v>
      </c>
      <c r="F36" s="3">
        <v>8.72</v>
      </c>
      <c r="G36" s="3">
        <v>67.41</v>
      </c>
    </row>
    <row r="37">
      <c r="A37" s="3">
        <v>167547.0</v>
      </c>
      <c r="B37" s="3" t="s">
        <v>45</v>
      </c>
      <c r="C37" s="3" t="s">
        <v>33</v>
      </c>
      <c r="D37" s="3">
        <v>508.0</v>
      </c>
      <c r="E37" s="3">
        <v>31.1</v>
      </c>
      <c r="F37" s="3">
        <v>10.2</v>
      </c>
      <c r="G37" s="3">
        <v>53.4</v>
      </c>
    </row>
    <row r="38">
      <c r="A38" s="3">
        <v>167548.0</v>
      </c>
      <c r="B38" s="3" t="s">
        <v>46</v>
      </c>
      <c r="C38" s="3" t="s">
        <v>33</v>
      </c>
      <c r="D38" s="3">
        <v>432.0</v>
      </c>
      <c r="E38" s="3">
        <v>20.0</v>
      </c>
      <c r="F38" s="3">
        <v>9.8</v>
      </c>
      <c r="G38" s="3">
        <v>62.2</v>
      </c>
    </row>
    <row r="39">
      <c r="A39" s="3">
        <v>167549.0</v>
      </c>
      <c r="B39" s="3" t="s">
        <v>47</v>
      </c>
      <c r="C39" s="3" t="s">
        <v>33</v>
      </c>
      <c r="D39" s="3">
        <v>583.0</v>
      </c>
      <c r="E39" s="3">
        <v>43.55</v>
      </c>
      <c r="F39" s="3">
        <v>7.29</v>
      </c>
      <c r="G39" s="3">
        <v>45.06</v>
      </c>
    </row>
    <row r="40">
      <c r="A40" s="3">
        <v>167550.0</v>
      </c>
      <c r="B40" s="3" t="s">
        <v>48</v>
      </c>
      <c r="C40" s="3" t="s">
        <v>33</v>
      </c>
      <c r="D40" s="3">
        <v>384.0</v>
      </c>
      <c r="E40" s="3">
        <v>3.1</v>
      </c>
      <c r="F40" s="3">
        <v>9.7</v>
      </c>
      <c r="G40" s="3">
        <v>80.1</v>
      </c>
    </row>
    <row r="41">
      <c r="A41" s="3">
        <v>167551.0</v>
      </c>
      <c r="B41" s="3" t="s">
        <v>49</v>
      </c>
      <c r="C41" s="3" t="s">
        <v>33</v>
      </c>
      <c r="D41" s="3">
        <v>400.0</v>
      </c>
      <c r="E41" s="3">
        <v>7.8</v>
      </c>
      <c r="F41" s="3">
        <v>6.4</v>
      </c>
      <c r="G41" s="3">
        <v>80.7</v>
      </c>
    </row>
    <row r="42">
      <c r="A42" s="3">
        <v>167552.0</v>
      </c>
      <c r="B42" s="3" t="s">
        <v>50</v>
      </c>
      <c r="C42" s="3" t="s">
        <v>33</v>
      </c>
      <c r="D42" s="3">
        <v>431.0</v>
      </c>
      <c r="E42" s="3">
        <v>12.8</v>
      </c>
      <c r="F42" s="3">
        <v>3.8</v>
      </c>
      <c r="G42" s="3">
        <v>79.1</v>
      </c>
    </row>
    <row r="43">
      <c r="A43" s="3">
        <v>167553.0</v>
      </c>
      <c r="B43" s="3" t="s">
        <v>51</v>
      </c>
      <c r="C43" s="3" t="s">
        <v>33</v>
      </c>
      <c r="D43" s="3">
        <v>502.0</v>
      </c>
      <c r="E43" s="3">
        <v>26.14</v>
      </c>
      <c r="F43" s="3">
        <v>4.56</v>
      </c>
      <c r="G43" s="3">
        <v>64.76</v>
      </c>
    </row>
    <row r="44">
      <c r="A44" s="3">
        <v>167554.0</v>
      </c>
      <c r="B44" s="3" t="s">
        <v>52</v>
      </c>
      <c r="C44" s="3" t="s">
        <v>33</v>
      </c>
      <c r="D44" s="3">
        <v>547.0</v>
      </c>
      <c r="E44" s="3">
        <v>37.0</v>
      </c>
      <c r="F44" s="3">
        <v>6.6</v>
      </c>
      <c r="G44" s="3">
        <v>51.3</v>
      </c>
    </row>
    <row r="45">
      <c r="A45" s="3">
        <v>167555.0</v>
      </c>
      <c r="B45" s="3" t="s">
        <v>53</v>
      </c>
      <c r="C45" s="3" t="s">
        <v>33</v>
      </c>
      <c r="D45" s="3">
        <v>384.0</v>
      </c>
      <c r="E45" s="3">
        <v>2.93</v>
      </c>
      <c r="F45" s="3">
        <v>10.04</v>
      </c>
      <c r="G45" s="3">
        <v>80.39</v>
      </c>
    </row>
    <row r="46">
      <c r="A46" s="3">
        <v>167556.0</v>
      </c>
      <c r="B46" s="3" t="s">
        <v>54</v>
      </c>
      <c r="C46" s="3" t="s">
        <v>33</v>
      </c>
      <c r="D46" s="3">
        <v>457.0</v>
      </c>
      <c r="E46" s="3">
        <v>16.7</v>
      </c>
      <c r="F46" s="3">
        <v>7.5</v>
      </c>
      <c r="G46" s="3">
        <v>70.9</v>
      </c>
    </row>
    <row r="47">
      <c r="A47" s="3">
        <v>167557.0</v>
      </c>
      <c r="B47" s="3" t="s">
        <v>55</v>
      </c>
      <c r="C47" s="3" t="s">
        <v>33</v>
      </c>
      <c r="D47" s="3">
        <v>392.0</v>
      </c>
      <c r="E47" s="3">
        <v>3.8</v>
      </c>
      <c r="F47" s="3">
        <v>7.6</v>
      </c>
      <c r="G47" s="3">
        <v>81.5</v>
      </c>
    </row>
    <row r="48">
      <c r="A48" s="3">
        <v>167558.0</v>
      </c>
      <c r="B48" s="3" t="s">
        <v>56</v>
      </c>
      <c r="C48" s="3" t="s">
        <v>33</v>
      </c>
      <c r="D48" s="3">
        <v>472.0</v>
      </c>
      <c r="E48" s="3">
        <v>20.68</v>
      </c>
      <c r="F48" s="3">
        <v>7.1</v>
      </c>
      <c r="G48" s="3">
        <v>67.78</v>
      </c>
    </row>
    <row r="49">
      <c r="A49" s="3">
        <v>167559.0</v>
      </c>
      <c r="B49" s="3" t="s">
        <v>57</v>
      </c>
      <c r="C49" s="3" t="s">
        <v>33</v>
      </c>
      <c r="D49" s="3">
        <v>519.0</v>
      </c>
      <c r="E49" s="3">
        <v>27.42</v>
      </c>
      <c r="F49" s="3">
        <v>7.36</v>
      </c>
      <c r="G49" s="3">
        <v>60.81</v>
      </c>
    </row>
    <row r="50">
      <c r="A50" s="3">
        <v>167560.0</v>
      </c>
      <c r="B50" s="3" t="s">
        <v>58</v>
      </c>
      <c r="C50" s="3" t="s">
        <v>33</v>
      </c>
      <c r="D50" s="3">
        <v>501.0</v>
      </c>
      <c r="E50" s="3">
        <v>24.63</v>
      </c>
      <c r="F50" s="3">
        <v>7.19</v>
      </c>
      <c r="G50" s="3">
        <v>62.74</v>
      </c>
    </row>
    <row r="51">
      <c r="A51" s="3">
        <v>167561.0</v>
      </c>
      <c r="B51" s="3" t="s">
        <v>59</v>
      </c>
      <c r="C51" s="3" t="s">
        <v>33</v>
      </c>
      <c r="D51" s="3">
        <v>462.0</v>
      </c>
      <c r="E51" s="3">
        <v>29.4</v>
      </c>
      <c r="F51" s="3">
        <v>13.8</v>
      </c>
      <c r="G51" s="3">
        <v>44.9</v>
      </c>
    </row>
    <row r="52">
      <c r="A52" s="3">
        <v>167562.0</v>
      </c>
      <c r="B52" s="3" t="s">
        <v>60</v>
      </c>
      <c r="C52" s="3" t="s">
        <v>38</v>
      </c>
      <c r="D52" s="3">
        <v>479.0</v>
      </c>
      <c r="E52" s="3">
        <v>26.93</v>
      </c>
      <c r="F52" s="3">
        <v>4.13</v>
      </c>
      <c r="G52" s="3">
        <v>59.51</v>
      </c>
    </row>
    <row r="53">
      <c r="A53" s="3">
        <v>167563.0</v>
      </c>
      <c r="B53" s="3" t="s">
        <v>61</v>
      </c>
      <c r="C53" s="3" t="s">
        <v>38</v>
      </c>
      <c r="D53" s="3">
        <v>338.0</v>
      </c>
      <c r="E53" s="3">
        <v>1.7</v>
      </c>
      <c r="F53" s="3">
        <v>2.97</v>
      </c>
      <c r="G53" s="3">
        <v>79.38</v>
      </c>
    </row>
    <row r="54">
      <c r="A54" s="3">
        <v>167564.0</v>
      </c>
      <c r="B54" s="3" t="s">
        <v>62</v>
      </c>
      <c r="C54" s="3" t="s">
        <v>38</v>
      </c>
      <c r="D54" s="3">
        <v>388.0</v>
      </c>
      <c r="E54" s="3">
        <v>7.5</v>
      </c>
      <c r="F54" s="3">
        <v>2.0</v>
      </c>
      <c r="G54" s="3">
        <v>80.89</v>
      </c>
    </row>
    <row r="55">
      <c r="A55" s="3">
        <v>167565.0</v>
      </c>
      <c r="B55" s="3" t="s">
        <v>63</v>
      </c>
      <c r="C55" s="3" t="s">
        <v>38</v>
      </c>
      <c r="D55" s="3">
        <v>459.0</v>
      </c>
      <c r="E55" s="3">
        <v>18.9</v>
      </c>
      <c r="F55" s="3">
        <v>5.4</v>
      </c>
      <c r="G55" s="3">
        <v>72.9</v>
      </c>
    </row>
    <row r="56">
      <c r="A56" s="3">
        <v>167566.0</v>
      </c>
      <c r="B56" s="3" t="s">
        <v>64</v>
      </c>
      <c r="C56" s="3" t="s">
        <v>38</v>
      </c>
      <c r="D56" s="3">
        <v>387.0</v>
      </c>
      <c r="E56" s="3">
        <v>3.31</v>
      </c>
      <c r="F56" s="3">
        <v>1.59</v>
      </c>
      <c r="G56" s="3">
        <v>87.73</v>
      </c>
    </row>
    <row r="57">
      <c r="A57" s="3">
        <v>167567.0</v>
      </c>
      <c r="B57" s="3" t="s">
        <v>65</v>
      </c>
      <c r="C57" s="3" t="s">
        <v>38</v>
      </c>
      <c r="D57" s="3">
        <v>472.0</v>
      </c>
      <c r="E57" s="3">
        <v>47.7</v>
      </c>
      <c r="F57" s="3">
        <v>12.1</v>
      </c>
      <c r="G57" s="3">
        <v>36.2</v>
      </c>
    </row>
    <row r="58">
      <c r="A58" s="3">
        <v>167568.0</v>
      </c>
      <c r="B58" s="3" t="s">
        <v>66</v>
      </c>
      <c r="C58" s="3" t="s">
        <v>38</v>
      </c>
      <c r="D58" s="3">
        <v>642.0</v>
      </c>
      <c r="E58" s="3">
        <v>52.31</v>
      </c>
      <c r="F58" s="3">
        <v>14.32</v>
      </c>
      <c r="G58" s="3">
        <v>28.42</v>
      </c>
    </row>
    <row r="59">
      <c r="A59" s="3">
        <v>167569.0</v>
      </c>
      <c r="B59" s="3" t="s">
        <v>67</v>
      </c>
      <c r="C59" s="3" t="s">
        <v>38</v>
      </c>
      <c r="D59" s="3">
        <v>522.0</v>
      </c>
      <c r="E59" s="3">
        <v>27.0</v>
      </c>
      <c r="F59" s="3">
        <v>5.87</v>
      </c>
      <c r="G59" s="3">
        <v>63.94</v>
      </c>
    </row>
    <row r="60">
      <c r="A60" s="3">
        <v>167570.0</v>
      </c>
      <c r="B60" s="3" t="s">
        <v>68</v>
      </c>
      <c r="C60" s="3" t="s">
        <v>38</v>
      </c>
      <c r="D60" s="3">
        <v>529.0</v>
      </c>
      <c r="E60" s="3">
        <v>29.8</v>
      </c>
      <c r="F60" s="3">
        <v>18.3</v>
      </c>
      <c r="G60" s="3">
        <v>46.88</v>
      </c>
    </row>
    <row r="61">
      <c r="A61" s="3">
        <v>167571.0</v>
      </c>
      <c r="B61" s="3" t="s">
        <v>69</v>
      </c>
      <c r="C61" s="3" t="s">
        <v>38</v>
      </c>
      <c r="D61" s="3">
        <v>539.0</v>
      </c>
      <c r="E61" s="3">
        <v>32.09</v>
      </c>
      <c r="F61" s="3">
        <v>5.87</v>
      </c>
      <c r="G61" s="3">
        <v>59.24</v>
      </c>
    </row>
    <row r="62">
      <c r="A62" s="3">
        <v>167572.0</v>
      </c>
      <c r="B62" s="3" t="s">
        <v>70</v>
      </c>
      <c r="C62" s="3" t="s">
        <v>38</v>
      </c>
      <c r="D62" s="3">
        <v>180.0</v>
      </c>
      <c r="E62" s="3">
        <v>4.83</v>
      </c>
      <c r="F62" s="3">
        <v>4.78</v>
      </c>
      <c r="G62" s="3">
        <v>29.46</v>
      </c>
    </row>
    <row r="63">
      <c r="A63" s="3">
        <v>167573.0</v>
      </c>
      <c r="B63" s="3" t="s">
        <v>71</v>
      </c>
      <c r="C63" s="3" t="s">
        <v>38</v>
      </c>
      <c r="D63" s="3">
        <v>249.0</v>
      </c>
      <c r="E63" s="3">
        <v>16.2</v>
      </c>
      <c r="F63" s="3">
        <v>3.5</v>
      </c>
      <c r="G63" s="3">
        <v>22.29</v>
      </c>
    </row>
    <row r="64">
      <c r="A64" s="3">
        <v>167574.0</v>
      </c>
      <c r="B64" s="3" t="s">
        <v>72</v>
      </c>
      <c r="C64" s="3" t="s">
        <v>38</v>
      </c>
      <c r="D64" s="3">
        <v>145.0</v>
      </c>
      <c r="E64" s="3">
        <v>4.03</v>
      </c>
      <c r="F64" s="3">
        <v>4.53</v>
      </c>
      <c r="G64" s="3">
        <v>22.78</v>
      </c>
    </row>
    <row r="65">
      <c r="A65" s="3">
        <v>167575.0</v>
      </c>
      <c r="B65" s="3" t="s">
        <v>73</v>
      </c>
      <c r="C65" s="3" t="s">
        <v>38</v>
      </c>
      <c r="D65" s="3">
        <v>207.0</v>
      </c>
      <c r="E65" s="3">
        <v>11.0</v>
      </c>
      <c r="F65" s="3">
        <v>3.5</v>
      </c>
      <c r="G65" s="3">
        <v>23.6</v>
      </c>
    </row>
    <row r="66">
      <c r="A66" s="3">
        <v>167576.0</v>
      </c>
      <c r="B66" s="3" t="s">
        <v>74</v>
      </c>
      <c r="C66" s="3" t="s">
        <v>38</v>
      </c>
      <c r="D66" s="3">
        <v>126.0</v>
      </c>
      <c r="E66" s="3">
        <v>2.6</v>
      </c>
      <c r="F66" s="3">
        <v>4.9</v>
      </c>
      <c r="G66" s="3">
        <v>21.8</v>
      </c>
    </row>
    <row r="67">
      <c r="A67" s="3">
        <v>167577.0</v>
      </c>
      <c r="B67" s="3" t="s">
        <v>75</v>
      </c>
      <c r="C67" s="3" t="s">
        <v>38</v>
      </c>
      <c r="D67" s="3">
        <v>144.0</v>
      </c>
      <c r="E67" s="3">
        <v>2.0</v>
      </c>
      <c r="F67" s="3">
        <v>1.1</v>
      </c>
      <c r="G67" s="3">
        <v>30.4</v>
      </c>
    </row>
    <row r="68">
      <c r="A68" s="3">
        <v>167578.0</v>
      </c>
      <c r="B68" s="3" t="s">
        <v>76</v>
      </c>
      <c r="C68" s="3" t="s">
        <v>38</v>
      </c>
      <c r="D68" s="3">
        <v>387.0</v>
      </c>
      <c r="E68" s="3">
        <v>6.59</v>
      </c>
      <c r="F68" s="3">
        <v>3.78</v>
      </c>
      <c r="G68" s="3">
        <v>77.75</v>
      </c>
    </row>
    <row r="69">
      <c r="A69" s="3">
        <v>167579.0</v>
      </c>
      <c r="B69" s="3" t="s">
        <v>77</v>
      </c>
      <c r="C69" s="3" t="s">
        <v>38</v>
      </c>
      <c r="D69" s="3">
        <v>383.0</v>
      </c>
      <c r="E69" s="3">
        <v>5.45</v>
      </c>
      <c r="F69" s="3">
        <v>1.05</v>
      </c>
      <c r="G69" s="3">
        <v>82.15</v>
      </c>
    </row>
    <row r="70">
      <c r="A70" s="3">
        <v>167580.0</v>
      </c>
      <c r="B70" s="3" t="s">
        <v>78</v>
      </c>
      <c r="C70" s="3" t="s">
        <v>38</v>
      </c>
      <c r="D70" s="3">
        <v>435.0</v>
      </c>
      <c r="E70" s="3">
        <v>13.69</v>
      </c>
      <c r="F70" s="3">
        <v>3.0</v>
      </c>
      <c r="G70" s="3">
        <v>74.61</v>
      </c>
    </row>
    <row r="71">
      <c r="A71" s="3">
        <v>167581.0</v>
      </c>
      <c r="B71" s="3" t="s">
        <v>79</v>
      </c>
      <c r="C71" s="3" t="s">
        <v>38</v>
      </c>
      <c r="D71" s="3">
        <v>512.0</v>
      </c>
      <c r="E71" s="3">
        <v>34.0</v>
      </c>
      <c r="F71" s="3">
        <v>9.7</v>
      </c>
      <c r="G71" s="3">
        <v>53.0</v>
      </c>
    </row>
    <row r="72">
      <c r="A72" s="3">
        <v>167582.0</v>
      </c>
      <c r="B72" s="3" t="s">
        <v>80</v>
      </c>
      <c r="C72" s="3" t="s">
        <v>38</v>
      </c>
      <c r="D72" s="3">
        <v>475.0</v>
      </c>
      <c r="E72" s="3">
        <v>21.6</v>
      </c>
      <c r="F72" s="3">
        <v>5.4</v>
      </c>
      <c r="G72" s="3">
        <v>64.8</v>
      </c>
    </row>
    <row r="73">
      <c r="A73" s="3">
        <v>167583.0</v>
      </c>
      <c r="B73" s="3" t="s">
        <v>81</v>
      </c>
      <c r="C73" s="3" t="s">
        <v>38</v>
      </c>
      <c r="D73" s="3">
        <v>348.0</v>
      </c>
      <c r="E73" s="3">
        <v>2.32</v>
      </c>
      <c r="F73" s="3">
        <v>2.56</v>
      </c>
      <c r="G73" s="3">
        <v>79.16</v>
      </c>
    </row>
    <row r="74">
      <c r="A74" s="3">
        <v>167584.0</v>
      </c>
      <c r="B74" s="3" t="s">
        <v>82</v>
      </c>
      <c r="C74" s="3" t="s">
        <v>38</v>
      </c>
      <c r="D74" s="3">
        <v>291.0</v>
      </c>
      <c r="E74" s="3">
        <v>0.09</v>
      </c>
      <c r="F74" s="3">
        <v>0.0</v>
      </c>
      <c r="G74" s="3">
        <v>72.43</v>
      </c>
    </row>
    <row r="75">
      <c r="A75" s="3">
        <v>167585.0</v>
      </c>
      <c r="B75" s="3" t="s">
        <v>83</v>
      </c>
      <c r="C75" s="3" t="s">
        <v>38</v>
      </c>
      <c r="D75" s="3">
        <v>187.0</v>
      </c>
      <c r="E75" s="3">
        <v>7.19</v>
      </c>
      <c r="F75" s="3">
        <v>5.0</v>
      </c>
      <c r="G75" s="3">
        <v>25.7</v>
      </c>
    </row>
    <row r="76">
      <c r="A76" s="3">
        <v>167586.0</v>
      </c>
      <c r="B76" s="3" t="s">
        <v>84</v>
      </c>
      <c r="C76" s="3" t="s">
        <v>38</v>
      </c>
      <c r="D76" s="3">
        <v>519.0</v>
      </c>
      <c r="E76" s="3">
        <v>27.5</v>
      </c>
      <c r="F76" s="3">
        <v>7.5</v>
      </c>
      <c r="G76" s="3">
        <v>60.4</v>
      </c>
    </row>
    <row r="77">
      <c r="A77" s="3">
        <v>167587.0</v>
      </c>
      <c r="B77" s="3" t="s">
        <v>85</v>
      </c>
      <c r="C77" s="3" t="s">
        <v>38</v>
      </c>
      <c r="D77" s="3">
        <v>535.0</v>
      </c>
      <c r="E77" s="3">
        <v>29.66</v>
      </c>
      <c r="F77" s="3">
        <v>7.65</v>
      </c>
      <c r="G77" s="3">
        <v>59.4</v>
      </c>
    </row>
    <row r="78">
      <c r="A78" s="3">
        <v>167588.0</v>
      </c>
      <c r="B78" s="3" t="s">
        <v>86</v>
      </c>
      <c r="C78" s="3" t="s">
        <v>38</v>
      </c>
      <c r="D78" s="3">
        <v>105.0</v>
      </c>
      <c r="E78" s="3">
        <v>1.7</v>
      </c>
      <c r="F78" s="3">
        <v>2.76</v>
      </c>
      <c r="G78" s="3">
        <v>19.74</v>
      </c>
    </row>
    <row r="79">
      <c r="A79" s="3">
        <v>167589.0</v>
      </c>
      <c r="B79" s="3" t="s">
        <v>87</v>
      </c>
      <c r="C79" s="3" t="s">
        <v>38</v>
      </c>
      <c r="D79" s="3">
        <v>101.0</v>
      </c>
      <c r="E79" s="3">
        <v>1.73</v>
      </c>
      <c r="F79" s="3">
        <v>2.9</v>
      </c>
      <c r="G79" s="3">
        <v>18.43</v>
      </c>
    </row>
    <row r="80">
      <c r="A80" s="3">
        <v>167590.0</v>
      </c>
      <c r="B80" s="3" t="s">
        <v>88</v>
      </c>
      <c r="C80" s="3" t="s">
        <v>8</v>
      </c>
      <c r="D80" s="3">
        <v>257.0</v>
      </c>
      <c r="E80" s="3">
        <v>8.2</v>
      </c>
      <c r="F80" s="3">
        <v>5.65</v>
      </c>
      <c r="G80" s="3">
        <v>40.24</v>
      </c>
    </row>
    <row r="81">
      <c r="A81" s="3">
        <v>167591.0</v>
      </c>
      <c r="B81" s="3" t="s">
        <v>89</v>
      </c>
      <c r="C81" s="3" t="s">
        <v>8</v>
      </c>
      <c r="D81" s="3">
        <v>456.0</v>
      </c>
      <c r="E81" s="3">
        <v>15.92</v>
      </c>
      <c r="F81" s="3">
        <v>10.91</v>
      </c>
      <c r="G81" s="3">
        <v>67.18</v>
      </c>
    </row>
    <row r="82">
      <c r="A82" s="3">
        <v>167592.0</v>
      </c>
      <c r="B82" s="3" t="s">
        <v>90</v>
      </c>
      <c r="C82" s="3" t="s">
        <v>8</v>
      </c>
      <c r="D82" s="3">
        <v>474.0</v>
      </c>
      <c r="E82" s="3">
        <v>17.89</v>
      </c>
      <c r="F82" s="3">
        <v>2.19</v>
      </c>
      <c r="G82" s="3">
        <v>76.03</v>
      </c>
    </row>
    <row r="83">
      <c r="A83" s="3">
        <v>167593.0</v>
      </c>
      <c r="B83" s="3" t="s">
        <v>91</v>
      </c>
      <c r="C83" s="3" t="s">
        <v>8</v>
      </c>
      <c r="D83" s="3">
        <v>487.0</v>
      </c>
      <c r="E83" s="3">
        <v>18.79</v>
      </c>
      <c r="F83" s="3">
        <v>2.19</v>
      </c>
      <c r="G83" s="3">
        <v>77.34</v>
      </c>
    </row>
    <row r="84">
      <c r="A84" s="3">
        <v>167594.0</v>
      </c>
      <c r="B84" s="3" t="s">
        <v>92</v>
      </c>
      <c r="C84" s="3" t="s">
        <v>8</v>
      </c>
      <c r="D84" s="3">
        <v>467.0</v>
      </c>
      <c r="E84" s="3">
        <v>18.42</v>
      </c>
      <c r="F84" s="3">
        <v>9.42</v>
      </c>
      <c r="G84" s="3">
        <v>65.81</v>
      </c>
    </row>
    <row r="85">
      <c r="A85" s="3">
        <v>167595.0</v>
      </c>
      <c r="B85" s="3" t="s">
        <v>93</v>
      </c>
      <c r="C85" s="3" t="s">
        <v>8</v>
      </c>
      <c r="D85" s="3">
        <v>459.0</v>
      </c>
      <c r="E85" s="3">
        <v>17.29</v>
      </c>
      <c r="F85" s="3">
        <v>11.16</v>
      </c>
      <c r="G85" s="3">
        <v>64.7</v>
      </c>
    </row>
    <row r="86">
      <c r="A86" s="3">
        <v>167596.0</v>
      </c>
      <c r="B86" s="3" t="s">
        <v>94</v>
      </c>
      <c r="C86" s="3" t="s">
        <v>8</v>
      </c>
      <c r="D86" s="3">
        <v>469.0</v>
      </c>
      <c r="E86" s="3">
        <v>18.93</v>
      </c>
      <c r="F86" s="3">
        <v>9.67</v>
      </c>
      <c r="G86" s="3">
        <v>65.11</v>
      </c>
    </row>
    <row r="87">
      <c r="A87" s="3">
        <v>167597.0</v>
      </c>
      <c r="B87" s="3" t="s">
        <v>95</v>
      </c>
      <c r="C87" s="3" t="s">
        <v>8</v>
      </c>
      <c r="D87" s="3">
        <v>320.0</v>
      </c>
      <c r="E87" s="3">
        <v>10.7</v>
      </c>
      <c r="F87" s="3">
        <v>3.13</v>
      </c>
      <c r="G87" s="3">
        <v>52.83</v>
      </c>
    </row>
    <row r="88">
      <c r="A88" s="3">
        <v>167598.0</v>
      </c>
      <c r="B88" s="3" t="s">
        <v>96</v>
      </c>
      <c r="C88" s="3" t="s">
        <v>8</v>
      </c>
      <c r="D88" s="3">
        <v>298.0</v>
      </c>
      <c r="E88" s="3">
        <v>8.02</v>
      </c>
      <c r="F88" s="3">
        <v>5.4</v>
      </c>
      <c r="G88" s="3">
        <v>51.15</v>
      </c>
    </row>
    <row r="89">
      <c r="A89" s="3">
        <v>167599.0</v>
      </c>
      <c r="B89" s="3" t="s">
        <v>97</v>
      </c>
      <c r="C89" s="3" t="s">
        <v>8</v>
      </c>
      <c r="D89" s="3">
        <v>309.0</v>
      </c>
      <c r="E89" s="3">
        <v>9.34</v>
      </c>
      <c r="F89" s="3">
        <v>7.25</v>
      </c>
      <c r="G89" s="3">
        <v>49.09</v>
      </c>
    </row>
    <row r="90">
      <c r="A90" s="3">
        <v>167600.0</v>
      </c>
      <c r="B90" s="3" t="s">
        <v>98</v>
      </c>
      <c r="C90" s="3" t="s">
        <v>8</v>
      </c>
      <c r="D90" s="3">
        <v>329.0</v>
      </c>
      <c r="E90" s="3">
        <v>11.6</v>
      </c>
      <c r="F90" s="3">
        <v>11.8</v>
      </c>
      <c r="G90" s="3">
        <v>44.29</v>
      </c>
    </row>
    <row r="91">
      <c r="A91" s="3">
        <v>167601.0</v>
      </c>
      <c r="B91" s="3" t="s">
        <v>99</v>
      </c>
      <c r="C91" s="3" t="s">
        <v>8</v>
      </c>
      <c r="D91" s="3">
        <v>215.0</v>
      </c>
      <c r="E91" s="3">
        <v>4.55</v>
      </c>
      <c r="F91" s="3">
        <v>3.31</v>
      </c>
      <c r="G91" s="3">
        <v>40.32</v>
      </c>
    </row>
    <row r="92">
      <c r="A92" s="3">
        <v>167602.0</v>
      </c>
      <c r="B92" s="3" t="s">
        <v>100</v>
      </c>
      <c r="C92" s="3" t="s">
        <v>101</v>
      </c>
      <c r="D92" s="3">
        <v>259.0</v>
      </c>
      <c r="E92" s="3">
        <v>1.39</v>
      </c>
      <c r="F92" s="3">
        <v>15.34</v>
      </c>
      <c r="G92" s="3">
        <v>46.24</v>
      </c>
    </row>
    <row r="93">
      <c r="A93" s="3">
        <v>167603.0</v>
      </c>
      <c r="B93" s="3" t="s">
        <v>102</v>
      </c>
      <c r="C93" s="3" t="s">
        <v>101</v>
      </c>
      <c r="D93" s="3">
        <v>31.0</v>
      </c>
      <c r="E93" s="3">
        <v>0.17</v>
      </c>
      <c r="F93" s="3">
        <v>1.86</v>
      </c>
      <c r="G93" s="3">
        <v>5.62</v>
      </c>
    </row>
    <row r="94">
      <c r="A94" s="3">
        <v>167604.0</v>
      </c>
      <c r="B94" s="3" t="s">
        <v>103</v>
      </c>
      <c r="C94" s="3" t="s">
        <v>101</v>
      </c>
      <c r="D94" s="3">
        <v>84.0</v>
      </c>
      <c r="E94" s="3">
        <v>0.08</v>
      </c>
      <c r="F94" s="3">
        <v>1.75</v>
      </c>
      <c r="G94" s="3">
        <v>19.16</v>
      </c>
    </row>
    <row r="95">
      <c r="A95" s="3">
        <v>167605.0</v>
      </c>
      <c r="B95" s="3" t="s">
        <v>104</v>
      </c>
      <c r="C95" s="3" t="s">
        <v>101</v>
      </c>
      <c r="D95" s="3">
        <v>242.0</v>
      </c>
      <c r="E95" s="3">
        <v>10.3</v>
      </c>
      <c r="F95" s="3">
        <v>3.24</v>
      </c>
      <c r="G95" s="3">
        <v>33.99</v>
      </c>
    </row>
    <row r="96">
      <c r="A96" s="3">
        <v>167606.0</v>
      </c>
      <c r="B96" s="3" t="s">
        <v>105</v>
      </c>
      <c r="C96" s="3" t="s">
        <v>101</v>
      </c>
      <c r="D96" s="3">
        <v>182.0</v>
      </c>
      <c r="E96" s="3">
        <v>8.92</v>
      </c>
      <c r="F96" s="3">
        <v>2.16</v>
      </c>
      <c r="G96" s="3">
        <v>35.58</v>
      </c>
    </row>
    <row r="97">
      <c r="A97" s="3">
        <v>167607.0</v>
      </c>
      <c r="B97" s="3" t="s">
        <v>106</v>
      </c>
      <c r="C97" s="3" t="s">
        <v>107</v>
      </c>
      <c r="D97" s="3">
        <v>103.0</v>
      </c>
      <c r="E97" s="3">
        <v>1.5</v>
      </c>
      <c r="F97" s="3">
        <v>22.3</v>
      </c>
      <c r="G97" s="3">
        <v>0.0</v>
      </c>
    </row>
    <row r="98">
      <c r="A98" s="3">
        <v>167608.0</v>
      </c>
      <c r="B98" s="3" t="s">
        <v>108</v>
      </c>
      <c r="C98" s="3" t="s">
        <v>107</v>
      </c>
      <c r="D98" s="3">
        <v>135.0</v>
      </c>
      <c r="E98" s="3">
        <v>2.4</v>
      </c>
      <c r="F98" s="3">
        <v>5.8</v>
      </c>
      <c r="G98" s="3">
        <v>22.6</v>
      </c>
    </row>
    <row r="99">
      <c r="A99" s="3">
        <v>167609.0</v>
      </c>
      <c r="B99" s="3" t="s">
        <v>109</v>
      </c>
      <c r="C99" s="3" t="s">
        <v>107</v>
      </c>
      <c r="D99" s="3">
        <v>155.0</v>
      </c>
      <c r="E99" s="3">
        <v>4.89</v>
      </c>
      <c r="F99" s="3">
        <v>24.38</v>
      </c>
      <c r="G99" s="3">
        <v>3.43</v>
      </c>
    </row>
    <row r="100">
      <c r="A100" s="3">
        <v>167610.0</v>
      </c>
      <c r="B100" s="3" t="s">
        <v>110</v>
      </c>
      <c r="C100" s="3" t="s">
        <v>107</v>
      </c>
      <c r="D100" s="3">
        <v>110.0</v>
      </c>
      <c r="E100" s="3">
        <v>0.4</v>
      </c>
      <c r="F100" s="3">
        <v>26.7</v>
      </c>
      <c r="G100" s="3">
        <v>0.0</v>
      </c>
    </row>
    <row r="101">
      <c r="A101" s="3">
        <v>167611.0</v>
      </c>
      <c r="B101" s="3" t="s">
        <v>111</v>
      </c>
      <c r="C101" s="3" t="s">
        <v>107</v>
      </c>
      <c r="D101" s="3">
        <v>899.0</v>
      </c>
      <c r="E101" s="3">
        <v>99.6</v>
      </c>
      <c r="F101" s="3">
        <v>0.56</v>
      </c>
      <c r="G101" s="3">
        <v>0.0</v>
      </c>
    </row>
    <row r="102">
      <c r="A102" s="3">
        <v>167612.0</v>
      </c>
      <c r="B102" s="3" t="s">
        <v>112</v>
      </c>
      <c r="C102" s="3" t="s">
        <v>107</v>
      </c>
      <c r="D102" s="3">
        <v>67.0</v>
      </c>
      <c r="E102" s="3">
        <v>2.2</v>
      </c>
      <c r="F102" s="3">
        <v>11.7</v>
      </c>
      <c r="G102" s="3">
        <v>0.0</v>
      </c>
    </row>
    <row r="103">
      <c r="A103" s="3">
        <v>167613.0</v>
      </c>
      <c r="B103" s="3" t="s">
        <v>113</v>
      </c>
      <c r="C103" s="3" t="s">
        <v>107</v>
      </c>
      <c r="D103" s="3">
        <v>136.0</v>
      </c>
      <c r="E103" s="3">
        <v>5.0</v>
      </c>
      <c r="F103" s="3">
        <v>22.7</v>
      </c>
      <c r="G103" s="3">
        <v>0.0</v>
      </c>
    </row>
    <row r="104">
      <c r="A104" s="3">
        <v>167614.0</v>
      </c>
      <c r="B104" s="3" t="s">
        <v>114</v>
      </c>
      <c r="C104" s="3" t="s">
        <v>107</v>
      </c>
      <c r="D104" s="3">
        <v>150.0</v>
      </c>
      <c r="E104" s="3">
        <v>5.9</v>
      </c>
      <c r="F104" s="3">
        <v>23.2</v>
      </c>
      <c r="G104" s="3">
        <v>0.0</v>
      </c>
    </row>
    <row r="105">
      <c r="A105" s="3">
        <v>167615.0</v>
      </c>
      <c r="B105" s="3" t="s">
        <v>115</v>
      </c>
      <c r="C105" s="3" t="s">
        <v>107</v>
      </c>
      <c r="D105" s="3">
        <v>430.0</v>
      </c>
      <c r="E105" s="3">
        <v>30.0</v>
      </c>
      <c r="F105" s="3">
        <v>39.9</v>
      </c>
      <c r="G105" s="3">
        <v>0.0</v>
      </c>
    </row>
    <row r="106">
      <c r="A106" s="3">
        <v>167616.0</v>
      </c>
      <c r="B106" s="3" t="s">
        <v>116</v>
      </c>
      <c r="C106" s="3" t="s">
        <v>107</v>
      </c>
      <c r="D106" s="3">
        <v>156.0</v>
      </c>
      <c r="E106" s="3">
        <v>8.0</v>
      </c>
      <c r="F106" s="3">
        <v>16.6</v>
      </c>
      <c r="G106" s="3">
        <v>4.3</v>
      </c>
    </row>
    <row r="107">
      <c r="A107" s="3">
        <v>167617.0</v>
      </c>
      <c r="B107" s="3" t="s">
        <v>117</v>
      </c>
      <c r="C107" s="3" t="s">
        <v>107</v>
      </c>
      <c r="D107" s="3">
        <v>84.0</v>
      </c>
      <c r="E107" s="3">
        <v>0.4</v>
      </c>
      <c r="F107" s="3">
        <v>20.2</v>
      </c>
      <c r="G107" s="3">
        <v>0.0</v>
      </c>
    </row>
    <row r="108">
      <c r="A108" s="3">
        <v>167618.0</v>
      </c>
      <c r="B108" s="3" t="s">
        <v>118</v>
      </c>
      <c r="C108" s="3" t="s">
        <v>107</v>
      </c>
      <c r="D108" s="3">
        <v>56.0</v>
      </c>
      <c r="E108" s="3">
        <v>0.4</v>
      </c>
      <c r="F108" s="3">
        <v>13.0</v>
      </c>
      <c r="G108" s="3">
        <v>0.0</v>
      </c>
    </row>
    <row r="109">
      <c r="A109" s="3">
        <v>167619.0</v>
      </c>
      <c r="B109" s="3" t="s">
        <v>119</v>
      </c>
      <c r="C109" s="3" t="s">
        <v>107</v>
      </c>
      <c r="D109" s="3">
        <v>111.0</v>
      </c>
      <c r="E109" s="3">
        <v>3.8</v>
      </c>
      <c r="F109" s="3">
        <v>19.3</v>
      </c>
      <c r="G109" s="3">
        <v>0.0</v>
      </c>
    </row>
    <row r="110">
      <c r="A110" s="3">
        <v>167620.0</v>
      </c>
      <c r="B110" s="3" t="s">
        <v>120</v>
      </c>
      <c r="C110" s="3" t="s">
        <v>107</v>
      </c>
      <c r="D110" s="3">
        <v>1.0</v>
      </c>
      <c r="E110" s="3">
        <v>0.0</v>
      </c>
      <c r="F110" s="3">
        <v>0.0</v>
      </c>
      <c r="G110" s="3">
        <v>0.2</v>
      </c>
    </row>
    <row r="111">
      <c r="A111" s="3">
        <v>167621.0</v>
      </c>
      <c r="B111" s="3" t="s">
        <v>121</v>
      </c>
      <c r="C111" s="3" t="s">
        <v>107</v>
      </c>
      <c r="D111" s="3">
        <v>251.0</v>
      </c>
      <c r="E111" s="3">
        <v>2.6</v>
      </c>
      <c r="F111" s="3">
        <v>57.0</v>
      </c>
      <c r="G111" s="3">
        <v>0.0</v>
      </c>
    </row>
    <row r="112">
      <c r="A112" s="3">
        <v>167622.0</v>
      </c>
      <c r="B112" s="3" t="s">
        <v>122</v>
      </c>
      <c r="C112" s="3" t="s">
        <v>107</v>
      </c>
      <c r="D112" s="3">
        <v>116.0</v>
      </c>
      <c r="E112" s="3">
        <v>2.66</v>
      </c>
      <c r="F112" s="3">
        <v>21.5</v>
      </c>
      <c r="G112" s="3">
        <v>0.0</v>
      </c>
    </row>
    <row r="113">
      <c r="A113" s="3">
        <v>167623.0</v>
      </c>
      <c r="B113" s="3" t="s">
        <v>123</v>
      </c>
      <c r="C113" s="3" t="s">
        <v>107</v>
      </c>
      <c r="D113" s="3">
        <v>870.0</v>
      </c>
      <c r="E113" s="3">
        <v>96.5</v>
      </c>
      <c r="F113" s="3">
        <v>0.4</v>
      </c>
      <c r="G113" s="3">
        <v>0.0</v>
      </c>
    </row>
    <row r="114">
      <c r="A114" s="3">
        <v>167624.0</v>
      </c>
      <c r="B114" s="3" t="s">
        <v>124</v>
      </c>
      <c r="C114" s="3" t="s">
        <v>107</v>
      </c>
      <c r="D114" s="3">
        <v>465.0</v>
      </c>
      <c r="E114" s="3">
        <v>46.1</v>
      </c>
      <c r="F114" s="3">
        <v>12.6</v>
      </c>
      <c r="G114" s="3">
        <v>0.0</v>
      </c>
    </row>
    <row r="115">
      <c r="A115" s="3">
        <v>167625.0</v>
      </c>
      <c r="B115" s="3" t="s">
        <v>125</v>
      </c>
      <c r="C115" s="3" t="s">
        <v>107</v>
      </c>
      <c r="D115" s="3">
        <v>900.0</v>
      </c>
      <c r="E115" s="3">
        <v>100.0</v>
      </c>
      <c r="F115" s="3">
        <v>0.0</v>
      </c>
      <c r="G115" s="3">
        <v>0.0</v>
      </c>
    </row>
    <row r="116">
      <c r="A116" s="3">
        <v>167626.0</v>
      </c>
      <c r="B116" s="3" t="s">
        <v>126</v>
      </c>
      <c r="C116" s="3" t="s">
        <v>107</v>
      </c>
      <c r="D116" s="3">
        <v>104.0</v>
      </c>
      <c r="E116" s="3">
        <v>4.4</v>
      </c>
      <c r="F116" s="3">
        <v>11.0</v>
      </c>
      <c r="G116" s="3">
        <v>5.1</v>
      </c>
    </row>
    <row r="117">
      <c r="A117" s="3">
        <v>167627.0</v>
      </c>
      <c r="B117" s="3" t="s">
        <v>127</v>
      </c>
      <c r="C117" s="3" t="s">
        <v>107</v>
      </c>
      <c r="D117" s="3">
        <v>54.0</v>
      </c>
      <c r="E117" s="3">
        <v>0.49</v>
      </c>
      <c r="F117" s="3">
        <v>0.66</v>
      </c>
      <c r="G117" s="3">
        <v>11.74</v>
      </c>
    </row>
    <row r="118">
      <c r="A118" s="3">
        <v>167628.0</v>
      </c>
      <c r="B118" s="3" t="s">
        <v>128</v>
      </c>
      <c r="C118" s="3" t="s">
        <v>107</v>
      </c>
      <c r="D118" s="3">
        <v>398.0</v>
      </c>
      <c r="E118" s="3">
        <v>5.44</v>
      </c>
      <c r="F118" s="3">
        <v>10.4</v>
      </c>
      <c r="G118" s="3">
        <v>76.93</v>
      </c>
    </row>
    <row r="119">
      <c r="A119" s="3">
        <v>167629.0</v>
      </c>
      <c r="B119" s="3" t="s">
        <v>129</v>
      </c>
      <c r="C119" s="3" t="s">
        <v>107</v>
      </c>
      <c r="D119" s="3">
        <v>21.0</v>
      </c>
      <c r="E119" s="3">
        <v>0.2</v>
      </c>
      <c r="F119" s="3">
        <v>0.84</v>
      </c>
      <c r="G119" s="3">
        <v>4.06</v>
      </c>
    </row>
    <row r="120">
      <c r="A120" s="3">
        <v>167630.0</v>
      </c>
      <c r="B120" s="3" t="s">
        <v>130</v>
      </c>
      <c r="C120" s="3" t="s">
        <v>107</v>
      </c>
      <c r="D120" s="3">
        <v>44.0</v>
      </c>
      <c r="E120" s="3">
        <v>0.63</v>
      </c>
      <c r="F120" s="3">
        <v>0.81</v>
      </c>
      <c r="G120" s="3">
        <v>8.68</v>
      </c>
    </row>
    <row r="121">
      <c r="A121" s="3">
        <v>167631.0</v>
      </c>
      <c r="B121" s="3" t="s">
        <v>131</v>
      </c>
      <c r="C121" s="3" t="s">
        <v>107</v>
      </c>
      <c r="D121" s="3">
        <v>386.0</v>
      </c>
      <c r="E121" s="3">
        <v>5.22</v>
      </c>
      <c r="F121" s="3">
        <v>9.88</v>
      </c>
      <c r="G121" s="3">
        <v>74.93</v>
      </c>
    </row>
    <row r="122">
      <c r="A122" s="3">
        <v>167632.0</v>
      </c>
      <c r="B122" s="3" t="s">
        <v>132</v>
      </c>
      <c r="C122" s="3" t="s">
        <v>107</v>
      </c>
      <c r="D122" s="3">
        <v>16.0</v>
      </c>
      <c r="E122" s="3">
        <v>0.15</v>
      </c>
      <c r="F122" s="3">
        <v>0.31</v>
      </c>
      <c r="G122" s="3">
        <v>3.22</v>
      </c>
    </row>
    <row r="123">
      <c r="A123" s="3">
        <v>167633.0</v>
      </c>
      <c r="B123" s="3" t="s">
        <v>133</v>
      </c>
      <c r="C123" s="3" t="s">
        <v>107</v>
      </c>
      <c r="D123" s="3">
        <v>195.0</v>
      </c>
      <c r="E123" s="3">
        <v>2.21</v>
      </c>
      <c r="F123" s="3">
        <v>4.29</v>
      </c>
      <c r="G123" s="3">
        <v>39.47</v>
      </c>
    </row>
    <row r="124">
      <c r="A124" s="3">
        <v>167634.0</v>
      </c>
      <c r="B124" s="3" t="s">
        <v>134</v>
      </c>
      <c r="C124" s="3" t="s">
        <v>107</v>
      </c>
      <c r="D124" s="3">
        <v>234.0</v>
      </c>
      <c r="E124" s="3">
        <v>11.09</v>
      </c>
      <c r="F124" s="3">
        <v>33.43</v>
      </c>
      <c r="G124" s="3">
        <v>0.08</v>
      </c>
    </row>
    <row r="125">
      <c r="A125" s="3">
        <v>167635.0</v>
      </c>
      <c r="B125" s="3" t="s">
        <v>135</v>
      </c>
      <c r="C125" s="3" t="s">
        <v>107</v>
      </c>
      <c r="D125" s="3">
        <v>330.0</v>
      </c>
      <c r="E125" s="3">
        <v>12.22</v>
      </c>
      <c r="F125" s="3">
        <v>6.69</v>
      </c>
      <c r="G125" s="3">
        <v>48.26</v>
      </c>
    </row>
    <row r="126">
      <c r="A126" s="3">
        <v>167636.0</v>
      </c>
      <c r="B126" s="3" t="s">
        <v>136</v>
      </c>
      <c r="C126" s="3" t="s">
        <v>107</v>
      </c>
      <c r="D126" s="3">
        <v>153.0</v>
      </c>
      <c r="E126" s="3">
        <v>6.12</v>
      </c>
      <c r="F126" s="3">
        <v>6.28</v>
      </c>
      <c r="G126" s="3">
        <v>18.12</v>
      </c>
    </row>
    <row r="127">
      <c r="A127" s="3">
        <v>167637.0</v>
      </c>
      <c r="B127" s="3" t="s">
        <v>137</v>
      </c>
      <c r="C127" s="3" t="s">
        <v>107</v>
      </c>
      <c r="D127" s="3">
        <v>112.0</v>
      </c>
      <c r="E127" s="3">
        <v>3.75</v>
      </c>
      <c r="F127" s="3">
        <v>8.82</v>
      </c>
      <c r="G127" s="3">
        <v>10.8</v>
      </c>
    </row>
    <row r="128">
      <c r="A128" s="3">
        <v>167638.0</v>
      </c>
      <c r="B128" s="3" t="s">
        <v>138</v>
      </c>
      <c r="C128" s="3" t="s">
        <v>107</v>
      </c>
      <c r="D128" s="3">
        <v>116.0</v>
      </c>
      <c r="E128" s="3">
        <v>2.92</v>
      </c>
      <c r="F128" s="3">
        <v>20.53</v>
      </c>
      <c r="G128" s="3">
        <v>1.81</v>
      </c>
    </row>
    <row r="129">
      <c r="A129" s="3">
        <v>167639.0</v>
      </c>
      <c r="B129" s="3" t="s">
        <v>139</v>
      </c>
      <c r="C129" s="3" t="s">
        <v>107</v>
      </c>
      <c r="D129" s="3">
        <v>140.0</v>
      </c>
      <c r="E129" s="3">
        <v>5.57</v>
      </c>
      <c r="F129" s="3">
        <v>22.56</v>
      </c>
      <c r="G129" s="3">
        <v>0.0</v>
      </c>
    </row>
    <row r="130">
      <c r="A130" s="3">
        <v>167640.0</v>
      </c>
      <c r="B130" s="3" t="s">
        <v>140</v>
      </c>
      <c r="C130" s="3" t="s">
        <v>107</v>
      </c>
      <c r="D130" s="3">
        <v>61.0</v>
      </c>
      <c r="E130" s="3">
        <v>0.76</v>
      </c>
      <c r="F130" s="3">
        <v>1.22</v>
      </c>
      <c r="G130" s="3">
        <v>12.31</v>
      </c>
    </row>
    <row r="131">
      <c r="A131" s="3">
        <v>167641.0</v>
      </c>
      <c r="B131" s="3" t="s">
        <v>141</v>
      </c>
      <c r="C131" s="3" t="s">
        <v>107</v>
      </c>
      <c r="D131" s="3">
        <v>894.0</v>
      </c>
      <c r="E131" s="3">
        <v>99.32</v>
      </c>
      <c r="F131" s="3">
        <v>0.0</v>
      </c>
      <c r="G131" s="3">
        <v>0.0</v>
      </c>
    </row>
    <row r="132">
      <c r="A132" s="3">
        <v>167642.0</v>
      </c>
      <c r="B132" s="3" t="s">
        <v>142</v>
      </c>
      <c r="C132" s="3" t="s">
        <v>107</v>
      </c>
      <c r="D132" s="3">
        <v>161.0</v>
      </c>
      <c r="E132" s="3">
        <v>5.76</v>
      </c>
      <c r="F132" s="3">
        <v>27.31</v>
      </c>
      <c r="G132" s="3">
        <v>0.0</v>
      </c>
    </row>
    <row r="133">
      <c r="A133" s="3">
        <v>167643.0</v>
      </c>
      <c r="B133" s="3" t="s">
        <v>143</v>
      </c>
      <c r="C133" s="3" t="s">
        <v>107</v>
      </c>
      <c r="D133" s="3">
        <v>104.0</v>
      </c>
      <c r="E133" s="3">
        <v>2.88</v>
      </c>
      <c r="F133" s="3">
        <v>14.66</v>
      </c>
      <c r="G133" s="3">
        <v>4.89</v>
      </c>
    </row>
    <row r="134">
      <c r="A134" s="3">
        <v>167644.0</v>
      </c>
      <c r="B134" s="3" t="s">
        <v>144</v>
      </c>
      <c r="C134" s="3" t="s">
        <v>107</v>
      </c>
      <c r="D134" s="3">
        <v>255.0</v>
      </c>
      <c r="E134" s="3">
        <v>5.23</v>
      </c>
      <c r="F134" s="3">
        <v>52.06</v>
      </c>
      <c r="G134" s="3">
        <v>0.0</v>
      </c>
    </row>
    <row r="135">
      <c r="A135" s="3">
        <v>167645.0</v>
      </c>
      <c r="B135" s="3" t="s">
        <v>145</v>
      </c>
      <c r="C135" s="3" t="s">
        <v>107</v>
      </c>
      <c r="D135" s="3">
        <v>206.0</v>
      </c>
      <c r="E135" s="3">
        <v>7.26</v>
      </c>
      <c r="F135" s="3">
        <v>35.19</v>
      </c>
      <c r="G135" s="3">
        <v>0.0</v>
      </c>
    </row>
    <row r="136">
      <c r="A136" s="3">
        <v>167646.0</v>
      </c>
      <c r="B136" s="3" t="s">
        <v>146</v>
      </c>
      <c r="C136" s="3" t="s">
        <v>107</v>
      </c>
      <c r="D136" s="3">
        <v>141.0</v>
      </c>
      <c r="E136" s="3">
        <v>4.75</v>
      </c>
      <c r="F136" s="3">
        <v>24.5</v>
      </c>
      <c r="G136" s="3">
        <v>0.0</v>
      </c>
    </row>
    <row r="137">
      <c r="A137" s="3">
        <v>167647.0</v>
      </c>
      <c r="B137" s="3" t="s">
        <v>147</v>
      </c>
      <c r="C137" s="3" t="s">
        <v>107</v>
      </c>
      <c r="D137" s="3">
        <v>209.0</v>
      </c>
      <c r="E137" s="3">
        <v>12.95</v>
      </c>
      <c r="F137" s="3">
        <v>23.19</v>
      </c>
      <c r="G137" s="3">
        <v>0.0</v>
      </c>
    </row>
    <row r="138">
      <c r="A138" s="3">
        <v>167648.0</v>
      </c>
      <c r="B138" s="3" t="s">
        <v>148</v>
      </c>
      <c r="C138" s="3" t="s">
        <v>107</v>
      </c>
      <c r="D138" s="3">
        <v>115.0</v>
      </c>
      <c r="E138" s="3">
        <v>2.84</v>
      </c>
      <c r="F138" s="3">
        <v>22.25</v>
      </c>
      <c r="G138" s="3">
        <v>0.0</v>
      </c>
    </row>
    <row r="139">
      <c r="A139" s="3">
        <v>167649.0</v>
      </c>
      <c r="B139" s="3" t="s">
        <v>149</v>
      </c>
      <c r="C139" s="3" t="s">
        <v>107</v>
      </c>
      <c r="D139" s="3">
        <v>97.0</v>
      </c>
      <c r="E139" s="3">
        <v>1.3</v>
      </c>
      <c r="F139" s="3">
        <v>21.44</v>
      </c>
      <c r="G139" s="3">
        <v>0.0</v>
      </c>
    </row>
    <row r="140">
      <c r="A140" s="3">
        <v>167650.0</v>
      </c>
      <c r="B140" s="3" t="s">
        <v>150</v>
      </c>
      <c r="C140" s="3" t="s">
        <v>107</v>
      </c>
      <c r="D140" s="3">
        <v>270.0</v>
      </c>
      <c r="E140" s="3">
        <v>2.31</v>
      </c>
      <c r="F140" s="3">
        <v>62.38</v>
      </c>
      <c r="G140" s="3">
        <v>0.0</v>
      </c>
    </row>
    <row r="141">
      <c r="A141" s="3">
        <v>167651.0</v>
      </c>
      <c r="B141" s="3" t="s">
        <v>151</v>
      </c>
      <c r="C141" s="3" t="s">
        <v>107</v>
      </c>
      <c r="D141" s="3">
        <v>146.0</v>
      </c>
      <c r="E141" s="3">
        <v>1.8</v>
      </c>
      <c r="F141" s="3">
        <v>32.51</v>
      </c>
      <c r="G141" s="3">
        <v>0.0</v>
      </c>
    </row>
    <row r="142">
      <c r="A142" s="3">
        <v>167652.0</v>
      </c>
      <c r="B142" s="3" t="s">
        <v>152</v>
      </c>
      <c r="C142" s="3" t="s">
        <v>107</v>
      </c>
      <c r="D142" s="3">
        <v>98.0</v>
      </c>
      <c r="E142" s="3">
        <v>2.1</v>
      </c>
      <c r="F142" s="3">
        <v>19.74</v>
      </c>
      <c r="G142" s="3">
        <v>0.0</v>
      </c>
    </row>
    <row r="143">
      <c r="A143" s="3">
        <v>167653.0</v>
      </c>
      <c r="B143" s="3" t="s">
        <v>153</v>
      </c>
      <c r="C143" s="3" t="s">
        <v>107</v>
      </c>
      <c r="D143" s="3">
        <v>419.0</v>
      </c>
      <c r="E143" s="3">
        <v>10.64</v>
      </c>
      <c r="F143" s="3">
        <v>14.48</v>
      </c>
      <c r="G143" s="3">
        <v>66.27</v>
      </c>
    </row>
    <row r="144">
      <c r="A144" s="3">
        <v>167654.0</v>
      </c>
      <c r="B144" s="3" t="s">
        <v>154</v>
      </c>
      <c r="C144" s="3" t="s">
        <v>107</v>
      </c>
      <c r="D144" s="3">
        <v>386.0</v>
      </c>
      <c r="E144" s="3">
        <v>17.9</v>
      </c>
      <c r="F144" s="3">
        <v>56.19</v>
      </c>
      <c r="G144" s="3">
        <v>0.0</v>
      </c>
    </row>
    <row r="145">
      <c r="A145" s="3">
        <v>167655.0</v>
      </c>
      <c r="B145" s="3" t="s">
        <v>155</v>
      </c>
      <c r="C145" s="3" t="s">
        <v>107</v>
      </c>
      <c r="D145" s="3">
        <v>309.0</v>
      </c>
      <c r="E145" s="3">
        <v>10.14</v>
      </c>
      <c r="F145" s="3">
        <v>8.38</v>
      </c>
      <c r="G145" s="3">
        <v>46.01</v>
      </c>
    </row>
    <row r="146">
      <c r="A146" s="3">
        <v>167656.0</v>
      </c>
      <c r="B146" s="3" t="s">
        <v>156</v>
      </c>
      <c r="C146" s="3" t="s">
        <v>107</v>
      </c>
      <c r="D146" s="3">
        <v>224.0</v>
      </c>
      <c r="E146" s="3">
        <v>8.31</v>
      </c>
      <c r="F146" s="3">
        <v>7.91</v>
      </c>
      <c r="G146" s="3">
        <v>29.35</v>
      </c>
    </row>
    <row r="147">
      <c r="A147" s="3">
        <v>167657.0</v>
      </c>
      <c r="B147" s="3" t="s">
        <v>157</v>
      </c>
      <c r="C147" s="3" t="s">
        <v>158</v>
      </c>
      <c r="D147" s="3">
        <v>229.0</v>
      </c>
      <c r="E147" s="3">
        <v>11.05</v>
      </c>
      <c r="F147" s="3">
        <v>13.19</v>
      </c>
      <c r="G147" s="3">
        <v>19.28</v>
      </c>
    </row>
    <row r="148">
      <c r="A148" s="3">
        <v>167658.0</v>
      </c>
      <c r="B148" s="3" t="s">
        <v>159</v>
      </c>
      <c r="C148" s="3" t="s">
        <v>158</v>
      </c>
      <c r="D148" s="3">
        <v>219.0</v>
      </c>
      <c r="E148" s="3">
        <v>10.81</v>
      </c>
      <c r="F148" s="3">
        <v>12.56</v>
      </c>
      <c r="G148" s="3">
        <v>17.92</v>
      </c>
    </row>
    <row r="149">
      <c r="A149" s="3">
        <v>167659.0</v>
      </c>
      <c r="B149" s="3" t="s">
        <v>160</v>
      </c>
      <c r="C149" s="3" t="s">
        <v>158</v>
      </c>
      <c r="D149" s="3">
        <v>174.0</v>
      </c>
      <c r="E149" s="3">
        <v>5.06</v>
      </c>
      <c r="F149" s="3">
        <v>12.02</v>
      </c>
      <c r="G149" s="3">
        <v>20.03</v>
      </c>
    </row>
    <row r="150">
      <c r="A150" s="3">
        <v>167660.0</v>
      </c>
      <c r="B150" s="3" t="s">
        <v>161</v>
      </c>
      <c r="C150" s="3" t="s">
        <v>158</v>
      </c>
      <c r="D150" s="3">
        <v>335.0</v>
      </c>
      <c r="E150" s="3">
        <v>18.37</v>
      </c>
      <c r="F150" s="3">
        <v>11.31</v>
      </c>
      <c r="G150" s="3">
        <v>31.19</v>
      </c>
    </row>
    <row r="151">
      <c r="A151" s="3">
        <v>167661.0</v>
      </c>
      <c r="B151" s="3" t="s">
        <v>162</v>
      </c>
      <c r="C151" s="3" t="s">
        <v>158</v>
      </c>
      <c r="D151" s="3">
        <v>229.0</v>
      </c>
      <c r="E151" s="3">
        <v>9.01</v>
      </c>
      <c r="F151" s="3">
        <v>5.59</v>
      </c>
      <c r="G151" s="3">
        <v>31.49</v>
      </c>
    </row>
    <row r="152">
      <c r="A152" s="3">
        <v>167662.0</v>
      </c>
      <c r="B152" s="3" t="s">
        <v>163</v>
      </c>
      <c r="C152" s="3" t="s">
        <v>158</v>
      </c>
      <c r="D152" s="3">
        <v>256.0</v>
      </c>
      <c r="E152" s="3">
        <v>13.25</v>
      </c>
      <c r="F152" s="3">
        <v>11.72</v>
      </c>
      <c r="G152" s="3">
        <v>22.39</v>
      </c>
    </row>
    <row r="153">
      <c r="A153" s="3">
        <v>167663.0</v>
      </c>
      <c r="B153" s="3" t="s">
        <v>164</v>
      </c>
      <c r="C153" s="3" t="s">
        <v>158</v>
      </c>
      <c r="D153" s="3">
        <v>232.0</v>
      </c>
      <c r="E153" s="3">
        <v>10.43</v>
      </c>
      <c r="F153" s="3">
        <v>11.51</v>
      </c>
      <c r="G153" s="3">
        <v>23.02</v>
      </c>
    </row>
    <row r="154">
      <c r="A154" s="3">
        <v>167664.0</v>
      </c>
      <c r="B154" s="3" t="s">
        <v>165</v>
      </c>
      <c r="C154" s="3" t="s">
        <v>158</v>
      </c>
      <c r="D154" s="3">
        <v>186.0</v>
      </c>
      <c r="E154" s="3">
        <v>7.21</v>
      </c>
      <c r="F154" s="3">
        <v>3.48</v>
      </c>
      <c r="G154" s="3">
        <v>26.68</v>
      </c>
    </row>
    <row r="155">
      <c r="A155" s="3">
        <v>167665.0</v>
      </c>
      <c r="B155" s="3" t="s">
        <v>166</v>
      </c>
      <c r="C155" s="3" t="s">
        <v>158</v>
      </c>
      <c r="D155" s="3">
        <v>185.0</v>
      </c>
      <c r="E155" s="3">
        <v>5.29</v>
      </c>
      <c r="F155" s="3">
        <v>3.28</v>
      </c>
      <c r="G155" s="3">
        <v>31.16</v>
      </c>
    </row>
    <row r="156">
      <c r="A156" s="3">
        <v>167666.0</v>
      </c>
      <c r="B156" s="3" t="s">
        <v>167</v>
      </c>
      <c r="C156" s="3" t="s">
        <v>158</v>
      </c>
      <c r="D156" s="3">
        <v>156.0</v>
      </c>
      <c r="E156" s="3">
        <v>6.77</v>
      </c>
      <c r="F156" s="3">
        <v>6.91</v>
      </c>
      <c r="G156" s="3">
        <v>16.79</v>
      </c>
    </row>
    <row r="157">
      <c r="A157" s="3">
        <v>167667.0</v>
      </c>
      <c r="B157" s="3" t="s">
        <v>168</v>
      </c>
      <c r="C157" s="3" t="s">
        <v>158</v>
      </c>
      <c r="D157" s="3">
        <v>250.0</v>
      </c>
      <c r="E157" s="3">
        <v>11.94</v>
      </c>
      <c r="F157" s="3">
        <v>8.28</v>
      </c>
      <c r="G157" s="3">
        <v>27.29</v>
      </c>
    </row>
    <row r="158">
      <c r="A158" s="3">
        <v>167668.0</v>
      </c>
      <c r="B158" s="3" t="s">
        <v>169</v>
      </c>
      <c r="C158" s="3" t="s">
        <v>158</v>
      </c>
      <c r="D158" s="3">
        <v>174.0</v>
      </c>
      <c r="E158" s="3">
        <v>2.96</v>
      </c>
      <c r="F158" s="3">
        <v>4.05</v>
      </c>
      <c r="G158" s="3">
        <v>32.79</v>
      </c>
    </row>
    <row r="159">
      <c r="A159" s="3">
        <v>167669.0</v>
      </c>
      <c r="B159" s="3" t="s">
        <v>170</v>
      </c>
      <c r="C159" s="3" t="s">
        <v>158</v>
      </c>
      <c r="D159" s="3">
        <v>255.0</v>
      </c>
      <c r="E159" s="3">
        <v>13.18</v>
      </c>
      <c r="F159" s="3">
        <v>3.26</v>
      </c>
      <c r="G159" s="3">
        <v>30.87</v>
      </c>
    </row>
    <row r="160">
      <c r="A160" s="3">
        <v>167670.0</v>
      </c>
      <c r="B160" s="3" t="s">
        <v>171</v>
      </c>
      <c r="C160" s="3" t="s">
        <v>158</v>
      </c>
      <c r="D160" s="3">
        <v>203.0</v>
      </c>
      <c r="E160" s="3">
        <v>8.52</v>
      </c>
      <c r="F160" s="3">
        <v>31.52</v>
      </c>
      <c r="G160" s="3">
        <v>0.0</v>
      </c>
    </row>
    <row r="161">
      <c r="A161" s="3">
        <v>167671.0</v>
      </c>
      <c r="B161" s="3" t="s">
        <v>172</v>
      </c>
      <c r="C161" s="3" t="s">
        <v>158</v>
      </c>
      <c r="D161" s="3">
        <v>192.0</v>
      </c>
      <c r="E161" s="3">
        <v>11.51</v>
      </c>
      <c r="F161" s="3">
        <v>6.46</v>
      </c>
      <c r="G161" s="3">
        <v>15.58</v>
      </c>
    </row>
    <row r="162">
      <c r="A162" s="3">
        <v>167672.0</v>
      </c>
      <c r="B162" s="3" t="s">
        <v>173</v>
      </c>
      <c r="C162" s="3" t="s">
        <v>158</v>
      </c>
      <c r="D162" s="3">
        <v>282.0</v>
      </c>
      <c r="E162" s="3">
        <v>14.13</v>
      </c>
      <c r="F162" s="3">
        <v>3.41</v>
      </c>
      <c r="G162" s="3">
        <v>35.2</v>
      </c>
    </row>
    <row r="163">
      <c r="A163" s="3">
        <v>167673.0</v>
      </c>
      <c r="B163" s="3" t="s">
        <v>174</v>
      </c>
      <c r="C163" s="3" t="s">
        <v>158</v>
      </c>
      <c r="D163" s="3">
        <v>182.0</v>
      </c>
      <c r="E163" s="3">
        <v>7.34</v>
      </c>
      <c r="F163" s="3">
        <v>28.9</v>
      </c>
      <c r="G163" s="3">
        <v>0.14</v>
      </c>
    </row>
    <row r="164">
      <c r="A164" s="3">
        <v>167674.0</v>
      </c>
      <c r="B164" s="3" t="s">
        <v>175</v>
      </c>
      <c r="C164" s="3" t="s">
        <v>158</v>
      </c>
      <c r="D164" s="3">
        <v>252.0</v>
      </c>
      <c r="E164" s="3">
        <v>13.55</v>
      </c>
      <c r="F164" s="3">
        <v>11.87</v>
      </c>
      <c r="G164" s="3">
        <v>20.61</v>
      </c>
    </row>
    <row r="165">
      <c r="A165" s="3">
        <v>167675.0</v>
      </c>
      <c r="B165" s="3" t="s">
        <v>176</v>
      </c>
      <c r="C165" s="3" t="s">
        <v>158</v>
      </c>
      <c r="D165" s="3">
        <v>295.0</v>
      </c>
      <c r="E165" s="3">
        <v>16.36</v>
      </c>
      <c r="F165" s="3">
        <v>12.9</v>
      </c>
      <c r="G165" s="3">
        <v>23.99</v>
      </c>
    </row>
    <row r="166">
      <c r="A166" s="3">
        <v>167676.0</v>
      </c>
      <c r="B166" s="3" t="s">
        <v>177</v>
      </c>
      <c r="C166" s="3" t="s">
        <v>158</v>
      </c>
      <c r="D166" s="3">
        <v>129.0</v>
      </c>
      <c r="E166" s="3">
        <v>6.98</v>
      </c>
      <c r="F166" s="3">
        <v>9.76</v>
      </c>
      <c r="G166" s="3">
        <v>6.87</v>
      </c>
    </row>
    <row r="167">
      <c r="A167" s="3">
        <v>167677.0</v>
      </c>
      <c r="B167" s="3" t="s">
        <v>178</v>
      </c>
      <c r="C167" s="3" t="s">
        <v>158</v>
      </c>
      <c r="D167" s="3">
        <v>121.0</v>
      </c>
      <c r="E167" s="3">
        <v>2.35</v>
      </c>
      <c r="F167" s="3">
        <v>4.77</v>
      </c>
      <c r="G167" s="3">
        <v>20.16</v>
      </c>
    </row>
    <row r="168">
      <c r="A168" s="3">
        <v>167678.0</v>
      </c>
      <c r="B168" s="3" t="s">
        <v>179</v>
      </c>
      <c r="C168" s="3" t="s">
        <v>158</v>
      </c>
      <c r="D168" s="3">
        <v>95.0</v>
      </c>
      <c r="E168" s="3">
        <v>4.56</v>
      </c>
      <c r="F168" s="3">
        <v>8.18</v>
      </c>
      <c r="G168" s="3">
        <v>5.38</v>
      </c>
    </row>
    <row r="169">
      <c r="A169" s="3">
        <v>167679.0</v>
      </c>
      <c r="B169" s="3" t="s">
        <v>180</v>
      </c>
      <c r="C169" s="3" t="s">
        <v>158</v>
      </c>
      <c r="D169" s="3">
        <v>262.0</v>
      </c>
      <c r="E169" s="3">
        <v>12.68</v>
      </c>
      <c r="F169" s="3">
        <v>14.46</v>
      </c>
      <c r="G169" s="3">
        <v>22.46</v>
      </c>
    </row>
    <row r="170">
      <c r="A170" s="3">
        <v>167680.0</v>
      </c>
      <c r="B170" s="3" t="s">
        <v>181</v>
      </c>
      <c r="C170" s="3" t="s">
        <v>158</v>
      </c>
      <c r="D170" s="3">
        <v>121.0</v>
      </c>
      <c r="E170" s="3">
        <v>3.59</v>
      </c>
      <c r="F170" s="3">
        <v>5.79</v>
      </c>
      <c r="G170" s="3">
        <v>16.4</v>
      </c>
    </row>
    <row r="171">
      <c r="A171" s="3">
        <v>167681.0</v>
      </c>
      <c r="B171" s="3" t="s">
        <v>182</v>
      </c>
      <c r="C171" s="3" t="s">
        <v>183</v>
      </c>
      <c r="D171" s="3">
        <v>218.0</v>
      </c>
      <c r="E171" s="3">
        <v>0.04</v>
      </c>
      <c r="F171" s="3">
        <v>0.45</v>
      </c>
      <c r="G171" s="3">
        <v>87.38</v>
      </c>
    </row>
    <row r="172">
      <c r="A172" s="3">
        <v>167682.0</v>
      </c>
      <c r="B172" s="3" t="s">
        <v>184</v>
      </c>
      <c r="C172" s="3" t="s">
        <v>38</v>
      </c>
      <c r="D172" s="3">
        <v>11.0</v>
      </c>
      <c r="E172" s="3">
        <v>0.0</v>
      </c>
      <c r="F172" s="3">
        <v>0.0</v>
      </c>
      <c r="G172" s="3">
        <v>2.1</v>
      </c>
    </row>
    <row r="173">
      <c r="A173" s="3">
        <v>167683.0</v>
      </c>
      <c r="B173" s="3" t="s">
        <v>185</v>
      </c>
      <c r="C173" s="3" t="s">
        <v>38</v>
      </c>
      <c r="D173" s="3">
        <v>221.0</v>
      </c>
      <c r="E173" s="3">
        <v>10.1</v>
      </c>
      <c r="F173" s="3">
        <v>6.4</v>
      </c>
      <c r="G173" s="3">
        <v>26.11</v>
      </c>
    </row>
    <row r="174">
      <c r="A174" s="3">
        <v>167684.0</v>
      </c>
      <c r="B174" s="3" t="s">
        <v>186</v>
      </c>
      <c r="C174" s="3" t="s">
        <v>187</v>
      </c>
      <c r="D174" s="3">
        <v>160.0</v>
      </c>
      <c r="E174" s="3">
        <v>14.0</v>
      </c>
      <c r="F174" s="3">
        <v>1.5</v>
      </c>
      <c r="G174" s="3">
        <v>7.0</v>
      </c>
    </row>
    <row r="175">
      <c r="A175" s="3">
        <v>167685.0</v>
      </c>
      <c r="B175" s="3" t="s">
        <v>188</v>
      </c>
      <c r="C175" s="3" t="s">
        <v>189</v>
      </c>
      <c r="D175" s="3">
        <v>230.0</v>
      </c>
      <c r="E175" s="3">
        <v>19.3</v>
      </c>
      <c r="F175" s="3">
        <v>11.5</v>
      </c>
      <c r="G175" s="3">
        <v>2.6</v>
      </c>
    </row>
    <row r="176">
      <c r="A176" s="3">
        <v>167686.0</v>
      </c>
      <c r="B176" s="3" t="s">
        <v>190</v>
      </c>
      <c r="C176" s="3" t="s">
        <v>38</v>
      </c>
      <c r="D176" s="3">
        <v>167.0</v>
      </c>
      <c r="E176" s="3">
        <v>1.0</v>
      </c>
      <c r="F176" s="3">
        <v>4.3</v>
      </c>
      <c r="G176" s="3">
        <v>37.7</v>
      </c>
    </row>
    <row r="177">
      <c r="A177" s="3">
        <v>167687.0</v>
      </c>
      <c r="B177" s="3" t="s">
        <v>191</v>
      </c>
      <c r="C177" s="3" t="s">
        <v>192</v>
      </c>
      <c r="D177" s="3">
        <v>224.0</v>
      </c>
      <c r="E177" s="3">
        <v>13.1</v>
      </c>
      <c r="F177" s="3">
        <v>3.0</v>
      </c>
      <c r="G177" s="3">
        <v>23.6</v>
      </c>
    </row>
    <row r="178">
      <c r="A178" s="3">
        <v>167688.0</v>
      </c>
      <c r="B178" s="3" t="s">
        <v>193</v>
      </c>
      <c r="C178" s="3" t="s">
        <v>192</v>
      </c>
      <c r="D178" s="3">
        <v>431.0</v>
      </c>
      <c r="E178" s="3">
        <v>15.7</v>
      </c>
      <c r="F178" s="3">
        <v>1.9</v>
      </c>
      <c r="G178" s="3">
        <v>73.4</v>
      </c>
    </row>
    <row r="179">
      <c r="A179" s="3">
        <v>167689.0</v>
      </c>
      <c r="B179" s="3" t="s">
        <v>194</v>
      </c>
      <c r="C179" s="3" t="s">
        <v>38</v>
      </c>
      <c r="D179" s="3">
        <v>529.0</v>
      </c>
      <c r="E179" s="3">
        <v>29.32</v>
      </c>
      <c r="F179" s="3">
        <v>10.16</v>
      </c>
      <c r="G179" s="3">
        <v>56.89</v>
      </c>
    </row>
    <row r="180">
      <c r="A180" s="3">
        <v>167690.0</v>
      </c>
      <c r="B180" s="3" t="s">
        <v>195</v>
      </c>
      <c r="C180" s="3" t="s">
        <v>196</v>
      </c>
      <c r="D180" s="3">
        <v>93.0</v>
      </c>
      <c r="E180" s="3">
        <v>1.6</v>
      </c>
      <c r="F180" s="3">
        <v>0.8</v>
      </c>
      <c r="G180" s="3">
        <v>19.5</v>
      </c>
    </row>
    <row r="181">
      <c r="A181" s="3">
        <v>167691.0</v>
      </c>
      <c r="B181" s="3" t="s">
        <v>197</v>
      </c>
      <c r="C181" s="3" t="s">
        <v>187</v>
      </c>
      <c r="D181" s="3">
        <v>465.0</v>
      </c>
      <c r="E181" s="3">
        <v>53.0</v>
      </c>
      <c r="F181" s="3">
        <v>0.0</v>
      </c>
      <c r="G181" s="3">
        <v>0.0</v>
      </c>
    </row>
    <row r="182">
      <c r="A182" s="3">
        <v>167692.0</v>
      </c>
      <c r="B182" s="3" t="s">
        <v>198</v>
      </c>
      <c r="C182" s="3" t="s">
        <v>187</v>
      </c>
      <c r="D182" s="3">
        <v>86.0</v>
      </c>
      <c r="E182" s="3">
        <v>2.7</v>
      </c>
      <c r="F182" s="3">
        <v>2.1</v>
      </c>
      <c r="G182" s="3">
        <v>13.2</v>
      </c>
    </row>
    <row r="183">
      <c r="A183" s="3">
        <v>167693.0</v>
      </c>
      <c r="B183" s="3" t="s">
        <v>199</v>
      </c>
      <c r="C183" s="3" t="s">
        <v>187</v>
      </c>
      <c r="D183" s="3">
        <v>227.0</v>
      </c>
      <c r="E183" s="3">
        <v>13.0</v>
      </c>
      <c r="F183" s="3">
        <v>0.4</v>
      </c>
      <c r="G183" s="3">
        <v>27.0</v>
      </c>
    </row>
    <row r="184">
      <c r="A184" s="3">
        <v>167694.0</v>
      </c>
      <c r="B184" s="3" t="s">
        <v>200</v>
      </c>
      <c r="C184" s="3" t="s">
        <v>189</v>
      </c>
      <c r="D184" s="3">
        <v>307.0</v>
      </c>
      <c r="E184" s="3">
        <v>23.0</v>
      </c>
      <c r="F184" s="3">
        <v>22.7</v>
      </c>
      <c r="G184" s="3">
        <v>0.7</v>
      </c>
    </row>
    <row r="185">
      <c r="A185" s="3">
        <v>167695.0</v>
      </c>
      <c r="B185" s="3" t="s">
        <v>201</v>
      </c>
      <c r="C185" s="3" t="s">
        <v>187</v>
      </c>
      <c r="D185" s="3">
        <v>322.0</v>
      </c>
      <c r="E185" s="3">
        <v>31.79</v>
      </c>
      <c r="F185" s="3">
        <v>5.95</v>
      </c>
      <c r="G185" s="3">
        <v>3.06</v>
      </c>
    </row>
    <row r="186">
      <c r="A186" s="3">
        <v>167696.0</v>
      </c>
      <c r="B186" s="3" t="s">
        <v>202</v>
      </c>
      <c r="C186" s="3" t="s">
        <v>189</v>
      </c>
      <c r="D186" s="3">
        <v>140.0</v>
      </c>
      <c r="E186" s="3">
        <v>9.5</v>
      </c>
      <c r="F186" s="3">
        <v>12.0</v>
      </c>
      <c r="G186" s="3">
        <v>1.6</v>
      </c>
    </row>
    <row r="187">
      <c r="A187" s="3">
        <v>167697.0</v>
      </c>
      <c r="B187" s="3" t="s">
        <v>203</v>
      </c>
      <c r="C187" s="3" t="s">
        <v>192</v>
      </c>
      <c r="D187" s="3">
        <v>56.0</v>
      </c>
      <c r="E187" s="3">
        <v>2.0</v>
      </c>
      <c r="F187" s="3">
        <v>4.1</v>
      </c>
      <c r="G187" s="3">
        <v>5.3</v>
      </c>
    </row>
    <row r="188">
      <c r="A188" s="3">
        <v>167698.0</v>
      </c>
      <c r="B188" s="3" t="s">
        <v>204</v>
      </c>
      <c r="C188" s="3" t="s">
        <v>189</v>
      </c>
      <c r="D188" s="3">
        <v>407.0</v>
      </c>
      <c r="E188" s="3">
        <v>37.63</v>
      </c>
      <c r="F188" s="3">
        <v>13.7</v>
      </c>
      <c r="G188" s="3">
        <v>2.36</v>
      </c>
    </row>
    <row r="189">
      <c r="A189" s="3">
        <v>167699.0</v>
      </c>
      <c r="B189" s="3" t="s">
        <v>205</v>
      </c>
      <c r="C189" s="3" t="s">
        <v>187</v>
      </c>
      <c r="D189" s="3">
        <v>115.0</v>
      </c>
      <c r="E189" s="3">
        <v>1.01</v>
      </c>
      <c r="F189" s="3">
        <v>1.52</v>
      </c>
      <c r="G189" s="3">
        <v>25.6</v>
      </c>
    </row>
    <row r="190">
      <c r="A190" s="3">
        <v>167700.0</v>
      </c>
      <c r="B190" s="3" t="s">
        <v>206</v>
      </c>
      <c r="C190" s="3" t="s">
        <v>187</v>
      </c>
      <c r="D190" s="3">
        <v>84.0</v>
      </c>
      <c r="E190" s="3">
        <v>2.7</v>
      </c>
      <c r="F190" s="3">
        <v>0.2</v>
      </c>
      <c r="G190" s="3">
        <v>15.5</v>
      </c>
    </row>
    <row r="191">
      <c r="A191" s="3">
        <v>167701.0</v>
      </c>
      <c r="B191" s="3" t="s">
        <v>207</v>
      </c>
      <c r="C191" s="3" t="s">
        <v>38</v>
      </c>
      <c r="D191" s="3">
        <v>443.0</v>
      </c>
      <c r="E191" s="3">
        <v>17.5</v>
      </c>
      <c r="F191" s="3">
        <v>3.2</v>
      </c>
      <c r="G191" s="3">
        <v>71.22</v>
      </c>
    </row>
    <row r="192">
      <c r="A192" s="3">
        <v>167702.0</v>
      </c>
      <c r="B192" s="3" t="s">
        <v>208</v>
      </c>
      <c r="C192" s="3" t="s">
        <v>187</v>
      </c>
      <c r="D192" s="3">
        <v>884.0</v>
      </c>
      <c r="E192" s="3">
        <v>99.98</v>
      </c>
      <c r="F192" s="3">
        <v>0.11</v>
      </c>
      <c r="G192" s="3">
        <v>0.0</v>
      </c>
    </row>
    <row r="193">
      <c r="A193" s="3">
        <v>167703.0</v>
      </c>
      <c r="B193" s="3" t="s">
        <v>209</v>
      </c>
      <c r="C193" s="3" t="s">
        <v>192</v>
      </c>
      <c r="D193" s="3">
        <v>74.0</v>
      </c>
      <c r="E193" s="3">
        <v>1.0</v>
      </c>
      <c r="F193" s="3">
        <v>12.4</v>
      </c>
      <c r="G193" s="3">
        <v>3.2</v>
      </c>
    </row>
    <row r="194">
      <c r="A194" s="3">
        <v>167704.0</v>
      </c>
      <c r="B194" s="3" t="s">
        <v>210</v>
      </c>
      <c r="C194" s="3" t="s">
        <v>187</v>
      </c>
      <c r="D194" s="3">
        <v>326.0</v>
      </c>
      <c r="E194" s="3">
        <v>35.0</v>
      </c>
      <c r="F194" s="3">
        <v>1.8</v>
      </c>
      <c r="G194" s="3">
        <v>2.0</v>
      </c>
    </row>
    <row r="195">
      <c r="A195" s="3">
        <v>167705.0</v>
      </c>
      <c r="B195" s="3" t="s">
        <v>211</v>
      </c>
      <c r="C195" s="3" t="s">
        <v>192</v>
      </c>
      <c r="D195" s="3">
        <v>451.0</v>
      </c>
      <c r="E195" s="3">
        <v>29.99</v>
      </c>
      <c r="F195" s="3">
        <v>41.6</v>
      </c>
      <c r="G195" s="3">
        <v>3.7</v>
      </c>
    </row>
    <row r="196">
      <c r="A196" s="3">
        <v>167706.0</v>
      </c>
      <c r="B196" s="3" t="s">
        <v>212</v>
      </c>
      <c r="C196" s="3" t="s">
        <v>38</v>
      </c>
      <c r="D196" s="3">
        <v>151.0</v>
      </c>
      <c r="E196" s="3">
        <v>0.1</v>
      </c>
      <c r="F196" s="3">
        <v>0.0</v>
      </c>
      <c r="G196" s="3">
        <v>37.6</v>
      </c>
    </row>
    <row r="197">
      <c r="A197" s="3">
        <v>167707.0</v>
      </c>
      <c r="B197" s="3" t="s">
        <v>213</v>
      </c>
      <c r="C197" s="3" t="s">
        <v>183</v>
      </c>
      <c r="D197" s="3">
        <v>227.0</v>
      </c>
      <c r="E197" s="3">
        <v>0.16</v>
      </c>
      <c r="F197" s="3">
        <v>0.25</v>
      </c>
      <c r="G197" s="3">
        <v>91.0</v>
      </c>
    </row>
    <row r="198">
      <c r="A198" s="3">
        <v>167708.0</v>
      </c>
      <c r="B198" s="3" t="s">
        <v>214</v>
      </c>
      <c r="C198" s="3" t="s">
        <v>101</v>
      </c>
      <c r="D198" s="3">
        <v>22.0</v>
      </c>
      <c r="E198" s="3">
        <v>0.1</v>
      </c>
      <c r="F198" s="3">
        <v>0.6</v>
      </c>
      <c r="G198" s="3">
        <v>4.59</v>
      </c>
    </row>
    <row r="199">
      <c r="A199" s="3">
        <v>167709.0</v>
      </c>
      <c r="B199" s="3" t="s">
        <v>215</v>
      </c>
      <c r="C199" s="3" t="s">
        <v>189</v>
      </c>
      <c r="D199" s="3">
        <v>221.0</v>
      </c>
      <c r="E199" s="3">
        <v>12.41</v>
      </c>
      <c r="F199" s="3">
        <v>27.4</v>
      </c>
      <c r="G199" s="3">
        <v>0.0</v>
      </c>
    </row>
    <row r="200">
      <c r="A200" s="3">
        <v>167710.0</v>
      </c>
      <c r="B200" s="3" t="s">
        <v>216</v>
      </c>
      <c r="C200" s="3" t="s">
        <v>189</v>
      </c>
      <c r="D200" s="3">
        <v>200.0</v>
      </c>
      <c r="E200" s="3">
        <v>9.8</v>
      </c>
      <c r="F200" s="3">
        <v>27.9</v>
      </c>
      <c r="G200" s="3">
        <v>0.0</v>
      </c>
    </row>
    <row r="201">
      <c r="A201" s="3">
        <v>167711.0</v>
      </c>
      <c r="B201" s="3" t="s">
        <v>217</v>
      </c>
      <c r="C201" s="3" t="s">
        <v>183</v>
      </c>
      <c r="D201" s="3">
        <v>49.0</v>
      </c>
      <c r="E201" s="3">
        <v>0.4</v>
      </c>
      <c r="F201" s="3">
        <v>0.64</v>
      </c>
      <c r="G201" s="3">
        <v>10.68</v>
      </c>
    </row>
    <row r="202">
      <c r="A202" s="3">
        <v>167712.0</v>
      </c>
      <c r="B202" s="3" t="s">
        <v>218</v>
      </c>
      <c r="C202" s="3" t="s">
        <v>189</v>
      </c>
      <c r="D202" s="3">
        <v>541.0</v>
      </c>
      <c r="E202" s="3">
        <v>41.78</v>
      </c>
      <c r="F202" s="3">
        <v>37.04</v>
      </c>
      <c r="G202" s="3">
        <v>1.43</v>
      </c>
    </row>
    <row r="203">
      <c r="A203" s="3">
        <v>167713.0</v>
      </c>
      <c r="B203" s="3" t="s">
        <v>219</v>
      </c>
      <c r="C203" s="3" t="s">
        <v>189</v>
      </c>
      <c r="D203" s="3">
        <v>162.0</v>
      </c>
      <c r="E203" s="3">
        <v>5.0</v>
      </c>
      <c r="F203" s="3">
        <v>29.3</v>
      </c>
      <c r="G203" s="3">
        <v>0.0</v>
      </c>
    </row>
    <row r="204">
      <c r="A204" s="3">
        <v>167714.0</v>
      </c>
      <c r="B204" s="3" t="s">
        <v>220</v>
      </c>
      <c r="C204" s="3" t="s">
        <v>101</v>
      </c>
      <c r="D204" s="3">
        <v>115.0</v>
      </c>
      <c r="E204" s="3">
        <v>0.2</v>
      </c>
      <c r="F204" s="3">
        <v>2.7</v>
      </c>
      <c r="G204" s="3">
        <v>25.61</v>
      </c>
    </row>
    <row r="205">
      <c r="A205" s="3">
        <v>167715.0</v>
      </c>
      <c r="B205" s="3" t="s">
        <v>221</v>
      </c>
      <c r="C205" s="3" t="s">
        <v>222</v>
      </c>
      <c r="D205" s="3">
        <v>339.0</v>
      </c>
      <c r="E205" s="3">
        <v>2.06</v>
      </c>
      <c r="F205" s="3">
        <v>10.93</v>
      </c>
      <c r="G205" s="3">
        <v>80.65</v>
      </c>
    </row>
    <row r="206">
      <c r="A206" s="3">
        <v>167716.0</v>
      </c>
      <c r="B206" s="3" t="s">
        <v>223</v>
      </c>
      <c r="C206" s="3" t="s">
        <v>192</v>
      </c>
      <c r="D206" s="3">
        <v>67.0</v>
      </c>
      <c r="E206" s="3">
        <v>1.0</v>
      </c>
      <c r="F206" s="3">
        <v>10.9</v>
      </c>
      <c r="G206" s="3">
        <v>3.0</v>
      </c>
    </row>
    <row r="207">
      <c r="A207" s="3">
        <v>167717.0</v>
      </c>
      <c r="B207" s="3" t="s">
        <v>224</v>
      </c>
      <c r="C207" s="3" t="s">
        <v>225</v>
      </c>
      <c r="D207" s="3">
        <v>185.0</v>
      </c>
      <c r="E207" s="3">
        <v>0.9</v>
      </c>
      <c r="F207" s="3">
        <v>23.88</v>
      </c>
      <c r="G207" s="3">
        <v>20.42</v>
      </c>
    </row>
    <row r="208">
      <c r="A208" s="3">
        <v>167718.0</v>
      </c>
      <c r="B208" s="3" t="s">
        <v>226</v>
      </c>
      <c r="C208" s="3" t="s">
        <v>196</v>
      </c>
      <c r="D208" s="3">
        <v>43.0</v>
      </c>
      <c r="E208" s="3">
        <v>0.0</v>
      </c>
      <c r="F208" s="3">
        <v>0.0</v>
      </c>
      <c r="G208" s="3">
        <v>11.86</v>
      </c>
    </row>
    <row r="209">
      <c r="A209" s="3">
        <v>167719.0</v>
      </c>
      <c r="B209" s="3" t="s">
        <v>227</v>
      </c>
      <c r="C209" s="3" t="s">
        <v>228</v>
      </c>
      <c r="D209" s="3">
        <v>234.0</v>
      </c>
      <c r="E209" s="3">
        <v>12.77</v>
      </c>
      <c r="F209" s="3">
        <v>21.28</v>
      </c>
      <c r="G209" s="3">
        <v>8.51</v>
      </c>
    </row>
    <row r="210">
      <c r="A210" s="3">
        <v>167720.0</v>
      </c>
      <c r="B210" s="3" t="s">
        <v>229</v>
      </c>
      <c r="C210" s="3" t="s">
        <v>196</v>
      </c>
      <c r="D210" s="3">
        <v>69.0</v>
      </c>
      <c r="E210" s="3">
        <v>2.1</v>
      </c>
      <c r="F210" s="3">
        <v>3.5</v>
      </c>
      <c r="G210" s="3">
        <v>8.72</v>
      </c>
    </row>
    <row r="211">
      <c r="A211" s="3">
        <v>167721.0</v>
      </c>
      <c r="B211" s="3" t="s">
        <v>230</v>
      </c>
      <c r="C211" s="3" t="s">
        <v>38</v>
      </c>
      <c r="D211" s="3">
        <v>115.0</v>
      </c>
      <c r="E211" s="3">
        <v>1.41</v>
      </c>
      <c r="F211" s="3">
        <v>1.41</v>
      </c>
      <c r="G211" s="3">
        <v>24.11</v>
      </c>
    </row>
    <row r="212">
      <c r="A212" s="3">
        <v>167722.0</v>
      </c>
      <c r="B212" s="3" t="s">
        <v>231</v>
      </c>
      <c r="C212" s="3" t="s">
        <v>228</v>
      </c>
      <c r="D212" s="3">
        <v>94.0</v>
      </c>
      <c r="E212" s="3">
        <v>1.8</v>
      </c>
      <c r="F212" s="3">
        <v>3.5</v>
      </c>
      <c r="G212" s="3">
        <v>15.96</v>
      </c>
    </row>
    <row r="213">
      <c r="A213" s="3">
        <v>167723.0</v>
      </c>
      <c r="B213" s="3" t="s">
        <v>232</v>
      </c>
      <c r="C213" s="3" t="s">
        <v>183</v>
      </c>
      <c r="D213" s="3">
        <v>134.0</v>
      </c>
      <c r="E213" s="3">
        <v>0.0</v>
      </c>
      <c r="F213" s="3">
        <v>0.5</v>
      </c>
      <c r="G213" s="3">
        <v>5.0</v>
      </c>
    </row>
    <row r="214">
      <c r="A214" s="3">
        <v>167724.0</v>
      </c>
      <c r="B214" s="3" t="s">
        <v>233</v>
      </c>
      <c r="C214" s="3" t="s">
        <v>222</v>
      </c>
      <c r="D214" s="3">
        <v>354.0</v>
      </c>
      <c r="E214" s="3">
        <v>3.4</v>
      </c>
      <c r="F214" s="3">
        <v>13.0</v>
      </c>
      <c r="G214" s="3">
        <v>80.0</v>
      </c>
    </row>
    <row r="215">
      <c r="A215" s="3">
        <v>167725.0</v>
      </c>
      <c r="B215" s="3" t="s">
        <v>234</v>
      </c>
      <c r="C215" s="3" t="s">
        <v>222</v>
      </c>
      <c r="D215" s="3">
        <v>380.0</v>
      </c>
      <c r="E215" s="3">
        <v>3.0</v>
      </c>
      <c r="F215" s="3">
        <v>10.0</v>
      </c>
      <c r="G215" s="3">
        <v>78.0</v>
      </c>
    </row>
    <row r="216">
      <c r="A216" s="3">
        <v>167726.0</v>
      </c>
      <c r="B216" s="3" t="s">
        <v>235</v>
      </c>
      <c r="C216" s="3" t="s">
        <v>196</v>
      </c>
      <c r="D216" s="3">
        <v>75.0</v>
      </c>
      <c r="E216" s="3">
        <v>0.8</v>
      </c>
      <c r="F216" s="3">
        <v>0.8</v>
      </c>
      <c r="G216" s="3">
        <v>16.23</v>
      </c>
    </row>
    <row r="217">
      <c r="A217" s="3">
        <v>167727.0</v>
      </c>
      <c r="B217" s="3" t="s">
        <v>236</v>
      </c>
      <c r="C217" s="3" t="s">
        <v>183</v>
      </c>
      <c r="D217" s="3">
        <v>141.0</v>
      </c>
      <c r="E217" s="3">
        <v>4.52</v>
      </c>
      <c r="F217" s="3">
        <v>5.16</v>
      </c>
      <c r="G217" s="3">
        <v>19.88</v>
      </c>
    </row>
    <row r="218">
      <c r="A218" s="3">
        <v>167728.0</v>
      </c>
      <c r="B218" s="3" t="s">
        <v>237</v>
      </c>
      <c r="C218" s="3" t="s">
        <v>196</v>
      </c>
      <c r="D218" s="3">
        <v>396.0</v>
      </c>
      <c r="E218" s="3">
        <v>2.4</v>
      </c>
      <c r="F218" s="3">
        <v>6.7</v>
      </c>
      <c r="G218" s="3">
        <v>86.89</v>
      </c>
    </row>
    <row r="219">
      <c r="A219" s="3">
        <v>167729.0</v>
      </c>
      <c r="B219" s="3" t="s">
        <v>238</v>
      </c>
      <c r="C219" s="3" t="s">
        <v>196</v>
      </c>
      <c r="D219" s="3">
        <v>47.0</v>
      </c>
      <c r="E219" s="3">
        <v>0.1</v>
      </c>
      <c r="F219" s="3">
        <v>0.2</v>
      </c>
      <c r="G219" s="3">
        <v>11.2</v>
      </c>
    </row>
    <row r="220">
      <c r="A220" s="3">
        <v>167730.0</v>
      </c>
      <c r="B220" s="3" t="s">
        <v>239</v>
      </c>
      <c r="C220" s="3" t="s">
        <v>192</v>
      </c>
      <c r="D220" s="3">
        <v>46.0</v>
      </c>
      <c r="E220" s="3">
        <v>2.0</v>
      </c>
      <c r="F220" s="3">
        <v>1.6</v>
      </c>
      <c r="G220" s="3">
        <v>5.3</v>
      </c>
    </row>
    <row r="221">
      <c r="A221" s="3">
        <v>167731.0</v>
      </c>
      <c r="B221" s="3" t="s">
        <v>240</v>
      </c>
      <c r="C221" s="3" t="s">
        <v>196</v>
      </c>
      <c r="D221" s="3">
        <v>389.0</v>
      </c>
      <c r="E221" s="3">
        <v>0.9</v>
      </c>
      <c r="F221" s="3">
        <v>6.6</v>
      </c>
      <c r="G221" s="3">
        <v>88.5</v>
      </c>
    </row>
    <row r="222">
      <c r="A222" s="3">
        <v>167732.0</v>
      </c>
      <c r="B222" s="3" t="s">
        <v>241</v>
      </c>
      <c r="C222" s="3" t="s">
        <v>196</v>
      </c>
      <c r="D222" s="3">
        <v>91.0</v>
      </c>
      <c r="E222" s="3">
        <v>0.2</v>
      </c>
      <c r="F222" s="3">
        <v>1.0</v>
      </c>
      <c r="G222" s="3">
        <v>21.34</v>
      </c>
    </row>
    <row r="223">
      <c r="A223" s="3">
        <v>167733.0</v>
      </c>
      <c r="B223" s="3" t="s">
        <v>242</v>
      </c>
      <c r="C223" s="3" t="s">
        <v>196</v>
      </c>
      <c r="D223" s="3">
        <v>68.0</v>
      </c>
      <c r="E223" s="3">
        <v>0.2</v>
      </c>
      <c r="F223" s="3">
        <v>0.3</v>
      </c>
      <c r="G223" s="3">
        <v>16.3</v>
      </c>
    </row>
    <row r="224">
      <c r="A224" s="3">
        <v>167734.0</v>
      </c>
      <c r="B224" s="3" t="s">
        <v>243</v>
      </c>
      <c r="C224" s="3" t="s">
        <v>33</v>
      </c>
      <c r="D224" s="3">
        <v>376.0</v>
      </c>
      <c r="E224" s="3">
        <v>7.5</v>
      </c>
      <c r="F224" s="3">
        <v>4.4</v>
      </c>
      <c r="G224" s="3">
        <v>72.8</v>
      </c>
    </row>
    <row r="225">
      <c r="A225" s="3">
        <v>167735.0</v>
      </c>
      <c r="B225" s="3" t="s">
        <v>244</v>
      </c>
      <c r="C225" s="3" t="s">
        <v>192</v>
      </c>
      <c r="D225" s="3">
        <v>280.0</v>
      </c>
      <c r="E225" s="3">
        <v>17.1</v>
      </c>
      <c r="F225" s="3">
        <v>27.5</v>
      </c>
      <c r="G225" s="3">
        <v>3.1</v>
      </c>
    </row>
    <row r="226">
      <c r="A226" s="3">
        <v>167736.0</v>
      </c>
      <c r="B226" s="3" t="s">
        <v>245</v>
      </c>
      <c r="C226" s="3" t="s">
        <v>187</v>
      </c>
      <c r="D226" s="3">
        <v>688.0</v>
      </c>
      <c r="E226" s="3">
        <v>77.8</v>
      </c>
      <c r="F226" s="3">
        <v>0.0</v>
      </c>
      <c r="G226" s="3">
        <v>0.3</v>
      </c>
    </row>
    <row r="227">
      <c r="A227" s="3">
        <v>167737.0</v>
      </c>
      <c r="B227" s="3" t="s">
        <v>246</v>
      </c>
      <c r="C227" s="3" t="s">
        <v>187</v>
      </c>
      <c r="D227" s="3">
        <v>884.0</v>
      </c>
      <c r="E227" s="3">
        <v>100.0</v>
      </c>
      <c r="F227" s="3">
        <v>0.0</v>
      </c>
      <c r="G227" s="3">
        <v>0.0</v>
      </c>
    </row>
    <row r="228">
      <c r="A228" s="3">
        <v>167738.0</v>
      </c>
      <c r="B228" s="3" t="s">
        <v>247</v>
      </c>
      <c r="C228" s="3" t="s">
        <v>38</v>
      </c>
      <c r="D228" s="3">
        <v>181.0</v>
      </c>
      <c r="E228" s="3">
        <v>0.2</v>
      </c>
      <c r="F228" s="3">
        <v>0.41</v>
      </c>
      <c r="G228" s="3">
        <v>44.38</v>
      </c>
    </row>
    <row r="229">
      <c r="A229" s="3">
        <v>167739.0</v>
      </c>
      <c r="B229" s="3" t="s">
        <v>248</v>
      </c>
      <c r="C229" s="3" t="s">
        <v>183</v>
      </c>
      <c r="D229" s="3">
        <v>287.0</v>
      </c>
      <c r="E229" s="3">
        <v>0.01</v>
      </c>
      <c r="F229" s="3">
        <v>0.08</v>
      </c>
      <c r="G229" s="3">
        <v>71.6</v>
      </c>
    </row>
    <row r="230">
      <c r="A230" s="3">
        <v>167740.0</v>
      </c>
      <c r="B230" s="3" t="s">
        <v>249</v>
      </c>
      <c r="C230" s="3" t="s">
        <v>38</v>
      </c>
      <c r="D230" s="3">
        <v>365.0</v>
      </c>
      <c r="E230" s="3">
        <v>3.0</v>
      </c>
      <c r="F230" s="3">
        <v>10.08</v>
      </c>
      <c r="G230" s="3">
        <v>74.42</v>
      </c>
    </row>
    <row r="231">
      <c r="A231" s="3">
        <v>167741.0</v>
      </c>
      <c r="B231" s="3" t="s">
        <v>250</v>
      </c>
      <c r="C231" s="3" t="s">
        <v>38</v>
      </c>
      <c r="D231" s="3">
        <v>351.0</v>
      </c>
      <c r="E231" s="3">
        <v>0.1</v>
      </c>
      <c r="F231" s="3">
        <v>1.6</v>
      </c>
      <c r="G231" s="3">
        <v>86.04</v>
      </c>
    </row>
    <row r="232">
      <c r="A232" s="3">
        <v>167742.0</v>
      </c>
      <c r="B232" s="3" t="s">
        <v>251</v>
      </c>
      <c r="C232" s="3" t="s">
        <v>252</v>
      </c>
      <c r="D232" s="3">
        <v>111.0</v>
      </c>
      <c r="E232" s="3">
        <v>0.84</v>
      </c>
      <c r="F232" s="3">
        <v>20.54</v>
      </c>
      <c r="G232" s="3">
        <v>5.41</v>
      </c>
    </row>
    <row r="233">
      <c r="A233" s="3">
        <v>167743.0</v>
      </c>
      <c r="B233" s="3" t="s">
        <v>253</v>
      </c>
      <c r="C233" s="3" t="s">
        <v>38</v>
      </c>
      <c r="D233" s="3">
        <v>269.0</v>
      </c>
      <c r="E233" s="3">
        <v>0.0</v>
      </c>
      <c r="F233" s="3">
        <v>0.0</v>
      </c>
      <c r="G233" s="3">
        <v>73.14</v>
      </c>
    </row>
    <row r="234">
      <c r="A234" s="3">
        <v>167744.0</v>
      </c>
      <c r="B234" s="3" t="s">
        <v>254</v>
      </c>
      <c r="C234" s="3" t="s">
        <v>252</v>
      </c>
      <c r="D234" s="3">
        <v>90.0</v>
      </c>
      <c r="E234" s="3">
        <v>1.4</v>
      </c>
      <c r="F234" s="3">
        <v>16.1</v>
      </c>
      <c r="G234" s="3">
        <v>2.0</v>
      </c>
    </row>
    <row r="235">
      <c r="A235" s="3">
        <v>167745.0</v>
      </c>
      <c r="B235" s="3" t="s">
        <v>255</v>
      </c>
      <c r="C235" s="3" t="s">
        <v>252</v>
      </c>
      <c r="D235" s="3">
        <v>89.0</v>
      </c>
      <c r="E235" s="3">
        <v>0.5</v>
      </c>
      <c r="F235" s="3">
        <v>19.8</v>
      </c>
      <c r="G235" s="3">
        <v>0.0</v>
      </c>
    </row>
    <row r="236">
      <c r="A236" s="3">
        <v>167746.0</v>
      </c>
      <c r="B236" s="3" t="s">
        <v>256</v>
      </c>
      <c r="C236" s="3" t="s">
        <v>257</v>
      </c>
      <c r="D236" s="3">
        <v>29.0</v>
      </c>
      <c r="E236" s="3">
        <v>0.3</v>
      </c>
      <c r="F236" s="3">
        <v>1.1</v>
      </c>
      <c r="G236" s="3">
        <v>9.32</v>
      </c>
    </row>
    <row r="237">
      <c r="A237" s="3">
        <v>167747.0</v>
      </c>
      <c r="B237" s="3" t="s">
        <v>258</v>
      </c>
      <c r="C237" s="3" t="s">
        <v>257</v>
      </c>
      <c r="D237" s="3">
        <v>22.0</v>
      </c>
      <c r="E237" s="3">
        <v>0.24</v>
      </c>
      <c r="F237" s="3">
        <v>0.35</v>
      </c>
      <c r="G237" s="3">
        <v>6.9</v>
      </c>
    </row>
    <row r="238">
      <c r="A238" s="3">
        <v>167748.0</v>
      </c>
      <c r="B238" s="3" t="s">
        <v>259</v>
      </c>
      <c r="C238" s="3" t="s">
        <v>257</v>
      </c>
      <c r="D238" s="3">
        <v>17.0</v>
      </c>
      <c r="E238" s="3">
        <v>0.07</v>
      </c>
      <c r="F238" s="3">
        <v>0.45</v>
      </c>
      <c r="G238" s="3">
        <v>5.62</v>
      </c>
    </row>
    <row r="239">
      <c r="A239" s="3">
        <v>167749.0</v>
      </c>
      <c r="B239" s="3" t="s">
        <v>260</v>
      </c>
      <c r="C239" s="3" t="s">
        <v>257</v>
      </c>
      <c r="D239" s="3">
        <v>47.0</v>
      </c>
      <c r="E239" s="3">
        <v>0.3</v>
      </c>
      <c r="F239" s="3">
        <v>1.5</v>
      </c>
      <c r="G239" s="3">
        <v>16.0</v>
      </c>
    </row>
    <row r="240">
      <c r="A240" s="3">
        <v>167750.0</v>
      </c>
      <c r="B240" s="3" t="s">
        <v>261</v>
      </c>
      <c r="C240" s="3" t="s">
        <v>257</v>
      </c>
      <c r="D240" s="3">
        <v>41.0</v>
      </c>
      <c r="E240" s="3">
        <v>0.51</v>
      </c>
      <c r="F240" s="3">
        <v>0.73</v>
      </c>
      <c r="G240" s="3">
        <v>9.57</v>
      </c>
    </row>
    <row r="241">
      <c r="A241" s="3">
        <v>167751.0</v>
      </c>
      <c r="B241" s="3" t="s">
        <v>262</v>
      </c>
      <c r="C241" s="3" t="s">
        <v>257</v>
      </c>
      <c r="D241" s="3">
        <v>107.0</v>
      </c>
      <c r="E241" s="3">
        <v>0.16</v>
      </c>
      <c r="F241" s="3">
        <v>0.96</v>
      </c>
      <c r="G241" s="3">
        <v>28.08</v>
      </c>
    </row>
    <row r="242">
      <c r="A242" s="3">
        <v>167752.0</v>
      </c>
      <c r="B242" s="3" t="s">
        <v>263</v>
      </c>
      <c r="C242" s="3" t="s">
        <v>257</v>
      </c>
      <c r="D242" s="3">
        <v>124.0</v>
      </c>
      <c r="E242" s="3">
        <v>0.22</v>
      </c>
      <c r="F242" s="3">
        <v>1.09</v>
      </c>
      <c r="G242" s="3">
        <v>32.88</v>
      </c>
    </row>
    <row r="243">
      <c r="A243" s="3">
        <v>167753.0</v>
      </c>
      <c r="B243" s="3" t="s">
        <v>264</v>
      </c>
      <c r="C243" s="3" t="s">
        <v>257</v>
      </c>
      <c r="D243" s="3">
        <v>71.0</v>
      </c>
      <c r="E243" s="3">
        <v>0.03</v>
      </c>
      <c r="F243" s="3">
        <v>0.61</v>
      </c>
      <c r="G243" s="3">
        <v>17.45</v>
      </c>
    </row>
    <row r="244">
      <c r="A244" s="3">
        <v>167754.0</v>
      </c>
      <c r="B244" s="3" t="s">
        <v>265</v>
      </c>
      <c r="C244" s="3" t="s">
        <v>257</v>
      </c>
      <c r="D244" s="3">
        <v>38.0</v>
      </c>
      <c r="E244" s="3">
        <v>0.04</v>
      </c>
      <c r="F244" s="3">
        <v>0.76</v>
      </c>
      <c r="G244" s="3">
        <v>9.62</v>
      </c>
    </row>
    <row r="245">
      <c r="A245" s="3">
        <v>167755.0</v>
      </c>
      <c r="B245" s="3" t="s">
        <v>266</v>
      </c>
      <c r="C245" s="3" t="s">
        <v>257</v>
      </c>
      <c r="D245" s="3">
        <v>52.0</v>
      </c>
      <c r="E245" s="3">
        <v>0.65</v>
      </c>
      <c r="F245" s="3">
        <v>1.2</v>
      </c>
      <c r="G245" s="3">
        <v>11.94</v>
      </c>
    </row>
    <row r="246">
      <c r="A246" s="3">
        <v>167756.0</v>
      </c>
      <c r="B246" s="3" t="s">
        <v>267</v>
      </c>
      <c r="C246" s="3" t="s">
        <v>257</v>
      </c>
      <c r="D246" s="3">
        <v>91.0</v>
      </c>
      <c r="E246" s="3">
        <v>0.12</v>
      </c>
      <c r="F246" s="3">
        <v>0.83</v>
      </c>
      <c r="G246" s="3">
        <v>23.36</v>
      </c>
    </row>
    <row r="247">
      <c r="A247" s="3">
        <v>167757.0</v>
      </c>
      <c r="B247" s="3" t="s">
        <v>268</v>
      </c>
      <c r="C247" s="3" t="s">
        <v>257</v>
      </c>
      <c r="D247" s="3">
        <v>103.0</v>
      </c>
      <c r="E247" s="3">
        <v>0.16</v>
      </c>
      <c r="F247" s="3">
        <v>0.7</v>
      </c>
      <c r="G247" s="3">
        <v>26.16</v>
      </c>
    </row>
    <row r="248">
      <c r="A248" s="3">
        <v>167758.0</v>
      </c>
      <c r="B248" s="3" t="s">
        <v>269</v>
      </c>
      <c r="C248" s="3" t="s">
        <v>257</v>
      </c>
      <c r="D248" s="3">
        <v>21.0</v>
      </c>
      <c r="E248" s="3">
        <v>0.2</v>
      </c>
      <c r="F248" s="3">
        <v>0.9</v>
      </c>
      <c r="G248" s="3">
        <v>4.54</v>
      </c>
    </row>
    <row r="249">
      <c r="A249" s="3">
        <v>167759.0</v>
      </c>
      <c r="B249" s="3" t="s">
        <v>270</v>
      </c>
      <c r="C249" s="3" t="s">
        <v>257</v>
      </c>
      <c r="D249" s="3">
        <v>83.0</v>
      </c>
      <c r="E249" s="3">
        <v>1.1</v>
      </c>
      <c r="F249" s="3">
        <v>0.44</v>
      </c>
      <c r="G249" s="3">
        <v>19.96</v>
      </c>
    </row>
    <row r="250">
      <c r="A250" s="3">
        <v>167760.0</v>
      </c>
      <c r="B250" s="3" t="s">
        <v>271</v>
      </c>
      <c r="C250" s="3" t="s">
        <v>257</v>
      </c>
      <c r="D250" s="3">
        <v>124.0</v>
      </c>
      <c r="E250" s="3">
        <v>0.46</v>
      </c>
      <c r="F250" s="3">
        <v>1.45</v>
      </c>
      <c r="G250" s="3">
        <v>32.1</v>
      </c>
    </row>
    <row r="251">
      <c r="A251" s="3">
        <v>167761.0</v>
      </c>
      <c r="B251" s="3" t="s">
        <v>272</v>
      </c>
      <c r="C251" s="3" t="s">
        <v>257</v>
      </c>
      <c r="D251" s="3">
        <v>66.0</v>
      </c>
      <c r="E251" s="3">
        <v>0.3</v>
      </c>
      <c r="F251" s="3">
        <v>1.0</v>
      </c>
      <c r="G251" s="3">
        <v>16.84</v>
      </c>
    </row>
    <row r="252">
      <c r="A252" s="3">
        <v>167762.0</v>
      </c>
      <c r="B252" s="3" t="s">
        <v>273</v>
      </c>
      <c r="C252" s="3" t="s">
        <v>257</v>
      </c>
      <c r="D252" s="3">
        <v>32.0</v>
      </c>
      <c r="E252" s="3">
        <v>0.3</v>
      </c>
      <c r="F252" s="3">
        <v>0.67</v>
      </c>
      <c r="G252" s="3">
        <v>7.68</v>
      </c>
    </row>
    <row r="253">
      <c r="A253" s="3">
        <v>167763.0</v>
      </c>
      <c r="B253" s="3" t="s">
        <v>274</v>
      </c>
      <c r="C253" s="3" t="s">
        <v>257</v>
      </c>
      <c r="D253" s="3">
        <v>239.0</v>
      </c>
      <c r="E253" s="3">
        <v>0.6</v>
      </c>
      <c r="F253" s="3">
        <v>2.8</v>
      </c>
      <c r="G253" s="3">
        <v>62.5</v>
      </c>
    </row>
    <row r="254">
      <c r="A254" s="3">
        <v>167764.0</v>
      </c>
      <c r="B254" s="3" t="s">
        <v>275</v>
      </c>
      <c r="C254" s="3" t="s">
        <v>257</v>
      </c>
      <c r="D254" s="3">
        <v>86.0</v>
      </c>
      <c r="E254" s="3">
        <v>0.1</v>
      </c>
      <c r="F254" s="3">
        <v>0.41</v>
      </c>
      <c r="G254" s="3">
        <v>22.36</v>
      </c>
    </row>
    <row r="255">
      <c r="A255" s="3">
        <v>167765.0</v>
      </c>
      <c r="B255" s="3" t="s">
        <v>276</v>
      </c>
      <c r="C255" s="3" t="s">
        <v>257</v>
      </c>
      <c r="D255" s="3">
        <v>30.0</v>
      </c>
      <c r="E255" s="3">
        <v>0.15</v>
      </c>
      <c r="F255" s="3">
        <v>0.61</v>
      </c>
      <c r="G255" s="3">
        <v>7.55</v>
      </c>
    </row>
    <row r="256">
      <c r="A256" s="3">
        <v>167766.0</v>
      </c>
      <c r="B256" s="3" t="s">
        <v>277</v>
      </c>
      <c r="C256" s="3" t="s">
        <v>257</v>
      </c>
      <c r="D256" s="3">
        <v>165.0</v>
      </c>
      <c r="E256" s="3">
        <v>0.21</v>
      </c>
      <c r="F256" s="3">
        <v>0.22</v>
      </c>
      <c r="G256" s="3">
        <v>41.97</v>
      </c>
    </row>
    <row r="257">
      <c r="A257" s="3">
        <v>167767.0</v>
      </c>
      <c r="B257" s="3" t="s">
        <v>278</v>
      </c>
      <c r="C257" s="3" t="s">
        <v>257</v>
      </c>
      <c r="D257" s="3">
        <v>60.0</v>
      </c>
      <c r="E257" s="3">
        <v>0.11</v>
      </c>
      <c r="F257" s="3">
        <v>0.51</v>
      </c>
      <c r="G257" s="3">
        <v>15.56</v>
      </c>
    </row>
    <row r="258">
      <c r="A258" s="3">
        <v>167768.0</v>
      </c>
      <c r="B258" s="3" t="s">
        <v>279</v>
      </c>
      <c r="C258" s="3" t="s">
        <v>257</v>
      </c>
      <c r="D258" s="3">
        <v>83.0</v>
      </c>
      <c r="E258" s="3">
        <v>0.11</v>
      </c>
      <c r="F258" s="3">
        <v>0.64</v>
      </c>
      <c r="G258" s="3">
        <v>21.31</v>
      </c>
    </row>
    <row r="259">
      <c r="A259" s="3">
        <v>167769.0</v>
      </c>
      <c r="B259" s="3" t="s">
        <v>280</v>
      </c>
      <c r="C259" s="3" t="s">
        <v>257</v>
      </c>
      <c r="D259" s="3">
        <v>42.0</v>
      </c>
      <c r="E259" s="3">
        <v>0.21</v>
      </c>
      <c r="F259" s="3">
        <v>0.69</v>
      </c>
      <c r="G259" s="3">
        <v>10.45</v>
      </c>
    </row>
    <row r="260">
      <c r="A260" s="3">
        <v>167770.0</v>
      </c>
      <c r="B260" s="3" t="s">
        <v>281</v>
      </c>
      <c r="C260" s="3" t="s">
        <v>257</v>
      </c>
      <c r="D260" s="3">
        <v>83.0</v>
      </c>
      <c r="E260" s="3">
        <v>0.21</v>
      </c>
      <c r="F260" s="3">
        <v>0.73</v>
      </c>
      <c r="G260" s="3">
        <v>21.07</v>
      </c>
    </row>
    <row r="261">
      <c r="A261" s="3">
        <v>167771.0</v>
      </c>
      <c r="B261" s="3" t="s">
        <v>282</v>
      </c>
      <c r="C261" s="3" t="s">
        <v>257</v>
      </c>
      <c r="D261" s="3">
        <v>46.0</v>
      </c>
      <c r="E261" s="3">
        <v>0.13</v>
      </c>
      <c r="F261" s="3">
        <v>0.1</v>
      </c>
      <c r="G261" s="3">
        <v>11.3</v>
      </c>
    </row>
    <row r="262">
      <c r="A262" s="3">
        <v>167772.0</v>
      </c>
      <c r="B262" s="3" t="s">
        <v>283</v>
      </c>
      <c r="C262" s="3" t="s">
        <v>257</v>
      </c>
      <c r="D262" s="3">
        <v>42.0</v>
      </c>
      <c r="E262" s="3">
        <v>0.1</v>
      </c>
      <c r="F262" s="3">
        <v>0.17</v>
      </c>
      <c r="G262" s="3">
        <v>11.27</v>
      </c>
    </row>
    <row r="263">
      <c r="A263" s="3">
        <v>167773.0</v>
      </c>
      <c r="B263" s="3" t="s">
        <v>284</v>
      </c>
      <c r="C263" s="3" t="s">
        <v>257</v>
      </c>
      <c r="D263" s="3">
        <v>76.0</v>
      </c>
      <c r="E263" s="3">
        <v>0.18</v>
      </c>
      <c r="F263" s="3">
        <v>0.18</v>
      </c>
      <c r="G263" s="3">
        <v>19.91</v>
      </c>
    </row>
    <row r="264">
      <c r="A264" s="3">
        <v>167774.0</v>
      </c>
      <c r="B264" s="3" t="s">
        <v>285</v>
      </c>
      <c r="C264" s="3" t="s">
        <v>257</v>
      </c>
      <c r="D264" s="3">
        <v>39.0</v>
      </c>
      <c r="E264" s="3">
        <v>0.1</v>
      </c>
      <c r="F264" s="3">
        <v>0.5</v>
      </c>
      <c r="G264" s="3">
        <v>9.2</v>
      </c>
    </row>
    <row r="265">
      <c r="A265" s="3">
        <v>167775.0</v>
      </c>
      <c r="B265" s="3" t="s">
        <v>286</v>
      </c>
      <c r="C265" s="3" t="s">
        <v>257</v>
      </c>
      <c r="D265" s="3">
        <v>47.0</v>
      </c>
      <c r="E265" s="3">
        <v>0.1</v>
      </c>
      <c r="F265" s="3">
        <v>0.14</v>
      </c>
      <c r="G265" s="3">
        <v>11.54</v>
      </c>
    </row>
    <row r="266">
      <c r="A266" s="3">
        <v>167776.0</v>
      </c>
      <c r="B266" s="3" t="s">
        <v>287</v>
      </c>
      <c r="C266" s="3" t="s">
        <v>257</v>
      </c>
      <c r="D266" s="3">
        <v>63.0</v>
      </c>
      <c r="E266" s="3">
        <v>0.16</v>
      </c>
      <c r="F266" s="3">
        <v>0.39</v>
      </c>
      <c r="G266" s="3">
        <v>15.01</v>
      </c>
    </row>
    <row r="267">
      <c r="A267" s="3">
        <v>167777.0</v>
      </c>
      <c r="B267" s="3" t="s">
        <v>288</v>
      </c>
      <c r="C267" s="3" t="s">
        <v>257</v>
      </c>
      <c r="D267" s="3">
        <v>62.0</v>
      </c>
      <c r="E267" s="3">
        <v>0.14</v>
      </c>
      <c r="F267" s="3">
        <v>0.33</v>
      </c>
      <c r="G267" s="3">
        <v>14.94</v>
      </c>
    </row>
    <row r="268">
      <c r="A268" s="3">
        <v>167778.0</v>
      </c>
      <c r="B268" s="3" t="s">
        <v>289</v>
      </c>
      <c r="C268" s="3" t="s">
        <v>257</v>
      </c>
      <c r="D268" s="3">
        <v>67.0</v>
      </c>
      <c r="E268" s="3">
        <v>0.09</v>
      </c>
      <c r="F268" s="3">
        <v>0.36</v>
      </c>
      <c r="G268" s="3">
        <v>16.1</v>
      </c>
    </row>
    <row r="269">
      <c r="A269" s="3">
        <v>167779.0</v>
      </c>
      <c r="B269" s="3" t="s">
        <v>290</v>
      </c>
      <c r="C269" s="3" t="s">
        <v>257</v>
      </c>
      <c r="D269" s="3">
        <v>66.0</v>
      </c>
      <c r="E269" s="3">
        <v>0.1</v>
      </c>
      <c r="F269" s="3">
        <v>0.44</v>
      </c>
      <c r="G269" s="3">
        <v>15.79</v>
      </c>
    </row>
    <row r="270">
      <c r="A270" s="3">
        <v>167780.0</v>
      </c>
      <c r="B270" s="3" t="s">
        <v>291</v>
      </c>
      <c r="C270" s="3" t="s">
        <v>257</v>
      </c>
      <c r="D270" s="3">
        <v>257.0</v>
      </c>
      <c r="E270" s="3">
        <v>0.2</v>
      </c>
      <c r="F270" s="3">
        <v>2.1</v>
      </c>
      <c r="G270" s="3">
        <v>65.1</v>
      </c>
    </row>
    <row r="271">
      <c r="A271" s="3">
        <v>167781.0</v>
      </c>
      <c r="B271" s="3" t="s">
        <v>292</v>
      </c>
      <c r="C271" s="3" t="s">
        <v>257</v>
      </c>
      <c r="D271" s="3">
        <v>322.0</v>
      </c>
      <c r="E271" s="3">
        <v>0.07</v>
      </c>
      <c r="F271" s="3">
        <v>0.34</v>
      </c>
      <c r="G271" s="3">
        <v>82.74</v>
      </c>
    </row>
    <row r="272">
      <c r="A272" s="3">
        <v>167782.0</v>
      </c>
      <c r="B272" s="3" t="s">
        <v>293</v>
      </c>
      <c r="C272" s="3" t="s">
        <v>257</v>
      </c>
      <c r="D272" s="3">
        <v>69.0</v>
      </c>
      <c r="E272" s="3">
        <v>0.1</v>
      </c>
      <c r="F272" s="3">
        <v>1.5</v>
      </c>
      <c r="G272" s="3">
        <v>17.6</v>
      </c>
    </row>
    <row r="273">
      <c r="A273" s="3">
        <v>167783.0</v>
      </c>
      <c r="B273" s="3" t="s">
        <v>294</v>
      </c>
      <c r="C273" s="3" t="s">
        <v>257</v>
      </c>
      <c r="D273" s="3">
        <v>111.0</v>
      </c>
      <c r="E273" s="3">
        <v>2.0</v>
      </c>
      <c r="F273" s="3">
        <v>2.3</v>
      </c>
      <c r="G273" s="3">
        <v>23.9</v>
      </c>
    </row>
    <row r="274">
      <c r="A274" s="3">
        <v>167784.0</v>
      </c>
      <c r="B274" s="3" t="s">
        <v>295</v>
      </c>
      <c r="C274" s="3" t="s">
        <v>257</v>
      </c>
      <c r="D274" s="3">
        <v>63.0</v>
      </c>
      <c r="E274" s="3">
        <v>0.06</v>
      </c>
      <c r="F274" s="3">
        <v>0.09</v>
      </c>
      <c r="G274" s="3">
        <v>16.25</v>
      </c>
    </row>
    <row r="275">
      <c r="A275" s="3">
        <v>167785.0</v>
      </c>
      <c r="B275" s="3" t="s">
        <v>296</v>
      </c>
      <c r="C275" s="3" t="s">
        <v>257</v>
      </c>
      <c r="D275" s="3">
        <v>51.0</v>
      </c>
      <c r="E275" s="3">
        <v>0.06</v>
      </c>
      <c r="F275" s="3">
        <v>0.11</v>
      </c>
      <c r="G275" s="3">
        <v>13.12</v>
      </c>
    </row>
    <row r="276">
      <c r="A276" s="3">
        <v>167786.0</v>
      </c>
      <c r="B276" s="3" t="s">
        <v>297</v>
      </c>
      <c r="C276" s="3" t="s">
        <v>257</v>
      </c>
      <c r="D276" s="3">
        <v>57.0</v>
      </c>
      <c r="E276" s="3">
        <v>0.12</v>
      </c>
      <c r="F276" s="3">
        <v>0.09</v>
      </c>
      <c r="G276" s="3">
        <v>14.73</v>
      </c>
    </row>
    <row r="277">
      <c r="A277" s="3">
        <v>167787.0</v>
      </c>
      <c r="B277" s="3" t="s">
        <v>298</v>
      </c>
      <c r="C277" s="3" t="s">
        <v>257</v>
      </c>
      <c r="D277" s="3">
        <v>54.0</v>
      </c>
      <c r="E277" s="3">
        <v>0.29</v>
      </c>
      <c r="F277" s="3">
        <v>0.15</v>
      </c>
      <c r="G277" s="3">
        <v>13.13</v>
      </c>
    </row>
    <row r="278">
      <c r="A278" s="3">
        <v>167788.0</v>
      </c>
      <c r="B278" s="3" t="s">
        <v>299</v>
      </c>
      <c r="C278" s="3" t="s">
        <v>257</v>
      </c>
      <c r="D278" s="3">
        <v>95.0</v>
      </c>
      <c r="E278" s="3">
        <v>1.28</v>
      </c>
      <c r="F278" s="3">
        <v>0.56</v>
      </c>
      <c r="G278" s="3">
        <v>22.79</v>
      </c>
    </row>
    <row r="279">
      <c r="A279" s="3">
        <v>167789.0</v>
      </c>
      <c r="B279" s="3" t="s">
        <v>300</v>
      </c>
      <c r="C279" s="3" t="s">
        <v>257</v>
      </c>
      <c r="D279" s="3">
        <v>73.0</v>
      </c>
      <c r="E279" s="3">
        <v>1.16</v>
      </c>
      <c r="F279" s="3">
        <v>0.66</v>
      </c>
      <c r="G279" s="3">
        <v>16.97</v>
      </c>
    </row>
    <row r="280">
      <c r="A280" s="3">
        <v>167790.0</v>
      </c>
      <c r="B280" s="3" t="s">
        <v>301</v>
      </c>
      <c r="C280" s="3" t="s">
        <v>257</v>
      </c>
      <c r="D280" s="3">
        <v>25.0</v>
      </c>
      <c r="E280" s="3">
        <v>0.22</v>
      </c>
      <c r="F280" s="3">
        <v>0.44</v>
      </c>
      <c r="G280" s="3">
        <v>5.9</v>
      </c>
    </row>
    <row r="281">
      <c r="A281" s="3">
        <v>167791.0</v>
      </c>
      <c r="B281" s="3" t="s">
        <v>302</v>
      </c>
      <c r="C281" s="3" t="s">
        <v>257</v>
      </c>
      <c r="D281" s="3">
        <v>44.0</v>
      </c>
      <c r="E281" s="3">
        <v>1.26</v>
      </c>
      <c r="F281" s="3">
        <v>1.78</v>
      </c>
      <c r="G281" s="3">
        <v>7.56</v>
      </c>
    </row>
    <row r="282">
      <c r="A282" s="3">
        <v>167792.0</v>
      </c>
      <c r="B282" s="3" t="s">
        <v>303</v>
      </c>
      <c r="C282" s="3" t="s">
        <v>257</v>
      </c>
      <c r="D282" s="3">
        <v>51.0</v>
      </c>
      <c r="E282" s="3">
        <v>0.08</v>
      </c>
      <c r="F282" s="3">
        <v>0.41</v>
      </c>
      <c r="G282" s="3">
        <v>12.2</v>
      </c>
    </row>
    <row r="283">
      <c r="A283" s="3">
        <v>167793.0</v>
      </c>
      <c r="B283" s="3" t="s">
        <v>304</v>
      </c>
      <c r="C283" s="3" t="s">
        <v>257</v>
      </c>
      <c r="D283" s="3">
        <v>63.0</v>
      </c>
      <c r="E283" s="3">
        <v>0.18</v>
      </c>
      <c r="F283" s="3">
        <v>0.2</v>
      </c>
      <c r="G283" s="3">
        <v>15.22</v>
      </c>
    </row>
    <row r="284">
      <c r="A284" s="3">
        <v>167794.0</v>
      </c>
      <c r="B284" s="3" t="s">
        <v>305</v>
      </c>
      <c r="C284" s="3" t="s">
        <v>257</v>
      </c>
      <c r="D284" s="3">
        <v>49.0</v>
      </c>
      <c r="E284" s="3">
        <v>0.12</v>
      </c>
      <c r="F284" s="3">
        <v>0.68</v>
      </c>
      <c r="G284" s="3">
        <v>11.54</v>
      </c>
    </row>
    <row r="285">
      <c r="A285" s="3">
        <v>167795.0</v>
      </c>
      <c r="B285" s="3" t="s">
        <v>306</v>
      </c>
      <c r="C285" s="3" t="s">
        <v>257</v>
      </c>
      <c r="D285" s="3">
        <v>63.0</v>
      </c>
      <c r="E285" s="3">
        <v>0.0</v>
      </c>
      <c r="F285" s="3">
        <v>0.42</v>
      </c>
      <c r="G285" s="3">
        <v>15.0</v>
      </c>
    </row>
    <row r="286">
      <c r="A286" s="3">
        <v>167796.0</v>
      </c>
      <c r="B286" s="3" t="s">
        <v>307</v>
      </c>
      <c r="C286" s="3" t="s">
        <v>257</v>
      </c>
      <c r="D286" s="3">
        <v>53.0</v>
      </c>
      <c r="E286" s="3">
        <v>0.26</v>
      </c>
      <c r="F286" s="3">
        <v>0.6</v>
      </c>
      <c r="G286" s="3">
        <v>12.53</v>
      </c>
    </row>
    <row r="287">
      <c r="A287" s="3">
        <v>167797.0</v>
      </c>
      <c r="B287" s="3" t="s">
        <v>308</v>
      </c>
      <c r="C287" s="3" t="s">
        <v>257</v>
      </c>
      <c r="D287" s="3">
        <v>46.0</v>
      </c>
      <c r="E287" s="3">
        <v>0.02</v>
      </c>
      <c r="F287" s="3">
        <v>0.63</v>
      </c>
      <c r="G287" s="3">
        <v>10.9</v>
      </c>
    </row>
    <row r="288">
      <c r="A288" s="3">
        <v>167798.0</v>
      </c>
      <c r="B288" s="3" t="s">
        <v>309</v>
      </c>
      <c r="C288" s="3" t="s">
        <v>257</v>
      </c>
      <c r="D288" s="3">
        <v>56.0</v>
      </c>
      <c r="E288" s="3">
        <v>0.33</v>
      </c>
      <c r="F288" s="3">
        <v>0.63</v>
      </c>
      <c r="G288" s="3">
        <v>13.04</v>
      </c>
    </row>
    <row r="289">
      <c r="A289" s="3">
        <v>167799.0</v>
      </c>
      <c r="B289" s="3" t="s">
        <v>310</v>
      </c>
      <c r="C289" s="3" t="s">
        <v>257</v>
      </c>
      <c r="D289" s="3">
        <v>52.0</v>
      </c>
      <c r="E289" s="3">
        <v>0.3</v>
      </c>
      <c r="F289" s="3">
        <v>0.44</v>
      </c>
      <c r="G289" s="3">
        <v>12.37</v>
      </c>
    </row>
    <row r="290">
      <c r="A290" s="3">
        <v>167800.0</v>
      </c>
      <c r="B290" s="3" t="s">
        <v>311</v>
      </c>
      <c r="C290" s="3" t="s">
        <v>257</v>
      </c>
      <c r="D290" s="3">
        <v>48.0</v>
      </c>
      <c r="E290" s="3">
        <v>0.17</v>
      </c>
      <c r="F290" s="3">
        <v>0.12</v>
      </c>
      <c r="G290" s="3">
        <v>11.49</v>
      </c>
    </row>
    <row r="291">
      <c r="A291" s="3">
        <v>167801.0</v>
      </c>
      <c r="B291" s="3" t="s">
        <v>312</v>
      </c>
      <c r="C291" s="3" t="s">
        <v>257</v>
      </c>
      <c r="D291" s="3">
        <v>24.0</v>
      </c>
      <c r="E291" s="3">
        <v>0.07</v>
      </c>
      <c r="F291" s="3">
        <v>0.4</v>
      </c>
      <c r="G291" s="3">
        <v>5.37</v>
      </c>
    </row>
    <row r="292">
      <c r="A292" s="3">
        <v>167802.0</v>
      </c>
      <c r="B292" s="3" t="s">
        <v>313</v>
      </c>
      <c r="C292" s="3" t="s">
        <v>257</v>
      </c>
      <c r="D292" s="3">
        <v>17.0</v>
      </c>
      <c r="E292" s="3">
        <v>0.07</v>
      </c>
      <c r="F292" s="3">
        <v>0.47</v>
      </c>
      <c r="G292" s="3">
        <v>5.66</v>
      </c>
    </row>
    <row r="293">
      <c r="A293" s="3">
        <v>167803.0</v>
      </c>
      <c r="B293" s="3" t="s">
        <v>314</v>
      </c>
      <c r="C293" s="3" t="s">
        <v>257</v>
      </c>
      <c r="D293" s="3">
        <v>158.0</v>
      </c>
      <c r="E293" s="3">
        <v>0.05</v>
      </c>
      <c r="F293" s="3">
        <v>0.75</v>
      </c>
      <c r="G293" s="3">
        <v>40.4</v>
      </c>
    </row>
    <row r="294">
      <c r="A294" s="3">
        <v>167804.0</v>
      </c>
      <c r="B294" s="3" t="s">
        <v>315</v>
      </c>
      <c r="C294" s="3" t="s">
        <v>257</v>
      </c>
      <c r="D294" s="3">
        <v>160.0</v>
      </c>
      <c r="E294" s="3">
        <v>0.04</v>
      </c>
      <c r="F294" s="3">
        <v>1.05</v>
      </c>
      <c r="G294" s="3">
        <v>40.61</v>
      </c>
    </row>
    <row r="295">
      <c r="A295" s="3">
        <v>167805.0</v>
      </c>
      <c r="B295" s="3" t="s">
        <v>316</v>
      </c>
      <c r="C295" s="3" t="s">
        <v>257</v>
      </c>
      <c r="D295" s="3">
        <v>44.0</v>
      </c>
      <c r="E295" s="3">
        <v>0.1</v>
      </c>
      <c r="F295" s="3">
        <v>0.5</v>
      </c>
      <c r="G295" s="3">
        <v>10.53</v>
      </c>
    </row>
    <row r="296">
      <c r="A296" s="3">
        <v>167806.0</v>
      </c>
      <c r="B296" s="3" t="s">
        <v>317</v>
      </c>
      <c r="C296" s="3" t="s">
        <v>318</v>
      </c>
      <c r="D296" s="3">
        <v>250.0</v>
      </c>
      <c r="E296" s="3">
        <v>0.47</v>
      </c>
      <c r="F296" s="3">
        <v>3.69</v>
      </c>
      <c r="G296" s="3">
        <v>79.65</v>
      </c>
    </row>
    <row r="297">
      <c r="A297" s="3">
        <v>167807.0</v>
      </c>
      <c r="B297" s="3" t="s">
        <v>319</v>
      </c>
      <c r="C297" s="3" t="s">
        <v>318</v>
      </c>
      <c r="D297" s="3">
        <v>59.0</v>
      </c>
      <c r="E297" s="3">
        <v>0.54</v>
      </c>
      <c r="F297" s="3">
        <v>0.31</v>
      </c>
      <c r="G297" s="3">
        <v>13.7</v>
      </c>
    </row>
    <row r="298">
      <c r="A298" s="3">
        <v>167808.0</v>
      </c>
      <c r="B298" s="3" t="s">
        <v>320</v>
      </c>
      <c r="C298" s="3" t="s">
        <v>318</v>
      </c>
      <c r="D298" s="3">
        <v>41.0</v>
      </c>
      <c r="E298" s="3">
        <v>0.87</v>
      </c>
      <c r="F298" s="3">
        <v>1.02</v>
      </c>
      <c r="G298" s="3">
        <v>7.99</v>
      </c>
    </row>
    <row r="299">
      <c r="A299" s="3">
        <v>167809.0</v>
      </c>
      <c r="B299" s="3" t="s">
        <v>321</v>
      </c>
      <c r="C299" s="3" t="s">
        <v>318</v>
      </c>
      <c r="D299" s="3">
        <v>55.0</v>
      </c>
      <c r="E299" s="3">
        <v>0.97</v>
      </c>
      <c r="F299" s="3">
        <v>1.1</v>
      </c>
      <c r="G299" s="3">
        <v>11.51</v>
      </c>
    </row>
    <row r="300">
      <c r="A300" s="3">
        <v>167810.0</v>
      </c>
      <c r="B300" s="3" t="s">
        <v>322</v>
      </c>
      <c r="C300" s="3" t="s">
        <v>189</v>
      </c>
      <c r="D300" s="3">
        <v>211.0</v>
      </c>
      <c r="E300" s="3">
        <v>14.79</v>
      </c>
      <c r="F300" s="3">
        <v>18.22</v>
      </c>
      <c r="G300" s="3">
        <v>0.0</v>
      </c>
    </row>
    <row r="301">
      <c r="A301" s="3">
        <v>167811.0</v>
      </c>
      <c r="B301" s="3" t="s">
        <v>323</v>
      </c>
      <c r="C301" s="3" t="s">
        <v>189</v>
      </c>
      <c r="D301" s="3">
        <v>812.0</v>
      </c>
      <c r="E301" s="3">
        <v>88.69</v>
      </c>
      <c r="F301" s="3">
        <v>2.92</v>
      </c>
      <c r="G301" s="3">
        <v>0.0</v>
      </c>
    </row>
    <row r="302">
      <c r="A302" s="3">
        <v>167812.0</v>
      </c>
      <c r="B302" s="3" t="s">
        <v>324</v>
      </c>
      <c r="C302" s="3" t="s">
        <v>189</v>
      </c>
      <c r="D302" s="3">
        <v>518.0</v>
      </c>
      <c r="E302" s="3">
        <v>53.01</v>
      </c>
      <c r="F302" s="3">
        <v>9.34</v>
      </c>
      <c r="G302" s="3">
        <v>0.0</v>
      </c>
    </row>
    <row r="303">
      <c r="A303" s="3">
        <v>167813.0</v>
      </c>
      <c r="B303" s="3" t="s">
        <v>325</v>
      </c>
      <c r="C303" s="3" t="s">
        <v>189</v>
      </c>
      <c r="D303" s="3">
        <v>632.0</v>
      </c>
      <c r="E303" s="3">
        <v>65.7</v>
      </c>
      <c r="F303" s="3">
        <v>9.25</v>
      </c>
      <c r="G303" s="3">
        <v>0.0</v>
      </c>
    </row>
    <row r="304">
      <c r="A304" s="3">
        <v>167814.0</v>
      </c>
      <c r="B304" s="3" t="s">
        <v>326</v>
      </c>
      <c r="C304" s="3" t="s">
        <v>189</v>
      </c>
      <c r="D304" s="3">
        <v>182.0</v>
      </c>
      <c r="E304" s="3">
        <v>10.63</v>
      </c>
      <c r="F304" s="3">
        <v>20.27</v>
      </c>
      <c r="G304" s="3">
        <v>0.0</v>
      </c>
    </row>
    <row r="305">
      <c r="A305" s="3">
        <v>167815.0</v>
      </c>
      <c r="B305" s="3" t="s">
        <v>327</v>
      </c>
      <c r="C305" s="3" t="s">
        <v>189</v>
      </c>
      <c r="D305" s="3">
        <v>209.0</v>
      </c>
      <c r="E305" s="3">
        <v>10.32</v>
      </c>
      <c r="F305" s="3">
        <v>27.03</v>
      </c>
      <c r="G305" s="3">
        <v>0.0</v>
      </c>
    </row>
    <row r="306">
      <c r="A306" s="3">
        <v>167816.0</v>
      </c>
      <c r="B306" s="3" t="s">
        <v>328</v>
      </c>
      <c r="C306" s="3" t="s">
        <v>189</v>
      </c>
      <c r="D306" s="3">
        <v>120.0</v>
      </c>
      <c r="E306" s="3">
        <v>2.93</v>
      </c>
      <c r="F306" s="3">
        <v>21.81</v>
      </c>
      <c r="G306" s="3">
        <v>0.0</v>
      </c>
    </row>
    <row r="307">
      <c r="A307" s="3">
        <v>167817.0</v>
      </c>
      <c r="B307" s="3" t="s">
        <v>329</v>
      </c>
      <c r="C307" s="3" t="s">
        <v>189</v>
      </c>
      <c r="D307" s="3">
        <v>165.0</v>
      </c>
      <c r="E307" s="3">
        <v>4.62</v>
      </c>
      <c r="F307" s="3">
        <v>28.86</v>
      </c>
      <c r="G307" s="3">
        <v>0.0</v>
      </c>
    </row>
    <row r="308">
      <c r="A308" s="3">
        <v>167818.0</v>
      </c>
      <c r="B308" s="3" t="s">
        <v>330</v>
      </c>
      <c r="C308" s="3" t="s">
        <v>189</v>
      </c>
      <c r="D308" s="3">
        <v>198.0</v>
      </c>
      <c r="E308" s="3">
        <v>12.58</v>
      </c>
      <c r="F308" s="3">
        <v>19.74</v>
      </c>
      <c r="G308" s="3">
        <v>0.0</v>
      </c>
    </row>
    <row r="309">
      <c r="A309" s="3">
        <v>167819.0</v>
      </c>
      <c r="B309" s="3" t="s">
        <v>331</v>
      </c>
      <c r="C309" s="3" t="s">
        <v>189</v>
      </c>
      <c r="D309" s="3">
        <v>239.0</v>
      </c>
      <c r="E309" s="3">
        <v>13.62</v>
      </c>
      <c r="F309" s="3">
        <v>27.23</v>
      </c>
      <c r="G309" s="3">
        <v>0.0</v>
      </c>
    </row>
    <row r="310">
      <c r="A310" s="3">
        <v>167820.0</v>
      </c>
      <c r="B310" s="3" t="s">
        <v>332</v>
      </c>
      <c r="C310" s="3" t="s">
        <v>189</v>
      </c>
      <c r="D310" s="3">
        <v>242.0</v>
      </c>
      <c r="E310" s="3">
        <v>13.92</v>
      </c>
      <c r="F310" s="3">
        <v>27.32</v>
      </c>
      <c r="G310" s="3">
        <v>0.0</v>
      </c>
    </row>
    <row r="311">
      <c r="A311" s="3">
        <v>167821.0</v>
      </c>
      <c r="B311" s="3" t="s">
        <v>333</v>
      </c>
      <c r="C311" s="3" t="s">
        <v>189</v>
      </c>
      <c r="D311" s="3">
        <v>248.0</v>
      </c>
      <c r="E311" s="3">
        <v>14.65</v>
      </c>
      <c r="F311" s="3">
        <v>27.09</v>
      </c>
      <c r="G311" s="3">
        <v>0.0</v>
      </c>
    </row>
    <row r="312">
      <c r="A312" s="3">
        <v>167822.0</v>
      </c>
      <c r="B312" s="3" t="s">
        <v>334</v>
      </c>
      <c r="C312" s="3" t="s">
        <v>189</v>
      </c>
      <c r="D312" s="3">
        <v>194.0</v>
      </c>
      <c r="E312" s="3">
        <v>12.27</v>
      </c>
      <c r="F312" s="3">
        <v>19.56</v>
      </c>
      <c r="G312" s="3">
        <v>0.0</v>
      </c>
    </row>
    <row r="313">
      <c r="A313" s="3">
        <v>167823.0</v>
      </c>
      <c r="B313" s="3" t="s">
        <v>335</v>
      </c>
      <c r="C313" s="3" t="s">
        <v>189</v>
      </c>
      <c r="D313" s="3">
        <v>255.0</v>
      </c>
      <c r="E313" s="3">
        <v>15.71</v>
      </c>
      <c r="F313" s="3">
        <v>26.54</v>
      </c>
      <c r="G313" s="3">
        <v>0.0</v>
      </c>
    </row>
    <row r="314">
      <c r="A314" s="3">
        <v>167824.0</v>
      </c>
      <c r="B314" s="3" t="s">
        <v>336</v>
      </c>
      <c r="C314" s="3" t="s">
        <v>189</v>
      </c>
      <c r="D314" s="3">
        <v>231.0</v>
      </c>
      <c r="E314" s="3">
        <v>14.35</v>
      </c>
      <c r="F314" s="3">
        <v>23.72</v>
      </c>
      <c r="G314" s="3">
        <v>0.0</v>
      </c>
    </row>
    <row r="315">
      <c r="A315" s="3">
        <v>167825.0</v>
      </c>
      <c r="B315" s="3" t="s">
        <v>337</v>
      </c>
      <c r="C315" s="3" t="s">
        <v>189</v>
      </c>
      <c r="D315" s="3">
        <v>254.0</v>
      </c>
      <c r="E315" s="3">
        <v>16.71</v>
      </c>
      <c r="F315" s="3">
        <v>24.29</v>
      </c>
      <c r="G315" s="3">
        <v>0.0</v>
      </c>
    </row>
    <row r="316">
      <c r="A316" s="3">
        <v>167826.0</v>
      </c>
      <c r="B316" s="3" t="s">
        <v>338</v>
      </c>
      <c r="C316" s="3" t="s">
        <v>189</v>
      </c>
      <c r="D316" s="3">
        <v>242.0</v>
      </c>
      <c r="E316" s="3">
        <v>13.51</v>
      </c>
      <c r="F316" s="3">
        <v>28.21</v>
      </c>
      <c r="G316" s="3">
        <v>0.0</v>
      </c>
    </row>
    <row r="317">
      <c r="A317" s="3">
        <v>167827.0</v>
      </c>
      <c r="B317" s="3" t="s">
        <v>339</v>
      </c>
      <c r="C317" s="3" t="s">
        <v>189</v>
      </c>
      <c r="D317" s="3">
        <v>209.0</v>
      </c>
      <c r="E317" s="3">
        <v>11.06</v>
      </c>
      <c r="F317" s="3">
        <v>25.61</v>
      </c>
      <c r="G317" s="3">
        <v>0.0</v>
      </c>
    </row>
    <row r="318">
      <c r="A318" s="3">
        <v>167828.0</v>
      </c>
      <c r="B318" s="3" t="s">
        <v>340</v>
      </c>
      <c r="C318" s="3" t="s">
        <v>189</v>
      </c>
      <c r="D318" s="3">
        <v>231.0</v>
      </c>
      <c r="E318" s="3">
        <v>12.8</v>
      </c>
      <c r="F318" s="3">
        <v>27.01</v>
      </c>
      <c r="G318" s="3">
        <v>0.0</v>
      </c>
    </row>
    <row r="319">
      <c r="A319" s="3">
        <v>167829.0</v>
      </c>
      <c r="B319" s="3" t="s">
        <v>341</v>
      </c>
      <c r="C319" s="3" t="s">
        <v>189</v>
      </c>
      <c r="D319" s="3">
        <v>127.0</v>
      </c>
      <c r="E319" s="3">
        <v>3.71</v>
      </c>
      <c r="F319" s="3">
        <v>21.99</v>
      </c>
      <c r="G319" s="3">
        <v>0.0</v>
      </c>
    </row>
    <row r="320">
      <c r="A320" s="3">
        <v>167830.0</v>
      </c>
      <c r="B320" s="3" t="s">
        <v>342</v>
      </c>
      <c r="C320" s="3" t="s">
        <v>189</v>
      </c>
      <c r="D320" s="3">
        <v>261.0</v>
      </c>
      <c r="E320" s="3">
        <v>16.28</v>
      </c>
      <c r="F320" s="3">
        <v>26.66</v>
      </c>
      <c r="G320" s="3">
        <v>0.0</v>
      </c>
    </row>
    <row r="321">
      <c r="A321" s="3">
        <v>167831.0</v>
      </c>
      <c r="B321" s="3" t="s">
        <v>343</v>
      </c>
      <c r="C321" s="3" t="s">
        <v>189</v>
      </c>
      <c r="D321" s="3">
        <v>222.0</v>
      </c>
      <c r="E321" s="3">
        <v>13.04</v>
      </c>
      <c r="F321" s="3">
        <v>24.42</v>
      </c>
      <c r="G321" s="3">
        <v>0.0</v>
      </c>
    </row>
    <row r="322">
      <c r="A322" s="3">
        <v>167832.0</v>
      </c>
      <c r="B322" s="3" t="s">
        <v>344</v>
      </c>
      <c r="C322" s="3" t="s">
        <v>189</v>
      </c>
      <c r="D322" s="3">
        <v>248.0</v>
      </c>
      <c r="E322" s="3">
        <v>14.68</v>
      </c>
      <c r="F322" s="3">
        <v>26.99</v>
      </c>
      <c r="G322" s="3">
        <v>0.0</v>
      </c>
    </row>
    <row r="323">
      <c r="A323" s="3">
        <v>167833.0</v>
      </c>
      <c r="B323" s="3" t="s">
        <v>345</v>
      </c>
      <c r="C323" s="3" t="s">
        <v>189</v>
      </c>
      <c r="D323" s="3">
        <v>136.0</v>
      </c>
      <c r="E323" s="3">
        <v>4.8</v>
      </c>
      <c r="F323" s="3">
        <v>21.79</v>
      </c>
      <c r="G323" s="3">
        <v>0.0</v>
      </c>
    </row>
    <row r="324">
      <c r="A324" s="3">
        <v>167834.0</v>
      </c>
      <c r="B324" s="3" t="s">
        <v>346</v>
      </c>
      <c r="C324" s="3" t="s">
        <v>189</v>
      </c>
      <c r="D324" s="3">
        <v>234.0</v>
      </c>
      <c r="E324" s="3">
        <v>12.31</v>
      </c>
      <c r="F324" s="3">
        <v>28.81</v>
      </c>
      <c r="G324" s="3">
        <v>0.0</v>
      </c>
    </row>
    <row r="325">
      <c r="A325" s="3">
        <v>167835.0</v>
      </c>
      <c r="B325" s="3" t="s">
        <v>347</v>
      </c>
      <c r="C325" s="3" t="s">
        <v>189</v>
      </c>
      <c r="D325" s="3">
        <v>222.0</v>
      </c>
      <c r="E325" s="3">
        <v>11.82</v>
      </c>
      <c r="F325" s="3">
        <v>26.96</v>
      </c>
      <c r="G325" s="3">
        <v>0.0</v>
      </c>
    </row>
    <row r="326">
      <c r="A326" s="3">
        <v>167836.0</v>
      </c>
      <c r="B326" s="3" t="s">
        <v>348</v>
      </c>
      <c r="C326" s="3" t="s">
        <v>189</v>
      </c>
      <c r="D326" s="3">
        <v>230.0</v>
      </c>
      <c r="E326" s="3">
        <v>12.87</v>
      </c>
      <c r="F326" s="3">
        <v>26.64</v>
      </c>
      <c r="G326" s="3">
        <v>0.0</v>
      </c>
    </row>
    <row r="327">
      <c r="A327" s="3">
        <v>167837.0</v>
      </c>
      <c r="B327" s="3" t="s">
        <v>349</v>
      </c>
      <c r="C327" s="3" t="s">
        <v>189</v>
      </c>
      <c r="D327" s="3">
        <v>129.0</v>
      </c>
      <c r="E327" s="3">
        <v>4.02</v>
      </c>
      <c r="F327" s="3">
        <v>21.65</v>
      </c>
      <c r="G327" s="3">
        <v>0.0</v>
      </c>
    </row>
    <row r="328">
      <c r="A328" s="3">
        <v>167838.0</v>
      </c>
      <c r="B328" s="3" t="s">
        <v>350</v>
      </c>
      <c r="C328" s="3" t="s">
        <v>189</v>
      </c>
      <c r="D328" s="3">
        <v>195.0</v>
      </c>
      <c r="E328" s="3">
        <v>6.9</v>
      </c>
      <c r="F328" s="3">
        <v>31.0</v>
      </c>
      <c r="G328" s="3">
        <v>0.0</v>
      </c>
    </row>
    <row r="329">
      <c r="A329" s="3">
        <v>167839.0</v>
      </c>
      <c r="B329" s="3" t="s">
        <v>351</v>
      </c>
      <c r="C329" s="3" t="s">
        <v>189</v>
      </c>
      <c r="D329" s="3">
        <v>155.0</v>
      </c>
      <c r="E329" s="3">
        <v>6.94</v>
      </c>
      <c r="F329" s="3">
        <v>21.55</v>
      </c>
      <c r="G329" s="3">
        <v>0.0</v>
      </c>
    </row>
    <row r="330">
      <c r="A330" s="3">
        <v>167840.0</v>
      </c>
      <c r="B330" s="3" t="s">
        <v>352</v>
      </c>
      <c r="C330" s="3" t="s">
        <v>189</v>
      </c>
      <c r="D330" s="3">
        <v>200.0</v>
      </c>
      <c r="E330" s="3">
        <v>8.31</v>
      </c>
      <c r="F330" s="3">
        <v>29.2</v>
      </c>
      <c r="G330" s="3">
        <v>0.0</v>
      </c>
    </row>
    <row r="331">
      <c r="A331" s="3">
        <v>167841.0</v>
      </c>
      <c r="B331" s="3" t="s">
        <v>353</v>
      </c>
      <c r="C331" s="3" t="s">
        <v>189</v>
      </c>
      <c r="D331" s="3">
        <v>196.0</v>
      </c>
      <c r="E331" s="3">
        <v>9.14</v>
      </c>
      <c r="F331" s="3">
        <v>26.62</v>
      </c>
      <c r="G331" s="3">
        <v>0.0</v>
      </c>
    </row>
    <row r="332">
      <c r="A332" s="3">
        <v>167842.0</v>
      </c>
      <c r="B332" s="3" t="s">
        <v>354</v>
      </c>
      <c r="C332" s="3" t="s">
        <v>189</v>
      </c>
      <c r="D332" s="3">
        <v>192.0</v>
      </c>
      <c r="E332" s="3">
        <v>8.82</v>
      </c>
      <c r="F332" s="3">
        <v>26.45</v>
      </c>
      <c r="G332" s="3">
        <v>0.0</v>
      </c>
    </row>
    <row r="333">
      <c r="A333" s="3">
        <v>167843.0</v>
      </c>
      <c r="B333" s="3" t="s">
        <v>355</v>
      </c>
      <c r="C333" s="3" t="s">
        <v>189</v>
      </c>
      <c r="D333" s="3">
        <v>236.0</v>
      </c>
      <c r="E333" s="3">
        <v>17.99</v>
      </c>
      <c r="F333" s="3">
        <v>17.18</v>
      </c>
      <c r="G333" s="3">
        <v>0.0</v>
      </c>
    </row>
    <row r="334">
      <c r="A334" s="3">
        <v>167844.0</v>
      </c>
      <c r="B334" s="3" t="s">
        <v>356</v>
      </c>
      <c r="C334" s="3" t="s">
        <v>189</v>
      </c>
      <c r="D334" s="3">
        <v>292.0</v>
      </c>
      <c r="E334" s="3">
        <v>21.39</v>
      </c>
      <c r="F334" s="3">
        <v>23.28</v>
      </c>
      <c r="G334" s="3">
        <v>0.0</v>
      </c>
    </row>
    <row r="335">
      <c r="A335" s="3">
        <v>167845.0</v>
      </c>
      <c r="B335" s="3" t="s">
        <v>357</v>
      </c>
      <c r="C335" s="3" t="s">
        <v>189</v>
      </c>
      <c r="D335" s="3">
        <v>148.0</v>
      </c>
      <c r="E335" s="3">
        <v>7.14</v>
      </c>
      <c r="F335" s="3">
        <v>19.55</v>
      </c>
      <c r="G335" s="3">
        <v>0.0</v>
      </c>
    </row>
    <row r="336">
      <c r="A336" s="3">
        <v>167846.0</v>
      </c>
      <c r="B336" s="3" t="s">
        <v>358</v>
      </c>
      <c r="C336" s="3" t="s">
        <v>189</v>
      </c>
      <c r="D336" s="3">
        <v>230.0</v>
      </c>
      <c r="E336" s="3">
        <v>13.54</v>
      </c>
      <c r="F336" s="3">
        <v>25.33</v>
      </c>
      <c r="G336" s="3">
        <v>0.0</v>
      </c>
    </row>
    <row r="337">
      <c r="A337" s="3">
        <v>167847.0</v>
      </c>
      <c r="B337" s="3" t="s">
        <v>359</v>
      </c>
      <c r="C337" s="3" t="s">
        <v>189</v>
      </c>
      <c r="D337" s="3">
        <v>194.0</v>
      </c>
      <c r="E337" s="3">
        <v>8.87</v>
      </c>
      <c r="F337" s="3">
        <v>26.76</v>
      </c>
      <c r="G337" s="3">
        <v>0.0</v>
      </c>
    </row>
    <row r="338">
      <c r="A338" s="3">
        <v>167848.0</v>
      </c>
      <c r="B338" s="3" t="s">
        <v>360</v>
      </c>
      <c r="C338" s="3" t="s">
        <v>189</v>
      </c>
      <c r="D338" s="3">
        <v>228.0</v>
      </c>
      <c r="E338" s="3">
        <v>12.62</v>
      </c>
      <c r="F338" s="3">
        <v>26.68</v>
      </c>
      <c r="G338" s="3">
        <v>0.0</v>
      </c>
    </row>
    <row r="339">
      <c r="A339" s="3">
        <v>167849.0</v>
      </c>
      <c r="B339" s="3" t="s">
        <v>361</v>
      </c>
      <c r="C339" s="3" t="s">
        <v>189</v>
      </c>
      <c r="D339" s="3">
        <v>186.0</v>
      </c>
      <c r="E339" s="3">
        <v>12.36</v>
      </c>
      <c r="F339" s="3">
        <v>17.42</v>
      </c>
      <c r="G339" s="3">
        <v>0.0</v>
      </c>
    </row>
    <row r="340">
      <c r="A340" s="3">
        <v>167850.0</v>
      </c>
      <c r="B340" s="3" t="s">
        <v>362</v>
      </c>
      <c r="C340" s="3" t="s">
        <v>189</v>
      </c>
      <c r="D340" s="3">
        <v>267.0</v>
      </c>
      <c r="E340" s="3">
        <v>17.69</v>
      </c>
      <c r="F340" s="3">
        <v>25.07</v>
      </c>
      <c r="G340" s="3">
        <v>0.0</v>
      </c>
    </row>
    <row r="341">
      <c r="A341" s="3">
        <v>167851.0</v>
      </c>
      <c r="B341" s="3" t="s">
        <v>363</v>
      </c>
      <c r="C341" s="3" t="s">
        <v>189</v>
      </c>
      <c r="D341" s="3">
        <v>259.0</v>
      </c>
      <c r="E341" s="3">
        <v>16.61</v>
      </c>
      <c r="F341" s="3">
        <v>25.58</v>
      </c>
      <c r="G341" s="3">
        <v>0.0</v>
      </c>
    </row>
    <row r="342">
      <c r="A342" s="3">
        <v>167852.0</v>
      </c>
      <c r="B342" s="3" t="s">
        <v>364</v>
      </c>
      <c r="C342" s="3" t="s">
        <v>189</v>
      </c>
      <c r="D342" s="3">
        <v>232.0</v>
      </c>
      <c r="E342" s="3">
        <v>14.3</v>
      </c>
      <c r="F342" s="3">
        <v>24.21</v>
      </c>
      <c r="G342" s="3">
        <v>0.0</v>
      </c>
    </row>
    <row r="343">
      <c r="A343" s="3">
        <v>167853.0</v>
      </c>
      <c r="B343" s="3" t="s">
        <v>365</v>
      </c>
      <c r="C343" s="3" t="s">
        <v>189</v>
      </c>
      <c r="D343" s="3">
        <v>277.0</v>
      </c>
      <c r="E343" s="3">
        <v>23.4</v>
      </c>
      <c r="F343" s="3">
        <v>15.47</v>
      </c>
      <c r="G343" s="3">
        <v>0.0</v>
      </c>
    </row>
    <row r="344">
      <c r="A344" s="3">
        <v>167854.0</v>
      </c>
      <c r="B344" s="3" t="s">
        <v>366</v>
      </c>
      <c r="C344" s="3" t="s">
        <v>189</v>
      </c>
      <c r="D344" s="3">
        <v>397.0</v>
      </c>
      <c r="E344" s="3">
        <v>30.3</v>
      </c>
      <c r="F344" s="3">
        <v>29.06</v>
      </c>
      <c r="G344" s="3">
        <v>0.0</v>
      </c>
    </row>
    <row r="345">
      <c r="A345" s="3">
        <v>167855.0</v>
      </c>
      <c r="B345" s="3" t="s">
        <v>367</v>
      </c>
      <c r="C345" s="3" t="s">
        <v>189</v>
      </c>
      <c r="D345" s="3">
        <v>201.0</v>
      </c>
      <c r="E345" s="3">
        <v>9.21</v>
      </c>
      <c r="F345" s="3">
        <v>27.51</v>
      </c>
      <c r="G345" s="3">
        <v>0.0</v>
      </c>
    </row>
    <row r="346">
      <c r="A346" s="3">
        <v>167856.0</v>
      </c>
      <c r="B346" s="3" t="s">
        <v>368</v>
      </c>
      <c r="C346" s="3" t="s">
        <v>189</v>
      </c>
      <c r="D346" s="3">
        <v>233.0</v>
      </c>
      <c r="E346" s="3">
        <v>20.32</v>
      </c>
      <c r="F346" s="3">
        <v>12.49</v>
      </c>
      <c r="G346" s="3">
        <v>0.0</v>
      </c>
    </row>
    <row r="347">
      <c r="A347" s="3">
        <v>167857.0</v>
      </c>
      <c r="B347" s="3" t="s">
        <v>369</v>
      </c>
      <c r="C347" s="3" t="s">
        <v>189</v>
      </c>
      <c r="D347" s="3">
        <v>234.0</v>
      </c>
      <c r="E347" s="3">
        <v>15.1</v>
      </c>
      <c r="F347" s="3">
        <v>22.45</v>
      </c>
      <c r="G347" s="3">
        <v>0.6</v>
      </c>
    </row>
    <row r="348">
      <c r="A348" s="3">
        <v>167858.0</v>
      </c>
      <c r="B348" s="3" t="s">
        <v>370</v>
      </c>
      <c r="C348" s="3" t="s">
        <v>189</v>
      </c>
      <c r="D348" s="3">
        <v>166.0</v>
      </c>
      <c r="E348" s="3">
        <v>10.8</v>
      </c>
      <c r="F348" s="3">
        <v>15.95</v>
      </c>
      <c r="G348" s="3">
        <v>0.2</v>
      </c>
    </row>
    <row r="349">
      <c r="A349" s="3">
        <v>167859.0</v>
      </c>
      <c r="B349" s="3" t="s">
        <v>371</v>
      </c>
      <c r="C349" s="3" t="s">
        <v>189</v>
      </c>
      <c r="D349" s="3">
        <v>212.0</v>
      </c>
      <c r="E349" s="3">
        <v>12.59</v>
      </c>
      <c r="F349" s="3">
        <v>23.16</v>
      </c>
      <c r="G349" s="3">
        <v>0.0</v>
      </c>
    </row>
    <row r="350">
      <c r="A350" s="3">
        <v>167860.0</v>
      </c>
      <c r="B350" s="3" t="s">
        <v>372</v>
      </c>
      <c r="C350" s="3" t="s">
        <v>189</v>
      </c>
      <c r="D350" s="3">
        <v>151.0</v>
      </c>
      <c r="E350" s="3">
        <v>4.7</v>
      </c>
      <c r="F350" s="3">
        <v>25.4</v>
      </c>
      <c r="G350" s="3">
        <v>0.0</v>
      </c>
    </row>
    <row r="351">
      <c r="A351" s="3">
        <v>167861.0</v>
      </c>
      <c r="B351" s="3" t="s">
        <v>373</v>
      </c>
      <c r="C351" s="3" t="s">
        <v>189</v>
      </c>
      <c r="D351" s="3">
        <v>857.0</v>
      </c>
      <c r="E351" s="3">
        <v>94.16</v>
      </c>
      <c r="F351" s="3">
        <v>1.76</v>
      </c>
      <c r="G351" s="3">
        <v>0.0</v>
      </c>
    </row>
    <row r="352">
      <c r="A352" s="3">
        <v>167862.0</v>
      </c>
      <c r="B352" s="3" t="s">
        <v>374</v>
      </c>
      <c r="C352" s="3" t="s">
        <v>189</v>
      </c>
      <c r="D352" s="3">
        <v>134.0</v>
      </c>
      <c r="E352" s="3">
        <v>3.65</v>
      </c>
      <c r="F352" s="3">
        <v>21.39</v>
      </c>
      <c r="G352" s="3">
        <v>2.47</v>
      </c>
    </row>
    <row r="353">
      <c r="A353" s="3">
        <v>167863.0</v>
      </c>
      <c r="B353" s="3" t="s">
        <v>375</v>
      </c>
      <c r="C353" s="3" t="s">
        <v>189</v>
      </c>
      <c r="D353" s="3">
        <v>165.0</v>
      </c>
      <c r="E353" s="3">
        <v>4.4</v>
      </c>
      <c r="F353" s="3">
        <v>26.02</v>
      </c>
      <c r="G353" s="3">
        <v>3.76</v>
      </c>
    </row>
    <row r="354">
      <c r="A354" s="3">
        <v>167864.0</v>
      </c>
      <c r="B354" s="3" t="s">
        <v>376</v>
      </c>
      <c r="C354" s="3" t="s">
        <v>189</v>
      </c>
      <c r="D354" s="3">
        <v>85.0</v>
      </c>
      <c r="E354" s="3">
        <v>2.72</v>
      </c>
      <c r="F354" s="3">
        <v>14.08</v>
      </c>
      <c r="G354" s="3">
        <v>0.0</v>
      </c>
    </row>
    <row r="355">
      <c r="A355" s="3">
        <v>167865.0</v>
      </c>
      <c r="B355" s="3" t="s">
        <v>377</v>
      </c>
      <c r="C355" s="3" t="s">
        <v>189</v>
      </c>
      <c r="D355" s="3">
        <v>100.0</v>
      </c>
      <c r="E355" s="3">
        <v>2.59</v>
      </c>
      <c r="F355" s="3">
        <v>17.86</v>
      </c>
      <c r="G355" s="3">
        <v>0.0</v>
      </c>
    </row>
    <row r="356">
      <c r="A356" s="3">
        <v>167866.0</v>
      </c>
      <c r="B356" s="3" t="s">
        <v>378</v>
      </c>
      <c r="C356" s="3" t="s">
        <v>189</v>
      </c>
      <c r="D356" s="3">
        <v>149.0</v>
      </c>
      <c r="E356" s="3">
        <v>3.2</v>
      </c>
      <c r="F356" s="3">
        <v>28.2</v>
      </c>
      <c r="G356" s="3">
        <v>0.0</v>
      </c>
    </row>
    <row r="357">
      <c r="A357" s="3">
        <v>167867.0</v>
      </c>
      <c r="B357" s="3" t="s">
        <v>379</v>
      </c>
      <c r="C357" s="3" t="s">
        <v>189</v>
      </c>
      <c r="D357" s="3">
        <v>159.0</v>
      </c>
      <c r="E357" s="3">
        <v>10.14</v>
      </c>
      <c r="F357" s="3">
        <v>16.85</v>
      </c>
      <c r="G357" s="3">
        <v>0.0</v>
      </c>
    </row>
    <row r="358">
      <c r="A358" s="3">
        <v>167868.0</v>
      </c>
      <c r="B358" s="3" t="s">
        <v>380</v>
      </c>
      <c r="C358" s="3" t="s">
        <v>189</v>
      </c>
      <c r="D358" s="3">
        <v>222.0</v>
      </c>
      <c r="E358" s="3">
        <v>12.14</v>
      </c>
      <c r="F358" s="3">
        <v>26.38</v>
      </c>
      <c r="G358" s="3">
        <v>0.0</v>
      </c>
    </row>
    <row r="359">
      <c r="A359" s="3">
        <v>167869.0</v>
      </c>
      <c r="B359" s="3" t="s">
        <v>381</v>
      </c>
      <c r="C359" s="3" t="s">
        <v>189</v>
      </c>
      <c r="D359" s="3">
        <v>110.0</v>
      </c>
      <c r="E359" s="3">
        <v>2.62</v>
      </c>
      <c r="F359" s="3">
        <v>20.31</v>
      </c>
      <c r="G359" s="3">
        <v>1.34</v>
      </c>
    </row>
    <row r="360">
      <c r="A360" s="3">
        <v>167870.0</v>
      </c>
      <c r="B360" s="3" t="s">
        <v>382</v>
      </c>
      <c r="C360" s="3" t="s">
        <v>189</v>
      </c>
      <c r="D360" s="3">
        <v>140.0</v>
      </c>
      <c r="E360" s="3">
        <v>10.02</v>
      </c>
      <c r="F360" s="3">
        <v>11.63</v>
      </c>
      <c r="G360" s="3">
        <v>0.01</v>
      </c>
    </row>
    <row r="361">
      <c r="A361" s="3">
        <v>167871.0</v>
      </c>
      <c r="B361" s="3" t="s">
        <v>383</v>
      </c>
      <c r="C361" s="3" t="s">
        <v>189</v>
      </c>
      <c r="D361" s="3">
        <v>145.0</v>
      </c>
      <c r="E361" s="3">
        <v>5.53</v>
      </c>
      <c r="F361" s="3">
        <v>20.93</v>
      </c>
      <c r="G361" s="3">
        <v>1.5</v>
      </c>
    </row>
    <row r="362">
      <c r="A362" s="3">
        <v>167872.0</v>
      </c>
      <c r="B362" s="3" t="s">
        <v>384</v>
      </c>
      <c r="C362" s="3" t="s">
        <v>189</v>
      </c>
      <c r="D362" s="3">
        <v>178.0</v>
      </c>
      <c r="E362" s="3">
        <v>9.02</v>
      </c>
      <c r="F362" s="3">
        <v>22.62</v>
      </c>
      <c r="G362" s="3">
        <v>0.0</v>
      </c>
    </row>
    <row r="363">
      <c r="A363" s="3">
        <v>167873.0</v>
      </c>
      <c r="B363" s="3" t="s">
        <v>385</v>
      </c>
      <c r="C363" s="3" t="s">
        <v>189</v>
      </c>
      <c r="D363" s="3">
        <v>315.0</v>
      </c>
      <c r="E363" s="3">
        <v>28.19</v>
      </c>
      <c r="F363" s="3">
        <v>12.78</v>
      </c>
      <c r="G363" s="3">
        <v>1.69</v>
      </c>
    </row>
    <row r="364">
      <c r="A364" s="3">
        <v>167874.0</v>
      </c>
      <c r="B364" s="3" t="s">
        <v>386</v>
      </c>
      <c r="C364" s="3" t="s">
        <v>189</v>
      </c>
      <c r="D364" s="3">
        <v>122.0</v>
      </c>
      <c r="E364" s="3">
        <v>4.25</v>
      </c>
      <c r="F364" s="3">
        <v>19.56</v>
      </c>
      <c r="G364" s="3">
        <v>0.0</v>
      </c>
    </row>
    <row r="365">
      <c r="A365" s="3">
        <v>167875.0</v>
      </c>
      <c r="B365" s="3" t="s">
        <v>387</v>
      </c>
      <c r="C365" s="3" t="s">
        <v>189</v>
      </c>
      <c r="D365" s="3">
        <v>246.0</v>
      </c>
      <c r="E365" s="3">
        <v>18.52</v>
      </c>
      <c r="F365" s="3">
        <v>18.49</v>
      </c>
      <c r="G365" s="3">
        <v>0.06</v>
      </c>
    </row>
    <row r="366">
      <c r="A366" s="3">
        <v>167876.0</v>
      </c>
      <c r="B366" s="3" t="s">
        <v>388</v>
      </c>
      <c r="C366" s="3" t="s">
        <v>189</v>
      </c>
      <c r="D366" s="3">
        <v>147.0</v>
      </c>
      <c r="E366" s="3">
        <v>5.71</v>
      </c>
      <c r="F366" s="3">
        <v>22.32</v>
      </c>
      <c r="G366" s="3">
        <v>0.05</v>
      </c>
    </row>
    <row r="367">
      <c r="A367" s="3">
        <v>167877.0</v>
      </c>
      <c r="B367" s="3" t="s">
        <v>389</v>
      </c>
      <c r="C367" s="3" t="s">
        <v>189</v>
      </c>
      <c r="D367" s="3">
        <v>579.0</v>
      </c>
      <c r="E367" s="3">
        <v>61.41</v>
      </c>
      <c r="F367" s="3">
        <v>5.68</v>
      </c>
      <c r="G367" s="3">
        <v>0.09</v>
      </c>
    </row>
    <row r="368">
      <c r="A368" s="3">
        <v>167878.0</v>
      </c>
      <c r="B368" s="3" t="s">
        <v>390</v>
      </c>
      <c r="C368" s="3" t="s">
        <v>189</v>
      </c>
      <c r="D368" s="3">
        <v>591.0</v>
      </c>
      <c r="E368" s="3">
        <v>61.86</v>
      </c>
      <c r="F368" s="3">
        <v>7.64</v>
      </c>
      <c r="G368" s="3">
        <v>0.0</v>
      </c>
    </row>
    <row r="369">
      <c r="A369" s="3">
        <v>167879.0</v>
      </c>
      <c r="B369" s="3" t="s">
        <v>391</v>
      </c>
      <c r="C369" s="3" t="s">
        <v>189</v>
      </c>
      <c r="D369" s="3">
        <v>280.0</v>
      </c>
      <c r="E369" s="3">
        <v>21.35</v>
      </c>
      <c r="F369" s="3">
        <v>20.43</v>
      </c>
      <c r="G369" s="3">
        <v>0.0</v>
      </c>
    </row>
    <row r="370">
      <c r="A370" s="3">
        <v>167880.0</v>
      </c>
      <c r="B370" s="3" t="s">
        <v>392</v>
      </c>
      <c r="C370" s="3" t="s">
        <v>189</v>
      </c>
      <c r="D370" s="3">
        <v>170.0</v>
      </c>
      <c r="E370" s="3">
        <v>7.04</v>
      </c>
      <c r="F370" s="3">
        <v>24.94</v>
      </c>
      <c r="G370" s="3">
        <v>0.0</v>
      </c>
    </row>
    <row r="371">
      <c r="A371" s="3">
        <v>167881.0</v>
      </c>
      <c r="B371" s="3" t="s">
        <v>393</v>
      </c>
      <c r="C371" s="3" t="s">
        <v>189</v>
      </c>
      <c r="D371" s="3">
        <v>396.0</v>
      </c>
      <c r="E371" s="3">
        <v>35.8</v>
      </c>
      <c r="F371" s="3">
        <v>17.0</v>
      </c>
      <c r="G371" s="3">
        <v>0.0</v>
      </c>
    </row>
    <row r="372">
      <c r="A372" s="3">
        <v>167882.0</v>
      </c>
      <c r="B372" s="3" t="s">
        <v>394</v>
      </c>
      <c r="C372" s="3" t="s">
        <v>189</v>
      </c>
      <c r="D372" s="3">
        <v>195.0</v>
      </c>
      <c r="E372" s="3">
        <v>7.66</v>
      </c>
      <c r="F372" s="3">
        <v>29.56</v>
      </c>
      <c r="G372" s="3">
        <v>0.0</v>
      </c>
    </row>
    <row r="373">
      <c r="A373" s="3">
        <v>167883.0</v>
      </c>
      <c r="B373" s="3" t="s">
        <v>395</v>
      </c>
      <c r="C373" s="3" t="s">
        <v>189</v>
      </c>
      <c r="D373" s="3">
        <v>211.0</v>
      </c>
      <c r="E373" s="3">
        <v>9.73</v>
      </c>
      <c r="F373" s="3">
        <v>28.84</v>
      </c>
      <c r="G373" s="3">
        <v>0.0</v>
      </c>
    </row>
    <row r="374">
      <c r="A374" s="3">
        <v>167884.0</v>
      </c>
      <c r="B374" s="3" t="s">
        <v>396</v>
      </c>
      <c r="C374" s="3" t="s">
        <v>189</v>
      </c>
      <c r="D374" s="3">
        <v>256.0</v>
      </c>
      <c r="E374" s="3">
        <v>16.56</v>
      </c>
      <c r="F374" s="3">
        <v>25.02</v>
      </c>
      <c r="G374" s="3">
        <v>0.0</v>
      </c>
    </row>
    <row r="375">
      <c r="A375" s="3">
        <v>167885.0</v>
      </c>
      <c r="B375" s="3" t="s">
        <v>397</v>
      </c>
      <c r="C375" s="3" t="s">
        <v>189</v>
      </c>
      <c r="D375" s="3">
        <v>144.0</v>
      </c>
      <c r="E375" s="3">
        <v>7.46</v>
      </c>
      <c r="F375" s="3">
        <v>17.97</v>
      </c>
      <c r="G375" s="3">
        <v>0.0</v>
      </c>
    </row>
    <row r="376">
      <c r="A376" s="3">
        <v>167886.0</v>
      </c>
      <c r="B376" s="3" t="s">
        <v>398</v>
      </c>
      <c r="C376" s="3" t="s">
        <v>189</v>
      </c>
      <c r="D376" s="3">
        <v>167.0</v>
      </c>
      <c r="E376" s="3">
        <v>8.43</v>
      </c>
      <c r="F376" s="3">
        <v>20.94</v>
      </c>
      <c r="G376" s="3">
        <v>0.49</v>
      </c>
    </row>
    <row r="377">
      <c r="A377" s="3">
        <v>167887.0</v>
      </c>
      <c r="B377" s="3" t="s">
        <v>399</v>
      </c>
      <c r="C377" s="3" t="s">
        <v>189</v>
      </c>
      <c r="D377" s="3">
        <v>196.0</v>
      </c>
      <c r="E377" s="3">
        <v>7.86</v>
      </c>
      <c r="F377" s="3">
        <v>29.36</v>
      </c>
      <c r="G377" s="3">
        <v>0.0</v>
      </c>
    </row>
    <row r="378">
      <c r="A378" s="3">
        <v>167888.0</v>
      </c>
      <c r="B378" s="3" t="s">
        <v>400</v>
      </c>
      <c r="C378" s="3" t="s">
        <v>189</v>
      </c>
      <c r="D378" s="3">
        <v>216.0</v>
      </c>
      <c r="E378" s="3">
        <v>14.95</v>
      </c>
      <c r="F378" s="3">
        <v>18.95</v>
      </c>
      <c r="G378" s="3">
        <v>0.0</v>
      </c>
    </row>
    <row r="379">
      <c r="A379" s="3">
        <v>167889.0</v>
      </c>
      <c r="B379" s="3" t="s">
        <v>401</v>
      </c>
      <c r="C379" s="3" t="s">
        <v>189</v>
      </c>
      <c r="D379" s="3">
        <v>211.0</v>
      </c>
      <c r="E379" s="3">
        <v>14.01</v>
      </c>
      <c r="F379" s="3">
        <v>19.9</v>
      </c>
      <c r="G379" s="3">
        <v>0.0</v>
      </c>
    </row>
    <row r="380">
      <c r="A380" s="3">
        <v>167890.0</v>
      </c>
      <c r="B380" s="3" t="s">
        <v>402</v>
      </c>
      <c r="C380" s="3" t="s">
        <v>189</v>
      </c>
      <c r="D380" s="3">
        <v>255.0</v>
      </c>
      <c r="E380" s="3">
        <v>15.79</v>
      </c>
      <c r="F380" s="3">
        <v>26.29</v>
      </c>
      <c r="G380" s="3">
        <v>0.0</v>
      </c>
    </row>
    <row r="381">
      <c r="A381" s="3">
        <v>167891.0</v>
      </c>
      <c r="B381" s="3" t="s">
        <v>403</v>
      </c>
      <c r="C381" s="3" t="s">
        <v>189</v>
      </c>
      <c r="D381" s="3">
        <v>260.0</v>
      </c>
      <c r="E381" s="3">
        <v>15.76</v>
      </c>
      <c r="F381" s="3">
        <v>27.63</v>
      </c>
      <c r="G381" s="3">
        <v>0.0</v>
      </c>
    </row>
    <row r="382">
      <c r="A382" s="3">
        <v>167892.0</v>
      </c>
      <c r="B382" s="3" t="s">
        <v>404</v>
      </c>
      <c r="C382" s="3" t="s">
        <v>189</v>
      </c>
      <c r="D382" s="3">
        <v>273.0</v>
      </c>
      <c r="E382" s="3">
        <v>18.05</v>
      </c>
      <c r="F382" s="3">
        <v>25.82</v>
      </c>
      <c r="G382" s="3">
        <v>0.0</v>
      </c>
    </row>
    <row r="383">
      <c r="A383" s="3">
        <v>167893.0</v>
      </c>
      <c r="B383" s="3" t="s">
        <v>405</v>
      </c>
      <c r="C383" s="3" t="s">
        <v>189</v>
      </c>
      <c r="D383" s="3">
        <v>224.0</v>
      </c>
      <c r="E383" s="3">
        <v>11.8</v>
      </c>
      <c r="F383" s="3">
        <v>27.68</v>
      </c>
      <c r="G383" s="3">
        <v>0.0</v>
      </c>
    </row>
    <row r="384">
      <c r="A384" s="3">
        <v>167894.0</v>
      </c>
      <c r="B384" s="3" t="s">
        <v>406</v>
      </c>
      <c r="C384" s="3" t="s">
        <v>189</v>
      </c>
      <c r="D384" s="3">
        <v>214.0</v>
      </c>
      <c r="E384" s="3">
        <v>10.13</v>
      </c>
      <c r="F384" s="3">
        <v>28.81</v>
      </c>
      <c r="G384" s="3">
        <v>0.0</v>
      </c>
    </row>
    <row r="385">
      <c r="A385" s="3">
        <v>167895.0</v>
      </c>
      <c r="B385" s="3" t="s">
        <v>407</v>
      </c>
      <c r="C385" s="3" t="s">
        <v>189</v>
      </c>
      <c r="D385" s="3">
        <v>189.0</v>
      </c>
      <c r="E385" s="3">
        <v>11.82</v>
      </c>
      <c r="F385" s="3">
        <v>19.34</v>
      </c>
      <c r="G385" s="3">
        <v>0.0</v>
      </c>
    </row>
    <row r="386">
      <c r="A386" s="3">
        <v>167896.0</v>
      </c>
      <c r="B386" s="3" t="s">
        <v>408</v>
      </c>
      <c r="C386" s="3" t="s">
        <v>189</v>
      </c>
      <c r="D386" s="3">
        <v>273.0</v>
      </c>
      <c r="E386" s="3">
        <v>17.71</v>
      </c>
      <c r="F386" s="3">
        <v>26.49</v>
      </c>
      <c r="G386" s="3">
        <v>0.0</v>
      </c>
    </row>
    <row r="387">
      <c r="A387" s="3">
        <v>167897.0</v>
      </c>
      <c r="B387" s="3" t="s">
        <v>409</v>
      </c>
      <c r="C387" s="3" t="s">
        <v>189</v>
      </c>
      <c r="D387" s="3">
        <v>359.0</v>
      </c>
      <c r="E387" s="3">
        <v>29.46</v>
      </c>
      <c r="F387" s="3">
        <v>21.75</v>
      </c>
      <c r="G387" s="3">
        <v>0.0</v>
      </c>
    </row>
    <row r="388">
      <c r="A388" s="3">
        <v>167898.0</v>
      </c>
      <c r="B388" s="3" t="s">
        <v>410</v>
      </c>
      <c r="C388" s="3" t="s">
        <v>189</v>
      </c>
      <c r="D388" s="3">
        <v>171.0</v>
      </c>
      <c r="E388" s="3">
        <v>5.47</v>
      </c>
      <c r="F388" s="3">
        <v>28.41</v>
      </c>
      <c r="G388" s="3">
        <v>0.0</v>
      </c>
    </row>
    <row r="389">
      <c r="A389" s="3">
        <v>167899.0</v>
      </c>
      <c r="B389" s="3" t="s">
        <v>411</v>
      </c>
      <c r="C389" s="3" t="s">
        <v>189</v>
      </c>
      <c r="D389" s="3">
        <v>170.0</v>
      </c>
      <c r="E389" s="3">
        <v>5.53</v>
      </c>
      <c r="F389" s="3">
        <v>28.19</v>
      </c>
      <c r="G389" s="3">
        <v>0.0</v>
      </c>
    </row>
    <row r="390">
      <c r="A390" s="3">
        <v>167900.0</v>
      </c>
      <c r="B390" s="3" t="s">
        <v>412</v>
      </c>
      <c r="C390" s="3" t="s">
        <v>189</v>
      </c>
      <c r="D390" s="3">
        <v>192.0</v>
      </c>
      <c r="E390" s="3">
        <v>7.32</v>
      </c>
      <c r="F390" s="3">
        <v>29.62</v>
      </c>
      <c r="G390" s="3">
        <v>0.0</v>
      </c>
    </row>
    <row r="391">
      <c r="A391" s="3">
        <v>167901.0</v>
      </c>
      <c r="B391" s="3" t="s">
        <v>413</v>
      </c>
      <c r="C391" s="3" t="s">
        <v>189</v>
      </c>
      <c r="D391" s="3">
        <v>121.0</v>
      </c>
      <c r="E391" s="3">
        <v>2.59</v>
      </c>
      <c r="F391" s="3">
        <v>22.81</v>
      </c>
      <c r="G391" s="3">
        <v>0.0</v>
      </c>
    </row>
    <row r="392">
      <c r="A392" s="3">
        <v>167902.0</v>
      </c>
      <c r="B392" s="3" t="s">
        <v>414</v>
      </c>
      <c r="C392" s="3" t="s">
        <v>189</v>
      </c>
      <c r="D392" s="3">
        <v>263.0</v>
      </c>
      <c r="E392" s="3">
        <v>21.19</v>
      </c>
      <c r="F392" s="3">
        <v>16.88</v>
      </c>
      <c r="G392" s="3">
        <v>0.0</v>
      </c>
    </row>
    <row r="393">
      <c r="A393" s="3">
        <v>167903.0</v>
      </c>
      <c r="B393" s="3" t="s">
        <v>415</v>
      </c>
      <c r="C393" s="3" t="s">
        <v>189</v>
      </c>
      <c r="D393" s="3">
        <v>297.0</v>
      </c>
      <c r="E393" s="3">
        <v>20.77</v>
      </c>
      <c r="F393" s="3">
        <v>25.69</v>
      </c>
      <c r="G393" s="3">
        <v>0.0</v>
      </c>
    </row>
    <row r="394">
      <c r="A394" s="3">
        <v>167904.0</v>
      </c>
      <c r="B394" s="3" t="s">
        <v>416</v>
      </c>
      <c r="C394" s="3" t="s">
        <v>189</v>
      </c>
      <c r="D394" s="3">
        <v>201.0</v>
      </c>
      <c r="E394" s="3">
        <v>8.11</v>
      </c>
      <c r="F394" s="3">
        <v>29.86</v>
      </c>
      <c r="G394" s="3">
        <v>0.0</v>
      </c>
    </row>
    <row r="395">
      <c r="A395" s="3">
        <v>167905.0</v>
      </c>
      <c r="B395" s="3" t="s">
        <v>417</v>
      </c>
      <c r="C395" s="3" t="s">
        <v>189</v>
      </c>
      <c r="D395" s="3">
        <v>147.0</v>
      </c>
      <c r="E395" s="3">
        <v>3.96</v>
      </c>
      <c r="F395" s="3">
        <v>26.04</v>
      </c>
      <c r="G395" s="3">
        <v>0.0</v>
      </c>
    </row>
    <row r="396">
      <c r="A396" s="3">
        <v>167906.0</v>
      </c>
      <c r="B396" s="3" t="s">
        <v>418</v>
      </c>
      <c r="C396" s="3" t="s">
        <v>189</v>
      </c>
      <c r="D396" s="3">
        <v>235.0</v>
      </c>
      <c r="E396" s="3">
        <v>13.66</v>
      </c>
      <c r="F396" s="3">
        <v>26.07</v>
      </c>
      <c r="G396" s="3">
        <v>0.0</v>
      </c>
    </row>
    <row r="397">
      <c r="A397" s="3">
        <v>167907.0</v>
      </c>
      <c r="B397" s="3" t="s">
        <v>419</v>
      </c>
      <c r="C397" s="3" t="s">
        <v>189</v>
      </c>
      <c r="D397" s="3">
        <v>144.0</v>
      </c>
      <c r="E397" s="3">
        <v>5.88</v>
      </c>
      <c r="F397" s="3">
        <v>21.23</v>
      </c>
      <c r="G397" s="3">
        <v>0.0</v>
      </c>
    </row>
    <row r="398">
      <c r="A398" s="3">
        <v>167908.0</v>
      </c>
      <c r="B398" s="3" t="s">
        <v>420</v>
      </c>
      <c r="C398" s="3" t="s">
        <v>189</v>
      </c>
      <c r="D398" s="3">
        <v>211.0</v>
      </c>
      <c r="E398" s="3">
        <v>9.44</v>
      </c>
      <c r="F398" s="3">
        <v>29.47</v>
      </c>
      <c r="G398" s="3">
        <v>0.0</v>
      </c>
    </row>
    <row r="399">
      <c r="A399" s="3">
        <v>167909.0</v>
      </c>
      <c r="B399" s="3" t="s">
        <v>421</v>
      </c>
      <c r="C399" s="3" t="s">
        <v>189</v>
      </c>
      <c r="D399" s="3">
        <v>106.0</v>
      </c>
      <c r="E399" s="3">
        <v>3.59</v>
      </c>
      <c r="F399" s="3">
        <v>18.43</v>
      </c>
      <c r="G399" s="3">
        <v>0.21</v>
      </c>
    </row>
    <row r="400">
      <c r="A400" s="3">
        <v>167910.0</v>
      </c>
      <c r="B400" s="3" t="s">
        <v>422</v>
      </c>
      <c r="C400" s="3" t="s">
        <v>189</v>
      </c>
      <c r="D400" s="3">
        <v>119.0</v>
      </c>
      <c r="E400" s="3">
        <v>3.07</v>
      </c>
      <c r="F400" s="3">
        <v>18.2</v>
      </c>
      <c r="G400" s="3">
        <v>4.63</v>
      </c>
    </row>
    <row r="401">
      <c r="A401" s="3">
        <v>167911.0</v>
      </c>
      <c r="B401" s="3" t="s">
        <v>423</v>
      </c>
      <c r="C401" s="3" t="s">
        <v>189</v>
      </c>
      <c r="D401" s="3">
        <v>122.0</v>
      </c>
      <c r="E401" s="3">
        <v>4.94</v>
      </c>
      <c r="F401" s="3">
        <v>16.88</v>
      </c>
      <c r="G401" s="3">
        <v>1.87</v>
      </c>
    </row>
    <row r="402">
      <c r="A402" s="3">
        <v>167912.0</v>
      </c>
      <c r="B402" s="3" t="s">
        <v>424</v>
      </c>
      <c r="C402" s="3" t="s">
        <v>189</v>
      </c>
      <c r="D402" s="3">
        <v>169.0</v>
      </c>
      <c r="E402" s="3">
        <v>5.0</v>
      </c>
      <c r="F402" s="3">
        <v>28.95</v>
      </c>
      <c r="G402" s="3">
        <v>0.0</v>
      </c>
    </row>
    <row r="403">
      <c r="A403" s="3">
        <v>167913.0</v>
      </c>
      <c r="B403" s="3" t="s">
        <v>425</v>
      </c>
      <c r="C403" s="3" t="s">
        <v>189</v>
      </c>
      <c r="D403" s="3">
        <v>190.0</v>
      </c>
      <c r="E403" s="3">
        <v>7.66</v>
      </c>
      <c r="F403" s="3">
        <v>28.35</v>
      </c>
      <c r="G403" s="3">
        <v>0.0</v>
      </c>
    </row>
    <row r="404">
      <c r="A404" s="3">
        <v>167914.0</v>
      </c>
      <c r="B404" s="3" t="s">
        <v>426</v>
      </c>
      <c r="C404" s="3" t="s">
        <v>189</v>
      </c>
      <c r="D404" s="3">
        <v>548.0</v>
      </c>
      <c r="E404" s="3">
        <v>43.27</v>
      </c>
      <c r="F404" s="3">
        <v>35.73</v>
      </c>
      <c r="G404" s="3">
        <v>1.35</v>
      </c>
    </row>
    <row r="405">
      <c r="A405" s="3">
        <v>167915.0</v>
      </c>
      <c r="B405" s="3" t="s">
        <v>427</v>
      </c>
      <c r="C405" s="3" t="s">
        <v>189</v>
      </c>
      <c r="D405" s="3">
        <v>121.0</v>
      </c>
      <c r="E405" s="3">
        <v>3.56</v>
      </c>
      <c r="F405" s="3">
        <v>21.41</v>
      </c>
      <c r="G405" s="3">
        <v>0.87</v>
      </c>
    </row>
    <row r="406">
      <c r="A406" s="3">
        <v>167916.0</v>
      </c>
      <c r="B406" s="3" t="s">
        <v>428</v>
      </c>
      <c r="C406" s="3" t="s">
        <v>189</v>
      </c>
      <c r="D406" s="3">
        <v>95.0</v>
      </c>
      <c r="E406" s="3">
        <v>3.48</v>
      </c>
      <c r="F406" s="3">
        <v>15.43</v>
      </c>
      <c r="G406" s="3">
        <v>0.67</v>
      </c>
    </row>
    <row r="407">
      <c r="A407" s="3">
        <v>167917.0</v>
      </c>
      <c r="B407" s="3" t="s">
        <v>429</v>
      </c>
      <c r="C407" s="3" t="s">
        <v>189</v>
      </c>
      <c r="D407" s="3">
        <v>128.0</v>
      </c>
      <c r="E407" s="3">
        <v>4.43</v>
      </c>
      <c r="F407" s="3">
        <v>20.92</v>
      </c>
      <c r="G407" s="3">
        <v>1.2</v>
      </c>
    </row>
    <row r="408">
      <c r="A408" s="3">
        <v>167918.0</v>
      </c>
      <c r="B408" s="3" t="s">
        <v>430</v>
      </c>
      <c r="C408" s="3" t="s">
        <v>189</v>
      </c>
      <c r="D408" s="3">
        <v>131.0</v>
      </c>
      <c r="E408" s="3">
        <v>4.3</v>
      </c>
      <c r="F408" s="3">
        <v>22.04</v>
      </c>
      <c r="G408" s="3">
        <v>1.48</v>
      </c>
    </row>
    <row r="409">
      <c r="A409" s="3">
        <v>167919.0</v>
      </c>
      <c r="B409" s="3" t="s">
        <v>431</v>
      </c>
      <c r="C409" s="3" t="s">
        <v>189</v>
      </c>
      <c r="D409" s="3">
        <v>137.0</v>
      </c>
      <c r="E409" s="3">
        <v>4.25</v>
      </c>
      <c r="F409" s="3">
        <v>24.14</v>
      </c>
      <c r="G409" s="3">
        <v>0.48</v>
      </c>
    </row>
    <row r="410">
      <c r="A410" s="3">
        <v>167920.0</v>
      </c>
      <c r="B410" s="3" t="s">
        <v>432</v>
      </c>
      <c r="C410" s="3" t="s">
        <v>189</v>
      </c>
      <c r="D410" s="3">
        <v>145.0</v>
      </c>
      <c r="E410" s="3">
        <v>4.97</v>
      </c>
      <c r="F410" s="3">
        <v>24.95</v>
      </c>
      <c r="G410" s="3">
        <v>0.34</v>
      </c>
    </row>
    <row r="411">
      <c r="A411" s="3">
        <v>167921.0</v>
      </c>
      <c r="B411" s="3" t="s">
        <v>433</v>
      </c>
      <c r="C411" s="3" t="s">
        <v>8</v>
      </c>
      <c r="D411" s="3">
        <v>293.0</v>
      </c>
      <c r="E411" s="3">
        <v>11.34</v>
      </c>
      <c r="F411" s="3">
        <v>6.16</v>
      </c>
      <c r="G411" s="3">
        <v>42.41</v>
      </c>
    </row>
    <row r="412">
      <c r="A412" s="3">
        <v>167922.0</v>
      </c>
      <c r="B412" s="3" t="s">
        <v>434</v>
      </c>
      <c r="C412" s="3" t="s">
        <v>8</v>
      </c>
      <c r="D412" s="3">
        <v>241.0</v>
      </c>
      <c r="E412" s="3">
        <v>6.9</v>
      </c>
      <c r="F412" s="3">
        <v>4.4</v>
      </c>
      <c r="G412" s="3">
        <v>40.3</v>
      </c>
    </row>
    <row r="413">
      <c r="A413" s="3">
        <v>167923.0</v>
      </c>
      <c r="B413" s="3" t="s">
        <v>435</v>
      </c>
      <c r="C413" s="3" t="s">
        <v>8</v>
      </c>
      <c r="D413" s="3">
        <v>273.0</v>
      </c>
      <c r="E413" s="3">
        <v>4.15</v>
      </c>
      <c r="F413" s="3">
        <v>8.07</v>
      </c>
      <c r="G413" s="3">
        <v>50.84</v>
      </c>
    </row>
    <row r="414">
      <c r="A414" s="3">
        <v>167924.0</v>
      </c>
      <c r="B414" s="3" t="s">
        <v>436</v>
      </c>
      <c r="C414" s="3" t="s">
        <v>8</v>
      </c>
      <c r="D414" s="3">
        <v>305.0</v>
      </c>
      <c r="E414" s="3">
        <v>1.09</v>
      </c>
      <c r="F414" s="3">
        <v>5.0</v>
      </c>
      <c r="G414" s="3">
        <v>74.25</v>
      </c>
    </row>
    <row r="415">
      <c r="A415" s="3">
        <v>167925.0</v>
      </c>
      <c r="B415" s="3" t="s">
        <v>437</v>
      </c>
      <c r="C415" s="3" t="s">
        <v>8</v>
      </c>
      <c r="D415" s="3">
        <v>490.0</v>
      </c>
      <c r="E415" s="3">
        <v>24.41</v>
      </c>
      <c r="F415" s="3">
        <v>8.92</v>
      </c>
      <c r="G415" s="3">
        <v>58.76</v>
      </c>
    </row>
    <row r="416">
      <c r="A416" s="3">
        <v>167926.0</v>
      </c>
      <c r="B416" s="3" t="s">
        <v>438</v>
      </c>
      <c r="C416" s="3" t="s">
        <v>8</v>
      </c>
      <c r="D416" s="3">
        <v>239.0</v>
      </c>
      <c r="E416" s="3">
        <v>4.73</v>
      </c>
      <c r="F416" s="3">
        <v>5.88</v>
      </c>
      <c r="G416" s="3">
        <v>43.33</v>
      </c>
    </row>
    <row r="417">
      <c r="A417" s="3">
        <v>167927.0</v>
      </c>
      <c r="B417" s="3" t="s">
        <v>439</v>
      </c>
      <c r="C417" s="3" t="s">
        <v>8</v>
      </c>
      <c r="D417" s="3">
        <v>385.0</v>
      </c>
      <c r="E417" s="3">
        <v>9.02</v>
      </c>
      <c r="F417" s="3">
        <v>4.01</v>
      </c>
      <c r="G417" s="3">
        <v>71.83</v>
      </c>
    </row>
    <row r="418">
      <c r="A418" s="3">
        <v>167928.0</v>
      </c>
      <c r="B418" s="3" t="s">
        <v>440</v>
      </c>
      <c r="C418" s="3" t="s">
        <v>8</v>
      </c>
      <c r="D418" s="3">
        <v>409.0</v>
      </c>
      <c r="E418" s="3">
        <v>11.03</v>
      </c>
      <c r="F418" s="3">
        <v>4.7</v>
      </c>
      <c r="G418" s="3">
        <v>72.7</v>
      </c>
    </row>
    <row r="419">
      <c r="A419" s="3">
        <v>167929.0</v>
      </c>
      <c r="B419" s="3" t="s">
        <v>441</v>
      </c>
      <c r="C419" s="3" t="s">
        <v>8</v>
      </c>
      <c r="D419" s="3">
        <v>255.0</v>
      </c>
      <c r="E419" s="3">
        <v>4.22</v>
      </c>
      <c r="F419" s="3">
        <v>4.23</v>
      </c>
      <c r="G419" s="3">
        <v>50.05</v>
      </c>
    </row>
    <row r="420">
      <c r="A420" s="3">
        <v>167930.0</v>
      </c>
      <c r="B420" s="3" t="s">
        <v>442</v>
      </c>
      <c r="C420" s="3" t="s">
        <v>8</v>
      </c>
      <c r="D420" s="3">
        <v>506.0</v>
      </c>
      <c r="E420" s="3">
        <v>28.69</v>
      </c>
      <c r="F420" s="3">
        <v>3.41</v>
      </c>
      <c r="G420" s="3">
        <v>58.52</v>
      </c>
    </row>
    <row r="421">
      <c r="A421" s="3">
        <v>167931.0</v>
      </c>
      <c r="B421" s="3" t="s">
        <v>443</v>
      </c>
      <c r="C421" s="3" t="s">
        <v>8</v>
      </c>
      <c r="D421" s="3">
        <v>521.0</v>
      </c>
      <c r="E421" s="3">
        <v>31.84</v>
      </c>
      <c r="F421" s="3">
        <v>6.1</v>
      </c>
      <c r="G421" s="3">
        <v>52.47</v>
      </c>
    </row>
    <row r="422">
      <c r="A422" s="3">
        <v>167932.0</v>
      </c>
      <c r="B422" s="3" t="s">
        <v>444</v>
      </c>
      <c r="C422" s="3" t="s">
        <v>8</v>
      </c>
      <c r="D422" s="3">
        <v>445.0</v>
      </c>
      <c r="E422" s="3">
        <v>25.46</v>
      </c>
      <c r="F422" s="3">
        <v>2.97</v>
      </c>
      <c r="G422" s="3">
        <v>51.11</v>
      </c>
    </row>
    <row r="423">
      <c r="A423" s="3">
        <v>167933.0</v>
      </c>
      <c r="B423" s="3" t="s">
        <v>445</v>
      </c>
      <c r="C423" s="3" t="s">
        <v>8</v>
      </c>
      <c r="D423" s="3">
        <v>416.0</v>
      </c>
      <c r="E423" s="3">
        <v>7.59</v>
      </c>
      <c r="F423" s="3">
        <v>11.34</v>
      </c>
      <c r="G423" s="3">
        <v>75.52</v>
      </c>
    </row>
    <row r="424">
      <c r="A424" s="3">
        <v>167934.0</v>
      </c>
      <c r="B424" s="3" t="s">
        <v>446</v>
      </c>
      <c r="C424" s="3" t="s">
        <v>8</v>
      </c>
      <c r="D424" s="3">
        <v>444.0</v>
      </c>
      <c r="E424" s="3">
        <v>13.37</v>
      </c>
      <c r="F424" s="3">
        <v>9.34</v>
      </c>
      <c r="G424" s="3">
        <v>71.52</v>
      </c>
    </row>
    <row r="425">
      <c r="A425" s="3">
        <v>167935.0</v>
      </c>
      <c r="B425" s="3" t="s">
        <v>447</v>
      </c>
      <c r="C425" s="3" t="s">
        <v>8</v>
      </c>
      <c r="D425" s="3">
        <v>367.0</v>
      </c>
      <c r="E425" s="3">
        <v>11.58</v>
      </c>
      <c r="F425" s="3">
        <v>9.42</v>
      </c>
      <c r="G425" s="3">
        <v>56.38</v>
      </c>
    </row>
    <row r="426">
      <c r="A426" s="3">
        <v>167936.0</v>
      </c>
      <c r="B426" s="3" t="s">
        <v>448</v>
      </c>
      <c r="C426" s="3" t="s">
        <v>8</v>
      </c>
      <c r="D426" s="3">
        <v>467.0</v>
      </c>
      <c r="E426" s="3">
        <v>25.24</v>
      </c>
      <c r="F426" s="3">
        <v>6.81</v>
      </c>
      <c r="G426" s="3">
        <v>53.16</v>
      </c>
    </row>
    <row r="427">
      <c r="A427" s="3">
        <v>167937.0</v>
      </c>
      <c r="B427" s="3" t="s">
        <v>449</v>
      </c>
      <c r="C427" s="3" t="s">
        <v>8</v>
      </c>
      <c r="D427" s="3">
        <v>418.0</v>
      </c>
      <c r="E427" s="3">
        <v>21.7</v>
      </c>
      <c r="F427" s="3">
        <v>6.62</v>
      </c>
      <c r="G427" s="3">
        <v>48.94</v>
      </c>
    </row>
    <row r="428">
      <c r="A428" s="3">
        <v>167938.0</v>
      </c>
      <c r="B428" s="3" t="s">
        <v>450</v>
      </c>
      <c r="C428" s="3" t="s">
        <v>8</v>
      </c>
      <c r="D428" s="3">
        <v>445.0</v>
      </c>
      <c r="E428" s="3">
        <v>16.11</v>
      </c>
      <c r="F428" s="3">
        <v>8.81</v>
      </c>
      <c r="G428" s="3">
        <v>66.28</v>
      </c>
    </row>
    <row r="429">
      <c r="A429" s="3">
        <v>167939.0</v>
      </c>
      <c r="B429" s="3" t="s">
        <v>451</v>
      </c>
      <c r="C429" s="3" t="s">
        <v>8</v>
      </c>
      <c r="D429" s="3">
        <v>350.0</v>
      </c>
      <c r="E429" s="3">
        <v>16.61</v>
      </c>
      <c r="F429" s="3">
        <v>8.36</v>
      </c>
      <c r="G429" s="3">
        <v>41.72</v>
      </c>
    </row>
    <row r="430">
      <c r="A430" s="3">
        <v>167940.0</v>
      </c>
      <c r="B430" s="3" t="s">
        <v>452</v>
      </c>
      <c r="C430" s="3" t="s">
        <v>8</v>
      </c>
      <c r="D430" s="3">
        <v>452.0</v>
      </c>
      <c r="E430" s="3">
        <v>26.61</v>
      </c>
      <c r="F430" s="3">
        <v>4.45</v>
      </c>
      <c r="G430" s="3">
        <v>48.6</v>
      </c>
    </row>
    <row r="431">
      <c r="A431" s="3">
        <v>167941.0</v>
      </c>
      <c r="B431" s="3" t="s">
        <v>453</v>
      </c>
      <c r="C431" s="3" t="s">
        <v>8</v>
      </c>
      <c r="D431" s="3">
        <v>418.0</v>
      </c>
      <c r="E431" s="3">
        <v>11.67</v>
      </c>
      <c r="F431" s="3">
        <v>10.0</v>
      </c>
      <c r="G431" s="3">
        <v>68.19</v>
      </c>
    </row>
    <row r="432">
      <c r="A432" s="3">
        <v>167942.0</v>
      </c>
      <c r="B432" s="3" t="s">
        <v>454</v>
      </c>
      <c r="C432" s="3" t="s">
        <v>8</v>
      </c>
      <c r="D432" s="3">
        <v>398.0</v>
      </c>
      <c r="E432" s="3">
        <v>10.71</v>
      </c>
      <c r="F432" s="3">
        <v>7.14</v>
      </c>
      <c r="G432" s="3">
        <v>68.25</v>
      </c>
    </row>
    <row r="433">
      <c r="A433" s="3">
        <v>167943.0</v>
      </c>
      <c r="B433" s="3" t="s">
        <v>455</v>
      </c>
      <c r="C433" s="3" t="s">
        <v>8</v>
      </c>
      <c r="D433" s="3">
        <v>266.0</v>
      </c>
      <c r="E433" s="3">
        <v>3.13</v>
      </c>
      <c r="F433" s="3">
        <v>12.5</v>
      </c>
      <c r="G433" s="3">
        <v>47.07</v>
      </c>
    </row>
    <row r="434">
      <c r="A434" s="3">
        <v>167944.0</v>
      </c>
      <c r="B434" s="3" t="s">
        <v>456</v>
      </c>
      <c r="C434" s="3" t="s">
        <v>8</v>
      </c>
      <c r="D434" s="3">
        <v>408.0</v>
      </c>
      <c r="E434" s="3">
        <v>20.83</v>
      </c>
      <c r="F434" s="3">
        <v>10.42</v>
      </c>
      <c r="G434" s="3">
        <v>44.83</v>
      </c>
    </row>
    <row r="435">
      <c r="A435" s="3">
        <v>167945.0</v>
      </c>
      <c r="B435" s="3" t="s">
        <v>457</v>
      </c>
      <c r="C435" s="3" t="s">
        <v>8</v>
      </c>
      <c r="D435" s="3">
        <v>249.0</v>
      </c>
      <c r="E435" s="3">
        <v>7.89</v>
      </c>
      <c r="F435" s="3">
        <v>8.77</v>
      </c>
      <c r="G435" s="3">
        <v>35.82</v>
      </c>
    </row>
    <row r="436">
      <c r="A436" s="3">
        <v>167946.0</v>
      </c>
      <c r="B436" s="3" t="s">
        <v>458</v>
      </c>
      <c r="C436" s="3" t="s">
        <v>38</v>
      </c>
      <c r="D436" s="3">
        <v>387.0</v>
      </c>
      <c r="E436" s="3">
        <v>14.29</v>
      </c>
      <c r="F436" s="3">
        <v>16.8</v>
      </c>
      <c r="G436" s="3">
        <v>56.46</v>
      </c>
    </row>
    <row r="437">
      <c r="A437" s="3">
        <v>167947.0</v>
      </c>
      <c r="B437" s="3" t="s">
        <v>459</v>
      </c>
      <c r="C437" s="3" t="s">
        <v>38</v>
      </c>
      <c r="D437" s="3">
        <v>489.0</v>
      </c>
      <c r="E437" s="3">
        <v>28.57</v>
      </c>
      <c r="F437" s="3">
        <v>5.71</v>
      </c>
      <c r="G437" s="3">
        <v>61.21</v>
      </c>
    </row>
    <row r="438">
      <c r="A438" s="3">
        <v>167948.0</v>
      </c>
      <c r="B438" s="3" t="s">
        <v>460</v>
      </c>
      <c r="C438" s="3" t="s">
        <v>33</v>
      </c>
      <c r="D438" s="3">
        <v>499.0</v>
      </c>
      <c r="E438" s="3">
        <v>22.6</v>
      </c>
      <c r="F438" s="3">
        <v>7.7</v>
      </c>
      <c r="G438" s="3">
        <v>65.1</v>
      </c>
    </row>
    <row r="439">
      <c r="A439" s="3">
        <v>167949.0</v>
      </c>
      <c r="B439" s="3" t="s">
        <v>461</v>
      </c>
      <c r="C439" s="3" t="s">
        <v>33</v>
      </c>
      <c r="D439" s="3">
        <v>567.0</v>
      </c>
      <c r="E439" s="3">
        <v>36.54</v>
      </c>
      <c r="F439" s="3">
        <v>5.46</v>
      </c>
      <c r="G439" s="3">
        <v>54.54</v>
      </c>
    </row>
    <row r="440">
      <c r="A440" s="3">
        <v>167950.0</v>
      </c>
      <c r="B440" s="3" t="s">
        <v>462</v>
      </c>
      <c r="C440" s="3" t="s">
        <v>33</v>
      </c>
      <c r="D440" s="3">
        <v>446.0</v>
      </c>
      <c r="E440" s="3">
        <v>15.64</v>
      </c>
      <c r="F440" s="3">
        <v>8.5</v>
      </c>
      <c r="G440" s="3">
        <v>71.86</v>
      </c>
    </row>
    <row r="441">
      <c r="A441" s="3">
        <v>167951.0</v>
      </c>
      <c r="B441" s="3" t="s">
        <v>463</v>
      </c>
      <c r="C441" s="3" t="s">
        <v>33</v>
      </c>
      <c r="D441" s="3">
        <v>404.0</v>
      </c>
      <c r="E441" s="3">
        <v>13.5</v>
      </c>
      <c r="F441" s="3">
        <v>5.1</v>
      </c>
      <c r="G441" s="3">
        <v>73.0</v>
      </c>
    </row>
    <row r="442">
      <c r="A442" s="3">
        <v>167952.0</v>
      </c>
      <c r="B442" s="3" t="s">
        <v>464</v>
      </c>
      <c r="C442" s="3" t="s">
        <v>33</v>
      </c>
      <c r="D442" s="3">
        <v>438.0</v>
      </c>
      <c r="E442" s="3">
        <v>16.3</v>
      </c>
      <c r="F442" s="3">
        <v>7.3</v>
      </c>
      <c r="G442" s="3">
        <v>72.1</v>
      </c>
    </row>
    <row r="443">
      <c r="A443" s="3">
        <v>167953.0</v>
      </c>
      <c r="B443" s="3" t="s">
        <v>465</v>
      </c>
      <c r="C443" s="3" t="s">
        <v>38</v>
      </c>
      <c r="D443" s="3">
        <v>341.0</v>
      </c>
      <c r="E443" s="3">
        <v>0.0</v>
      </c>
      <c r="F443" s="3">
        <v>0.0</v>
      </c>
      <c r="G443" s="3">
        <v>85.13</v>
      </c>
    </row>
    <row r="444">
      <c r="A444" s="3">
        <v>167954.0</v>
      </c>
      <c r="B444" s="3" t="s">
        <v>466</v>
      </c>
      <c r="C444" s="3" t="s">
        <v>33</v>
      </c>
      <c r="D444" s="3">
        <v>443.0</v>
      </c>
      <c r="E444" s="3">
        <v>17.2</v>
      </c>
      <c r="F444" s="3">
        <v>7.4</v>
      </c>
      <c r="G444" s="3">
        <v>67.3</v>
      </c>
    </row>
    <row r="445">
      <c r="A445" s="3">
        <v>167955.0</v>
      </c>
      <c r="B445" s="3" t="s">
        <v>467</v>
      </c>
      <c r="C445" s="3" t="s">
        <v>33</v>
      </c>
      <c r="D445" s="3">
        <v>426.0</v>
      </c>
      <c r="E445" s="3">
        <v>15.8</v>
      </c>
      <c r="F445" s="3">
        <v>10.5</v>
      </c>
      <c r="G445" s="3">
        <v>64.4</v>
      </c>
    </row>
    <row r="446">
      <c r="A446" s="3">
        <v>167956.0</v>
      </c>
      <c r="B446" s="3" t="s">
        <v>468</v>
      </c>
      <c r="C446" s="3" t="s">
        <v>38</v>
      </c>
      <c r="D446" s="3">
        <v>609.0</v>
      </c>
      <c r="E446" s="3">
        <v>44.1</v>
      </c>
      <c r="F446" s="3">
        <v>2.94</v>
      </c>
      <c r="G446" s="3">
        <v>50.07</v>
      </c>
    </row>
    <row r="447">
      <c r="A447" s="3">
        <v>167957.0</v>
      </c>
      <c r="B447" s="3" t="s">
        <v>469</v>
      </c>
      <c r="C447" s="3" t="s">
        <v>38</v>
      </c>
      <c r="D447" s="3">
        <v>261.0</v>
      </c>
      <c r="E447" s="3">
        <v>0.02</v>
      </c>
      <c r="F447" s="3">
        <v>0.0</v>
      </c>
      <c r="G447" s="3">
        <v>65.1</v>
      </c>
    </row>
    <row r="448">
      <c r="A448" s="3">
        <v>167958.0</v>
      </c>
      <c r="B448" s="3" t="s">
        <v>470</v>
      </c>
      <c r="C448" s="3" t="s">
        <v>33</v>
      </c>
      <c r="D448" s="3">
        <v>506.0</v>
      </c>
      <c r="E448" s="3">
        <v>25.58</v>
      </c>
      <c r="F448" s="3">
        <v>17.31</v>
      </c>
      <c r="G448" s="3">
        <v>51.62</v>
      </c>
    </row>
    <row r="449">
      <c r="A449" s="3">
        <v>167959.0</v>
      </c>
      <c r="B449" s="3" t="s">
        <v>471</v>
      </c>
      <c r="C449" s="3" t="s">
        <v>33</v>
      </c>
      <c r="D449" s="3">
        <v>387.0</v>
      </c>
      <c r="E449" s="3">
        <v>4.54</v>
      </c>
      <c r="F449" s="3">
        <v>12.94</v>
      </c>
      <c r="G449" s="3">
        <v>77.78</v>
      </c>
    </row>
    <row r="450">
      <c r="A450" s="3">
        <v>167960.0</v>
      </c>
      <c r="B450" s="3" t="s">
        <v>472</v>
      </c>
      <c r="C450" s="3" t="s">
        <v>33</v>
      </c>
      <c r="D450" s="3">
        <v>526.0</v>
      </c>
      <c r="E450" s="3">
        <v>33.2</v>
      </c>
      <c r="F450" s="3">
        <v>9.3</v>
      </c>
      <c r="G450" s="3">
        <v>51.6</v>
      </c>
    </row>
    <row r="451">
      <c r="A451" s="3">
        <v>167961.0</v>
      </c>
      <c r="B451" s="3" t="s">
        <v>473</v>
      </c>
      <c r="C451" s="3" t="s">
        <v>33</v>
      </c>
      <c r="D451" s="3">
        <v>544.0</v>
      </c>
      <c r="E451" s="3">
        <v>31.3</v>
      </c>
      <c r="F451" s="3">
        <v>61.3</v>
      </c>
      <c r="G451" s="3">
        <v>0.0</v>
      </c>
    </row>
    <row r="452">
      <c r="A452" s="3">
        <v>167962.0</v>
      </c>
      <c r="B452" s="3" t="s">
        <v>474</v>
      </c>
      <c r="C452" s="3" t="s">
        <v>33</v>
      </c>
      <c r="D452" s="3">
        <v>487.0</v>
      </c>
      <c r="E452" s="3">
        <v>31.06</v>
      </c>
      <c r="F452" s="3">
        <v>6.51</v>
      </c>
      <c r="G452" s="3">
        <v>55.92</v>
      </c>
    </row>
    <row r="453">
      <c r="A453" s="3">
        <v>167963.0</v>
      </c>
      <c r="B453" s="3" t="s">
        <v>475</v>
      </c>
      <c r="C453" s="3" t="s">
        <v>33</v>
      </c>
      <c r="D453" s="3">
        <v>531.0</v>
      </c>
      <c r="E453" s="3">
        <v>33.9</v>
      </c>
      <c r="F453" s="3">
        <v>8.1</v>
      </c>
      <c r="G453" s="3">
        <v>51.5</v>
      </c>
    </row>
    <row r="454">
      <c r="A454" s="3">
        <v>167964.0</v>
      </c>
      <c r="B454" s="3" t="s">
        <v>476</v>
      </c>
      <c r="C454" s="3" t="s">
        <v>33</v>
      </c>
      <c r="D454" s="3">
        <v>463.0</v>
      </c>
      <c r="E454" s="3">
        <v>16.92</v>
      </c>
      <c r="F454" s="3">
        <v>9.85</v>
      </c>
      <c r="G454" s="3">
        <v>66.5</v>
      </c>
    </row>
    <row r="455">
      <c r="A455" s="3">
        <v>167965.0</v>
      </c>
      <c r="B455" s="3" t="s">
        <v>477</v>
      </c>
      <c r="C455" s="3" t="s">
        <v>33</v>
      </c>
      <c r="D455" s="3">
        <v>362.0</v>
      </c>
      <c r="E455" s="3">
        <v>2.6</v>
      </c>
      <c r="F455" s="3">
        <v>11.1</v>
      </c>
      <c r="G455" s="3">
        <v>81.3</v>
      </c>
    </row>
    <row r="456">
      <c r="A456" s="3">
        <v>167966.0</v>
      </c>
      <c r="B456" s="3" t="s">
        <v>478</v>
      </c>
      <c r="C456" s="3" t="s">
        <v>33</v>
      </c>
      <c r="D456" s="3">
        <v>387.0</v>
      </c>
      <c r="E456" s="3">
        <v>2.8</v>
      </c>
      <c r="F456" s="3">
        <v>8.2</v>
      </c>
      <c r="G456" s="3">
        <v>81.5</v>
      </c>
    </row>
    <row r="457">
      <c r="A457" s="3">
        <v>167967.0</v>
      </c>
      <c r="B457" s="3" t="s">
        <v>479</v>
      </c>
      <c r="C457" s="3" t="s">
        <v>33</v>
      </c>
      <c r="D457" s="3">
        <v>380.0</v>
      </c>
      <c r="E457" s="3">
        <v>3.5</v>
      </c>
      <c r="F457" s="3">
        <v>9.0</v>
      </c>
      <c r="G457" s="3">
        <v>80.1</v>
      </c>
    </row>
    <row r="458">
      <c r="A458" s="3">
        <v>167968.0</v>
      </c>
      <c r="B458" s="3" t="s">
        <v>480</v>
      </c>
      <c r="C458" s="3" t="s">
        <v>33</v>
      </c>
      <c r="D458" s="3">
        <v>442.0</v>
      </c>
      <c r="E458" s="3">
        <v>17.1</v>
      </c>
      <c r="F458" s="3">
        <v>6.3</v>
      </c>
      <c r="G458" s="3">
        <v>65.6</v>
      </c>
    </row>
    <row r="459">
      <c r="A459" s="3">
        <v>167969.0</v>
      </c>
      <c r="B459" s="3" t="s">
        <v>481</v>
      </c>
      <c r="C459" s="3" t="s">
        <v>33</v>
      </c>
      <c r="D459" s="3">
        <v>484.0</v>
      </c>
      <c r="E459" s="3">
        <v>31.9</v>
      </c>
      <c r="F459" s="3">
        <v>14.2</v>
      </c>
      <c r="G459" s="3">
        <v>44.9</v>
      </c>
    </row>
    <row r="460">
      <c r="A460" s="3">
        <v>167970.0</v>
      </c>
      <c r="B460" s="3" t="s">
        <v>482</v>
      </c>
      <c r="C460" s="3" t="s">
        <v>33</v>
      </c>
      <c r="D460" s="3">
        <v>480.0</v>
      </c>
      <c r="E460" s="3">
        <v>24.2</v>
      </c>
      <c r="F460" s="3">
        <v>7.9</v>
      </c>
      <c r="G460" s="3">
        <v>63.1</v>
      </c>
    </row>
    <row r="461">
      <c r="A461" s="3">
        <v>167971.0</v>
      </c>
      <c r="B461" s="3" t="s">
        <v>483</v>
      </c>
      <c r="C461" s="3" t="s">
        <v>38</v>
      </c>
      <c r="D461" s="3">
        <v>387.0</v>
      </c>
      <c r="E461" s="3">
        <v>3.31</v>
      </c>
      <c r="F461" s="3">
        <v>1.59</v>
      </c>
      <c r="G461" s="3">
        <v>87.73</v>
      </c>
    </row>
    <row r="462">
      <c r="A462" s="3">
        <v>167972.0</v>
      </c>
      <c r="B462" s="3" t="s">
        <v>484</v>
      </c>
      <c r="C462" s="3" t="s">
        <v>38</v>
      </c>
      <c r="D462" s="3">
        <v>391.0</v>
      </c>
      <c r="E462" s="3">
        <v>3.3</v>
      </c>
      <c r="F462" s="3">
        <v>0.03</v>
      </c>
      <c r="G462" s="3">
        <v>90.4</v>
      </c>
    </row>
    <row r="463">
      <c r="A463" s="3">
        <v>167973.0</v>
      </c>
      <c r="B463" s="3" t="s">
        <v>485</v>
      </c>
      <c r="C463" s="3" t="s">
        <v>38</v>
      </c>
      <c r="D463" s="3">
        <v>540.0</v>
      </c>
      <c r="E463" s="3">
        <v>31.36</v>
      </c>
      <c r="F463" s="3">
        <v>8.15</v>
      </c>
      <c r="G463" s="3">
        <v>56.29</v>
      </c>
    </row>
    <row r="464">
      <c r="A464" s="3">
        <v>167974.0</v>
      </c>
      <c r="B464" s="3" t="s">
        <v>486</v>
      </c>
      <c r="C464" s="3" t="s">
        <v>38</v>
      </c>
      <c r="D464" s="3">
        <v>382.0</v>
      </c>
      <c r="E464" s="3">
        <v>8.1</v>
      </c>
      <c r="F464" s="3">
        <v>4.6</v>
      </c>
      <c r="G464" s="3">
        <v>77.0</v>
      </c>
    </row>
    <row r="465">
      <c r="A465" s="3">
        <v>167975.0</v>
      </c>
      <c r="B465" s="3" t="s">
        <v>487</v>
      </c>
      <c r="C465" s="3" t="s">
        <v>38</v>
      </c>
      <c r="D465" s="3">
        <v>462.0</v>
      </c>
      <c r="E465" s="3">
        <v>21.19</v>
      </c>
      <c r="F465" s="3">
        <v>6.19</v>
      </c>
      <c r="G465" s="3">
        <v>63.81</v>
      </c>
    </row>
    <row r="466">
      <c r="A466" s="3">
        <v>167976.0</v>
      </c>
      <c r="B466" s="3" t="s">
        <v>488</v>
      </c>
      <c r="C466" s="3" t="s">
        <v>38</v>
      </c>
      <c r="D466" s="3">
        <v>480.0</v>
      </c>
      <c r="E466" s="3">
        <v>30.0</v>
      </c>
      <c r="F466" s="3">
        <v>4.2</v>
      </c>
      <c r="G466" s="3">
        <v>63.9</v>
      </c>
    </row>
    <row r="467">
      <c r="A467" s="3">
        <v>167977.0</v>
      </c>
      <c r="B467" s="3" t="s">
        <v>489</v>
      </c>
      <c r="C467" s="3" t="s">
        <v>38</v>
      </c>
      <c r="D467" s="3">
        <v>507.0</v>
      </c>
      <c r="E467" s="3">
        <v>34.2</v>
      </c>
      <c r="F467" s="3">
        <v>3.9</v>
      </c>
      <c r="G467" s="3">
        <v>60.4</v>
      </c>
    </row>
    <row r="468">
      <c r="A468" s="3">
        <v>167978.0</v>
      </c>
      <c r="B468" s="3" t="s">
        <v>490</v>
      </c>
      <c r="C468" s="3" t="s">
        <v>38</v>
      </c>
      <c r="D468" s="3">
        <v>366.0</v>
      </c>
      <c r="E468" s="3">
        <v>9.3</v>
      </c>
      <c r="F468" s="3">
        <v>2.2</v>
      </c>
      <c r="G468" s="3">
        <v>80.4</v>
      </c>
    </row>
    <row r="469">
      <c r="A469" s="3">
        <v>167979.0</v>
      </c>
      <c r="B469" s="3" t="s">
        <v>491</v>
      </c>
      <c r="C469" s="3" t="s">
        <v>38</v>
      </c>
      <c r="D469" s="3">
        <v>569.0</v>
      </c>
      <c r="E469" s="3">
        <v>37.13</v>
      </c>
      <c r="F469" s="3">
        <v>11.97</v>
      </c>
      <c r="G469" s="3">
        <v>46.85</v>
      </c>
    </row>
    <row r="470">
      <c r="A470" s="3">
        <v>167980.0</v>
      </c>
      <c r="B470" s="3" t="s">
        <v>492</v>
      </c>
      <c r="C470" s="3" t="s">
        <v>38</v>
      </c>
      <c r="D470" s="3">
        <v>539.0</v>
      </c>
      <c r="E470" s="3">
        <v>29.05</v>
      </c>
      <c r="F470" s="3">
        <v>2.2</v>
      </c>
      <c r="G470" s="3">
        <v>67.1</v>
      </c>
    </row>
    <row r="471">
      <c r="A471" s="3">
        <v>167981.0</v>
      </c>
      <c r="B471" s="3" t="s">
        <v>493</v>
      </c>
      <c r="C471" s="3" t="s">
        <v>38</v>
      </c>
      <c r="D471" s="3">
        <v>222.0</v>
      </c>
      <c r="E471" s="3">
        <v>13.0</v>
      </c>
      <c r="F471" s="3">
        <v>4.1</v>
      </c>
      <c r="G471" s="3">
        <v>22.2</v>
      </c>
    </row>
    <row r="472">
      <c r="A472" s="3">
        <v>167982.0</v>
      </c>
      <c r="B472" s="3" t="s">
        <v>494</v>
      </c>
      <c r="C472" s="3" t="s">
        <v>38</v>
      </c>
      <c r="D472" s="3">
        <v>384.0</v>
      </c>
      <c r="E472" s="3">
        <v>7.17</v>
      </c>
      <c r="F472" s="3">
        <v>2.19</v>
      </c>
      <c r="G472" s="3">
        <v>80.99</v>
      </c>
    </row>
    <row r="473">
      <c r="A473" s="3">
        <v>167983.0</v>
      </c>
      <c r="B473" s="3" t="s">
        <v>495</v>
      </c>
      <c r="C473" s="3" t="s">
        <v>38</v>
      </c>
      <c r="D473" s="3">
        <v>347.0</v>
      </c>
      <c r="E473" s="3">
        <v>2.64</v>
      </c>
      <c r="F473" s="3">
        <v>2.3</v>
      </c>
      <c r="G473" s="3">
        <v>79.37</v>
      </c>
    </row>
    <row r="474">
      <c r="A474" s="3">
        <v>167984.0</v>
      </c>
      <c r="B474" s="3" t="s">
        <v>496</v>
      </c>
      <c r="C474" s="3" t="s">
        <v>38</v>
      </c>
      <c r="D474" s="3">
        <v>531.0</v>
      </c>
      <c r="E474" s="3">
        <v>30.57</v>
      </c>
      <c r="F474" s="3">
        <v>8.51</v>
      </c>
      <c r="G474" s="3">
        <v>58.01</v>
      </c>
    </row>
    <row r="475">
      <c r="A475" s="3">
        <v>167985.0</v>
      </c>
      <c r="B475" s="3" t="s">
        <v>497</v>
      </c>
      <c r="C475" s="3" t="s">
        <v>38</v>
      </c>
      <c r="D475" s="3">
        <v>482.0</v>
      </c>
      <c r="E475" s="3">
        <v>23.98</v>
      </c>
      <c r="F475" s="3">
        <v>8.78</v>
      </c>
      <c r="G475" s="3">
        <v>62.68</v>
      </c>
    </row>
    <row r="476">
      <c r="A476" s="3">
        <v>167986.0</v>
      </c>
      <c r="B476" s="3" t="s">
        <v>498</v>
      </c>
      <c r="C476" s="3" t="s">
        <v>38</v>
      </c>
      <c r="D476" s="3">
        <v>373.0</v>
      </c>
      <c r="E476" s="3">
        <v>0.02</v>
      </c>
      <c r="F476" s="3">
        <v>0.0</v>
      </c>
      <c r="G476" s="3">
        <v>93.18</v>
      </c>
    </row>
    <row r="477">
      <c r="A477" s="3">
        <v>167987.0</v>
      </c>
      <c r="B477" s="3" t="s">
        <v>499</v>
      </c>
      <c r="C477" s="3" t="s">
        <v>38</v>
      </c>
      <c r="D477" s="3">
        <v>410.0</v>
      </c>
      <c r="E477" s="3">
        <v>10.41</v>
      </c>
      <c r="F477" s="3">
        <v>2.39</v>
      </c>
      <c r="G477" s="3">
        <v>76.7</v>
      </c>
    </row>
    <row r="478">
      <c r="A478" s="3">
        <v>167988.0</v>
      </c>
      <c r="B478" s="3" t="s">
        <v>500</v>
      </c>
      <c r="C478" s="3" t="s">
        <v>38</v>
      </c>
      <c r="D478" s="3">
        <v>460.0</v>
      </c>
      <c r="E478" s="3">
        <v>18.93</v>
      </c>
      <c r="F478" s="3">
        <v>4.38</v>
      </c>
      <c r="G478" s="3">
        <v>68.15</v>
      </c>
    </row>
    <row r="479">
      <c r="A479" s="3">
        <v>167989.0</v>
      </c>
      <c r="B479" s="3" t="s">
        <v>501</v>
      </c>
      <c r="C479" s="3" t="s">
        <v>38</v>
      </c>
      <c r="D479" s="3">
        <v>396.0</v>
      </c>
      <c r="E479" s="3">
        <v>0.0</v>
      </c>
      <c r="F479" s="3">
        <v>0.0</v>
      </c>
      <c r="G479" s="3">
        <v>98.9</v>
      </c>
    </row>
    <row r="480">
      <c r="A480" s="3">
        <v>167990.0</v>
      </c>
      <c r="B480" s="3" t="s">
        <v>502</v>
      </c>
      <c r="C480" s="3" t="s">
        <v>38</v>
      </c>
      <c r="D480" s="3">
        <v>394.0</v>
      </c>
      <c r="E480" s="3">
        <v>0.2</v>
      </c>
      <c r="F480" s="3">
        <v>0.0</v>
      </c>
      <c r="G480" s="3">
        <v>98.0</v>
      </c>
    </row>
    <row r="481">
      <c r="A481" s="3">
        <v>167991.0</v>
      </c>
      <c r="B481" s="3" t="s">
        <v>503</v>
      </c>
      <c r="C481" s="3" t="s">
        <v>38</v>
      </c>
      <c r="D481" s="3">
        <v>375.0</v>
      </c>
      <c r="E481" s="3">
        <v>0.05</v>
      </c>
      <c r="F481" s="3">
        <v>0.0</v>
      </c>
      <c r="G481" s="3">
        <v>93.55</v>
      </c>
    </row>
    <row r="482">
      <c r="A482" s="3">
        <v>167992.0</v>
      </c>
      <c r="B482" s="3" t="s">
        <v>504</v>
      </c>
      <c r="C482" s="3" t="s">
        <v>38</v>
      </c>
      <c r="D482" s="3">
        <v>518.0</v>
      </c>
      <c r="E482" s="3">
        <v>25.99</v>
      </c>
      <c r="F482" s="3">
        <v>6.51</v>
      </c>
      <c r="G482" s="3">
        <v>64.59</v>
      </c>
    </row>
    <row r="483">
      <c r="A483" s="3">
        <v>167993.0</v>
      </c>
      <c r="B483" s="3" t="s">
        <v>505</v>
      </c>
      <c r="C483" s="3" t="s">
        <v>38</v>
      </c>
      <c r="D483" s="3">
        <v>523.0</v>
      </c>
      <c r="E483" s="3">
        <v>26.58</v>
      </c>
      <c r="F483" s="3">
        <v>6.62</v>
      </c>
      <c r="G483" s="3">
        <v>64.34</v>
      </c>
    </row>
    <row r="484">
      <c r="A484" s="3">
        <v>167994.0</v>
      </c>
      <c r="B484" s="3" t="s">
        <v>506</v>
      </c>
      <c r="C484" s="3" t="s">
        <v>38</v>
      </c>
      <c r="D484" s="3">
        <v>467.0</v>
      </c>
      <c r="E484" s="3">
        <v>23.0</v>
      </c>
      <c r="F484" s="3">
        <v>8.1</v>
      </c>
      <c r="G484" s="3">
        <v>62.7</v>
      </c>
    </row>
    <row r="485">
      <c r="A485" s="3">
        <v>167995.0</v>
      </c>
      <c r="B485" s="3" t="s">
        <v>507</v>
      </c>
      <c r="C485" s="3" t="s">
        <v>38</v>
      </c>
      <c r="D485" s="3">
        <v>318.0</v>
      </c>
      <c r="E485" s="3">
        <v>0.2</v>
      </c>
      <c r="F485" s="3">
        <v>1.8</v>
      </c>
      <c r="G485" s="3">
        <v>81.3</v>
      </c>
    </row>
    <row r="486">
      <c r="A486" s="3">
        <v>167996.0</v>
      </c>
      <c r="B486" s="3" t="s">
        <v>508</v>
      </c>
      <c r="C486" s="3" t="s">
        <v>38</v>
      </c>
      <c r="D486" s="3">
        <v>469.0</v>
      </c>
      <c r="E486" s="3">
        <v>21.52</v>
      </c>
      <c r="F486" s="3">
        <v>12.49</v>
      </c>
      <c r="G486" s="3">
        <v>60.49</v>
      </c>
    </row>
    <row r="487">
      <c r="A487" s="3">
        <v>167997.0</v>
      </c>
      <c r="B487" s="3" t="s">
        <v>509</v>
      </c>
      <c r="C487" s="3" t="s">
        <v>38</v>
      </c>
      <c r="D487" s="3">
        <v>462.0</v>
      </c>
      <c r="E487" s="3">
        <v>23.0</v>
      </c>
      <c r="F487" s="3">
        <v>7.7</v>
      </c>
      <c r="G487" s="3">
        <v>65.5</v>
      </c>
    </row>
    <row r="488">
      <c r="A488" s="3">
        <v>167998.0</v>
      </c>
      <c r="B488" s="3" t="s">
        <v>510</v>
      </c>
      <c r="C488" s="3" t="s">
        <v>38</v>
      </c>
      <c r="D488" s="3">
        <v>105.0</v>
      </c>
      <c r="E488" s="3">
        <v>1.92</v>
      </c>
      <c r="F488" s="3">
        <v>3.15</v>
      </c>
      <c r="G488" s="3">
        <v>18.89</v>
      </c>
    </row>
    <row r="489">
      <c r="A489" s="3">
        <v>167999.0</v>
      </c>
      <c r="B489" s="3" t="s">
        <v>511</v>
      </c>
      <c r="C489" s="3" t="s">
        <v>38</v>
      </c>
      <c r="D489" s="3">
        <v>426.0</v>
      </c>
      <c r="E489" s="3">
        <v>15.59</v>
      </c>
      <c r="F489" s="3">
        <v>3.64</v>
      </c>
      <c r="G489" s="3">
        <v>77.41</v>
      </c>
    </row>
    <row r="490">
      <c r="A490" s="3">
        <v>168000.0</v>
      </c>
      <c r="B490" s="3" t="s">
        <v>512</v>
      </c>
      <c r="C490" s="3" t="s">
        <v>38</v>
      </c>
      <c r="D490" s="3">
        <v>539.0</v>
      </c>
      <c r="E490" s="3">
        <v>29.73</v>
      </c>
      <c r="F490" s="3">
        <v>5.41</v>
      </c>
      <c r="G490" s="3">
        <v>62.36</v>
      </c>
    </row>
    <row r="491">
      <c r="A491" s="3">
        <v>168001.0</v>
      </c>
      <c r="B491" s="3" t="s">
        <v>513</v>
      </c>
      <c r="C491" s="3" t="s">
        <v>38</v>
      </c>
      <c r="D491" s="3">
        <v>519.0</v>
      </c>
      <c r="E491" s="3">
        <v>33.5</v>
      </c>
      <c r="F491" s="3">
        <v>13.1</v>
      </c>
      <c r="G491" s="3">
        <v>49.7</v>
      </c>
    </row>
    <row r="492">
      <c r="A492" s="3">
        <v>168002.0</v>
      </c>
      <c r="B492" s="3" t="s">
        <v>514</v>
      </c>
      <c r="C492" s="3" t="s">
        <v>8</v>
      </c>
      <c r="D492" s="3">
        <v>515.0</v>
      </c>
      <c r="E492" s="3">
        <v>24.18</v>
      </c>
      <c r="F492" s="3">
        <v>0.0</v>
      </c>
      <c r="G492" s="3">
        <v>74.39</v>
      </c>
    </row>
    <row r="493">
      <c r="A493" s="3">
        <v>168003.0</v>
      </c>
      <c r="B493" s="3" t="s">
        <v>515</v>
      </c>
      <c r="C493" s="3" t="s">
        <v>8</v>
      </c>
      <c r="D493" s="3">
        <v>541.0</v>
      </c>
      <c r="E493" s="3">
        <v>30.42</v>
      </c>
      <c r="F493" s="3">
        <v>4.06</v>
      </c>
      <c r="G493" s="3">
        <v>62.82</v>
      </c>
    </row>
    <row r="494">
      <c r="A494" s="3">
        <v>168004.0</v>
      </c>
      <c r="B494" s="3" t="s">
        <v>516</v>
      </c>
      <c r="C494" s="3" t="s">
        <v>8</v>
      </c>
      <c r="D494" s="3">
        <v>446.0</v>
      </c>
      <c r="E494" s="3">
        <v>15.63</v>
      </c>
      <c r="F494" s="3">
        <v>12.06</v>
      </c>
      <c r="G494" s="3">
        <v>64.29</v>
      </c>
    </row>
    <row r="495">
      <c r="A495" s="3">
        <v>168005.0</v>
      </c>
      <c r="B495" s="3" t="s">
        <v>517</v>
      </c>
      <c r="C495" s="3" t="s">
        <v>8</v>
      </c>
      <c r="D495" s="3">
        <v>457.0</v>
      </c>
      <c r="E495" s="3">
        <v>16.11</v>
      </c>
      <c r="F495" s="3">
        <v>11.71</v>
      </c>
      <c r="G495" s="3">
        <v>66.2</v>
      </c>
    </row>
    <row r="496">
      <c r="A496" s="3">
        <v>168006.0</v>
      </c>
      <c r="B496" s="3" t="s">
        <v>518</v>
      </c>
      <c r="C496" s="3" t="s">
        <v>8</v>
      </c>
      <c r="D496" s="3">
        <v>458.0</v>
      </c>
      <c r="E496" s="3">
        <v>16.82</v>
      </c>
      <c r="F496" s="3">
        <v>9.56</v>
      </c>
      <c r="G496" s="3">
        <v>67.2</v>
      </c>
    </row>
    <row r="497">
      <c r="A497" s="3">
        <v>168007.0</v>
      </c>
      <c r="B497" s="3" t="s">
        <v>519</v>
      </c>
      <c r="C497" s="3" t="s">
        <v>8</v>
      </c>
      <c r="D497" s="3">
        <v>499.0</v>
      </c>
      <c r="E497" s="3">
        <v>22.15</v>
      </c>
      <c r="F497" s="3">
        <v>3.13</v>
      </c>
      <c r="G497" s="3">
        <v>71.88</v>
      </c>
    </row>
    <row r="498">
      <c r="A498" s="3">
        <v>168008.0</v>
      </c>
      <c r="B498" s="3" t="s">
        <v>520</v>
      </c>
      <c r="C498" s="3" t="s">
        <v>8</v>
      </c>
      <c r="D498" s="3">
        <v>239.0</v>
      </c>
      <c r="E498" s="3">
        <v>2.65</v>
      </c>
      <c r="F498" s="3">
        <v>3.34</v>
      </c>
      <c r="G498" s="3">
        <v>50.47</v>
      </c>
    </row>
    <row r="499">
      <c r="A499" s="3">
        <v>168009.0</v>
      </c>
      <c r="B499" s="3" t="s">
        <v>521</v>
      </c>
      <c r="C499" s="3" t="s">
        <v>8</v>
      </c>
      <c r="D499" s="3">
        <v>240.0</v>
      </c>
      <c r="E499" s="3">
        <v>4.47</v>
      </c>
      <c r="F499" s="3">
        <v>3.81</v>
      </c>
      <c r="G499" s="3">
        <v>46.13</v>
      </c>
    </row>
    <row r="500">
      <c r="A500" s="3">
        <v>168010.0</v>
      </c>
      <c r="B500" s="3" t="s">
        <v>522</v>
      </c>
      <c r="C500" s="3" t="s">
        <v>8</v>
      </c>
      <c r="D500" s="3">
        <v>310.0</v>
      </c>
      <c r="E500" s="3">
        <v>6.4</v>
      </c>
      <c r="F500" s="3">
        <v>7.99</v>
      </c>
      <c r="G500" s="3">
        <v>55.1</v>
      </c>
    </row>
    <row r="501">
      <c r="A501" s="3">
        <v>168011.0</v>
      </c>
      <c r="B501" s="3" t="s">
        <v>523</v>
      </c>
      <c r="C501" s="3" t="s">
        <v>8</v>
      </c>
      <c r="D501" s="3">
        <v>248.0</v>
      </c>
      <c r="E501" s="3">
        <v>8.22</v>
      </c>
      <c r="F501" s="3">
        <v>2.99</v>
      </c>
      <c r="G501" s="3">
        <v>40.54</v>
      </c>
    </row>
    <row r="502">
      <c r="A502" s="3">
        <v>168012.0</v>
      </c>
      <c r="B502" s="3" t="s">
        <v>524</v>
      </c>
      <c r="C502" s="3" t="s">
        <v>8</v>
      </c>
      <c r="D502" s="3">
        <v>471.0</v>
      </c>
      <c r="E502" s="3">
        <v>18.93</v>
      </c>
      <c r="F502" s="3">
        <v>7.63</v>
      </c>
      <c r="G502" s="3">
        <v>67.57</v>
      </c>
    </row>
    <row r="503">
      <c r="A503" s="3">
        <v>168013.0</v>
      </c>
      <c r="B503" s="3" t="s">
        <v>525</v>
      </c>
      <c r="C503" s="3" t="s">
        <v>8</v>
      </c>
      <c r="D503" s="3">
        <v>265.0</v>
      </c>
      <c r="E503" s="3">
        <v>4.23</v>
      </c>
      <c r="F503" s="3">
        <v>13.36</v>
      </c>
      <c r="G503" s="3">
        <v>43.34</v>
      </c>
    </row>
    <row r="504">
      <c r="A504" s="3">
        <v>168014.0</v>
      </c>
      <c r="B504" s="3" t="s">
        <v>526</v>
      </c>
      <c r="C504" s="3" t="s">
        <v>8</v>
      </c>
      <c r="D504" s="3">
        <v>446.0</v>
      </c>
      <c r="E504" s="3">
        <v>13.8</v>
      </c>
      <c r="F504" s="3">
        <v>6.9</v>
      </c>
      <c r="G504" s="3">
        <v>74.1</v>
      </c>
    </row>
    <row r="505">
      <c r="A505" s="3">
        <v>168015.0</v>
      </c>
      <c r="B505" s="3" t="s">
        <v>527</v>
      </c>
      <c r="C505" s="3" t="s">
        <v>101</v>
      </c>
      <c r="D505" s="3">
        <v>209.0</v>
      </c>
      <c r="E505" s="3">
        <v>11.1</v>
      </c>
      <c r="F505" s="3">
        <v>1.7</v>
      </c>
      <c r="G505" s="3">
        <v>25.52</v>
      </c>
    </row>
    <row r="506">
      <c r="A506" s="3">
        <v>168016.0</v>
      </c>
      <c r="B506" s="3" t="s">
        <v>528</v>
      </c>
      <c r="C506" s="3" t="s">
        <v>101</v>
      </c>
      <c r="D506" s="3">
        <v>161.0</v>
      </c>
      <c r="E506" s="3">
        <v>3.58</v>
      </c>
      <c r="F506" s="3">
        <v>1.36</v>
      </c>
      <c r="G506" s="3">
        <v>30.72</v>
      </c>
    </row>
    <row r="507">
      <c r="A507" s="3">
        <v>168017.0</v>
      </c>
      <c r="B507" s="3" t="s">
        <v>529</v>
      </c>
      <c r="C507" s="3" t="s">
        <v>107</v>
      </c>
      <c r="D507" s="3">
        <v>81.0</v>
      </c>
      <c r="E507" s="3">
        <v>0.1</v>
      </c>
      <c r="F507" s="3">
        <v>3.9</v>
      </c>
      <c r="G507" s="3">
        <v>16.1</v>
      </c>
    </row>
    <row r="508">
      <c r="A508" s="3">
        <v>168018.0</v>
      </c>
      <c r="B508" s="3" t="s">
        <v>530</v>
      </c>
      <c r="C508" s="3" t="s">
        <v>107</v>
      </c>
      <c r="D508" s="3">
        <v>104.0</v>
      </c>
      <c r="E508" s="3">
        <v>1.1</v>
      </c>
      <c r="F508" s="3">
        <v>7.3</v>
      </c>
      <c r="G508" s="3">
        <v>16.3</v>
      </c>
    </row>
    <row r="509">
      <c r="A509" s="3">
        <v>168019.0</v>
      </c>
      <c r="B509" s="3" t="s">
        <v>531</v>
      </c>
      <c r="C509" s="3" t="s">
        <v>107</v>
      </c>
      <c r="D509" s="3">
        <v>56.0</v>
      </c>
      <c r="E509" s="3">
        <v>0.8</v>
      </c>
      <c r="F509" s="3">
        <v>12.3</v>
      </c>
      <c r="G509" s="3">
        <v>0.0</v>
      </c>
    </row>
    <row r="510">
      <c r="A510" s="3">
        <v>168020.0</v>
      </c>
      <c r="B510" s="3" t="s">
        <v>532</v>
      </c>
      <c r="C510" s="3" t="s">
        <v>107</v>
      </c>
      <c r="D510" s="3">
        <v>351.0</v>
      </c>
      <c r="E510" s="3">
        <v>2.3</v>
      </c>
      <c r="F510" s="3">
        <v>82.6</v>
      </c>
      <c r="G510" s="3">
        <v>0.0</v>
      </c>
    </row>
    <row r="511">
      <c r="A511" s="3">
        <v>168021.0</v>
      </c>
      <c r="B511" s="3" t="s">
        <v>533</v>
      </c>
      <c r="C511" s="3" t="s">
        <v>107</v>
      </c>
      <c r="D511" s="3">
        <v>156.0</v>
      </c>
      <c r="E511" s="3">
        <v>8.0</v>
      </c>
      <c r="F511" s="3">
        <v>16.6</v>
      </c>
      <c r="G511" s="3">
        <v>4.3</v>
      </c>
    </row>
    <row r="512">
      <c r="A512" s="3">
        <v>168022.0</v>
      </c>
      <c r="B512" s="3" t="s">
        <v>534</v>
      </c>
      <c r="C512" s="3" t="s">
        <v>107</v>
      </c>
      <c r="D512" s="3">
        <v>61.0</v>
      </c>
      <c r="E512" s="3">
        <v>0.5</v>
      </c>
      <c r="F512" s="3">
        <v>4.2</v>
      </c>
      <c r="G512" s="3">
        <v>9.9</v>
      </c>
    </row>
    <row r="513">
      <c r="A513" s="3">
        <v>168023.0</v>
      </c>
      <c r="B513" s="3" t="s">
        <v>535</v>
      </c>
      <c r="C513" s="3" t="s">
        <v>107</v>
      </c>
      <c r="D513" s="3">
        <v>159.0</v>
      </c>
      <c r="E513" s="3">
        <v>10.6</v>
      </c>
      <c r="F513" s="3">
        <v>15.9</v>
      </c>
      <c r="G513" s="3">
        <v>0.0</v>
      </c>
    </row>
    <row r="514">
      <c r="A514" s="3">
        <v>168024.0</v>
      </c>
      <c r="B514" s="3" t="s">
        <v>536</v>
      </c>
      <c r="C514" s="3" t="s">
        <v>107</v>
      </c>
      <c r="D514" s="3">
        <v>266.0</v>
      </c>
      <c r="E514" s="3">
        <v>15.9</v>
      </c>
      <c r="F514" s="3">
        <v>30.7</v>
      </c>
      <c r="G514" s="3">
        <v>0.0</v>
      </c>
    </row>
    <row r="515">
      <c r="A515" s="3">
        <v>168025.0</v>
      </c>
      <c r="B515" s="3" t="s">
        <v>537</v>
      </c>
      <c r="C515" s="3" t="s">
        <v>107</v>
      </c>
      <c r="D515" s="3">
        <v>142.0</v>
      </c>
      <c r="E515" s="3">
        <v>3.2</v>
      </c>
      <c r="F515" s="3">
        <v>28.4</v>
      </c>
      <c r="G515" s="3">
        <v>0.0</v>
      </c>
    </row>
    <row r="516">
      <c r="A516" s="3">
        <v>168026.0</v>
      </c>
      <c r="B516" s="3" t="s">
        <v>538</v>
      </c>
      <c r="C516" s="3" t="s">
        <v>107</v>
      </c>
      <c r="D516" s="3">
        <v>116.0</v>
      </c>
      <c r="E516" s="3">
        <v>3.3</v>
      </c>
      <c r="F516" s="3">
        <v>18.6</v>
      </c>
      <c r="G516" s="3">
        <v>2.9</v>
      </c>
    </row>
    <row r="517">
      <c r="A517" s="3">
        <v>168027.0</v>
      </c>
      <c r="B517" s="3" t="s">
        <v>539</v>
      </c>
      <c r="C517" s="3" t="s">
        <v>107</v>
      </c>
      <c r="D517" s="3">
        <v>72.0</v>
      </c>
      <c r="E517" s="3">
        <v>2.2</v>
      </c>
      <c r="F517" s="3">
        <v>7.4</v>
      </c>
      <c r="G517" s="3">
        <v>5.6</v>
      </c>
    </row>
    <row r="518">
      <c r="A518" s="3">
        <v>168028.0</v>
      </c>
      <c r="B518" s="3" t="s">
        <v>540</v>
      </c>
      <c r="C518" s="3" t="s">
        <v>107</v>
      </c>
      <c r="D518" s="3">
        <v>42.0</v>
      </c>
      <c r="E518" s="3">
        <v>0.7</v>
      </c>
      <c r="F518" s="3">
        <v>2.3</v>
      </c>
      <c r="G518" s="3">
        <v>6.5</v>
      </c>
    </row>
    <row r="519">
      <c r="A519" s="3">
        <v>168029.0</v>
      </c>
      <c r="B519" s="3" t="s">
        <v>541</v>
      </c>
      <c r="C519" s="3" t="s">
        <v>107</v>
      </c>
      <c r="D519" s="3">
        <v>199.0</v>
      </c>
      <c r="E519" s="3">
        <v>13.6</v>
      </c>
      <c r="F519" s="3">
        <v>19.2</v>
      </c>
      <c r="G519" s="3">
        <v>0.0</v>
      </c>
    </row>
    <row r="520">
      <c r="A520" s="3">
        <v>168030.0</v>
      </c>
      <c r="B520" s="3" t="s">
        <v>542</v>
      </c>
      <c r="C520" s="3" t="s">
        <v>107</v>
      </c>
      <c r="D520" s="3">
        <v>282.0</v>
      </c>
      <c r="E520" s="3">
        <v>24.1</v>
      </c>
      <c r="F520" s="3">
        <v>16.3</v>
      </c>
      <c r="G520" s="3">
        <v>0.0</v>
      </c>
    </row>
    <row r="521">
      <c r="A521" s="3">
        <v>168031.0</v>
      </c>
      <c r="B521" s="3" t="s">
        <v>543</v>
      </c>
      <c r="C521" s="3" t="s">
        <v>107</v>
      </c>
      <c r="D521" s="3">
        <v>125.0</v>
      </c>
      <c r="E521" s="3">
        <v>3.0</v>
      </c>
      <c r="F521" s="3">
        <v>21.0</v>
      </c>
      <c r="G521" s="3">
        <v>3.5</v>
      </c>
    </row>
    <row r="522">
      <c r="A522" s="3">
        <v>168032.0</v>
      </c>
      <c r="B522" s="3" t="s">
        <v>544</v>
      </c>
      <c r="C522" s="3" t="s">
        <v>107</v>
      </c>
      <c r="D522" s="3">
        <v>900.0</v>
      </c>
      <c r="E522" s="3">
        <v>100.0</v>
      </c>
      <c r="F522" s="3">
        <v>0.0</v>
      </c>
      <c r="G522" s="3">
        <v>0.0</v>
      </c>
    </row>
    <row r="523">
      <c r="A523" s="3">
        <v>168033.0</v>
      </c>
      <c r="B523" s="3" t="s">
        <v>545</v>
      </c>
      <c r="C523" s="3" t="s">
        <v>107</v>
      </c>
      <c r="D523" s="3">
        <v>131.0</v>
      </c>
      <c r="E523" s="3">
        <v>6.1</v>
      </c>
      <c r="F523" s="3">
        <v>18.9</v>
      </c>
      <c r="G523" s="3">
        <v>0.0</v>
      </c>
    </row>
    <row r="524">
      <c r="A524" s="3">
        <v>168034.0</v>
      </c>
      <c r="B524" s="3" t="s">
        <v>546</v>
      </c>
      <c r="C524" s="3" t="s">
        <v>107</v>
      </c>
      <c r="D524" s="3">
        <v>107.0</v>
      </c>
      <c r="E524" s="3">
        <v>3.6</v>
      </c>
      <c r="F524" s="3">
        <v>18.6</v>
      </c>
      <c r="G524" s="3">
        <v>0.0</v>
      </c>
    </row>
    <row r="525">
      <c r="A525" s="3">
        <v>168035.0</v>
      </c>
      <c r="B525" s="3" t="s">
        <v>547</v>
      </c>
      <c r="C525" s="3" t="s">
        <v>107</v>
      </c>
      <c r="D525" s="3">
        <v>592.0</v>
      </c>
      <c r="E525" s="3">
        <v>61.0</v>
      </c>
      <c r="F525" s="3">
        <v>2.6</v>
      </c>
      <c r="G525" s="3">
        <v>8.1</v>
      </c>
    </row>
    <row r="526">
      <c r="A526" s="3">
        <v>168036.0</v>
      </c>
      <c r="B526" s="3" t="s">
        <v>548</v>
      </c>
      <c r="C526" s="3" t="s">
        <v>107</v>
      </c>
      <c r="D526" s="3">
        <v>122.0</v>
      </c>
      <c r="E526" s="3">
        <v>1.6</v>
      </c>
      <c r="F526" s="3">
        <v>6.1</v>
      </c>
      <c r="G526" s="3">
        <v>20.7</v>
      </c>
    </row>
    <row r="527">
      <c r="A527" s="3">
        <v>168037.0</v>
      </c>
      <c r="B527" s="3" t="s">
        <v>549</v>
      </c>
      <c r="C527" s="3" t="s">
        <v>107</v>
      </c>
      <c r="D527" s="3">
        <v>386.0</v>
      </c>
      <c r="E527" s="3">
        <v>5.18</v>
      </c>
      <c r="F527" s="3">
        <v>9.72</v>
      </c>
      <c r="G527" s="3">
        <v>75.2</v>
      </c>
    </row>
    <row r="528">
      <c r="A528" s="3">
        <v>168038.0</v>
      </c>
      <c r="B528" s="3" t="s">
        <v>550</v>
      </c>
      <c r="C528" s="3" t="s">
        <v>107</v>
      </c>
      <c r="D528" s="3">
        <v>398.0</v>
      </c>
      <c r="E528" s="3">
        <v>5.04</v>
      </c>
      <c r="F528" s="3">
        <v>10.99</v>
      </c>
      <c r="G528" s="3">
        <v>77.14</v>
      </c>
    </row>
    <row r="529">
      <c r="A529" s="3">
        <v>168039.0</v>
      </c>
      <c r="B529" s="3" t="s">
        <v>551</v>
      </c>
      <c r="C529" s="3" t="s">
        <v>107</v>
      </c>
      <c r="D529" s="3">
        <v>384.0</v>
      </c>
      <c r="E529" s="3">
        <v>5.88</v>
      </c>
      <c r="F529" s="3">
        <v>9.85</v>
      </c>
      <c r="G529" s="3">
        <v>72.9</v>
      </c>
    </row>
    <row r="530">
      <c r="A530" s="3">
        <v>168040.0</v>
      </c>
      <c r="B530" s="3" t="s">
        <v>552</v>
      </c>
      <c r="C530" s="3" t="s">
        <v>107</v>
      </c>
      <c r="D530" s="3">
        <v>26.0</v>
      </c>
      <c r="E530" s="3">
        <v>0.2</v>
      </c>
      <c r="F530" s="3">
        <v>0.52</v>
      </c>
      <c r="G530" s="3">
        <v>5.64</v>
      </c>
    </row>
    <row r="531">
      <c r="A531" s="3">
        <v>168041.0</v>
      </c>
      <c r="B531" s="3" t="s">
        <v>553</v>
      </c>
      <c r="C531" s="3" t="s">
        <v>107</v>
      </c>
      <c r="D531" s="3">
        <v>237.0</v>
      </c>
      <c r="E531" s="3">
        <v>0.95</v>
      </c>
      <c r="F531" s="3">
        <v>7.28</v>
      </c>
      <c r="G531" s="3">
        <v>49.94</v>
      </c>
    </row>
    <row r="532">
      <c r="A532" s="3">
        <v>168042.0</v>
      </c>
      <c r="B532" s="3" t="s">
        <v>554</v>
      </c>
      <c r="C532" s="3" t="s">
        <v>107</v>
      </c>
      <c r="D532" s="3">
        <v>101.0</v>
      </c>
      <c r="E532" s="3">
        <v>3.78</v>
      </c>
      <c r="F532" s="3">
        <v>8.71</v>
      </c>
      <c r="G532" s="3">
        <v>8.03</v>
      </c>
    </row>
    <row r="533">
      <c r="A533" s="3">
        <v>168043.0</v>
      </c>
      <c r="B533" s="3" t="s">
        <v>555</v>
      </c>
      <c r="C533" s="3" t="s">
        <v>107</v>
      </c>
      <c r="D533" s="3">
        <v>83.0</v>
      </c>
      <c r="E533" s="3">
        <v>2.06</v>
      </c>
      <c r="F533" s="3">
        <v>6.71</v>
      </c>
      <c r="G533" s="3">
        <v>9.38</v>
      </c>
    </row>
    <row r="534">
      <c r="A534" s="3">
        <v>168044.0</v>
      </c>
      <c r="B534" s="3" t="s">
        <v>556</v>
      </c>
      <c r="C534" s="3" t="s">
        <v>107</v>
      </c>
      <c r="D534" s="3">
        <v>103.0</v>
      </c>
      <c r="E534" s="3">
        <v>4.34</v>
      </c>
      <c r="F534" s="3">
        <v>8.62</v>
      </c>
      <c r="G534" s="3">
        <v>7.27</v>
      </c>
    </row>
    <row r="535">
      <c r="A535" s="3">
        <v>168045.0</v>
      </c>
      <c r="B535" s="3" t="s">
        <v>557</v>
      </c>
      <c r="C535" s="3" t="s">
        <v>107</v>
      </c>
      <c r="D535" s="3">
        <v>153.0</v>
      </c>
      <c r="E535" s="3">
        <v>7.28</v>
      </c>
      <c r="F535" s="3">
        <v>21.94</v>
      </c>
      <c r="G535" s="3">
        <v>0.0</v>
      </c>
    </row>
    <row r="536">
      <c r="A536" s="3">
        <v>168046.0</v>
      </c>
      <c r="B536" s="3" t="s">
        <v>558</v>
      </c>
      <c r="C536" s="3" t="s">
        <v>107</v>
      </c>
      <c r="D536" s="3">
        <v>116.0</v>
      </c>
      <c r="E536" s="3">
        <v>3.67</v>
      </c>
      <c r="F536" s="3">
        <v>20.69</v>
      </c>
      <c r="G536" s="3">
        <v>0.0</v>
      </c>
    </row>
    <row r="537">
      <c r="A537" s="3">
        <v>168047.0</v>
      </c>
      <c r="B537" s="3" t="s">
        <v>559</v>
      </c>
      <c r="C537" s="3" t="s">
        <v>107</v>
      </c>
      <c r="D537" s="3">
        <v>187.0</v>
      </c>
      <c r="E537" s="3">
        <v>11.73</v>
      </c>
      <c r="F537" s="3">
        <v>20.25</v>
      </c>
      <c r="G537" s="3">
        <v>0.0</v>
      </c>
    </row>
    <row r="538">
      <c r="A538" s="3">
        <v>168048.0</v>
      </c>
      <c r="B538" s="3" t="s">
        <v>560</v>
      </c>
      <c r="C538" s="3" t="s">
        <v>107</v>
      </c>
      <c r="D538" s="3">
        <v>47.0</v>
      </c>
      <c r="E538" s="3">
        <v>0.33</v>
      </c>
      <c r="F538" s="3">
        <v>0.85</v>
      </c>
      <c r="G538" s="3">
        <v>10.05</v>
      </c>
    </row>
    <row r="539">
      <c r="A539" s="3">
        <v>168049.0</v>
      </c>
      <c r="B539" s="3" t="s">
        <v>561</v>
      </c>
      <c r="C539" s="3" t="s">
        <v>107</v>
      </c>
      <c r="D539" s="3">
        <v>271.0</v>
      </c>
      <c r="E539" s="3">
        <v>3.67</v>
      </c>
      <c r="F539" s="3">
        <v>59.38</v>
      </c>
      <c r="G539" s="3">
        <v>0.0</v>
      </c>
    </row>
    <row r="540">
      <c r="A540" s="3">
        <v>168050.0</v>
      </c>
      <c r="B540" s="3" t="s">
        <v>562</v>
      </c>
      <c r="C540" s="3" t="s">
        <v>107</v>
      </c>
      <c r="D540" s="3">
        <v>122.0</v>
      </c>
      <c r="E540" s="3">
        <v>3.37</v>
      </c>
      <c r="F540" s="3">
        <v>22.63</v>
      </c>
      <c r="G540" s="3">
        <v>0.0</v>
      </c>
    </row>
    <row r="541">
      <c r="A541" s="3">
        <v>168051.0</v>
      </c>
      <c r="B541" s="3" t="s">
        <v>563</v>
      </c>
      <c r="C541" s="3" t="s">
        <v>107</v>
      </c>
      <c r="D541" s="3">
        <v>367.0</v>
      </c>
      <c r="E541" s="3">
        <v>25.08</v>
      </c>
      <c r="F541" s="3">
        <v>35.31</v>
      </c>
      <c r="G541" s="3">
        <v>0.0</v>
      </c>
    </row>
    <row r="542">
      <c r="A542" s="3">
        <v>168052.0</v>
      </c>
      <c r="B542" s="3" t="s">
        <v>564</v>
      </c>
      <c r="C542" s="3" t="s">
        <v>107</v>
      </c>
      <c r="D542" s="3">
        <v>371.0</v>
      </c>
      <c r="E542" s="3">
        <v>13.44</v>
      </c>
      <c r="F542" s="3">
        <v>62.44</v>
      </c>
      <c r="G542" s="3">
        <v>0.0</v>
      </c>
    </row>
    <row r="543">
      <c r="A543" s="3">
        <v>168053.0</v>
      </c>
      <c r="B543" s="3" t="s">
        <v>565</v>
      </c>
      <c r="C543" s="3" t="s">
        <v>107</v>
      </c>
      <c r="D543" s="3">
        <v>186.0</v>
      </c>
      <c r="E543" s="3">
        <v>10.17</v>
      </c>
      <c r="F543" s="3">
        <v>23.63</v>
      </c>
      <c r="G543" s="3">
        <v>0.0</v>
      </c>
    </row>
    <row r="544">
      <c r="A544" s="3">
        <v>168054.0</v>
      </c>
      <c r="B544" s="3" t="s">
        <v>566</v>
      </c>
      <c r="C544" s="3" t="s">
        <v>107</v>
      </c>
      <c r="D544" s="3">
        <v>378.0</v>
      </c>
      <c r="E544" s="3">
        <v>14.38</v>
      </c>
      <c r="F544" s="3">
        <v>62.09</v>
      </c>
      <c r="G544" s="3">
        <v>0.0</v>
      </c>
    </row>
    <row r="545">
      <c r="A545" s="3">
        <v>168055.0</v>
      </c>
      <c r="B545" s="3" t="s">
        <v>567</v>
      </c>
      <c r="C545" s="3" t="s">
        <v>107</v>
      </c>
      <c r="D545" s="3">
        <v>143.0</v>
      </c>
      <c r="E545" s="3">
        <v>2.8</v>
      </c>
      <c r="F545" s="3">
        <v>29.45</v>
      </c>
      <c r="G545" s="3">
        <v>0.0</v>
      </c>
    </row>
    <row r="546">
      <c r="A546" s="3">
        <v>168056.0</v>
      </c>
      <c r="B546" s="3" t="s">
        <v>568</v>
      </c>
      <c r="C546" s="3" t="s">
        <v>107</v>
      </c>
      <c r="D546" s="3">
        <v>97.0</v>
      </c>
      <c r="E546" s="3">
        <v>1.8</v>
      </c>
      <c r="F546" s="3">
        <v>20.14</v>
      </c>
      <c r="G546" s="3">
        <v>0.0</v>
      </c>
    </row>
    <row r="547">
      <c r="A547" s="3">
        <v>168057.0</v>
      </c>
      <c r="B547" s="3" t="s">
        <v>569</v>
      </c>
      <c r="C547" s="3" t="s">
        <v>107</v>
      </c>
      <c r="D547" s="3">
        <v>148.0</v>
      </c>
      <c r="E547" s="3">
        <v>2.85</v>
      </c>
      <c r="F547" s="3">
        <v>30.56</v>
      </c>
      <c r="G547" s="3">
        <v>0.0</v>
      </c>
    </row>
    <row r="548">
      <c r="A548" s="3">
        <v>168058.0</v>
      </c>
      <c r="B548" s="3" t="s">
        <v>570</v>
      </c>
      <c r="C548" s="3" t="s">
        <v>107</v>
      </c>
      <c r="D548" s="3">
        <v>156.0</v>
      </c>
      <c r="E548" s="3">
        <v>0.98</v>
      </c>
      <c r="F548" s="3">
        <v>2.89</v>
      </c>
      <c r="G548" s="3">
        <v>33.88</v>
      </c>
    </row>
    <row r="549">
      <c r="A549" s="3">
        <v>168059.0</v>
      </c>
      <c r="B549" s="3" t="s">
        <v>571</v>
      </c>
      <c r="C549" s="3" t="s">
        <v>107</v>
      </c>
      <c r="D549" s="3">
        <v>382.0</v>
      </c>
      <c r="E549" s="3">
        <v>8.06</v>
      </c>
      <c r="F549" s="3">
        <v>77.27</v>
      </c>
      <c r="G549" s="3">
        <v>0.0</v>
      </c>
    </row>
    <row r="550">
      <c r="A550" s="3">
        <v>168060.0</v>
      </c>
      <c r="B550" s="3" t="s">
        <v>572</v>
      </c>
      <c r="C550" s="3" t="s">
        <v>107</v>
      </c>
      <c r="D550" s="3">
        <v>159.0</v>
      </c>
      <c r="E550" s="3">
        <v>8.26</v>
      </c>
      <c r="F550" s="3">
        <v>21.11</v>
      </c>
      <c r="G550" s="3">
        <v>0.0</v>
      </c>
    </row>
    <row r="551">
      <c r="A551" s="3">
        <v>168061.0</v>
      </c>
      <c r="B551" s="3" t="s">
        <v>573</v>
      </c>
      <c r="C551" s="3" t="s">
        <v>107</v>
      </c>
      <c r="D551" s="3">
        <v>95.0</v>
      </c>
      <c r="E551" s="3">
        <v>3.47</v>
      </c>
      <c r="F551" s="3">
        <v>6.81</v>
      </c>
      <c r="G551" s="3">
        <v>9.22</v>
      </c>
    </row>
    <row r="552">
      <c r="A552" s="3">
        <v>168062.0</v>
      </c>
      <c r="B552" s="3" t="s">
        <v>574</v>
      </c>
      <c r="C552" s="3" t="s">
        <v>158</v>
      </c>
      <c r="D552" s="3">
        <v>204.0</v>
      </c>
      <c r="E552" s="3">
        <v>10.64</v>
      </c>
      <c r="F552" s="3">
        <v>16.17</v>
      </c>
      <c r="G552" s="3">
        <v>10.92</v>
      </c>
    </row>
    <row r="553">
      <c r="A553" s="3">
        <v>168063.0</v>
      </c>
      <c r="B553" s="3" t="s">
        <v>575</v>
      </c>
      <c r="C553" s="3" t="s">
        <v>158</v>
      </c>
      <c r="D553" s="3">
        <v>146.0</v>
      </c>
      <c r="E553" s="3">
        <v>3.69</v>
      </c>
      <c r="F553" s="3">
        <v>3.2</v>
      </c>
      <c r="G553" s="3">
        <v>24.92</v>
      </c>
    </row>
    <row r="554">
      <c r="A554" s="3">
        <v>168064.0</v>
      </c>
      <c r="B554" s="3" t="s">
        <v>576</v>
      </c>
      <c r="C554" s="3" t="s">
        <v>158</v>
      </c>
      <c r="D554" s="3">
        <v>151.0</v>
      </c>
      <c r="E554" s="3">
        <v>3.85</v>
      </c>
      <c r="F554" s="3">
        <v>4.64</v>
      </c>
      <c r="G554" s="3">
        <v>24.4</v>
      </c>
    </row>
    <row r="555">
      <c r="A555" s="3">
        <v>168065.0</v>
      </c>
      <c r="B555" s="3" t="s">
        <v>577</v>
      </c>
      <c r="C555" s="3" t="s">
        <v>158</v>
      </c>
      <c r="D555" s="3">
        <v>142.0</v>
      </c>
      <c r="E555" s="3">
        <v>3.46</v>
      </c>
      <c r="F555" s="3">
        <v>3.96</v>
      </c>
      <c r="G555" s="3">
        <v>23.74</v>
      </c>
    </row>
    <row r="556">
      <c r="A556" s="3">
        <v>168066.0</v>
      </c>
      <c r="B556" s="3" t="s">
        <v>578</v>
      </c>
      <c r="C556" s="3" t="s">
        <v>158</v>
      </c>
      <c r="D556" s="3">
        <v>182.0</v>
      </c>
      <c r="E556" s="3">
        <v>4.98</v>
      </c>
      <c r="F556" s="3">
        <v>3.5</v>
      </c>
      <c r="G556" s="3">
        <v>30.75</v>
      </c>
    </row>
    <row r="557">
      <c r="A557" s="3">
        <v>168067.0</v>
      </c>
      <c r="B557" s="3" t="s">
        <v>579</v>
      </c>
      <c r="C557" s="3" t="s">
        <v>158</v>
      </c>
      <c r="D557" s="3">
        <v>174.0</v>
      </c>
      <c r="E557" s="3">
        <v>9.04</v>
      </c>
      <c r="F557" s="3">
        <v>7.35</v>
      </c>
      <c r="G557" s="3">
        <v>15.75</v>
      </c>
    </row>
    <row r="558">
      <c r="A558" s="3">
        <v>168068.0</v>
      </c>
      <c r="B558" s="3" t="s">
        <v>580</v>
      </c>
      <c r="C558" s="3" t="s">
        <v>158</v>
      </c>
      <c r="D558" s="3">
        <v>103.0</v>
      </c>
      <c r="E558" s="3">
        <v>2.57</v>
      </c>
      <c r="F558" s="3">
        <v>5.1</v>
      </c>
      <c r="G558" s="3">
        <v>14.79</v>
      </c>
    </row>
    <row r="559">
      <c r="A559" s="3">
        <v>168069.0</v>
      </c>
      <c r="B559" s="3" t="s">
        <v>581</v>
      </c>
      <c r="C559" s="3" t="s">
        <v>158</v>
      </c>
      <c r="D559" s="3">
        <v>74.0</v>
      </c>
      <c r="E559" s="3">
        <v>2.58</v>
      </c>
      <c r="F559" s="3">
        <v>8.61</v>
      </c>
      <c r="G559" s="3">
        <v>4.07</v>
      </c>
    </row>
    <row r="560">
      <c r="A560" s="3">
        <v>168070.0</v>
      </c>
      <c r="B560" s="3" t="s">
        <v>582</v>
      </c>
      <c r="C560" s="3" t="s">
        <v>158</v>
      </c>
      <c r="D560" s="3">
        <v>219.0</v>
      </c>
      <c r="E560" s="3">
        <v>5.38</v>
      </c>
      <c r="F560" s="3">
        <v>5.48</v>
      </c>
      <c r="G560" s="3">
        <v>37.14</v>
      </c>
    </row>
    <row r="561">
      <c r="A561" s="3">
        <v>168071.0</v>
      </c>
      <c r="B561" s="3" t="s">
        <v>583</v>
      </c>
      <c r="C561" s="3" t="s">
        <v>158</v>
      </c>
      <c r="D561" s="3">
        <v>462.0</v>
      </c>
      <c r="E561" s="3">
        <v>26.24</v>
      </c>
      <c r="F561" s="3">
        <v>8.02</v>
      </c>
      <c r="G561" s="3">
        <v>48.57</v>
      </c>
    </row>
    <row r="562">
      <c r="A562" s="3">
        <v>168072.0</v>
      </c>
      <c r="B562" s="3" t="s">
        <v>584</v>
      </c>
      <c r="C562" s="3" t="s">
        <v>158</v>
      </c>
      <c r="D562" s="3">
        <v>105.0</v>
      </c>
      <c r="E562" s="3">
        <v>5.3</v>
      </c>
      <c r="F562" s="3">
        <v>7.08</v>
      </c>
      <c r="G562" s="3">
        <v>7.29</v>
      </c>
    </row>
    <row r="563">
      <c r="A563" s="3">
        <v>168073.0</v>
      </c>
      <c r="B563" s="3" t="s">
        <v>585</v>
      </c>
      <c r="C563" s="3" t="s">
        <v>158</v>
      </c>
      <c r="D563" s="3">
        <v>294.0</v>
      </c>
      <c r="E563" s="3">
        <v>15.41</v>
      </c>
      <c r="F563" s="3">
        <v>18.67</v>
      </c>
      <c r="G563" s="3">
        <v>20.24</v>
      </c>
    </row>
    <row r="564">
      <c r="A564" s="3">
        <v>168074.0</v>
      </c>
      <c r="B564" s="3" t="s">
        <v>586</v>
      </c>
      <c r="C564" s="3" t="s">
        <v>158</v>
      </c>
      <c r="D564" s="3">
        <v>287.0</v>
      </c>
      <c r="E564" s="3">
        <v>16.77</v>
      </c>
      <c r="F564" s="3">
        <v>12.62</v>
      </c>
      <c r="G564" s="3">
        <v>21.4</v>
      </c>
    </row>
    <row r="565">
      <c r="A565" s="3">
        <v>168075.0</v>
      </c>
      <c r="B565" s="3" t="s">
        <v>587</v>
      </c>
      <c r="C565" s="3" t="s">
        <v>158</v>
      </c>
      <c r="D565" s="3">
        <v>266.0</v>
      </c>
      <c r="E565" s="3">
        <v>17.05</v>
      </c>
      <c r="F565" s="3">
        <v>22.94</v>
      </c>
      <c r="G565" s="3">
        <v>5.31</v>
      </c>
    </row>
    <row r="566">
      <c r="A566" s="3">
        <v>168076.0</v>
      </c>
      <c r="B566" s="3" t="s">
        <v>588</v>
      </c>
      <c r="C566" s="3" t="s">
        <v>158</v>
      </c>
      <c r="D566" s="3">
        <v>324.0</v>
      </c>
      <c r="E566" s="3">
        <v>17.87</v>
      </c>
      <c r="F566" s="3">
        <v>13.56</v>
      </c>
      <c r="G566" s="3">
        <v>27.22</v>
      </c>
    </row>
    <row r="567">
      <c r="A567" s="3">
        <v>168077.0</v>
      </c>
      <c r="B567" s="3" t="s">
        <v>589</v>
      </c>
      <c r="C567" s="3" t="s">
        <v>158</v>
      </c>
      <c r="D567" s="3">
        <v>319.0</v>
      </c>
      <c r="E567" s="3">
        <v>20.01</v>
      </c>
      <c r="F567" s="3">
        <v>13.88</v>
      </c>
      <c r="G567" s="3">
        <v>20.93</v>
      </c>
    </row>
    <row r="568">
      <c r="A568" s="3">
        <v>168078.0</v>
      </c>
      <c r="B568" s="3" t="s">
        <v>590</v>
      </c>
      <c r="C568" s="3" t="s">
        <v>158</v>
      </c>
      <c r="D568" s="3">
        <v>150.0</v>
      </c>
      <c r="E568" s="3">
        <v>4.92</v>
      </c>
      <c r="F568" s="3">
        <v>5.19</v>
      </c>
      <c r="G568" s="3">
        <v>21.16</v>
      </c>
    </row>
    <row r="569">
      <c r="A569" s="3">
        <v>168079.0</v>
      </c>
      <c r="B569" s="3" t="s">
        <v>591</v>
      </c>
      <c r="C569" s="3" t="s">
        <v>158</v>
      </c>
      <c r="D569" s="3">
        <v>377.0</v>
      </c>
      <c r="E569" s="3">
        <v>28.57</v>
      </c>
      <c r="F569" s="3">
        <v>16.27</v>
      </c>
      <c r="G569" s="3">
        <v>13.59</v>
      </c>
    </row>
    <row r="570">
      <c r="A570" s="3">
        <v>168080.0</v>
      </c>
      <c r="B570" s="3" t="s">
        <v>592</v>
      </c>
      <c r="C570" s="3" t="s">
        <v>158</v>
      </c>
      <c r="D570" s="3">
        <v>78.0</v>
      </c>
      <c r="E570" s="3">
        <v>4.05</v>
      </c>
      <c r="F570" s="3">
        <v>5.9</v>
      </c>
      <c r="G570" s="3">
        <v>4.52</v>
      </c>
    </row>
    <row r="571">
      <c r="A571" s="3">
        <v>168081.0</v>
      </c>
      <c r="B571" s="3" t="s">
        <v>593</v>
      </c>
      <c r="C571" s="3" t="s">
        <v>158</v>
      </c>
      <c r="D571" s="3">
        <v>250.0</v>
      </c>
      <c r="E571" s="3">
        <v>12.65</v>
      </c>
      <c r="F571" s="3">
        <v>10.1</v>
      </c>
      <c r="G571" s="3">
        <v>23.86</v>
      </c>
    </row>
    <row r="572">
      <c r="A572" s="3">
        <v>168082.0</v>
      </c>
      <c r="B572" s="3" t="s">
        <v>594</v>
      </c>
      <c r="C572" s="3" t="s">
        <v>158</v>
      </c>
      <c r="D572" s="3">
        <v>270.0</v>
      </c>
      <c r="E572" s="3">
        <v>15.66</v>
      </c>
      <c r="F572" s="3">
        <v>8.91</v>
      </c>
      <c r="G572" s="3">
        <v>23.34</v>
      </c>
    </row>
    <row r="573">
      <c r="A573" s="3">
        <v>168083.0</v>
      </c>
      <c r="B573" s="3" t="s">
        <v>595</v>
      </c>
      <c r="C573" s="3" t="s">
        <v>158</v>
      </c>
      <c r="D573" s="3">
        <v>85.0</v>
      </c>
      <c r="E573" s="3">
        <v>2.8</v>
      </c>
      <c r="F573" s="3">
        <v>6.76</v>
      </c>
      <c r="G573" s="3">
        <v>8.29</v>
      </c>
    </row>
    <row r="574">
      <c r="A574" s="3">
        <v>168084.0</v>
      </c>
      <c r="B574" s="3" t="s">
        <v>596</v>
      </c>
      <c r="C574" s="3" t="s">
        <v>158</v>
      </c>
      <c r="D574" s="3">
        <v>43.0</v>
      </c>
      <c r="E574" s="3">
        <v>1.68</v>
      </c>
      <c r="F574" s="3">
        <v>1.34</v>
      </c>
      <c r="G574" s="3">
        <v>5.74</v>
      </c>
    </row>
    <row r="575">
      <c r="A575" s="3">
        <v>168085.0</v>
      </c>
      <c r="B575" s="3" t="s">
        <v>597</v>
      </c>
      <c r="C575" s="3" t="s">
        <v>158</v>
      </c>
      <c r="D575" s="3">
        <v>121.0</v>
      </c>
      <c r="E575" s="3">
        <v>3.28</v>
      </c>
      <c r="F575" s="3">
        <v>5.8</v>
      </c>
      <c r="G575" s="3">
        <v>17.19</v>
      </c>
    </row>
    <row r="576">
      <c r="A576" s="3">
        <v>168086.0</v>
      </c>
      <c r="B576" s="3" t="s">
        <v>598</v>
      </c>
      <c r="C576" s="3" t="s">
        <v>158</v>
      </c>
      <c r="D576" s="3">
        <v>122.0</v>
      </c>
      <c r="E576" s="3">
        <v>3.92</v>
      </c>
      <c r="F576" s="3">
        <v>5.87</v>
      </c>
      <c r="G576" s="3">
        <v>15.71</v>
      </c>
    </row>
    <row r="577">
      <c r="A577" s="3">
        <v>168087.0</v>
      </c>
      <c r="B577" s="3" t="s">
        <v>599</v>
      </c>
      <c r="C577" s="3" t="s">
        <v>158</v>
      </c>
      <c r="D577" s="3">
        <v>293.0</v>
      </c>
      <c r="E577" s="3">
        <v>14.25</v>
      </c>
      <c r="F577" s="3">
        <v>14.33</v>
      </c>
      <c r="G577" s="3">
        <v>26.88</v>
      </c>
    </row>
    <row r="578">
      <c r="A578" s="3">
        <v>168088.0</v>
      </c>
      <c r="B578" s="3" t="s">
        <v>600</v>
      </c>
      <c r="C578" s="3" t="s">
        <v>38</v>
      </c>
      <c r="D578" s="3">
        <v>268.0</v>
      </c>
      <c r="E578" s="3">
        <v>0.0</v>
      </c>
      <c r="F578" s="3">
        <v>0.0</v>
      </c>
      <c r="G578" s="3">
        <v>66.91</v>
      </c>
    </row>
    <row r="579">
      <c r="A579" s="3">
        <v>168089.0</v>
      </c>
      <c r="B579" s="3" t="s">
        <v>601</v>
      </c>
      <c r="C579" s="3" t="s">
        <v>192</v>
      </c>
      <c r="D579" s="3">
        <v>390.0</v>
      </c>
      <c r="E579" s="3">
        <v>32.0</v>
      </c>
      <c r="F579" s="3">
        <v>25.0</v>
      </c>
      <c r="G579" s="3">
        <v>1.0</v>
      </c>
    </row>
    <row r="580">
      <c r="A580" s="3">
        <v>168090.0</v>
      </c>
      <c r="B580" s="3" t="s">
        <v>602</v>
      </c>
      <c r="C580" s="3" t="s">
        <v>196</v>
      </c>
      <c r="D580" s="3">
        <v>86.0</v>
      </c>
      <c r="E580" s="3">
        <v>0.8</v>
      </c>
      <c r="F580" s="3">
        <v>2.5</v>
      </c>
      <c r="G580" s="3">
        <v>17.54</v>
      </c>
    </row>
    <row r="581">
      <c r="A581" s="3">
        <v>168091.0</v>
      </c>
      <c r="B581" s="3" t="s">
        <v>603</v>
      </c>
      <c r="C581" s="3" t="s">
        <v>196</v>
      </c>
      <c r="D581" s="3">
        <v>74.0</v>
      </c>
      <c r="E581" s="3">
        <v>0.8</v>
      </c>
      <c r="F581" s="3">
        <v>2.4</v>
      </c>
      <c r="G581" s="3">
        <v>14.68</v>
      </c>
    </row>
    <row r="582">
      <c r="A582" s="3">
        <v>168092.0</v>
      </c>
      <c r="B582" s="3" t="s">
        <v>604</v>
      </c>
      <c r="C582" s="3" t="s">
        <v>189</v>
      </c>
      <c r="D582" s="3">
        <v>134.0</v>
      </c>
      <c r="E582" s="3">
        <v>5.8</v>
      </c>
      <c r="F582" s="3">
        <v>19.6</v>
      </c>
      <c r="G582" s="3">
        <v>0.93</v>
      </c>
    </row>
    <row r="583">
      <c r="A583" s="3">
        <v>168093.0</v>
      </c>
      <c r="B583" s="3" t="s">
        <v>605</v>
      </c>
      <c r="C583" s="3" t="s">
        <v>187</v>
      </c>
      <c r="D583" s="3">
        <v>564.0</v>
      </c>
      <c r="E583" s="3">
        <v>61.4</v>
      </c>
      <c r="F583" s="3">
        <v>1.2</v>
      </c>
      <c r="G583" s="3">
        <v>3.5</v>
      </c>
    </row>
    <row r="584">
      <c r="A584" s="3">
        <v>168094.0</v>
      </c>
      <c r="B584" s="3" t="s">
        <v>606</v>
      </c>
      <c r="C584" s="3" t="s">
        <v>187</v>
      </c>
      <c r="D584" s="3">
        <v>333.0</v>
      </c>
      <c r="E584" s="3">
        <v>33.3</v>
      </c>
      <c r="F584" s="3">
        <v>0.9</v>
      </c>
      <c r="G584" s="3">
        <v>6.7</v>
      </c>
    </row>
    <row r="585">
      <c r="A585" s="3">
        <v>168095.0</v>
      </c>
      <c r="B585" s="3" t="s">
        <v>607</v>
      </c>
      <c r="C585" s="3" t="s">
        <v>33</v>
      </c>
      <c r="D585" s="3">
        <v>536.0</v>
      </c>
      <c r="E585" s="3">
        <v>31.2</v>
      </c>
      <c r="F585" s="3">
        <v>9.6</v>
      </c>
      <c r="G585" s="3">
        <v>54.1</v>
      </c>
    </row>
    <row r="586">
      <c r="A586" s="3">
        <v>168096.0</v>
      </c>
      <c r="B586" s="3" t="s">
        <v>608</v>
      </c>
      <c r="C586" s="3" t="s">
        <v>187</v>
      </c>
      <c r="D586" s="3">
        <v>200.0</v>
      </c>
      <c r="E586" s="3">
        <v>20.0</v>
      </c>
      <c r="F586" s="3">
        <v>0.3</v>
      </c>
      <c r="G586" s="3">
        <v>6.7</v>
      </c>
    </row>
    <row r="587">
      <c r="A587" s="3">
        <v>168097.0</v>
      </c>
      <c r="B587" s="3" t="s">
        <v>609</v>
      </c>
      <c r="C587" s="3" t="s">
        <v>192</v>
      </c>
      <c r="D587" s="3">
        <v>71.0</v>
      </c>
      <c r="E587" s="3">
        <v>3.5</v>
      </c>
      <c r="F587" s="3">
        <v>0.8</v>
      </c>
      <c r="G587" s="3">
        <v>9.1</v>
      </c>
    </row>
    <row r="588">
      <c r="A588" s="3">
        <v>168098.0</v>
      </c>
      <c r="B588" s="3" t="s">
        <v>610</v>
      </c>
      <c r="C588" s="3" t="s">
        <v>192</v>
      </c>
      <c r="D588" s="3">
        <v>313.0</v>
      </c>
      <c r="E588" s="3">
        <v>21.6</v>
      </c>
      <c r="F588" s="3">
        <v>28.2</v>
      </c>
      <c r="G588" s="3">
        <v>0.7</v>
      </c>
    </row>
    <row r="589">
      <c r="A589" s="3">
        <v>168099.0</v>
      </c>
      <c r="B589" s="3" t="s">
        <v>611</v>
      </c>
      <c r="C589" s="3" t="s">
        <v>187</v>
      </c>
      <c r="D589" s="3">
        <v>107.0</v>
      </c>
      <c r="E589" s="3">
        <v>2.7</v>
      </c>
      <c r="F589" s="3">
        <v>1.4</v>
      </c>
      <c r="G589" s="3">
        <v>20.0</v>
      </c>
    </row>
    <row r="590">
      <c r="A590" s="3">
        <v>168100.0</v>
      </c>
      <c r="B590" s="3" t="s">
        <v>612</v>
      </c>
      <c r="C590" s="3" t="s">
        <v>187</v>
      </c>
      <c r="D590" s="3">
        <v>140.0</v>
      </c>
      <c r="E590" s="3">
        <v>8.0</v>
      </c>
      <c r="F590" s="3">
        <v>1.0</v>
      </c>
      <c r="G590" s="3">
        <v>16.0</v>
      </c>
    </row>
    <row r="591">
      <c r="A591" s="3">
        <v>168101.0</v>
      </c>
      <c r="B591" s="3" t="s">
        <v>613</v>
      </c>
      <c r="C591" s="3" t="s">
        <v>189</v>
      </c>
      <c r="D591" s="3">
        <v>204.0</v>
      </c>
      <c r="E591" s="3">
        <v>14.8</v>
      </c>
      <c r="F591" s="3">
        <v>11.8</v>
      </c>
      <c r="G591" s="3">
        <v>5.2</v>
      </c>
    </row>
    <row r="592">
      <c r="A592" s="3">
        <v>168102.0</v>
      </c>
      <c r="B592" s="3" t="s">
        <v>614</v>
      </c>
      <c r="C592" s="3" t="s">
        <v>38</v>
      </c>
      <c r="D592" s="3">
        <v>553.0</v>
      </c>
      <c r="E592" s="3">
        <v>33.3</v>
      </c>
      <c r="F592" s="3">
        <v>7.3</v>
      </c>
      <c r="G592" s="3">
        <v>56.0</v>
      </c>
    </row>
    <row r="593">
      <c r="A593" s="3">
        <v>168103.0</v>
      </c>
      <c r="B593" s="3" t="s">
        <v>615</v>
      </c>
      <c r="C593" s="3" t="s">
        <v>38</v>
      </c>
      <c r="D593" s="3">
        <v>107.0</v>
      </c>
      <c r="E593" s="3">
        <v>0.8</v>
      </c>
      <c r="F593" s="3">
        <v>4.4</v>
      </c>
      <c r="G593" s="3">
        <v>19.7</v>
      </c>
    </row>
    <row r="594">
      <c r="A594" s="3">
        <v>168104.0</v>
      </c>
      <c r="B594" s="3" t="s">
        <v>616</v>
      </c>
      <c r="C594" s="3" t="s">
        <v>38</v>
      </c>
      <c r="D594" s="3">
        <v>131.0</v>
      </c>
      <c r="E594" s="3">
        <v>3.6</v>
      </c>
      <c r="F594" s="3">
        <v>3.0</v>
      </c>
      <c r="G594" s="3">
        <v>21.6</v>
      </c>
    </row>
    <row r="595">
      <c r="A595" s="3">
        <v>168105.0</v>
      </c>
      <c r="B595" s="3" t="s">
        <v>617</v>
      </c>
      <c r="C595" s="3" t="s">
        <v>38</v>
      </c>
      <c r="D595" s="3">
        <v>127.0</v>
      </c>
      <c r="E595" s="3">
        <v>3.6</v>
      </c>
      <c r="F595" s="3">
        <v>3.0</v>
      </c>
      <c r="G595" s="3">
        <v>21.6</v>
      </c>
    </row>
    <row r="596">
      <c r="A596" s="3">
        <v>168106.0</v>
      </c>
      <c r="B596" s="3" t="s">
        <v>618</v>
      </c>
      <c r="C596" s="3" t="s">
        <v>228</v>
      </c>
      <c r="D596" s="3">
        <v>371.0</v>
      </c>
      <c r="E596" s="3">
        <v>3.25</v>
      </c>
      <c r="F596" s="3">
        <v>25.56</v>
      </c>
      <c r="G596" s="3">
        <v>59.87</v>
      </c>
    </row>
    <row r="597">
      <c r="A597" s="3">
        <v>168107.0</v>
      </c>
      <c r="B597" s="3" t="s">
        <v>619</v>
      </c>
      <c r="C597" s="3" t="s">
        <v>33</v>
      </c>
      <c r="D597" s="3">
        <v>392.0</v>
      </c>
      <c r="E597" s="3">
        <v>4.3</v>
      </c>
      <c r="F597" s="3">
        <v>7.1</v>
      </c>
      <c r="G597" s="3">
        <v>81.1</v>
      </c>
    </row>
    <row r="598">
      <c r="A598" s="3">
        <v>168108.0</v>
      </c>
      <c r="B598" s="3" t="s">
        <v>620</v>
      </c>
      <c r="C598" s="3" t="s">
        <v>38</v>
      </c>
      <c r="D598" s="3">
        <v>522.0</v>
      </c>
      <c r="E598" s="3">
        <v>27.76</v>
      </c>
      <c r="F598" s="3">
        <v>7.53</v>
      </c>
      <c r="G598" s="3">
        <v>60.5</v>
      </c>
    </row>
    <row r="599">
      <c r="A599" s="3">
        <v>168109.0</v>
      </c>
      <c r="B599" s="3" t="s">
        <v>621</v>
      </c>
      <c r="C599" s="3" t="s">
        <v>187</v>
      </c>
      <c r="D599" s="3">
        <v>329.0</v>
      </c>
      <c r="E599" s="3">
        <v>20.0</v>
      </c>
      <c r="F599" s="3">
        <v>0.0</v>
      </c>
      <c r="G599" s="3">
        <v>40.0</v>
      </c>
    </row>
    <row r="600">
      <c r="A600" s="3">
        <v>168110.0</v>
      </c>
      <c r="B600" s="3" t="s">
        <v>622</v>
      </c>
      <c r="C600" s="3" t="s">
        <v>189</v>
      </c>
      <c r="D600" s="3">
        <v>172.0</v>
      </c>
      <c r="E600" s="3">
        <v>8.3</v>
      </c>
      <c r="F600" s="3">
        <v>22.3</v>
      </c>
      <c r="G600" s="3">
        <v>0.3</v>
      </c>
    </row>
    <row r="601">
      <c r="A601" s="3">
        <v>168111.0</v>
      </c>
      <c r="B601" s="3" t="s">
        <v>623</v>
      </c>
      <c r="C601" s="3" t="s">
        <v>189</v>
      </c>
      <c r="D601" s="3">
        <v>145.0</v>
      </c>
      <c r="E601" s="3">
        <v>5.5</v>
      </c>
      <c r="F601" s="3">
        <v>20.9</v>
      </c>
      <c r="G601" s="3">
        <v>1.5</v>
      </c>
    </row>
    <row r="602">
      <c r="A602" s="3">
        <v>168112.0</v>
      </c>
      <c r="B602" s="3" t="s">
        <v>624</v>
      </c>
      <c r="C602" s="3" t="s">
        <v>187</v>
      </c>
      <c r="D602" s="3">
        <v>263.0</v>
      </c>
      <c r="E602" s="3">
        <v>19.0</v>
      </c>
      <c r="F602" s="3">
        <v>0.9</v>
      </c>
      <c r="G602" s="3">
        <v>23.9</v>
      </c>
    </row>
    <row r="603">
      <c r="A603" s="3">
        <v>168113.0</v>
      </c>
      <c r="B603" s="3" t="s">
        <v>625</v>
      </c>
      <c r="C603" s="3" t="s">
        <v>38</v>
      </c>
      <c r="D603" s="3">
        <v>95.0</v>
      </c>
      <c r="E603" s="3">
        <v>0.0</v>
      </c>
      <c r="F603" s="3">
        <v>0.5</v>
      </c>
      <c r="G603" s="3">
        <v>23.17</v>
      </c>
    </row>
    <row r="604">
      <c r="A604" s="3">
        <v>168114.0</v>
      </c>
      <c r="B604" s="3" t="s">
        <v>626</v>
      </c>
      <c r="C604" s="3" t="s">
        <v>192</v>
      </c>
      <c r="D604" s="3">
        <v>72.0</v>
      </c>
      <c r="E604" s="3">
        <v>1.0</v>
      </c>
      <c r="F604" s="3">
        <v>12.4</v>
      </c>
      <c r="G604" s="3">
        <v>2.7</v>
      </c>
    </row>
    <row r="605">
      <c r="A605" s="3">
        <v>168115.0</v>
      </c>
      <c r="B605" s="3" t="s">
        <v>627</v>
      </c>
      <c r="C605" s="3" t="s">
        <v>187</v>
      </c>
      <c r="D605" s="3">
        <v>231.0</v>
      </c>
      <c r="E605" s="3">
        <v>19.2</v>
      </c>
      <c r="F605" s="3">
        <v>0.3</v>
      </c>
      <c r="G605" s="3">
        <v>16.0</v>
      </c>
    </row>
    <row r="606">
      <c r="A606" s="3">
        <v>168116.0</v>
      </c>
      <c r="B606" s="3" t="s">
        <v>628</v>
      </c>
      <c r="C606" s="3" t="s">
        <v>33</v>
      </c>
      <c r="D606" s="3">
        <v>503.0</v>
      </c>
      <c r="E606" s="3">
        <v>23.36</v>
      </c>
      <c r="F606" s="3">
        <v>7.79</v>
      </c>
      <c r="G606" s="3">
        <v>65.32</v>
      </c>
    </row>
    <row r="607">
      <c r="A607" s="3">
        <v>168117.0</v>
      </c>
      <c r="B607" s="3" t="s">
        <v>629</v>
      </c>
      <c r="C607" s="3" t="s">
        <v>257</v>
      </c>
      <c r="D607" s="3">
        <v>46.0</v>
      </c>
      <c r="E607" s="3">
        <v>0.13</v>
      </c>
      <c r="F607" s="3">
        <v>0.39</v>
      </c>
      <c r="G607" s="3">
        <v>12.2</v>
      </c>
    </row>
    <row r="608">
      <c r="A608" s="3">
        <v>168118.0</v>
      </c>
      <c r="B608" s="3" t="s">
        <v>630</v>
      </c>
      <c r="C608" s="3" t="s">
        <v>189</v>
      </c>
      <c r="D608" s="3">
        <v>310.0</v>
      </c>
      <c r="E608" s="3">
        <v>28.4</v>
      </c>
      <c r="F608" s="3">
        <v>11.7</v>
      </c>
      <c r="G608" s="3">
        <v>2.0</v>
      </c>
    </row>
    <row r="609">
      <c r="A609" s="3">
        <v>168119.0</v>
      </c>
      <c r="B609" s="3" t="s">
        <v>631</v>
      </c>
      <c r="C609" s="3" t="s">
        <v>101</v>
      </c>
      <c r="D609" s="3">
        <v>19.0</v>
      </c>
      <c r="E609" s="3">
        <v>0.3</v>
      </c>
      <c r="F609" s="3">
        <v>1.36</v>
      </c>
      <c r="G609" s="3">
        <v>2.81</v>
      </c>
    </row>
    <row r="610">
      <c r="A610" s="3">
        <v>168120.0</v>
      </c>
      <c r="B610" s="3" t="s">
        <v>632</v>
      </c>
      <c r="C610" s="3" t="s">
        <v>189</v>
      </c>
      <c r="D610" s="3">
        <v>208.0</v>
      </c>
      <c r="E610" s="3">
        <v>9.7</v>
      </c>
      <c r="F610" s="3">
        <v>28.1</v>
      </c>
      <c r="G610" s="3">
        <v>0.0</v>
      </c>
    </row>
    <row r="611">
      <c r="A611" s="3">
        <v>168121.0</v>
      </c>
      <c r="B611" s="3" t="s">
        <v>633</v>
      </c>
      <c r="C611" s="3" t="s">
        <v>192</v>
      </c>
      <c r="D611" s="3">
        <v>376.0</v>
      </c>
      <c r="E611" s="3">
        <v>31.19</v>
      </c>
      <c r="F611" s="3">
        <v>22.2</v>
      </c>
      <c r="G611" s="3">
        <v>1.6</v>
      </c>
    </row>
    <row r="612">
      <c r="A612" s="3">
        <v>168122.0</v>
      </c>
      <c r="B612" s="3" t="s">
        <v>634</v>
      </c>
      <c r="C612" s="3" t="s">
        <v>183</v>
      </c>
      <c r="D612" s="3">
        <v>509.0</v>
      </c>
      <c r="E612" s="3">
        <v>29.1</v>
      </c>
      <c r="F612" s="3">
        <v>1.96</v>
      </c>
      <c r="G612" s="3">
        <v>59.94</v>
      </c>
    </row>
    <row r="613">
      <c r="A613" s="3">
        <v>168123.0</v>
      </c>
      <c r="B613" s="3" t="s">
        <v>635</v>
      </c>
      <c r="C613" s="3" t="s">
        <v>183</v>
      </c>
      <c r="D613" s="3">
        <v>19.0</v>
      </c>
      <c r="E613" s="3">
        <v>0.0</v>
      </c>
      <c r="F613" s="3">
        <v>0.1</v>
      </c>
      <c r="G613" s="3">
        <v>4.7</v>
      </c>
    </row>
    <row r="614">
      <c r="A614" s="3">
        <v>168124.0</v>
      </c>
      <c r="B614" s="3" t="s">
        <v>636</v>
      </c>
      <c r="C614" s="3" t="s">
        <v>192</v>
      </c>
      <c r="D614" s="3">
        <v>374.0</v>
      </c>
      <c r="E614" s="3">
        <v>27.4</v>
      </c>
      <c r="F614" s="3">
        <v>28.4</v>
      </c>
      <c r="G614" s="3">
        <v>3.4</v>
      </c>
    </row>
    <row r="615">
      <c r="A615" s="3">
        <v>168125.0</v>
      </c>
      <c r="B615" s="3" t="s">
        <v>637</v>
      </c>
      <c r="C615" s="3" t="s">
        <v>196</v>
      </c>
      <c r="D615" s="3">
        <v>82.0</v>
      </c>
      <c r="E615" s="3">
        <v>1.9</v>
      </c>
      <c r="F615" s="3">
        <v>4.34</v>
      </c>
      <c r="G615" s="3">
        <v>11.53</v>
      </c>
    </row>
    <row r="616">
      <c r="A616" s="3">
        <v>168126.0</v>
      </c>
      <c r="B616" s="3" t="s">
        <v>638</v>
      </c>
      <c r="C616" s="3" t="s">
        <v>8</v>
      </c>
      <c r="D616" s="3">
        <v>276.0</v>
      </c>
      <c r="E616" s="3">
        <v>2.8</v>
      </c>
      <c r="F616" s="3">
        <v>10.8</v>
      </c>
      <c r="G616" s="3">
        <v>51.87</v>
      </c>
    </row>
    <row r="617">
      <c r="A617" s="3">
        <v>168127.0</v>
      </c>
      <c r="B617" s="3" t="s">
        <v>639</v>
      </c>
      <c r="C617" s="3" t="s">
        <v>33</v>
      </c>
      <c r="D617" s="3">
        <v>557.0</v>
      </c>
      <c r="E617" s="3">
        <v>33.4</v>
      </c>
      <c r="F617" s="3">
        <v>6.6</v>
      </c>
      <c r="G617" s="3">
        <v>57.4</v>
      </c>
    </row>
    <row r="618">
      <c r="A618" s="3">
        <v>168128.0</v>
      </c>
      <c r="B618" s="3" t="s">
        <v>640</v>
      </c>
      <c r="C618" s="3" t="s">
        <v>228</v>
      </c>
      <c r="D618" s="3">
        <v>105.0</v>
      </c>
      <c r="E618" s="3">
        <v>0.4</v>
      </c>
      <c r="F618" s="3">
        <v>4.8</v>
      </c>
      <c r="G618" s="3">
        <v>20.49</v>
      </c>
    </row>
    <row r="619">
      <c r="A619" s="3">
        <v>168129.0</v>
      </c>
      <c r="B619" s="3" t="s">
        <v>641</v>
      </c>
      <c r="C619" s="3" t="s">
        <v>252</v>
      </c>
      <c r="D619" s="3">
        <v>36.0</v>
      </c>
      <c r="E619" s="3">
        <v>1.4</v>
      </c>
      <c r="F619" s="3">
        <v>5.5</v>
      </c>
      <c r="G619" s="3">
        <v>0.0</v>
      </c>
    </row>
    <row r="620">
      <c r="A620" s="3">
        <v>168130.0</v>
      </c>
      <c r="B620" s="3" t="s">
        <v>642</v>
      </c>
      <c r="C620" s="3" t="s">
        <v>38</v>
      </c>
      <c r="D620" s="3">
        <v>323.0</v>
      </c>
      <c r="E620" s="3">
        <v>20.2</v>
      </c>
      <c r="F620" s="3">
        <v>4.4</v>
      </c>
      <c r="G620" s="3">
        <v>30.9</v>
      </c>
    </row>
    <row r="621">
      <c r="A621" s="3">
        <v>168131.0</v>
      </c>
      <c r="B621" s="3" t="s">
        <v>643</v>
      </c>
      <c r="C621" s="3" t="s">
        <v>189</v>
      </c>
      <c r="D621" s="3">
        <v>312.0</v>
      </c>
      <c r="E621" s="3">
        <v>28.51</v>
      </c>
      <c r="F621" s="3">
        <v>12.0</v>
      </c>
      <c r="G621" s="3">
        <v>1.8</v>
      </c>
    </row>
    <row r="622">
      <c r="A622" s="3">
        <v>168132.0</v>
      </c>
      <c r="B622" s="3" t="s">
        <v>644</v>
      </c>
      <c r="C622" s="3" t="s">
        <v>38</v>
      </c>
      <c r="D622" s="3">
        <v>24.0</v>
      </c>
      <c r="E622" s="3">
        <v>0.0</v>
      </c>
      <c r="F622" s="3">
        <v>0.0</v>
      </c>
      <c r="G622" s="3">
        <v>5.92</v>
      </c>
    </row>
    <row r="623">
      <c r="A623" s="3">
        <v>168133.0</v>
      </c>
      <c r="B623" s="3" t="s">
        <v>645</v>
      </c>
      <c r="C623" s="3" t="s">
        <v>196</v>
      </c>
      <c r="D623" s="3">
        <v>77.0</v>
      </c>
      <c r="E623" s="3">
        <v>0.18</v>
      </c>
      <c r="F623" s="3">
        <v>0.9</v>
      </c>
      <c r="G623" s="3">
        <v>17.6</v>
      </c>
    </row>
    <row r="624">
      <c r="A624" s="3">
        <v>168134.0</v>
      </c>
      <c r="B624" s="3" t="s">
        <v>646</v>
      </c>
      <c r="C624" s="3" t="s">
        <v>196</v>
      </c>
      <c r="D624" s="3">
        <v>77.0</v>
      </c>
      <c r="E624" s="3">
        <v>0.7</v>
      </c>
      <c r="F624" s="3">
        <v>0.5</v>
      </c>
      <c r="G624" s="3">
        <v>17.05</v>
      </c>
    </row>
    <row r="625">
      <c r="A625" s="3">
        <v>168135.0</v>
      </c>
      <c r="B625" s="3" t="s">
        <v>647</v>
      </c>
      <c r="C625" s="3" t="s">
        <v>196</v>
      </c>
      <c r="D625" s="3">
        <v>78.0</v>
      </c>
      <c r="E625" s="3">
        <v>0.52</v>
      </c>
      <c r="F625" s="3">
        <v>1.1</v>
      </c>
      <c r="G625" s="3">
        <v>17.35</v>
      </c>
    </row>
    <row r="626">
      <c r="A626" s="3">
        <v>168136.0</v>
      </c>
      <c r="B626" s="3" t="s">
        <v>648</v>
      </c>
      <c r="C626" s="3" t="s">
        <v>38</v>
      </c>
      <c r="D626" s="3">
        <v>251.0</v>
      </c>
      <c r="E626" s="3">
        <v>16.98</v>
      </c>
      <c r="F626" s="3">
        <v>4.72</v>
      </c>
      <c r="G626" s="3">
        <v>19.78</v>
      </c>
    </row>
    <row r="627">
      <c r="A627" s="3">
        <v>168137.0</v>
      </c>
      <c r="B627" s="3" t="s">
        <v>649</v>
      </c>
      <c r="C627" s="3" t="s">
        <v>33</v>
      </c>
      <c r="D627" s="3">
        <v>465.0</v>
      </c>
      <c r="E627" s="3">
        <v>15.2</v>
      </c>
      <c r="F627" s="3">
        <v>8.7</v>
      </c>
      <c r="G627" s="3">
        <v>73.4</v>
      </c>
    </row>
    <row r="628">
      <c r="A628" s="3">
        <v>168138.0</v>
      </c>
      <c r="B628" s="3" t="s">
        <v>650</v>
      </c>
      <c r="C628" s="3" t="s">
        <v>222</v>
      </c>
      <c r="D628" s="3">
        <v>401.0</v>
      </c>
      <c r="E628" s="3">
        <v>5.46</v>
      </c>
      <c r="F628" s="3">
        <v>7.12</v>
      </c>
      <c r="G628" s="3">
        <v>81.19</v>
      </c>
    </row>
    <row r="629">
      <c r="A629" s="3">
        <v>168139.0</v>
      </c>
      <c r="B629" s="3" t="s">
        <v>651</v>
      </c>
      <c r="C629" s="3" t="s">
        <v>33</v>
      </c>
      <c r="D629" s="3">
        <v>429.0</v>
      </c>
      <c r="E629" s="3">
        <v>9.5</v>
      </c>
      <c r="F629" s="3">
        <v>12.6</v>
      </c>
      <c r="G629" s="3">
        <v>73.39</v>
      </c>
    </row>
    <row r="630">
      <c r="A630" s="3">
        <v>168140.0</v>
      </c>
      <c r="B630" s="3" t="s">
        <v>652</v>
      </c>
      <c r="C630" s="3" t="s">
        <v>196</v>
      </c>
      <c r="D630" s="3">
        <v>73.0</v>
      </c>
      <c r="E630" s="3">
        <v>0.2</v>
      </c>
      <c r="F630" s="3">
        <v>0.5</v>
      </c>
      <c r="G630" s="3">
        <v>17.18</v>
      </c>
    </row>
    <row r="631">
      <c r="A631" s="3">
        <v>168141.0</v>
      </c>
      <c r="B631" s="3" t="s">
        <v>653</v>
      </c>
      <c r="C631" s="3" t="s">
        <v>192</v>
      </c>
      <c r="D631" s="3">
        <v>179.0</v>
      </c>
      <c r="E631" s="3">
        <v>5.1</v>
      </c>
      <c r="F631" s="3">
        <v>28.4</v>
      </c>
      <c r="G631" s="3">
        <v>3.4</v>
      </c>
    </row>
    <row r="632">
      <c r="A632" s="3">
        <v>168142.0</v>
      </c>
      <c r="B632" s="3" t="s">
        <v>654</v>
      </c>
      <c r="C632" s="3" t="s">
        <v>38</v>
      </c>
      <c r="D632" s="3">
        <v>279.0</v>
      </c>
      <c r="E632" s="3">
        <v>0.0</v>
      </c>
      <c r="F632" s="3">
        <v>0.0</v>
      </c>
      <c r="G632" s="3">
        <v>76.1</v>
      </c>
    </row>
    <row r="633">
      <c r="A633" s="3">
        <v>168143.0</v>
      </c>
      <c r="B633" s="3" t="s">
        <v>655</v>
      </c>
      <c r="C633" s="3" t="s">
        <v>38</v>
      </c>
      <c r="D633" s="3">
        <v>356.0</v>
      </c>
      <c r="E633" s="3">
        <v>2.4</v>
      </c>
      <c r="F633" s="3">
        <v>5.3</v>
      </c>
      <c r="G633" s="3">
        <v>78.2</v>
      </c>
    </row>
    <row r="634">
      <c r="A634" s="3">
        <v>168144.0</v>
      </c>
      <c r="B634" s="3" t="s">
        <v>656</v>
      </c>
      <c r="C634" s="3" t="s">
        <v>196</v>
      </c>
      <c r="D634" s="3">
        <v>62.0</v>
      </c>
      <c r="E634" s="3">
        <v>0.0</v>
      </c>
      <c r="F634" s="3">
        <v>0.0</v>
      </c>
      <c r="G634" s="3">
        <v>15.38</v>
      </c>
    </row>
    <row r="635">
      <c r="A635" s="3">
        <v>168145.0</v>
      </c>
      <c r="B635" s="3" t="s">
        <v>657</v>
      </c>
      <c r="C635" s="3" t="s">
        <v>38</v>
      </c>
      <c r="D635" s="3">
        <v>179.0</v>
      </c>
      <c r="E635" s="3">
        <v>0.03</v>
      </c>
      <c r="F635" s="3">
        <v>0.3</v>
      </c>
      <c r="G635" s="3">
        <v>46.1</v>
      </c>
    </row>
    <row r="636">
      <c r="A636" s="3">
        <v>168146.0</v>
      </c>
      <c r="B636" s="3" t="s">
        <v>658</v>
      </c>
      <c r="C636" s="3" t="s">
        <v>38</v>
      </c>
      <c r="D636" s="3">
        <v>350.0</v>
      </c>
      <c r="E636" s="3">
        <v>0.9</v>
      </c>
      <c r="F636" s="3">
        <v>0.81</v>
      </c>
      <c r="G636" s="3">
        <v>84.66</v>
      </c>
    </row>
    <row r="637">
      <c r="A637" s="3">
        <v>168147.0</v>
      </c>
      <c r="B637" s="3" t="s">
        <v>659</v>
      </c>
      <c r="C637" s="3" t="s">
        <v>660</v>
      </c>
      <c r="D637" s="3">
        <v>370.0</v>
      </c>
      <c r="E637" s="3">
        <v>1.85</v>
      </c>
      <c r="F637" s="3">
        <v>75.16</v>
      </c>
      <c r="G637" s="3">
        <v>13.79</v>
      </c>
    </row>
    <row r="638">
      <c r="A638" s="3">
        <v>168148.0</v>
      </c>
      <c r="B638" s="3" t="s">
        <v>661</v>
      </c>
      <c r="C638" s="3" t="s">
        <v>252</v>
      </c>
      <c r="D638" s="3">
        <v>73.0</v>
      </c>
      <c r="E638" s="3">
        <v>0.3</v>
      </c>
      <c r="F638" s="3">
        <v>16.4</v>
      </c>
      <c r="G638" s="3">
        <v>0.0</v>
      </c>
    </row>
    <row r="639">
      <c r="A639" s="3">
        <v>168149.0</v>
      </c>
      <c r="B639" s="3" t="s">
        <v>662</v>
      </c>
      <c r="C639" s="3" t="s">
        <v>252</v>
      </c>
      <c r="D639" s="3">
        <v>305.0</v>
      </c>
      <c r="E639" s="3">
        <v>25.1</v>
      </c>
      <c r="F639" s="3">
        <v>18.5</v>
      </c>
      <c r="G639" s="3">
        <v>0.0</v>
      </c>
    </row>
    <row r="640">
      <c r="A640" s="3">
        <v>168150.0</v>
      </c>
      <c r="B640" s="3" t="s">
        <v>663</v>
      </c>
      <c r="C640" s="3" t="s">
        <v>257</v>
      </c>
      <c r="D640" s="3">
        <v>60.0</v>
      </c>
      <c r="E640" s="3">
        <v>0.23</v>
      </c>
      <c r="F640" s="3">
        <v>0.72</v>
      </c>
      <c r="G640" s="3">
        <v>15.56</v>
      </c>
    </row>
    <row r="641">
      <c r="A641" s="3">
        <v>168151.0</v>
      </c>
      <c r="B641" s="3" t="s">
        <v>664</v>
      </c>
      <c r="C641" s="3" t="s">
        <v>257</v>
      </c>
      <c r="D641" s="3">
        <v>79.0</v>
      </c>
      <c r="E641" s="3">
        <v>0.2</v>
      </c>
      <c r="F641" s="3">
        <v>1.2</v>
      </c>
      <c r="G641" s="3">
        <v>20.23</v>
      </c>
    </row>
    <row r="642">
      <c r="A642" s="3">
        <v>168152.0</v>
      </c>
      <c r="B642" s="3" t="s">
        <v>665</v>
      </c>
      <c r="C642" s="3" t="s">
        <v>257</v>
      </c>
      <c r="D642" s="3">
        <v>281.0</v>
      </c>
      <c r="E642" s="3">
        <v>0.5</v>
      </c>
      <c r="F642" s="3">
        <v>4.72</v>
      </c>
      <c r="G642" s="3">
        <v>72.52</v>
      </c>
    </row>
    <row r="643">
      <c r="A643" s="3">
        <v>168153.0</v>
      </c>
      <c r="B643" s="3" t="s">
        <v>666</v>
      </c>
      <c r="C643" s="3" t="s">
        <v>257</v>
      </c>
      <c r="D643" s="3">
        <v>61.0</v>
      </c>
      <c r="E643" s="3">
        <v>0.52</v>
      </c>
      <c r="F643" s="3">
        <v>1.14</v>
      </c>
      <c r="G643" s="3">
        <v>14.66</v>
      </c>
    </row>
    <row r="644">
      <c r="A644" s="3">
        <v>168154.0</v>
      </c>
      <c r="B644" s="3" t="s">
        <v>667</v>
      </c>
      <c r="C644" s="3" t="s">
        <v>257</v>
      </c>
      <c r="D644" s="3">
        <v>71.0</v>
      </c>
      <c r="E644" s="3">
        <v>0.86</v>
      </c>
      <c r="F644" s="3">
        <v>1.88</v>
      </c>
      <c r="G644" s="3">
        <v>15.9</v>
      </c>
    </row>
    <row r="645">
      <c r="A645" s="3">
        <v>168155.0</v>
      </c>
      <c r="B645" s="3" t="s">
        <v>668</v>
      </c>
      <c r="C645" s="3" t="s">
        <v>257</v>
      </c>
      <c r="D645" s="3">
        <v>30.0</v>
      </c>
      <c r="E645" s="3">
        <v>0.2</v>
      </c>
      <c r="F645" s="3">
        <v>0.7</v>
      </c>
      <c r="G645" s="3">
        <v>10.54</v>
      </c>
    </row>
    <row r="646">
      <c r="A646" s="3">
        <v>168156.0</v>
      </c>
      <c r="B646" s="3" t="s">
        <v>669</v>
      </c>
      <c r="C646" s="3" t="s">
        <v>257</v>
      </c>
      <c r="D646" s="3">
        <v>25.0</v>
      </c>
      <c r="E646" s="3">
        <v>0.07</v>
      </c>
      <c r="F646" s="3">
        <v>0.42</v>
      </c>
      <c r="G646" s="3">
        <v>8.42</v>
      </c>
    </row>
    <row r="647">
      <c r="A647" s="3">
        <v>168157.0</v>
      </c>
      <c r="B647" s="3" t="s">
        <v>670</v>
      </c>
      <c r="C647" s="3" t="s">
        <v>257</v>
      </c>
      <c r="D647" s="3">
        <v>21.0</v>
      </c>
      <c r="E647" s="3">
        <v>0.23</v>
      </c>
      <c r="F647" s="3">
        <v>0.25</v>
      </c>
      <c r="G647" s="3">
        <v>6.69</v>
      </c>
    </row>
    <row r="648">
      <c r="A648" s="3">
        <v>168158.0</v>
      </c>
      <c r="B648" s="3" t="s">
        <v>671</v>
      </c>
      <c r="C648" s="3" t="s">
        <v>257</v>
      </c>
      <c r="D648" s="3">
        <v>317.0</v>
      </c>
      <c r="E648" s="3">
        <v>2.5</v>
      </c>
      <c r="F648" s="3">
        <v>2.5</v>
      </c>
      <c r="G648" s="3">
        <v>80.0</v>
      </c>
    </row>
    <row r="649">
      <c r="A649" s="3">
        <v>168159.0</v>
      </c>
      <c r="B649" s="3" t="s">
        <v>672</v>
      </c>
      <c r="C649" s="3" t="s">
        <v>257</v>
      </c>
      <c r="D649" s="3">
        <v>105.0</v>
      </c>
      <c r="E649" s="3">
        <v>0.2</v>
      </c>
      <c r="F649" s="3">
        <v>0.87</v>
      </c>
      <c r="G649" s="3">
        <v>27.8</v>
      </c>
    </row>
    <row r="650">
      <c r="A650" s="3">
        <v>168160.0</v>
      </c>
      <c r="B650" s="3" t="s">
        <v>673</v>
      </c>
      <c r="C650" s="3" t="s">
        <v>257</v>
      </c>
      <c r="D650" s="3">
        <v>339.0</v>
      </c>
      <c r="E650" s="3">
        <v>0.73</v>
      </c>
      <c r="F650" s="3">
        <v>3.7</v>
      </c>
      <c r="G650" s="3">
        <v>89.07</v>
      </c>
    </row>
    <row r="651">
      <c r="A651" s="3">
        <v>168161.0</v>
      </c>
      <c r="B651" s="3" t="s">
        <v>674</v>
      </c>
      <c r="C651" s="3" t="s">
        <v>257</v>
      </c>
      <c r="D651" s="3">
        <v>113.0</v>
      </c>
      <c r="E651" s="3">
        <v>0.24</v>
      </c>
      <c r="F651" s="3">
        <v>1.23</v>
      </c>
      <c r="G651" s="3">
        <v>29.7</v>
      </c>
    </row>
    <row r="652">
      <c r="A652" s="3">
        <v>168162.0</v>
      </c>
      <c r="B652" s="3" t="s">
        <v>675</v>
      </c>
      <c r="C652" s="3" t="s">
        <v>257</v>
      </c>
      <c r="D652" s="3">
        <v>240.0</v>
      </c>
      <c r="E652" s="3">
        <v>0.38</v>
      </c>
      <c r="F652" s="3">
        <v>2.18</v>
      </c>
      <c r="G652" s="3">
        <v>63.88</v>
      </c>
    </row>
    <row r="653">
      <c r="A653" s="3">
        <v>168163.0</v>
      </c>
      <c r="B653" s="3" t="s">
        <v>676</v>
      </c>
      <c r="C653" s="3" t="s">
        <v>257</v>
      </c>
      <c r="D653" s="3">
        <v>57.0</v>
      </c>
      <c r="E653" s="3">
        <v>0.1</v>
      </c>
      <c r="F653" s="3">
        <v>0.4</v>
      </c>
      <c r="G653" s="3">
        <v>15.3</v>
      </c>
    </row>
    <row r="654">
      <c r="A654" s="3">
        <v>168164.0</v>
      </c>
      <c r="B654" s="3" t="s">
        <v>677</v>
      </c>
      <c r="C654" s="3" t="s">
        <v>257</v>
      </c>
      <c r="D654" s="3">
        <v>301.0</v>
      </c>
      <c r="E654" s="3">
        <v>0.2</v>
      </c>
      <c r="F654" s="3">
        <v>3.28</v>
      </c>
      <c r="G654" s="3">
        <v>80.02</v>
      </c>
    </row>
    <row r="655">
      <c r="A655" s="3">
        <v>168165.0</v>
      </c>
      <c r="B655" s="3" t="s">
        <v>678</v>
      </c>
      <c r="C655" s="3" t="s">
        <v>257</v>
      </c>
      <c r="D655" s="3">
        <v>299.0</v>
      </c>
      <c r="E655" s="3">
        <v>0.25</v>
      </c>
      <c r="F655" s="3">
        <v>3.3</v>
      </c>
      <c r="G655" s="3">
        <v>79.32</v>
      </c>
    </row>
    <row r="656">
      <c r="A656" s="3">
        <v>168166.0</v>
      </c>
      <c r="B656" s="3" t="s">
        <v>679</v>
      </c>
      <c r="C656" s="3" t="s">
        <v>257</v>
      </c>
      <c r="D656" s="3">
        <v>296.0</v>
      </c>
      <c r="E656" s="3">
        <v>0.54</v>
      </c>
      <c r="F656" s="3">
        <v>2.52</v>
      </c>
      <c r="G656" s="3">
        <v>78.47</v>
      </c>
    </row>
    <row r="657">
      <c r="A657" s="3">
        <v>168167.0</v>
      </c>
      <c r="B657" s="3" t="s">
        <v>680</v>
      </c>
      <c r="C657" s="3" t="s">
        <v>257</v>
      </c>
      <c r="D657" s="3">
        <v>82.0</v>
      </c>
      <c r="E657" s="3">
        <v>0.21</v>
      </c>
      <c r="F657" s="3">
        <v>0.65</v>
      </c>
      <c r="G657" s="3">
        <v>20.87</v>
      </c>
    </row>
    <row r="658">
      <c r="A658" s="3">
        <v>168168.0</v>
      </c>
      <c r="B658" s="3" t="s">
        <v>681</v>
      </c>
      <c r="C658" s="3" t="s">
        <v>257</v>
      </c>
      <c r="D658" s="3">
        <v>21.0</v>
      </c>
      <c r="E658" s="3">
        <v>0.11</v>
      </c>
      <c r="F658" s="3">
        <v>0.55</v>
      </c>
      <c r="G658" s="3">
        <v>5.1</v>
      </c>
    </row>
    <row r="659">
      <c r="A659" s="3">
        <v>168169.0</v>
      </c>
      <c r="B659" s="3" t="s">
        <v>682</v>
      </c>
      <c r="C659" s="3" t="s">
        <v>257</v>
      </c>
      <c r="D659" s="3">
        <v>116.0</v>
      </c>
      <c r="E659" s="3">
        <v>0.05</v>
      </c>
      <c r="F659" s="3">
        <v>0.39</v>
      </c>
      <c r="G659" s="3">
        <v>31.2</v>
      </c>
    </row>
    <row r="660">
      <c r="A660" s="3">
        <v>168170.0</v>
      </c>
      <c r="B660" s="3" t="s">
        <v>683</v>
      </c>
      <c r="C660" s="3" t="s">
        <v>257</v>
      </c>
      <c r="D660" s="3">
        <v>49.0</v>
      </c>
      <c r="E660" s="3">
        <v>0.64</v>
      </c>
      <c r="F660" s="3">
        <v>0.96</v>
      </c>
      <c r="G660" s="3">
        <v>11.31</v>
      </c>
    </row>
    <row r="661">
      <c r="A661" s="3">
        <v>168171.0</v>
      </c>
      <c r="B661" s="3" t="s">
        <v>684</v>
      </c>
      <c r="C661" s="3" t="s">
        <v>257</v>
      </c>
      <c r="D661" s="3">
        <v>25.0</v>
      </c>
      <c r="E661" s="3">
        <v>0.3</v>
      </c>
      <c r="F661" s="3">
        <v>0.6</v>
      </c>
      <c r="G661" s="3">
        <v>5.7</v>
      </c>
    </row>
    <row r="662">
      <c r="A662" s="3">
        <v>168172.0</v>
      </c>
      <c r="B662" s="3" t="s">
        <v>685</v>
      </c>
      <c r="C662" s="3" t="s">
        <v>257</v>
      </c>
      <c r="D662" s="3">
        <v>92.0</v>
      </c>
      <c r="E662" s="3">
        <v>0.26</v>
      </c>
      <c r="F662" s="3">
        <v>0.56</v>
      </c>
      <c r="G662" s="3">
        <v>23.53</v>
      </c>
    </row>
    <row r="663">
      <c r="A663" s="3">
        <v>168173.0</v>
      </c>
      <c r="B663" s="3" t="s">
        <v>686</v>
      </c>
      <c r="C663" s="3" t="s">
        <v>257</v>
      </c>
      <c r="D663" s="3">
        <v>35.0</v>
      </c>
      <c r="E663" s="3">
        <v>0.11</v>
      </c>
      <c r="F663" s="3">
        <v>0.43</v>
      </c>
      <c r="G663" s="3">
        <v>9.13</v>
      </c>
    </row>
    <row r="664">
      <c r="A664" s="3">
        <v>168174.0</v>
      </c>
      <c r="B664" s="3" t="s">
        <v>687</v>
      </c>
      <c r="C664" s="3" t="s">
        <v>257</v>
      </c>
      <c r="D664" s="3">
        <v>96.0</v>
      </c>
      <c r="E664" s="3">
        <v>0.13</v>
      </c>
      <c r="F664" s="3">
        <v>0.53</v>
      </c>
      <c r="G664" s="3">
        <v>25.92</v>
      </c>
    </row>
    <row r="665">
      <c r="A665" s="3">
        <v>168175.0</v>
      </c>
      <c r="B665" s="3" t="s">
        <v>688</v>
      </c>
      <c r="C665" s="3" t="s">
        <v>257</v>
      </c>
      <c r="D665" s="3">
        <v>94.0</v>
      </c>
      <c r="E665" s="3">
        <v>0.29</v>
      </c>
      <c r="F665" s="3">
        <v>2.06</v>
      </c>
      <c r="G665" s="3">
        <v>23.64</v>
      </c>
    </row>
    <row r="666">
      <c r="A666" s="3">
        <v>168176.0</v>
      </c>
      <c r="B666" s="3" t="s">
        <v>689</v>
      </c>
      <c r="C666" s="3" t="s">
        <v>257</v>
      </c>
      <c r="D666" s="3">
        <v>61.0</v>
      </c>
      <c r="E666" s="3">
        <v>0.42</v>
      </c>
      <c r="F666" s="3">
        <v>0.71</v>
      </c>
      <c r="G666" s="3">
        <v>15.21</v>
      </c>
    </row>
    <row r="667">
      <c r="A667" s="3">
        <v>168177.0</v>
      </c>
      <c r="B667" s="3" t="s">
        <v>690</v>
      </c>
      <c r="C667" s="3" t="s">
        <v>257</v>
      </c>
      <c r="D667" s="3">
        <v>42.0</v>
      </c>
      <c r="E667" s="3">
        <v>0.23</v>
      </c>
      <c r="F667" s="3">
        <v>0.5</v>
      </c>
      <c r="G667" s="3">
        <v>10.65</v>
      </c>
    </row>
    <row r="668">
      <c r="A668" s="3">
        <v>168178.0</v>
      </c>
      <c r="B668" s="3" t="s">
        <v>691</v>
      </c>
      <c r="C668" s="3" t="s">
        <v>257</v>
      </c>
      <c r="D668" s="3">
        <v>70.0</v>
      </c>
      <c r="E668" s="3">
        <v>0.1</v>
      </c>
      <c r="F668" s="3">
        <v>0.47</v>
      </c>
      <c r="G668" s="3">
        <v>18.8</v>
      </c>
    </row>
    <row r="669">
      <c r="A669" s="3">
        <v>168179.0</v>
      </c>
      <c r="B669" s="3" t="s">
        <v>692</v>
      </c>
      <c r="C669" s="3" t="s">
        <v>257</v>
      </c>
      <c r="D669" s="3">
        <v>88.0</v>
      </c>
      <c r="E669" s="3">
        <v>0.4</v>
      </c>
      <c r="F669" s="3">
        <v>1.04</v>
      </c>
      <c r="G669" s="3">
        <v>22.66</v>
      </c>
    </row>
    <row r="670">
      <c r="A670" s="3">
        <v>168180.0</v>
      </c>
      <c r="B670" s="3" t="s">
        <v>693</v>
      </c>
      <c r="C670" s="3" t="s">
        <v>257</v>
      </c>
      <c r="D670" s="3">
        <v>107.0</v>
      </c>
      <c r="E670" s="3">
        <v>0.34</v>
      </c>
      <c r="F670" s="3">
        <v>0.56</v>
      </c>
      <c r="G670" s="3">
        <v>28.32</v>
      </c>
    </row>
    <row r="671">
      <c r="A671" s="3">
        <v>168181.0</v>
      </c>
      <c r="B671" s="3" t="s">
        <v>694</v>
      </c>
      <c r="C671" s="3" t="s">
        <v>257</v>
      </c>
      <c r="D671" s="3">
        <v>72.0</v>
      </c>
      <c r="E671" s="3">
        <v>0.18</v>
      </c>
      <c r="F671" s="3">
        <v>0.52</v>
      </c>
      <c r="G671" s="3">
        <v>18.43</v>
      </c>
    </row>
    <row r="672">
      <c r="A672" s="3">
        <v>168182.0</v>
      </c>
      <c r="B672" s="3" t="s">
        <v>695</v>
      </c>
      <c r="C672" s="3" t="s">
        <v>257</v>
      </c>
      <c r="D672" s="3">
        <v>74.0</v>
      </c>
      <c r="E672" s="3">
        <v>0.18</v>
      </c>
      <c r="F672" s="3">
        <v>0.24</v>
      </c>
      <c r="G672" s="3">
        <v>19.08</v>
      </c>
    </row>
    <row r="673">
      <c r="A673" s="3">
        <v>168183.0</v>
      </c>
      <c r="B673" s="3" t="s">
        <v>696</v>
      </c>
      <c r="C673" s="3" t="s">
        <v>257</v>
      </c>
      <c r="D673" s="3">
        <v>89.0</v>
      </c>
      <c r="E673" s="3">
        <v>0.14</v>
      </c>
      <c r="F673" s="3">
        <v>0.44</v>
      </c>
      <c r="G673" s="3">
        <v>23.12</v>
      </c>
    </row>
    <row r="674">
      <c r="A674" s="3">
        <v>168184.0</v>
      </c>
      <c r="B674" s="3" t="s">
        <v>697</v>
      </c>
      <c r="C674" s="3" t="s">
        <v>257</v>
      </c>
      <c r="D674" s="3">
        <v>38.0</v>
      </c>
      <c r="E674" s="3">
        <v>0.04</v>
      </c>
      <c r="F674" s="3">
        <v>0.75</v>
      </c>
      <c r="G674" s="3">
        <v>9.41</v>
      </c>
    </row>
    <row r="675">
      <c r="A675" s="3">
        <v>168185.0</v>
      </c>
      <c r="B675" s="3" t="s">
        <v>698</v>
      </c>
      <c r="C675" s="3" t="s">
        <v>257</v>
      </c>
      <c r="D675" s="3">
        <v>50.0</v>
      </c>
      <c r="E675" s="3">
        <v>0.51</v>
      </c>
      <c r="F675" s="3">
        <v>0.21</v>
      </c>
      <c r="G675" s="3">
        <v>11.93</v>
      </c>
    </row>
    <row r="676">
      <c r="A676" s="3">
        <v>168186.0</v>
      </c>
      <c r="B676" s="3" t="s">
        <v>699</v>
      </c>
      <c r="C676" s="3" t="s">
        <v>257</v>
      </c>
      <c r="D676" s="3">
        <v>60.0</v>
      </c>
      <c r="E676" s="3">
        <v>0.01</v>
      </c>
      <c r="F676" s="3">
        <v>0.11</v>
      </c>
      <c r="G676" s="3">
        <v>15.76</v>
      </c>
    </row>
    <row r="677">
      <c r="A677" s="3">
        <v>168187.0</v>
      </c>
      <c r="B677" s="3" t="s">
        <v>700</v>
      </c>
      <c r="C677" s="3" t="s">
        <v>257</v>
      </c>
      <c r="D677" s="3">
        <v>53.0</v>
      </c>
      <c r="E677" s="3">
        <v>0.12</v>
      </c>
      <c r="F677" s="3">
        <v>0.36</v>
      </c>
      <c r="G677" s="3">
        <v>12.87</v>
      </c>
    </row>
    <row r="678">
      <c r="A678" s="3">
        <v>168188.0</v>
      </c>
      <c r="B678" s="3" t="s">
        <v>701</v>
      </c>
      <c r="C678" s="3" t="s">
        <v>257</v>
      </c>
      <c r="D678" s="3">
        <v>166.0</v>
      </c>
      <c r="E678" s="3">
        <v>0.37</v>
      </c>
      <c r="F678" s="3">
        <v>0.51</v>
      </c>
      <c r="G678" s="3">
        <v>41.0</v>
      </c>
    </row>
    <row r="679">
      <c r="A679" s="3">
        <v>168189.0</v>
      </c>
      <c r="B679" s="3" t="s">
        <v>702</v>
      </c>
      <c r="C679" s="3" t="s">
        <v>257</v>
      </c>
      <c r="D679" s="3">
        <v>37.0</v>
      </c>
      <c r="E679" s="3">
        <v>0.64</v>
      </c>
      <c r="F679" s="3">
        <v>0.54</v>
      </c>
      <c r="G679" s="3">
        <v>7.51</v>
      </c>
    </row>
    <row r="680">
      <c r="A680" s="3">
        <v>168190.0</v>
      </c>
      <c r="B680" s="3" t="s">
        <v>703</v>
      </c>
      <c r="C680" s="3" t="s">
        <v>257</v>
      </c>
      <c r="D680" s="3">
        <v>92.0</v>
      </c>
      <c r="E680" s="3">
        <v>0.14</v>
      </c>
      <c r="F680" s="3">
        <v>0.36</v>
      </c>
      <c r="G680" s="3">
        <v>23.94</v>
      </c>
    </row>
    <row r="681">
      <c r="A681" s="3">
        <v>168191.0</v>
      </c>
      <c r="B681" s="3" t="s">
        <v>704</v>
      </c>
      <c r="C681" s="3" t="s">
        <v>257</v>
      </c>
      <c r="D681" s="3">
        <v>277.0</v>
      </c>
      <c r="E681" s="3">
        <v>0.15</v>
      </c>
      <c r="F681" s="3">
        <v>1.81</v>
      </c>
      <c r="G681" s="3">
        <v>74.97</v>
      </c>
    </row>
    <row r="682">
      <c r="A682" s="3">
        <v>168192.0</v>
      </c>
      <c r="B682" s="3" t="s">
        <v>705</v>
      </c>
      <c r="C682" s="3" t="s">
        <v>257</v>
      </c>
      <c r="D682" s="3">
        <v>147.0</v>
      </c>
      <c r="E682" s="3">
        <v>5.33</v>
      </c>
      <c r="F682" s="3">
        <v>1.47</v>
      </c>
      <c r="G682" s="3">
        <v>27.09</v>
      </c>
    </row>
    <row r="683">
      <c r="A683" s="3">
        <v>168193.0</v>
      </c>
      <c r="B683" s="3" t="s">
        <v>706</v>
      </c>
      <c r="C683" s="3" t="s">
        <v>257</v>
      </c>
      <c r="D683" s="3">
        <v>45.0</v>
      </c>
      <c r="E683" s="3">
        <v>0.13</v>
      </c>
      <c r="F683" s="3">
        <v>0.55</v>
      </c>
      <c r="G683" s="3">
        <v>11.82</v>
      </c>
    </row>
    <row r="684">
      <c r="A684" s="3">
        <v>168194.0</v>
      </c>
      <c r="B684" s="3" t="s">
        <v>707</v>
      </c>
      <c r="C684" s="3" t="s">
        <v>257</v>
      </c>
      <c r="D684" s="3">
        <v>51.0</v>
      </c>
      <c r="E684" s="3">
        <v>0.11</v>
      </c>
      <c r="F684" s="3">
        <v>0.53</v>
      </c>
      <c r="G684" s="3">
        <v>13.5</v>
      </c>
    </row>
    <row r="685">
      <c r="A685" s="3">
        <v>168195.0</v>
      </c>
      <c r="B685" s="3" t="s">
        <v>708</v>
      </c>
      <c r="C685" s="3" t="s">
        <v>257</v>
      </c>
      <c r="D685" s="3">
        <v>47.0</v>
      </c>
      <c r="E685" s="3">
        <v>0.15</v>
      </c>
      <c r="F685" s="3">
        <v>0.85</v>
      </c>
      <c r="G685" s="3">
        <v>12.02</v>
      </c>
    </row>
    <row r="686">
      <c r="A686" s="3">
        <v>168196.0</v>
      </c>
      <c r="B686" s="3" t="s">
        <v>709</v>
      </c>
      <c r="C686" s="3" t="s">
        <v>257</v>
      </c>
      <c r="D686" s="3">
        <v>59.0</v>
      </c>
      <c r="E686" s="3">
        <v>0.17</v>
      </c>
      <c r="F686" s="3">
        <v>0.11</v>
      </c>
      <c r="G686" s="3">
        <v>14.93</v>
      </c>
    </row>
    <row r="687">
      <c r="A687" s="3">
        <v>168197.0</v>
      </c>
      <c r="B687" s="3" t="s">
        <v>710</v>
      </c>
      <c r="C687" s="3" t="s">
        <v>257</v>
      </c>
      <c r="D687" s="3">
        <v>50.0</v>
      </c>
      <c r="E687" s="3">
        <v>0.12</v>
      </c>
      <c r="F687" s="3">
        <v>0.16</v>
      </c>
      <c r="G687" s="3">
        <v>12.46</v>
      </c>
    </row>
    <row r="688">
      <c r="A688" s="3">
        <v>168198.0</v>
      </c>
      <c r="B688" s="3" t="s">
        <v>711</v>
      </c>
      <c r="C688" s="3" t="s">
        <v>257</v>
      </c>
      <c r="D688" s="3">
        <v>52.0</v>
      </c>
      <c r="E688" s="3">
        <v>0.12</v>
      </c>
      <c r="F688" s="3">
        <v>0.17</v>
      </c>
      <c r="G688" s="3">
        <v>12.96</v>
      </c>
    </row>
    <row r="689">
      <c r="A689" s="3">
        <v>168199.0</v>
      </c>
      <c r="B689" s="3" t="s">
        <v>712</v>
      </c>
      <c r="C689" s="3" t="s">
        <v>257</v>
      </c>
      <c r="D689" s="3">
        <v>309.0</v>
      </c>
      <c r="E689" s="3">
        <v>11.81</v>
      </c>
      <c r="F689" s="3">
        <v>1.5</v>
      </c>
      <c r="G689" s="3">
        <v>49.17</v>
      </c>
    </row>
    <row r="690">
      <c r="A690" s="3">
        <v>168200.0</v>
      </c>
      <c r="B690" s="3" t="s">
        <v>713</v>
      </c>
      <c r="C690" s="3" t="s">
        <v>257</v>
      </c>
      <c r="D690" s="3">
        <v>236.0</v>
      </c>
      <c r="E690" s="3">
        <v>7.51</v>
      </c>
      <c r="F690" s="3">
        <v>1.42</v>
      </c>
      <c r="G690" s="3">
        <v>40.77</v>
      </c>
    </row>
    <row r="691">
      <c r="A691" s="3">
        <v>168201.0</v>
      </c>
      <c r="B691" s="3" t="s">
        <v>714</v>
      </c>
      <c r="C691" s="3" t="s">
        <v>257</v>
      </c>
      <c r="D691" s="3">
        <v>59.0</v>
      </c>
      <c r="E691" s="3">
        <v>0.2</v>
      </c>
      <c r="F691" s="3">
        <v>0.27</v>
      </c>
      <c r="G691" s="3">
        <v>14.06</v>
      </c>
    </row>
    <row r="692">
      <c r="A692" s="3">
        <v>168202.0</v>
      </c>
      <c r="B692" s="3" t="s">
        <v>715</v>
      </c>
      <c r="C692" s="3" t="s">
        <v>257</v>
      </c>
      <c r="D692" s="3">
        <v>57.0</v>
      </c>
      <c r="E692" s="3">
        <v>0.15</v>
      </c>
      <c r="F692" s="3">
        <v>0.28</v>
      </c>
      <c r="G692" s="3">
        <v>13.6</v>
      </c>
    </row>
    <row r="693">
      <c r="A693" s="3">
        <v>168203.0</v>
      </c>
      <c r="B693" s="3" t="s">
        <v>716</v>
      </c>
      <c r="C693" s="3" t="s">
        <v>257</v>
      </c>
      <c r="D693" s="3">
        <v>58.0</v>
      </c>
      <c r="E693" s="3">
        <v>0.19</v>
      </c>
      <c r="F693" s="3">
        <v>0.44</v>
      </c>
      <c r="G693" s="3">
        <v>13.61</v>
      </c>
    </row>
    <row r="694">
      <c r="A694" s="3">
        <v>168204.0</v>
      </c>
      <c r="B694" s="3" t="s">
        <v>717</v>
      </c>
      <c r="C694" s="3" t="s">
        <v>257</v>
      </c>
      <c r="D694" s="3">
        <v>57.0</v>
      </c>
      <c r="E694" s="3">
        <v>0.12</v>
      </c>
      <c r="F694" s="3">
        <v>0.25</v>
      </c>
      <c r="G694" s="3">
        <v>13.68</v>
      </c>
    </row>
    <row r="695">
      <c r="A695" s="3">
        <v>168205.0</v>
      </c>
      <c r="B695" s="3" t="s">
        <v>718</v>
      </c>
      <c r="C695" s="3" t="s">
        <v>257</v>
      </c>
      <c r="D695" s="3">
        <v>50.0</v>
      </c>
      <c r="E695" s="3">
        <v>0.14</v>
      </c>
      <c r="F695" s="3">
        <v>0.36</v>
      </c>
      <c r="G695" s="3">
        <v>12.18</v>
      </c>
    </row>
    <row r="696">
      <c r="A696" s="3">
        <v>168206.0</v>
      </c>
      <c r="B696" s="3" t="s">
        <v>719</v>
      </c>
      <c r="C696" s="3" t="s">
        <v>257</v>
      </c>
      <c r="D696" s="3">
        <v>71.0</v>
      </c>
      <c r="E696" s="3">
        <v>0.0</v>
      </c>
      <c r="F696" s="3">
        <v>0.42</v>
      </c>
      <c r="G696" s="3">
        <v>16.67</v>
      </c>
    </row>
    <row r="697">
      <c r="A697" s="3">
        <v>168207.0</v>
      </c>
      <c r="B697" s="3" t="s">
        <v>720</v>
      </c>
      <c r="C697" s="3" t="s">
        <v>257</v>
      </c>
      <c r="D697" s="3">
        <v>62.0</v>
      </c>
      <c r="E697" s="3">
        <v>0.13</v>
      </c>
      <c r="F697" s="3">
        <v>0.37</v>
      </c>
      <c r="G697" s="3">
        <v>14.77</v>
      </c>
    </row>
    <row r="698">
      <c r="A698" s="3">
        <v>168208.0</v>
      </c>
      <c r="B698" s="3" t="s">
        <v>721</v>
      </c>
      <c r="C698" s="3" t="s">
        <v>257</v>
      </c>
      <c r="D698" s="3">
        <v>50.0</v>
      </c>
      <c r="E698" s="3">
        <v>0.36</v>
      </c>
      <c r="F698" s="3">
        <v>0.63</v>
      </c>
      <c r="G698" s="3">
        <v>11.51</v>
      </c>
    </row>
    <row r="699">
      <c r="A699" s="3">
        <v>168209.0</v>
      </c>
      <c r="B699" s="3" t="s">
        <v>722</v>
      </c>
      <c r="C699" s="3" t="s">
        <v>257</v>
      </c>
      <c r="D699" s="3">
        <v>56.0</v>
      </c>
      <c r="E699" s="3">
        <v>0.81</v>
      </c>
      <c r="F699" s="3">
        <v>1.15</v>
      </c>
      <c r="G699" s="3">
        <v>12.55</v>
      </c>
    </row>
    <row r="700">
      <c r="A700" s="3">
        <v>168210.0</v>
      </c>
      <c r="B700" s="3" t="s">
        <v>723</v>
      </c>
      <c r="C700" s="3" t="s">
        <v>257</v>
      </c>
      <c r="D700" s="3">
        <v>48.0</v>
      </c>
      <c r="E700" s="3">
        <v>0.07</v>
      </c>
      <c r="F700" s="3">
        <v>0.3</v>
      </c>
      <c r="G700" s="3">
        <v>13.3</v>
      </c>
    </row>
    <row r="701">
      <c r="A701" s="3">
        <v>168211.0</v>
      </c>
      <c r="B701" s="3" t="s">
        <v>724</v>
      </c>
      <c r="C701" s="3" t="s">
        <v>257</v>
      </c>
      <c r="D701" s="3">
        <v>63.0</v>
      </c>
      <c r="E701" s="3">
        <v>0.28</v>
      </c>
      <c r="F701" s="3">
        <v>1.02</v>
      </c>
      <c r="G701" s="3">
        <v>15.79</v>
      </c>
    </row>
    <row r="702">
      <c r="A702" s="3">
        <v>168212.0</v>
      </c>
      <c r="B702" s="3" t="s">
        <v>725</v>
      </c>
      <c r="C702" s="3" t="s">
        <v>257</v>
      </c>
      <c r="D702" s="3">
        <v>45.0</v>
      </c>
      <c r="E702" s="3">
        <v>0.12</v>
      </c>
      <c r="F702" s="3">
        <v>0.27</v>
      </c>
      <c r="G702" s="3">
        <v>10.91</v>
      </c>
    </row>
    <row r="703">
      <c r="A703" s="3">
        <v>168213.0</v>
      </c>
      <c r="B703" s="3" t="s">
        <v>726</v>
      </c>
      <c r="C703" s="3" t="s">
        <v>257</v>
      </c>
      <c r="D703" s="3">
        <v>48.0</v>
      </c>
      <c r="E703" s="3">
        <v>0.32</v>
      </c>
      <c r="F703" s="3">
        <v>0.5</v>
      </c>
      <c r="G703" s="3">
        <v>11.05</v>
      </c>
    </row>
    <row r="704">
      <c r="A704" s="3">
        <v>168214.0</v>
      </c>
      <c r="B704" s="3" t="s">
        <v>727</v>
      </c>
      <c r="C704" s="3" t="s">
        <v>257</v>
      </c>
      <c r="D704" s="3">
        <v>50.0</v>
      </c>
      <c r="E704" s="3">
        <v>0.27</v>
      </c>
      <c r="F704" s="3">
        <v>0.48</v>
      </c>
      <c r="G704" s="3">
        <v>11.66</v>
      </c>
    </row>
    <row r="705">
      <c r="A705" s="3">
        <v>168215.0</v>
      </c>
      <c r="B705" s="3" t="s">
        <v>728</v>
      </c>
      <c r="C705" s="3" t="s">
        <v>318</v>
      </c>
      <c r="D705" s="3">
        <v>152.0</v>
      </c>
      <c r="E705" s="3">
        <v>0.07</v>
      </c>
      <c r="F705" s="3">
        <v>1.25</v>
      </c>
      <c r="G705" s="3">
        <v>36.66</v>
      </c>
    </row>
    <row r="706">
      <c r="A706" s="3">
        <v>168216.0</v>
      </c>
      <c r="B706" s="3" t="s">
        <v>729</v>
      </c>
      <c r="C706" s="3" t="s">
        <v>318</v>
      </c>
      <c r="D706" s="3">
        <v>121.0</v>
      </c>
      <c r="E706" s="3">
        <v>0.08</v>
      </c>
      <c r="F706" s="3">
        <v>1.09</v>
      </c>
      <c r="G706" s="3">
        <v>29.15</v>
      </c>
    </row>
    <row r="707">
      <c r="A707" s="3">
        <v>168217.0</v>
      </c>
      <c r="B707" s="3" t="s">
        <v>730</v>
      </c>
      <c r="C707" s="3" t="s">
        <v>318</v>
      </c>
      <c r="D707" s="3">
        <v>221.0</v>
      </c>
      <c r="E707" s="3">
        <v>1.34</v>
      </c>
      <c r="F707" s="3">
        <v>3.04</v>
      </c>
      <c r="G707" s="3">
        <v>53.19</v>
      </c>
    </row>
    <row r="708">
      <c r="A708" s="3">
        <v>168218.0</v>
      </c>
      <c r="B708" s="3" t="s">
        <v>731</v>
      </c>
      <c r="C708" s="3" t="s">
        <v>189</v>
      </c>
      <c r="D708" s="3">
        <v>585.0</v>
      </c>
      <c r="E708" s="3">
        <v>60.42</v>
      </c>
      <c r="F708" s="3">
        <v>10.06</v>
      </c>
      <c r="G708" s="3">
        <v>0.32</v>
      </c>
    </row>
    <row r="709">
      <c r="A709" s="3">
        <v>168219.0</v>
      </c>
      <c r="B709" s="3" t="s">
        <v>732</v>
      </c>
      <c r="C709" s="3" t="s">
        <v>189</v>
      </c>
      <c r="D709" s="3">
        <v>376.0</v>
      </c>
      <c r="E709" s="3">
        <v>35.07</v>
      </c>
      <c r="F709" s="3">
        <v>13.91</v>
      </c>
      <c r="G709" s="3">
        <v>0.0</v>
      </c>
    </row>
    <row r="710">
      <c r="A710" s="3">
        <v>168220.0</v>
      </c>
      <c r="B710" s="3" t="s">
        <v>733</v>
      </c>
      <c r="C710" s="3" t="s">
        <v>189</v>
      </c>
      <c r="D710" s="3">
        <v>134.0</v>
      </c>
      <c r="E710" s="3">
        <v>4.86</v>
      </c>
      <c r="F710" s="3">
        <v>21.2</v>
      </c>
      <c r="G710" s="3">
        <v>0.0</v>
      </c>
    </row>
    <row r="711">
      <c r="A711" s="3">
        <v>168221.0</v>
      </c>
      <c r="B711" s="3" t="s">
        <v>734</v>
      </c>
      <c r="C711" s="3" t="s">
        <v>189</v>
      </c>
      <c r="D711" s="3">
        <v>626.0</v>
      </c>
      <c r="E711" s="3">
        <v>66.1</v>
      </c>
      <c r="F711" s="3">
        <v>7.06</v>
      </c>
      <c r="G711" s="3">
        <v>0.0</v>
      </c>
    </row>
    <row r="712">
      <c r="A712" s="3">
        <v>168222.0</v>
      </c>
      <c r="B712" s="3" t="s">
        <v>735</v>
      </c>
      <c r="C712" s="3" t="s">
        <v>189</v>
      </c>
      <c r="D712" s="3">
        <v>245.0</v>
      </c>
      <c r="E712" s="3">
        <v>18.87</v>
      </c>
      <c r="F712" s="3">
        <v>17.43</v>
      </c>
      <c r="G712" s="3">
        <v>0.0</v>
      </c>
    </row>
    <row r="713">
      <c r="A713" s="3">
        <v>168223.0</v>
      </c>
      <c r="B713" s="3" t="s">
        <v>736</v>
      </c>
      <c r="C713" s="3" t="s">
        <v>189</v>
      </c>
      <c r="D713" s="3">
        <v>273.0</v>
      </c>
      <c r="E713" s="3">
        <v>17.61</v>
      </c>
      <c r="F713" s="3">
        <v>26.83</v>
      </c>
      <c r="G713" s="3">
        <v>0.0</v>
      </c>
    </row>
    <row r="714">
      <c r="A714" s="3">
        <v>168224.0</v>
      </c>
      <c r="B714" s="3" t="s">
        <v>737</v>
      </c>
      <c r="C714" s="3" t="s">
        <v>189</v>
      </c>
      <c r="D714" s="3">
        <v>136.0</v>
      </c>
      <c r="E714" s="3">
        <v>5.41</v>
      </c>
      <c r="F714" s="3">
        <v>20.48</v>
      </c>
      <c r="G714" s="3">
        <v>0.0</v>
      </c>
    </row>
    <row r="715">
      <c r="A715" s="3">
        <v>168225.0</v>
      </c>
      <c r="B715" s="3" t="s">
        <v>738</v>
      </c>
      <c r="C715" s="3" t="s">
        <v>189</v>
      </c>
      <c r="D715" s="3">
        <v>211.0</v>
      </c>
      <c r="E715" s="3">
        <v>9.44</v>
      </c>
      <c r="F715" s="3">
        <v>29.41</v>
      </c>
      <c r="G715" s="3">
        <v>0.0</v>
      </c>
    </row>
    <row r="716">
      <c r="A716" s="3">
        <v>168226.0</v>
      </c>
      <c r="B716" s="3" t="s">
        <v>739</v>
      </c>
      <c r="C716" s="3" t="s">
        <v>189</v>
      </c>
      <c r="D716" s="3">
        <v>193.0</v>
      </c>
      <c r="E716" s="3">
        <v>11.96</v>
      </c>
      <c r="F716" s="3">
        <v>19.87</v>
      </c>
      <c r="G716" s="3">
        <v>0.0</v>
      </c>
    </row>
    <row r="717">
      <c r="A717" s="3">
        <v>168227.0</v>
      </c>
      <c r="B717" s="3" t="s">
        <v>740</v>
      </c>
      <c r="C717" s="3" t="s">
        <v>189</v>
      </c>
      <c r="D717" s="3">
        <v>232.0</v>
      </c>
      <c r="E717" s="3">
        <v>13.42</v>
      </c>
      <c r="F717" s="3">
        <v>25.96</v>
      </c>
      <c r="G717" s="3">
        <v>0.0</v>
      </c>
    </row>
    <row r="718">
      <c r="A718" s="3">
        <v>168228.0</v>
      </c>
      <c r="B718" s="3" t="s">
        <v>741</v>
      </c>
      <c r="C718" s="3" t="s">
        <v>189</v>
      </c>
      <c r="D718" s="3">
        <v>119.0</v>
      </c>
      <c r="E718" s="3">
        <v>2.95</v>
      </c>
      <c r="F718" s="3">
        <v>21.66</v>
      </c>
      <c r="G718" s="3">
        <v>0.0</v>
      </c>
    </row>
    <row r="719">
      <c r="A719" s="3">
        <v>168229.0</v>
      </c>
      <c r="B719" s="3" t="s">
        <v>742</v>
      </c>
      <c r="C719" s="3" t="s">
        <v>189</v>
      </c>
      <c r="D719" s="3">
        <v>175.0</v>
      </c>
      <c r="E719" s="3">
        <v>5.83</v>
      </c>
      <c r="F719" s="3">
        <v>28.69</v>
      </c>
      <c r="G719" s="3">
        <v>0.0</v>
      </c>
    </row>
    <row r="720">
      <c r="A720" s="3">
        <v>168230.0</v>
      </c>
      <c r="B720" s="3" t="s">
        <v>743</v>
      </c>
      <c r="C720" s="3" t="s">
        <v>189</v>
      </c>
      <c r="D720" s="3">
        <v>143.0</v>
      </c>
      <c r="E720" s="3">
        <v>5.66</v>
      </c>
      <c r="F720" s="3">
        <v>21.43</v>
      </c>
      <c r="G720" s="3">
        <v>0.0</v>
      </c>
    </row>
    <row r="721">
      <c r="A721" s="3">
        <v>168231.0</v>
      </c>
      <c r="B721" s="3" t="s">
        <v>744</v>
      </c>
      <c r="C721" s="3" t="s">
        <v>189</v>
      </c>
      <c r="D721" s="3">
        <v>204.0</v>
      </c>
      <c r="E721" s="3">
        <v>9.12</v>
      </c>
      <c r="F721" s="3">
        <v>28.57</v>
      </c>
      <c r="G721" s="3">
        <v>0.0</v>
      </c>
    </row>
    <row r="722">
      <c r="A722" s="3">
        <v>168232.0</v>
      </c>
      <c r="B722" s="3" t="s">
        <v>745</v>
      </c>
      <c r="C722" s="3" t="s">
        <v>189</v>
      </c>
      <c r="D722" s="3">
        <v>210.0</v>
      </c>
      <c r="E722" s="3">
        <v>9.8</v>
      </c>
      <c r="F722" s="3">
        <v>28.57</v>
      </c>
      <c r="G722" s="3">
        <v>0.0</v>
      </c>
    </row>
    <row r="723">
      <c r="A723" s="3">
        <v>168233.0</v>
      </c>
      <c r="B723" s="3" t="s">
        <v>746</v>
      </c>
      <c r="C723" s="3" t="s">
        <v>189</v>
      </c>
      <c r="D723" s="3">
        <v>209.0</v>
      </c>
      <c r="E723" s="3">
        <v>9.63</v>
      </c>
      <c r="F723" s="3">
        <v>28.62</v>
      </c>
      <c r="G723" s="3">
        <v>0.0</v>
      </c>
    </row>
    <row r="724">
      <c r="A724" s="3">
        <v>168234.0</v>
      </c>
      <c r="B724" s="3" t="s">
        <v>747</v>
      </c>
      <c r="C724" s="3" t="s">
        <v>189</v>
      </c>
      <c r="D724" s="3">
        <v>143.0</v>
      </c>
      <c r="E724" s="3">
        <v>5.84</v>
      </c>
      <c r="F724" s="3">
        <v>21.22</v>
      </c>
      <c r="G724" s="3">
        <v>0.0</v>
      </c>
    </row>
    <row r="725">
      <c r="A725" s="3">
        <v>168235.0</v>
      </c>
      <c r="B725" s="3" t="s">
        <v>748</v>
      </c>
      <c r="C725" s="3" t="s">
        <v>189</v>
      </c>
      <c r="D725" s="3">
        <v>222.0</v>
      </c>
      <c r="E725" s="3">
        <v>11.29</v>
      </c>
      <c r="F725" s="3">
        <v>28.02</v>
      </c>
      <c r="G725" s="3">
        <v>0.0</v>
      </c>
    </row>
    <row r="726">
      <c r="A726" s="3">
        <v>168236.0</v>
      </c>
      <c r="B726" s="3" t="s">
        <v>749</v>
      </c>
      <c r="C726" s="3" t="s">
        <v>189</v>
      </c>
      <c r="D726" s="3">
        <v>193.0</v>
      </c>
      <c r="E726" s="3">
        <v>9.56</v>
      </c>
      <c r="F726" s="3">
        <v>24.99</v>
      </c>
      <c r="G726" s="3">
        <v>0.0</v>
      </c>
    </row>
    <row r="727">
      <c r="A727" s="3">
        <v>168237.0</v>
      </c>
      <c r="B727" s="3" t="s">
        <v>750</v>
      </c>
      <c r="C727" s="3" t="s">
        <v>189</v>
      </c>
      <c r="D727" s="3">
        <v>217.0</v>
      </c>
      <c r="E727" s="3">
        <v>11.89</v>
      </c>
      <c r="F727" s="3">
        <v>25.7</v>
      </c>
      <c r="G727" s="3">
        <v>0.0</v>
      </c>
    </row>
    <row r="728">
      <c r="A728" s="3">
        <v>168238.0</v>
      </c>
      <c r="B728" s="3" t="s">
        <v>751</v>
      </c>
      <c r="C728" s="3" t="s">
        <v>189</v>
      </c>
      <c r="D728" s="3">
        <v>170.0</v>
      </c>
      <c r="E728" s="3">
        <v>9.03</v>
      </c>
      <c r="F728" s="3">
        <v>20.71</v>
      </c>
      <c r="G728" s="3">
        <v>0.0</v>
      </c>
    </row>
    <row r="729">
      <c r="A729" s="3">
        <v>168239.0</v>
      </c>
      <c r="B729" s="3" t="s">
        <v>752</v>
      </c>
      <c r="C729" s="3" t="s">
        <v>189</v>
      </c>
      <c r="D729" s="3">
        <v>200.0</v>
      </c>
      <c r="E729" s="3">
        <v>7.86</v>
      </c>
      <c r="F729" s="3">
        <v>30.2</v>
      </c>
      <c r="G729" s="3">
        <v>0.0</v>
      </c>
    </row>
    <row r="730">
      <c r="A730" s="3">
        <v>168240.0</v>
      </c>
      <c r="B730" s="3" t="s">
        <v>753</v>
      </c>
      <c r="C730" s="3" t="s">
        <v>189</v>
      </c>
      <c r="D730" s="3">
        <v>180.0</v>
      </c>
      <c r="E730" s="3">
        <v>7.29</v>
      </c>
      <c r="F730" s="3">
        <v>26.76</v>
      </c>
      <c r="G730" s="3">
        <v>0.0</v>
      </c>
    </row>
    <row r="731">
      <c r="A731" s="3">
        <v>168241.0</v>
      </c>
      <c r="B731" s="3" t="s">
        <v>754</v>
      </c>
      <c r="C731" s="3" t="s">
        <v>189</v>
      </c>
      <c r="D731" s="3">
        <v>194.0</v>
      </c>
      <c r="E731" s="3">
        <v>7.95</v>
      </c>
      <c r="F731" s="3">
        <v>28.58</v>
      </c>
      <c r="G731" s="3">
        <v>0.0</v>
      </c>
    </row>
    <row r="732">
      <c r="A732" s="3">
        <v>168242.0</v>
      </c>
      <c r="B732" s="3" t="s">
        <v>755</v>
      </c>
      <c r="C732" s="3" t="s">
        <v>189</v>
      </c>
      <c r="D732" s="3">
        <v>186.0</v>
      </c>
      <c r="E732" s="3">
        <v>11.04</v>
      </c>
      <c r="F732" s="3">
        <v>20.28</v>
      </c>
      <c r="G732" s="3">
        <v>0.0</v>
      </c>
    </row>
    <row r="733">
      <c r="A733" s="3">
        <v>168243.0</v>
      </c>
      <c r="B733" s="3" t="s">
        <v>756</v>
      </c>
      <c r="C733" s="3" t="s">
        <v>189</v>
      </c>
      <c r="D733" s="3">
        <v>208.0</v>
      </c>
      <c r="E733" s="3">
        <v>9.32</v>
      </c>
      <c r="F733" s="3">
        <v>29.03</v>
      </c>
      <c r="G733" s="3">
        <v>0.0</v>
      </c>
    </row>
    <row r="734">
      <c r="A734" s="3">
        <v>168244.0</v>
      </c>
      <c r="B734" s="3" t="s">
        <v>757</v>
      </c>
      <c r="C734" s="3" t="s">
        <v>189</v>
      </c>
      <c r="D734" s="3">
        <v>186.0</v>
      </c>
      <c r="E734" s="3">
        <v>8.36</v>
      </c>
      <c r="F734" s="3">
        <v>25.79</v>
      </c>
      <c r="G734" s="3">
        <v>0.0</v>
      </c>
    </row>
    <row r="735">
      <c r="A735" s="3">
        <v>168245.0</v>
      </c>
      <c r="B735" s="3" t="s">
        <v>758</v>
      </c>
      <c r="C735" s="3" t="s">
        <v>189</v>
      </c>
      <c r="D735" s="3">
        <v>206.0</v>
      </c>
      <c r="E735" s="3">
        <v>9.21</v>
      </c>
      <c r="F735" s="3">
        <v>28.82</v>
      </c>
      <c r="G735" s="3">
        <v>0.0</v>
      </c>
    </row>
    <row r="736">
      <c r="A736" s="3">
        <v>168246.0</v>
      </c>
      <c r="B736" s="3" t="s">
        <v>759</v>
      </c>
      <c r="C736" s="3" t="s">
        <v>189</v>
      </c>
      <c r="D736" s="3">
        <v>168.0</v>
      </c>
      <c r="E736" s="3">
        <v>8.96</v>
      </c>
      <c r="F736" s="3">
        <v>20.48</v>
      </c>
      <c r="G736" s="3">
        <v>0.0</v>
      </c>
    </row>
    <row r="737">
      <c r="A737" s="3">
        <v>168247.0</v>
      </c>
      <c r="B737" s="3" t="s">
        <v>760</v>
      </c>
      <c r="C737" s="3" t="s">
        <v>189</v>
      </c>
      <c r="D737" s="3">
        <v>174.0</v>
      </c>
      <c r="E737" s="3">
        <v>5.45</v>
      </c>
      <c r="F737" s="3">
        <v>29.29</v>
      </c>
      <c r="G737" s="3">
        <v>0.0</v>
      </c>
    </row>
    <row r="738">
      <c r="A738" s="3">
        <v>168248.0</v>
      </c>
      <c r="B738" s="3" t="s">
        <v>761</v>
      </c>
      <c r="C738" s="3" t="s">
        <v>189</v>
      </c>
      <c r="D738" s="3">
        <v>204.0</v>
      </c>
      <c r="E738" s="3">
        <v>9.44</v>
      </c>
      <c r="F738" s="3">
        <v>27.78</v>
      </c>
      <c r="G738" s="3">
        <v>0.0</v>
      </c>
    </row>
    <row r="739">
      <c r="A739" s="3">
        <v>168249.0</v>
      </c>
      <c r="B739" s="3" t="s">
        <v>762</v>
      </c>
      <c r="C739" s="3" t="s">
        <v>189</v>
      </c>
      <c r="D739" s="3">
        <v>109.0</v>
      </c>
      <c r="E739" s="3">
        <v>2.17</v>
      </c>
      <c r="F739" s="3">
        <v>20.95</v>
      </c>
      <c r="G739" s="3">
        <v>0.0</v>
      </c>
    </row>
    <row r="740">
      <c r="A740" s="3">
        <v>168250.0</v>
      </c>
      <c r="B740" s="3" t="s">
        <v>763</v>
      </c>
      <c r="C740" s="3" t="s">
        <v>189</v>
      </c>
      <c r="D740" s="3">
        <v>143.0</v>
      </c>
      <c r="E740" s="3">
        <v>3.51</v>
      </c>
      <c r="F740" s="3">
        <v>26.17</v>
      </c>
      <c r="G740" s="3">
        <v>0.0</v>
      </c>
    </row>
    <row r="741">
      <c r="A741" s="3">
        <v>168251.0</v>
      </c>
      <c r="B741" s="3" t="s">
        <v>764</v>
      </c>
      <c r="C741" s="3" t="s">
        <v>189</v>
      </c>
      <c r="D741" s="3">
        <v>127.0</v>
      </c>
      <c r="E741" s="3">
        <v>3.42</v>
      </c>
      <c r="F741" s="3">
        <v>22.41</v>
      </c>
      <c r="G741" s="3">
        <v>0.0</v>
      </c>
    </row>
    <row r="742">
      <c r="A742" s="3">
        <v>168252.0</v>
      </c>
      <c r="B742" s="3" t="s">
        <v>765</v>
      </c>
      <c r="C742" s="3" t="s">
        <v>189</v>
      </c>
      <c r="D742" s="3">
        <v>170.0</v>
      </c>
      <c r="E742" s="3">
        <v>4.34</v>
      </c>
      <c r="F742" s="3">
        <v>30.54</v>
      </c>
      <c r="G742" s="3">
        <v>0.0</v>
      </c>
    </row>
    <row r="743">
      <c r="A743" s="3">
        <v>168253.0</v>
      </c>
      <c r="B743" s="3" t="s">
        <v>766</v>
      </c>
      <c r="C743" s="3" t="s">
        <v>189</v>
      </c>
      <c r="D743" s="3">
        <v>173.0</v>
      </c>
      <c r="E743" s="3">
        <v>6.08</v>
      </c>
      <c r="F743" s="3">
        <v>27.58</v>
      </c>
      <c r="G743" s="3">
        <v>0.0</v>
      </c>
    </row>
    <row r="744">
      <c r="A744" s="3">
        <v>168254.0</v>
      </c>
      <c r="B744" s="3" t="s">
        <v>767</v>
      </c>
      <c r="C744" s="3" t="s">
        <v>189</v>
      </c>
      <c r="D744" s="3">
        <v>173.0</v>
      </c>
      <c r="E744" s="3">
        <v>6.28</v>
      </c>
      <c r="F744" s="3">
        <v>27.23</v>
      </c>
      <c r="G744" s="3">
        <v>0.0</v>
      </c>
    </row>
    <row r="745">
      <c r="A745" s="3">
        <v>168255.0</v>
      </c>
      <c r="B745" s="3" t="s">
        <v>768</v>
      </c>
      <c r="C745" s="3" t="s">
        <v>189</v>
      </c>
      <c r="D745" s="3">
        <v>193.0</v>
      </c>
      <c r="E745" s="3">
        <v>12.51</v>
      </c>
      <c r="F745" s="3">
        <v>18.71</v>
      </c>
      <c r="G745" s="3">
        <v>0.0</v>
      </c>
    </row>
    <row r="746">
      <c r="A746" s="3">
        <v>168256.0</v>
      </c>
      <c r="B746" s="3" t="s">
        <v>769</v>
      </c>
      <c r="C746" s="3" t="s">
        <v>189</v>
      </c>
      <c r="D746" s="3">
        <v>235.0</v>
      </c>
      <c r="E746" s="3">
        <v>14.33</v>
      </c>
      <c r="F746" s="3">
        <v>24.88</v>
      </c>
      <c r="G746" s="3">
        <v>0.0</v>
      </c>
    </row>
    <row r="747">
      <c r="A747" s="3">
        <v>168257.0</v>
      </c>
      <c r="B747" s="3" t="s">
        <v>770</v>
      </c>
      <c r="C747" s="3" t="s">
        <v>189</v>
      </c>
      <c r="D747" s="3">
        <v>317.0</v>
      </c>
      <c r="E747" s="3">
        <v>24.01</v>
      </c>
      <c r="F747" s="3">
        <v>23.47</v>
      </c>
      <c r="G747" s="3">
        <v>0.0</v>
      </c>
    </row>
    <row r="748">
      <c r="A748" s="3">
        <v>168258.0</v>
      </c>
      <c r="B748" s="3" t="s">
        <v>771</v>
      </c>
      <c r="C748" s="3" t="s">
        <v>189</v>
      </c>
      <c r="D748" s="3">
        <v>120.0</v>
      </c>
      <c r="E748" s="3">
        <v>3.77</v>
      </c>
      <c r="F748" s="3">
        <v>20.26</v>
      </c>
      <c r="G748" s="3">
        <v>0.0</v>
      </c>
    </row>
    <row r="749">
      <c r="A749" s="3">
        <v>168259.0</v>
      </c>
      <c r="B749" s="3" t="s">
        <v>772</v>
      </c>
      <c r="C749" s="3" t="s">
        <v>189</v>
      </c>
      <c r="D749" s="3">
        <v>269.0</v>
      </c>
      <c r="E749" s="3">
        <v>18.86</v>
      </c>
      <c r="F749" s="3">
        <v>23.11</v>
      </c>
      <c r="G749" s="3">
        <v>0.0</v>
      </c>
    </row>
    <row r="750">
      <c r="A750" s="3">
        <v>168260.0</v>
      </c>
      <c r="B750" s="3" t="s">
        <v>773</v>
      </c>
      <c r="C750" s="3" t="s">
        <v>189</v>
      </c>
      <c r="D750" s="3">
        <v>132.0</v>
      </c>
      <c r="E750" s="3">
        <v>5.71</v>
      </c>
      <c r="F750" s="3">
        <v>18.73</v>
      </c>
      <c r="G750" s="3">
        <v>0.0</v>
      </c>
    </row>
    <row r="751">
      <c r="A751" s="3">
        <v>168261.0</v>
      </c>
      <c r="B751" s="3" t="s">
        <v>774</v>
      </c>
      <c r="C751" s="3" t="s">
        <v>189</v>
      </c>
      <c r="D751" s="3">
        <v>233.0</v>
      </c>
      <c r="E751" s="3">
        <v>13.2</v>
      </c>
      <c r="F751" s="3">
        <v>26.57</v>
      </c>
      <c r="G751" s="3">
        <v>0.0</v>
      </c>
    </row>
    <row r="752">
      <c r="A752" s="3">
        <v>168262.0</v>
      </c>
      <c r="B752" s="3" t="s">
        <v>775</v>
      </c>
      <c r="C752" s="3" t="s">
        <v>189</v>
      </c>
      <c r="D752" s="3">
        <v>227.0</v>
      </c>
      <c r="E752" s="3">
        <v>12.54</v>
      </c>
      <c r="F752" s="3">
        <v>26.74</v>
      </c>
      <c r="G752" s="3">
        <v>0.0</v>
      </c>
    </row>
    <row r="753">
      <c r="A753" s="3">
        <v>168263.0</v>
      </c>
      <c r="B753" s="3" t="s">
        <v>776</v>
      </c>
      <c r="C753" s="3" t="s">
        <v>189</v>
      </c>
      <c r="D753" s="3">
        <v>123.0</v>
      </c>
      <c r="E753" s="3">
        <v>3.09</v>
      </c>
      <c r="F753" s="3">
        <v>23.75</v>
      </c>
      <c r="G753" s="3">
        <v>0.0</v>
      </c>
    </row>
    <row r="754">
      <c r="A754" s="3">
        <v>168264.0</v>
      </c>
      <c r="B754" s="3" t="s">
        <v>777</v>
      </c>
      <c r="C754" s="3" t="s">
        <v>189</v>
      </c>
      <c r="D754" s="3">
        <v>127.0</v>
      </c>
      <c r="E754" s="3">
        <v>9.21</v>
      </c>
      <c r="F754" s="3">
        <v>10.28</v>
      </c>
      <c r="G754" s="3">
        <v>0.0</v>
      </c>
    </row>
    <row r="755">
      <c r="A755" s="3">
        <v>168265.0</v>
      </c>
      <c r="B755" s="3" t="s">
        <v>778</v>
      </c>
      <c r="C755" s="3" t="s">
        <v>189</v>
      </c>
      <c r="D755" s="3">
        <v>138.0</v>
      </c>
      <c r="E755" s="3">
        <v>9.51</v>
      </c>
      <c r="F755" s="3">
        <v>12.14</v>
      </c>
      <c r="G755" s="3">
        <v>0.0</v>
      </c>
    </row>
    <row r="756">
      <c r="A756" s="3">
        <v>168266.0</v>
      </c>
      <c r="B756" s="3" t="s">
        <v>779</v>
      </c>
      <c r="C756" s="3" t="s">
        <v>189</v>
      </c>
      <c r="D756" s="3">
        <v>182.0</v>
      </c>
      <c r="E756" s="3">
        <v>16.61</v>
      </c>
      <c r="F756" s="3">
        <v>7.64</v>
      </c>
      <c r="G756" s="3">
        <v>0.0</v>
      </c>
    </row>
    <row r="757">
      <c r="A757" s="3">
        <v>168267.0</v>
      </c>
      <c r="B757" s="3" t="s">
        <v>780</v>
      </c>
      <c r="C757" s="3" t="s">
        <v>189</v>
      </c>
      <c r="D757" s="3">
        <v>118.0</v>
      </c>
      <c r="E757" s="3">
        <v>4.36</v>
      </c>
      <c r="F757" s="3">
        <v>17.27</v>
      </c>
      <c r="G757" s="3">
        <v>1.33</v>
      </c>
    </row>
    <row r="758">
      <c r="A758" s="3">
        <v>168268.0</v>
      </c>
      <c r="B758" s="3" t="s">
        <v>781</v>
      </c>
      <c r="C758" s="3" t="s">
        <v>189</v>
      </c>
      <c r="D758" s="3">
        <v>148.0</v>
      </c>
      <c r="E758" s="3">
        <v>5.05</v>
      </c>
      <c r="F758" s="3">
        <v>23.6</v>
      </c>
      <c r="G758" s="3">
        <v>0.4</v>
      </c>
    </row>
    <row r="759">
      <c r="A759" s="3">
        <v>168269.0</v>
      </c>
      <c r="B759" s="3" t="s">
        <v>782</v>
      </c>
      <c r="C759" s="3" t="s">
        <v>189</v>
      </c>
      <c r="D759" s="3">
        <v>655.0</v>
      </c>
      <c r="E759" s="3">
        <v>69.61</v>
      </c>
      <c r="F759" s="3">
        <v>6.38</v>
      </c>
      <c r="G759" s="3">
        <v>0.0</v>
      </c>
    </row>
    <row r="760">
      <c r="A760" s="3">
        <v>168270.0</v>
      </c>
      <c r="B760" s="3" t="s">
        <v>783</v>
      </c>
      <c r="C760" s="3" t="s">
        <v>189</v>
      </c>
      <c r="D760" s="3">
        <v>100.0</v>
      </c>
      <c r="E760" s="3">
        <v>3.25</v>
      </c>
      <c r="F760" s="3">
        <v>16.46</v>
      </c>
      <c r="G760" s="3">
        <v>0.0</v>
      </c>
    </row>
    <row r="761">
      <c r="A761" s="3">
        <v>168271.0</v>
      </c>
      <c r="B761" s="3" t="s">
        <v>784</v>
      </c>
      <c r="C761" s="3" t="s">
        <v>189</v>
      </c>
      <c r="D761" s="3">
        <v>99.0</v>
      </c>
      <c r="E761" s="3">
        <v>3.1</v>
      </c>
      <c r="F761" s="3">
        <v>16.6</v>
      </c>
      <c r="G761" s="3">
        <v>0.0</v>
      </c>
    </row>
    <row r="762">
      <c r="A762" s="3">
        <v>168272.0</v>
      </c>
      <c r="B762" s="3" t="s">
        <v>785</v>
      </c>
      <c r="C762" s="3" t="s">
        <v>189</v>
      </c>
      <c r="D762" s="3">
        <v>304.0</v>
      </c>
      <c r="E762" s="3">
        <v>26.54</v>
      </c>
      <c r="F762" s="3">
        <v>15.03</v>
      </c>
      <c r="G762" s="3">
        <v>0.0</v>
      </c>
    </row>
    <row r="763">
      <c r="A763" s="3">
        <v>168273.0</v>
      </c>
      <c r="B763" s="3" t="s">
        <v>786</v>
      </c>
      <c r="C763" s="3" t="s">
        <v>189</v>
      </c>
      <c r="D763" s="3">
        <v>199.0</v>
      </c>
      <c r="E763" s="3">
        <v>13.24</v>
      </c>
      <c r="F763" s="3">
        <v>18.56</v>
      </c>
      <c r="G763" s="3">
        <v>0.0</v>
      </c>
    </row>
    <row r="764">
      <c r="A764" s="3">
        <v>168274.0</v>
      </c>
      <c r="B764" s="3" t="s">
        <v>787</v>
      </c>
      <c r="C764" s="3" t="s">
        <v>189</v>
      </c>
      <c r="D764" s="3">
        <v>219.0</v>
      </c>
      <c r="E764" s="3">
        <v>10.8</v>
      </c>
      <c r="F764" s="3">
        <v>28.5</v>
      </c>
      <c r="G764" s="3">
        <v>0.0</v>
      </c>
    </row>
    <row r="765">
      <c r="A765" s="3">
        <v>168275.0</v>
      </c>
      <c r="B765" s="3" t="s">
        <v>788</v>
      </c>
      <c r="C765" s="3" t="s">
        <v>189</v>
      </c>
      <c r="D765" s="3">
        <v>225.0</v>
      </c>
      <c r="E765" s="3">
        <v>17.2</v>
      </c>
      <c r="F765" s="3">
        <v>16.3</v>
      </c>
      <c r="G765" s="3">
        <v>0.0</v>
      </c>
    </row>
    <row r="766">
      <c r="A766" s="3">
        <v>168276.0</v>
      </c>
      <c r="B766" s="3" t="s">
        <v>789</v>
      </c>
      <c r="C766" s="3" t="s">
        <v>189</v>
      </c>
      <c r="D766" s="3">
        <v>271.0</v>
      </c>
      <c r="E766" s="3">
        <v>18.6</v>
      </c>
      <c r="F766" s="3">
        <v>24.1</v>
      </c>
      <c r="G766" s="3">
        <v>0.0</v>
      </c>
    </row>
    <row r="767">
      <c r="A767" s="3">
        <v>168277.0</v>
      </c>
      <c r="B767" s="3" t="s">
        <v>790</v>
      </c>
      <c r="C767" s="3" t="s">
        <v>189</v>
      </c>
      <c r="D767" s="3">
        <v>393.0</v>
      </c>
      <c r="E767" s="3">
        <v>37.13</v>
      </c>
      <c r="F767" s="3">
        <v>13.66</v>
      </c>
      <c r="G767" s="3">
        <v>0.0</v>
      </c>
    </row>
    <row r="768">
      <c r="A768" s="3">
        <v>168278.0</v>
      </c>
      <c r="B768" s="3" t="s">
        <v>791</v>
      </c>
      <c r="C768" s="3" t="s">
        <v>189</v>
      </c>
      <c r="D768" s="3">
        <v>388.0</v>
      </c>
      <c r="E768" s="3">
        <v>37.16</v>
      </c>
      <c r="F768" s="3">
        <v>11.74</v>
      </c>
      <c r="G768" s="3">
        <v>0.7</v>
      </c>
    </row>
    <row r="769">
      <c r="A769" s="3">
        <v>168279.0</v>
      </c>
      <c r="B769" s="3" t="s">
        <v>792</v>
      </c>
      <c r="C769" s="3" t="s">
        <v>189</v>
      </c>
      <c r="D769" s="3">
        <v>120.0</v>
      </c>
      <c r="E769" s="3">
        <v>4.56</v>
      </c>
      <c r="F769" s="3">
        <v>18.49</v>
      </c>
      <c r="G769" s="3">
        <v>0.0</v>
      </c>
    </row>
    <row r="770">
      <c r="A770" s="3">
        <v>168280.0</v>
      </c>
      <c r="B770" s="3" t="s">
        <v>793</v>
      </c>
      <c r="C770" s="3" t="s">
        <v>189</v>
      </c>
      <c r="D770" s="3">
        <v>136.0</v>
      </c>
      <c r="E770" s="3">
        <v>4.88</v>
      </c>
      <c r="F770" s="3">
        <v>21.16</v>
      </c>
      <c r="G770" s="3">
        <v>0.52</v>
      </c>
    </row>
    <row r="771">
      <c r="A771" s="3">
        <v>168281.0</v>
      </c>
      <c r="B771" s="3" t="s">
        <v>794</v>
      </c>
      <c r="C771" s="3" t="s">
        <v>189</v>
      </c>
      <c r="D771" s="3">
        <v>226.0</v>
      </c>
      <c r="E771" s="3">
        <v>15.2</v>
      </c>
      <c r="F771" s="3">
        <v>20.53</v>
      </c>
      <c r="G771" s="3">
        <v>0.42</v>
      </c>
    </row>
    <row r="772">
      <c r="A772" s="3">
        <v>168282.0</v>
      </c>
      <c r="B772" s="3" t="s">
        <v>795</v>
      </c>
      <c r="C772" s="3" t="s">
        <v>189</v>
      </c>
      <c r="D772" s="3">
        <v>195.0</v>
      </c>
      <c r="E772" s="3">
        <v>8.32</v>
      </c>
      <c r="F772" s="3">
        <v>27.8</v>
      </c>
      <c r="G772" s="3">
        <v>0.3</v>
      </c>
    </row>
    <row r="773">
      <c r="A773" s="3">
        <v>168283.0</v>
      </c>
      <c r="B773" s="3" t="s">
        <v>796</v>
      </c>
      <c r="C773" s="3" t="s">
        <v>189</v>
      </c>
      <c r="D773" s="3">
        <v>203.0</v>
      </c>
      <c r="E773" s="3">
        <v>12.9</v>
      </c>
      <c r="F773" s="3">
        <v>20.17</v>
      </c>
      <c r="G773" s="3">
        <v>0.05</v>
      </c>
    </row>
    <row r="774">
      <c r="A774" s="3">
        <v>168284.0</v>
      </c>
      <c r="B774" s="3" t="s">
        <v>797</v>
      </c>
      <c r="C774" s="3" t="s">
        <v>189</v>
      </c>
      <c r="D774" s="3">
        <v>157.0</v>
      </c>
      <c r="E774" s="3">
        <v>5.5</v>
      </c>
      <c r="F774" s="3">
        <v>25.05</v>
      </c>
      <c r="G774" s="3">
        <v>0.0</v>
      </c>
    </row>
    <row r="775">
      <c r="A775" s="3">
        <v>168285.0</v>
      </c>
      <c r="B775" s="3" t="s">
        <v>798</v>
      </c>
      <c r="C775" s="3" t="s">
        <v>189</v>
      </c>
      <c r="D775" s="3">
        <v>162.0</v>
      </c>
      <c r="E775" s="3">
        <v>4.65</v>
      </c>
      <c r="F775" s="3">
        <v>30.02</v>
      </c>
      <c r="G775" s="3">
        <v>0.0</v>
      </c>
    </row>
    <row r="776">
      <c r="A776" s="3">
        <v>168286.0</v>
      </c>
      <c r="B776" s="3" t="s">
        <v>799</v>
      </c>
      <c r="C776" s="3" t="s">
        <v>189</v>
      </c>
      <c r="D776" s="3">
        <v>201.0</v>
      </c>
      <c r="E776" s="3">
        <v>12.96</v>
      </c>
      <c r="F776" s="3">
        <v>21.14</v>
      </c>
      <c r="G776" s="3">
        <v>0.0</v>
      </c>
    </row>
    <row r="777">
      <c r="A777" s="3">
        <v>168287.0</v>
      </c>
      <c r="B777" s="3" t="s">
        <v>800</v>
      </c>
      <c r="C777" s="3" t="s">
        <v>189</v>
      </c>
      <c r="D777" s="3">
        <v>748.0</v>
      </c>
      <c r="E777" s="3">
        <v>80.5</v>
      </c>
      <c r="F777" s="3">
        <v>5.05</v>
      </c>
      <c r="G777" s="3">
        <v>0.0</v>
      </c>
    </row>
    <row r="778">
      <c r="A778" s="3">
        <v>168288.0</v>
      </c>
      <c r="B778" s="3" t="s">
        <v>801</v>
      </c>
      <c r="C778" s="3" t="s">
        <v>189</v>
      </c>
      <c r="D778" s="3">
        <v>269.0</v>
      </c>
      <c r="E778" s="3">
        <v>21.98</v>
      </c>
      <c r="F778" s="3">
        <v>16.47</v>
      </c>
      <c r="G778" s="3">
        <v>0.0</v>
      </c>
    </row>
    <row r="779">
      <c r="A779" s="3">
        <v>168289.0</v>
      </c>
      <c r="B779" s="3" t="s">
        <v>802</v>
      </c>
      <c r="C779" s="3" t="s">
        <v>189</v>
      </c>
      <c r="D779" s="3">
        <v>287.0</v>
      </c>
      <c r="E779" s="3">
        <v>23.48</v>
      </c>
      <c r="F779" s="3">
        <v>17.28</v>
      </c>
      <c r="G779" s="3">
        <v>0.37</v>
      </c>
    </row>
    <row r="780">
      <c r="A780" s="3">
        <v>168290.0</v>
      </c>
      <c r="B780" s="3" t="s">
        <v>803</v>
      </c>
      <c r="C780" s="3" t="s">
        <v>189</v>
      </c>
      <c r="D780" s="3">
        <v>238.0</v>
      </c>
      <c r="E780" s="3">
        <v>16.05</v>
      </c>
      <c r="F780" s="3">
        <v>21.94</v>
      </c>
      <c r="G780" s="3">
        <v>0.0</v>
      </c>
    </row>
    <row r="781">
      <c r="A781" s="3">
        <v>168291.0</v>
      </c>
      <c r="B781" s="3" t="s">
        <v>804</v>
      </c>
      <c r="C781" s="3" t="s">
        <v>189</v>
      </c>
      <c r="D781" s="3">
        <v>378.0</v>
      </c>
      <c r="E781" s="3">
        <v>33.5</v>
      </c>
      <c r="F781" s="3">
        <v>17.75</v>
      </c>
      <c r="G781" s="3">
        <v>0.0</v>
      </c>
    </row>
    <row r="782">
      <c r="A782" s="3">
        <v>168292.0</v>
      </c>
      <c r="B782" s="3" t="s">
        <v>805</v>
      </c>
      <c r="C782" s="3" t="s">
        <v>189</v>
      </c>
      <c r="D782" s="3">
        <v>238.0</v>
      </c>
      <c r="E782" s="3">
        <v>13.32</v>
      </c>
      <c r="F782" s="3">
        <v>27.63</v>
      </c>
      <c r="G782" s="3">
        <v>0.0</v>
      </c>
    </row>
    <row r="783">
      <c r="A783" s="3">
        <v>168293.0</v>
      </c>
      <c r="B783" s="3" t="s">
        <v>806</v>
      </c>
      <c r="C783" s="3" t="s">
        <v>189</v>
      </c>
      <c r="D783" s="3">
        <v>256.0</v>
      </c>
      <c r="E783" s="3">
        <v>15.71</v>
      </c>
      <c r="F783" s="3">
        <v>26.81</v>
      </c>
      <c r="G783" s="3">
        <v>0.0</v>
      </c>
    </row>
    <row r="784">
      <c r="A784" s="3">
        <v>168294.0</v>
      </c>
      <c r="B784" s="3" t="s">
        <v>807</v>
      </c>
      <c r="C784" s="3" t="s">
        <v>189</v>
      </c>
      <c r="D784" s="3">
        <v>172.0</v>
      </c>
      <c r="E784" s="3">
        <v>4.62</v>
      </c>
      <c r="F784" s="3">
        <v>30.46</v>
      </c>
      <c r="G784" s="3">
        <v>0.0</v>
      </c>
    </row>
    <row r="785">
      <c r="A785" s="3">
        <v>168295.0</v>
      </c>
      <c r="B785" s="3" t="s">
        <v>808</v>
      </c>
      <c r="C785" s="3" t="s">
        <v>189</v>
      </c>
      <c r="D785" s="3">
        <v>162.0</v>
      </c>
      <c r="E785" s="3">
        <v>8.39</v>
      </c>
      <c r="F785" s="3">
        <v>18.26</v>
      </c>
      <c r="G785" s="3">
        <v>2.28</v>
      </c>
    </row>
    <row r="786">
      <c r="A786" s="3">
        <v>168296.0</v>
      </c>
      <c r="B786" s="3" t="s">
        <v>809</v>
      </c>
      <c r="C786" s="3" t="s">
        <v>189</v>
      </c>
      <c r="D786" s="3">
        <v>165.0</v>
      </c>
      <c r="E786" s="3">
        <v>7.66</v>
      </c>
      <c r="F786" s="3">
        <v>21.97</v>
      </c>
      <c r="G786" s="3">
        <v>0.5</v>
      </c>
    </row>
    <row r="787">
      <c r="A787" s="3">
        <v>168297.0</v>
      </c>
      <c r="B787" s="3" t="s">
        <v>810</v>
      </c>
      <c r="C787" s="3" t="s">
        <v>189</v>
      </c>
      <c r="D787" s="3">
        <v>238.0</v>
      </c>
      <c r="E787" s="3">
        <v>13.89</v>
      </c>
      <c r="F787" s="3">
        <v>26.36</v>
      </c>
      <c r="G787" s="3">
        <v>0.0</v>
      </c>
    </row>
    <row r="788">
      <c r="A788" s="3">
        <v>168298.0</v>
      </c>
      <c r="B788" s="3" t="s">
        <v>811</v>
      </c>
      <c r="C788" s="3" t="s">
        <v>189</v>
      </c>
      <c r="D788" s="3">
        <v>229.0</v>
      </c>
      <c r="E788" s="3">
        <v>13.6</v>
      </c>
      <c r="F788" s="3">
        <v>26.68</v>
      </c>
      <c r="G788" s="3">
        <v>0.0</v>
      </c>
    </row>
    <row r="789">
      <c r="A789" s="3">
        <v>168299.0</v>
      </c>
      <c r="B789" s="3" t="s">
        <v>812</v>
      </c>
      <c r="C789" s="3" t="s">
        <v>189</v>
      </c>
      <c r="D789" s="3">
        <v>224.0</v>
      </c>
      <c r="E789" s="3">
        <v>16.33</v>
      </c>
      <c r="F789" s="3">
        <v>19.07</v>
      </c>
      <c r="G789" s="3">
        <v>0.0</v>
      </c>
    </row>
    <row r="790">
      <c r="A790" s="3">
        <v>168300.0</v>
      </c>
      <c r="B790" s="3" t="s">
        <v>813</v>
      </c>
      <c r="C790" s="3" t="s">
        <v>189</v>
      </c>
      <c r="D790" s="3">
        <v>292.0</v>
      </c>
      <c r="E790" s="3">
        <v>21.51</v>
      </c>
      <c r="F790" s="3">
        <v>23.01</v>
      </c>
      <c r="G790" s="3">
        <v>0.0</v>
      </c>
    </row>
    <row r="791">
      <c r="A791" s="3">
        <v>168301.0</v>
      </c>
      <c r="B791" s="3" t="s">
        <v>814</v>
      </c>
      <c r="C791" s="3" t="s">
        <v>189</v>
      </c>
      <c r="D791" s="3">
        <v>252.0</v>
      </c>
      <c r="E791" s="3">
        <v>15.15</v>
      </c>
      <c r="F791" s="3">
        <v>26.99</v>
      </c>
      <c r="G791" s="3">
        <v>0.0</v>
      </c>
    </row>
    <row r="792">
      <c r="A792" s="3">
        <v>168302.0</v>
      </c>
      <c r="B792" s="3" t="s">
        <v>815</v>
      </c>
      <c r="C792" s="3" t="s">
        <v>189</v>
      </c>
      <c r="D792" s="3">
        <v>152.0</v>
      </c>
      <c r="E792" s="3">
        <v>6.48</v>
      </c>
      <c r="F792" s="3">
        <v>21.8</v>
      </c>
      <c r="G792" s="3">
        <v>0.0</v>
      </c>
    </row>
    <row r="793">
      <c r="A793" s="3">
        <v>168303.0</v>
      </c>
      <c r="B793" s="3" t="s">
        <v>816</v>
      </c>
      <c r="C793" s="3" t="s">
        <v>189</v>
      </c>
      <c r="D793" s="3">
        <v>211.0</v>
      </c>
      <c r="E793" s="3">
        <v>10.14</v>
      </c>
      <c r="F793" s="3">
        <v>27.95</v>
      </c>
      <c r="G793" s="3">
        <v>0.0</v>
      </c>
    </row>
    <row r="794">
      <c r="A794" s="3">
        <v>168304.0</v>
      </c>
      <c r="B794" s="3" t="s">
        <v>817</v>
      </c>
      <c r="C794" s="3" t="s">
        <v>189</v>
      </c>
      <c r="D794" s="3">
        <v>216.0</v>
      </c>
      <c r="E794" s="3">
        <v>10.05</v>
      </c>
      <c r="F794" s="3">
        <v>29.46</v>
      </c>
      <c r="G794" s="3">
        <v>0.0</v>
      </c>
    </row>
    <row r="795">
      <c r="A795" s="3">
        <v>168305.0</v>
      </c>
      <c r="B795" s="3" t="s">
        <v>818</v>
      </c>
      <c r="C795" s="3" t="s">
        <v>189</v>
      </c>
      <c r="D795" s="3">
        <v>140.0</v>
      </c>
      <c r="E795" s="3">
        <v>5.64</v>
      </c>
      <c r="F795" s="3">
        <v>20.76</v>
      </c>
      <c r="G795" s="3">
        <v>0.0</v>
      </c>
    </row>
    <row r="796">
      <c r="A796" s="3">
        <v>168306.0</v>
      </c>
      <c r="B796" s="3" t="s">
        <v>819</v>
      </c>
      <c r="C796" s="3" t="s">
        <v>189</v>
      </c>
      <c r="D796" s="3">
        <v>247.0</v>
      </c>
      <c r="E796" s="3">
        <v>14.26</v>
      </c>
      <c r="F796" s="3">
        <v>27.74</v>
      </c>
      <c r="G796" s="3">
        <v>0.0</v>
      </c>
    </row>
    <row r="797">
      <c r="A797" s="3">
        <v>168307.0</v>
      </c>
      <c r="B797" s="3" t="s">
        <v>820</v>
      </c>
      <c r="C797" s="3" t="s">
        <v>189</v>
      </c>
      <c r="D797" s="3">
        <v>227.0</v>
      </c>
      <c r="E797" s="3">
        <v>11.38</v>
      </c>
      <c r="F797" s="3">
        <v>29.2</v>
      </c>
      <c r="G797" s="3">
        <v>0.0</v>
      </c>
    </row>
    <row r="798">
      <c r="A798" s="3">
        <v>168308.0</v>
      </c>
      <c r="B798" s="3" t="s">
        <v>821</v>
      </c>
      <c r="C798" s="3" t="s">
        <v>189</v>
      </c>
      <c r="D798" s="3">
        <v>133.0</v>
      </c>
      <c r="E798" s="3">
        <v>4.05</v>
      </c>
      <c r="F798" s="3">
        <v>22.49</v>
      </c>
      <c r="G798" s="3">
        <v>0.0</v>
      </c>
    </row>
    <row r="799">
      <c r="A799" s="3">
        <v>168309.0</v>
      </c>
      <c r="B799" s="3" t="s">
        <v>822</v>
      </c>
      <c r="C799" s="3" t="s">
        <v>189</v>
      </c>
      <c r="D799" s="3">
        <v>163.0</v>
      </c>
      <c r="E799" s="3">
        <v>4.5</v>
      </c>
      <c r="F799" s="3">
        <v>28.75</v>
      </c>
      <c r="G799" s="3">
        <v>0.0</v>
      </c>
    </row>
    <row r="800">
      <c r="A800" s="3">
        <v>168310.0</v>
      </c>
      <c r="B800" s="3" t="s">
        <v>823</v>
      </c>
      <c r="C800" s="3" t="s">
        <v>189</v>
      </c>
      <c r="D800" s="3">
        <v>161.0</v>
      </c>
      <c r="E800" s="3">
        <v>4.36</v>
      </c>
      <c r="F800" s="3">
        <v>28.6</v>
      </c>
      <c r="G800" s="3">
        <v>0.0</v>
      </c>
    </row>
    <row r="801">
      <c r="A801" s="3">
        <v>168311.0</v>
      </c>
      <c r="B801" s="3" t="s">
        <v>824</v>
      </c>
      <c r="C801" s="3" t="s">
        <v>189</v>
      </c>
      <c r="D801" s="3">
        <v>178.0</v>
      </c>
      <c r="E801" s="3">
        <v>5.31</v>
      </c>
      <c r="F801" s="3">
        <v>30.39</v>
      </c>
      <c r="G801" s="3">
        <v>0.0</v>
      </c>
    </row>
    <row r="802">
      <c r="A802" s="3">
        <v>168312.0</v>
      </c>
      <c r="B802" s="3" t="s">
        <v>825</v>
      </c>
      <c r="C802" s="3" t="s">
        <v>189</v>
      </c>
      <c r="D802" s="3">
        <v>120.0</v>
      </c>
      <c r="E802" s="3">
        <v>3.53</v>
      </c>
      <c r="F802" s="3">
        <v>20.65</v>
      </c>
      <c r="G802" s="3">
        <v>0.0</v>
      </c>
    </row>
    <row r="803">
      <c r="A803" s="3">
        <v>168313.0</v>
      </c>
      <c r="B803" s="3" t="s">
        <v>826</v>
      </c>
      <c r="C803" s="3" t="s">
        <v>189</v>
      </c>
      <c r="D803" s="3">
        <v>187.0</v>
      </c>
      <c r="E803" s="3">
        <v>6.33</v>
      </c>
      <c r="F803" s="3">
        <v>30.42</v>
      </c>
      <c r="G803" s="3">
        <v>0.0</v>
      </c>
    </row>
    <row r="804">
      <c r="A804" s="3">
        <v>168314.0</v>
      </c>
      <c r="B804" s="3" t="s">
        <v>827</v>
      </c>
      <c r="C804" s="3" t="s">
        <v>189</v>
      </c>
      <c r="D804" s="3">
        <v>166.0</v>
      </c>
      <c r="E804" s="3">
        <v>8.33</v>
      </c>
      <c r="F804" s="3">
        <v>21.34</v>
      </c>
      <c r="G804" s="3">
        <v>0.0</v>
      </c>
    </row>
    <row r="805">
      <c r="A805" s="3">
        <v>168315.0</v>
      </c>
      <c r="B805" s="3" t="s">
        <v>828</v>
      </c>
      <c r="C805" s="3" t="s">
        <v>189</v>
      </c>
      <c r="D805" s="3">
        <v>132.0</v>
      </c>
      <c r="E805" s="3">
        <v>4.06</v>
      </c>
      <c r="F805" s="3">
        <v>22.39</v>
      </c>
      <c r="G805" s="3">
        <v>0.0</v>
      </c>
    </row>
    <row r="806">
      <c r="A806" s="3">
        <v>168316.0</v>
      </c>
      <c r="B806" s="3" t="s">
        <v>829</v>
      </c>
      <c r="C806" s="3" t="s">
        <v>189</v>
      </c>
      <c r="D806" s="3">
        <v>177.0</v>
      </c>
      <c r="E806" s="3">
        <v>10.14</v>
      </c>
      <c r="F806" s="3">
        <v>20.08</v>
      </c>
      <c r="G806" s="3">
        <v>0.0</v>
      </c>
    </row>
    <row r="807">
      <c r="A807" s="3">
        <v>168317.0</v>
      </c>
      <c r="B807" s="3" t="s">
        <v>830</v>
      </c>
      <c r="C807" s="3" t="s">
        <v>189</v>
      </c>
      <c r="D807" s="3">
        <v>110.0</v>
      </c>
      <c r="E807" s="3">
        <v>3.8</v>
      </c>
      <c r="F807" s="3">
        <v>17.21</v>
      </c>
      <c r="G807" s="3">
        <v>1.82</v>
      </c>
    </row>
    <row r="808">
      <c r="A808" s="3">
        <v>168318.0</v>
      </c>
      <c r="B808" s="3" t="s">
        <v>831</v>
      </c>
      <c r="C808" s="3" t="s">
        <v>189</v>
      </c>
      <c r="D808" s="3">
        <v>118.0</v>
      </c>
      <c r="E808" s="3">
        <v>4.16</v>
      </c>
      <c r="F808" s="3">
        <v>17.83</v>
      </c>
      <c r="G808" s="3">
        <v>1.79</v>
      </c>
    </row>
    <row r="809">
      <c r="A809" s="3">
        <v>168319.0</v>
      </c>
      <c r="B809" s="3" t="s">
        <v>832</v>
      </c>
      <c r="C809" s="3" t="s">
        <v>189</v>
      </c>
      <c r="D809" s="3">
        <v>167.0</v>
      </c>
      <c r="E809" s="3">
        <v>9.62</v>
      </c>
      <c r="F809" s="3">
        <v>18.74</v>
      </c>
      <c r="G809" s="3">
        <v>0.84</v>
      </c>
    </row>
    <row r="810">
      <c r="A810" s="3">
        <v>168320.0</v>
      </c>
      <c r="B810" s="3" t="s">
        <v>833</v>
      </c>
      <c r="C810" s="3" t="s">
        <v>189</v>
      </c>
      <c r="D810" s="3">
        <v>145.0</v>
      </c>
      <c r="E810" s="3">
        <v>7.18</v>
      </c>
      <c r="F810" s="3">
        <v>19.02</v>
      </c>
      <c r="G810" s="3">
        <v>0.76</v>
      </c>
    </row>
    <row r="811">
      <c r="A811" s="3">
        <v>168321.0</v>
      </c>
      <c r="B811" s="3" t="s">
        <v>834</v>
      </c>
      <c r="C811" s="3" t="s">
        <v>189</v>
      </c>
      <c r="D811" s="3">
        <v>476.0</v>
      </c>
      <c r="E811" s="3">
        <v>34.12</v>
      </c>
      <c r="F811" s="3">
        <v>39.01</v>
      </c>
      <c r="G811" s="3">
        <v>0.48</v>
      </c>
    </row>
    <row r="812">
      <c r="A812" s="3">
        <v>168322.0</v>
      </c>
      <c r="B812" s="3" t="s">
        <v>835</v>
      </c>
      <c r="C812" s="3" t="s">
        <v>189</v>
      </c>
      <c r="D812" s="3">
        <v>468.0</v>
      </c>
      <c r="E812" s="3">
        <v>35.09</v>
      </c>
      <c r="F812" s="3">
        <v>33.92</v>
      </c>
      <c r="G812" s="3">
        <v>1.7</v>
      </c>
    </row>
    <row r="813">
      <c r="A813" s="3">
        <v>168323.0</v>
      </c>
      <c r="B813" s="3" t="s">
        <v>836</v>
      </c>
      <c r="C813" s="3" t="s">
        <v>189</v>
      </c>
      <c r="D813" s="3">
        <v>157.0</v>
      </c>
      <c r="E813" s="3">
        <v>7.26</v>
      </c>
      <c r="F813" s="3">
        <v>21.4</v>
      </c>
      <c r="G813" s="3">
        <v>0.09</v>
      </c>
    </row>
    <row r="814">
      <c r="A814" s="3">
        <v>168324.0</v>
      </c>
      <c r="B814" s="3" t="s">
        <v>837</v>
      </c>
      <c r="C814" s="3" t="s">
        <v>189</v>
      </c>
      <c r="D814" s="3">
        <v>898.0</v>
      </c>
      <c r="E814" s="3">
        <v>99.5</v>
      </c>
      <c r="F814" s="3">
        <v>0.07</v>
      </c>
      <c r="G814" s="3">
        <v>0.0</v>
      </c>
    </row>
    <row r="815">
      <c r="A815" s="3">
        <v>168325.0</v>
      </c>
      <c r="B815" s="3" t="s">
        <v>838</v>
      </c>
      <c r="C815" s="3" t="s">
        <v>189</v>
      </c>
      <c r="D815" s="3">
        <v>122.0</v>
      </c>
      <c r="E815" s="3">
        <v>3.63</v>
      </c>
      <c r="F815" s="3">
        <v>20.9</v>
      </c>
      <c r="G815" s="3">
        <v>1.35</v>
      </c>
    </row>
    <row r="816">
      <c r="A816" s="3">
        <v>168326.0</v>
      </c>
      <c r="B816" s="3" t="s">
        <v>839</v>
      </c>
      <c r="C816" s="3" t="s">
        <v>189</v>
      </c>
      <c r="D816" s="3">
        <v>123.0</v>
      </c>
      <c r="E816" s="3">
        <v>5.06</v>
      </c>
      <c r="F816" s="3">
        <v>15.09</v>
      </c>
      <c r="G816" s="3">
        <v>4.69</v>
      </c>
    </row>
    <row r="817">
      <c r="A817" s="3">
        <v>168327.0</v>
      </c>
      <c r="B817" s="3" t="s">
        <v>840</v>
      </c>
      <c r="C817" s="3" t="s">
        <v>189</v>
      </c>
      <c r="D817" s="3">
        <v>123.0</v>
      </c>
      <c r="E817" s="3">
        <v>5.46</v>
      </c>
      <c r="F817" s="3">
        <v>13.88</v>
      </c>
      <c r="G817" s="3">
        <v>4.61</v>
      </c>
    </row>
    <row r="818">
      <c r="A818" s="3">
        <v>168328.0</v>
      </c>
      <c r="B818" s="3" t="s">
        <v>841</v>
      </c>
      <c r="C818" s="3" t="s">
        <v>189</v>
      </c>
      <c r="D818" s="3">
        <v>116.0</v>
      </c>
      <c r="E818" s="3">
        <v>4.86</v>
      </c>
      <c r="F818" s="3">
        <v>14.07</v>
      </c>
      <c r="G818" s="3">
        <v>4.22</v>
      </c>
    </row>
    <row r="819">
      <c r="A819" s="3">
        <v>168329.0</v>
      </c>
      <c r="B819" s="3" t="s">
        <v>842</v>
      </c>
      <c r="C819" s="3" t="s">
        <v>189</v>
      </c>
      <c r="D819" s="3">
        <v>119.0</v>
      </c>
      <c r="E819" s="3">
        <v>4.09</v>
      </c>
      <c r="F819" s="3">
        <v>18.82</v>
      </c>
      <c r="G819" s="3">
        <v>1.75</v>
      </c>
    </row>
    <row r="820">
      <c r="A820" s="3">
        <v>168330.0</v>
      </c>
      <c r="B820" s="3" t="s">
        <v>843</v>
      </c>
      <c r="C820" s="3" t="s">
        <v>189</v>
      </c>
      <c r="D820" s="3">
        <v>150.0</v>
      </c>
      <c r="E820" s="3">
        <v>4.38</v>
      </c>
      <c r="F820" s="3">
        <v>27.75</v>
      </c>
      <c r="G820" s="3">
        <v>0.0</v>
      </c>
    </row>
    <row r="821">
      <c r="A821" s="3">
        <v>168331.0</v>
      </c>
      <c r="B821" s="3" t="s">
        <v>844</v>
      </c>
      <c r="C821" s="3" t="s">
        <v>189</v>
      </c>
      <c r="D821" s="3">
        <v>126.0</v>
      </c>
      <c r="E821" s="3">
        <v>3.78</v>
      </c>
      <c r="F821" s="3">
        <v>22.56</v>
      </c>
      <c r="G821" s="3">
        <v>1.08</v>
      </c>
    </row>
    <row r="822">
      <c r="A822" s="3">
        <v>168332.0</v>
      </c>
      <c r="B822" s="3" t="s">
        <v>845</v>
      </c>
      <c r="C822" s="3" t="s">
        <v>189</v>
      </c>
      <c r="D822" s="3">
        <v>131.0</v>
      </c>
      <c r="E822" s="3">
        <v>4.7</v>
      </c>
      <c r="F822" s="3">
        <v>21.28</v>
      </c>
      <c r="G822" s="3">
        <v>1.15</v>
      </c>
    </row>
    <row r="823">
      <c r="A823" s="3">
        <v>168333.0</v>
      </c>
      <c r="B823" s="3" t="s">
        <v>846</v>
      </c>
      <c r="C823" s="3" t="s">
        <v>189</v>
      </c>
      <c r="D823" s="3">
        <v>116.0</v>
      </c>
      <c r="E823" s="3">
        <v>3.16</v>
      </c>
      <c r="F823" s="3">
        <v>20.95</v>
      </c>
      <c r="G823" s="3">
        <v>1.05</v>
      </c>
    </row>
    <row r="824">
      <c r="A824" s="3">
        <v>168334.0</v>
      </c>
      <c r="B824" s="3" t="s">
        <v>847</v>
      </c>
      <c r="C824" s="3" t="s">
        <v>189</v>
      </c>
      <c r="D824" s="3">
        <v>113.0</v>
      </c>
      <c r="E824" s="3">
        <v>3.01</v>
      </c>
      <c r="F824" s="3">
        <v>20.57</v>
      </c>
      <c r="G824" s="3">
        <v>0.84</v>
      </c>
    </row>
    <row r="825">
      <c r="A825" s="3">
        <v>168335.0</v>
      </c>
      <c r="B825" s="3" t="s">
        <v>848</v>
      </c>
      <c r="C825" s="3" t="s">
        <v>189</v>
      </c>
      <c r="D825" s="3">
        <v>111.0</v>
      </c>
      <c r="E825" s="3">
        <v>3.21</v>
      </c>
      <c r="F825" s="3">
        <v>19.44</v>
      </c>
      <c r="G825" s="3">
        <v>1.03</v>
      </c>
    </row>
    <row r="826">
      <c r="A826" s="3">
        <v>168336.0</v>
      </c>
      <c r="B826" s="3" t="s">
        <v>849</v>
      </c>
      <c r="C826" s="3" t="s">
        <v>189</v>
      </c>
      <c r="D826" s="3">
        <v>91.0</v>
      </c>
      <c r="E826" s="3">
        <v>1.87</v>
      </c>
      <c r="F826" s="3">
        <v>18.65</v>
      </c>
      <c r="G826" s="3">
        <v>0.71</v>
      </c>
    </row>
    <row r="827">
      <c r="A827" s="3">
        <v>168337.0</v>
      </c>
      <c r="B827" s="3" t="s">
        <v>850</v>
      </c>
      <c r="C827" s="3" t="s">
        <v>189</v>
      </c>
      <c r="D827" s="3">
        <v>122.0</v>
      </c>
      <c r="E827" s="3">
        <v>3.47</v>
      </c>
      <c r="F827" s="3">
        <v>22.71</v>
      </c>
      <c r="G827" s="3">
        <v>0.43</v>
      </c>
    </row>
    <row r="828">
      <c r="A828" s="3">
        <v>168338.0</v>
      </c>
      <c r="B828" s="3" t="s">
        <v>851</v>
      </c>
      <c r="C828" s="3" t="s">
        <v>189</v>
      </c>
      <c r="D828" s="3">
        <v>130.0</v>
      </c>
      <c r="E828" s="3">
        <v>3.33</v>
      </c>
      <c r="F828" s="3">
        <v>25.11</v>
      </c>
      <c r="G828" s="3">
        <v>0.3</v>
      </c>
    </row>
    <row r="829">
      <c r="A829" s="3">
        <v>168339.0</v>
      </c>
      <c r="B829" s="3" t="s">
        <v>852</v>
      </c>
      <c r="C829" s="3" t="s">
        <v>189</v>
      </c>
      <c r="D829" s="3">
        <v>123.0</v>
      </c>
      <c r="E829" s="3">
        <v>2.87</v>
      </c>
      <c r="F829" s="3">
        <v>24.34</v>
      </c>
      <c r="G829" s="3">
        <v>0.0</v>
      </c>
    </row>
    <row r="830">
      <c r="A830" s="3">
        <v>168340.0</v>
      </c>
      <c r="B830" s="3" t="s">
        <v>853</v>
      </c>
      <c r="C830" s="3" t="s">
        <v>189</v>
      </c>
      <c r="D830" s="3">
        <v>109.0</v>
      </c>
      <c r="E830" s="3">
        <v>3.26</v>
      </c>
      <c r="F830" s="3">
        <v>19.25</v>
      </c>
      <c r="G830" s="3">
        <v>1.22</v>
      </c>
    </row>
    <row r="831">
      <c r="A831" s="3">
        <v>168341.0</v>
      </c>
      <c r="B831" s="3" t="s">
        <v>854</v>
      </c>
      <c r="C831" s="3" t="s">
        <v>189</v>
      </c>
      <c r="D831" s="3">
        <v>129.0</v>
      </c>
      <c r="E831" s="3">
        <v>5.75</v>
      </c>
      <c r="F831" s="3">
        <v>18.66</v>
      </c>
      <c r="G831" s="3">
        <v>1.18</v>
      </c>
    </row>
    <row r="832">
      <c r="A832" s="3">
        <v>168342.0</v>
      </c>
      <c r="B832" s="3" t="s">
        <v>855</v>
      </c>
      <c r="C832" s="3" t="s">
        <v>189</v>
      </c>
      <c r="D832" s="3">
        <v>159.0</v>
      </c>
      <c r="E832" s="3">
        <v>7.4</v>
      </c>
      <c r="F832" s="3">
        <v>22.82</v>
      </c>
      <c r="G832" s="3">
        <v>0.17</v>
      </c>
    </row>
    <row r="833">
      <c r="A833" s="3">
        <v>168343.0</v>
      </c>
      <c r="B833" s="3" t="s">
        <v>856</v>
      </c>
      <c r="C833" s="3" t="s">
        <v>189</v>
      </c>
      <c r="D833" s="3">
        <v>191.0</v>
      </c>
      <c r="E833" s="3">
        <v>11.11</v>
      </c>
      <c r="F833" s="3">
        <v>22.35</v>
      </c>
      <c r="G833" s="3">
        <v>0.32</v>
      </c>
    </row>
    <row r="834">
      <c r="A834" s="3">
        <v>168344.0</v>
      </c>
      <c r="B834" s="3" t="s">
        <v>857</v>
      </c>
      <c r="C834" s="3" t="s">
        <v>189</v>
      </c>
      <c r="D834" s="3">
        <v>200.0</v>
      </c>
      <c r="E834" s="3">
        <v>13.26</v>
      </c>
      <c r="F834" s="3">
        <v>19.7</v>
      </c>
      <c r="G834" s="3">
        <v>0.43</v>
      </c>
    </row>
    <row r="835">
      <c r="A835" s="3">
        <v>168345.0</v>
      </c>
      <c r="B835" s="3" t="s">
        <v>858</v>
      </c>
      <c r="C835" s="3" t="s">
        <v>189</v>
      </c>
      <c r="D835" s="3">
        <v>121.0</v>
      </c>
      <c r="E835" s="3">
        <v>5.38</v>
      </c>
      <c r="F835" s="3">
        <v>17.06</v>
      </c>
      <c r="G835" s="3">
        <v>1.42</v>
      </c>
    </row>
    <row r="836">
      <c r="A836" s="3">
        <v>168346.0</v>
      </c>
      <c r="B836" s="3" t="s">
        <v>859</v>
      </c>
      <c r="C836" s="3" t="s">
        <v>189</v>
      </c>
      <c r="D836" s="3">
        <v>164.0</v>
      </c>
      <c r="E836" s="3">
        <v>10.77</v>
      </c>
      <c r="F836" s="3">
        <v>15.73</v>
      </c>
      <c r="G836" s="3">
        <v>1.1</v>
      </c>
    </row>
    <row r="837">
      <c r="A837" s="3">
        <v>168347.0</v>
      </c>
      <c r="B837" s="3" t="s">
        <v>860</v>
      </c>
      <c r="C837" s="3" t="s">
        <v>189</v>
      </c>
      <c r="D837" s="3">
        <v>167.0</v>
      </c>
      <c r="E837" s="3">
        <v>11.02</v>
      </c>
      <c r="F837" s="3">
        <v>16.65</v>
      </c>
      <c r="G837" s="3">
        <v>0.66</v>
      </c>
    </row>
    <row r="838">
      <c r="A838" s="3">
        <v>168348.0</v>
      </c>
      <c r="B838" s="3" t="s">
        <v>861</v>
      </c>
      <c r="C838" s="3" t="s">
        <v>189</v>
      </c>
      <c r="D838" s="3">
        <v>172.0</v>
      </c>
      <c r="E838" s="3">
        <v>12.5</v>
      </c>
      <c r="F838" s="3">
        <v>13.99</v>
      </c>
      <c r="G838" s="3">
        <v>0.8</v>
      </c>
    </row>
    <row r="839">
      <c r="A839" s="3">
        <v>168349.0</v>
      </c>
      <c r="B839" s="3" t="s">
        <v>862</v>
      </c>
      <c r="C839" s="3" t="s">
        <v>189</v>
      </c>
      <c r="D839" s="3">
        <v>126.0</v>
      </c>
      <c r="E839" s="3">
        <v>5.48</v>
      </c>
      <c r="F839" s="3">
        <v>17.77</v>
      </c>
      <c r="G839" s="3">
        <v>1.54</v>
      </c>
    </row>
    <row r="840">
      <c r="A840" s="3">
        <v>168350.0</v>
      </c>
      <c r="B840" s="3" t="s">
        <v>863</v>
      </c>
      <c r="C840" s="3" t="s">
        <v>189</v>
      </c>
      <c r="D840" s="3">
        <v>186.0</v>
      </c>
      <c r="E840" s="3">
        <v>11.48</v>
      </c>
      <c r="F840" s="3">
        <v>19.46</v>
      </c>
      <c r="G840" s="3">
        <v>1.15</v>
      </c>
    </row>
    <row r="841">
      <c r="A841" s="3">
        <v>168351.0</v>
      </c>
      <c r="B841" s="3" t="s">
        <v>864</v>
      </c>
      <c r="C841" s="3" t="s">
        <v>189</v>
      </c>
      <c r="D841" s="3">
        <v>234.0</v>
      </c>
      <c r="E841" s="3">
        <v>17.29</v>
      </c>
      <c r="F841" s="3">
        <v>18.17</v>
      </c>
      <c r="G841" s="3">
        <v>1.42</v>
      </c>
    </row>
    <row r="842">
      <c r="A842" s="3">
        <v>168352.0</v>
      </c>
      <c r="B842" s="3" t="s">
        <v>865</v>
      </c>
      <c r="C842" s="3" t="s">
        <v>189</v>
      </c>
      <c r="D842" s="3">
        <v>155.0</v>
      </c>
      <c r="E842" s="3">
        <v>7.78</v>
      </c>
      <c r="F842" s="3">
        <v>19.85</v>
      </c>
      <c r="G842" s="3">
        <v>1.41</v>
      </c>
    </row>
    <row r="843">
      <c r="A843" s="3">
        <v>168353.0</v>
      </c>
      <c r="B843" s="3" t="s">
        <v>866</v>
      </c>
      <c r="C843" s="3" t="s">
        <v>189</v>
      </c>
      <c r="D843" s="3">
        <v>118.0</v>
      </c>
      <c r="E843" s="3">
        <v>3.4</v>
      </c>
      <c r="F843" s="3">
        <v>20.89</v>
      </c>
      <c r="G843" s="3">
        <v>1.04</v>
      </c>
    </row>
    <row r="844">
      <c r="A844" s="3">
        <v>168354.0</v>
      </c>
      <c r="B844" s="3" t="s">
        <v>867</v>
      </c>
      <c r="C844" s="3" t="s">
        <v>189</v>
      </c>
      <c r="D844" s="3">
        <v>139.0</v>
      </c>
      <c r="E844" s="3">
        <v>5.1</v>
      </c>
      <c r="F844" s="3">
        <v>22.18</v>
      </c>
      <c r="G844" s="3">
        <v>1.06</v>
      </c>
    </row>
    <row r="845">
      <c r="A845" s="3">
        <v>168355.0</v>
      </c>
      <c r="B845" s="3" t="s">
        <v>868</v>
      </c>
      <c r="C845" s="3" t="s">
        <v>189</v>
      </c>
      <c r="D845" s="3">
        <v>114.0</v>
      </c>
      <c r="E845" s="3">
        <v>3.13</v>
      </c>
      <c r="F845" s="3">
        <v>20.54</v>
      </c>
      <c r="G845" s="3">
        <v>0.84</v>
      </c>
    </row>
    <row r="846">
      <c r="A846" s="3">
        <v>168356.0</v>
      </c>
      <c r="B846" s="3" t="s">
        <v>869</v>
      </c>
      <c r="C846" s="3" t="s">
        <v>189</v>
      </c>
      <c r="D846" s="3">
        <v>177.0</v>
      </c>
      <c r="E846" s="3">
        <v>8.88</v>
      </c>
      <c r="F846" s="3">
        <v>23.95</v>
      </c>
      <c r="G846" s="3">
        <v>0.64</v>
      </c>
    </row>
    <row r="847">
      <c r="A847" s="3">
        <v>168357.0</v>
      </c>
      <c r="B847" s="3" t="s">
        <v>870</v>
      </c>
      <c r="C847" s="3" t="s">
        <v>189</v>
      </c>
      <c r="D847" s="3">
        <v>191.0</v>
      </c>
      <c r="E847" s="3">
        <v>9.35</v>
      </c>
      <c r="F847" s="3">
        <v>24.39</v>
      </c>
      <c r="G847" s="3">
        <v>0.64</v>
      </c>
    </row>
    <row r="848">
      <c r="A848" s="3">
        <v>168358.0</v>
      </c>
      <c r="B848" s="3" t="s">
        <v>871</v>
      </c>
      <c r="C848" s="3" t="s">
        <v>189</v>
      </c>
      <c r="D848" s="3">
        <v>177.0</v>
      </c>
      <c r="E848" s="3">
        <v>9.85</v>
      </c>
      <c r="F848" s="3">
        <v>21.61</v>
      </c>
      <c r="G848" s="3">
        <v>0.41</v>
      </c>
    </row>
    <row r="849">
      <c r="A849" s="3">
        <v>168359.0</v>
      </c>
      <c r="B849" s="3" t="s">
        <v>872</v>
      </c>
      <c r="C849" s="3" t="s">
        <v>189</v>
      </c>
      <c r="D849" s="3">
        <v>181.0</v>
      </c>
      <c r="E849" s="3">
        <v>8.48</v>
      </c>
      <c r="F849" s="3">
        <v>25.48</v>
      </c>
      <c r="G849" s="3">
        <v>0.7</v>
      </c>
    </row>
    <row r="850">
      <c r="A850" s="3">
        <v>168360.0</v>
      </c>
      <c r="B850" s="3" t="s">
        <v>873</v>
      </c>
      <c r="C850" s="3" t="s">
        <v>189</v>
      </c>
      <c r="D850" s="3">
        <v>130.0</v>
      </c>
      <c r="E850" s="3">
        <v>3.59</v>
      </c>
      <c r="F850" s="3">
        <v>24.36</v>
      </c>
      <c r="G850" s="3">
        <v>0.0</v>
      </c>
    </row>
    <row r="851">
      <c r="A851" s="3">
        <v>168361.0</v>
      </c>
      <c r="B851" s="3" t="s">
        <v>874</v>
      </c>
      <c r="C851" s="3" t="s">
        <v>189</v>
      </c>
      <c r="D851" s="3">
        <v>106.0</v>
      </c>
      <c r="E851" s="3">
        <v>2.09</v>
      </c>
      <c r="F851" s="3">
        <v>20.39</v>
      </c>
      <c r="G851" s="3">
        <v>0.0</v>
      </c>
    </row>
    <row r="852">
      <c r="A852" s="3">
        <v>168362.0</v>
      </c>
      <c r="B852" s="3" t="s">
        <v>875</v>
      </c>
      <c r="C852" s="3" t="s">
        <v>189</v>
      </c>
      <c r="D852" s="3">
        <v>227.0</v>
      </c>
      <c r="E852" s="3">
        <v>12.14</v>
      </c>
      <c r="F852" s="3">
        <v>27.58</v>
      </c>
      <c r="G852" s="3">
        <v>0.0</v>
      </c>
    </row>
    <row r="853">
      <c r="A853" s="3">
        <v>168363.0</v>
      </c>
      <c r="B853" s="3" t="s">
        <v>876</v>
      </c>
      <c r="C853" s="3" t="s">
        <v>189</v>
      </c>
      <c r="D853" s="3">
        <v>122.0</v>
      </c>
      <c r="E853" s="3">
        <v>5.36</v>
      </c>
      <c r="F853" s="3">
        <v>18.29</v>
      </c>
      <c r="G853" s="3">
        <v>0.18</v>
      </c>
    </row>
    <row r="854">
      <c r="A854" s="3">
        <v>168364.0</v>
      </c>
      <c r="B854" s="3" t="s">
        <v>877</v>
      </c>
      <c r="C854" s="3" t="s">
        <v>189</v>
      </c>
      <c r="D854" s="3">
        <v>170.0</v>
      </c>
      <c r="E854" s="3">
        <v>5.73</v>
      </c>
      <c r="F854" s="3">
        <v>29.65</v>
      </c>
      <c r="G854" s="3">
        <v>0.0</v>
      </c>
    </row>
    <row r="855">
      <c r="A855" s="3">
        <v>168365.0</v>
      </c>
      <c r="B855" s="3" t="s">
        <v>878</v>
      </c>
      <c r="C855" s="3" t="s">
        <v>189</v>
      </c>
      <c r="D855" s="3">
        <v>169.0</v>
      </c>
      <c r="E855" s="3">
        <v>11.12</v>
      </c>
      <c r="F855" s="3">
        <v>17.19</v>
      </c>
      <c r="G855" s="3">
        <v>0.16</v>
      </c>
    </row>
    <row r="856">
      <c r="A856" s="3">
        <v>168366.0</v>
      </c>
      <c r="B856" s="3" t="s">
        <v>879</v>
      </c>
      <c r="C856" s="3" t="s">
        <v>189</v>
      </c>
      <c r="D856" s="3">
        <v>263.0</v>
      </c>
      <c r="E856" s="3">
        <v>16.94</v>
      </c>
      <c r="F856" s="3">
        <v>25.84</v>
      </c>
      <c r="G856" s="3">
        <v>0.03</v>
      </c>
    </row>
    <row r="857">
      <c r="A857" s="3">
        <v>168367.0</v>
      </c>
      <c r="B857" s="3" t="s">
        <v>880</v>
      </c>
      <c r="C857" s="3" t="s">
        <v>189</v>
      </c>
      <c r="D857" s="3">
        <v>176.0</v>
      </c>
      <c r="E857" s="3">
        <v>9.38</v>
      </c>
      <c r="F857" s="3">
        <v>22.27</v>
      </c>
      <c r="G857" s="3">
        <v>0.52</v>
      </c>
    </row>
    <row r="858">
      <c r="A858" s="3">
        <v>168368.0</v>
      </c>
      <c r="B858" s="3" t="s">
        <v>881</v>
      </c>
      <c r="C858" s="3" t="s">
        <v>189</v>
      </c>
      <c r="D858" s="3">
        <v>158.0</v>
      </c>
      <c r="E858" s="3">
        <v>4.41</v>
      </c>
      <c r="F858" s="3">
        <v>27.57</v>
      </c>
      <c r="G858" s="3">
        <v>0.0</v>
      </c>
    </row>
    <row r="859">
      <c r="A859" s="3">
        <v>168369.0</v>
      </c>
      <c r="B859" s="3" t="s">
        <v>882</v>
      </c>
      <c r="C859" s="3" t="s">
        <v>189</v>
      </c>
      <c r="D859" s="3">
        <v>128.0</v>
      </c>
      <c r="E859" s="3">
        <v>3.91</v>
      </c>
      <c r="F859" s="3">
        <v>21.65</v>
      </c>
      <c r="G859" s="3">
        <v>0.0</v>
      </c>
    </row>
    <row r="860">
      <c r="A860" s="3">
        <v>168370.0</v>
      </c>
      <c r="B860" s="3" t="s">
        <v>883</v>
      </c>
      <c r="C860" s="3" t="s">
        <v>189</v>
      </c>
      <c r="D860" s="3">
        <v>156.0</v>
      </c>
      <c r="E860" s="3">
        <v>2.56</v>
      </c>
      <c r="F860" s="3">
        <v>31.11</v>
      </c>
      <c r="G860" s="3">
        <v>0.0</v>
      </c>
    </row>
    <row r="861">
      <c r="A861" s="3">
        <v>168371.0</v>
      </c>
      <c r="B861" s="3" t="s">
        <v>884</v>
      </c>
      <c r="C861" s="3" t="s">
        <v>189</v>
      </c>
      <c r="D861" s="3">
        <v>113.0</v>
      </c>
      <c r="E861" s="3">
        <v>1.71</v>
      </c>
      <c r="F861" s="3">
        <v>22.88</v>
      </c>
      <c r="G861" s="3">
        <v>0.0</v>
      </c>
    </row>
    <row r="862">
      <c r="A862" s="3">
        <v>168372.0</v>
      </c>
      <c r="B862" s="3" t="s">
        <v>885</v>
      </c>
      <c r="C862" s="3" t="s">
        <v>189</v>
      </c>
      <c r="D862" s="3">
        <v>218.0</v>
      </c>
      <c r="E862" s="3">
        <v>16.0</v>
      </c>
      <c r="F862" s="3">
        <v>17.99</v>
      </c>
      <c r="G862" s="3">
        <v>0.44</v>
      </c>
    </row>
    <row r="863">
      <c r="A863" s="3">
        <v>168373.0</v>
      </c>
      <c r="B863" s="3" t="s">
        <v>886</v>
      </c>
      <c r="C863" s="3" t="s">
        <v>189</v>
      </c>
      <c r="D863" s="3">
        <v>377.0</v>
      </c>
      <c r="E863" s="3">
        <v>31.42</v>
      </c>
      <c r="F863" s="3">
        <v>22.59</v>
      </c>
      <c r="G863" s="3">
        <v>1.08</v>
      </c>
    </row>
    <row r="864">
      <c r="A864" s="3">
        <v>168374.0</v>
      </c>
      <c r="B864" s="3" t="s">
        <v>887</v>
      </c>
      <c r="C864" s="3" t="s">
        <v>189</v>
      </c>
      <c r="D864" s="3">
        <v>301.0</v>
      </c>
      <c r="E864" s="3">
        <v>21.39</v>
      </c>
      <c r="F864" s="3">
        <v>27.14</v>
      </c>
      <c r="G864" s="3">
        <v>0.0</v>
      </c>
    </row>
    <row r="865">
      <c r="A865" s="3">
        <v>168375.0</v>
      </c>
      <c r="B865" s="3" t="s">
        <v>888</v>
      </c>
      <c r="C865" s="3" t="s">
        <v>189</v>
      </c>
      <c r="D865" s="3">
        <v>185.0</v>
      </c>
      <c r="E865" s="3">
        <v>6.2</v>
      </c>
      <c r="F865" s="3">
        <v>31.69</v>
      </c>
      <c r="G865" s="3">
        <v>0.57</v>
      </c>
    </row>
    <row r="866">
      <c r="A866" s="3">
        <v>168376.0</v>
      </c>
      <c r="B866" s="3" t="s">
        <v>889</v>
      </c>
      <c r="C866" s="3" t="s">
        <v>189</v>
      </c>
      <c r="D866" s="3">
        <v>172.0</v>
      </c>
      <c r="E866" s="3">
        <v>9.84</v>
      </c>
      <c r="F866" s="3">
        <v>20.85</v>
      </c>
      <c r="G866" s="3">
        <v>0.0</v>
      </c>
    </row>
    <row r="867">
      <c r="A867" s="3">
        <v>168377.0</v>
      </c>
      <c r="B867" s="3" t="s">
        <v>890</v>
      </c>
      <c r="C867" s="3" t="s">
        <v>189</v>
      </c>
      <c r="D867" s="3">
        <v>255.0</v>
      </c>
      <c r="E867" s="3">
        <v>17.65</v>
      </c>
      <c r="F867" s="3">
        <v>24.15</v>
      </c>
      <c r="G867" s="3">
        <v>0.0</v>
      </c>
    </row>
    <row r="868">
      <c r="A868" s="3">
        <v>168378.0</v>
      </c>
      <c r="B868" s="3" t="s">
        <v>891</v>
      </c>
      <c r="C868" s="3" t="s">
        <v>189</v>
      </c>
      <c r="D868" s="3">
        <v>216.0</v>
      </c>
      <c r="E868" s="3">
        <v>11.65</v>
      </c>
      <c r="F868" s="3">
        <v>27.83</v>
      </c>
      <c r="G868" s="3">
        <v>0.0</v>
      </c>
    </row>
    <row r="869">
      <c r="A869" s="3">
        <v>168379.0</v>
      </c>
      <c r="B869" s="3" t="s">
        <v>892</v>
      </c>
      <c r="C869" s="3" t="s">
        <v>189</v>
      </c>
      <c r="D869" s="3">
        <v>219.0</v>
      </c>
      <c r="E869" s="3">
        <v>11.38</v>
      </c>
      <c r="F869" s="3">
        <v>29.2</v>
      </c>
      <c r="G869" s="3">
        <v>0.0</v>
      </c>
    </row>
    <row r="870">
      <c r="A870" s="3">
        <v>168380.0</v>
      </c>
      <c r="B870" s="3" t="s">
        <v>893</v>
      </c>
      <c r="C870" s="3" t="s">
        <v>189</v>
      </c>
      <c r="D870" s="3">
        <v>202.0</v>
      </c>
      <c r="E870" s="3">
        <v>11.13</v>
      </c>
      <c r="F870" s="3">
        <v>24.73</v>
      </c>
      <c r="G870" s="3">
        <v>0.83</v>
      </c>
    </row>
    <row r="871">
      <c r="A871" s="3">
        <v>168381.0</v>
      </c>
      <c r="B871" s="3" t="s">
        <v>894</v>
      </c>
      <c r="C871" s="3" t="s">
        <v>189</v>
      </c>
      <c r="D871" s="3">
        <v>157.0</v>
      </c>
      <c r="E871" s="3">
        <v>7.94</v>
      </c>
      <c r="F871" s="3">
        <v>20.54</v>
      </c>
      <c r="G871" s="3">
        <v>0.76</v>
      </c>
    </row>
    <row r="872">
      <c r="A872" s="3">
        <v>168382.0</v>
      </c>
      <c r="B872" s="3" t="s">
        <v>895</v>
      </c>
      <c r="C872" s="3" t="s">
        <v>189</v>
      </c>
      <c r="D872" s="3">
        <v>407.0</v>
      </c>
      <c r="E872" s="3">
        <v>39.27</v>
      </c>
      <c r="F872" s="3">
        <v>12.53</v>
      </c>
      <c r="G872" s="3">
        <v>0.83</v>
      </c>
    </row>
    <row r="873">
      <c r="A873" s="3">
        <v>168383.0</v>
      </c>
      <c r="B873" s="3" t="s">
        <v>896</v>
      </c>
      <c r="C873" s="3" t="s">
        <v>189</v>
      </c>
      <c r="D873" s="3">
        <v>146.0</v>
      </c>
      <c r="E873" s="3">
        <v>2.78</v>
      </c>
      <c r="F873" s="3">
        <v>28.31</v>
      </c>
      <c r="G873" s="3">
        <v>1.8</v>
      </c>
    </row>
    <row r="874">
      <c r="A874" s="3">
        <v>168384.0</v>
      </c>
      <c r="B874" s="3" t="s">
        <v>897</v>
      </c>
      <c r="C874" s="3" t="s">
        <v>101</v>
      </c>
      <c r="D874" s="3">
        <v>23.0</v>
      </c>
      <c r="E874" s="3">
        <v>0.69</v>
      </c>
      <c r="F874" s="3">
        <v>3.99</v>
      </c>
      <c r="G874" s="3">
        <v>2.1</v>
      </c>
    </row>
    <row r="875">
      <c r="A875" s="3">
        <v>168385.0</v>
      </c>
      <c r="B875" s="3" t="s">
        <v>898</v>
      </c>
      <c r="C875" s="3" t="s">
        <v>101</v>
      </c>
      <c r="D875" s="3">
        <v>23.0</v>
      </c>
      <c r="E875" s="3">
        <v>0.33</v>
      </c>
      <c r="F875" s="3">
        <v>2.46</v>
      </c>
      <c r="G875" s="3">
        <v>4.02</v>
      </c>
    </row>
    <row r="876">
      <c r="A876" s="3">
        <v>168386.0</v>
      </c>
      <c r="B876" s="3" t="s">
        <v>899</v>
      </c>
      <c r="C876" s="3" t="s">
        <v>101</v>
      </c>
      <c r="D876" s="3">
        <v>53.0</v>
      </c>
      <c r="E876" s="3">
        <v>0.34</v>
      </c>
      <c r="F876" s="3">
        <v>2.89</v>
      </c>
      <c r="G876" s="3">
        <v>11.95</v>
      </c>
    </row>
    <row r="877">
      <c r="A877" s="3">
        <v>168387.0</v>
      </c>
      <c r="B877" s="3" t="s">
        <v>900</v>
      </c>
      <c r="C877" s="3" t="s">
        <v>101</v>
      </c>
      <c r="D877" s="3">
        <v>38.0</v>
      </c>
      <c r="E877" s="3">
        <v>0.43</v>
      </c>
      <c r="F877" s="3">
        <v>2.63</v>
      </c>
      <c r="G877" s="3">
        <v>7.75</v>
      </c>
    </row>
    <row r="878">
      <c r="A878" s="3">
        <v>168388.0</v>
      </c>
      <c r="B878" s="3" t="s">
        <v>901</v>
      </c>
      <c r="C878" s="3" t="s">
        <v>101</v>
      </c>
      <c r="D878" s="3">
        <v>45.0</v>
      </c>
      <c r="E878" s="3">
        <v>0.5</v>
      </c>
      <c r="F878" s="3">
        <v>3.11</v>
      </c>
      <c r="G878" s="3">
        <v>9.18</v>
      </c>
    </row>
    <row r="879">
      <c r="A879" s="3">
        <v>168389.0</v>
      </c>
      <c r="B879" s="3" t="s">
        <v>902</v>
      </c>
      <c r="C879" s="3" t="s">
        <v>101</v>
      </c>
      <c r="D879" s="3">
        <v>20.0</v>
      </c>
      <c r="E879" s="3">
        <v>0.12</v>
      </c>
      <c r="F879" s="3">
        <v>2.2</v>
      </c>
      <c r="G879" s="3">
        <v>3.88</v>
      </c>
    </row>
    <row r="880">
      <c r="A880" s="3">
        <v>168390.0</v>
      </c>
      <c r="B880" s="3" t="s">
        <v>903</v>
      </c>
      <c r="C880" s="3" t="s">
        <v>101</v>
      </c>
      <c r="D880" s="3">
        <v>22.0</v>
      </c>
      <c r="E880" s="3">
        <v>0.22</v>
      </c>
      <c r="F880" s="3">
        <v>2.4</v>
      </c>
      <c r="G880" s="3">
        <v>4.11</v>
      </c>
    </row>
    <row r="881">
      <c r="A881" s="3">
        <v>168391.0</v>
      </c>
      <c r="B881" s="3" t="s">
        <v>904</v>
      </c>
      <c r="C881" s="3" t="s">
        <v>101</v>
      </c>
      <c r="D881" s="3">
        <v>30.0</v>
      </c>
      <c r="E881" s="3">
        <v>0.69</v>
      </c>
      <c r="F881" s="3">
        <v>5.3</v>
      </c>
      <c r="G881" s="3">
        <v>3.29</v>
      </c>
    </row>
    <row r="882">
      <c r="A882" s="3">
        <v>168392.0</v>
      </c>
      <c r="B882" s="3" t="s">
        <v>905</v>
      </c>
      <c r="C882" s="3" t="s">
        <v>101</v>
      </c>
      <c r="D882" s="3">
        <v>34.0</v>
      </c>
      <c r="E882" s="3">
        <v>0.2</v>
      </c>
      <c r="F882" s="3">
        <v>3.6</v>
      </c>
      <c r="G882" s="3">
        <v>6.68</v>
      </c>
    </row>
    <row r="883">
      <c r="A883" s="3">
        <v>168393.0</v>
      </c>
      <c r="B883" s="3" t="s">
        <v>906</v>
      </c>
      <c r="C883" s="3" t="s">
        <v>101</v>
      </c>
      <c r="D883" s="3">
        <v>17.0</v>
      </c>
      <c r="E883" s="3">
        <v>0.17</v>
      </c>
      <c r="F883" s="3">
        <v>1.0</v>
      </c>
      <c r="G883" s="3">
        <v>3.7</v>
      </c>
    </row>
    <row r="884">
      <c r="A884" s="3">
        <v>168394.0</v>
      </c>
      <c r="B884" s="3" t="s">
        <v>907</v>
      </c>
      <c r="C884" s="3" t="s">
        <v>101</v>
      </c>
      <c r="D884" s="3">
        <v>19.0</v>
      </c>
      <c r="E884" s="3">
        <v>0.18</v>
      </c>
      <c r="F884" s="3">
        <v>0.84</v>
      </c>
      <c r="G884" s="3">
        <v>4.32</v>
      </c>
    </row>
    <row r="885">
      <c r="A885" s="3">
        <v>168395.0</v>
      </c>
      <c r="B885" s="3" t="s">
        <v>908</v>
      </c>
      <c r="C885" s="3" t="s">
        <v>101</v>
      </c>
      <c r="D885" s="3">
        <v>33.0</v>
      </c>
      <c r="E885" s="3">
        <v>0.58</v>
      </c>
      <c r="F885" s="3">
        <v>4.83</v>
      </c>
      <c r="G885" s="3">
        <v>4.72</v>
      </c>
    </row>
    <row r="886">
      <c r="A886" s="3">
        <v>168396.0</v>
      </c>
      <c r="B886" s="3" t="s">
        <v>909</v>
      </c>
      <c r="C886" s="3" t="s">
        <v>101</v>
      </c>
      <c r="D886" s="3">
        <v>113.0</v>
      </c>
      <c r="E886" s="3">
        <v>0.86</v>
      </c>
      <c r="F886" s="3">
        <v>6.84</v>
      </c>
      <c r="G886" s="3">
        <v>20.17</v>
      </c>
    </row>
    <row r="887">
      <c r="A887" s="3">
        <v>168397.0</v>
      </c>
      <c r="B887" s="3" t="s">
        <v>910</v>
      </c>
      <c r="C887" s="3" t="s">
        <v>101</v>
      </c>
      <c r="D887" s="3">
        <v>64.0</v>
      </c>
      <c r="E887" s="3">
        <v>1.43</v>
      </c>
      <c r="F887" s="3">
        <v>2.18</v>
      </c>
      <c r="G887" s="3">
        <v>13.02</v>
      </c>
    </row>
    <row r="888">
      <c r="A888" s="3">
        <v>168398.0</v>
      </c>
      <c r="B888" s="3" t="s">
        <v>911</v>
      </c>
      <c r="C888" s="3" t="s">
        <v>101</v>
      </c>
      <c r="D888" s="3">
        <v>88.0</v>
      </c>
      <c r="E888" s="3">
        <v>0.78</v>
      </c>
      <c r="F888" s="3">
        <v>3.02</v>
      </c>
      <c r="G888" s="3">
        <v>20.71</v>
      </c>
    </row>
    <row r="889">
      <c r="A889" s="3">
        <v>168399.0</v>
      </c>
      <c r="B889" s="3" t="s">
        <v>912</v>
      </c>
      <c r="C889" s="3" t="s">
        <v>101</v>
      </c>
      <c r="D889" s="3">
        <v>81.0</v>
      </c>
      <c r="E889" s="3">
        <v>0.67</v>
      </c>
      <c r="F889" s="3">
        <v>2.55</v>
      </c>
      <c r="G889" s="3">
        <v>19.3</v>
      </c>
    </row>
    <row r="890">
      <c r="A890" s="3">
        <v>168400.0</v>
      </c>
      <c r="B890" s="3" t="s">
        <v>913</v>
      </c>
      <c r="C890" s="3" t="s">
        <v>101</v>
      </c>
      <c r="D890" s="3">
        <v>98.0</v>
      </c>
      <c r="E890" s="3">
        <v>0.78</v>
      </c>
      <c r="F890" s="3">
        <v>3.28</v>
      </c>
      <c r="G890" s="3">
        <v>23.5</v>
      </c>
    </row>
    <row r="891">
      <c r="A891" s="3">
        <v>168401.0</v>
      </c>
      <c r="B891" s="3" t="s">
        <v>914</v>
      </c>
      <c r="C891" s="3" t="s">
        <v>101</v>
      </c>
      <c r="D891" s="3">
        <v>94.0</v>
      </c>
      <c r="E891" s="3">
        <v>0.74</v>
      </c>
      <c r="F891" s="3">
        <v>3.11</v>
      </c>
      <c r="G891" s="3">
        <v>22.33</v>
      </c>
    </row>
    <row r="892">
      <c r="A892" s="3">
        <v>168402.0</v>
      </c>
      <c r="B892" s="3" t="s">
        <v>915</v>
      </c>
      <c r="C892" s="3" t="s">
        <v>228</v>
      </c>
      <c r="D892" s="3">
        <v>97.0</v>
      </c>
      <c r="E892" s="3">
        <v>0.38</v>
      </c>
      <c r="F892" s="3">
        <v>3.17</v>
      </c>
      <c r="G892" s="3">
        <v>20.32</v>
      </c>
    </row>
    <row r="893">
      <c r="A893" s="3">
        <v>168403.0</v>
      </c>
      <c r="B893" s="3" t="s">
        <v>916</v>
      </c>
      <c r="C893" s="3" t="s">
        <v>101</v>
      </c>
      <c r="D893" s="3">
        <v>139.0</v>
      </c>
      <c r="E893" s="3">
        <v>0.7</v>
      </c>
      <c r="F893" s="3">
        <v>8.98</v>
      </c>
      <c r="G893" s="3">
        <v>25.13</v>
      </c>
    </row>
    <row r="894">
      <c r="A894" s="3">
        <v>168404.0</v>
      </c>
      <c r="B894" s="3" t="s">
        <v>917</v>
      </c>
      <c r="C894" s="3" t="s">
        <v>101</v>
      </c>
      <c r="D894" s="3">
        <v>132.0</v>
      </c>
      <c r="E894" s="3">
        <v>0.66</v>
      </c>
      <c r="F894" s="3">
        <v>8.49</v>
      </c>
      <c r="G894" s="3">
        <v>23.76</v>
      </c>
    </row>
    <row r="895">
      <c r="A895" s="3">
        <v>168405.0</v>
      </c>
      <c r="B895" s="3" t="s">
        <v>918</v>
      </c>
      <c r="C895" s="3" t="s">
        <v>101</v>
      </c>
      <c r="D895" s="3">
        <v>44.0</v>
      </c>
      <c r="E895" s="3">
        <v>0.3</v>
      </c>
      <c r="F895" s="3">
        <v>3.3</v>
      </c>
      <c r="G895" s="3">
        <v>9.5</v>
      </c>
    </row>
    <row r="896">
      <c r="A896" s="3">
        <v>168406.0</v>
      </c>
      <c r="B896" s="3" t="s">
        <v>919</v>
      </c>
      <c r="C896" s="3" t="s">
        <v>101</v>
      </c>
      <c r="D896" s="3">
        <v>22.0</v>
      </c>
      <c r="E896" s="3">
        <v>0.1</v>
      </c>
      <c r="F896" s="3">
        <v>4.67</v>
      </c>
      <c r="G896" s="3">
        <v>2.8</v>
      </c>
    </row>
    <row r="897">
      <c r="A897" s="3">
        <v>168407.0</v>
      </c>
      <c r="B897" s="3" t="s">
        <v>920</v>
      </c>
      <c r="C897" s="3" t="s">
        <v>101</v>
      </c>
      <c r="D897" s="3">
        <v>32.0</v>
      </c>
      <c r="E897" s="3">
        <v>0.7</v>
      </c>
      <c r="F897" s="3">
        <v>2.6</v>
      </c>
      <c r="G897" s="3">
        <v>5.5</v>
      </c>
    </row>
    <row r="898">
      <c r="A898" s="3">
        <v>168408.0</v>
      </c>
      <c r="B898" s="3" t="s">
        <v>921</v>
      </c>
      <c r="C898" s="3" t="s">
        <v>101</v>
      </c>
      <c r="D898" s="3">
        <v>23.0</v>
      </c>
      <c r="E898" s="3">
        <v>0.6</v>
      </c>
      <c r="F898" s="3">
        <v>1.9</v>
      </c>
      <c r="G898" s="3">
        <v>3.8</v>
      </c>
    </row>
    <row r="899">
      <c r="A899" s="3">
        <v>168409.0</v>
      </c>
      <c r="B899" s="3" t="s">
        <v>922</v>
      </c>
      <c r="C899" s="3" t="s">
        <v>101</v>
      </c>
      <c r="D899" s="3">
        <v>15.0</v>
      </c>
      <c r="E899" s="3">
        <v>0.11</v>
      </c>
      <c r="F899" s="3">
        <v>0.65</v>
      </c>
      <c r="G899" s="3">
        <v>3.63</v>
      </c>
    </row>
    <row r="900">
      <c r="A900" s="3">
        <v>168410.0</v>
      </c>
      <c r="B900" s="3" t="s">
        <v>923</v>
      </c>
      <c r="C900" s="3" t="s">
        <v>101</v>
      </c>
      <c r="D900" s="3">
        <v>109.0</v>
      </c>
      <c r="E900" s="3">
        <v>4.73</v>
      </c>
      <c r="F900" s="3">
        <v>11.22</v>
      </c>
      <c r="G900" s="3">
        <v>7.61</v>
      </c>
    </row>
    <row r="901">
      <c r="A901" s="3">
        <v>168411.0</v>
      </c>
      <c r="B901" s="3" t="s">
        <v>924</v>
      </c>
      <c r="C901" s="3" t="s">
        <v>228</v>
      </c>
      <c r="D901" s="3">
        <v>121.0</v>
      </c>
      <c r="E901" s="3">
        <v>5.2</v>
      </c>
      <c r="F901" s="3">
        <v>11.91</v>
      </c>
      <c r="G901" s="3">
        <v>8.91</v>
      </c>
    </row>
    <row r="902">
      <c r="A902" s="3">
        <v>168412.0</v>
      </c>
      <c r="B902" s="3" t="s">
        <v>925</v>
      </c>
      <c r="C902" s="3" t="s">
        <v>101</v>
      </c>
      <c r="D902" s="3">
        <v>17.0</v>
      </c>
      <c r="E902" s="3">
        <v>0.2</v>
      </c>
      <c r="F902" s="3">
        <v>1.25</v>
      </c>
      <c r="G902" s="3">
        <v>3.35</v>
      </c>
    </row>
    <row r="903">
      <c r="A903" s="3">
        <v>168413.0</v>
      </c>
      <c r="B903" s="3" t="s">
        <v>926</v>
      </c>
      <c r="C903" s="3" t="s">
        <v>101</v>
      </c>
      <c r="D903" s="3">
        <v>15.0</v>
      </c>
      <c r="E903" s="3">
        <v>0.18</v>
      </c>
      <c r="F903" s="3">
        <v>1.15</v>
      </c>
      <c r="G903" s="3">
        <v>3.07</v>
      </c>
    </row>
    <row r="904">
      <c r="A904" s="3">
        <v>168414.0</v>
      </c>
      <c r="B904" s="3" t="s">
        <v>927</v>
      </c>
      <c r="C904" s="3" t="s">
        <v>101</v>
      </c>
      <c r="D904" s="3">
        <v>20.0</v>
      </c>
      <c r="E904" s="3">
        <v>0.2</v>
      </c>
      <c r="F904" s="3">
        <v>1.2</v>
      </c>
      <c r="G904" s="3">
        <v>4.35</v>
      </c>
    </row>
    <row r="905">
      <c r="A905" s="3">
        <v>168415.0</v>
      </c>
      <c r="B905" s="3" t="s">
        <v>928</v>
      </c>
      <c r="C905" s="3" t="s">
        <v>101</v>
      </c>
      <c r="D905" s="3">
        <v>56.0</v>
      </c>
      <c r="E905" s="3">
        <v>0.34</v>
      </c>
      <c r="F905" s="3">
        <v>0.66</v>
      </c>
      <c r="G905" s="3">
        <v>14.34</v>
      </c>
    </row>
    <row r="906">
      <c r="A906" s="3">
        <v>168416.0</v>
      </c>
      <c r="B906" s="3" t="s">
        <v>929</v>
      </c>
      <c r="C906" s="3" t="s">
        <v>101</v>
      </c>
      <c r="D906" s="3">
        <v>64.0</v>
      </c>
      <c r="E906" s="3">
        <v>1.4</v>
      </c>
      <c r="F906" s="3">
        <v>9.4</v>
      </c>
      <c r="G906" s="3">
        <v>8.28</v>
      </c>
    </row>
    <row r="907">
      <c r="A907" s="3">
        <v>168417.0</v>
      </c>
      <c r="B907" s="3" t="s">
        <v>930</v>
      </c>
      <c r="C907" s="3" t="s">
        <v>101</v>
      </c>
      <c r="D907" s="3">
        <v>60.0</v>
      </c>
      <c r="E907" s="3">
        <v>0.93</v>
      </c>
      <c r="F907" s="3">
        <v>5.27</v>
      </c>
      <c r="G907" s="3">
        <v>11.15</v>
      </c>
    </row>
    <row r="908">
      <c r="A908" s="3">
        <v>168418.0</v>
      </c>
      <c r="B908" s="3" t="s">
        <v>931</v>
      </c>
      <c r="C908" s="3" t="s">
        <v>101</v>
      </c>
      <c r="D908" s="3">
        <v>298.0</v>
      </c>
      <c r="E908" s="3">
        <v>0.44</v>
      </c>
      <c r="F908" s="3">
        <v>4.82</v>
      </c>
      <c r="G908" s="3">
        <v>81.03</v>
      </c>
    </row>
    <row r="909">
      <c r="A909" s="3">
        <v>168419.0</v>
      </c>
      <c r="B909" s="3" t="s">
        <v>932</v>
      </c>
      <c r="C909" s="3" t="s">
        <v>101</v>
      </c>
      <c r="D909" s="3">
        <v>34.0</v>
      </c>
      <c r="E909" s="3">
        <v>0.25</v>
      </c>
      <c r="F909" s="3">
        <v>4.65</v>
      </c>
      <c r="G909" s="3">
        <v>5.8</v>
      </c>
    </row>
    <row r="910">
      <c r="A910" s="3">
        <v>168420.0</v>
      </c>
      <c r="B910" s="3" t="s">
        <v>933</v>
      </c>
      <c r="C910" s="3" t="s">
        <v>101</v>
      </c>
      <c r="D910" s="3">
        <v>37.0</v>
      </c>
      <c r="E910" s="3">
        <v>0.2</v>
      </c>
      <c r="F910" s="3">
        <v>3.68</v>
      </c>
      <c r="G910" s="3">
        <v>7.29</v>
      </c>
    </row>
    <row r="911">
      <c r="A911" s="3">
        <v>168421.0</v>
      </c>
      <c r="B911" s="3" t="s">
        <v>934</v>
      </c>
      <c r="C911" s="3" t="s">
        <v>101</v>
      </c>
      <c r="D911" s="3">
        <v>35.0</v>
      </c>
      <c r="E911" s="3">
        <v>1.49</v>
      </c>
      <c r="F911" s="3">
        <v>2.92</v>
      </c>
      <c r="G911" s="3">
        <v>4.42</v>
      </c>
    </row>
    <row r="912">
      <c r="A912" s="3">
        <v>168422.0</v>
      </c>
      <c r="B912" s="3" t="s">
        <v>935</v>
      </c>
      <c r="C912" s="3" t="s">
        <v>101</v>
      </c>
      <c r="D912" s="3">
        <v>32.0</v>
      </c>
      <c r="E912" s="3">
        <v>0.53</v>
      </c>
      <c r="F912" s="3">
        <v>1.49</v>
      </c>
      <c r="G912" s="3">
        <v>6.86</v>
      </c>
    </row>
    <row r="913">
      <c r="A913" s="3">
        <v>168423.0</v>
      </c>
      <c r="B913" s="3" t="s">
        <v>936</v>
      </c>
      <c r="C913" s="3" t="s">
        <v>101</v>
      </c>
      <c r="D913" s="3">
        <v>31.0</v>
      </c>
      <c r="E913" s="3">
        <v>0.57</v>
      </c>
      <c r="F913" s="3">
        <v>3.12</v>
      </c>
      <c r="G913" s="3">
        <v>5.1</v>
      </c>
    </row>
    <row r="914">
      <c r="A914" s="3">
        <v>168424.0</v>
      </c>
      <c r="B914" s="3" t="s">
        <v>937</v>
      </c>
      <c r="C914" s="3" t="s">
        <v>101</v>
      </c>
      <c r="D914" s="3">
        <v>27.0</v>
      </c>
      <c r="E914" s="3">
        <v>0.1</v>
      </c>
      <c r="F914" s="3">
        <v>1.7</v>
      </c>
      <c r="G914" s="3">
        <v>6.2</v>
      </c>
    </row>
    <row r="915">
      <c r="A915" s="3">
        <v>168425.0</v>
      </c>
      <c r="B915" s="3" t="s">
        <v>938</v>
      </c>
      <c r="C915" s="3" t="s">
        <v>101</v>
      </c>
      <c r="D915" s="3">
        <v>29.0</v>
      </c>
      <c r="E915" s="3">
        <v>0.11</v>
      </c>
      <c r="F915" s="3">
        <v>1.8</v>
      </c>
      <c r="G915" s="3">
        <v>6.69</v>
      </c>
    </row>
    <row r="916">
      <c r="A916" s="3">
        <v>168426.0</v>
      </c>
      <c r="B916" s="3" t="s">
        <v>939</v>
      </c>
      <c r="C916" s="3" t="s">
        <v>101</v>
      </c>
      <c r="D916" s="3">
        <v>31.0</v>
      </c>
      <c r="E916" s="3">
        <v>0.2</v>
      </c>
      <c r="F916" s="3">
        <v>0.81</v>
      </c>
      <c r="G916" s="3">
        <v>7.62</v>
      </c>
    </row>
    <row r="917">
      <c r="A917" s="3">
        <v>168427.0</v>
      </c>
      <c r="B917" s="3" t="s">
        <v>940</v>
      </c>
      <c r="C917" s="3" t="s">
        <v>101</v>
      </c>
      <c r="D917" s="3">
        <v>106.0</v>
      </c>
      <c r="E917" s="3">
        <v>0.55</v>
      </c>
      <c r="F917" s="3">
        <v>8.96</v>
      </c>
      <c r="G917" s="3">
        <v>22.14</v>
      </c>
    </row>
    <row r="918">
      <c r="A918" s="3">
        <v>168428.0</v>
      </c>
      <c r="B918" s="3" t="s">
        <v>941</v>
      </c>
      <c r="C918" s="3" t="s">
        <v>101</v>
      </c>
      <c r="D918" s="3">
        <v>101.0</v>
      </c>
      <c r="E918" s="3">
        <v>0.45</v>
      </c>
      <c r="F918" s="3">
        <v>8.8</v>
      </c>
      <c r="G918" s="3">
        <v>21.25</v>
      </c>
    </row>
    <row r="919">
      <c r="A919" s="3">
        <v>168429.0</v>
      </c>
      <c r="B919" s="3" t="s">
        <v>942</v>
      </c>
      <c r="C919" s="3" t="s">
        <v>101</v>
      </c>
      <c r="D919" s="3">
        <v>13.0</v>
      </c>
      <c r="E919" s="3">
        <v>0.22</v>
      </c>
      <c r="F919" s="3">
        <v>1.35</v>
      </c>
      <c r="G919" s="3">
        <v>2.23</v>
      </c>
    </row>
    <row r="920">
      <c r="A920" s="3">
        <v>168430.0</v>
      </c>
      <c r="B920" s="3" t="s">
        <v>943</v>
      </c>
      <c r="C920" s="3" t="s">
        <v>101</v>
      </c>
      <c r="D920" s="3">
        <v>66.0</v>
      </c>
      <c r="E920" s="3">
        <v>0.07</v>
      </c>
      <c r="F920" s="3">
        <v>1.58</v>
      </c>
      <c r="G920" s="3">
        <v>16.02</v>
      </c>
    </row>
    <row r="921">
      <c r="A921" s="3">
        <v>168431.0</v>
      </c>
      <c r="B921" s="3" t="s">
        <v>944</v>
      </c>
      <c r="C921" s="3" t="s">
        <v>101</v>
      </c>
      <c r="D921" s="3">
        <v>13.0</v>
      </c>
      <c r="E921" s="3">
        <v>0.22</v>
      </c>
      <c r="F921" s="3">
        <v>1.33</v>
      </c>
      <c r="G921" s="3">
        <v>2.26</v>
      </c>
    </row>
    <row r="922">
      <c r="A922" s="3">
        <v>168432.0</v>
      </c>
      <c r="B922" s="3" t="s">
        <v>945</v>
      </c>
      <c r="C922" s="3" t="s">
        <v>101</v>
      </c>
      <c r="D922" s="3">
        <v>67.0</v>
      </c>
      <c r="E922" s="3">
        <v>0.1</v>
      </c>
      <c r="F922" s="3">
        <v>1.34</v>
      </c>
      <c r="G922" s="3">
        <v>16.3</v>
      </c>
    </row>
    <row r="923">
      <c r="A923" s="3">
        <v>168433.0</v>
      </c>
      <c r="B923" s="3" t="s">
        <v>946</v>
      </c>
      <c r="C923" s="3" t="s">
        <v>101</v>
      </c>
      <c r="D923" s="3">
        <v>82.0</v>
      </c>
      <c r="E923" s="3">
        <v>0.08</v>
      </c>
      <c r="F923" s="3">
        <v>1.73</v>
      </c>
      <c r="G923" s="3">
        <v>20.0</v>
      </c>
    </row>
    <row r="924">
      <c r="A924" s="3">
        <v>168434.0</v>
      </c>
      <c r="B924" s="3" t="s">
        <v>947</v>
      </c>
      <c r="C924" s="3" t="s">
        <v>101</v>
      </c>
      <c r="D924" s="3">
        <v>22.0</v>
      </c>
      <c r="E924" s="3">
        <v>0.1</v>
      </c>
      <c r="F924" s="3">
        <v>2.5</v>
      </c>
      <c r="G924" s="3">
        <v>4.3</v>
      </c>
    </row>
    <row r="925">
      <c r="A925" s="3">
        <v>168435.0</v>
      </c>
      <c r="B925" s="3" t="s">
        <v>948</v>
      </c>
      <c r="C925" s="3" t="s">
        <v>101</v>
      </c>
      <c r="D925" s="3">
        <v>39.0</v>
      </c>
      <c r="E925" s="3">
        <v>0.35</v>
      </c>
      <c r="F925" s="3">
        <v>3.45</v>
      </c>
      <c r="G925" s="3">
        <v>7.68</v>
      </c>
    </row>
    <row r="926">
      <c r="A926" s="3">
        <v>168436.0</v>
      </c>
      <c r="B926" s="3" t="s">
        <v>949</v>
      </c>
      <c r="C926" s="3" t="s">
        <v>101</v>
      </c>
      <c r="D926" s="3">
        <v>296.0</v>
      </c>
      <c r="E926" s="3">
        <v>0.99</v>
      </c>
      <c r="F926" s="3">
        <v>9.58</v>
      </c>
      <c r="G926" s="3">
        <v>75.37</v>
      </c>
    </row>
    <row r="927">
      <c r="A927" s="3">
        <v>168437.0</v>
      </c>
      <c r="B927" s="3" t="s">
        <v>950</v>
      </c>
      <c r="C927" s="3" t="s">
        <v>101</v>
      </c>
      <c r="D927" s="3">
        <v>56.0</v>
      </c>
      <c r="E927" s="3">
        <v>0.22</v>
      </c>
      <c r="F927" s="3">
        <v>1.56</v>
      </c>
      <c r="G927" s="3">
        <v>14.39</v>
      </c>
    </row>
    <row r="928">
      <c r="A928" s="3">
        <v>168438.0</v>
      </c>
      <c r="B928" s="3" t="s">
        <v>951</v>
      </c>
      <c r="C928" s="3" t="s">
        <v>101</v>
      </c>
      <c r="D928" s="3">
        <v>22.0</v>
      </c>
      <c r="E928" s="3">
        <v>0.3</v>
      </c>
      <c r="F928" s="3">
        <v>2.2</v>
      </c>
      <c r="G928" s="3">
        <v>3.9</v>
      </c>
    </row>
    <row r="929">
      <c r="A929" s="3">
        <v>168439.0</v>
      </c>
      <c r="B929" s="3" t="s">
        <v>952</v>
      </c>
      <c r="C929" s="3" t="s">
        <v>101</v>
      </c>
      <c r="D929" s="3">
        <v>16.0</v>
      </c>
      <c r="E929" s="3">
        <v>0.2</v>
      </c>
      <c r="F929" s="3">
        <v>1.7</v>
      </c>
      <c r="G929" s="3">
        <v>2.8</v>
      </c>
    </row>
    <row r="930">
      <c r="A930" s="3">
        <v>168440.0</v>
      </c>
      <c r="B930" s="3" t="s">
        <v>953</v>
      </c>
      <c r="C930" s="3" t="s">
        <v>101</v>
      </c>
      <c r="D930" s="3">
        <v>14.0</v>
      </c>
      <c r="E930" s="3">
        <v>0.2</v>
      </c>
      <c r="F930" s="3">
        <v>1.5</v>
      </c>
      <c r="G930" s="3">
        <v>2.5</v>
      </c>
    </row>
    <row r="931">
      <c r="A931" s="3">
        <v>168441.0</v>
      </c>
      <c r="B931" s="3" t="s">
        <v>954</v>
      </c>
      <c r="C931" s="3" t="s">
        <v>101</v>
      </c>
      <c r="D931" s="3">
        <v>12.0</v>
      </c>
      <c r="E931" s="3">
        <v>0.17</v>
      </c>
      <c r="F931" s="3">
        <v>1.3</v>
      </c>
      <c r="G931" s="3">
        <v>2.13</v>
      </c>
    </row>
    <row r="932">
      <c r="A932" s="3">
        <v>168442.0</v>
      </c>
      <c r="B932" s="3" t="s">
        <v>955</v>
      </c>
      <c r="C932" s="3" t="s">
        <v>101</v>
      </c>
      <c r="D932" s="3">
        <v>147.0</v>
      </c>
      <c r="E932" s="3">
        <v>4.66</v>
      </c>
      <c r="F932" s="3">
        <v>2.24</v>
      </c>
      <c r="G932" s="3">
        <v>24.81</v>
      </c>
    </row>
    <row r="933">
      <c r="A933" s="3">
        <v>168443.0</v>
      </c>
      <c r="B933" s="3" t="s">
        <v>956</v>
      </c>
      <c r="C933" s="3" t="s">
        <v>101</v>
      </c>
      <c r="D933" s="3">
        <v>129.0</v>
      </c>
      <c r="E933" s="3">
        <v>2.2</v>
      </c>
      <c r="F933" s="3">
        <v>2.7</v>
      </c>
      <c r="G933" s="3">
        <v>25.46</v>
      </c>
    </row>
    <row r="934">
      <c r="A934" s="3">
        <v>168444.0</v>
      </c>
      <c r="B934" s="3" t="s">
        <v>957</v>
      </c>
      <c r="C934" s="3" t="s">
        <v>101</v>
      </c>
      <c r="D934" s="3">
        <v>130.0</v>
      </c>
      <c r="E934" s="3">
        <v>3.39</v>
      </c>
      <c r="F934" s="3">
        <v>2.19</v>
      </c>
      <c r="G934" s="3">
        <v>23.51</v>
      </c>
    </row>
    <row r="935">
      <c r="A935" s="3">
        <v>168445.0</v>
      </c>
      <c r="B935" s="3" t="s">
        <v>958</v>
      </c>
      <c r="C935" s="3" t="s">
        <v>101</v>
      </c>
      <c r="D935" s="3">
        <v>148.0</v>
      </c>
      <c r="E935" s="3">
        <v>3.76</v>
      </c>
      <c r="F935" s="3">
        <v>2.57</v>
      </c>
      <c r="G935" s="3">
        <v>26.98</v>
      </c>
    </row>
    <row r="936">
      <c r="A936" s="3">
        <v>168446.0</v>
      </c>
      <c r="B936" s="3" t="s">
        <v>959</v>
      </c>
      <c r="C936" s="3" t="s">
        <v>101</v>
      </c>
      <c r="D936" s="3">
        <v>357.0</v>
      </c>
      <c r="E936" s="3">
        <v>0.34</v>
      </c>
      <c r="F936" s="3">
        <v>6.9</v>
      </c>
      <c r="G936" s="3">
        <v>83.1</v>
      </c>
    </row>
    <row r="937">
      <c r="A937" s="3">
        <v>168447.0</v>
      </c>
      <c r="B937" s="3" t="s">
        <v>960</v>
      </c>
      <c r="C937" s="3" t="s">
        <v>101</v>
      </c>
      <c r="D937" s="3">
        <v>21.0</v>
      </c>
      <c r="E937" s="3">
        <v>0.22</v>
      </c>
      <c r="F937" s="3">
        <v>2.72</v>
      </c>
      <c r="G937" s="3">
        <v>3.39</v>
      </c>
    </row>
    <row r="938">
      <c r="A938" s="3">
        <v>168448.0</v>
      </c>
      <c r="B938" s="3" t="s">
        <v>961</v>
      </c>
      <c r="C938" s="3" t="s">
        <v>101</v>
      </c>
      <c r="D938" s="3">
        <v>26.0</v>
      </c>
      <c r="E938" s="3">
        <v>0.1</v>
      </c>
      <c r="F938" s="3">
        <v>1.0</v>
      </c>
      <c r="G938" s="3">
        <v>6.5</v>
      </c>
    </row>
    <row r="939">
      <c r="A939" s="3">
        <v>168449.0</v>
      </c>
      <c r="B939" s="3" t="s">
        <v>962</v>
      </c>
      <c r="C939" s="3" t="s">
        <v>101</v>
      </c>
      <c r="D939" s="3">
        <v>20.0</v>
      </c>
      <c r="E939" s="3">
        <v>0.07</v>
      </c>
      <c r="F939" s="3">
        <v>0.72</v>
      </c>
      <c r="G939" s="3">
        <v>4.9</v>
      </c>
    </row>
    <row r="940">
      <c r="A940" s="3">
        <v>168450.0</v>
      </c>
      <c r="B940" s="3" t="s">
        <v>963</v>
      </c>
      <c r="C940" s="3" t="s">
        <v>101</v>
      </c>
      <c r="D940" s="3">
        <v>34.0</v>
      </c>
      <c r="E940" s="3">
        <v>0.28</v>
      </c>
      <c r="F940" s="3">
        <v>1.1</v>
      </c>
      <c r="G940" s="3">
        <v>8.09</v>
      </c>
    </row>
    <row r="941">
      <c r="A941" s="3">
        <v>168451.0</v>
      </c>
      <c r="B941" s="3" t="s">
        <v>964</v>
      </c>
      <c r="C941" s="3" t="s">
        <v>101</v>
      </c>
      <c r="D941" s="3">
        <v>18.0</v>
      </c>
      <c r="E941" s="3">
        <v>0.1</v>
      </c>
      <c r="F941" s="3">
        <v>0.6</v>
      </c>
      <c r="G941" s="3">
        <v>4.1</v>
      </c>
    </row>
    <row r="942">
      <c r="A942" s="3">
        <v>168452.0</v>
      </c>
      <c r="B942" s="3" t="s">
        <v>965</v>
      </c>
      <c r="C942" s="3" t="s">
        <v>101</v>
      </c>
      <c r="D942" s="3">
        <v>17.0</v>
      </c>
      <c r="E942" s="3">
        <v>0.24</v>
      </c>
      <c r="F942" s="3">
        <v>0.67</v>
      </c>
      <c r="G942" s="3">
        <v>3.43</v>
      </c>
    </row>
    <row r="943">
      <c r="A943" s="3">
        <v>168453.0</v>
      </c>
      <c r="B943" s="3" t="s">
        <v>966</v>
      </c>
      <c r="C943" s="3" t="s">
        <v>101</v>
      </c>
      <c r="D943" s="3">
        <v>271.0</v>
      </c>
      <c r="E943" s="3">
        <v>0.72</v>
      </c>
      <c r="F943" s="3">
        <v>7.9</v>
      </c>
      <c r="G943" s="3">
        <v>63.37</v>
      </c>
    </row>
    <row r="944">
      <c r="A944" s="3">
        <v>168454.0</v>
      </c>
      <c r="B944" s="3" t="s">
        <v>967</v>
      </c>
      <c r="C944" s="3" t="s">
        <v>101</v>
      </c>
      <c r="D944" s="3">
        <v>37.0</v>
      </c>
      <c r="E944" s="3">
        <v>0.16</v>
      </c>
      <c r="F944" s="3">
        <v>1.08</v>
      </c>
      <c r="G944" s="3">
        <v>8.62</v>
      </c>
    </row>
    <row r="945">
      <c r="A945" s="3">
        <v>168455.0</v>
      </c>
      <c r="B945" s="3" t="s">
        <v>968</v>
      </c>
      <c r="C945" s="3" t="s">
        <v>101</v>
      </c>
      <c r="D945" s="3">
        <v>30.0</v>
      </c>
      <c r="E945" s="3">
        <v>0.18</v>
      </c>
      <c r="F945" s="3">
        <v>0.93</v>
      </c>
      <c r="G945" s="3">
        <v>6.84</v>
      </c>
    </row>
    <row r="946">
      <c r="A946" s="3">
        <v>168456.0</v>
      </c>
      <c r="B946" s="3" t="s">
        <v>969</v>
      </c>
      <c r="C946" s="3" t="s">
        <v>101</v>
      </c>
      <c r="D946" s="3">
        <v>49.0</v>
      </c>
      <c r="E946" s="3">
        <v>0.16</v>
      </c>
      <c r="F946" s="3">
        <v>1.51</v>
      </c>
      <c r="G946" s="3">
        <v>12.29</v>
      </c>
    </row>
    <row r="947">
      <c r="A947" s="3">
        <v>168457.0</v>
      </c>
      <c r="B947" s="3" t="s">
        <v>970</v>
      </c>
      <c r="C947" s="3" t="s">
        <v>101</v>
      </c>
      <c r="D947" s="3">
        <v>43.0</v>
      </c>
      <c r="E947" s="3">
        <v>0.56</v>
      </c>
      <c r="F947" s="3">
        <v>1.68</v>
      </c>
      <c r="G947" s="3">
        <v>9.57</v>
      </c>
    </row>
    <row r="948">
      <c r="A948" s="3">
        <v>168458.0</v>
      </c>
      <c r="B948" s="3" t="s">
        <v>971</v>
      </c>
      <c r="C948" s="3" t="s">
        <v>101</v>
      </c>
      <c r="D948" s="3">
        <v>35.0</v>
      </c>
      <c r="E948" s="3">
        <v>0.28</v>
      </c>
      <c r="F948" s="3">
        <v>5.81</v>
      </c>
      <c r="G948" s="3">
        <v>5.11</v>
      </c>
    </row>
    <row r="949">
      <c r="A949" s="3">
        <v>168459.0</v>
      </c>
      <c r="B949" s="3" t="s">
        <v>972</v>
      </c>
      <c r="C949" s="3" t="s">
        <v>101</v>
      </c>
      <c r="D949" s="3">
        <v>27.0</v>
      </c>
      <c r="E949" s="3">
        <v>0.04</v>
      </c>
      <c r="F949" s="3">
        <v>1.28</v>
      </c>
      <c r="G949" s="3">
        <v>6.73</v>
      </c>
    </row>
    <row r="950">
      <c r="A950" s="3">
        <v>168460.0</v>
      </c>
      <c r="B950" s="3" t="s">
        <v>973</v>
      </c>
      <c r="C950" s="3" t="s">
        <v>101</v>
      </c>
      <c r="D950" s="3">
        <v>81.0</v>
      </c>
      <c r="E950" s="3">
        <v>4.45</v>
      </c>
      <c r="F950" s="3">
        <v>8.47</v>
      </c>
      <c r="G950" s="3">
        <v>6.53</v>
      </c>
    </row>
    <row r="951">
      <c r="A951" s="3">
        <v>168461.0</v>
      </c>
      <c r="B951" s="3" t="s">
        <v>974</v>
      </c>
      <c r="C951" s="3" t="s">
        <v>101</v>
      </c>
      <c r="D951" s="3">
        <v>125.0</v>
      </c>
      <c r="E951" s="3">
        <v>7.1</v>
      </c>
      <c r="F951" s="3">
        <v>13.1</v>
      </c>
      <c r="G951" s="3">
        <v>9.4</v>
      </c>
    </row>
    <row r="952">
      <c r="A952" s="3">
        <v>168462.0</v>
      </c>
      <c r="B952" s="3" t="s">
        <v>975</v>
      </c>
      <c r="C952" s="3" t="s">
        <v>101</v>
      </c>
      <c r="D952" s="3">
        <v>23.0</v>
      </c>
      <c r="E952" s="3">
        <v>0.39</v>
      </c>
      <c r="F952" s="3">
        <v>2.86</v>
      </c>
      <c r="G952" s="3">
        <v>3.63</v>
      </c>
    </row>
    <row r="953">
      <c r="A953" s="3">
        <v>168463.0</v>
      </c>
      <c r="B953" s="3" t="s">
        <v>976</v>
      </c>
      <c r="C953" s="3" t="s">
        <v>101</v>
      </c>
      <c r="D953" s="3">
        <v>23.0</v>
      </c>
      <c r="E953" s="3">
        <v>0.26</v>
      </c>
      <c r="F953" s="3">
        <v>2.97</v>
      </c>
      <c r="G953" s="3">
        <v>3.75</v>
      </c>
    </row>
    <row r="954">
      <c r="A954" s="3">
        <v>168464.0</v>
      </c>
      <c r="B954" s="3" t="s">
        <v>977</v>
      </c>
      <c r="C954" s="3" t="s">
        <v>101</v>
      </c>
      <c r="D954" s="3">
        <v>19.0</v>
      </c>
      <c r="E954" s="3">
        <v>0.27</v>
      </c>
      <c r="F954" s="3">
        <v>1.01</v>
      </c>
      <c r="G954" s="3">
        <v>3.88</v>
      </c>
    </row>
    <row r="955">
      <c r="A955" s="3">
        <v>168465.0</v>
      </c>
      <c r="B955" s="3" t="s">
        <v>978</v>
      </c>
      <c r="C955" s="3" t="s">
        <v>101</v>
      </c>
      <c r="D955" s="3">
        <v>19.0</v>
      </c>
      <c r="E955" s="3">
        <v>0.39</v>
      </c>
      <c r="F955" s="3">
        <v>1.04</v>
      </c>
      <c r="G955" s="3">
        <v>3.79</v>
      </c>
    </row>
    <row r="956">
      <c r="A956" s="3">
        <v>168466.0</v>
      </c>
      <c r="B956" s="3" t="s">
        <v>979</v>
      </c>
      <c r="C956" s="3" t="s">
        <v>101</v>
      </c>
      <c r="D956" s="3">
        <v>13.0</v>
      </c>
      <c r="E956" s="3">
        <v>0.07</v>
      </c>
      <c r="F956" s="3">
        <v>0.61</v>
      </c>
      <c r="G956" s="3">
        <v>2.96</v>
      </c>
    </row>
    <row r="957">
      <c r="A957" s="3">
        <v>168467.0</v>
      </c>
      <c r="B957" s="3" t="s">
        <v>980</v>
      </c>
      <c r="C957" s="3" t="s">
        <v>101</v>
      </c>
      <c r="D957" s="3">
        <v>20.0</v>
      </c>
      <c r="E957" s="3">
        <v>0.14</v>
      </c>
      <c r="F957" s="3">
        <v>0.83</v>
      </c>
      <c r="G957" s="3">
        <v>4.8</v>
      </c>
    </row>
    <row r="958">
      <c r="A958" s="3">
        <v>168468.0</v>
      </c>
      <c r="B958" s="3" t="s">
        <v>981</v>
      </c>
      <c r="C958" s="3" t="s">
        <v>101</v>
      </c>
      <c r="D958" s="3">
        <v>25.0</v>
      </c>
      <c r="E958" s="3">
        <v>0.2</v>
      </c>
      <c r="F958" s="3">
        <v>1.28</v>
      </c>
      <c r="G958" s="3">
        <v>5.54</v>
      </c>
    </row>
    <row r="959">
      <c r="A959" s="3">
        <v>168469.0</v>
      </c>
      <c r="B959" s="3" t="s">
        <v>982</v>
      </c>
      <c r="C959" s="3" t="s">
        <v>101</v>
      </c>
      <c r="D959" s="3">
        <v>17.0</v>
      </c>
      <c r="E959" s="3">
        <v>0.13</v>
      </c>
      <c r="F959" s="3">
        <v>1.16</v>
      </c>
      <c r="G959" s="3">
        <v>3.58</v>
      </c>
    </row>
    <row r="960">
      <c r="A960" s="3">
        <v>168470.0</v>
      </c>
      <c r="B960" s="3" t="s">
        <v>983</v>
      </c>
      <c r="C960" s="3" t="s">
        <v>101</v>
      </c>
      <c r="D960" s="3">
        <v>17.0</v>
      </c>
      <c r="E960" s="3">
        <v>0.13</v>
      </c>
      <c r="F960" s="3">
        <v>1.15</v>
      </c>
      <c r="G960" s="3">
        <v>3.56</v>
      </c>
    </row>
    <row r="961">
      <c r="A961" s="3">
        <v>168471.0</v>
      </c>
      <c r="B961" s="3" t="s">
        <v>984</v>
      </c>
      <c r="C961" s="3" t="s">
        <v>101</v>
      </c>
      <c r="D961" s="3">
        <v>29.0</v>
      </c>
      <c r="E961" s="3">
        <v>0.11</v>
      </c>
      <c r="F961" s="3">
        <v>1.03</v>
      </c>
      <c r="G961" s="3">
        <v>6.85</v>
      </c>
    </row>
    <row r="962">
      <c r="A962" s="3">
        <v>168472.0</v>
      </c>
      <c r="B962" s="3" t="s">
        <v>985</v>
      </c>
      <c r="C962" s="3" t="s">
        <v>101</v>
      </c>
      <c r="D962" s="3">
        <v>40.0</v>
      </c>
      <c r="E962" s="3">
        <v>0.1</v>
      </c>
      <c r="F962" s="3">
        <v>0.8</v>
      </c>
      <c r="G962" s="3">
        <v>10.42</v>
      </c>
    </row>
    <row r="963">
      <c r="A963" s="3">
        <v>168473.0</v>
      </c>
      <c r="B963" s="3" t="s">
        <v>986</v>
      </c>
      <c r="C963" s="3" t="s">
        <v>101</v>
      </c>
      <c r="D963" s="3">
        <v>57.0</v>
      </c>
      <c r="E963" s="3">
        <v>0.1</v>
      </c>
      <c r="F963" s="3">
        <v>1.76</v>
      </c>
      <c r="G963" s="3">
        <v>14.41</v>
      </c>
    </row>
    <row r="964">
      <c r="A964" s="3">
        <v>168474.0</v>
      </c>
      <c r="B964" s="3" t="s">
        <v>987</v>
      </c>
      <c r="C964" s="3" t="s">
        <v>101</v>
      </c>
      <c r="D964" s="3">
        <v>39.0</v>
      </c>
      <c r="E964" s="3">
        <v>0.07</v>
      </c>
      <c r="F964" s="3">
        <v>1.23</v>
      </c>
      <c r="G964" s="3">
        <v>10.05</v>
      </c>
    </row>
    <row r="965">
      <c r="A965" s="3">
        <v>168475.0</v>
      </c>
      <c r="B965" s="3" t="s">
        <v>988</v>
      </c>
      <c r="C965" s="3" t="s">
        <v>101</v>
      </c>
      <c r="D965" s="3">
        <v>40.0</v>
      </c>
      <c r="E965" s="3">
        <v>0.5</v>
      </c>
      <c r="F965" s="3">
        <v>2.0</v>
      </c>
      <c r="G965" s="3">
        <v>8.7</v>
      </c>
    </row>
    <row r="966">
      <c r="A966" s="3">
        <v>168476.0</v>
      </c>
      <c r="B966" s="3" t="s">
        <v>989</v>
      </c>
      <c r="C966" s="3" t="s">
        <v>101</v>
      </c>
      <c r="D966" s="3">
        <v>50.0</v>
      </c>
      <c r="E966" s="3">
        <v>0.62</v>
      </c>
      <c r="F966" s="3">
        <v>2.48</v>
      </c>
      <c r="G966" s="3">
        <v>10.81</v>
      </c>
    </row>
    <row r="967">
      <c r="A967" s="3">
        <v>168477.0</v>
      </c>
      <c r="B967" s="3" t="s">
        <v>990</v>
      </c>
      <c r="C967" s="3" t="s">
        <v>101</v>
      </c>
      <c r="D967" s="3">
        <v>115.0</v>
      </c>
      <c r="E967" s="3">
        <v>0.8</v>
      </c>
      <c r="F967" s="3">
        <v>5.07</v>
      </c>
      <c r="G967" s="3">
        <v>24.38</v>
      </c>
    </row>
    <row r="968">
      <c r="A968" s="3">
        <v>168478.0</v>
      </c>
      <c r="B968" s="3" t="s">
        <v>991</v>
      </c>
      <c r="C968" s="3" t="s">
        <v>101</v>
      </c>
      <c r="D968" s="3">
        <v>77.0</v>
      </c>
      <c r="E968" s="3">
        <v>0.54</v>
      </c>
      <c r="F968" s="3">
        <v>2.64</v>
      </c>
      <c r="G968" s="3">
        <v>17.61</v>
      </c>
    </row>
    <row r="969">
      <c r="A969" s="3">
        <v>168479.0</v>
      </c>
      <c r="B969" s="3" t="s">
        <v>992</v>
      </c>
      <c r="C969" s="3" t="s">
        <v>101</v>
      </c>
      <c r="D969" s="3">
        <v>63.0</v>
      </c>
      <c r="E969" s="3">
        <v>0.49</v>
      </c>
      <c r="F969" s="3">
        <v>2.6</v>
      </c>
      <c r="G969" s="3">
        <v>13.98</v>
      </c>
    </row>
    <row r="970">
      <c r="A970" s="3">
        <v>168480.0</v>
      </c>
      <c r="B970" s="3" t="s">
        <v>993</v>
      </c>
      <c r="C970" s="3" t="s">
        <v>101</v>
      </c>
      <c r="D970" s="3">
        <v>93.0</v>
      </c>
      <c r="E970" s="3">
        <v>0.89</v>
      </c>
      <c r="F970" s="3">
        <v>4.31</v>
      </c>
      <c r="G970" s="3">
        <v>19.94</v>
      </c>
    </row>
    <row r="971">
      <c r="A971" s="3">
        <v>168481.0</v>
      </c>
      <c r="B971" s="3" t="s">
        <v>994</v>
      </c>
      <c r="C971" s="3" t="s">
        <v>101</v>
      </c>
      <c r="D971" s="3">
        <v>93.0</v>
      </c>
      <c r="E971" s="3">
        <v>0.89</v>
      </c>
      <c r="F971" s="3">
        <v>4.31</v>
      </c>
      <c r="G971" s="3">
        <v>19.95</v>
      </c>
    </row>
    <row r="972">
      <c r="A972" s="3">
        <v>168482.0</v>
      </c>
      <c r="B972" s="3" t="s">
        <v>995</v>
      </c>
      <c r="C972" s="3" t="s">
        <v>101</v>
      </c>
      <c r="D972" s="3">
        <v>86.0</v>
      </c>
      <c r="E972" s="3">
        <v>0.05</v>
      </c>
      <c r="F972" s="3">
        <v>1.57</v>
      </c>
      <c r="G972" s="3">
        <v>20.12</v>
      </c>
    </row>
    <row r="973">
      <c r="A973" s="3">
        <v>168483.0</v>
      </c>
      <c r="B973" s="3" t="s">
        <v>996</v>
      </c>
      <c r="C973" s="3" t="s">
        <v>101</v>
      </c>
      <c r="D973" s="3">
        <v>90.0</v>
      </c>
      <c r="E973" s="3">
        <v>0.15</v>
      </c>
      <c r="F973" s="3">
        <v>2.01</v>
      </c>
      <c r="G973" s="3">
        <v>20.71</v>
      </c>
    </row>
    <row r="974">
      <c r="A974" s="3">
        <v>168484.0</v>
      </c>
      <c r="B974" s="3" t="s">
        <v>997</v>
      </c>
      <c r="C974" s="3" t="s">
        <v>101</v>
      </c>
      <c r="D974" s="3">
        <v>76.0</v>
      </c>
      <c r="E974" s="3">
        <v>0.14</v>
      </c>
      <c r="F974" s="3">
        <v>1.37</v>
      </c>
      <c r="G974" s="3">
        <v>17.72</v>
      </c>
    </row>
    <row r="975">
      <c r="A975" s="3">
        <v>168485.0</v>
      </c>
      <c r="B975" s="3" t="s">
        <v>998</v>
      </c>
      <c r="C975" s="3" t="s">
        <v>101</v>
      </c>
      <c r="D975" s="3">
        <v>91.0</v>
      </c>
      <c r="E975" s="3">
        <v>0.2</v>
      </c>
      <c r="F975" s="3">
        <v>1.65</v>
      </c>
      <c r="G975" s="3">
        <v>21.12</v>
      </c>
    </row>
    <row r="976">
      <c r="A976" s="3">
        <v>168486.0</v>
      </c>
      <c r="B976" s="3" t="s">
        <v>999</v>
      </c>
      <c r="C976" s="3" t="s">
        <v>101</v>
      </c>
      <c r="D976" s="3">
        <v>142.0</v>
      </c>
      <c r="E976" s="3">
        <v>0.11</v>
      </c>
      <c r="F976" s="3">
        <v>0.52</v>
      </c>
      <c r="G976" s="3">
        <v>34.6</v>
      </c>
    </row>
    <row r="977">
      <c r="A977" s="3">
        <v>168487.0</v>
      </c>
      <c r="B977" s="3" t="s">
        <v>1000</v>
      </c>
      <c r="C977" s="3" t="s">
        <v>101</v>
      </c>
      <c r="D977" s="3">
        <v>42.0</v>
      </c>
      <c r="E977" s="3">
        <v>0.74</v>
      </c>
      <c r="F977" s="3">
        <v>4.98</v>
      </c>
      <c r="G977" s="3">
        <v>6.7</v>
      </c>
    </row>
    <row r="978">
      <c r="A978" s="3">
        <v>168488.0</v>
      </c>
      <c r="B978" s="3" t="s">
        <v>1001</v>
      </c>
      <c r="C978" s="3" t="s">
        <v>101</v>
      </c>
      <c r="D978" s="3">
        <v>24.0</v>
      </c>
      <c r="E978" s="3">
        <v>0.41</v>
      </c>
      <c r="F978" s="3">
        <v>2.72</v>
      </c>
      <c r="G978" s="3">
        <v>4.02</v>
      </c>
    </row>
    <row r="979">
      <c r="A979" s="3">
        <v>168489.0</v>
      </c>
      <c r="B979" s="3" t="s">
        <v>1002</v>
      </c>
      <c r="C979" s="3" t="s">
        <v>101</v>
      </c>
      <c r="D979" s="3">
        <v>11.0</v>
      </c>
      <c r="E979" s="3">
        <v>0.09</v>
      </c>
      <c r="F979" s="3">
        <v>0.92</v>
      </c>
      <c r="G979" s="3">
        <v>2.32</v>
      </c>
    </row>
    <row r="980">
      <c r="A980" s="3">
        <v>168490.0</v>
      </c>
      <c r="B980" s="3" t="s">
        <v>1003</v>
      </c>
      <c r="C980" s="3" t="s">
        <v>101</v>
      </c>
      <c r="D980" s="3">
        <v>65.0</v>
      </c>
      <c r="E980" s="3">
        <v>0.2</v>
      </c>
      <c r="F980" s="3">
        <v>4.24</v>
      </c>
      <c r="G980" s="3">
        <v>13.39</v>
      </c>
    </row>
    <row r="981">
      <c r="A981" s="3">
        <v>168491.0</v>
      </c>
      <c r="B981" s="3" t="s">
        <v>1004</v>
      </c>
      <c r="C981" s="3" t="s">
        <v>101</v>
      </c>
      <c r="D981" s="3">
        <v>24.0</v>
      </c>
      <c r="E981" s="3">
        <v>0.56</v>
      </c>
      <c r="F981" s="3">
        <v>3.36</v>
      </c>
      <c r="G981" s="3">
        <v>3.01</v>
      </c>
    </row>
    <row r="982">
      <c r="A982" s="3">
        <v>168492.0</v>
      </c>
      <c r="B982" s="3" t="s">
        <v>1005</v>
      </c>
      <c r="C982" s="3" t="s">
        <v>101</v>
      </c>
      <c r="D982" s="3">
        <v>21.0</v>
      </c>
      <c r="E982" s="3">
        <v>0.18</v>
      </c>
      <c r="F982" s="3">
        <v>2.11</v>
      </c>
      <c r="G982" s="3">
        <v>4.11</v>
      </c>
    </row>
    <row r="983">
      <c r="A983" s="3">
        <v>168493.0</v>
      </c>
      <c r="B983" s="3" t="s">
        <v>1006</v>
      </c>
      <c r="C983" s="3" t="s">
        <v>101</v>
      </c>
      <c r="D983" s="3">
        <v>78.0</v>
      </c>
      <c r="E983" s="3">
        <v>0.1</v>
      </c>
      <c r="F983" s="3">
        <v>4.49</v>
      </c>
      <c r="G983" s="3">
        <v>16.14</v>
      </c>
    </row>
    <row r="984">
      <c r="A984" s="3">
        <v>168494.0</v>
      </c>
      <c r="B984" s="3" t="s">
        <v>1007</v>
      </c>
      <c r="C984" s="3" t="s">
        <v>101</v>
      </c>
      <c r="D984" s="3">
        <v>18.0</v>
      </c>
      <c r="E984" s="3">
        <v>0.42</v>
      </c>
      <c r="F984" s="3">
        <v>2.95</v>
      </c>
      <c r="G984" s="3">
        <v>1.92</v>
      </c>
    </row>
    <row r="985">
      <c r="A985" s="3">
        <v>168495.0</v>
      </c>
      <c r="B985" s="3" t="s">
        <v>1008</v>
      </c>
      <c r="C985" s="3" t="s">
        <v>101</v>
      </c>
      <c r="D985" s="3">
        <v>32.0</v>
      </c>
      <c r="E985" s="3">
        <v>0.2</v>
      </c>
      <c r="F985" s="3">
        <v>3.6</v>
      </c>
      <c r="G985" s="3">
        <v>6.16</v>
      </c>
    </row>
    <row r="986">
      <c r="A986" s="3">
        <v>168496.0</v>
      </c>
      <c r="B986" s="3" t="s">
        <v>1009</v>
      </c>
      <c r="C986" s="3" t="s">
        <v>101</v>
      </c>
      <c r="D986" s="3">
        <v>19.0</v>
      </c>
      <c r="E986" s="3">
        <v>0.18</v>
      </c>
      <c r="F986" s="3">
        <v>0.84</v>
      </c>
      <c r="G986" s="3">
        <v>4.32</v>
      </c>
    </row>
    <row r="987">
      <c r="A987" s="3">
        <v>168497.0</v>
      </c>
      <c r="B987" s="3" t="s">
        <v>1010</v>
      </c>
      <c r="C987" s="3" t="s">
        <v>101</v>
      </c>
      <c r="D987" s="3">
        <v>11.0</v>
      </c>
      <c r="E987" s="3">
        <v>0.22</v>
      </c>
      <c r="F987" s="3">
        <v>1.53</v>
      </c>
      <c r="G987" s="3">
        <v>1.52</v>
      </c>
    </row>
    <row r="988">
      <c r="A988" s="3">
        <v>168498.0</v>
      </c>
      <c r="B988" s="3" t="s">
        <v>1011</v>
      </c>
      <c r="C988" s="3" t="s">
        <v>101</v>
      </c>
      <c r="D988" s="3">
        <v>103.0</v>
      </c>
      <c r="E988" s="3">
        <v>0.34</v>
      </c>
      <c r="F988" s="3">
        <v>6.07</v>
      </c>
      <c r="G988" s="3">
        <v>19.32</v>
      </c>
    </row>
    <row r="989">
      <c r="A989" s="3">
        <v>168499.0</v>
      </c>
      <c r="B989" s="3" t="s">
        <v>1012</v>
      </c>
      <c r="C989" s="3" t="s">
        <v>101</v>
      </c>
      <c r="D989" s="3">
        <v>19.0</v>
      </c>
      <c r="E989" s="3">
        <v>0.09</v>
      </c>
      <c r="F989" s="3">
        <v>2.03</v>
      </c>
      <c r="G989" s="3">
        <v>3.6</v>
      </c>
    </row>
    <row r="990">
      <c r="A990" s="3">
        <v>168500.0</v>
      </c>
      <c r="B990" s="3" t="s">
        <v>1013</v>
      </c>
      <c r="C990" s="3" t="s">
        <v>101</v>
      </c>
      <c r="D990" s="3">
        <v>78.0</v>
      </c>
      <c r="E990" s="3">
        <v>0.81</v>
      </c>
      <c r="F990" s="3">
        <v>7.07</v>
      </c>
      <c r="G990" s="3">
        <v>15.01</v>
      </c>
    </row>
    <row r="991">
      <c r="A991" s="3">
        <v>168501.0</v>
      </c>
      <c r="B991" s="3" t="s">
        <v>1014</v>
      </c>
      <c r="C991" s="3" t="s">
        <v>101</v>
      </c>
      <c r="D991" s="3">
        <v>162.0</v>
      </c>
      <c r="E991" s="3">
        <v>0.48</v>
      </c>
      <c r="F991" s="3">
        <v>9.31</v>
      </c>
      <c r="G991" s="3">
        <v>30.87</v>
      </c>
    </row>
    <row r="992">
      <c r="A992" s="3">
        <v>168502.0</v>
      </c>
      <c r="B992" s="3" t="s">
        <v>1015</v>
      </c>
      <c r="C992" s="3" t="s">
        <v>101</v>
      </c>
      <c r="D992" s="3">
        <v>15.0</v>
      </c>
      <c r="E992" s="3">
        <v>0.1</v>
      </c>
      <c r="F992" s="3">
        <v>0.8</v>
      </c>
      <c r="G992" s="3">
        <v>3.5</v>
      </c>
    </row>
    <row r="993">
      <c r="A993" s="3">
        <v>168503.0</v>
      </c>
      <c r="B993" s="3" t="s">
        <v>1016</v>
      </c>
      <c r="C993" s="3" t="s">
        <v>101</v>
      </c>
      <c r="D993" s="3">
        <v>15.0</v>
      </c>
      <c r="E993" s="3">
        <v>0.1</v>
      </c>
      <c r="F993" s="3">
        <v>0.8</v>
      </c>
      <c r="G993" s="3">
        <v>3.5</v>
      </c>
    </row>
    <row r="994">
      <c r="A994" s="3">
        <v>168504.0</v>
      </c>
      <c r="B994" s="3" t="s">
        <v>1017</v>
      </c>
      <c r="C994" s="3" t="s">
        <v>101</v>
      </c>
      <c r="D994" s="3">
        <v>15.0</v>
      </c>
      <c r="E994" s="3">
        <v>0.1</v>
      </c>
      <c r="F994" s="3">
        <v>0.8</v>
      </c>
      <c r="G994" s="3">
        <v>3.5</v>
      </c>
    </row>
    <row r="995">
      <c r="A995" s="3">
        <v>168505.0</v>
      </c>
      <c r="B995" s="3" t="s">
        <v>1018</v>
      </c>
      <c r="C995" s="3" t="s">
        <v>101</v>
      </c>
      <c r="D995" s="3">
        <v>22.0</v>
      </c>
      <c r="E995" s="3">
        <v>0.46</v>
      </c>
      <c r="F995" s="3">
        <v>1.12</v>
      </c>
      <c r="G995" s="3">
        <v>4.32</v>
      </c>
    </row>
    <row r="996">
      <c r="A996" s="3">
        <v>168506.0</v>
      </c>
      <c r="B996" s="3" t="s">
        <v>1019</v>
      </c>
      <c r="C996" s="3" t="s">
        <v>101</v>
      </c>
      <c r="D996" s="3">
        <v>44.0</v>
      </c>
      <c r="E996" s="3">
        <v>0.18</v>
      </c>
      <c r="F996" s="3">
        <v>1.68</v>
      </c>
      <c r="G996" s="3">
        <v>9.96</v>
      </c>
    </row>
    <row r="997">
      <c r="A997" s="3">
        <v>168507.0</v>
      </c>
      <c r="B997" s="3" t="s">
        <v>1020</v>
      </c>
      <c r="C997" s="3" t="s">
        <v>101</v>
      </c>
      <c r="D997" s="3">
        <v>28.0</v>
      </c>
      <c r="E997" s="3">
        <v>0.07</v>
      </c>
      <c r="F997" s="3">
        <v>0.8</v>
      </c>
      <c r="G997" s="3">
        <v>6.57</v>
      </c>
    </row>
    <row r="998">
      <c r="A998" s="3">
        <v>168508.0</v>
      </c>
      <c r="B998" s="3" t="s">
        <v>1021</v>
      </c>
      <c r="C998" s="3" t="s">
        <v>101</v>
      </c>
      <c r="D998" s="3">
        <v>27.0</v>
      </c>
      <c r="E998" s="3">
        <v>0.2</v>
      </c>
      <c r="F998" s="3">
        <v>2.57</v>
      </c>
      <c r="G998" s="3">
        <v>5.46</v>
      </c>
    </row>
    <row r="999">
      <c r="A999" s="3">
        <v>168509.0</v>
      </c>
      <c r="B999" s="3" t="s">
        <v>1022</v>
      </c>
      <c r="C999" s="3" t="s">
        <v>101</v>
      </c>
      <c r="D999" s="3">
        <v>25.0</v>
      </c>
      <c r="E999" s="3">
        <v>0.81</v>
      </c>
      <c r="F999" s="3">
        <v>2.09</v>
      </c>
      <c r="G999" s="3">
        <v>3.55</v>
      </c>
    </row>
    <row r="1000">
      <c r="A1000" s="3">
        <v>168510.0</v>
      </c>
      <c r="B1000" s="3" t="s">
        <v>1023</v>
      </c>
      <c r="C1000" s="3" t="s">
        <v>101</v>
      </c>
      <c r="D1000" s="3">
        <v>35.0</v>
      </c>
      <c r="E1000" s="3">
        <v>0.41</v>
      </c>
      <c r="F1000" s="3">
        <v>2.38</v>
      </c>
      <c r="G1000" s="3">
        <v>7.18</v>
      </c>
    </row>
    <row r="1001">
      <c r="A1001" s="3">
        <v>168511.0</v>
      </c>
      <c r="B1001" s="3" t="s">
        <v>1024</v>
      </c>
      <c r="C1001" s="3" t="s">
        <v>101</v>
      </c>
      <c r="D1001" s="3">
        <v>28.0</v>
      </c>
      <c r="E1001" s="3">
        <v>0.12</v>
      </c>
      <c r="F1001" s="3">
        <v>3.1</v>
      </c>
      <c r="G1001" s="3">
        <v>5.35</v>
      </c>
    </row>
    <row r="1002">
      <c r="A1002" s="3">
        <v>168512.0</v>
      </c>
      <c r="B1002" s="3" t="s">
        <v>1025</v>
      </c>
      <c r="C1002" s="3" t="s">
        <v>101</v>
      </c>
      <c r="D1002" s="3">
        <v>28.0</v>
      </c>
      <c r="E1002" s="3">
        <v>0.11</v>
      </c>
      <c r="F1002" s="3">
        <v>3.1</v>
      </c>
      <c r="G1002" s="3">
        <v>5.35</v>
      </c>
    </row>
    <row r="1003">
      <c r="A1003" s="3">
        <v>168513.0</v>
      </c>
      <c r="B1003" s="3" t="s">
        <v>1026</v>
      </c>
      <c r="C1003" s="3" t="s">
        <v>101</v>
      </c>
      <c r="D1003" s="3">
        <v>36.0</v>
      </c>
      <c r="E1003" s="3">
        <v>0.5</v>
      </c>
      <c r="F1003" s="3">
        <v>2.55</v>
      </c>
      <c r="G1003" s="3">
        <v>7.1</v>
      </c>
    </row>
    <row r="1004">
      <c r="A1004" s="3">
        <v>168514.0</v>
      </c>
      <c r="B1004" s="3" t="s">
        <v>1027</v>
      </c>
      <c r="C1004" s="3" t="s">
        <v>101</v>
      </c>
      <c r="D1004" s="3">
        <v>23.0</v>
      </c>
      <c r="E1004" s="3">
        <v>0.06</v>
      </c>
      <c r="F1004" s="3">
        <v>1.27</v>
      </c>
      <c r="G1004" s="3">
        <v>5.51</v>
      </c>
    </row>
    <row r="1005">
      <c r="A1005" s="3">
        <v>168515.0</v>
      </c>
      <c r="B1005" s="3" t="s">
        <v>1028</v>
      </c>
      <c r="C1005" s="3" t="s">
        <v>101</v>
      </c>
      <c r="D1005" s="3">
        <v>29.0</v>
      </c>
      <c r="E1005" s="3">
        <v>0.09</v>
      </c>
      <c r="F1005" s="3">
        <v>1.51</v>
      </c>
      <c r="G1005" s="3">
        <v>6.94</v>
      </c>
    </row>
    <row r="1006">
      <c r="A1006" s="3">
        <v>168516.0</v>
      </c>
      <c r="B1006" s="3" t="s">
        <v>1029</v>
      </c>
      <c r="C1006" s="3" t="s">
        <v>101</v>
      </c>
      <c r="D1006" s="3">
        <v>24.0</v>
      </c>
      <c r="E1006" s="3">
        <v>0.09</v>
      </c>
      <c r="F1006" s="3">
        <v>1.8</v>
      </c>
      <c r="G1006" s="3">
        <v>5.41</v>
      </c>
    </row>
    <row r="1007">
      <c r="A1007" s="3">
        <v>168517.0</v>
      </c>
      <c r="B1007" s="3" t="s">
        <v>1030</v>
      </c>
      <c r="C1007" s="3" t="s">
        <v>101</v>
      </c>
      <c r="D1007" s="3">
        <v>12.0</v>
      </c>
      <c r="E1007" s="3">
        <v>0.16</v>
      </c>
      <c r="F1007" s="3">
        <v>1.56</v>
      </c>
      <c r="G1007" s="3">
        <v>1.78</v>
      </c>
    </row>
    <row r="1008">
      <c r="A1008" s="3">
        <v>168518.0</v>
      </c>
      <c r="B1008" s="3" t="s">
        <v>1031</v>
      </c>
      <c r="C1008" s="3" t="s">
        <v>101</v>
      </c>
      <c r="D1008" s="3">
        <v>25.0</v>
      </c>
      <c r="E1008" s="3">
        <v>0.19</v>
      </c>
      <c r="F1008" s="3">
        <v>0.64</v>
      </c>
      <c r="G1008" s="3">
        <v>5.54</v>
      </c>
    </row>
    <row r="1009">
      <c r="A1009" s="3">
        <v>168519.0</v>
      </c>
      <c r="B1009" s="3" t="s">
        <v>1032</v>
      </c>
      <c r="C1009" s="3" t="s">
        <v>101</v>
      </c>
      <c r="D1009" s="3">
        <v>37.0</v>
      </c>
      <c r="E1009" s="3">
        <v>0.68</v>
      </c>
      <c r="F1009" s="3">
        <v>0.58</v>
      </c>
      <c r="G1009" s="3">
        <v>7.73</v>
      </c>
    </row>
    <row r="1010">
      <c r="A1010" s="3">
        <v>168520.0</v>
      </c>
      <c r="B1010" s="3" t="s">
        <v>1033</v>
      </c>
      <c r="C1010" s="3" t="s">
        <v>101</v>
      </c>
      <c r="D1010" s="3">
        <v>23.0</v>
      </c>
      <c r="E1010" s="3">
        <v>0.45</v>
      </c>
      <c r="F1010" s="3">
        <v>1.84</v>
      </c>
      <c r="G1010" s="3">
        <v>4.11</v>
      </c>
    </row>
    <row r="1011">
      <c r="A1011" s="3">
        <v>168521.0</v>
      </c>
      <c r="B1011" s="3" t="s">
        <v>1034</v>
      </c>
      <c r="C1011" s="3" t="s">
        <v>101</v>
      </c>
      <c r="D1011" s="3">
        <v>17.0</v>
      </c>
      <c r="E1011" s="3">
        <v>0.22</v>
      </c>
      <c r="F1011" s="3">
        <v>1.61</v>
      </c>
      <c r="G1011" s="3">
        <v>3.16</v>
      </c>
    </row>
    <row r="1012">
      <c r="A1012" s="3">
        <v>168522.0</v>
      </c>
      <c r="B1012" s="3" t="s">
        <v>1035</v>
      </c>
      <c r="C1012" s="3" t="s">
        <v>101</v>
      </c>
      <c r="D1012" s="3">
        <v>20.0</v>
      </c>
      <c r="E1012" s="3">
        <v>0.09</v>
      </c>
      <c r="F1012" s="3">
        <v>1.64</v>
      </c>
      <c r="G1012" s="3">
        <v>4.31</v>
      </c>
    </row>
    <row r="1013">
      <c r="A1013" s="3">
        <v>168523.0</v>
      </c>
      <c r="B1013" s="3" t="s">
        <v>1036</v>
      </c>
      <c r="C1013" s="3" t="s">
        <v>101</v>
      </c>
      <c r="D1013" s="3">
        <v>33.0</v>
      </c>
      <c r="E1013" s="3">
        <v>0.72</v>
      </c>
      <c r="F1013" s="3">
        <v>2.71</v>
      </c>
      <c r="G1013" s="3">
        <v>5.65</v>
      </c>
    </row>
    <row r="1014">
      <c r="A1014" s="3">
        <v>168524.0</v>
      </c>
      <c r="B1014" s="3" t="s">
        <v>1037</v>
      </c>
      <c r="C1014" s="3" t="s">
        <v>101</v>
      </c>
      <c r="D1014" s="3">
        <v>36.0</v>
      </c>
      <c r="E1014" s="3">
        <v>0.41</v>
      </c>
      <c r="F1014" s="3">
        <v>2.97</v>
      </c>
      <c r="G1014" s="3">
        <v>7.1</v>
      </c>
    </row>
    <row r="1015">
      <c r="A1015" s="3">
        <v>168525.0</v>
      </c>
      <c r="B1015" s="3" t="s">
        <v>1038</v>
      </c>
      <c r="C1015" s="3" t="s">
        <v>101</v>
      </c>
      <c r="D1015" s="3">
        <v>96.0</v>
      </c>
      <c r="E1015" s="3">
        <v>1.5</v>
      </c>
      <c r="F1015" s="3">
        <v>3.41</v>
      </c>
      <c r="G1015" s="3">
        <v>20.98</v>
      </c>
    </row>
    <row r="1016">
      <c r="A1016" s="3">
        <v>168526.0</v>
      </c>
      <c r="B1016" s="3" t="s">
        <v>1039</v>
      </c>
      <c r="C1016" s="3" t="s">
        <v>101</v>
      </c>
      <c r="D1016" s="3">
        <v>94.0</v>
      </c>
      <c r="E1016" s="3">
        <v>0.38</v>
      </c>
      <c r="F1016" s="3">
        <v>3.17</v>
      </c>
      <c r="G1016" s="3">
        <v>19.73</v>
      </c>
    </row>
    <row r="1017">
      <c r="A1017" s="3">
        <v>168527.0</v>
      </c>
      <c r="B1017" s="3" t="s">
        <v>1040</v>
      </c>
      <c r="C1017" s="3" t="s">
        <v>101</v>
      </c>
      <c r="D1017" s="3">
        <v>131.0</v>
      </c>
      <c r="E1017" s="3">
        <v>0.66</v>
      </c>
      <c r="F1017" s="3">
        <v>8.49</v>
      </c>
      <c r="G1017" s="3">
        <v>23.5</v>
      </c>
    </row>
    <row r="1018">
      <c r="A1018" s="3">
        <v>168528.0</v>
      </c>
      <c r="B1018" s="3" t="s">
        <v>1041</v>
      </c>
      <c r="C1018" s="3" t="s">
        <v>101</v>
      </c>
      <c r="D1018" s="3">
        <v>34.0</v>
      </c>
      <c r="E1018" s="3">
        <v>0.3</v>
      </c>
      <c r="F1018" s="3">
        <v>2.6</v>
      </c>
      <c r="G1018" s="3">
        <v>7.0</v>
      </c>
    </row>
    <row r="1019">
      <c r="A1019" s="3">
        <v>168529.0</v>
      </c>
      <c r="B1019" s="3" t="s">
        <v>1042</v>
      </c>
      <c r="C1019" s="3" t="s">
        <v>101</v>
      </c>
      <c r="D1019" s="3">
        <v>22.0</v>
      </c>
      <c r="E1019" s="3">
        <v>0.1</v>
      </c>
      <c r="F1019" s="3">
        <v>4.67</v>
      </c>
      <c r="G1019" s="3">
        <v>2.8</v>
      </c>
    </row>
    <row r="1020">
      <c r="A1020" s="3">
        <v>168530.0</v>
      </c>
      <c r="B1020" s="3" t="s">
        <v>1043</v>
      </c>
      <c r="C1020" s="3" t="s">
        <v>101</v>
      </c>
      <c r="D1020" s="3">
        <v>54.0</v>
      </c>
      <c r="E1020" s="3">
        <v>0.34</v>
      </c>
      <c r="F1020" s="3">
        <v>0.66</v>
      </c>
      <c r="G1020" s="3">
        <v>13.75</v>
      </c>
    </row>
    <row r="1021">
      <c r="A1021" s="3">
        <v>168531.0</v>
      </c>
      <c r="B1021" s="3" t="s">
        <v>1044</v>
      </c>
      <c r="C1021" s="3" t="s">
        <v>101</v>
      </c>
      <c r="D1021" s="3">
        <v>60.0</v>
      </c>
      <c r="E1021" s="3">
        <v>0.93</v>
      </c>
      <c r="F1021" s="3">
        <v>5.27</v>
      </c>
      <c r="G1021" s="3">
        <v>11.15</v>
      </c>
    </row>
    <row r="1022">
      <c r="A1022" s="3">
        <v>168532.0</v>
      </c>
      <c r="B1022" s="3" t="s">
        <v>1045</v>
      </c>
      <c r="C1022" s="3" t="s">
        <v>101</v>
      </c>
      <c r="D1022" s="3">
        <v>36.0</v>
      </c>
      <c r="E1022" s="3">
        <v>0.19</v>
      </c>
      <c r="F1022" s="3">
        <v>2.09</v>
      </c>
      <c r="G1022" s="3">
        <v>8.18</v>
      </c>
    </row>
    <row r="1023">
      <c r="A1023" s="3">
        <v>168533.0</v>
      </c>
      <c r="B1023" s="3" t="s">
        <v>1046</v>
      </c>
      <c r="C1023" s="3" t="s">
        <v>101</v>
      </c>
      <c r="D1023" s="3">
        <v>50.0</v>
      </c>
      <c r="E1023" s="3">
        <v>0.27</v>
      </c>
      <c r="F1023" s="3">
        <v>2.95</v>
      </c>
      <c r="G1023" s="3">
        <v>9.2</v>
      </c>
    </row>
    <row r="1024">
      <c r="A1024" s="3">
        <v>168534.0</v>
      </c>
      <c r="B1024" s="3" t="s">
        <v>1047</v>
      </c>
      <c r="C1024" s="3" t="s">
        <v>101</v>
      </c>
      <c r="D1024" s="3">
        <v>32.0</v>
      </c>
      <c r="E1024" s="3">
        <v>0.7</v>
      </c>
      <c r="F1024" s="3">
        <v>3.2</v>
      </c>
      <c r="G1024" s="3">
        <v>5.0</v>
      </c>
    </row>
    <row r="1025">
      <c r="A1025" s="3">
        <v>168535.0</v>
      </c>
      <c r="B1025" s="3" t="s">
        <v>1048</v>
      </c>
      <c r="C1025" s="3" t="s">
        <v>101</v>
      </c>
      <c r="D1025" s="3">
        <v>31.0</v>
      </c>
      <c r="E1025" s="3">
        <v>0.2</v>
      </c>
      <c r="F1025" s="3">
        <v>0.81</v>
      </c>
      <c r="G1025" s="3">
        <v>7.62</v>
      </c>
    </row>
    <row r="1026">
      <c r="A1026" s="3">
        <v>168536.0</v>
      </c>
      <c r="B1026" s="3" t="s">
        <v>1049</v>
      </c>
      <c r="C1026" s="3" t="s">
        <v>101</v>
      </c>
      <c r="D1026" s="3">
        <v>66.0</v>
      </c>
      <c r="E1026" s="3">
        <v>0.07</v>
      </c>
      <c r="F1026" s="3">
        <v>1.58</v>
      </c>
      <c r="G1026" s="3">
        <v>16.02</v>
      </c>
    </row>
    <row r="1027">
      <c r="A1027" s="3">
        <v>168537.0</v>
      </c>
      <c r="B1027" s="3" t="s">
        <v>1050</v>
      </c>
      <c r="C1027" s="3" t="s">
        <v>101</v>
      </c>
      <c r="D1027" s="3">
        <v>28.0</v>
      </c>
      <c r="E1027" s="3">
        <v>0.47</v>
      </c>
      <c r="F1027" s="3">
        <v>2.17</v>
      </c>
      <c r="G1027" s="3">
        <v>5.29</v>
      </c>
    </row>
    <row r="1028">
      <c r="A1028" s="3">
        <v>168538.0</v>
      </c>
      <c r="B1028" s="3" t="s">
        <v>1051</v>
      </c>
      <c r="C1028" s="3" t="s">
        <v>101</v>
      </c>
      <c r="D1028" s="3">
        <v>86.0</v>
      </c>
      <c r="E1028" s="3">
        <v>1.18</v>
      </c>
      <c r="F1028" s="3">
        <v>3.22</v>
      </c>
      <c r="G1028" s="3">
        <v>19.02</v>
      </c>
    </row>
    <row r="1029">
      <c r="A1029" s="3">
        <v>168539.0</v>
      </c>
      <c r="B1029" s="3" t="s">
        <v>1052</v>
      </c>
      <c r="C1029" s="3" t="s">
        <v>101</v>
      </c>
      <c r="D1029" s="3">
        <v>97.0</v>
      </c>
      <c r="E1029" s="3">
        <v>1.41</v>
      </c>
      <c r="F1029" s="3">
        <v>3.34</v>
      </c>
      <c r="G1029" s="3">
        <v>21.71</v>
      </c>
    </row>
    <row r="1030">
      <c r="A1030" s="3">
        <v>168540.0</v>
      </c>
      <c r="B1030" s="3" t="s">
        <v>1053</v>
      </c>
      <c r="C1030" s="3" t="s">
        <v>101</v>
      </c>
      <c r="D1030" s="3">
        <v>97.0</v>
      </c>
      <c r="E1030" s="3">
        <v>1.41</v>
      </c>
      <c r="F1030" s="3">
        <v>3.34</v>
      </c>
      <c r="G1030" s="3">
        <v>21.71</v>
      </c>
    </row>
    <row r="1031">
      <c r="A1031" s="3">
        <v>168541.0</v>
      </c>
      <c r="B1031" s="3" t="s">
        <v>1054</v>
      </c>
      <c r="C1031" s="3" t="s">
        <v>101</v>
      </c>
      <c r="D1031" s="3">
        <v>64.0</v>
      </c>
      <c r="E1031" s="3">
        <v>0.5</v>
      </c>
      <c r="F1031" s="3">
        <v>1.95</v>
      </c>
      <c r="G1031" s="3">
        <v>15.41</v>
      </c>
    </row>
    <row r="1032">
      <c r="A1032" s="3">
        <v>168542.0</v>
      </c>
      <c r="B1032" s="3" t="s">
        <v>1055</v>
      </c>
      <c r="C1032" s="3" t="s">
        <v>101</v>
      </c>
      <c r="D1032" s="3">
        <v>79.0</v>
      </c>
      <c r="E1032" s="3">
        <v>0.5</v>
      </c>
      <c r="F1032" s="3">
        <v>2.41</v>
      </c>
      <c r="G1032" s="3">
        <v>19.44</v>
      </c>
    </row>
    <row r="1033">
      <c r="A1033" s="3">
        <v>168543.0</v>
      </c>
      <c r="B1033" s="3" t="s">
        <v>1056</v>
      </c>
      <c r="C1033" s="3" t="s">
        <v>101</v>
      </c>
      <c r="D1033" s="3">
        <v>79.0</v>
      </c>
      <c r="E1033" s="3">
        <v>0.5</v>
      </c>
      <c r="F1033" s="3">
        <v>2.41</v>
      </c>
      <c r="G1033" s="3">
        <v>19.44</v>
      </c>
    </row>
    <row r="1034">
      <c r="A1034" s="3">
        <v>168544.0</v>
      </c>
      <c r="B1034" s="3" t="s">
        <v>1057</v>
      </c>
      <c r="C1034" s="3" t="s">
        <v>101</v>
      </c>
      <c r="D1034" s="3">
        <v>88.0</v>
      </c>
      <c r="E1034" s="3">
        <v>0.77</v>
      </c>
      <c r="F1034" s="3">
        <v>3.02</v>
      </c>
      <c r="G1034" s="3">
        <v>20.73</v>
      </c>
    </row>
    <row r="1035">
      <c r="A1035" s="3">
        <v>168545.0</v>
      </c>
      <c r="B1035" s="3" t="s">
        <v>1058</v>
      </c>
      <c r="C1035" s="3" t="s">
        <v>101</v>
      </c>
      <c r="D1035" s="3">
        <v>80.0</v>
      </c>
      <c r="E1035" s="3">
        <v>0.43</v>
      </c>
      <c r="F1035" s="3">
        <v>2.75</v>
      </c>
      <c r="G1035" s="3">
        <v>19.56</v>
      </c>
    </row>
    <row r="1036">
      <c r="A1036" s="3">
        <v>168546.0</v>
      </c>
      <c r="B1036" s="3" t="s">
        <v>1059</v>
      </c>
      <c r="C1036" s="3" t="s">
        <v>101</v>
      </c>
      <c r="D1036" s="3">
        <v>18.0</v>
      </c>
      <c r="E1036" s="3">
        <v>0.3</v>
      </c>
      <c r="F1036" s="3">
        <v>0.8</v>
      </c>
      <c r="G1036" s="3">
        <v>3.9</v>
      </c>
    </row>
    <row r="1037">
      <c r="A1037" s="3">
        <v>168547.0</v>
      </c>
      <c r="B1037" s="3" t="s">
        <v>1060</v>
      </c>
      <c r="C1037" s="3" t="s">
        <v>101</v>
      </c>
      <c r="D1037" s="3">
        <v>20.0</v>
      </c>
      <c r="E1037" s="3">
        <v>0.21</v>
      </c>
      <c r="F1037" s="3">
        <v>1.08</v>
      </c>
      <c r="G1037" s="3">
        <v>4.45</v>
      </c>
    </row>
    <row r="1038">
      <c r="A1038" s="3">
        <v>168548.0</v>
      </c>
      <c r="B1038" s="3" t="s">
        <v>1061</v>
      </c>
      <c r="C1038" s="3" t="s">
        <v>101</v>
      </c>
      <c r="D1038" s="3">
        <v>16.0</v>
      </c>
      <c r="E1038" s="3">
        <v>0.18</v>
      </c>
      <c r="F1038" s="3">
        <v>0.95</v>
      </c>
      <c r="G1038" s="3">
        <v>3.31</v>
      </c>
    </row>
    <row r="1039">
      <c r="A1039" s="3">
        <v>168549.0</v>
      </c>
      <c r="B1039" s="3" t="s">
        <v>1062</v>
      </c>
      <c r="C1039" s="3" t="s">
        <v>101</v>
      </c>
      <c r="D1039" s="3">
        <v>16.0</v>
      </c>
      <c r="E1039" s="3">
        <v>0.18</v>
      </c>
      <c r="F1039" s="3">
        <v>0.95</v>
      </c>
      <c r="G1039" s="3">
        <v>3.31</v>
      </c>
    </row>
    <row r="1040">
      <c r="A1040" s="3">
        <v>168550.0</v>
      </c>
      <c r="B1040" s="3" t="s">
        <v>1063</v>
      </c>
      <c r="C1040" s="3" t="s">
        <v>101</v>
      </c>
      <c r="D1040" s="3">
        <v>133.0</v>
      </c>
      <c r="E1040" s="3">
        <v>12.75</v>
      </c>
      <c r="F1040" s="3">
        <v>1.04</v>
      </c>
      <c r="G1040" s="3">
        <v>6.57</v>
      </c>
    </row>
    <row r="1041">
      <c r="A1041" s="3">
        <v>168551.0</v>
      </c>
      <c r="B1041" s="3" t="s">
        <v>1064</v>
      </c>
      <c r="C1041" s="3" t="s">
        <v>101</v>
      </c>
      <c r="D1041" s="3">
        <v>101.0</v>
      </c>
      <c r="E1041" s="3">
        <v>0.45</v>
      </c>
      <c r="F1041" s="3">
        <v>8.8</v>
      </c>
      <c r="G1041" s="3">
        <v>21.25</v>
      </c>
    </row>
    <row r="1042">
      <c r="A1042" s="3">
        <v>168552.0</v>
      </c>
      <c r="B1042" s="3" t="s">
        <v>1065</v>
      </c>
      <c r="C1042" s="3" t="s">
        <v>101</v>
      </c>
      <c r="D1042" s="3">
        <v>82.0</v>
      </c>
      <c r="E1042" s="3">
        <v>0.08</v>
      </c>
      <c r="F1042" s="3">
        <v>1.73</v>
      </c>
      <c r="G1042" s="3">
        <v>19.99</v>
      </c>
    </row>
    <row r="1043">
      <c r="A1043" s="3">
        <v>168553.0</v>
      </c>
      <c r="B1043" s="3" t="s">
        <v>1066</v>
      </c>
      <c r="C1043" s="3" t="s">
        <v>101</v>
      </c>
      <c r="D1043" s="3">
        <v>40.0</v>
      </c>
      <c r="E1043" s="3">
        <v>0.07</v>
      </c>
      <c r="F1043" s="3">
        <v>0.29</v>
      </c>
      <c r="G1043" s="3">
        <v>10.78</v>
      </c>
    </row>
    <row r="1044">
      <c r="A1044" s="3">
        <v>168554.0</v>
      </c>
      <c r="B1044" s="3" t="s">
        <v>1067</v>
      </c>
      <c r="C1044" s="3" t="s">
        <v>101</v>
      </c>
      <c r="D1044" s="3">
        <v>108.0</v>
      </c>
      <c r="E1044" s="3">
        <v>4.93</v>
      </c>
      <c r="F1044" s="3">
        <v>2.05</v>
      </c>
      <c r="G1044" s="3">
        <v>14.4</v>
      </c>
    </row>
    <row r="1045">
      <c r="A1045" s="3">
        <v>168555.0</v>
      </c>
      <c r="B1045" s="3" t="s">
        <v>1068</v>
      </c>
      <c r="C1045" s="3" t="s">
        <v>101</v>
      </c>
      <c r="D1045" s="3">
        <v>113.0</v>
      </c>
      <c r="E1045" s="3">
        <v>4.22</v>
      </c>
      <c r="F1045" s="3">
        <v>1.86</v>
      </c>
      <c r="G1045" s="3">
        <v>16.81</v>
      </c>
    </row>
    <row r="1046">
      <c r="A1046" s="3">
        <v>168556.0</v>
      </c>
      <c r="B1046" s="3" t="s">
        <v>1069</v>
      </c>
      <c r="C1046" s="3" t="s">
        <v>101</v>
      </c>
      <c r="D1046" s="3">
        <v>101.0</v>
      </c>
      <c r="E1046" s="3">
        <v>0.1</v>
      </c>
      <c r="F1046" s="3">
        <v>1.04</v>
      </c>
      <c r="G1046" s="3">
        <v>27.4</v>
      </c>
    </row>
    <row r="1047">
      <c r="A1047" s="3">
        <v>168557.0</v>
      </c>
      <c r="B1047" s="3" t="s">
        <v>1070</v>
      </c>
      <c r="C1047" s="3" t="s">
        <v>101</v>
      </c>
      <c r="D1047" s="3">
        <v>22.0</v>
      </c>
      <c r="E1047" s="3">
        <v>0.1</v>
      </c>
      <c r="F1047" s="3">
        <v>2.5</v>
      </c>
      <c r="G1047" s="3">
        <v>4.3</v>
      </c>
    </row>
    <row r="1048">
      <c r="A1048" s="3">
        <v>168558.0</v>
      </c>
      <c r="B1048" s="3" t="s">
        <v>1071</v>
      </c>
      <c r="C1048" s="3" t="s">
        <v>101</v>
      </c>
      <c r="D1048" s="3">
        <v>12.0</v>
      </c>
      <c r="E1048" s="3">
        <v>0.3</v>
      </c>
      <c r="F1048" s="3">
        <v>0.5</v>
      </c>
      <c r="G1048" s="3">
        <v>2.41</v>
      </c>
    </row>
    <row r="1049">
      <c r="A1049" s="3">
        <v>168559.0</v>
      </c>
      <c r="B1049" s="3" t="s">
        <v>1072</v>
      </c>
      <c r="C1049" s="3" t="s">
        <v>101</v>
      </c>
      <c r="D1049" s="3">
        <v>23.0</v>
      </c>
      <c r="E1049" s="3">
        <v>0.3</v>
      </c>
      <c r="F1049" s="3">
        <v>1.1</v>
      </c>
      <c r="G1049" s="3">
        <v>5.1</v>
      </c>
    </row>
    <row r="1050">
      <c r="A1050" s="3">
        <v>168560.0</v>
      </c>
      <c r="B1050" s="3" t="s">
        <v>1073</v>
      </c>
      <c r="C1050" s="3" t="s">
        <v>101</v>
      </c>
      <c r="D1050" s="3">
        <v>91.0</v>
      </c>
      <c r="E1050" s="3">
        <v>0.46</v>
      </c>
      <c r="F1050" s="3">
        <v>1.5</v>
      </c>
      <c r="G1050" s="3">
        <v>23.35</v>
      </c>
    </row>
    <row r="1051">
      <c r="A1051" s="3">
        <v>168561.0</v>
      </c>
      <c r="B1051" s="3" t="s">
        <v>1074</v>
      </c>
      <c r="C1051" s="3" t="s">
        <v>101</v>
      </c>
      <c r="D1051" s="3">
        <v>130.0</v>
      </c>
      <c r="E1051" s="3">
        <v>0.47</v>
      </c>
      <c r="F1051" s="3">
        <v>0.37</v>
      </c>
      <c r="G1051" s="3">
        <v>35.06</v>
      </c>
    </row>
    <row r="1052">
      <c r="A1052" s="3">
        <v>168562.0</v>
      </c>
      <c r="B1052" s="3" t="s">
        <v>1075</v>
      </c>
      <c r="C1052" s="3" t="s">
        <v>101</v>
      </c>
      <c r="D1052" s="3">
        <v>11.0</v>
      </c>
      <c r="E1052" s="3">
        <v>0.2</v>
      </c>
      <c r="F1052" s="3">
        <v>0.33</v>
      </c>
      <c r="G1052" s="3">
        <v>2.26</v>
      </c>
    </row>
    <row r="1053">
      <c r="A1053" s="3">
        <v>168563.0</v>
      </c>
      <c r="B1053" s="3" t="s">
        <v>1076</v>
      </c>
      <c r="C1053" s="3" t="s">
        <v>101</v>
      </c>
      <c r="D1053" s="3">
        <v>12.0</v>
      </c>
      <c r="E1053" s="3">
        <v>0.3</v>
      </c>
      <c r="F1053" s="3">
        <v>0.5</v>
      </c>
      <c r="G1053" s="3">
        <v>2.41</v>
      </c>
    </row>
    <row r="1054">
      <c r="A1054" s="3">
        <v>168564.0</v>
      </c>
      <c r="B1054" s="3" t="s">
        <v>1077</v>
      </c>
      <c r="C1054" s="3" t="s">
        <v>101</v>
      </c>
      <c r="D1054" s="3">
        <v>23.0</v>
      </c>
      <c r="E1054" s="3">
        <v>0.25</v>
      </c>
      <c r="F1054" s="3">
        <v>1.43</v>
      </c>
      <c r="G1054" s="3">
        <v>4.48</v>
      </c>
    </row>
    <row r="1055">
      <c r="A1055" s="3">
        <v>168565.0</v>
      </c>
      <c r="B1055" s="3" t="s">
        <v>1078</v>
      </c>
      <c r="C1055" s="3" t="s">
        <v>101</v>
      </c>
      <c r="D1055" s="3">
        <v>21.0</v>
      </c>
      <c r="E1055" s="3">
        <v>0.4</v>
      </c>
      <c r="F1055" s="3">
        <v>2.71</v>
      </c>
      <c r="G1055" s="3">
        <v>3.11</v>
      </c>
    </row>
    <row r="1056">
      <c r="A1056" s="3">
        <v>168566.0</v>
      </c>
      <c r="B1056" s="3" t="s">
        <v>1079</v>
      </c>
      <c r="C1056" s="3" t="s">
        <v>101</v>
      </c>
      <c r="D1056" s="3">
        <v>32.0</v>
      </c>
      <c r="E1056" s="3">
        <v>1.02</v>
      </c>
      <c r="F1056" s="3">
        <v>0.96</v>
      </c>
      <c r="G1056" s="3">
        <v>5.84</v>
      </c>
    </row>
    <row r="1057">
      <c r="A1057" s="3">
        <v>168567.0</v>
      </c>
      <c r="B1057" s="3" t="s">
        <v>1080</v>
      </c>
      <c r="C1057" s="3" t="s">
        <v>101</v>
      </c>
      <c r="D1057" s="3">
        <v>258.0</v>
      </c>
      <c r="E1057" s="3">
        <v>2.97</v>
      </c>
      <c r="F1057" s="3">
        <v>14.11</v>
      </c>
      <c r="G1057" s="3">
        <v>55.76</v>
      </c>
    </row>
    <row r="1058">
      <c r="A1058" s="3">
        <v>168568.0</v>
      </c>
      <c r="B1058" s="3" t="s">
        <v>1081</v>
      </c>
      <c r="C1058" s="3" t="s">
        <v>101</v>
      </c>
      <c r="D1058" s="3">
        <v>35.0</v>
      </c>
      <c r="E1058" s="3">
        <v>0.13</v>
      </c>
      <c r="F1058" s="3">
        <v>0.64</v>
      </c>
      <c r="G1058" s="3">
        <v>8.24</v>
      </c>
    </row>
    <row r="1059">
      <c r="A1059" s="3">
        <v>168569.0</v>
      </c>
      <c r="B1059" s="3" t="s">
        <v>1082</v>
      </c>
      <c r="C1059" s="3" t="s">
        <v>101</v>
      </c>
      <c r="D1059" s="3">
        <v>28.0</v>
      </c>
      <c r="E1059" s="3">
        <v>0.62</v>
      </c>
      <c r="F1059" s="3">
        <v>2.52</v>
      </c>
      <c r="G1059" s="3">
        <v>4.62</v>
      </c>
    </row>
    <row r="1060">
      <c r="A1060" s="3">
        <v>168570.0</v>
      </c>
      <c r="B1060" s="3" t="s">
        <v>1083</v>
      </c>
      <c r="C1060" s="3" t="s">
        <v>101</v>
      </c>
      <c r="D1060" s="3">
        <v>324.0</v>
      </c>
      <c r="E1060" s="3">
        <v>5.81</v>
      </c>
      <c r="F1060" s="3">
        <v>10.58</v>
      </c>
      <c r="G1060" s="3">
        <v>69.86</v>
      </c>
    </row>
    <row r="1061">
      <c r="A1061" s="3">
        <v>168571.0</v>
      </c>
      <c r="B1061" s="3" t="s">
        <v>1084</v>
      </c>
      <c r="C1061" s="3" t="s">
        <v>101</v>
      </c>
      <c r="D1061" s="3">
        <v>16.0</v>
      </c>
      <c r="E1061" s="3">
        <v>0.09</v>
      </c>
      <c r="F1061" s="3">
        <v>1.32</v>
      </c>
      <c r="G1061" s="3">
        <v>3.33</v>
      </c>
    </row>
    <row r="1062">
      <c r="A1062" s="3">
        <v>168572.0</v>
      </c>
      <c r="B1062" s="3" t="s">
        <v>1085</v>
      </c>
      <c r="C1062" s="3" t="s">
        <v>101</v>
      </c>
      <c r="D1062" s="3">
        <v>12.0</v>
      </c>
      <c r="E1062" s="3">
        <v>0.17</v>
      </c>
      <c r="F1062" s="3">
        <v>1.1</v>
      </c>
      <c r="G1062" s="3">
        <v>2.23</v>
      </c>
    </row>
    <row r="1063">
      <c r="A1063" s="3">
        <v>168573.0</v>
      </c>
      <c r="B1063" s="3" t="s">
        <v>1086</v>
      </c>
      <c r="C1063" s="3" t="s">
        <v>101</v>
      </c>
      <c r="D1063" s="3">
        <v>99.0</v>
      </c>
      <c r="E1063" s="3">
        <v>0.49</v>
      </c>
      <c r="F1063" s="3">
        <v>1.82</v>
      </c>
      <c r="G1063" s="3">
        <v>25.31</v>
      </c>
    </row>
    <row r="1064">
      <c r="A1064" s="3">
        <v>168574.0</v>
      </c>
      <c r="B1064" s="3" t="s">
        <v>1087</v>
      </c>
      <c r="C1064" s="3" t="s">
        <v>228</v>
      </c>
      <c r="D1064" s="3">
        <v>88.0</v>
      </c>
      <c r="E1064" s="3">
        <v>0.73</v>
      </c>
      <c r="F1064" s="3">
        <v>7.92</v>
      </c>
      <c r="G1064" s="3">
        <v>17.63</v>
      </c>
    </row>
    <row r="1065">
      <c r="A1065" s="3">
        <v>168575.0</v>
      </c>
      <c r="B1065" s="3" t="s">
        <v>1088</v>
      </c>
      <c r="C1065" s="3" t="s">
        <v>101</v>
      </c>
      <c r="D1065" s="3">
        <v>93.0</v>
      </c>
      <c r="E1065" s="3">
        <v>2.12</v>
      </c>
      <c r="F1065" s="3">
        <v>5.6</v>
      </c>
      <c r="G1065" s="3">
        <v>17.31</v>
      </c>
    </row>
    <row r="1066">
      <c r="A1066" s="3">
        <v>168576.0</v>
      </c>
      <c r="B1066" s="3" t="s">
        <v>1089</v>
      </c>
      <c r="C1066" s="3" t="s">
        <v>101</v>
      </c>
      <c r="D1066" s="3">
        <v>29.0</v>
      </c>
      <c r="E1066" s="3">
        <v>0.37</v>
      </c>
      <c r="F1066" s="3">
        <v>0.91</v>
      </c>
      <c r="G1066" s="3">
        <v>6.5</v>
      </c>
    </row>
    <row r="1067">
      <c r="A1067" s="3">
        <v>168577.0</v>
      </c>
      <c r="B1067" s="3" t="s">
        <v>1090</v>
      </c>
      <c r="C1067" s="3" t="s">
        <v>101</v>
      </c>
      <c r="D1067" s="3">
        <v>21.0</v>
      </c>
      <c r="E1067" s="3">
        <v>0.27</v>
      </c>
      <c r="F1067" s="3">
        <v>0.72</v>
      </c>
      <c r="G1067" s="3">
        <v>4.6</v>
      </c>
    </row>
    <row r="1068">
      <c r="A1068" s="3">
        <v>168578.0</v>
      </c>
      <c r="B1068" s="3" t="s">
        <v>1091</v>
      </c>
      <c r="C1068" s="3" t="s">
        <v>101</v>
      </c>
      <c r="D1068" s="3">
        <v>29.0</v>
      </c>
      <c r="E1068" s="3">
        <v>0.41</v>
      </c>
      <c r="F1068" s="3">
        <v>0.8</v>
      </c>
      <c r="G1068" s="3">
        <v>6.7</v>
      </c>
    </row>
    <row r="1069">
      <c r="A1069" s="3">
        <v>168579.0</v>
      </c>
      <c r="B1069" s="3" t="s">
        <v>1092</v>
      </c>
      <c r="C1069" s="3" t="s">
        <v>101</v>
      </c>
      <c r="D1069" s="3">
        <v>345.0</v>
      </c>
      <c r="E1069" s="3">
        <v>15.85</v>
      </c>
      <c r="F1069" s="3">
        <v>12.35</v>
      </c>
      <c r="G1069" s="3">
        <v>51.13</v>
      </c>
    </row>
    <row r="1070">
      <c r="A1070" s="3">
        <v>168580.0</v>
      </c>
      <c r="B1070" s="3" t="s">
        <v>1093</v>
      </c>
      <c r="C1070" s="3" t="s">
        <v>101</v>
      </c>
      <c r="D1070" s="3">
        <v>33.0</v>
      </c>
      <c r="E1070" s="3">
        <v>0.41</v>
      </c>
      <c r="F1070" s="3">
        <v>3.31</v>
      </c>
      <c r="G1070" s="3">
        <v>6.09</v>
      </c>
    </row>
    <row r="1071">
      <c r="A1071" s="3">
        <v>168581.0</v>
      </c>
      <c r="B1071" s="3" t="s">
        <v>1094</v>
      </c>
      <c r="C1071" s="3" t="s">
        <v>101</v>
      </c>
      <c r="D1071" s="3">
        <v>284.0</v>
      </c>
      <c r="E1071" s="3">
        <v>0.73</v>
      </c>
      <c r="F1071" s="3">
        <v>9.25</v>
      </c>
      <c r="G1071" s="3">
        <v>73.01</v>
      </c>
    </row>
    <row r="1072">
      <c r="A1072" s="3">
        <v>168582.0</v>
      </c>
      <c r="B1072" s="3" t="s">
        <v>1095</v>
      </c>
      <c r="C1072" s="3" t="s">
        <v>101</v>
      </c>
      <c r="D1072" s="3">
        <v>32.0</v>
      </c>
      <c r="E1072" s="3">
        <v>0.68</v>
      </c>
      <c r="F1072" s="3">
        <v>3.83</v>
      </c>
      <c r="G1072" s="3">
        <v>4.64</v>
      </c>
    </row>
    <row r="1073">
      <c r="A1073" s="3">
        <v>168583.0</v>
      </c>
      <c r="B1073" s="3" t="s">
        <v>1096</v>
      </c>
      <c r="C1073" s="3" t="s">
        <v>101</v>
      </c>
      <c r="D1073" s="3">
        <v>109.0</v>
      </c>
      <c r="E1073" s="3">
        <v>0.63</v>
      </c>
      <c r="F1073" s="3">
        <v>4.8</v>
      </c>
      <c r="G1073" s="3">
        <v>23.54</v>
      </c>
    </row>
    <row r="1074">
      <c r="A1074" s="3">
        <v>168584.0</v>
      </c>
      <c r="B1074" s="3" t="s">
        <v>1097</v>
      </c>
      <c r="C1074" s="3" t="s">
        <v>101</v>
      </c>
      <c r="D1074" s="3">
        <v>34.0</v>
      </c>
      <c r="E1074" s="3">
        <v>0.35</v>
      </c>
      <c r="F1074" s="3">
        <v>4.31</v>
      </c>
      <c r="G1074" s="3">
        <v>5.74</v>
      </c>
    </row>
    <row r="1075">
      <c r="A1075" s="3">
        <v>168585.0</v>
      </c>
      <c r="B1075" s="3" t="s">
        <v>1098</v>
      </c>
      <c r="C1075" s="3" t="s">
        <v>1099</v>
      </c>
      <c r="D1075" s="3">
        <v>684.0</v>
      </c>
      <c r="E1075" s="3">
        <v>69.08</v>
      </c>
      <c r="F1075" s="3">
        <v>5.3</v>
      </c>
      <c r="G1075" s="3">
        <v>21.52</v>
      </c>
    </row>
    <row r="1076">
      <c r="A1076" s="3">
        <v>168586.0</v>
      </c>
      <c r="B1076" s="3" t="s">
        <v>1100</v>
      </c>
      <c r="C1076" s="3" t="s">
        <v>1099</v>
      </c>
      <c r="D1076" s="3">
        <v>501.0</v>
      </c>
      <c r="E1076" s="3">
        <v>35.49</v>
      </c>
      <c r="F1076" s="3">
        <v>2.88</v>
      </c>
      <c r="G1076" s="3">
        <v>47.67</v>
      </c>
    </row>
    <row r="1077">
      <c r="A1077" s="3">
        <v>168587.0</v>
      </c>
      <c r="B1077" s="3" t="s">
        <v>1101</v>
      </c>
      <c r="C1077" s="3" t="s">
        <v>1099</v>
      </c>
      <c r="D1077" s="3">
        <v>318.0</v>
      </c>
      <c r="E1077" s="3">
        <v>4.6</v>
      </c>
      <c r="F1077" s="3">
        <v>12.14</v>
      </c>
      <c r="G1077" s="3">
        <v>58.26</v>
      </c>
    </row>
    <row r="1078">
      <c r="A1078" s="3">
        <v>168588.0</v>
      </c>
      <c r="B1078" s="3" t="s">
        <v>1102</v>
      </c>
      <c r="C1078" s="3" t="s">
        <v>1099</v>
      </c>
      <c r="D1078" s="3">
        <v>614.0</v>
      </c>
      <c r="E1078" s="3">
        <v>55.5</v>
      </c>
      <c r="F1078" s="3">
        <v>20.96</v>
      </c>
      <c r="G1078" s="3">
        <v>18.82</v>
      </c>
    </row>
    <row r="1079">
      <c r="A1079" s="3">
        <v>168589.0</v>
      </c>
      <c r="B1079" s="3" t="s">
        <v>1103</v>
      </c>
      <c r="C1079" s="3" t="s">
        <v>1099</v>
      </c>
      <c r="D1079" s="3">
        <v>56.0</v>
      </c>
      <c r="E1079" s="3">
        <v>0.19</v>
      </c>
      <c r="F1079" s="3">
        <v>0.82</v>
      </c>
      <c r="G1079" s="3">
        <v>12.64</v>
      </c>
    </row>
    <row r="1080">
      <c r="A1080" s="3">
        <v>168590.0</v>
      </c>
      <c r="B1080" s="3" t="s">
        <v>1104</v>
      </c>
      <c r="C1080" s="3" t="s">
        <v>1099</v>
      </c>
      <c r="D1080" s="3">
        <v>201.0</v>
      </c>
      <c r="E1080" s="3">
        <v>0.8</v>
      </c>
      <c r="F1080" s="3">
        <v>2.97</v>
      </c>
      <c r="G1080" s="3">
        <v>45.13</v>
      </c>
    </row>
    <row r="1081">
      <c r="A1081" s="3">
        <v>168591.0</v>
      </c>
      <c r="B1081" s="3" t="s">
        <v>1105</v>
      </c>
      <c r="C1081" s="3" t="s">
        <v>1099</v>
      </c>
      <c r="D1081" s="3">
        <v>89.0</v>
      </c>
      <c r="E1081" s="3">
        <v>0.53</v>
      </c>
      <c r="F1081" s="3">
        <v>4.13</v>
      </c>
      <c r="G1081" s="3">
        <v>17.28</v>
      </c>
    </row>
    <row r="1082">
      <c r="A1082" s="3">
        <v>168592.0</v>
      </c>
      <c r="B1082" s="3" t="s">
        <v>1106</v>
      </c>
      <c r="C1082" s="3" t="s">
        <v>1099</v>
      </c>
      <c r="D1082" s="3">
        <v>594.0</v>
      </c>
      <c r="E1082" s="3">
        <v>49.9</v>
      </c>
      <c r="F1082" s="3">
        <v>18.17</v>
      </c>
      <c r="G1082" s="3">
        <v>27.9</v>
      </c>
    </row>
    <row r="1083">
      <c r="A1083" s="3">
        <v>168593.0</v>
      </c>
      <c r="B1083" s="3" t="s">
        <v>1107</v>
      </c>
      <c r="C1083" s="3" t="s">
        <v>1099</v>
      </c>
      <c r="D1083" s="3">
        <v>592.0</v>
      </c>
      <c r="E1083" s="3">
        <v>51.3</v>
      </c>
      <c r="F1083" s="3">
        <v>20.06</v>
      </c>
      <c r="G1083" s="3">
        <v>22.89</v>
      </c>
    </row>
    <row r="1084">
      <c r="A1084" s="3">
        <v>168594.0</v>
      </c>
      <c r="B1084" s="3" t="s">
        <v>1108</v>
      </c>
      <c r="C1084" s="3" t="s">
        <v>1099</v>
      </c>
      <c r="D1084" s="3">
        <v>619.0</v>
      </c>
      <c r="E1084" s="3">
        <v>56.8</v>
      </c>
      <c r="F1084" s="3">
        <v>17.21</v>
      </c>
      <c r="G1084" s="3">
        <v>20.59</v>
      </c>
    </row>
    <row r="1085">
      <c r="A1085" s="3">
        <v>168595.0</v>
      </c>
      <c r="B1085" s="3" t="s">
        <v>1109</v>
      </c>
      <c r="C1085" s="3" t="s">
        <v>1099</v>
      </c>
      <c r="D1085" s="3">
        <v>617.0</v>
      </c>
      <c r="E1085" s="3">
        <v>55.2</v>
      </c>
      <c r="F1085" s="3">
        <v>17.28</v>
      </c>
      <c r="G1085" s="3">
        <v>23.32</v>
      </c>
    </row>
    <row r="1086">
      <c r="A1086" s="3">
        <v>168596.0</v>
      </c>
      <c r="B1086" s="3" t="s">
        <v>1110</v>
      </c>
      <c r="C1086" s="3" t="s">
        <v>1099</v>
      </c>
      <c r="D1086" s="3">
        <v>598.0</v>
      </c>
      <c r="E1086" s="3">
        <v>52.54</v>
      </c>
      <c r="F1086" s="3">
        <v>20.96</v>
      </c>
      <c r="G1086" s="3">
        <v>21.01</v>
      </c>
    </row>
    <row r="1087">
      <c r="A1087" s="3">
        <v>168597.0</v>
      </c>
      <c r="B1087" s="3" t="s">
        <v>1111</v>
      </c>
      <c r="C1087" s="3" t="s">
        <v>1099</v>
      </c>
      <c r="D1087" s="3">
        <v>609.0</v>
      </c>
      <c r="E1087" s="3">
        <v>53.03</v>
      </c>
      <c r="F1087" s="3">
        <v>12.12</v>
      </c>
      <c r="G1087" s="3">
        <v>30.3</v>
      </c>
    </row>
    <row r="1088">
      <c r="A1088" s="3">
        <v>168598.0</v>
      </c>
      <c r="B1088" s="3" t="s">
        <v>1112</v>
      </c>
      <c r="C1088" s="3" t="s">
        <v>1099</v>
      </c>
      <c r="D1088" s="3">
        <v>716.0</v>
      </c>
      <c r="E1088" s="3">
        <v>76.08</v>
      </c>
      <c r="F1088" s="3">
        <v>7.79</v>
      </c>
      <c r="G1088" s="3">
        <v>12.83</v>
      </c>
    </row>
    <row r="1089">
      <c r="A1089" s="3">
        <v>168599.0</v>
      </c>
      <c r="B1089" s="3" t="s">
        <v>1113</v>
      </c>
      <c r="C1089" s="3" t="s">
        <v>1099</v>
      </c>
      <c r="D1089" s="3">
        <v>594.0</v>
      </c>
      <c r="E1089" s="3">
        <v>51.45</v>
      </c>
      <c r="F1089" s="3">
        <v>17.3</v>
      </c>
      <c r="G1089" s="3">
        <v>25.35</v>
      </c>
    </row>
    <row r="1090">
      <c r="A1090" s="3">
        <v>168600.0</v>
      </c>
      <c r="B1090" s="3" t="s">
        <v>1114</v>
      </c>
      <c r="C1090" s="3" t="s">
        <v>1099</v>
      </c>
      <c r="D1090" s="3">
        <v>607.0</v>
      </c>
      <c r="E1090" s="3">
        <v>53.95</v>
      </c>
      <c r="F1090" s="3">
        <v>20.04</v>
      </c>
      <c r="G1090" s="3">
        <v>21.05</v>
      </c>
    </row>
    <row r="1091">
      <c r="A1091" s="3">
        <v>168601.0</v>
      </c>
      <c r="B1091" s="3" t="s">
        <v>1115</v>
      </c>
      <c r="C1091" s="3" t="s">
        <v>1099</v>
      </c>
      <c r="D1091" s="3">
        <v>446.0</v>
      </c>
      <c r="E1091" s="3">
        <v>19.4</v>
      </c>
      <c r="F1091" s="3">
        <v>18.55</v>
      </c>
      <c r="G1091" s="3">
        <v>53.75</v>
      </c>
    </row>
    <row r="1092">
      <c r="A1092" s="3">
        <v>168602.0</v>
      </c>
      <c r="B1092" s="3" t="s">
        <v>1116</v>
      </c>
      <c r="C1092" s="3" t="s">
        <v>1099</v>
      </c>
      <c r="D1092" s="3">
        <v>607.0</v>
      </c>
      <c r="E1092" s="3">
        <v>55.17</v>
      </c>
      <c r="F1092" s="3">
        <v>21.23</v>
      </c>
      <c r="G1092" s="3">
        <v>17.68</v>
      </c>
    </row>
    <row r="1093">
      <c r="A1093" s="3">
        <v>168603.0</v>
      </c>
      <c r="B1093" s="3" t="s">
        <v>1117</v>
      </c>
      <c r="C1093" s="3" t="s">
        <v>1099</v>
      </c>
      <c r="D1093" s="3">
        <v>614.0</v>
      </c>
      <c r="E1093" s="3">
        <v>55.5</v>
      </c>
      <c r="F1093" s="3">
        <v>20.96</v>
      </c>
      <c r="G1093" s="3">
        <v>18.82</v>
      </c>
    </row>
    <row r="1094">
      <c r="A1094" s="3">
        <v>168604.0</v>
      </c>
      <c r="B1094" s="3" t="s">
        <v>1118</v>
      </c>
      <c r="C1094" s="3" t="s">
        <v>1099</v>
      </c>
      <c r="D1094" s="3">
        <v>592.0</v>
      </c>
      <c r="E1094" s="3">
        <v>53.01</v>
      </c>
      <c r="F1094" s="3">
        <v>17.4</v>
      </c>
      <c r="G1094" s="3">
        <v>21.5</v>
      </c>
    </row>
    <row r="1095">
      <c r="A1095" s="3">
        <v>168605.0</v>
      </c>
      <c r="B1095" s="3" t="s">
        <v>1119</v>
      </c>
      <c r="C1095" s="3" t="s">
        <v>189</v>
      </c>
      <c r="D1095" s="3">
        <v>674.0</v>
      </c>
      <c r="E1095" s="3">
        <v>70.89</v>
      </c>
      <c r="F1095" s="3">
        <v>8.21</v>
      </c>
      <c r="G1095" s="3">
        <v>0.0</v>
      </c>
    </row>
    <row r="1096">
      <c r="A1096" s="3">
        <v>168606.0</v>
      </c>
      <c r="B1096" s="3" t="s">
        <v>1120</v>
      </c>
      <c r="C1096" s="3" t="s">
        <v>189</v>
      </c>
      <c r="D1096" s="3">
        <v>680.0</v>
      </c>
      <c r="E1096" s="3">
        <v>70.33</v>
      </c>
      <c r="F1096" s="3">
        <v>10.65</v>
      </c>
      <c r="G1096" s="3">
        <v>0.0</v>
      </c>
    </row>
    <row r="1097">
      <c r="A1097" s="3">
        <v>168607.0</v>
      </c>
      <c r="B1097" s="3" t="s">
        <v>1121</v>
      </c>
      <c r="C1097" s="3" t="s">
        <v>189</v>
      </c>
      <c r="D1097" s="3">
        <v>157.0</v>
      </c>
      <c r="E1097" s="3">
        <v>7.37</v>
      </c>
      <c r="F1097" s="3">
        <v>20.72</v>
      </c>
      <c r="G1097" s="3">
        <v>0.6</v>
      </c>
    </row>
    <row r="1098">
      <c r="A1098" s="3">
        <v>168608.0</v>
      </c>
      <c r="B1098" s="3" t="s">
        <v>1122</v>
      </c>
      <c r="C1098" s="3" t="s">
        <v>189</v>
      </c>
      <c r="D1098" s="3">
        <v>198.0</v>
      </c>
      <c r="E1098" s="3">
        <v>12.73</v>
      </c>
      <c r="F1098" s="3">
        <v>19.42</v>
      </c>
      <c r="G1098" s="3">
        <v>0.0</v>
      </c>
    </row>
    <row r="1099">
      <c r="A1099" s="3">
        <v>168609.0</v>
      </c>
      <c r="B1099" s="3" t="s">
        <v>1123</v>
      </c>
      <c r="C1099" s="3" t="s">
        <v>189</v>
      </c>
      <c r="D1099" s="3">
        <v>149.0</v>
      </c>
      <c r="E1099" s="3">
        <v>6.29</v>
      </c>
      <c r="F1099" s="3">
        <v>21.72</v>
      </c>
      <c r="G1099" s="3">
        <v>0.0</v>
      </c>
    </row>
    <row r="1100">
      <c r="A1100" s="3">
        <v>168610.0</v>
      </c>
      <c r="B1100" s="3" t="s">
        <v>1124</v>
      </c>
      <c r="C1100" s="3" t="s">
        <v>189</v>
      </c>
      <c r="D1100" s="3">
        <v>237.0</v>
      </c>
      <c r="E1100" s="3">
        <v>13.0</v>
      </c>
      <c r="F1100" s="3">
        <v>28.02</v>
      </c>
      <c r="G1100" s="3">
        <v>0.0</v>
      </c>
    </row>
    <row r="1101">
      <c r="A1101" s="3">
        <v>168611.0</v>
      </c>
      <c r="B1101" s="3" t="s">
        <v>1125</v>
      </c>
      <c r="C1101" s="3" t="s">
        <v>189</v>
      </c>
      <c r="D1101" s="3">
        <v>194.0</v>
      </c>
      <c r="E1101" s="3">
        <v>8.32</v>
      </c>
      <c r="F1101" s="3">
        <v>27.82</v>
      </c>
      <c r="G1101" s="3">
        <v>0.0</v>
      </c>
    </row>
    <row r="1102">
      <c r="A1102" s="3">
        <v>168612.0</v>
      </c>
      <c r="B1102" s="3" t="s">
        <v>1126</v>
      </c>
      <c r="C1102" s="3" t="s">
        <v>189</v>
      </c>
      <c r="D1102" s="3">
        <v>274.0</v>
      </c>
      <c r="E1102" s="3">
        <v>22.07</v>
      </c>
      <c r="F1102" s="3">
        <v>17.51</v>
      </c>
      <c r="G1102" s="3">
        <v>0.0</v>
      </c>
    </row>
    <row r="1103">
      <c r="A1103" s="3">
        <v>168613.0</v>
      </c>
      <c r="B1103" s="3" t="s">
        <v>1127</v>
      </c>
      <c r="C1103" s="3" t="s">
        <v>189</v>
      </c>
      <c r="D1103" s="3">
        <v>471.0</v>
      </c>
      <c r="E1103" s="3">
        <v>41.98</v>
      </c>
      <c r="F1103" s="3">
        <v>21.57</v>
      </c>
      <c r="G1103" s="3">
        <v>0.0</v>
      </c>
    </row>
    <row r="1104">
      <c r="A1104" s="3">
        <v>168614.0</v>
      </c>
      <c r="B1104" s="3" t="s">
        <v>1128</v>
      </c>
      <c r="C1104" s="3" t="s">
        <v>189</v>
      </c>
      <c r="D1104" s="3">
        <v>175.0</v>
      </c>
      <c r="E1104" s="3">
        <v>10.19</v>
      </c>
      <c r="F1104" s="3">
        <v>19.05</v>
      </c>
      <c r="G1104" s="3">
        <v>0.4</v>
      </c>
    </row>
    <row r="1105">
      <c r="A1105" s="3">
        <v>168615.0</v>
      </c>
      <c r="B1105" s="3" t="s">
        <v>1129</v>
      </c>
      <c r="C1105" s="3" t="s">
        <v>189</v>
      </c>
      <c r="D1105" s="3">
        <v>295.0</v>
      </c>
      <c r="E1105" s="3">
        <v>18.13</v>
      </c>
      <c r="F1105" s="3">
        <v>30.76</v>
      </c>
      <c r="G1105" s="3">
        <v>0.0</v>
      </c>
    </row>
    <row r="1106">
      <c r="A1106" s="3">
        <v>168616.0</v>
      </c>
      <c r="B1106" s="3" t="s">
        <v>1130</v>
      </c>
      <c r="C1106" s="3" t="s">
        <v>189</v>
      </c>
      <c r="D1106" s="3">
        <v>191.0</v>
      </c>
      <c r="E1106" s="3">
        <v>7.31</v>
      </c>
      <c r="F1106" s="3">
        <v>29.21</v>
      </c>
      <c r="G1106" s="3">
        <v>0.0</v>
      </c>
    </row>
    <row r="1107">
      <c r="A1107" s="3">
        <v>168617.0</v>
      </c>
      <c r="B1107" s="3" t="s">
        <v>1131</v>
      </c>
      <c r="C1107" s="3" t="s">
        <v>189</v>
      </c>
      <c r="D1107" s="3">
        <v>172.0</v>
      </c>
      <c r="E1107" s="3">
        <v>5.22</v>
      </c>
      <c r="F1107" s="3">
        <v>29.25</v>
      </c>
      <c r="G1107" s="3">
        <v>0.0</v>
      </c>
    </row>
    <row r="1108">
      <c r="A1108" s="3">
        <v>168618.0</v>
      </c>
      <c r="B1108" s="3" t="s">
        <v>1132</v>
      </c>
      <c r="C1108" s="3" t="s">
        <v>189</v>
      </c>
      <c r="D1108" s="3">
        <v>221.0</v>
      </c>
      <c r="E1108" s="3">
        <v>11.36</v>
      </c>
      <c r="F1108" s="3">
        <v>27.65</v>
      </c>
      <c r="G1108" s="3">
        <v>0.0</v>
      </c>
    </row>
    <row r="1109">
      <c r="A1109" s="3">
        <v>168619.0</v>
      </c>
      <c r="B1109" s="3" t="s">
        <v>1133</v>
      </c>
      <c r="C1109" s="3" t="s">
        <v>189</v>
      </c>
      <c r="D1109" s="3">
        <v>160.0</v>
      </c>
      <c r="E1109" s="3">
        <v>7.27</v>
      </c>
      <c r="F1109" s="3">
        <v>22.1</v>
      </c>
      <c r="G1109" s="3">
        <v>0.0</v>
      </c>
    </row>
    <row r="1110">
      <c r="A1110" s="3">
        <v>168620.0</v>
      </c>
      <c r="B1110" s="3" t="s">
        <v>1134</v>
      </c>
      <c r="C1110" s="3" t="s">
        <v>189</v>
      </c>
      <c r="D1110" s="3">
        <v>217.0</v>
      </c>
      <c r="E1110" s="3">
        <v>11.05</v>
      </c>
      <c r="F1110" s="3">
        <v>27.48</v>
      </c>
      <c r="G1110" s="3">
        <v>0.0</v>
      </c>
    </row>
    <row r="1111">
      <c r="A1111" s="3">
        <v>168621.0</v>
      </c>
      <c r="B1111" s="3" t="s">
        <v>1135</v>
      </c>
      <c r="C1111" s="3" t="s">
        <v>189</v>
      </c>
      <c r="D1111" s="3">
        <v>149.0</v>
      </c>
      <c r="E1111" s="3">
        <v>6.57</v>
      </c>
      <c r="F1111" s="3">
        <v>21.17</v>
      </c>
      <c r="G1111" s="3">
        <v>0.0</v>
      </c>
    </row>
    <row r="1112">
      <c r="A1112" s="3">
        <v>168622.0</v>
      </c>
      <c r="B1112" s="3" t="s">
        <v>1136</v>
      </c>
      <c r="C1112" s="3" t="s">
        <v>189</v>
      </c>
      <c r="D1112" s="3">
        <v>143.0</v>
      </c>
      <c r="E1112" s="3">
        <v>10.3</v>
      </c>
      <c r="F1112" s="3">
        <v>10.86</v>
      </c>
      <c r="G1112" s="3">
        <v>1.05</v>
      </c>
    </row>
    <row r="1113">
      <c r="A1113" s="3">
        <v>168623.0</v>
      </c>
      <c r="B1113" s="3" t="s">
        <v>1137</v>
      </c>
      <c r="C1113" s="3" t="s">
        <v>189</v>
      </c>
      <c r="D1113" s="3">
        <v>196.0</v>
      </c>
      <c r="E1113" s="3">
        <v>15.83</v>
      </c>
      <c r="F1113" s="3">
        <v>12.57</v>
      </c>
      <c r="G1113" s="3">
        <v>0.0</v>
      </c>
    </row>
    <row r="1114">
      <c r="A1114" s="3">
        <v>168624.0</v>
      </c>
      <c r="B1114" s="3" t="s">
        <v>1138</v>
      </c>
      <c r="C1114" s="3" t="s">
        <v>189</v>
      </c>
      <c r="D1114" s="3">
        <v>151.0</v>
      </c>
      <c r="E1114" s="3">
        <v>10.53</v>
      </c>
      <c r="F1114" s="3">
        <v>11.67</v>
      </c>
      <c r="G1114" s="3">
        <v>1.48</v>
      </c>
    </row>
    <row r="1115">
      <c r="A1115" s="3">
        <v>168625.0</v>
      </c>
      <c r="B1115" s="3" t="s">
        <v>1139</v>
      </c>
      <c r="C1115" s="3" t="s">
        <v>189</v>
      </c>
      <c r="D1115" s="3">
        <v>112.0</v>
      </c>
      <c r="E1115" s="3">
        <v>3.94</v>
      </c>
      <c r="F1115" s="3">
        <v>17.72</v>
      </c>
      <c r="G1115" s="3">
        <v>0.14</v>
      </c>
    </row>
    <row r="1116">
      <c r="A1116" s="3">
        <v>168626.0</v>
      </c>
      <c r="B1116" s="3" t="s">
        <v>1140</v>
      </c>
      <c r="C1116" s="3" t="s">
        <v>189</v>
      </c>
      <c r="D1116" s="3">
        <v>191.0</v>
      </c>
      <c r="E1116" s="3">
        <v>5.26</v>
      </c>
      <c r="F1116" s="3">
        <v>29.08</v>
      </c>
      <c r="G1116" s="3">
        <v>5.13</v>
      </c>
    </row>
    <row r="1117">
      <c r="A1117" s="3">
        <v>168627.0</v>
      </c>
      <c r="B1117" s="3" t="s">
        <v>1141</v>
      </c>
      <c r="C1117" s="3" t="s">
        <v>189</v>
      </c>
      <c r="D1117" s="3">
        <v>175.0</v>
      </c>
      <c r="E1117" s="3">
        <v>4.68</v>
      </c>
      <c r="F1117" s="3">
        <v>26.52</v>
      </c>
      <c r="G1117" s="3">
        <v>5.16</v>
      </c>
    </row>
    <row r="1118">
      <c r="A1118" s="3">
        <v>168628.0</v>
      </c>
      <c r="B1118" s="3" t="s">
        <v>1142</v>
      </c>
      <c r="C1118" s="3" t="s">
        <v>189</v>
      </c>
      <c r="D1118" s="3">
        <v>92.0</v>
      </c>
      <c r="E1118" s="3">
        <v>2.5</v>
      </c>
      <c r="F1118" s="3">
        <v>16.2</v>
      </c>
      <c r="G1118" s="3">
        <v>0.0</v>
      </c>
    </row>
    <row r="1119">
      <c r="A1119" s="3">
        <v>168629.0</v>
      </c>
      <c r="B1119" s="3" t="s">
        <v>1143</v>
      </c>
      <c r="C1119" s="3" t="s">
        <v>189</v>
      </c>
      <c r="D1119" s="3">
        <v>120.0</v>
      </c>
      <c r="E1119" s="3">
        <v>3.7</v>
      </c>
      <c r="F1119" s="3">
        <v>20.4</v>
      </c>
      <c r="G1119" s="3">
        <v>0.0</v>
      </c>
    </row>
    <row r="1120">
      <c r="A1120" s="3">
        <v>168630.0</v>
      </c>
      <c r="B1120" s="3" t="s">
        <v>1144</v>
      </c>
      <c r="C1120" s="3" t="s">
        <v>189</v>
      </c>
      <c r="D1120" s="3">
        <v>276.0</v>
      </c>
      <c r="E1120" s="3">
        <v>23.52</v>
      </c>
      <c r="F1120" s="3">
        <v>14.97</v>
      </c>
      <c r="G1120" s="3">
        <v>0.0</v>
      </c>
    </row>
    <row r="1121">
      <c r="A1121" s="3">
        <v>168631.0</v>
      </c>
      <c r="B1121" s="3" t="s">
        <v>1145</v>
      </c>
      <c r="C1121" s="3" t="s">
        <v>189</v>
      </c>
      <c r="D1121" s="3">
        <v>207.0</v>
      </c>
      <c r="E1121" s="3">
        <v>9.12</v>
      </c>
      <c r="F1121" s="3">
        <v>29.16</v>
      </c>
      <c r="G1121" s="3">
        <v>0.0</v>
      </c>
    </row>
    <row r="1122">
      <c r="A1122" s="3">
        <v>168632.0</v>
      </c>
      <c r="B1122" s="3" t="s">
        <v>1146</v>
      </c>
      <c r="C1122" s="3" t="s">
        <v>189</v>
      </c>
      <c r="D1122" s="3">
        <v>202.0</v>
      </c>
      <c r="E1122" s="3">
        <v>8.41</v>
      </c>
      <c r="F1122" s="3">
        <v>29.53</v>
      </c>
      <c r="G1122" s="3">
        <v>0.0</v>
      </c>
    </row>
    <row r="1123">
      <c r="A1123" s="3">
        <v>168633.0</v>
      </c>
      <c r="B1123" s="3" t="s">
        <v>1147</v>
      </c>
      <c r="C1123" s="3" t="s">
        <v>189</v>
      </c>
      <c r="D1123" s="3">
        <v>206.0</v>
      </c>
      <c r="E1123" s="3">
        <v>8.8</v>
      </c>
      <c r="F1123" s="3">
        <v>29.65</v>
      </c>
      <c r="G1123" s="3">
        <v>0.0</v>
      </c>
    </row>
    <row r="1124">
      <c r="A1124" s="3">
        <v>168634.0</v>
      </c>
      <c r="B1124" s="3" t="s">
        <v>1148</v>
      </c>
      <c r="C1124" s="3" t="s">
        <v>189</v>
      </c>
      <c r="D1124" s="3">
        <v>183.0</v>
      </c>
      <c r="E1124" s="3">
        <v>5.79</v>
      </c>
      <c r="F1124" s="3">
        <v>30.55</v>
      </c>
      <c r="G1124" s="3">
        <v>0.0</v>
      </c>
    </row>
    <row r="1125">
      <c r="A1125" s="3">
        <v>168635.0</v>
      </c>
      <c r="B1125" s="3" t="s">
        <v>1149</v>
      </c>
      <c r="C1125" s="3" t="s">
        <v>189</v>
      </c>
      <c r="D1125" s="3">
        <v>188.0</v>
      </c>
      <c r="E1125" s="3">
        <v>6.55</v>
      </c>
      <c r="F1125" s="3">
        <v>30.29</v>
      </c>
      <c r="G1125" s="3">
        <v>0.0</v>
      </c>
    </row>
    <row r="1126">
      <c r="A1126" s="3">
        <v>168636.0</v>
      </c>
      <c r="B1126" s="3" t="s">
        <v>1150</v>
      </c>
      <c r="C1126" s="3" t="s">
        <v>189</v>
      </c>
      <c r="D1126" s="3">
        <v>177.0</v>
      </c>
      <c r="E1126" s="3">
        <v>5.03</v>
      </c>
      <c r="F1126" s="3">
        <v>30.8</v>
      </c>
      <c r="G1126" s="3">
        <v>0.0</v>
      </c>
    </row>
    <row r="1127">
      <c r="A1127" s="3">
        <v>168637.0</v>
      </c>
      <c r="B1127" s="3" t="s">
        <v>1151</v>
      </c>
      <c r="C1127" s="3" t="s">
        <v>189</v>
      </c>
      <c r="D1127" s="3">
        <v>213.0</v>
      </c>
      <c r="E1127" s="3">
        <v>10.32</v>
      </c>
      <c r="F1127" s="3">
        <v>28.16</v>
      </c>
      <c r="G1127" s="3">
        <v>0.0</v>
      </c>
    </row>
    <row r="1128">
      <c r="A1128" s="3">
        <v>168638.0</v>
      </c>
      <c r="B1128" s="3" t="s">
        <v>1152</v>
      </c>
      <c r="C1128" s="3" t="s">
        <v>189</v>
      </c>
      <c r="D1128" s="3">
        <v>212.0</v>
      </c>
      <c r="E1128" s="3">
        <v>11.18</v>
      </c>
      <c r="F1128" s="3">
        <v>26.07</v>
      </c>
      <c r="G1128" s="3">
        <v>0.0</v>
      </c>
    </row>
    <row r="1129">
      <c r="A1129" s="3">
        <v>168639.0</v>
      </c>
      <c r="B1129" s="3" t="s">
        <v>1153</v>
      </c>
      <c r="C1129" s="3" t="s">
        <v>189</v>
      </c>
      <c r="D1129" s="3">
        <v>224.0</v>
      </c>
      <c r="E1129" s="3">
        <v>12.8</v>
      </c>
      <c r="F1129" s="3">
        <v>25.51</v>
      </c>
      <c r="G1129" s="3">
        <v>0.0</v>
      </c>
    </row>
    <row r="1130">
      <c r="A1130" s="3">
        <v>168640.0</v>
      </c>
      <c r="B1130" s="3" t="s">
        <v>1154</v>
      </c>
      <c r="C1130" s="3" t="s">
        <v>189</v>
      </c>
      <c r="D1130" s="3">
        <v>145.0</v>
      </c>
      <c r="E1130" s="3">
        <v>5.41</v>
      </c>
      <c r="F1130" s="3">
        <v>22.61</v>
      </c>
      <c r="G1130" s="3">
        <v>0.0</v>
      </c>
    </row>
    <row r="1131">
      <c r="A1131" s="3">
        <v>168641.0</v>
      </c>
      <c r="B1131" s="3" t="s">
        <v>1155</v>
      </c>
      <c r="C1131" s="3" t="s">
        <v>189</v>
      </c>
      <c r="D1131" s="3">
        <v>203.0</v>
      </c>
      <c r="E1131" s="3">
        <v>8.76</v>
      </c>
      <c r="F1131" s="3">
        <v>28.92</v>
      </c>
      <c r="G1131" s="3">
        <v>0.0</v>
      </c>
    </row>
    <row r="1132">
      <c r="A1132" s="3">
        <v>168642.0</v>
      </c>
      <c r="B1132" s="3" t="s">
        <v>1156</v>
      </c>
      <c r="C1132" s="3" t="s">
        <v>189</v>
      </c>
      <c r="D1132" s="3">
        <v>153.0</v>
      </c>
      <c r="E1132" s="3">
        <v>6.5</v>
      </c>
      <c r="F1132" s="3">
        <v>22.22</v>
      </c>
      <c r="G1132" s="3">
        <v>0.0</v>
      </c>
    </row>
    <row r="1133">
      <c r="A1133" s="3">
        <v>168643.0</v>
      </c>
      <c r="B1133" s="3" t="s">
        <v>1157</v>
      </c>
      <c r="C1133" s="3" t="s">
        <v>189</v>
      </c>
      <c r="D1133" s="3">
        <v>212.0</v>
      </c>
      <c r="E1133" s="3">
        <v>10.37</v>
      </c>
      <c r="F1133" s="3">
        <v>27.86</v>
      </c>
      <c r="G1133" s="3">
        <v>0.0</v>
      </c>
    </row>
    <row r="1134">
      <c r="A1134" s="3">
        <v>168644.0</v>
      </c>
      <c r="B1134" s="3" t="s">
        <v>1158</v>
      </c>
      <c r="C1134" s="3" t="s">
        <v>189</v>
      </c>
      <c r="D1134" s="3">
        <v>198.0</v>
      </c>
      <c r="E1134" s="3">
        <v>9.61</v>
      </c>
      <c r="F1134" s="3">
        <v>25.98</v>
      </c>
      <c r="G1134" s="3">
        <v>0.0</v>
      </c>
    </row>
    <row r="1135">
      <c r="A1135" s="3">
        <v>168645.0</v>
      </c>
      <c r="B1135" s="3" t="s">
        <v>1159</v>
      </c>
      <c r="C1135" s="3" t="s">
        <v>189</v>
      </c>
      <c r="D1135" s="3">
        <v>144.0</v>
      </c>
      <c r="E1135" s="3">
        <v>5.34</v>
      </c>
      <c r="F1135" s="3">
        <v>22.41</v>
      </c>
      <c r="G1135" s="3">
        <v>0.0</v>
      </c>
    </row>
    <row r="1136">
      <c r="A1136" s="3">
        <v>168646.0</v>
      </c>
      <c r="B1136" s="3" t="s">
        <v>1160</v>
      </c>
      <c r="C1136" s="3" t="s">
        <v>189</v>
      </c>
      <c r="D1136" s="3">
        <v>156.0</v>
      </c>
      <c r="E1136" s="3">
        <v>7.73</v>
      </c>
      <c r="F1136" s="3">
        <v>20.16</v>
      </c>
      <c r="G1136" s="3">
        <v>0.0</v>
      </c>
    </row>
    <row r="1137">
      <c r="A1137" s="3">
        <v>168647.0</v>
      </c>
      <c r="B1137" s="3" t="s">
        <v>1161</v>
      </c>
      <c r="C1137" s="3" t="s">
        <v>189</v>
      </c>
      <c r="D1137" s="3">
        <v>145.0</v>
      </c>
      <c r="E1137" s="3">
        <v>6.28</v>
      </c>
      <c r="F1137" s="3">
        <v>20.8</v>
      </c>
      <c r="G1137" s="3">
        <v>0.0</v>
      </c>
    </row>
    <row r="1138">
      <c r="A1138" s="3">
        <v>168648.0</v>
      </c>
      <c r="B1138" s="3" t="s">
        <v>1162</v>
      </c>
      <c r="C1138" s="3" t="s">
        <v>189</v>
      </c>
      <c r="D1138" s="3">
        <v>182.0</v>
      </c>
      <c r="E1138" s="3">
        <v>6.05</v>
      </c>
      <c r="F1138" s="3">
        <v>29.93</v>
      </c>
      <c r="G1138" s="3">
        <v>0.0</v>
      </c>
    </row>
    <row r="1139">
      <c r="A1139" s="3">
        <v>168649.0</v>
      </c>
      <c r="B1139" s="3" t="s">
        <v>1163</v>
      </c>
      <c r="C1139" s="3" t="s">
        <v>189</v>
      </c>
      <c r="D1139" s="3">
        <v>162.0</v>
      </c>
      <c r="E1139" s="3">
        <v>3.77</v>
      </c>
      <c r="F1139" s="3">
        <v>30.09</v>
      </c>
      <c r="G1139" s="3">
        <v>0.0</v>
      </c>
    </row>
    <row r="1140">
      <c r="A1140" s="3">
        <v>168650.0</v>
      </c>
      <c r="B1140" s="3" t="s">
        <v>1164</v>
      </c>
      <c r="C1140" s="3" t="s">
        <v>189</v>
      </c>
      <c r="D1140" s="3">
        <v>238.0</v>
      </c>
      <c r="E1140" s="3">
        <v>15.54</v>
      </c>
      <c r="F1140" s="3">
        <v>22.86</v>
      </c>
      <c r="G1140" s="3">
        <v>0.0</v>
      </c>
    </row>
    <row r="1141">
      <c r="A1141" s="3">
        <v>168651.0</v>
      </c>
      <c r="B1141" s="3" t="s">
        <v>1165</v>
      </c>
      <c r="C1141" s="3" t="s">
        <v>189</v>
      </c>
      <c r="D1141" s="3">
        <v>277.0</v>
      </c>
      <c r="E1141" s="3">
        <v>18.66</v>
      </c>
      <c r="F1141" s="3">
        <v>25.38</v>
      </c>
      <c r="G1141" s="3">
        <v>0.0</v>
      </c>
    </row>
    <row r="1142">
      <c r="A1142" s="3">
        <v>168652.0</v>
      </c>
      <c r="B1142" s="3" t="s">
        <v>1166</v>
      </c>
      <c r="C1142" s="3" t="s">
        <v>189</v>
      </c>
      <c r="D1142" s="3">
        <v>332.0</v>
      </c>
      <c r="E1142" s="3">
        <v>30.0</v>
      </c>
      <c r="F1142" s="3">
        <v>14.35</v>
      </c>
      <c r="G1142" s="3">
        <v>0.0</v>
      </c>
    </row>
    <row r="1143">
      <c r="A1143" s="3">
        <v>168653.0</v>
      </c>
      <c r="B1143" s="3" t="s">
        <v>1167</v>
      </c>
      <c r="C1143" s="3" t="s">
        <v>189</v>
      </c>
      <c r="D1143" s="3">
        <v>157.0</v>
      </c>
      <c r="E1143" s="3">
        <v>8.54</v>
      </c>
      <c r="F1143" s="3">
        <v>19.71</v>
      </c>
      <c r="G1143" s="3">
        <v>0.21</v>
      </c>
    </row>
    <row r="1144">
      <c r="A1144" s="3">
        <v>168654.0</v>
      </c>
      <c r="B1144" s="3" t="s">
        <v>1168</v>
      </c>
      <c r="C1144" s="3" t="s">
        <v>189</v>
      </c>
      <c r="D1144" s="3">
        <v>196.0</v>
      </c>
      <c r="E1144" s="3">
        <v>9.23</v>
      </c>
      <c r="F1144" s="3">
        <v>28.15</v>
      </c>
      <c r="G1144" s="3">
        <v>0.0</v>
      </c>
    </row>
    <row r="1145">
      <c r="A1145" s="3">
        <v>168655.0</v>
      </c>
      <c r="B1145" s="3" t="s">
        <v>1169</v>
      </c>
      <c r="C1145" s="3" t="s">
        <v>189</v>
      </c>
      <c r="D1145" s="3">
        <v>133.0</v>
      </c>
      <c r="E1145" s="3">
        <v>5.73</v>
      </c>
      <c r="F1145" s="3">
        <v>20.39</v>
      </c>
      <c r="G1145" s="3">
        <v>0.0</v>
      </c>
    </row>
    <row r="1146">
      <c r="A1146" s="3">
        <v>168656.0</v>
      </c>
      <c r="B1146" s="3" t="s">
        <v>1170</v>
      </c>
      <c r="C1146" s="3" t="s">
        <v>189</v>
      </c>
      <c r="D1146" s="3">
        <v>132.0</v>
      </c>
      <c r="E1146" s="3">
        <v>5.11</v>
      </c>
      <c r="F1146" s="3">
        <v>21.47</v>
      </c>
      <c r="G1146" s="3">
        <v>0.0</v>
      </c>
    </row>
    <row r="1147">
      <c r="A1147" s="3">
        <v>168657.0</v>
      </c>
      <c r="B1147" s="3" t="s">
        <v>1171</v>
      </c>
      <c r="C1147" s="3" t="s">
        <v>189</v>
      </c>
      <c r="D1147" s="3">
        <v>137.0</v>
      </c>
      <c r="E1147" s="3">
        <v>5.75</v>
      </c>
      <c r="F1147" s="3">
        <v>21.28</v>
      </c>
      <c r="G1147" s="3">
        <v>0.0</v>
      </c>
    </row>
    <row r="1148">
      <c r="A1148" s="3">
        <v>168658.0</v>
      </c>
      <c r="B1148" s="3" t="s">
        <v>1172</v>
      </c>
      <c r="C1148" s="3" t="s">
        <v>189</v>
      </c>
      <c r="D1148" s="3">
        <v>124.0</v>
      </c>
      <c r="E1148" s="3">
        <v>4.14</v>
      </c>
      <c r="F1148" s="3">
        <v>21.74</v>
      </c>
      <c r="G1148" s="3">
        <v>0.0</v>
      </c>
    </row>
    <row r="1149">
      <c r="A1149" s="3">
        <v>168659.0</v>
      </c>
      <c r="B1149" s="3" t="s">
        <v>1173</v>
      </c>
      <c r="C1149" s="3" t="s">
        <v>189</v>
      </c>
      <c r="D1149" s="3">
        <v>220.0</v>
      </c>
      <c r="E1149" s="3">
        <v>12.26</v>
      </c>
      <c r="F1149" s="3">
        <v>27.51</v>
      </c>
      <c r="G1149" s="3">
        <v>0.0</v>
      </c>
    </row>
    <row r="1150">
      <c r="A1150" s="3">
        <v>168660.0</v>
      </c>
      <c r="B1150" s="3" t="s">
        <v>1174</v>
      </c>
      <c r="C1150" s="3" t="s">
        <v>189</v>
      </c>
      <c r="D1150" s="3">
        <v>180.0</v>
      </c>
      <c r="E1150" s="3">
        <v>11.48</v>
      </c>
      <c r="F1150" s="3">
        <v>19.18</v>
      </c>
      <c r="G1150" s="3">
        <v>0.0</v>
      </c>
    </row>
    <row r="1151">
      <c r="A1151" s="3">
        <v>168661.0</v>
      </c>
      <c r="B1151" s="3" t="s">
        <v>1175</v>
      </c>
      <c r="C1151" s="3" t="s">
        <v>189</v>
      </c>
      <c r="D1151" s="3">
        <v>185.0</v>
      </c>
      <c r="E1151" s="3">
        <v>12.02</v>
      </c>
      <c r="F1151" s="3">
        <v>19.14</v>
      </c>
      <c r="G1151" s="3">
        <v>0.0</v>
      </c>
    </row>
    <row r="1152">
      <c r="A1152" s="3">
        <v>168662.0</v>
      </c>
      <c r="B1152" s="3" t="s">
        <v>1176</v>
      </c>
      <c r="C1152" s="3" t="s">
        <v>189</v>
      </c>
      <c r="D1152" s="3">
        <v>173.0</v>
      </c>
      <c r="E1152" s="3">
        <v>10.67</v>
      </c>
      <c r="F1152" s="3">
        <v>19.25</v>
      </c>
      <c r="G1152" s="3">
        <v>0.0</v>
      </c>
    </row>
    <row r="1153">
      <c r="A1153" s="3">
        <v>168663.0</v>
      </c>
      <c r="B1153" s="3" t="s">
        <v>1177</v>
      </c>
      <c r="C1153" s="3" t="s">
        <v>189</v>
      </c>
      <c r="D1153" s="3">
        <v>245.0</v>
      </c>
      <c r="E1153" s="3">
        <v>15.09</v>
      </c>
      <c r="F1153" s="3">
        <v>26.06</v>
      </c>
      <c r="G1153" s="3">
        <v>0.0</v>
      </c>
    </row>
    <row r="1154">
      <c r="A1154" s="3">
        <v>168664.0</v>
      </c>
      <c r="B1154" s="3" t="s">
        <v>1178</v>
      </c>
      <c r="C1154" s="3" t="s">
        <v>189</v>
      </c>
      <c r="D1154" s="3">
        <v>253.0</v>
      </c>
      <c r="E1154" s="3">
        <v>19.06</v>
      </c>
      <c r="F1154" s="3">
        <v>18.42</v>
      </c>
      <c r="G1154" s="3">
        <v>0.56</v>
      </c>
    </row>
    <row r="1155">
      <c r="A1155" s="3">
        <v>168665.0</v>
      </c>
      <c r="B1155" s="3" t="s">
        <v>1179</v>
      </c>
      <c r="C1155" s="3" t="s">
        <v>189</v>
      </c>
      <c r="D1155" s="3">
        <v>331.0</v>
      </c>
      <c r="E1155" s="3">
        <v>24.5</v>
      </c>
      <c r="F1155" s="3">
        <v>25.85</v>
      </c>
      <c r="G1155" s="3">
        <v>0.0</v>
      </c>
    </row>
    <row r="1156">
      <c r="A1156" s="3">
        <v>168666.0</v>
      </c>
      <c r="B1156" s="3" t="s">
        <v>1180</v>
      </c>
      <c r="C1156" s="3" t="s">
        <v>189</v>
      </c>
      <c r="D1156" s="3">
        <v>277.0</v>
      </c>
      <c r="E1156" s="3">
        <v>22.18</v>
      </c>
      <c r="F1156" s="3">
        <v>17.94</v>
      </c>
      <c r="G1156" s="3">
        <v>0.0</v>
      </c>
    </row>
    <row r="1157">
      <c r="A1157" s="3">
        <v>168667.0</v>
      </c>
      <c r="B1157" s="3" t="s">
        <v>1181</v>
      </c>
      <c r="C1157" s="3" t="s">
        <v>189</v>
      </c>
      <c r="D1157" s="3">
        <v>302.0</v>
      </c>
      <c r="E1157" s="3">
        <v>19.22</v>
      </c>
      <c r="F1157" s="3">
        <v>30.12</v>
      </c>
      <c r="G1157" s="3">
        <v>0.0</v>
      </c>
    </row>
    <row r="1158">
      <c r="A1158" s="3">
        <v>168668.0</v>
      </c>
      <c r="B1158" s="3" t="s">
        <v>1182</v>
      </c>
      <c r="C1158" s="3" t="s">
        <v>189</v>
      </c>
      <c r="D1158" s="3">
        <v>249.0</v>
      </c>
      <c r="E1158" s="3">
        <v>18.57</v>
      </c>
      <c r="F1158" s="3">
        <v>19.14</v>
      </c>
      <c r="G1158" s="3">
        <v>0.0</v>
      </c>
    </row>
    <row r="1159">
      <c r="A1159" s="3">
        <v>168669.0</v>
      </c>
      <c r="B1159" s="3" t="s">
        <v>1183</v>
      </c>
      <c r="C1159" s="3" t="s">
        <v>189</v>
      </c>
      <c r="D1159" s="3">
        <v>309.0</v>
      </c>
      <c r="E1159" s="3">
        <v>19.93</v>
      </c>
      <c r="F1159" s="3">
        <v>30.2</v>
      </c>
      <c r="G1159" s="3">
        <v>0.0</v>
      </c>
    </row>
    <row r="1160">
      <c r="A1160" s="3">
        <v>168670.0</v>
      </c>
      <c r="B1160" s="3" t="s">
        <v>1184</v>
      </c>
      <c r="C1160" s="3" t="s">
        <v>189</v>
      </c>
      <c r="D1160" s="3">
        <v>239.0</v>
      </c>
      <c r="E1160" s="3">
        <v>17.39</v>
      </c>
      <c r="F1160" s="3">
        <v>19.33</v>
      </c>
      <c r="G1160" s="3">
        <v>0.0</v>
      </c>
    </row>
    <row r="1161">
      <c r="A1161" s="3">
        <v>168671.0</v>
      </c>
      <c r="B1161" s="3" t="s">
        <v>1185</v>
      </c>
      <c r="C1161" s="3" t="s">
        <v>189</v>
      </c>
      <c r="D1161" s="3">
        <v>359.0</v>
      </c>
      <c r="E1161" s="3">
        <v>27.26</v>
      </c>
      <c r="F1161" s="3">
        <v>26.37</v>
      </c>
      <c r="G1161" s="3">
        <v>0.0</v>
      </c>
    </row>
    <row r="1162">
      <c r="A1162" s="3">
        <v>168672.0</v>
      </c>
      <c r="B1162" s="3" t="s">
        <v>1186</v>
      </c>
      <c r="C1162" s="3" t="s">
        <v>189</v>
      </c>
      <c r="D1162" s="3">
        <v>230.0</v>
      </c>
      <c r="E1162" s="3">
        <v>17.33</v>
      </c>
      <c r="F1162" s="3">
        <v>17.37</v>
      </c>
      <c r="G1162" s="3">
        <v>0.0</v>
      </c>
    </row>
    <row r="1163">
      <c r="A1163" s="3">
        <v>168673.0</v>
      </c>
      <c r="B1163" s="3" t="s">
        <v>1187</v>
      </c>
      <c r="C1163" s="3" t="s">
        <v>189</v>
      </c>
      <c r="D1163" s="3">
        <v>318.0</v>
      </c>
      <c r="E1163" s="3">
        <v>22.35</v>
      </c>
      <c r="F1163" s="3">
        <v>27.33</v>
      </c>
      <c r="G1163" s="3">
        <v>0.0</v>
      </c>
    </row>
    <row r="1164">
      <c r="A1164" s="3">
        <v>168674.0</v>
      </c>
      <c r="B1164" s="3" t="s">
        <v>1188</v>
      </c>
      <c r="C1164" s="3" t="s">
        <v>189</v>
      </c>
      <c r="D1164" s="3">
        <v>183.0</v>
      </c>
      <c r="E1164" s="3">
        <v>8.46</v>
      </c>
      <c r="F1164" s="3">
        <v>26.65</v>
      </c>
      <c r="G1164" s="3">
        <v>0.0</v>
      </c>
    </row>
    <row r="1165">
      <c r="A1165" s="3">
        <v>168675.0</v>
      </c>
      <c r="B1165" s="3" t="s">
        <v>1189</v>
      </c>
      <c r="C1165" s="3" t="s">
        <v>189</v>
      </c>
      <c r="D1165" s="3">
        <v>322.0</v>
      </c>
      <c r="E1165" s="3">
        <v>27.93</v>
      </c>
      <c r="F1165" s="3">
        <v>16.34</v>
      </c>
      <c r="G1165" s="3">
        <v>0.0</v>
      </c>
    </row>
    <row r="1166">
      <c r="A1166" s="3">
        <v>168676.0</v>
      </c>
      <c r="B1166" s="3" t="s">
        <v>1190</v>
      </c>
      <c r="C1166" s="3" t="s">
        <v>189</v>
      </c>
      <c r="D1166" s="3">
        <v>352.0</v>
      </c>
      <c r="E1166" s="3">
        <v>28.5</v>
      </c>
      <c r="F1166" s="3">
        <v>22.26</v>
      </c>
      <c r="G1166" s="3">
        <v>0.0</v>
      </c>
    </row>
    <row r="1167">
      <c r="A1167" s="3">
        <v>168677.0</v>
      </c>
      <c r="B1167" s="3" t="s">
        <v>1191</v>
      </c>
      <c r="C1167" s="3" t="s">
        <v>189</v>
      </c>
      <c r="D1167" s="3">
        <v>365.0</v>
      </c>
      <c r="E1167" s="3">
        <v>29.79</v>
      </c>
      <c r="F1167" s="3">
        <v>22.6</v>
      </c>
      <c r="G1167" s="3">
        <v>0.0</v>
      </c>
    </row>
    <row r="1168">
      <c r="A1168" s="3">
        <v>168678.0</v>
      </c>
      <c r="B1168" s="3" t="s">
        <v>1192</v>
      </c>
      <c r="C1168" s="3" t="s">
        <v>189</v>
      </c>
      <c r="D1168" s="3">
        <v>288.0</v>
      </c>
      <c r="E1168" s="3">
        <v>23.95</v>
      </c>
      <c r="F1168" s="3">
        <v>16.75</v>
      </c>
      <c r="G1168" s="3">
        <v>0.0</v>
      </c>
    </row>
    <row r="1169">
      <c r="A1169" s="3">
        <v>168679.0</v>
      </c>
      <c r="B1169" s="3" t="s">
        <v>1193</v>
      </c>
      <c r="C1169" s="3" t="s">
        <v>189</v>
      </c>
      <c r="D1169" s="3">
        <v>400.0</v>
      </c>
      <c r="E1169" s="3">
        <v>33.7</v>
      </c>
      <c r="F1169" s="3">
        <v>22.57</v>
      </c>
      <c r="G1169" s="3">
        <v>0.0</v>
      </c>
    </row>
    <row r="1170">
      <c r="A1170" s="3">
        <v>168680.0</v>
      </c>
      <c r="B1170" s="3" t="s">
        <v>1194</v>
      </c>
      <c r="C1170" s="3" t="s">
        <v>189</v>
      </c>
      <c r="D1170" s="3">
        <v>316.0</v>
      </c>
      <c r="E1170" s="3">
        <v>27.29</v>
      </c>
      <c r="F1170" s="3">
        <v>16.26</v>
      </c>
      <c r="G1170" s="3">
        <v>0.0</v>
      </c>
    </row>
    <row r="1171">
      <c r="A1171" s="3">
        <v>168681.0</v>
      </c>
      <c r="B1171" s="3" t="s">
        <v>1195</v>
      </c>
      <c r="C1171" s="3" t="s">
        <v>189</v>
      </c>
      <c r="D1171" s="3">
        <v>338.0</v>
      </c>
      <c r="E1171" s="3">
        <v>27.22</v>
      </c>
      <c r="F1171" s="3">
        <v>21.55</v>
      </c>
      <c r="G1171" s="3">
        <v>0.0</v>
      </c>
    </row>
    <row r="1172">
      <c r="A1172" s="3">
        <v>168682.0</v>
      </c>
      <c r="B1172" s="3" t="s">
        <v>1196</v>
      </c>
      <c r="C1172" s="3" t="s">
        <v>189</v>
      </c>
      <c r="D1172" s="3">
        <v>355.0</v>
      </c>
      <c r="E1172" s="3">
        <v>28.51</v>
      </c>
      <c r="F1172" s="3">
        <v>23.01</v>
      </c>
      <c r="G1172" s="3">
        <v>0.0</v>
      </c>
    </row>
    <row r="1173">
      <c r="A1173" s="3">
        <v>168683.0</v>
      </c>
      <c r="B1173" s="3" t="s">
        <v>1197</v>
      </c>
      <c r="C1173" s="3" t="s">
        <v>189</v>
      </c>
      <c r="D1173" s="3">
        <v>324.0</v>
      </c>
      <c r="E1173" s="3">
        <v>25.71</v>
      </c>
      <c r="F1173" s="3">
        <v>21.55</v>
      </c>
      <c r="G1173" s="3">
        <v>0.0</v>
      </c>
    </row>
    <row r="1174">
      <c r="A1174" s="3">
        <v>168684.0</v>
      </c>
      <c r="B1174" s="3" t="s">
        <v>1198</v>
      </c>
      <c r="C1174" s="3" t="s">
        <v>189</v>
      </c>
      <c r="D1174" s="3">
        <v>333.0</v>
      </c>
      <c r="E1174" s="3">
        <v>25.84</v>
      </c>
      <c r="F1174" s="3">
        <v>23.4</v>
      </c>
      <c r="G1174" s="3">
        <v>0.0</v>
      </c>
    </row>
    <row r="1175">
      <c r="A1175" s="3">
        <v>168685.0</v>
      </c>
      <c r="B1175" s="3" t="s">
        <v>1199</v>
      </c>
      <c r="C1175" s="3" t="s">
        <v>189</v>
      </c>
      <c r="D1175" s="3">
        <v>367.0</v>
      </c>
      <c r="E1175" s="3">
        <v>33.26</v>
      </c>
      <c r="F1175" s="3">
        <v>15.77</v>
      </c>
      <c r="G1175" s="3">
        <v>0.0</v>
      </c>
    </row>
    <row r="1176">
      <c r="A1176" s="3">
        <v>168686.0</v>
      </c>
      <c r="B1176" s="3" t="s">
        <v>1200</v>
      </c>
      <c r="C1176" s="3" t="s">
        <v>189</v>
      </c>
      <c r="D1176" s="3">
        <v>404.0</v>
      </c>
      <c r="E1176" s="3">
        <v>34.97</v>
      </c>
      <c r="F1176" s="3">
        <v>20.65</v>
      </c>
      <c r="G1176" s="3">
        <v>0.0</v>
      </c>
    </row>
    <row r="1177">
      <c r="A1177" s="3">
        <v>168687.0</v>
      </c>
      <c r="B1177" s="3" t="s">
        <v>1201</v>
      </c>
      <c r="C1177" s="3" t="s">
        <v>189</v>
      </c>
      <c r="D1177" s="3">
        <v>393.0</v>
      </c>
      <c r="E1177" s="3">
        <v>32.74</v>
      </c>
      <c r="F1177" s="3">
        <v>22.86</v>
      </c>
      <c r="G1177" s="3">
        <v>0.0</v>
      </c>
    </row>
    <row r="1178">
      <c r="A1178" s="3">
        <v>168688.0</v>
      </c>
      <c r="B1178" s="3" t="s">
        <v>1202</v>
      </c>
      <c r="C1178" s="3" t="s">
        <v>189</v>
      </c>
      <c r="D1178" s="3">
        <v>304.0</v>
      </c>
      <c r="E1178" s="3">
        <v>22.09</v>
      </c>
      <c r="F1178" s="3">
        <v>24.53</v>
      </c>
      <c r="G1178" s="3">
        <v>0.0</v>
      </c>
    </row>
    <row r="1179">
      <c r="A1179" s="3">
        <v>168689.0</v>
      </c>
      <c r="B1179" s="3" t="s">
        <v>1203</v>
      </c>
      <c r="C1179" s="3" t="s">
        <v>189</v>
      </c>
      <c r="D1179" s="3">
        <v>359.0</v>
      </c>
      <c r="E1179" s="3">
        <v>29.21</v>
      </c>
      <c r="F1179" s="3">
        <v>22.28</v>
      </c>
      <c r="G1179" s="3">
        <v>0.0</v>
      </c>
    </row>
    <row r="1180">
      <c r="A1180" s="3">
        <v>168690.0</v>
      </c>
      <c r="B1180" s="3" t="s">
        <v>1204</v>
      </c>
      <c r="C1180" s="3" t="s">
        <v>189</v>
      </c>
      <c r="D1180" s="3">
        <v>246.0</v>
      </c>
      <c r="E1180" s="3">
        <v>18.0</v>
      </c>
      <c r="F1180" s="3">
        <v>19.56</v>
      </c>
      <c r="G1180" s="3">
        <v>0.0</v>
      </c>
    </row>
    <row r="1181">
      <c r="A1181" s="3">
        <v>168691.0</v>
      </c>
      <c r="B1181" s="3" t="s">
        <v>1205</v>
      </c>
      <c r="C1181" s="3" t="s">
        <v>189</v>
      </c>
      <c r="D1181" s="3">
        <v>278.0</v>
      </c>
      <c r="E1181" s="3">
        <v>18.0</v>
      </c>
      <c r="F1181" s="3">
        <v>27.17</v>
      </c>
      <c r="G1181" s="3">
        <v>0.0</v>
      </c>
    </row>
    <row r="1182">
      <c r="A1182" s="3">
        <v>168692.0</v>
      </c>
      <c r="B1182" s="3" t="s">
        <v>1206</v>
      </c>
      <c r="C1182" s="3" t="s">
        <v>189</v>
      </c>
      <c r="D1182" s="3">
        <v>194.0</v>
      </c>
      <c r="E1182" s="3">
        <v>9.29</v>
      </c>
      <c r="F1182" s="3">
        <v>27.7</v>
      </c>
      <c r="G1182" s="3">
        <v>0.0</v>
      </c>
    </row>
    <row r="1183">
      <c r="A1183" s="3">
        <v>168693.0</v>
      </c>
      <c r="B1183" s="3" t="s">
        <v>1207</v>
      </c>
      <c r="C1183" s="3" t="s">
        <v>189</v>
      </c>
      <c r="D1183" s="3">
        <v>146.0</v>
      </c>
      <c r="E1183" s="3">
        <v>7.25</v>
      </c>
      <c r="F1183" s="3">
        <v>20.16</v>
      </c>
      <c r="G1183" s="3">
        <v>0.0</v>
      </c>
    </row>
    <row r="1184">
      <c r="A1184" s="3">
        <v>168694.0</v>
      </c>
      <c r="B1184" s="3" t="s">
        <v>1208</v>
      </c>
      <c r="C1184" s="3" t="s">
        <v>189</v>
      </c>
      <c r="D1184" s="3">
        <v>195.0</v>
      </c>
      <c r="E1184" s="3">
        <v>11.92</v>
      </c>
      <c r="F1184" s="3">
        <v>20.56</v>
      </c>
      <c r="G1184" s="3">
        <v>0.0</v>
      </c>
    </row>
    <row r="1185">
      <c r="A1185" s="3">
        <v>168695.0</v>
      </c>
      <c r="B1185" s="3" t="s">
        <v>1209</v>
      </c>
      <c r="C1185" s="3" t="s">
        <v>189</v>
      </c>
      <c r="D1185" s="3">
        <v>235.0</v>
      </c>
      <c r="E1185" s="3">
        <v>12.98</v>
      </c>
      <c r="F1185" s="3">
        <v>27.54</v>
      </c>
      <c r="G1185" s="3">
        <v>0.0</v>
      </c>
    </row>
    <row r="1186">
      <c r="A1186" s="3">
        <v>168696.0</v>
      </c>
      <c r="B1186" s="3" t="s">
        <v>1210</v>
      </c>
      <c r="C1186" s="3" t="s">
        <v>189</v>
      </c>
      <c r="D1186" s="3">
        <v>218.0</v>
      </c>
      <c r="E1186" s="3">
        <v>11.64</v>
      </c>
      <c r="F1186" s="3">
        <v>26.41</v>
      </c>
      <c r="G1186" s="3">
        <v>0.0</v>
      </c>
    </row>
    <row r="1187">
      <c r="A1187" s="3">
        <v>168697.0</v>
      </c>
      <c r="B1187" s="3" t="s">
        <v>1211</v>
      </c>
      <c r="C1187" s="3" t="s">
        <v>189</v>
      </c>
      <c r="D1187" s="3">
        <v>198.0</v>
      </c>
      <c r="E1187" s="3">
        <v>12.15</v>
      </c>
      <c r="F1187" s="3">
        <v>20.71</v>
      </c>
      <c r="G1187" s="3">
        <v>0.0</v>
      </c>
    </row>
    <row r="1188">
      <c r="A1188" s="3">
        <v>168698.0</v>
      </c>
      <c r="B1188" s="3" t="s">
        <v>1212</v>
      </c>
      <c r="C1188" s="3" t="s">
        <v>189</v>
      </c>
      <c r="D1188" s="3">
        <v>254.0</v>
      </c>
      <c r="E1188" s="3">
        <v>12.56</v>
      </c>
      <c r="F1188" s="3">
        <v>32.85</v>
      </c>
      <c r="G1188" s="3">
        <v>0.0</v>
      </c>
    </row>
    <row r="1189">
      <c r="A1189" s="3">
        <v>168699.0</v>
      </c>
      <c r="B1189" s="3" t="s">
        <v>1213</v>
      </c>
      <c r="C1189" s="3" t="s">
        <v>189</v>
      </c>
      <c r="D1189" s="3">
        <v>223.0</v>
      </c>
      <c r="E1189" s="3">
        <v>12.44</v>
      </c>
      <c r="F1189" s="3">
        <v>26.05</v>
      </c>
      <c r="G1189" s="3">
        <v>0.0</v>
      </c>
    </row>
    <row r="1190">
      <c r="A1190" s="3">
        <v>168700.0</v>
      </c>
      <c r="B1190" s="3" t="s">
        <v>1214</v>
      </c>
      <c r="C1190" s="3" t="s">
        <v>189</v>
      </c>
      <c r="D1190" s="3">
        <v>187.0</v>
      </c>
      <c r="E1190" s="3">
        <v>10.93</v>
      </c>
      <c r="F1190" s="3">
        <v>20.68</v>
      </c>
      <c r="G1190" s="3">
        <v>0.0</v>
      </c>
    </row>
    <row r="1191">
      <c r="A1191" s="3">
        <v>168701.0</v>
      </c>
      <c r="B1191" s="3" t="s">
        <v>1215</v>
      </c>
      <c r="C1191" s="3" t="s">
        <v>189</v>
      </c>
      <c r="D1191" s="3">
        <v>173.0</v>
      </c>
      <c r="E1191" s="3">
        <v>8.91</v>
      </c>
      <c r="F1191" s="3">
        <v>21.68</v>
      </c>
      <c r="G1191" s="3">
        <v>0.0</v>
      </c>
    </row>
    <row r="1192">
      <c r="A1192" s="3">
        <v>168702.0</v>
      </c>
      <c r="B1192" s="3" t="s">
        <v>1216</v>
      </c>
      <c r="C1192" s="3" t="s">
        <v>189</v>
      </c>
      <c r="D1192" s="3">
        <v>212.0</v>
      </c>
      <c r="E1192" s="3">
        <v>10.05</v>
      </c>
      <c r="F1192" s="3">
        <v>28.48</v>
      </c>
      <c r="G1192" s="3">
        <v>0.0</v>
      </c>
    </row>
    <row r="1193">
      <c r="A1193" s="3">
        <v>168703.0</v>
      </c>
      <c r="B1193" s="3" t="s">
        <v>1217</v>
      </c>
      <c r="C1193" s="3" t="s">
        <v>189</v>
      </c>
      <c r="D1193" s="3">
        <v>160.0</v>
      </c>
      <c r="E1193" s="3">
        <v>7.57</v>
      </c>
      <c r="F1193" s="3">
        <v>21.3</v>
      </c>
      <c r="G1193" s="3">
        <v>0.08</v>
      </c>
    </row>
    <row r="1194">
      <c r="A1194" s="3">
        <v>168704.0</v>
      </c>
      <c r="B1194" s="3" t="s">
        <v>1218</v>
      </c>
      <c r="C1194" s="3" t="s">
        <v>189</v>
      </c>
      <c r="D1194" s="3">
        <v>204.0</v>
      </c>
      <c r="E1194" s="3">
        <v>9.26</v>
      </c>
      <c r="F1194" s="3">
        <v>28.13</v>
      </c>
      <c r="G1194" s="3">
        <v>0.0</v>
      </c>
    </row>
    <row r="1195">
      <c r="A1195" s="3">
        <v>168705.0</v>
      </c>
      <c r="B1195" s="3" t="s">
        <v>1219</v>
      </c>
      <c r="C1195" s="3" t="s">
        <v>189</v>
      </c>
      <c r="D1195" s="3">
        <v>178.0</v>
      </c>
      <c r="E1195" s="3">
        <v>10.39</v>
      </c>
      <c r="F1195" s="3">
        <v>19.74</v>
      </c>
      <c r="G1195" s="3">
        <v>0.0</v>
      </c>
    </row>
    <row r="1196">
      <c r="A1196" s="3">
        <v>168706.0</v>
      </c>
      <c r="B1196" s="3" t="s">
        <v>1220</v>
      </c>
      <c r="C1196" s="3" t="s">
        <v>189</v>
      </c>
      <c r="D1196" s="3">
        <v>210.0</v>
      </c>
      <c r="E1196" s="3">
        <v>10.24</v>
      </c>
      <c r="F1196" s="3">
        <v>27.63</v>
      </c>
      <c r="G1196" s="3">
        <v>0.0</v>
      </c>
    </row>
    <row r="1197">
      <c r="A1197" s="3">
        <v>168707.0</v>
      </c>
      <c r="B1197" s="3" t="s">
        <v>1221</v>
      </c>
      <c r="C1197" s="3" t="s">
        <v>189</v>
      </c>
      <c r="D1197" s="3">
        <v>152.0</v>
      </c>
      <c r="E1197" s="3">
        <v>7.94</v>
      </c>
      <c r="F1197" s="3">
        <v>20.07</v>
      </c>
      <c r="G1197" s="3">
        <v>0.0</v>
      </c>
    </row>
    <row r="1198">
      <c r="A1198" s="3">
        <v>168708.0</v>
      </c>
      <c r="B1198" s="3" t="s">
        <v>1222</v>
      </c>
      <c r="C1198" s="3" t="s">
        <v>189</v>
      </c>
      <c r="D1198" s="3">
        <v>228.0</v>
      </c>
      <c r="E1198" s="3">
        <v>8.33</v>
      </c>
      <c r="F1198" s="3">
        <v>33.93</v>
      </c>
      <c r="G1198" s="3">
        <v>2.03</v>
      </c>
    </row>
    <row r="1199">
      <c r="A1199" s="3">
        <v>168709.0</v>
      </c>
      <c r="B1199" s="3" t="s">
        <v>1223</v>
      </c>
      <c r="C1199" s="3" t="s">
        <v>189</v>
      </c>
      <c r="D1199" s="3">
        <v>250.0</v>
      </c>
      <c r="E1199" s="3">
        <v>11.61</v>
      </c>
      <c r="F1199" s="3">
        <v>34.09</v>
      </c>
      <c r="G1199" s="3">
        <v>0.0</v>
      </c>
    </row>
    <row r="1200">
      <c r="A1200" s="3">
        <v>168710.0</v>
      </c>
      <c r="B1200" s="3" t="s">
        <v>1224</v>
      </c>
      <c r="C1200" s="3" t="s">
        <v>189</v>
      </c>
      <c r="D1200" s="3">
        <v>224.0</v>
      </c>
      <c r="E1200" s="3">
        <v>10.27</v>
      </c>
      <c r="F1200" s="3">
        <v>30.7</v>
      </c>
      <c r="G1200" s="3">
        <v>0.0</v>
      </c>
    </row>
    <row r="1201">
      <c r="A1201" s="3">
        <v>168711.0</v>
      </c>
      <c r="B1201" s="3" t="s">
        <v>1225</v>
      </c>
      <c r="C1201" s="3" t="s">
        <v>189</v>
      </c>
      <c r="D1201" s="3">
        <v>266.0</v>
      </c>
      <c r="E1201" s="3">
        <v>13.83</v>
      </c>
      <c r="F1201" s="3">
        <v>32.99</v>
      </c>
      <c r="G1201" s="3">
        <v>0.0</v>
      </c>
    </row>
    <row r="1202">
      <c r="A1202" s="3">
        <v>168712.0</v>
      </c>
      <c r="B1202" s="3" t="s">
        <v>1226</v>
      </c>
      <c r="C1202" s="3" t="s">
        <v>189</v>
      </c>
      <c r="D1202" s="3">
        <v>164.0</v>
      </c>
      <c r="E1202" s="3">
        <v>7.68</v>
      </c>
      <c r="F1202" s="3">
        <v>22.18</v>
      </c>
      <c r="G1202" s="3">
        <v>0.0</v>
      </c>
    </row>
    <row r="1203">
      <c r="A1203" s="3">
        <v>168713.0</v>
      </c>
      <c r="B1203" s="3" t="s">
        <v>1227</v>
      </c>
      <c r="C1203" s="3" t="s">
        <v>189</v>
      </c>
      <c r="D1203" s="3">
        <v>225.0</v>
      </c>
      <c r="E1203" s="3">
        <v>8.54</v>
      </c>
      <c r="F1203" s="3">
        <v>34.6</v>
      </c>
      <c r="G1203" s="3">
        <v>0.0</v>
      </c>
    </row>
    <row r="1204">
      <c r="A1204" s="3">
        <v>168714.0</v>
      </c>
      <c r="B1204" s="3" t="s">
        <v>1228</v>
      </c>
      <c r="C1204" s="3" t="s">
        <v>189</v>
      </c>
      <c r="D1204" s="3">
        <v>165.0</v>
      </c>
      <c r="E1204" s="3">
        <v>9.29</v>
      </c>
      <c r="F1204" s="3">
        <v>20.32</v>
      </c>
      <c r="G1204" s="3">
        <v>0.0</v>
      </c>
    </row>
    <row r="1205">
      <c r="A1205" s="3">
        <v>168715.0</v>
      </c>
      <c r="B1205" s="3" t="s">
        <v>1229</v>
      </c>
      <c r="C1205" s="3" t="s">
        <v>189</v>
      </c>
      <c r="D1205" s="3">
        <v>218.0</v>
      </c>
      <c r="E1205" s="3">
        <v>14.58</v>
      </c>
      <c r="F1205" s="3">
        <v>20.36</v>
      </c>
      <c r="G1205" s="3">
        <v>0.0</v>
      </c>
    </row>
    <row r="1206">
      <c r="A1206" s="3">
        <v>168716.0</v>
      </c>
      <c r="B1206" s="3" t="s">
        <v>1230</v>
      </c>
      <c r="C1206" s="3" t="s">
        <v>189</v>
      </c>
      <c r="D1206" s="3">
        <v>284.0</v>
      </c>
      <c r="E1206" s="3">
        <v>19.78</v>
      </c>
      <c r="F1206" s="3">
        <v>24.85</v>
      </c>
      <c r="G1206" s="3">
        <v>0.0</v>
      </c>
    </row>
    <row r="1207">
      <c r="A1207" s="3">
        <v>168717.0</v>
      </c>
      <c r="B1207" s="3" t="s">
        <v>1231</v>
      </c>
      <c r="C1207" s="3" t="s">
        <v>189</v>
      </c>
      <c r="D1207" s="3">
        <v>228.0</v>
      </c>
      <c r="E1207" s="3">
        <v>15.83</v>
      </c>
      <c r="F1207" s="3">
        <v>20.0</v>
      </c>
      <c r="G1207" s="3">
        <v>0.0</v>
      </c>
    </row>
    <row r="1208">
      <c r="A1208" s="3">
        <v>168718.0</v>
      </c>
      <c r="B1208" s="3" t="s">
        <v>1232</v>
      </c>
      <c r="C1208" s="3" t="s">
        <v>189</v>
      </c>
      <c r="D1208" s="3">
        <v>278.0</v>
      </c>
      <c r="E1208" s="3">
        <v>18.45</v>
      </c>
      <c r="F1208" s="3">
        <v>26.16</v>
      </c>
      <c r="G1208" s="3">
        <v>0.0</v>
      </c>
    </row>
    <row r="1209">
      <c r="A1209" s="3">
        <v>168719.0</v>
      </c>
      <c r="B1209" s="3" t="s">
        <v>1233</v>
      </c>
      <c r="C1209" s="3" t="s">
        <v>189</v>
      </c>
      <c r="D1209" s="3">
        <v>224.0</v>
      </c>
      <c r="E1209" s="3">
        <v>15.04</v>
      </c>
      <c r="F1209" s="3">
        <v>20.59</v>
      </c>
      <c r="G1209" s="3">
        <v>0.0</v>
      </c>
    </row>
    <row r="1210">
      <c r="A1210" s="3">
        <v>168720.0</v>
      </c>
      <c r="B1210" s="3" t="s">
        <v>1234</v>
      </c>
      <c r="C1210" s="3" t="s">
        <v>189</v>
      </c>
      <c r="D1210" s="3">
        <v>250.0</v>
      </c>
      <c r="E1210" s="3">
        <v>15.11</v>
      </c>
      <c r="F1210" s="3">
        <v>26.72</v>
      </c>
      <c r="G1210" s="3">
        <v>0.0</v>
      </c>
    </row>
    <row r="1211">
      <c r="A1211" s="3">
        <v>168721.0</v>
      </c>
      <c r="B1211" s="3" t="s">
        <v>1235</v>
      </c>
      <c r="C1211" s="3" t="s">
        <v>189</v>
      </c>
      <c r="D1211" s="3">
        <v>281.0</v>
      </c>
      <c r="E1211" s="3">
        <v>22.17</v>
      </c>
      <c r="F1211" s="3">
        <v>19.0</v>
      </c>
      <c r="G1211" s="3">
        <v>0.0</v>
      </c>
    </row>
    <row r="1212">
      <c r="A1212" s="3">
        <v>168722.0</v>
      </c>
      <c r="B1212" s="3" t="s">
        <v>1236</v>
      </c>
      <c r="C1212" s="3" t="s">
        <v>189</v>
      </c>
      <c r="D1212" s="3">
        <v>273.0</v>
      </c>
      <c r="E1212" s="3">
        <v>17.78</v>
      </c>
      <c r="F1212" s="3">
        <v>26.43</v>
      </c>
      <c r="G1212" s="3">
        <v>0.0</v>
      </c>
    </row>
    <row r="1213">
      <c r="A1213" s="3">
        <v>168723.0</v>
      </c>
      <c r="B1213" s="3" t="s">
        <v>1237</v>
      </c>
      <c r="C1213" s="3" t="s">
        <v>189</v>
      </c>
      <c r="D1213" s="3">
        <v>331.0</v>
      </c>
      <c r="E1213" s="3">
        <v>25.39</v>
      </c>
      <c r="F1213" s="3">
        <v>23.9</v>
      </c>
      <c r="G1213" s="3">
        <v>0.0</v>
      </c>
    </row>
    <row r="1214">
      <c r="A1214" s="3">
        <v>168724.0</v>
      </c>
      <c r="B1214" s="3" t="s">
        <v>1238</v>
      </c>
      <c r="C1214" s="3" t="s">
        <v>189</v>
      </c>
      <c r="D1214" s="3">
        <v>249.0</v>
      </c>
      <c r="E1214" s="3">
        <v>18.46</v>
      </c>
      <c r="F1214" s="3">
        <v>19.37</v>
      </c>
      <c r="G1214" s="3">
        <v>0.0</v>
      </c>
    </row>
    <row r="1215">
      <c r="A1215" s="3">
        <v>168725.0</v>
      </c>
      <c r="B1215" s="3" t="s">
        <v>1239</v>
      </c>
      <c r="C1215" s="3" t="s">
        <v>189</v>
      </c>
      <c r="D1215" s="3">
        <v>262.0</v>
      </c>
      <c r="E1215" s="3">
        <v>16.53</v>
      </c>
      <c r="F1215" s="3">
        <v>26.48</v>
      </c>
      <c r="G1215" s="3">
        <v>0.0</v>
      </c>
    </row>
    <row r="1216">
      <c r="A1216" s="3">
        <v>168726.0</v>
      </c>
      <c r="B1216" s="3" t="s">
        <v>1240</v>
      </c>
      <c r="C1216" s="3" t="s">
        <v>189</v>
      </c>
      <c r="D1216" s="3">
        <v>201.0</v>
      </c>
      <c r="E1216" s="3">
        <v>12.71</v>
      </c>
      <c r="F1216" s="3">
        <v>20.3</v>
      </c>
      <c r="G1216" s="3">
        <v>0.0</v>
      </c>
    </row>
    <row r="1217">
      <c r="A1217" s="3">
        <v>168727.0</v>
      </c>
      <c r="B1217" s="3" t="s">
        <v>1241</v>
      </c>
      <c r="C1217" s="3" t="s">
        <v>189</v>
      </c>
      <c r="D1217" s="3">
        <v>243.0</v>
      </c>
      <c r="E1217" s="3">
        <v>14.23</v>
      </c>
      <c r="F1217" s="3">
        <v>26.96</v>
      </c>
      <c r="G1217" s="3">
        <v>0.0</v>
      </c>
    </row>
    <row r="1218">
      <c r="A1218" s="3">
        <v>168728.0</v>
      </c>
      <c r="B1218" s="3" t="s">
        <v>1242</v>
      </c>
      <c r="C1218" s="3" t="s">
        <v>189</v>
      </c>
      <c r="D1218" s="3">
        <v>214.0</v>
      </c>
      <c r="E1218" s="3">
        <v>14.28</v>
      </c>
      <c r="F1218" s="3">
        <v>19.92</v>
      </c>
      <c r="G1218" s="3">
        <v>0.0</v>
      </c>
    </row>
    <row r="1219">
      <c r="A1219" s="3">
        <v>168729.0</v>
      </c>
      <c r="B1219" s="3" t="s">
        <v>1243</v>
      </c>
      <c r="C1219" s="3" t="s">
        <v>189</v>
      </c>
      <c r="D1219" s="3">
        <v>257.0</v>
      </c>
      <c r="E1219" s="3">
        <v>15.75</v>
      </c>
      <c r="F1219" s="3">
        <v>26.8</v>
      </c>
      <c r="G1219" s="3">
        <v>0.0</v>
      </c>
    </row>
    <row r="1220">
      <c r="A1220" s="3">
        <v>168730.0</v>
      </c>
      <c r="B1220" s="3" t="s">
        <v>1244</v>
      </c>
      <c r="C1220" s="3" t="s">
        <v>189</v>
      </c>
      <c r="D1220" s="3">
        <v>172.0</v>
      </c>
      <c r="E1220" s="3">
        <v>5.82</v>
      </c>
      <c r="F1220" s="3">
        <v>28.09</v>
      </c>
      <c r="G1220" s="3">
        <v>0.0</v>
      </c>
    </row>
    <row r="1221">
      <c r="A1221" s="3">
        <v>168731.0</v>
      </c>
      <c r="B1221" s="3" t="s">
        <v>1245</v>
      </c>
      <c r="C1221" s="3" t="s">
        <v>189</v>
      </c>
      <c r="D1221" s="3">
        <v>178.0</v>
      </c>
      <c r="E1221" s="3">
        <v>6.25</v>
      </c>
      <c r="F1221" s="3">
        <v>28.54</v>
      </c>
      <c r="G1221" s="3">
        <v>0.0</v>
      </c>
    </row>
    <row r="1222">
      <c r="A1222" s="3">
        <v>168732.0</v>
      </c>
      <c r="B1222" s="3" t="s">
        <v>1246</v>
      </c>
      <c r="C1222" s="3" t="s">
        <v>189</v>
      </c>
      <c r="D1222" s="3">
        <v>169.0</v>
      </c>
      <c r="E1222" s="3">
        <v>5.17</v>
      </c>
      <c r="F1222" s="3">
        <v>28.71</v>
      </c>
      <c r="G1222" s="3">
        <v>0.0</v>
      </c>
    </row>
    <row r="1223">
      <c r="A1223" s="3">
        <v>168733.0</v>
      </c>
      <c r="B1223" s="3" t="s">
        <v>1247</v>
      </c>
      <c r="C1223" s="3" t="s">
        <v>189</v>
      </c>
      <c r="D1223" s="3">
        <v>192.0</v>
      </c>
      <c r="E1223" s="3">
        <v>8.23</v>
      </c>
      <c r="F1223" s="3">
        <v>27.66</v>
      </c>
      <c r="G1223" s="3">
        <v>0.0</v>
      </c>
    </row>
    <row r="1224">
      <c r="A1224" s="3">
        <v>168734.0</v>
      </c>
      <c r="B1224" s="3" t="s">
        <v>1248</v>
      </c>
      <c r="C1224" s="3" t="s">
        <v>189</v>
      </c>
      <c r="D1224" s="3">
        <v>165.0</v>
      </c>
      <c r="E1224" s="3">
        <v>8.55</v>
      </c>
      <c r="F1224" s="3">
        <v>20.64</v>
      </c>
      <c r="G1224" s="3">
        <v>0.0</v>
      </c>
    </row>
    <row r="1225">
      <c r="A1225" s="3">
        <v>168735.0</v>
      </c>
      <c r="B1225" s="3" t="s">
        <v>1249</v>
      </c>
      <c r="C1225" s="3" t="s">
        <v>189</v>
      </c>
      <c r="D1225" s="3">
        <v>221.0</v>
      </c>
      <c r="E1225" s="3">
        <v>12.36</v>
      </c>
      <c r="F1225" s="3">
        <v>25.66</v>
      </c>
      <c r="G1225" s="3">
        <v>0.0</v>
      </c>
    </row>
    <row r="1226">
      <c r="A1226" s="3">
        <v>168736.0</v>
      </c>
      <c r="B1226" s="3" t="s">
        <v>1250</v>
      </c>
      <c r="C1226" s="3" t="s">
        <v>189</v>
      </c>
      <c r="D1226" s="3">
        <v>174.0</v>
      </c>
      <c r="E1226" s="3">
        <v>9.51</v>
      </c>
      <c r="F1226" s="3">
        <v>20.64</v>
      </c>
      <c r="G1226" s="3">
        <v>0.0</v>
      </c>
    </row>
    <row r="1227">
      <c r="A1227" s="3">
        <v>168737.0</v>
      </c>
      <c r="B1227" s="3" t="s">
        <v>1251</v>
      </c>
      <c r="C1227" s="3" t="s">
        <v>189</v>
      </c>
      <c r="D1227" s="3">
        <v>201.0</v>
      </c>
      <c r="E1227" s="3">
        <v>9.78</v>
      </c>
      <c r="F1227" s="3">
        <v>26.44</v>
      </c>
      <c r="G1227" s="3">
        <v>0.0</v>
      </c>
    </row>
    <row r="1228">
      <c r="A1228" s="3">
        <v>168738.0</v>
      </c>
      <c r="B1228" s="3" t="s">
        <v>1252</v>
      </c>
      <c r="C1228" s="3" t="s">
        <v>189</v>
      </c>
      <c r="D1228" s="3">
        <v>217.0</v>
      </c>
      <c r="E1228" s="3">
        <v>11.65</v>
      </c>
      <c r="F1228" s="3">
        <v>26.11</v>
      </c>
      <c r="G1228" s="3">
        <v>0.0</v>
      </c>
    </row>
    <row r="1229">
      <c r="A1229" s="3">
        <v>168739.0</v>
      </c>
      <c r="B1229" s="3" t="s">
        <v>1253</v>
      </c>
      <c r="C1229" s="3" t="s">
        <v>189</v>
      </c>
      <c r="D1229" s="3">
        <v>184.0</v>
      </c>
      <c r="E1229" s="3">
        <v>8.0</v>
      </c>
      <c r="F1229" s="3">
        <v>26.16</v>
      </c>
      <c r="G1229" s="3">
        <v>0.0</v>
      </c>
    </row>
    <row r="1230">
      <c r="A1230" s="3">
        <v>168740.0</v>
      </c>
      <c r="B1230" s="3" t="s">
        <v>1254</v>
      </c>
      <c r="C1230" s="3" t="s">
        <v>189</v>
      </c>
      <c r="D1230" s="3">
        <v>170.0</v>
      </c>
      <c r="E1230" s="3">
        <v>4.62</v>
      </c>
      <c r="F1230" s="3">
        <v>30.12</v>
      </c>
      <c r="G1230" s="3">
        <v>0.0</v>
      </c>
    </row>
    <row r="1231">
      <c r="A1231" s="3">
        <v>168741.0</v>
      </c>
      <c r="B1231" s="3" t="s">
        <v>1255</v>
      </c>
      <c r="C1231" s="3" t="s">
        <v>189</v>
      </c>
      <c r="D1231" s="3">
        <v>162.0</v>
      </c>
      <c r="E1231" s="3">
        <v>3.85</v>
      </c>
      <c r="F1231" s="3">
        <v>29.7</v>
      </c>
      <c r="G1231" s="3">
        <v>0.0</v>
      </c>
    </row>
    <row r="1232">
      <c r="A1232" s="3">
        <v>168742.0</v>
      </c>
      <c r="B1232" s="3" t="s">
        <v>1256</v>
      </c>
      <c r="C1232" s="3" t="s">
        <v>189</v>
      </c>
      <c r="D1232" s="3">
        <v>133.0</v>
      </c>
      <c r="E1232" s="3">
        <v>5.71</v>
      </c>
      <c r="F1232" s="3">
        <v>20.52</v>
      </c>
      <c r="G1232" s="3">
        <v>0.0</v>
      </c>
    </row>
    <row r="1233">
      <c r="A1233" s="3">
        <v>168743.0</v>
      </c>
      <c r="B1233" s="3" t="s">
        <v>1257</v>
      </c>
      <c r="C1233" s="3" t="s">
        <v>189</v>
      </c>
      <c r="D1233" s="3">
        <v>169.0</v>
      </c>
      <c r="E1233" s="3">
        <v>9.86</v>
      </c>
      <c r="F1233" s="3">
        <v>20.15</v>
      </c>
      <c r="G1233" s="3">
        <v>0.0</v>
      </c>
    </row>
    <row r="1234">
      <c r="A1234" s="3">
        <v>168744.0</v>
      </c>
      <c r="B1234" s="3" t="s">
        <v>1258</v>
      </c>
      <c r="C1234" s="3" t="s">
        <v>189</v>
      </c>
      <c r="D1234" s="3">
        <v>205.0</v>
      </c>
      <c r="E1234" s="3">
        <v>10.06</v>
      </c>
      <c r="F1234" s="3">
        <v>26.66</v>
      </c>
      <c r="G1234" s="3">
        <v>0.0</v>
      </c>
    </row>
    <row r="1235">
      <c r="A1235" s="3">
        <v>168745.0</v>
      </c>
      <c r="B1235" s="3" t="s">
        <v>1259</v>
      </c>
      <c r="C1235" s="3" t="s">
        <v>189</v>
      </c>
      <c r="D1235" s="3">
        <v>233.0</v>
      </c>
      <c r="E1235" s="3">
        <v>14.37</v>
      </c>
      <c r="F1235" s="3">
        <v>24.18</v>
      </c>
      <c r="G1235" s="3">
        <v>0.0</v>
      </c>
    </row>
    <row r="1236">
      <c r="A1236" s="3">
        <v>168746.0</v>
      </c>
      <c r="B1236" s="3" t="s">
        <v>1260</v>
      </c>
      <c r="C1236" s="3" t="s">
        <v>183</v>
      </c>
      <c r="D1236" s="3">
        <v>43.0</v>
      </c>
      <c r="E1236" s="3">
        <v>0.0</v>
      </c>
      <c r="F1236" s="3">
        <v>0.46</v>
      </c>
      <c r="G1236" s="3">
        <v>3.55</v>
      </c>
    </row>
    <row r="1237">
      <c r="A1237" s="3">
        <v>168747.0</v>
      </c>
      <c r="B1237" s="3" t="s">
        <v>1261</v>
      </c>
      <c r="C1237" s="3" t="s">
        <v>183</v>
      </c>
      <c r="D1237" s="3">
        <v>41.0</v>
      </c>
      <c r="E1237" s="3">
        <v>0.0</v>
      </c>
      <c r="F1237" s="3">
        <v>0.36</v>
      </c>
      <c r="G1237" s="3">
        <v>2.97</v>
      </c>
    </row>
    <row r="1238">
      <c r="A1238" s="3">
        <v>168748.0</v>
      </c>
      <c r="B1238" s="3" t="s">
        <v>1262</v>
      </c>
      <c r="C1238" s="3" t="s">
        <v>183</v>
      </c>
      <c r="D1238" s="3">
        <v>28.0</v>
      </c>
      <c r="E1238" s="3">
        <v>0.0</v>
      </c>
      <c r="F1238" s="3">
        <v>0.2</v>
      </c>
      <c r="G1238" s="3">
        <v>0.87</v>
      </c>
    </row>
    <row r="1239">
      <c r="A1239" s="3">
        <v>168749.0</v>
      </c>
      <c r="B1239" s="3" t="s">
        <v>1263</v>
      </c>
      <c r="C1239" s="3" t="s">
        <v>183</v>
      </c>
      <c r="D1239" s="3">
        <v>29.0</v>
      </c>
      <c r="E1239" s="3">
        <v>0.0</v>
      </c>
      <c r="F1239" s="3">
        <v>0.24</v>
      </c>
      <c r="G1239" s="3">
        <v>1.64</v>
      </c>
    </row>
    <row r="1240">
      <c r="A1240" s="3">
        <v>168750.0</v>
      </c>
      <c r="B1240" s="3" t="s">
        <v>1264</v>
      </c>
      <c r="C1240" s="3" t="s">
        <v>183</v>
      </c>
      <c r="D1240" s="3">
        <v>237.0</v>
      </c>
      <c r="E1240" s="3">
        <v>7.6</v>
      </c>
      <c r="F1240" s="3">
        <v>0.6</v>
      </c>
      <c r="G1240" s="3">
        <v>27.6</v>
      </c>
    </row>
    <row r="1241">
      <c r="A1241" s="3">
        <v>168751.0</v>
      </c>
      <c r="B1241" s="3" t="s">
        <v>1265</v>
      </c>
      <c r="C1241" s="3" t="s">
        <v>183</v>
      </c>
      <c r="D1241" s="3">
        <v>38.0</v>
      </c>
      <c r="E1241" s="3">
        <v>1.04</v>
      </c>
      <c r="F1241" s="3">
        <v>0.42</v>
      </c>
      <c r="G1241" s="3">
        <v>6.59</v>
      </c>
    </row>
    <row r="1242">
      <c r="A1242" s="3">
        <v>168752.0</v>
      </c>
      <c r="B1242" s="3" t="s">
        <v>1266</v>
      </c>
      <c r="C1242" s="3" t="s">
        <v>183</v>
      </c>
      <c r="D1242" s="3">
        <v>174.0</v>
      </c>
      <c r="E1242" s="3">
        <v>1.88</v>
      </c>
      <c r="F1242" s="3">
        <v>0.42</v>
      </c>
      <c r="G1242" s="3">
        <v>22.66</v>
      </c>
    </row>
    <row r="1243">
      <c r="A1243" s="3">
        <v>168753.0</v>
      </c>
      <c r="B1243" s="3" t="s">
        <v>1267</v>
      </c>
      <c r="C1243" s="3" t="s">
        <v>183</v>
      </c>
      <c r="D1243" s="3">
        <v>110.0</v>
      </c>
      <c r="E1243" s="3">
        <v>0.1</v>
      </c>
      <c r="F1243" s="3">
        <v>0.3</v>
      </c>
      <c r="G1243" s="3">
        <v>11.3</v>
      </c>
    </row>
    <row r="1244">
      <c r="A1244" s="3">
        <v>168754.0</v>
      </c>
      <c r="B1244" s="3" t="s">
        <v>1268</v>
      </c>
      <c r="C1244" s="3" t="s">
        <v>38</v>
      </c>
      <c r="D1244" s="3">
        <v>526.0</v>
      </c>
      <c r="E1244" s="3">
        <v>34.4</v>
      </c>
      <c r="F1244" s="3">
        <v>9.0</v>
      </c>
      <c r="G1244" s="3">
        <v>53.4</v>
      </c>
    </row>
    <row r="1245">
      <c r="A1245" s="3">
        <v>168755.0</v>
      </c>
      <c r="B1245" s="3" t="s">
        <v>1269</v>
      </c>
      <c r="C1245" s="3" t="s">
        <v>38</v>
      </c>
      <c r="D1245" s="3">
        <v>511.0</v>
      </c>
      <c r="E1245" s="3">
        <v>29.37</v>
      </c>
      <c r="F1245" s="3">
        <v>7.64</v>
      </c>
      <c r="G1245" s="3">
        <v>59.67</v>
      </c>
    </row>
    <row r="1246">
      <c r="A1246" s="3">
        <v>168756.0</v>
      </c>
      <c r="B1246" s="3" t="s">
        <v>1270</v>
      </c>
      <c r="C1246" s="3" t="s">
        <v>38</v>
      </c>
      <c r="D1246" s="3">
        <v>456.0</v>
      </c>
      <c r="E1246" s="3">
        <v>17.23</v>
      </c>
      <c r="F1246" s="3">
        <v>4.01</v>
      </c>
      <c r="G1246" s="3">
        <v>71.17</v>
      </c>
    </row>
    <row r="1247">
      <c r="A1247" s="3">
        <v>168757.0</v>
      </c>
      <c r="B1247" s="3" t="s">
        <v>1271</v>
      </c>
      <c r="C1247" s="3" t="s">
        <v>38</v>
      </c>
      <c r="D1247" s="3">
        <v>541.0</v>
      </c>
      <c r="E1247" s="3">
        <v>30.37</v>
      </c>
      <c r="F1247" s="3">
        <v>3.13</v>
      </c>
      <c r="G1247" s="3">
        <v>63.73</v>
      </c>
    </row>
    <row r="1248">
      <c r="A1248" s="3">
        <v>168758.0</v>
      </c>
      <c r="B1248" s="3" t="s">
        <v>1272</v>
      </c>
      <c r="C1248" s="3" t="s">
        <v>38</v>
      </c>
      <c r="D1248" s="3">
        <v>254.0</v>
      </c>
      <c r="E1248" s="3">
        <v>0.1</v>
      </c>
      <c r="F1248" s="3">
        <v>0.2</v>
      </c>
      <c r="G1248" s="3">
        <v>66.3</v>
      </c>
    </row>
    <row r="1249">
      <c r="A1249" s="3">
        <v>168759.0</v>
      </c>
      <c r="B1249" s="3" t="s">
        <v>1273</v>
      </c>
      <c r="C1249" s="3" t="s">
        <v>38</v>
      </c>
      <c r="D1249" s="3">
        <v>493.0</v>
      </c>
      <c r="E1249" s="3">
        <v>26.6</v>
      </c>
      <c r="F1249" s="3">
        <v>4.6</v>
      </c>
      <c r="G1249" s="3">
        <v>58.88</v>
      </c>
    </row>
    <row r="1250">
      <c r="A1250" s="3">
        <v>168760.0</v>
      </c>
      <c r="B1250" s="3" t="s">
        <v>1274</v>
      </c>
      <c r="C1250" s="3" t="s">
        <v>38</v>
      </c>
      <c r="D1250" s="3">
        <v>538.0</v>
      </c>
      <c r="E1250" s="3">
        <v>33.21</v>
      </c>
      <c r="F1250" s="3">
        <v>10.22</v>
      </c>
      <c r="G1250" s="3">
        <v>54.34</v>
      </c>
    </row>
    <row r="1251">
      <c r="A1251" s="3">
        <v>168761.0</v>
      </c>
      <c r="B1251" s="3" t="s">
        <v>1275</v>
      </c>
      <c r="C1251" s="3" t="s">
        <v>38</v>
      </c>
      <c r="D1251" s="3">
        <v>468.0</v>
      </c>
      <c r="E1251" s="3">
        <v>19.33</v>
      </c>
      <c r="F1251" s="3">
        <v>2.5</v>
      </c>
      <c r="G1251" s="3">
        <v>70.97</v>
      </c>
    </row>
    <row r="1252">
      <c r="A1252" s="3">
        <v>168762.0</v>
      </c>
      <c r="B1252" s="3" t="s">
        <v>1276</v>
      </c>
      <c r="C1252" s="3" t="s">
        <v>38</v>
      </c>
      <c r="D1252" s="3">
        <v>500.0</v>
      </c>
      <c r="E1252" s="3">
        <v>26.0</v>
      </c>
      <c r="F1252" s="3">
        <v>5.0</v>
      </c>
      <c r="G1252" s="3">
        <v>67.0</v>
      </c>
    </row>
    <row r="1253">
      <c r="A1253" s="3">
        <v>168763.0</v>
      </c>
      <c r="B1253" s="3" t="s">
        <v>1277</v>
      </c>
      <c r="C1253" s="3" t="s">
        <v>38</v>
      </c>
      <c r="D1253" s="3">
        <v>515.0</v>
      </c>
      <c r="E1253" s="3">
        <v>30.53</v>
      </c>
      <c r="F1253" s="3">
        <v>10.24</v>
      </c>
      <c r="G1253" s="3">
        <v>55.36</v>
      </c>
    </row>
    <row r="1254">
      <c r="A1254" s="3">
        <v>168764.0</v>
      </c>
      <c r="B1254" s="3" t="s">
        <v>1278</v>
      </c>
      <c r="C1254" s="3" t="s">
        <v>38</v>
      </c>
      <c r="D1254" s="3">
        <v>497.0</v>
      </c>
      <c r="E1254" s="3">
        <v>24.77</v>
      </c>
      <c r="F1254" s="3">
        <v>12.46</v>
      </c>
      <c r="G1254" s="3">
        <v>59.86</v>
      </c>
    </row>
    <row r="1255">
      <c r="A1255" s="3">
        <v>168765.0</v>
      </c>
      <c r="B1255" s="3" t="s">
        <v>1279</v>
      </c>
      <c r="C1255" s="3" t="s">
        <v>38</v>
      </c>
      <c r="D1255" s="3">
        <v>474.0</v>
      </c>
      <c r="E1255" s="3">
        <v>20.93</v>
      </c>
      <c r="F1255" s="3">
        <v>5.08</v>
      </c>
      <c r="G1255" s="3">
        <v>67.95</v>
      </c>
    </row>
    <row r="1256">
      <c r="A1256" s="3">
        <v>168766.0</v>
      </c>
      <c r="B1256" s="3" t="s">
        <v>1280</v>
      </c>
      <c r="C1256" s="3" t="s">
        <v>38</v>
      </c>
      <c r="D1256" s="3">
        <v>432.0</v>
      </c>
      <c r="E1256" s="3">
        <v>11.9</v>
      </c>
      <c r="F1256" s="3">
        <v>1.67</v>
      </c>
      <c r="G1256" s="3">
        <v>79.53</v>
      </c>
    </row>
    <row r="1257">
      <c r="A1257" s="3">
        <v>168767.0</v>
      </c>
      <c r="B1257" s="3" t="s">
        <v>1281</v>
      </c>
      <c r="C1257" s="3" t="s">
        <v>38</v>
      </c>
      <c r="D1257" s="3">
        <v>436.0</v>
      </c>
      <c r="E1257" s="3">
        <v>12.75</v>
      </c>
      <c r="F1257" s="3">
        <v>2.6</v>
      </c>
      <c r="G1257" s="3">
        <v>77.77</v>
      </c>
    </row>
    <row r="1258">
      <c r="A1258" s="3">
        <v>168768.0</v>
      </c>
      <c r="B1258" s="3" t="s">
        <v>1282</v>
      </c>
      <c r="C1258" s="3" t="s">
        <v>38</v>
      </c>
      <c r="D1258" s="3">
        <v>502.0</v>
      </c>
      <c r="E1258" s="3">
        <v>24.85</v>
      </c>
      <c r="F1258" s="3">
        <v>4.91</v>
      </c>
      <c r="G1258" s="3">
        <v>64.8</v>
      </c>
    </row>
    <row r="1259">
      <c r="A1259" s="3">
        <v>168769.0</v>
      </c>
      <c r="B1259" s="3" t="s">
        <v>1283</v>
      </c>
      <c r="C1259" s="3" t="s">
        <v>38</v>
      </c>
      <c r="D1259" s="3">
        <v>547.0</v>
      </c>
      <c r="E1259" s="3">
        <v>32.67</v>
      </c>
      <c r="F1259" s="3">
        <v>9.18</v>
      </c>
      <c r="G1259" s="3">
        <v>54.14</v>
      </c>
    </row>
    <row r="1260">
      <c r="A1260" s="3">
        <v>168770.0</v>
      </c>
      <c r="B1260" s="3" t="s">
        <v>1284</v>
      </c>
      <c r="C1260" s="3" t="s">
        <v>38</v>
      </c>
      <c r="D1260" s="3">
        <v>494.0</v>
      </c>
      <c r="E1260" s="3">
        <v>23.68</v>
      </c>
      <c r="F1260" s="3">
        <v>8.04</v>
      </c>
      <c r="G1260" s="3">
        <v>63.23</v>
      </c>
    </row>
    <row r="1261">
      <c r="A1261" s="3">
        <v>168771.0</v>
      </c>
      <c r="B1261" s="3" t="s">
        <v>1285</v>
      </c>
      <c r="C1261" s="3" t="s">
        <v>38</v>
      </c>
      <c r="D1261" s="3">
        <v>360.0</v>
      </c>
      <c r="E1261" s="3">
        <v>0.3</v>
      </c>
      <c r="F1261" s="3">
        <v>0.0</v>
      </c>
      <c r="G1261" s="3">
        <v>96.7</v>
      </c>
    </row>
    <row r="1262">
      <c r="A1262" s="3">
        <v>168772.0</v>
      </c>
      <c r="B1262" s="3" t="s">
        <v>1286</v>
      </c>
      <c r="C1262" s="3" t="s">
        <v>38</v>
      </c>
      <c r="D1262" s="3">
        <v>410.0</v>
      </c>
      <c r="E1262" s="3">
        <v>6.4</v>
      </c>
      <c r="F1262" s="3">
        <v>6.9</v>
      </c>
      <c r="G1262" s="3">
        <v>82.8</v>
      </c>
    </row>
    <row r="1263">
      <c r="A1263" s="3">
        <v>168773.0</v>
      </c>
      <c r="B1263" s="3" t="s">
        <v>1287</v>
      </c>
      <c r="C1263" s="3" t="s">
        <v>38</v>
      </c>
      <c r="D1263" s="3">
        <v>122.0</v>
      </c>
      <c r="E1263" s="3">
        <v>4.0</v>
      </c>
      <c r="F1263" s="3">
        <v>3.99</v>
      </c>
      <c r="G1263" s="3">
        <v>17.6</v>
      </c>
    </row>
    <row r="1264">
      <c r="A1264" s="3">
        <v>168774.0</v>
      </c>
      <c r="B1264" s="3" t="s">
        <v>1288</v>
      </c>
      <c r="C1264" s="3" t="s">
        <v>38</v>
      </c>
      <c r="D1264" s="3">
        <v>410.0</v>
      </c>
      <c r="E1264" s="3">
        <v>10.0</v>
      </c>
      <c r="F1264" s="3">
        <v>20.0</v>
      </c>
      <c r="G1264" s="3">
        <v>60.0</v>
      </c>
    </row>
    <row r="1265">
      <c r="A1265" s="3">
        <v>168775.0</v>
      </c>
      <c r="B1265" s="3" t="s">
        <v>1289</v>
      </c>
      <c r="C1265" s="3" t="s">
        <v>38</v>
      </c>
      <c r="D1265" s="3">
        <v>381.0</v>
      </c>
      <c r="E1265" s="3">
        <v>0.0</v>
      </c>
      <c r="F1265" s="3">
        <v>7.8</v>
      </c>
      <c r="G1265" s="3">
        <v>90.5</v>
      </c>
    </row>
    <row r="1266">
      <c r="A1266" s="3">
        <v>168776.0</v>
      </c>
      <c r="B1266" s="3" t="s">
        <v>1290</v>
      </c>
      <c r="C1266" s="3" t="s">
        <v>38</v>
      </c>
      <c r="D1266" s="3">
        <v>394.0</v>
      </c>
      <c r="E1266" s="3">
        <v>7.32</v>
      </c>
      <c r="F1266" s="3">
        <v>1.78</v>
      </c>
      <c r="G1266" s="3">
        <v>81.64</v>
      </c>
    </row>
    <row r="1267">
      <c r="A1267" s="3">
        <v>168777.0</v>
      </c>
      <c r="B1267" s="3" t="s">
        <v>1291</v>
      </c>
      <c r="C1267" s="3" t="s">
        <v>38</v>
      </c>
      <c r="D1267" s="3">
        <v>225.0</v>
      </c>
      <c r="E1267" s="3">
        <v>16.0</v>
      </c>
      <c r="F1267" s="3">
        <v>4.14</v>
      </c>
      <c r="G1267" s="3">
        <v>16.07</v>
      </c>
    </row>
    <row r="1268">
      <c r="A1268" s="3">
        <v>168778.0</v>
      </c>
      <c r="B1268" s="3" t="s">
        <v>1292</v>
      </c>
      <c r="C1268" s="3" t="s">
        <v>38</v>
      </c>
      <c r="D1268" s="3">
        <v>142.0</v>
      </c>
      <c r="E1268" s="3">
        <v>4.6</v>
      </c>
      <c r="F1268" s="3">
        <v>2.09</v>
      </c>
      <c r="G1268" s="3">
        <v>23.01</v>
      </c>
    </row>
    <row r="1269">
      <c r="A1269" s="3">
        <v>168779.0</v>
      </c>
      <c r="B1269" s="3" t="s">
        <v>1293</v>
      </c>
      <c r="C1269" s="3" t="s">
        <v>38</v>
      </c>
      <c r="D1269" s="3">
        <v>378.0</v>
      </c>
      <c r="E1269" s="3">
        <v>1.9</v>
      </c>
      <c r="F1269" s="3">
        <v>2.3</v>
      </c>
      <c r="G1269" s="3">
        <v>87.9</v>
      </c>
    </row>
    <row r="1270">
      <c r="A1270" s="3">
        <v>168780.0</v>
      </c>
      <c r="B1270" s="3" t="s">
        <v>1294</v>
      </c>
      <c r="C1270" s="3" t="s">
        <v>38</v>
      </c>
      <c r="D1270" s="3">
        <v>111.0</v>
      </c>
      <c r="E1270" s="3">
        <v>2.06</v>
      </c>
      <c r="F1270" s="3">
        <v>3.28</v>
      </c>
      <c r="G1270" s="3">
        <v>19.76</v>
      </c>
    </row>
    <row r="1271">
      <c r="A1271" s="3">
        <v>168781.0</v>
      </c>
      <c r="B1271" s="3" t="s">
        <v>1295</v>
      </c>
      <c r="C1271" s="3" t="s">
        <v>38</v>
      </c>
      <c r="D1271" s="3">
        <v>107.0</v>
      </c>
      <c r="E1271" s="3">
        <v>2.3</v>
      </c>
      <c r="F1271" s="3">
        <v>2.9</v>
      </c>
      <c r="G1271" s="3">
        <v>19.2</v>
      </c>
    </row>
    <row r="1272">
      <c r="A1272" s="3">
        <v>168782.0</v>
      </c>
      <c r="B1272" s="3" t="s">
        <v>1296</v>
      </c>
      <c r="C1272" s="3" t="s">
        <v>38</v>
      </c>
      <c r="D1272" s="3">
        <v>108.0</v>
      </c>
      <c r="E1272" s="3">
        <v>2.15</v>
      </c>
      <c r="F1272" s="3">
        <v>3.23</v>
      </c>
      <c r="G1272" s="3">
        <v>18.39</v>
      </c>
    </row>
    <row r="1273">
      <c r="A1273" s="3">
        <v>168783.0</v>
      </c>
      <c r="B1273" s="3" t="s">
        <v>1297</v>
      </c>
      <c r="C1273" s="3" t="s">
        <v>38</v>
      </c>
      <c r="D1273" s="3">
        <v>376.0</v>
      </c>
      <c r="E1273" s="3">
        <v>0.1</v>
      </c>
      <c r="F1273" s="3">
        <v>2.7</v>
      </c>
      <c r="G1273" s="3">
        <v>91.2</v>
      </c>
    </row>
    <row r="1274">
      <c r="A1274" s="3">
        <v>168784.0</v>
      </c>
      <c r="B1274" s="3" t="s">
        <v>1298</v>
      </c>
      <c r="C1274" s="3" t="s">
        <v>38</v>
      </c>
      <c r="D1274" s="3">
        <v>377.0</v>
      </c>
      <c r="E1274" s="3">
        <v>0.6</v>
      </c>
      <c r="F1274" s="3">
        <v>0.0</v>
      </c>
      <c r="G1274" s="3">
        <v>92.9</v>
      </c>
    </row>
    <row r="1275">
      <c r="A1275" s="3">
        <v>168785.0</v>
      </c>
      <c r="B1275" s="3" t="s">
        <v>1299</v>
      </c>
      <c r="C1275" s="3" t="s">
        <v>38</v>
      </c>
      <c r="D1275" s="3">
        <v>114.0</v>
      </c>
      <c r="E1275" s="3">
        <v>2.9</v>
      </c>
      <c r="F1275" s="3">
        <v>2.7</v>
      </c>
      <c r="G1275" s="3">
        <v>19.7</v>
      </c>
    </row>
    <row r="1276">
      <c r="A1276" s="3">
        <v>168786.0</v>
      </c>
      <c r="B1276" s="3" t="s">
        <v>1300</v>
      </c>
      <c r="C1276" s="3" t="s">
        <v>38</v>
      </c>
      <c r="D1276" s="3">
        <v>107.0</v>
      </c>
      <c r="E1276" s="3">
        <v>1.71</v>
      </c>
      <c r="F1276" s="3">
        <v>2.76</v>
      </c>
      <c r="G1276" s="3">
        <v>20.2</v>
      </c>
    </row>
    <row r="1277">
      <c r="A1277" s="3">
        <v>168787.0</v>
      </c>
      <c r="B1277" s="3" t="s">
        <v>1301</v>
      </c>
      <c r="C1277" s="3" t="s">
        <v>38</v>
      </c>
      <c r="D1277" s="3">
        <v>112.0</v>
      </c>
      <c r="E1277" s="3">
        <v>2.83</v>
      </c>
      <c r="F1277" s="3">
        <v>4.13</v>
      </c>
      <c r="G1277" s="3">
        <v>17.61</v>
      </c>
    </row>
    <row r="1278">
      <c r="A1278" s="3">
        <v>168788.0</v>
      </c>
      <c r="B1278" s="3" t="s">
        <v>1302</v>
      </c>
      <c r="C1278" s="3" t="s">
        <v>38</v>
      </c>
      <c r="D1278" s="3">
        <v>101.0</v>
      </c>
      <c r="E1278" s="3">
        <v>1.73</v>
      </c>
      <c r="F1278" s="3">
        <v>2.94</v>
      </c>
      <c r="G1278" s="3">
        <v>18.53</v>
      </c>
    </row>
    <row r="1279">
      <c r="A1279" s="3">
        <v>168789.0</v>
      </c>
      <c r="B1279" s="3" t="s">
        <v>1303</v>
      </c>
      <c r="C1279" s="3" t="s">
        <v>38</v>
      </c>
      <c r="D1279" s="3">
        <v>85.0</v>
      </c>
      <c r="E1279" s="3">
        <v>2.06</v>
      </c>
      <c r="F1279" s="3">
        <v>3.24</v>
      </c>
      <c r="G1279" s="3">
        <v>13.47</v>
      </c>
    </row>
    <row r="1280">
      <c r="A1280" s="3">
        <v>168790.0</v>
      </c>
      <c r="B1280" s="3" t="s">
        <v>1304</v>
      </c>
      <c r="C1280" s="3" t="s">
        <v>38</v>
      </c>
      <c r="D1280" s="3">
        <v>77.0</v>
      </c>
      <c r="E1280" s="3">
        <v>1.77</v>
      </c>
      <c r="F1280" s="3">
        <v>3.06</v>
      </c>
      <c r="G1280" s="3">
        <v>12.34</v>
      </c>
    </row>
    <row r="1281">
      <c r="A1281" s="3">
        <v>168791.0</v>
      </c>
      <c r="B1281" s="3" t="s">
        <v>1305</v>
      </c>
      <c r="C1281" s="3" t="s">
        <v>38</v>
      </c>
      <c r="D1281" s="3">
        <v>485.0</v>
      </c>
      <c r="E1281" s="3">
        <v>25.9</v>
      </c>
      <c r="F1281" s="3">
        <v>3.3</v>
      </c>
      <c r="G1281" s="3">
        <v>59.59</v>
      </c>
    </row>
    <row r="1282">
      <c r="A1282" s="3">
        <v>168792.0</v>
      </c>
      <c r="B1282" s="3" t="s">
        <v>1306</v>
      </c>
      <c r="C1282" s="3" t="s">
        <v>38</v>
      </c>
      <c r="D1282" s="3">
        <v>383.0</v>
      </c>
      <c r="E1282" s="3">
        <v>0.0</v>
      </c>
      <c r="F1282" s="3">
        <v>0.0</v>
      </c>
      <c r="G1282" s="3">
        <v>99.0</v>
      </c>
    </row>
    <row r="1283">
      <c r="A1283" s="3">
        <v>168793.0</v>
      </c>
      <c r="B1283" s="3" t="s">
        <v>1307</v>
      </c>
      <c r="C1283" s="3" t="s">
        <v>38</v>
      </c>
      <c r="D1283" s="3">
        <v>89.0</v>
      </c>
      <c r="E1283" s="3">
        <v>3.07</v>
      </c>
      <c r="F1283" s="3">
        <v>3.03</v>
      </c>
      <c r="G1283" s="3">
        <v>12.21</v>
      </c>
    </row>
    <row r="1284">
      <c r="A1284" s="3">
        <v>168794.0</v>
      </c>
      <c r="B1284" s="3" t="s">
        <v>1308</v>
      </c>
      <c r="C1284" s="3" t="s">
        <v>38</v>
      </c>
      <c r="D1284" s="3">
        <v>84.0</v>
      </c>
      <c r="E1284" s="3">
        <v>0.1</v>
      </c>
      <c r="F1284" s="3">
        <v>1.0</v>
      </c>
      <c r="G1284" s="3">
        <v>19.8</v>
      </c>
    </row>
    <row r="1285">
      <c r="A1285" s="3">
        <v>168795.0</v>
      </c>
      <c r="B1285" s="3" t="s">
        <v>1309</v>
      </c>
      <c r="C1285" s="3" t="s">
        <v>38</v>
      </c>
      <c r="D1285" s="3">
        <v>397.0</v>
      </c>
      <c r="E1285" s="3">
        <v>17.6</v>
      </c>
      <c r="F1285" s="3">
        <v>1.1</v>
      </c>
      <c r="G1285" s="3">
        <v>63.2</v>
      </c>
    </row>
    <row r="1286">
      <c r="A1286" s="3">
        <v>168796.0</v>
      </c>
      <c r="B1286" s="3" t="s">
        <v>1310</v>
      </c>
      <c r="C1286" s="3" t="s">
        <v>38</v>
      </c>
      <c r="D1286" s="3">
        <v>113.0</v>
      </c>
      <c r="E1286" s="3">
        <v>3.0</v>
      </c>
      <c r="F1286" s="3">
        <v>2.95</v>
      </c>
      <c r="G1286" s="3">
        <v>18.68</v>
      </c>
    </row>
    <row r="1287">
      <c r="A1287" s="3">
        <v>168797.0</v>
      </c>
      <c r="B1287" s="3" t="s">
        <v>1311</v>
      </c>
      <c r="C1287" s="3" t="s">
        <v>38</v>
      </c>
      <c r="D1287" s="3">
        <v>89.0</v>
      </c>
      <c r="E1287" s="3">
        <v>0.0</v>
      </c>
      <c r="F1287" s="3">
        <v>2.02</v>
      </c>
      <c r="G1287" s="3">
        <v>20.16</v>
      </c>
    </row>
    <row r="1288">
      <c r="A1288" s="3">
        <v>168798.0</v>
      </c>
      <c r="B1288" s="3" t="s">
        <v>1312</v>
      </c>
      <c r="C1288" s="3" t="s">
        <v>38</v>
      </c>
      <c r="D1288" s="3">
        <v>94.0</v>
      </c>
      <c r="E1288" s="3">
        <v>0.35</v>
      </c>
      <c r="F1288" s="3">
        <v>1.44</v>
      </c>
      <c r="G1288" s="3">
        <v>21.31</v>
      </c>
    </row>
    <row r="1289">
      <c r="A1289" s="3">
        <v>168799.0</v>
      </c>
      <c r="B1289" s="3" t="s">
        <v>1313</v>
      </c>
      <c r="C1289" s="3" t="s">
        <v>38</v>
      </c>
      <c r="D1289" s="3">
        <v>93.0</v>
      </c>
      <c r="E1289" s="3">
        <v>0.3</v>
      </c>
      <c r="F1289" s="3">
        <v>1.93</v>
      </c>
      <c r="G1289" s="3">
        <v>20.87</v>
      </c>
    </row>
    <row r="1290">
      <c r="A1290" s="3">
        <v>168800.0</v>
      </c>
      <c r="B1290" s="3" t="s">
        <v>1314</v>
      </c>
      <c r="C1290" s="3" t="s">
        <v>38</v>
      </c>
      <c r="D1290" s="3">
        <v>408.0</v>
      </c>
      <c r="E1290" s="3">
        <v>13.06</v>
      </c>
      <c r="F1290" s="3">
        <v>1.11</v>
      </c>
      <c r="G1290" s="3">
        <v>71.8</v>
      </c>
    </row>
    <row r="1291">
      <c r="A1291" s="3">
        <v>168801.0</v>
      </c>
      <c r="B1291" s="3" t="s">
        <v>1315</v>
      </c>
      <c r="C1291" s="3" t="s">
        <v>38</v>
      </c>
      <c r="D1291" s="3">
        <v>530.0</v>
      </c>
      <c r="E1291" s="3">
        <v>30.38</v>
      </c>
      <c r="F1291" s="3">
        <v>3.94</v>
      </c>
      <c r="G1291" s="3">
        <v>63.39</v>
      </c>
    </row>
    <row r="1292">
      <c r="A1292" s="3">
        <v>168802.0</v>
      </c>
      <c r="B1292" s="3" t="s">
        <v>1316</v>
      </c>
      <c r="C1292" s="3" t="s">
        <v>38</v>
      </c>
      <c r="D1292" s="3">
        <v>410.0</v>
      </c>
      <c r="E1292" s="3">
        <v>4.9</v>
      </c>
      <c r="F1292" s="3">
        <v>0.3</v>
      </c>
      <c r="G1292" s="3">
        <v>93.8</v>
      </c>
    </row>
    <row r="1293">
      <c r="A1293" s="3">
        <v>168803.0</v>
      </c>
      <c r="B1293" s="3" t="s">
        <v>1317</v>
      </c>
      <c r="C1293" s="3" t="s">
        <v>38</v>
      </c>
      <c r="D1293" s="3">
        <v>371.0</v>
      </c>
      <c r="E1293" s="3">
        <v>0.0</v>
      </c>
      <c r="F1293" s="3">
        <v>2.3</v>
      </c>
      <c r="G1293" s="3">
        <v>94.9</v>
      </c>
    </row>
    <row r="1294">
      <c r="A1294" s="3">
        <v>168804.0</v>
      </c>
      <c r="B1294" s="3" t="s">
        <v>1318</v>
      </c>
      <c r="C1294" s="3" t="s">
        <v>38</v>
      </c>
      <c r="D1294" s="3">
        <v>546.0</v>
      </c>
      <c r="E1294" s="3">
        <v>31.72</v>
      </c>
      <c r="F1294" s="3">
        <v>5.94</v>
      </c>
      <c r="G1294" s="3">
        <v>59.78</v>
      </c>
    </row>
    <row r="1295">
      <c r="A1295" s="3">
        <v>168805.0</v>
      </c>
      <c r="B1295" s="3" t="s">
        <v>1319</v>
      </c>
      <c r="C1295" s="3" t="s">
        <v>38</v>
      </c>
      <c r="D1295" s="3">
        <v>520.0</v>
      </c>
      <c r="E1295" s="3">
        <v>32.45</v>
      </c>
      <c r="F1295" s="3">
        <v>5.19</v>
      </c>
      <c r="G1295" s="3">
        <v>59.4</v>
      </c>
    </row>
    <row r="1296">
      <c r="A1296" s="3">
        <v>168806.0</v>
      </c>
      <c r="B1296" s="3" t="s">
        <v>1320</v>
      </c>
      <c r="C1296" s="3" t="s">
        <v>38</v>
      </c>
      <c r="D1296" s="3">
        <v>463.0</v>
      </c>
      <c r="E1296" s="3">
        <v>19.17</v>
      </c>
      <c r="F1296" s="3">
        <v>4.28</v>
      </c>
      <c r="G1296" s="3">
        <v>68.49</v>
      </c>
    </row>
    <row r="1297">
      <c r="A1297" s="3">
        <v>168807.0</v>
      </c>
      <c r="B1297" s="3" t="s">
        <v>1321</v>
      </c>
      <c r="C1297" s="3" t="s">
        <v>38</v>
      </c>
      <c r="D1297" s="3">
        <v>458.0</v>
      </c>
      <c r="E1297" s="3">
        <v>20.42</v>
      </c>
      <c r="F1297" s="3">
        <v>3.82</v>
      </c>
      <c r="G1297" s="3">
        <v>67.56</v>
      </c>
    </row>
    <row r="1298">
      <c r="A1298" s="3">
        <v>168808.0</v>
      </c>
      <c r="B1298" s="3" t="s">
        <v>1322</v>
      </c>
      <c r="C1298" s="3" t="s">
        <v>33</v>
      </c>
      <c r="D1298" s="3">
        <v>373.0</v>
      </c>
      <c r="E1298" s="3">
        <v>3.5</v>
      </c>
      <c r="F1298" s="3">
        <v>0.1</v>
      </c>
      <c r="G1298" s="3">
        <v>85.2</v>
      </c>
    </row>
    <row r="1299">
      <c r="A1299" s="3">
        <v>168809.0</v>
      </c>
      <c r="B1299" s="3" t="s">
        <v>1323</v>
      </c>
      <c r="C1299" s="3" t="s">
        <v>38</v>
      </c>
      <c r="D1299" s="3">
        <v>216.0</v>
      </c>
      <c r="E1299" s="3">
        <v>11.0</v>
      </c>
      <c r="F1299" s="3">
        <v>3.8</v>
      </c>
      <c r="G1299" s="3">
        <v>28.2</v>
      </c>
    </row>
    <row r="1300">
      <c r="A1300" s="3">
        <v>168810.0</v>
      </c>
      <c r="B1300" s="3" t="s">
        <v>1324</v>
      </c>
      <c r="C1300" s="3" t="s">
        <v>38</v>
      </c>
      <c r="D1300" s="3">
        <v>192.0</v>
      </c>
      <c r="E1300" s="3">
        <v>8.4</v>
      </c>
      <c r="F1300" s="3">
        <v>3.2</v>
      </c>
      <c r="G1300" s="3">
        <v>27.6</v>
      </c>
    </row>
    <row r="1301">
      <c r="A1301" s="3">
        <v>168811.0</v>
      </c>
      <c r="B1301" s="3" t="s">
        <v>1325</v>
      </c>
      <c r="C1301" s="3" t="s">
        <v>33</v>
      </c>
      <c r="D1301" s="3">
        <v>341.0</v>
      </c>
      <c r="E1301" s="3">
        <v>0.0</v>
      </c>
      <c r="F1301" s="3">
        <v>4.4</v>
      </c>
      <c r="G1301" s="3">
        <v>80.9</v>
      </c>
    </row>
    <row r="1302">
      <c r="A1302" s="3">
        <v>168812.0</v>
      </c>
      <c r="B1302" s="3" t="s">
        <v>1326</v>
      </c>
      <c r="C1302" s="3" t="s">
        <v>38</v>
      </c>
      <c r="D1302" s="3">
        <v>53.0</v>
      </c>
      <c r="E1302" s="3">
        <v>0.02</v>
      </c>
      <c r="F1302" s="3">
        <v>0.03</v>
      </c>
      <c r="G1302" s="3">
        <v>13.5</v>
      </c>
    </row>
    <row r="1303">
      <c r="A1303" s="3">
        <v>168813.0</v>
      </c>
      <c r="B1303" s="3" t="s">
        <v>1327</v>
      </c>
      <c r="C1303" s="3" t="s">
        <v>38</v>
      </c>
      <c r="D1303" s="3">
        <v>79.0</v>
      </c>
      <c r="E1303" s="3">
        <v>0.24</v>
      </c>
      <c r="F1303" s="3">
        <v>0.0</v>
      </c>
      <c r="G1303" s="3">
        <v>19.23</v>
      </c>
    </row>
    <row r="1304">
      <c r="A1304" s="3">
        <v>168814.0</v>
      </c>
      <c r="B1304" s="3" t="s">
        <v>1328</v>
      </c>
      <c r="C1304" s="3" t="s">
        <v>38</v>
      </c>
      <c r="D1304" s="3">
        <v>475.0</v>
      </c>
      <c r="E1304" s="3">
        <v>19.32</v>
      </c>
      <c r="F1304" s="3">
        <v>4.28</v>
      </c>
      <c r="G1304" s="3">
        <v>72.4</v>
      </c>
    </row>
    <row r="1305">
      <c r="A1305" s="3">
        <v>168815.0</v>
      </c>
      <c r="B1305" s="3" t="s">
        <v>1329</v>
      </c>
      <c r="C1305" s="3" t="s">
        <v>38</v>
      </c>
      <c r="D1305" s="3">
        <v>159.0</v>
      </c>
      <c r="E1305" s="3">
        <v>5.6</v>
      </c>
      <c r="F1305" s="3">
        <v>4.0</v>
      </c>
      <c r="G1305" s="3">
        <v>24.2</v>
      </c>
    </row>
    <row r="1306">
      <c r="A1306" s="3">
        <v>168816.0</v>
      </c>
      <c r="B1306" s="3" t="s">
        <v>1330</v>
      </c>
      <c r="C1306" s="3" t="s">
        <v>38</v>
      </c>
      <c r="D1306" s="3">
        <v>173.0</v>
      </c>
      <c r="E1306" s="3">
        <v>0.3</v>
      </c>
      <c r="F1306" s="3">
        <v>0.39</v>
      </c>
      <c r="G1306" s="3">
        <v>42.47</v>
      </c>
    </row>
    <row r="1307">
      <c r="A1307" s="3">
        <v>168817.0</v>
      </c>
      <c r="B1307" s="3" t="s">
        <v>1331</v>
      </c>
      <c r="C1307" s="3" t="s">
        <v>38</v>
      </c>
      <c r="D1307" s="3">
        <v>474.0</v>
      </c>
      <c r="E1307" s="3">
        <v>21.11</v>
      </c>
      <c r="F1307" s="3">
        <v>3.24</v>
      </c>
      <c r="G1307" s="3">
        <v>67.69</v>
      </c>
    </row>
    <row r="1308">
      <c r="A1308" s="3">
        <v>168818.0</v>
      </c>
      <c r="B1308" s="3" t="s">
        <v>1332</v>
      </c>
      <c r="C1308" s="3" t="s">
        <v>38</v>
      </c>
      <c r="D1308" s="3">
        <v>472.0</v>
      </c>
      <c r="E1308" s="3">
        <v>22.4</v>
      </c>
      <c r="F1308" s="3">
        <v>5.4</v>
      </c>
      <c r="G1308" s="3">
        <v>64.67</v>
      </c>
    </row>
    <row r="1309">
      <c r="A1309" s="3">
        <v>168819.0</v>
      </c>
      <c r="B1309" s="3" t="s">
        <v>1333</v>
      </c>
      <c r="C1309" s="3" t="s">
        <v>38</v>
      </c>
      <c r="D1309" s="3">
        <v>246.0</v>
      </c>
      <c r="E1309" s="3">
        <v>0.0</v>
      </c>
      <c r="F1309" s="3">
        <v>0.3</v>
      </c>
      <c r="G1309" s="3">
        <v>66.3</v>
      </c>
    </row>
    <row r="1310">
      <c r="A1310" s="3">
        <v>168820.0</v>
      </c>
      <c r="B1310" s="3" t="s">
        <v>1334</v>
      </c>
      <c r="C1310" s="3" t="s">
        <v>38</v>
      </c>
      <c r="D1310" s="3">
        <v>290.0</v>
      </c>
      <c r="E1310" s="3">
        <v>0.1</v>
      </c>
      <c r="F1310" s="3">
        <v>0.0</v>
      </c>
      <c r="G1310" s="3">
        <v>74.73</v>
      </c>
    </row>
    <row r="1311">
      <c r="A1311" s="3">
        <v>168821.0</v>
      </c>
      <c r="B1311" s="3" t="s">
        <v>1335</v>
      </c>
      <c r="C1311" s="3" t="s">
        <v>38</v>
      </c>
      <c r="D1311" s="3">
        <v>325.0</v>
      </c>
      <c r="E1311" s="3">
        <v>0.3</v>
      </c>
      <c r="F1311" s="3">
        <v>0.3</v>
      </c>
      <c r="G1311" s="3">
        <v>90.4</v>
      </c>
    </row>
    <row r="1312">
      <c r="A1312" s="3">
        <v>168822.0</v>
      </c>
      <c r="B1312" s="3" t="s">
        <v>1336</v>
      </c>
      <c r="C1312" s="3" t="s">
        <v>38</v>
      </c>
      <c r="D1312" s="3">
        <v>100.0</v>
      </c>
      <c r="E1312" s="3">
        <v>0.1</v>
      </c>
      <c r="F1312" s="3">
        <v>0.1</v>
      </c>
      <c r="G1312" s="3">
        <v>26.1</v>
      </c>
    </row>
    <row r="1313">
      <c r="A1313" s="3">
        <v>168823.0</v>
      </c>
      <c r="B1313" s="3" t="s">
        <v>1337</v>
      </c>
      <c r="C1313" s="3" t="s">
        <v>38</v>
      </c>
      <c r="D1313" s="3">
        <v>409.0</v>
      </c>
      <c r="E1313" s="3">
        <v>8.31</v>
      </c>
      <c r="F1313" s="3">
        <v>0.41</v>
      </c>
      <c r="G1313" s="3">
        <v>82.76</v>
      </c>
    </row>
    <row r="1314">
      <c r="A1314" s="3">
        <v>168824.0</v>
      </c>
      <c r="B1314" s="3" t="s">
        <v>1338</v>
      </c>
      <c r="C1314" s="3" t="s">
        <v>38</v>
      </c>
      <c r="D1314" s="3">
        <v>115.0</v>
      </c>
      <c r="E1314" s="3">
        <v>0.07</v>
      </c>
      <c r="F1314" s="3">
        <v>0.37</v>
      </c>
      <c r="G1314" s="3">
        <v>28.0</v>
      </c>
    </row>
    <row r="1315">
      <c r="A1315" s="3">
        <v>168825.0</v>
      </c>
      <c r="B1315" s="3" t="s">
        <v>1339</v>
      </c>
      <c r="C1315" s="3" t="s">
        <v>38</v>
      </c>
      <c r="D1315" s="3">
        <v>111.0</v>
      </c>
      <c r="E1315" s="3">
        <v>2.89</v>
      </c>
      <c r="F1315" s="3">
        <v>2.74</v>
      </c>
      <c r="G1315" s="3">
        <v>18.44</v>
      </c>
    </row>
    <row r="1316">
      <c r="A1316" s="3">
        <v>168826.0</v>
      </c>
      <c r="B1316" s="3" t="s">
        <v>1340</v>
      </c>
      <c r="C1316" s="3" t="s">
        <v>38</v>
      </c>
      <c r="D1316" s="3">
        <v>415.0</v>
      </c>
      <c r="E1316" s="3">
        <v>10.0</v>
      </c>
      <c r="F1316" s="3">
        <v>0.9</v>
      </c>
      <c r="G1316" s="3">
        <v>83.5</v>
      </c>
    </row>
    <row r="1317">
      <c r="A1317" s="3">
        <v>168827.0</v>
      </c>
      <c r="B1317" s="3" t="s">
        <v>1341</v>
      </c>
      <c r="C1317" s="3" t="s">
        <v>38</v>
      </c>
      <c r="D1317" s="3">
        <v>117.0</v>
      </c>
      <c r="E1317" s="3">
        <v>3.5</v>
      </c>
      <c r="F1317" s="3">
        <v>2.9</v>
      </c>
      <c r="G1317" s="3">
        <v>19.1</v>
      </c>
    </row>
    <row r="1318">
      <c r="A1318" s="3">
        <v>168828.0</v>
      </c>
      <c r="B1318" s="3" t="s">
        <v>1342</v>
      </c>
      <c r="C1318" s="3" t="s">
        <v>38</v>
      </c>
      <c r="D1318" s="3">
        <v>434.0</v>
      </c>
      <c r="E1318" s="3">
        <v>11.36</v>
      </c>
      <c r="F1318" s="3">
        <v>1.0</v>
      </c>
      <c r="G1318" s="3">
        <v>81.84</v>
      </c>
    </row>
    <row r="1319">
      <c r="A1319" s="3">
        <v>168829.0</v>
      </c>
      <c r="B1319" s="3" t="s">
        <v>1343</v>
      </c>
      <c r="C1319" s="3" t="s">
        <v>38</v>
      </c>
      <c r="D1319" s="3">
        <v>114.0</v>
      </c>
      <c r="E1319" s="3">
        <v>3.8</v>
      </c>
      <c r="F1319" s="3">
        <v>3.0</v>
      </c>
      <c r="G1319" s="3">
        <v>17.7</v>
      </c>
    </row>
    <row r="1320">
      <c r="A1320" s="3">
        <v>168830.0</v>
      </c>
      <c r="B1320" s="3" t="s">
        <v>1344</v>
      </c>
      <c r="C1320" s="3" t="s">
        <v>38</v>
      </c>
      <c r="D1320" s="3">
        <v>115.0</v>
      </c>
      <c r="E1320" s="3">
        <v>2.9</v>
      </c>
      <c r="F1320" s="3">
        <v>2.7</v>
      </c>
      <c r="G1320" s="3">
        <v>20.1</v>
      </c>
    </row>
    <row r="1321">
      <c r="A1321" s="3">
        <v>168831.0</v>
      </c>
      <c r="B1321" s="3" t="s">
        <v>1345</v>
      </c>
      <c r="C1321" s="3" t="s">
        <v>38</v>
      </c>
      <c r="D1321" s="3">
        <v>363.0</v>
      </c>
      <c r="E1321" s="3">
        <v>0.5</v>
      </c>
      <c r="F1321" s="3">
        <v>0.1</v>
      </c>
      <c r="G1321" s="3">
        <v>91.8</v>
      </c>
    </row>
    <row r="1322">
      <c r="A1322" s="3">
        <v>168832.0</v>
      </c>
      <c r="B1322" s="3" t="s">
        <v>1346</v>
      </c>
      <c r="C1322" s="3" t="s">
        <v>38</v>
      </c>
      <c r="D1322" s="3">
        <v>109.0</v>
      </c>
      <c r="E1322" s="3">
        <v>1.12</v>
      </c>
      <c r="F1322" s="3">
        <v>0.65</v>
      </c>
      <c r="G1322" s="3">
        <v>24.2</v>
      </c>
    </row>
    <row r="1323">
      <c r="A1323" s="3">
        <v>168833.0</v>
      </c>
      <c r="B1323" s="3" t="s">
        <v>1347</v>
      </c>
      <c r="C1323" s="3" t="s">
        <v>38</v>
      </c>
      <c r="D1323" s="3">
        <v>380.0</v>
      </c>
      <c r="E1323" s="3">
        <v>0.0</v>
      </c>
      <c r="F1323" s="3">
        <v>0.12</v>
      </c>
      <c r="G1323" s="3">
        <v>98.09</v>
      </c>
    </row>
    <row r="1324">
      <c r="A1324" s="3">
        <v>168834.0</v>
      </c>
      <c r="B1324" s="3" t="s">
        <v>1348</v>
      </c>
      <c r="C1324" s="3" t="s">
        <v>38</v>
      </c>
      <c r="D1324" s="3">
        <v>153.0</v>
      </c>
      <c r="E1324" s="3">
        <v>0.97</v>
      </c>
      <c r="F1324" s="3">
        <v>1.4</v>
      </c>
      <c r="G1324" s="3">
        <v>34.56</v>
      </c>
    </row>
    <row r="1325">
      <c r="A1325" s="3">
        <v>168835.0</v>
      </c>
      <c r="B1325" s="3" t="s">
        <v>1349</v>
      </c>
      <c r="C1325" s="3" t="s">
        <v>38</v>
      </c>
      <c r="D1325" s="3">
        <v>350.0</v>
      </c>
      <c r="E1325" s="3">
        <v>8.9</v>
      </c>
      <c r="F1325" s="3">
        <v>4.6</v>
      </c>
      <c r="G1325" s="3">
        <v>62.9</v>
      </c>
    </row>
    <row r="1326">
      <c r="A1326" s="3">
        <v>168836.0</v>
      </c>
      <c r="B1326" s="3" t="s">
        <v>1350</v>
      </c>
      <c r="C1326" s="3" t="s">
        <v>38</v>
      </c>
      <c r="D1326" s="3">
        <v>286.0</v>
      </c>
      <c r="E1326" s="3">
        <v>0.0</v>
      </c>
      <c r="F1326" s="3">
        <v>0.0</v>
      </c>
      <c r="G1326" s="3">
        <v>77.59</v>
      </c>
    </row>
    <row r="1327">
      <c r="A1327" s="3">
        <v>168837.0</v>
      </c>
      <c r="B1327" s="3" t="s">
        <v>1351</v>
      </c>
      <c r="C1327" s="3" t="s">
        <v>38</v>
      </c>
      <c r="D1327" s="3">
        <v>283.0</v>
      </c>
      <c r="E1327" s="3">
        <v>0.2</v>
      </c>
      <c r="F1327" s="3">
        <v>0.0</v>
      </c>
      <c r="G1327" s="3">
        <v>76.79</v>
      </c>
    </row>
    <row r="1328">
      <c r="A1328" s="3">
        <v>168838.0</v>
      </c>
      <c r="B1328" s="3" t="s">
        <v>1352</v>
      </c>
      <c r="C1328" s="3" t="s">
        <v>38</v>
      </c>
      <c r="D1328" s="3">
        <v>265.0</v>
      </c>
      <c r="E1328" s="3">
        <v>0.1</v>
      </c>
      <c r="F1328" s="3">
        <v>0.0</v>
      </c>
      <c r="G1328" s="3">
        <v>69.6</v>
      </c>
    </row>
    <row r="1329">
      <c r="A1329" s="3">
        <v>168839.0</v>
      </c>
      <c r="B1329" s="3" t="s">
        <v>1353</v>
      </c>
      <c r="C1329" s="3" t="s">
        <v>38</v>
      </c>
      <c r="D1329" s="3">
        <v>319.0</v>
      </c>
      <c r="E1329" s="3">
        <v>0.0</v>
      </c>
      <c r="F1329" s="3">
        <v>0.0</v>
      </c>
      <c r="G1329" s="3">
        <v>83.9</v>
      </c>
    </row>
    <row r="1330">
      <c r="A1330" s="3">
        <v>168840.0</v>
      </c>
      <c r="B1330" s="3" t="s">
        <v>1354</v>
      </c>
      <c r="C1330" s="3" t="s">
        <v>38</v>
      </c>
      <c r="D1330" s="3">
        <v>402.0</v>
      </c>
      <c r="E1330" s="3">
        <v>4.25</v>
      </c>
      <c r="F1330" s="3">
        <v>0.19</v>
      </c>
      <c r="G1330" s="3">
        <v>90.76</v>
      </c>
    </row>
    <row r="1331">
      <c r="A1331" s="3">
        <v>168841.0</v>
      </c>
      <c r="B1331" s="3" t="s">
        <v>1355</v>
      </c>
      <c r="C1331" s="3" t="s">
        <v>38</v>
      </c>
      <c r="D1331" s="3">
        <v>216.0</v>
      </c>
      <c r="E1331" s="3">
        <v>0.0</v>
      </c>
      <c r="F1331" s="3">
        <v>1.21</v>
      </c>
      <c r="G1331" s="3">
        <v>57.01</v>
      </c>
    </row>
    <row r="1332">
      <c r="A1332" s="3">
        <v>168842.0</v>
      </c>
      <c r="B1332" s="3" t="s">
        <v>1356</v>
      </c>
      <c r="C1332" s="3" t="s">
        <v>38</v>
      </c>
      <c r="D1332" s="3">
        <v>401.0</v>
      </c>
      <c r="E1332" s="3">
        <v>4.0</v>
      </c>
      <c r="F1332" s="3">
        <v>0.18</v>
      </c>
      <c r="G1332" s="3">
        <v>91.02</v>
      </c>
    </row>
    <row r="1333">
      <c r="A1333" s="3">
        <v>168843.0</v>
      </c>
      <c r="B1333" s="3" t="s">
        <v>1357</v>
      </c>
      <c r="C1333" s="3" t="s">
        <v>38</v>
      </c>
      <c r="D1333" s="3">
        <v>405.0</v>
      </c>
      <c r="E1333" s="3">
        <v>4.37</v>
      </c>
      <c r="F1333" s="3">
        <v>0.19</v>
      </c>
      <c r="G1333" s="3">
        <v>90.78</v>
      </c>
    </row>
    <row r="1334">
      <c r="A1334" s="3">
        <v>168844.0</v>
      </c>
      <c r="B1334" s="3" t="s">
        <v>1358</v>
      </c>
      <c r="C1334" s="3" t="s">
        <v>38</v>
      </c>
      <c r="D1334" s="3">
        <v>413.0</v>
      </c>
      <c r="E1334" s="3">
        <v>12.74</v>
      </c>
      <c r="F1334" s="3">
        <v>0.34</v>
      </c>
      <c r="G1334" s="3">
        <v>74.28</v>
      </c>
    </row>
    <row r="1335">
      <c r="A1335" s="3">
        <v>168845.0</v>
      </c>
      <c r="B1335" s="3" t="s">
        <v>1359</v>
      </c>
      <c r="C1335" s="3" t="s">
        <v>38</v>
      </c>
      <c r="D1335" s="3">
        <v>404.0</v>
      </c>
      <c r="E1335" s="3">
        <v>12.87</v>
      </c>
      <c r="F1335" s="3">
        <v>1.1</v>
      </c>
      <c r="G1335" s="3">
        <v>71.02</v>
      </c>
    </row>
    <row r="1336">
      <c r="A1336" s="3">
        <v>168846.0</v>
      </c>
      <c r="B1336" s="3" t="s">
        <v>1360</v>
      </c>
      <c r="C1336" s="3" t="s">
        <v>38</v>
      </c>
      <c r="D1336" s="3">
        <v>364.0</v>
      </c>
      <c r="E1336" s="3">
        <v>0.06</v>
      </c>
      <c r="F1336" s="3">
        <v>1.32</v>
      </c>
      <c r="G1336" s="3">
        <v>89.05</v>
      </c>
    </row>
    <row r="1337">
      <c r="A1337" s="3">
        <v>168847.0</v>
      </c>
      <c r="B1337" s="3" t="s">
        <v>1361</v>
      </c>
      <c r="C1337" s="3" t="s">
        <v>38</v>
      </c>
      <c r="D1337" s="3">
        <v>113.0</v>
      </c>
      <c r="E1337" s="3">
        <v>2.6</v>
      </c>
      <c r="F1337" s="3">
        <v>0.0</v>
      </c>
      <c r="G1337" s="3">
        <v>23.9</v>
      </c>
    </row>
    <row r="1338">
      <c r="A1338" s="3">
        <v>168848.0</v>
      </c>
      <c r="B1338" s="3" t="s">
        <v>1362</v>
      </c>
      <c r="C1338" s="3" t="s">
        <v>38</v>
      </c>
      <c r="D1338" s="3">
        <v>160.0</v>
      </c>
      <c r="E1338" s="3">
        <v>6.0</v>
      </c>
      <c r="F1338" s="3">
        <v>4.0</v>
      </c>
      <c r="G1338" s="3">
        <v>24.9</v>
      </c>
    </row>
    <row r="1339">
      <c r="A1339" s="3">
        <v>168849.0</v>
      </c>
      <c r="B1339" s="3" t="s">
        <v>1363</v>
      </c>
      <c r="C1339" s="3" t="s">
        <v>33</v>
      </c>
      <c r="D1339" s="3">
        <v>519.0</v>
      </c>
      <c r="E1339" s="3">
        <v>33.6</v>
      </c>
      <c r="F1339" s="3">
        <v>2.3</v>
      </c>
      <c r="G1339" s="3">
        <v>58.4</v>
      </c>
    </row>
    <row r="1340">
      <c r="A1340" s="3">
        <v>168850.0</v>
      </c>
      <c r="B1340" s="3" t="s">
        <v>1364</v>
      </c>
      <c r="C1340" s="3" t="s">
        <v>33</v>
      </c>
      <c r="D1340" s="3">
        <v>550.0</v>
      </c>
      <c r="E1340" s="3">
        <v>49.6</v>
      </c>
      <c r="F1340" s="3">
        <v>21.5</v>
      </c>
      <c r="G1340" s="3">
        <v>5.4</v>
      </c>
    </row>
    <row r="1341">
      <c r="A1341" s="3">
        <v>168851.0</v>
      </c>
      <c r="B1341" s="3" t="s">
        <v>1365</v>
      </c>
      <c r="C1341" s="3" t="s">
        <v>33</v>
      </c>
      <c r="D1341" s="3">
        <v>538.0</v>
      </c>
      <c r="E1341" s="3">
        <v>31.8</v>
      </c>
      <c r="F1341" s="3">
        <v>57.9</v>
      </c>
      <c r="G1341" s="3">
        <v>1.6</v>
      </c>
    </row>
    <row r="1342">
      <c r="A1342" s="3">
        <v>168852.0</v>
      </c>
      <c r="B1342" s="3" t="s">
        <v>1366</v>
      </c>
      <c r="C1342" s="3" t="s">
        <v>38</v>
      </c>
      <c r="D1342" s="3">
        <v>359.0</v>
      </c>
      <c r="E1342" s="3">
        <v>7.17</v>
      </c>
      <c r="F1342" s="3">
        <v>1.42</v>
      </c>
      <c r="G1342" s="3">
        <v>72.18</v>
      </c>
    </row>
    <row r="1343">
      <c r="A1343" s="3">
        <v>168853.0</v>
      </c>
      <c r="B1343" s="3" t="s">
        <v>1367</v>
      </c>
      <c r="C1343" s="3" t="s">
        <v>33</v>
      </c>
      <c r="D1343" s="3">
        <v>545.0</v>
      </c>
      <c r="E1343" s="3">
        <v>35.28</v>
      </c>
      <c r="F1343" s="3">
        <v>4.62</v>
      </c>
      <c r="G1343" s="3">
        <v>55.38</v>
      </c>
    </row>
    <row r="1344">
      <c r="A1344" s="3">
        <v>168854.0</v>
      </c>
      <c r="B1344" s="3" t="s">
        <v>1368</v>
      </c>
      <c r="C1344" s="3" t="s">
        <v>33</v>
      </c>
      <c r="D1344" s="3">
        <v>522.0</v>
      </c>
      <c r="E1344" s="3">
        <v>34.4</v>
      </c>
      <c r="F1344" s="3">
        <v>6.7</v>
      </c>
      <c r="G1344" s="3">
        <v>53.3</v>
      </c>
    </row>
    <row r="1345">
      <c r="A1345" s="3">
        <v>168855.0</v>
      </c>
      <c r="B1345" s="3" t="s">
        <v>1369</v>
      </c>
      <c r="C1345" s="3" t="s">
        <v>33</v>
      </c>
      <c r="D1345" s="3">
        <v>386.0</v>
      </c>
      <c r="E1345" s="3">
        <v>3.8</v>
      </c>
      <c r="F1345" s="3">
        <v>8.1</v>
      </c>
      <c r="G1345" s="3">
        <v>79.9</v>
      </c>
    </row>
    <row r="1346">
      <c r="A1346" s="3">
        <v>168856.0</v>
      </c>
      <c r="B1346" s="3" t="s">
        <v>1370</v>
      </c>
      <c r="C1346" s="3" t="s">
        <v>33</v>
      </c>
      <c r="D1346" s="3">
        <v>541.0</v>
      </c>
      <c r="E1346" s="3">
        <v>36.7</v>
      </c>
      <c r="F1346" s="3">
        <v>10.9</v>
      </c>
      <c r="G1346" s="3">
        <v>46.5</v>
      </c>
    </row>
    <row r="1347">
      <c r="A1347" s="3">
        <v>168857.0</v>
      </c>
      <c r="B1347" s="3" t="s">
        <v>1371</v>
      </c>
      <c r="C1347" s="3" t="s">
        <v>33</v>
      </c>
      <c r="D1347" s="3">
        <v>387.0</v>
      </c>
      <c r="E1347" s="3">
        <v>2.4</v>
      </c>
      <c r="F1347" s="3">
        <v>8.1</v>
      </c>
      <c r="G1347" s="3">
        <v>83.4</v>
      </c>
    </row>
    <row r="1348">
      <c r="A1348" s="3">
        <v>168858.0</v>
      </c>
      <c r="B1348" s="3" t="s">
        <v>1372</v>
      </c>
      <c r="C1348" s="3" t="s">
        <v>33</v>
      </c>
      <c r="D1348" s="3">
        <v>445.0</v>
      </c>
      <c r="E1348" s="3">
        <v>15.2</v>
      </c>
      <c r="F1348" s="3">
        <v>8.7</v>
      </c>
      <c r="G1348" s="3">
        <v>71.6</v>
      </c>
    </row>
    <row r="1349">
      <c r="A1349" s="3">
        <v>168859.0</v>
      </c>
      <c r="B1349" s="3" t="s">
        <v>1373</v>
      </c>
      <c r="C1349" s="3" t="s">
        <v>33</v>
      </c>
      <c r="D1349" s="3">
        <v>448.0</v>
      </c>
      <c r="E1349" s="3">
        <v>5.7</v>
      </c>
      <c r="F1349" s="3">
        <v>11.0</v>
      </c>
      <c r="G1349" s="3">
        <v>80.2</v>
      </c>
    </row>
    <row r="1350">
      <c r="A1350" s="3">
        <v>168860.0</v>
      </c>
      <c r="B1350" s="3" t="s">
        <v>1374</v>
      </c>
      <c r="C1350" s="3" t="s">
        <v>33</v>
      </c>
      <c r="D1350" s="3">
        <v>432.0</v>
      </c>
      <c r="E1350" s="3">
        <v>12.1</v>
      </c>
      <c r="F1350" s="3">
        <v>8.5</v>
      </c>
      <c r="G1350" s="3">
        <v>72.35</v>
      </c>
    </row>
    <row r="1351">
      <c r="A1351" s="3">
        <v>168861.0</v>
      </c>
      <c r="B1351" s="3" t="s">
        <v>1375</v>
      </c>
      <c r="C1351" s="3" t="s">
        <v>33</v>
      </c>
      <c r="D1351" s="3">
        <v>342.0</v>
      </c>
      <c r="E1351" s="3">
        <v>0.9</v>
      </c>
      <c r="F1351" s="3">
        <v>5.9</v>
      </c>
      <c r="G1351" s="3">
        <v>77.6</v>
      </c>
    </row>
    <row r="1352">
      <c r="A1352" s="3">
        <v>168862.0</v>
      </c>
      <c r="B1352" s="3" t="s">
        <v>1376</v>
      </c>
      <c r="C1352" s="3" t="s">
        <v>33</v>
      </c>
      <c r="D1352" s="3">
        <v>365.0</v>
      </c>
      <c r="E1352" s="3">
        <v>8.67</v>
      </c>
      <c r="F1352" s="3">
        <v>4.22</v>
      </c>
      <c r="G1352" s="3">
        <v>67.61</v>
      </c>
    </row>
    <row r="1353">
      <c r="A1353" s="3">
        <v>168863.0</v>
      </c>
      <c r="B1353" s="3" t="s">
        <v>1377</v>
      </c>
      <c r="C1353" s="3" t="s">
        <v>33</v>
      </c>
      <c r="D1353" s="3">
        <v>318.0</v>
      </c>
      <c r="E1353" s="3">
        <v>3.53</v>
      </c>
      <c r="F1353" s="3">
        <v>8.44</v>
      </c>
      <c r="G1353" s="3">
        <v>65.22</v>
      </c>
    </row>
    <row r="1354">
      <c r="A1354" s="3">
        <v>168864.0</v>
      </c>
      <c r="B1354" s="3" t="s">
        <v>1378</v>
      </c>
      <c r="C1354" s="3" t="s">
        <v>33</v>
      </c>
      <c r="D1354" s="3">
        <v>253.0</v>
      </c>
      <c r="E1354" s="3">
        <v>0.93</v>
      </c>
      <c r="F1354" s="3">
        <v>5.06</v>
      </c>
      <c r="G1354" s="3">
        <v>56.0</v>
      </c>
    </row>
    <row r="1355">
      <c r="A1355" s="3">
        <v>168865.0</v>
      </c>
      <c r="B1355" s="3" t="s">
        <v>1379</v>
      </c>
      <c r="C1355" s="3" t="s">
        <v>33</v>
      </c>
      <c r="D1355" s="3">
        <v>498.0</v>
      </c>
      <c r="E1355" s="3">
        <v>24.9</v>
      </c>
      <c r="F1355" s="3">
        <v>2.3</v>
      </c>
      <c r="G1355" s="3">
        <v>68.1</v>
      </c>
    </row>
    <row r="1356">
      <c r="A1356" s="3">
        <v>168866.0</v>
      </c>
      <c r="B1356" s="3" t="s">
        <v>1380</v>
      </c>
      <c r="C1356" s="3" t="s">
        <v>38</v>
      </c>
      <c r="D1356" s="3">
        <v>386.0</v>
      </c>
      <c r="E1356" s="3">
        <v>4.4</v>
      </c>
      <c r="F1356" s="3">
        <v>0.0</v>
      </c>
      <c r="G1356" s="3">
        <v>89.0</v>
      </c>
    </row>
    <row r="1357">
      <c r="A1357" s="3">
        <v>168867.0</v>
      </c>
      <c r="B1357" s="3" t="s">
        <v>1381</v>
      </c>
      <c r="C1357" s="3" t="s">
        <v>660</v>
      </c>
      <c r="D1357" s="3">
        <v>370.0</v>
      </c>
      <c r="E1357" s="3">
        <v>1.75</v>
      </c>
      <c r="F1357" s="3">
        <v>7.11</v>
      </c>
      <c r="G1357" s="3">
        <v>79.45</v>
      </c>
    </row>
    <row r="1358">
      <c r="A1358" s="3">
        <v>168868.0</v>
      </c>
      <c r="B1358" s="3" t="s">
        <v>1382</v>
      </c>
      <c r="C1358" s="3" t="s">
        <v>660</v>
      </c>
      <c r="D1358" s="3">
        <v>334.0</v>
      </c>
      <c r="E1358" s="3">
        <v>3.4</v>
      </c>
      <c r="F1358" s="3">
        <v>8.28</v>
      </c>
      <c r="G1358" s="3">
        <v>70.28</v>
      </c>
    </row>
    <row r="1359">
      <c r="A1359" s="3">
        <v>168869.0</v>
      </c>
      <c r="B1359" s="3" t="s">
        <v>1383</v>
      </c>
      <c r="C1359" s="3" t="s">
        <v>660</v>
      </c>
      <c r="D1359" s="3">
        <v>348.0</v>
      </c>
      <c r="E1359" s="3">
        <v>2.85</v>
      </c>
      <c r="F1359" s="3">
        <v>8.41</v>
      </c>
      <c r="G1359" s="3">
        <v>73.43</v>
      </c>
    </row>
    <row r="1360">
      <c r="A1360" s="3">
        <v>168870.0</v>
      </c>
      <c r="B1360" s="3" t="s">
        <v>1384</v>
      </c>
      <c r="C1360" s="3" t="s">
        <v>660</v>
      </c>
      <c r="D1360" s="3">
        <v>355.0</v>
      </c>
      <c r="E1360" s="3">
        <v>1.72</v>
      </c>
      <c r="F1360" s="3">
        <v>8.41</v>
      </c>
      <c r="G1360" s="3">
        <v>74.79</v>
      </c>
    </row>
    <row r="1361">
      <c r="A1361" s="3">
        <v>168871.0</v>
      </c>
      <c r="B1361" s="3" t="s">
        <v>1385</v>
      </c>
      <c r="C1361" s="3" t="s">
        <v>660</v>
      </c>
      <c r="D1361" s="3">
        <v>119.0</v>
      </c>
      <c r="E1361" s="3">
        <v>1.0</v>
      </c>
      <c r="F1361" s="3">
        <v>3.51</v>
      </c>
      <c r="G1361" s="3">
        <v>23.67</v>
      </c>
    </row>
    <row r="1362">
      <c r="A1362" s="3">
        <v>168872.0</v>
      </c>
      <c r="B1362" s="3" t="s">
        <v>1386</v>
      </c>
      <c r="C1362" s="3" t="s">
        <v>660</v>
      </c>
      <c r="D1362" s="3">
        <v>246.0</v>
      </c>
      <c r="E1362" s="3">
        <v>7.03</v>
      </c>
      <c r="F1362" s="3">
        <v>17.3</v>
      </c>
      <c r="G1362" s="3">
        <v>66.22</v>
      </c>
    </row>
    <row r="1363">
      <c r="A1363" s="3">
        <v>168873.0</v>
      </c>
      <c r="B1363" s="3" t="s">
        <v>1387</v>
      </c>
      <c r="C1363" s="3" t="s">
        <v>660</v>
      </c>
      <c r="D1363" s="3">
        <v>40.0</v>
      </c>
      <c r="E1363" s="3">
        <v>0.86</v>
      </c>
      <c r="F1363" s="3">
        <v>3.21</v>
      </c>
      <c r="G1363" s="3">
        <v>11.44</v>
      </c>
    </row>
    <row r="1364">
      <c r="A1364" s="3">
        <v>168874.0</v>
      </c>
      <c r="B1364" s="3" t="s">
        <v>1388</v>
      </c>
      <c r="C1364" s="3" t="s">
        <v>660</v>
      </c>
      <c r="D1364" s="3">
        <v>368.0</v>
      </c>
      <c r="E1364" s="3">
        <v>6.07</v>
      </c>
      <c r="F1364" s="3">
        <v>14.12</v>
      </c>
      <c r="G1364" s="3">
        <v>64.16</v>
      </c>
    </row>
    <row r="1365">
      <c r="A1365" s="3">
        <v>168875.0</v>
      </c>
      <c r="B1365" s="3" t="s">
        <v>1389</v>
      </c>
      <c r="C1365" s="3" t="s">
        <v>660</v>
      </c>
      <c r="D1365" s="3">
        <v>112.0</v>
      </c>
      <c r="E1365" s="3">
        <v>0.83</v>
      </c>
      <c r="F1365" s="3">
        <v>2.32</v>
      </c>
      <c r="G1365" s="3">
        <v>23.51</v>
      </c>
    </row>
    <row r="1366">
      <c r="A1366" s="3">
        <v>168876.0</v>
      </c>
      <c r="B1366" s="3" t="s">
        <v>1390</v>
      </c>
      <c r="C1366" s="3" t="s">
        <v>660</v>
      </c>
      <c r="D1366" s="3">
        <v>370.0</v>
      </c>
      <c r="E1366" s="3">
        <v>2.75</v>
      </c>
      <c r="F1366" s="3">
        <v>7.6</v>
      </c>
      <c r="G1366" s="3">
        <v>78.68</v>
      </c>
    </row>
    <row r="1367">
      <c r="A1367" s="3">
        <v>168877.0</v>
      </c>
      <c r="B1367" s="3" t="s">
        <v>1391</v>
      </c>
      <c r="C1367" s="3" t="s">
        <v>660</v>
      </c>
      <c r="D1367" s="3">
        <v>365.0</v>
      </c>
      <c r="E1367" s="3">
        <v>0.66</v>
      </c>
      <c r="F1367" s="3">
        <v>7.13</v>
      </c>
      <c r="G1367" s="3">
        <v>79.95</v>
      </c>
    </row>
    <row r="1368">
      <c r="A1368" s="3">
        <v>168878.0</v>
      </c>
      <c r="B1368" s="3" t="s">
        <v>1392</v>
      </c>
      <c r="C1368" s="3" t="s">
        <v>660</v>
      </c>
      <c r="D1368" s="3">
        <v>130.0</v>
      </c>
      <c r="E1368" s="3">
        <v>0.28</v>
      </c>
      <c r="F1368" s="3">
        <v>2.69</v>
      </c>
      <c r="G1368" s="3">
        <v>28.17</v>
      </c>
    </row>
    <row r="1369">
      <c r="A1369" s="3">
        <v>168879.0</v>
      </c>
      <c r="B1369" s="3" t="s">
        <v>1393</v>
      </c>
      <c r="C1369" s="3" t="s">
        <v>660</v>
      </c>
      <c r="D1369" s="3">
        <v>360.0</v>
      </c>
      <c r="E1369" s="3">
        <v>0.58</v>
      </c>
      <c r="F1369" s="3">
        <v>6.61</v>
      </c>
      <c r="G1369" s="3">
        <v>79.34</v>
      </c>
    </row>
    <row r="1370">
      <c r="A1370" s="3">
        <v>168880.0</v>
      </c>
      <c r="B1370" s="3" t="s">
        <v>1394</v>
      </c>
      <c r="C1370" s="3" t="s">
        <v>660</v>
      </c>
      <c r="D1370" s="3">
        <v>130.0</v>
      </c>
      <c r="E1370" s="3">
        <v>0.21</v>
      </c>
      <c r="F1370" s="3">
        <v>2.38</v>
      </c>
      <c r="G1370" s="3">
        <v>28.59</v>
      </c>
    </row>
    <row r="1371">
      <c r="A1371" s="3">
        <v>168881.0</v>
      </c>
      <c r="B1371" s="3" t="s">
        <v>1395</v>
      </c>
      <c r="C1371" s="3" t="s">
        <v>660</v>
      </c>
      <c r="D1371" s="3">
        <v>358.0</v>
      </c>
      <c r="E1371" s="3">
        <v>0.52</v>
      </c>
      <c r="F1371" s="3">
        <v>6.5</v>
      </c>
      <c r="G1371" s="3">
        <v>79.15</v>
      </c>
    </row>
    <row r="1372">
      <c r="A1372" s="3">
        <v>168882.0</v>
      </c>
      <c r="B1372" s="3" t="s">
        <v>1396</v>
      </c>
      <c r="C1372" s="3" t="s">
        <v>660</v>
      </c>
      <c r="D1372" s="3">
        <v>130.0</v>
      </c>
      <c r="E1372" s="3">
        <v>0.19</v>
      </c>
      <c r="F1372" s="3">
        <v>2.36</v>
      </c>
      <c r="G1372" s="3">
        <v>28.73</v>
      </c>
    </row>
    <row r="1373">
      <c r="A1373" s="3">
        <v>168883.0</v>
      </c>
      <c r="B1373" s="3" t="s">
        <v>1397</v>
      </c>
      <c r="C1373" s="3" t="s">
        <v>660</v>
      </c>
      <c r="D1373" s="3">
        <v>370.0</v>
      </c>
      <c r="E1373" s="3">
        <v>0.55</v>
      </c>
      <c r="F1373" s="3">
        <v>6.81</v>
      </c>
      <c r="G1373" s="3">
        <v>81.68</v>
      </c>
    </row>
    <row r="1374">
      <c r="A1374" s="3">
        <v>168884.0</v>
      </c>
      <c r="B1374" s="3" t="s">
        <v>1398</v>
      </c>
      <c r="C1374" s="3" t="s">
        <v>660</v>
      </c>
      <c r="D1374" s="3">
        <v>338.0</v>
      </c>
      <c r="E1374" s="3">
        <v>1.63</v>
      </c>
      <c r="F1374" s="3">
        <v>10.34</v>
      </c>
      <c r="G1374" s="3">
        <v>75.86</v>
      </c>
    </row>
    <row r="1375">
      <c r="A1375" s="3">
        <v>168885.0</v>
      </c>
      <c r="B1375" s="3" t="s">
        <v>1399</v>
      </c>
      <c r="C1375" s="3" t="s">
        <v>660</v>
      </c>
      <c r="D1375" s="3">
        <v>325.0</v>
      </c>
      <c r="E1375" s="3">
        <v>2.22</v>
      </c>
      <c r="F1375" s="3">
        <v>15.91</v>
      </c>
      <c r="G1375" s="3">
        <v>68.63</v>
      </c>
    </row>
    <row r="1376">
      <c r="A1376" s="3">
        <v>168886.0</v>
      </c>
      <c r="B1376" s="3" t="s">
        <v>1400</v>
      </c>
      <c r="C1376" s="3" t="s">
        <v>660</v>
      </c>
      <c r="D1376" s="3">
        <v>349.0</v>
      </c>
      <c r="E1376" s="3">
        <v>1.52</v>
      </c>
      <c r="F1376" s="3">
        <v>10.88</v>
      </c>
      <c r="G1376" s="3">
        <v>75.43</v>
      </c>
    </row>
    <row r="1377">
      <c r="A1377" s="3">
        <v>168887.0</v>
      </c>
      <c r="B1377" s="3" t="s">
        <v>1401</v>
      </c>
      <c r="C1377" s="3" t="s">
        <v>660</v>
      </c>
      <c r="D1377" s="3">
        <v>357.0</v>
      </c>
      <c r="E1377" s="3">
        <v>1.33</v>
      </c>
      <c r="F1377" s="3">
        <v>9.82</v>
      </c>
      <c r="G1377" s="3">
        <v>76.68</v>
      </c>
    </row>
    <row r="1378">
      <c r="A1378" s="3">
        <v>168888.0</v>
      </c>
      <c r="B1378" s="3" t="s">
        <v>1402</v>
      </c>
      <c r="C1378" s="3" t="s">
        <v>660</v>
      </c>
      <c r="D1378" s="3">
        <v>338.0</v>
      </c>
      <c r="E1378" s="3">
        <v>1.81</v>
      </c>
      <c r="F1378" s="3">
        <v>13.18</v>
      </c>
      <c r="G1378" s="3">
        <v>73.14</v>
      </c>
    </row>
    <row r="1379">
      <c r="A1379" s="3">
        <v>168889.0</v>
      </c>
      <c r="B1379" s="3" t="s">
        <v>1403</v>
      </c>
      <c r="C1379" s="3" t="s">
        <v>660</v>
      </c>
      <c r="D1379" s="3">
        <v>329.0</v>
      </c>
      <c r="E1379" s="3">
        <v>1.92</v>
      </c>
      <c r="F1379" s="3">
        <v>15.4</v>
      </c>
      <c r="G1379" s="3">
        <v>68.03</v>
      </c>
    </row>
    <row r="1380">
      <c r="A1380" s="3">
        <v>168890.0</v>
      </c>
      <c r="B1380" s="3" t="s">
        <v>1404</v>
      </c>
      <c r="C1380" s="3" t="s">
        <v>660</v>
      </c>
      <c r="D1380" s="3">
        <v>327.0</v>
      </c>
      <c r="E1380" s="3">
        <v>1.54</v>
      </c>
      <c r="F1380" s="3">
        <v>12.61</v>
      </c>
      <c r="G1380" s="3">
        <v>71.18</v>
      </c>
    </row>
    <row r="1381">
      <c r="A1381" s="3">
        <v>168891.0</v>
      </c>
      <c r="B1381" s="3" t="s">
        <v>1405</v>
      </c>
      <c r="C1381" s="3" t="s">
        <v>660</v>
      </c>
      <c r="D1381" s="3">
        <v>331.0</v>
      </c>
      <c r="E1381" s="3">
        <v>1.56</v>
      </c>
      <c r="F1381" s="3">
        <v>10.35</v>
      </c>
      <c r="G1381" s="3">
        <v>74.24</v>
      </c>
    </row>
    <row r="1382">
      <c r="A1382" s="3">
        <v>168892.0</v>
      </c>
      <c r="B1382" s="3" t="s">
        <v>1406</v>
      </c>
      <c r="C1382" s="3" t="s">
        <v>660</v>
      </c>
      <c r="D1382" s="3">
        <v>360.0</v>
      </c>
      <c r="E1382" s="3">
        <v>9.72</v>
      </c>
      <c r="F1382" s="3">
        <v>23.15</v>
      </c>
      <c r="G1382" s="3">
        <v>51.8</v>
      </c>
    </row>
    <row r="1383">
      <c r="A1383" s="3">
        <v>168893.0</v>
      </c>
      <c r="B1383" s="3" t="s">
        <v>1407</v>
      </c>
      <c r="C1383" s="3" t="s">
        <v>660</v>
      </c>
      <c r="D1383" s="3">
        <v>340.0</v>
      </c>
      <c r="E1383" s="3">
        <v>2.5</v>
      </c>
      <c r="F1383" s="3">
        <v>13.21</v>
      </c>
      <c r="G1383" s="3">
        <v>71.97</v>
      </c>
    </row>
    <row r="1384">
      <c r="A1384" s="3">
        <v>168894.0</v>
      </c>
      <c r="B1384" s="3" t="s">
        <v>1408</v>
      </c>
      <c r="C1384" s="3" t="s">
        <v>660</v>
      </c>
      <c r="D1384" s="3">
        <v>364.0</v>
      </c>
      <c r="E1384" s="3">
        <v>0.98</v>
      </c>
      <c r="F1384" s="3">
        <v>10.33</v>
      </c>
      <c r="G1384" s="3">
        <v>76.31</v>
      </c>
    </row>
    <row r="1385">
      <c r="A1385" s="3">
        <v>168895.0</v>
      </c>
      <c r="B1385" s="3" t="s">
        <v>1409</v>
      </c>
      <c r="C1385" s="3" t="s">
        <v>660</v>
      </c>
      <c r="D1385" s="3">
        <v>354.0</v>
      </c>
      <c r="E1385" s="3">
        <v>0.97</v>
      </c>
      <c r="F1385" s="3">
        <v>9.89</v>
      </c>
      <c r="G1385" s="3">
        <v>74.22</v>
      </c>
    </row>
    <row r="1386">
      <c r="A1386" s="3">
        <v>168896.0</v>
      </c>
      <c r="B1386" s="3" t="s">
        <v>1410</v>
      </c>
      <c r="C1386" s="3" t="s">
        <v>660</v>
      </c>
      <c r="D1386" s="3">
        <v>361.0</v>
      </c>
      <c r="E1386" s="3">
        <v>1.66</v>
      </c>
      <c r="F1386" s="3">
        <v>11.98</v>
      </c>
      <c r="G1386" s="3">
        <v>72.53</v>
      </c>
    </row>
    <row r="1387">
      <c r="A1387" s="3">
        <v>168897.0</v>
      </c>
      <c r="B1387" s="3" t="s">
        <v>1411</v>
      </c>
      <c r="C1387" s="3" t="s">
        <v>660</v>
      </c>
      <c r="D1387" s="3">
        <v>101.0</v>
      </c>
      <c r="E1387" s="3">
        <v>0.34</v>
      </c>
      <c r="F1387" s="3">
        <v>3.99</v>
      </c>
      <c r="G1387" s="3">
        <v>21.34</v>
      </c>
    </row>
    <row r="1388">
      <c r="A1388" s="3">
        <v>168898.0</v>
      </c>
      <c r="B1388" s="3" t="s">
        <v>1412</v>
      </c>
      <c r="C1388" s="3" t="s">
        <v>660</v>
      </c>
      <c r="D1388" s="3">
        <v>363.0</v>
      </c>
      <c r="E1388" s="3">
        <v>2.78</v>
      </c>
      <c r="F1388" s="3">
        <v>7.23</v>
      </c>
      <c r="G1388" s="3">
        <v>76.48</v>
      </c>
    </row>
    <row r="1389">
      <c r="A1389" s="3">
        <v>168899.0</v>
      </c>
      <c r="B1389" s="3" t="s">
        <v>1413</v>
      </c>
      <c r="C1389" s="3" t="s">
        <v>660</v>
      </c>
      <c r="D1389" s="3">
        <v>357.0</v>
      </c>
      <c r="E1389" s="3">
        <v>2.08</v>
      </c>
      <c r="F1389" s="3">
        <v>7.46</v>
      </c>
      <c r="G1389" s="3">
        <v>79.26</v>
      </c>
    </row>
    <row r="1390">
      <c r="A1390" s="3">
        <v>168900.0</v>
      </c>
      <c r="B1390" s="3" t="s">
        <v>1414</v>
      </c>
      <c r="C1390" s="3" t="s">
        <v>660</v>
      </c>
      <c r="D1390" s="3">
        <v>126.0</v>
      </c>
      <c r="E1390" s="3">
        <v>0.73</v>
      </c>
      <c r="F1390" s="3">
        <v>2.63</v>
      </c>
      <c r="G1390" s="3">
        <v>27.91</v>
      </c>
    </row>
    <row r="1391">
      <c r="A1391" s="3">
        <v>168901.0</v>
      </c>
      <c r="B1391" s="3" t="s">
        <v>1415</v>
      </c>
      <c r="C1391" s="3" t="s">
        <v>660</v>
      </c>
      <c r="D1391" s="3">
        <v>130.0</v>
      </c>
      <c r="E1391" s="3">
        <v>1.74</v>
      </c>
      <c r="F1391" s="3">
        <v>5.28</v>
      </c>
      <c r="G1391" s="3">
        <v>23.54</v>
      </c>
    </row>
    <row r="1392">
      <c r="A1392" s="3">
        <v>168902.0</v>
      </c>
      <c r="B1392" s="3" t="s">
        <v>1416</v>
      </c>
      <c r="C1392" s="3" t="s">
        <v>660</v>
      </c>
      <c r="D1392" s="3">
        <v>124.0</v>
      </c>
      <c r="E1392" s="3">
        <v>0.98</v>
      </c>
      <c r="F1392" s="3">
        <v>4.37</v>
      </c>
      <c r="G1392" s="3">
        <v>25.12</v>
      </c>
    </row>
    <row r="1393">
      <c r="A1393" s="3">
        <v>168903.0</v>
      </c>
      <c r="B1393" s="3" t="s">
        <v>1417</v>
      </c>
      <c r="C1393" s="3" t="s">
        <v>660</v>
      </c>
      <c r="D1393" s="3">
        <v>367.0</v>
      </c>
      <c r="E1393" s="3">
        <v>1.04</v>
      </c>
      <c r="F1393" s="3">
        <v>13.14</v>
      </c>
      <c r="G1393" s="3">
        <v>74.88</v>
      </c>
    </row>
    <row r="1394">
      <c r="A1394" s="3">
        <v>168904.0</v>
      </c>
      <c r="B1394" s="3" t="s">
        <v>1418</v>
      </c>
      <c r="C1394" s="3" t="s">
        <v>660</v>
      </c>
      <c r="D1394" s="3">
        <v>128.0</v>
      </c>
      <c r="E1394" s="3">
        <v>0.11</v>
      </c>
      <c r="F1394" s="3">
        <v>4.53</v>
      </c>
      <c r="G1394" s="3">
        <v>26.61</v>
      </c>
    </row>
    <row r="1395">
      <c r="A1395" s="3">
        <v>168905.0</v>
      </c>
      <c r="B1395" s="3" t="s">
        <v>1419</v>
      </c>
      <c r="C1395" s="3" t="s">
        <v>660</v>
      </c>
      <c r="D1395" s="3">
        <v>471.0</v>
      </c>
      <c r="E1395" s="3">
        <v>21.24</v>
      </c>
      <c r="F1395" s="3">
        <v>10.88</v>
      </c>
      <c r="G1395" s="3">
        <v>63.64</v>
      </c>
    </row>
    <row r="1396">
      <c r="A1396" s="3">
        <v>168906.0</v>
      </c>
      <c r="B1396" s="3" t="s">
        <v>1420</v>
      </c>
      <c r="C1396" s="3" t="s">
        <v>660</v>
      </c>
      <c r="D1396" s="3">
        <v>336.0</v>
      </c>
      <c r="E1396" s="3">
        <v>0.71</v>
      </c>
      <c r="F1396" s="3">
        <v>14.38</v>
      </c>
      <c r="G1396" s="3">
        <v>74.62</v>
      </c>
    </row>
    <row r="1397">
      <c r="A1397" s="3">
        <v>168907.0</v>
      </c>
      <c r="B1397" s="3" t="s">
        <v>1421</v>
      </c>
      <c r="C1397" s="3" t="s">
        <v>660</v>
      </c>
      <c r="D1397" s="3">
        <v>99.0</v>
      </c>
      <c r="E1397" s="3">
        <v>0.1</v>
      </c>
      <c r="F1397" s="3">
        <v>5.06</v>
      </c>
      <c r="G1397" s="3">
        <v>21.44</v>
      </c>
    </row>
    <row r="1398">
      <c r="A1398" s="3">
        <v>168908.0</v>
      </c>
      <c r="B1398" s="3" t="s">
        <v>1422</v>
      </c>
      <c r="C1398" s="3" t="s">
        <v>660</v>
      </c>
      <c r="D1398" s="3">
        <v>356.0</v>
      </c>
      <c r="E1398" s="3">
        <v>0.81</v>
      </c>
      <c r="F1398" s="3">
        <v>11.35</v>
      </c>
      <c r="G1398" s="3">
        <v>74.1</v>
      </c>
    </row>
    <row r="1399">
      <c r="A1399" s="3">
        <v>168909.0</v>
      </c>
      <c r="B1399" s="3" t="s">
        <v>1423</v>
      </c>
      <c r="C1399" s="3" t="s">
        <v>660</v>
      </c>
      <c r="D1399" s="3">
        <v>131.0</v>
      </c>
      <c r="E1399" s="3">
        <v>0.18</v>
      </c>
      <c r="F1399" s="3">
        <v>4.0</v>
      </c>
      <c r="G1399" s="3">
        <v>27.54</v>
      </c>
    </row>
    <row r="1400">
      <c r="A1400" s="3">
        <v>168910.0</v>
      </c>
      <c r="B1400" s="3" t="s">
        <v>1424</v>
      </c>
      <c r="C1400" s="3" t="s">
        <v>660</v>
      </c>
      <c r="D1400" s="3">
        <v>149.0</v>
      </c>
      <c r="E1400" s="3">
        <v>1.71</v>
      </c>
      <c r="F1400" s="3">
        <v>5.99</v>
      </c>
      <c r="G1400" s="3">
        <v>30.07</v>
      </c>
    </row>
    <row r="1401">
      <c r="A1401" s="3">
        <v>168911.0</v>
      </c>
      <c r="B1401" s="3" t="s">
        <v>1425</v>
      </c>
      <c r="C1401" s="3" t="s">
        <v>660</v>
      </c>
      <c r="D1401" s="3">
        <v>372.0</v>
      </c>
      <c r="E1401" s="3">
        <v>1.57</v>
      </c>
      <c r="F1401" s="3">
        <v>13.35</v>
      </c>
      <c r="G1401" s="3">
        <v>74.81</v>
      </c>
    </row>
    <row r="1402">
      <c r="A1402" s="3">
        <v>168912.0</v>
      </c>
      <c r="B1402" s="3" t="s">
        <v>1426</v>
      </c>
      <c r="C1402" s="3" t="s">
        <v>660</v>
      </c>
      <c r="D1402" s="3">
        <v>130.0</v>
      </c>
      <c r="E1402" s="3">
        <v>0.63</v>
      </c>
      <c r="F1402" s="3">
        <v>4.58</v>
      </c>
      <c r="G1402" s="3">
        <v>26.15</v>
      </c>
    </row>
    <row r="1403">
      <c r="A1403" s="3">
        <v>168913.0</v>
      </c>
      <c r="B1403" s="3" t="s">
        <v>1427</v>
      </c>
      <c r="C1403" s="3" t="s">
        <v>660</v>
      </c>
      <c r="D1403" s="3">
        <v>361.0</v>
      </c>
      <c r="E1403" s="3">
        <v>1.66</v>
      </c>
      <c r="F1403" s="3">
        <v>11.98</v>
      </c>
      <c r="G1403" s="3">
        <v>72.53</v>
      </c>
    </row>
    <row r="1404">
      <c r="A1404" s="3">
        <v>168914.0</v>
      </c>
      <c r="B1404" s="3" t="s">
        <v>1428</v>
      </c>
      <c r="C1404" s="3" t="s">
        <v>660</v>
      </c>
      <c r="D1404" s="3">
        <v>108.0</v>
      </c>
      <c r="E1404" s="3">
        <v>0.2</v>
      </c>
      <c r="F1404" s="3">
        <v>1.79</v>
      </c>
      <c r="G1404" s="3">
        <v>24.01</v>
      </c>
    </row>
    <row r="1405">
      <c r="A1405" s="3">
        <v>168915.0</v>
      </c>
      <c r="B1405" s="3" t="s">
        <v>1429</v>
      </c>
      <c r="C1405" s="3" t="s">
        <v>660</v>
      </c>
      <c r="D1405" s="3">
        <v>362.0</v>
      </c>
      <c r="E1405" s="3">
        <v>2.68</v>
      </c>
      <c r="F1405" s="3">
        <v>13.51</v>
      </c>
      <c r="G1405" s="3">
        <v>73.1</v>
      </c>
    </row>
    <row r="1406">
      <c r="A1406" s="3">
        <v>168916.0</v>
      </c>
      <c r="B1406" s="3" t="s">
        <v>1430</v>
      </c>
      <c r="C1406" s="3" t="s">
        <v>660</v>
      </c>
      <c r="D1406" s="3">
        <v>159.0</v>
      </c>
      <c r="E1406" s="3">
        <v>1.5</v>
      </c>
      <c r="F1406" s="3">
        <v>5.82</v>
      </c>
      <c r="G1406" s="3">
        <v>31.51</v>
      </c>
    </row>
    <row r="1407">
      <c r="A1407" s="3">
        <v>168917.0</v>
      </c>
      <c r="B1407" s="3" t="s">
        <v>1431</v>
      </c>
      <c r="C1407" s="3" t="s">
        <v>660</v>
      </c>
      <c r="D1407" s="3">
        <v>120.0</v>
      </c>
      <c r="E1407" s="3">
        <v>1.92</v>
      </c>
      <c r="F1407" s="3">
        <v>4.4</v>
      </c>
      <c r="G1407" s="3">
        <v>21.3</v>
      </c>
    </row>
    <row r="1408">
      <c r="A1408" s="3">
        <v>168918.0</v>
      </c>
      <c r="B1408" s="3" t="s">
        <v>1432</v>
      </c>
      <c r="C1408" s="3" t="s">
        <v>660</v>
      </c>
      <c r="D1408" s="3">
        <v>101.0</v>
      </c>
      <c r="E1408" s="3">
        <v>0.65</v>
      </c>
      <c r="F1408" s="3">
        <v>3.87</v>
      </c>
      <c r="G1408" s="3">
        <v>19.86</v>
      </c>
    </row>
    <row r="1409">
      <c r="A1409" s="3">
        <v>168919.0</v>
      </c>
      <c r="B1409" s="3" t="s">
        <v>1433</v>
      </c>
      <c r="C1409" s="3" t="s">
        <v>660</v>
      </c>
      <c r="D1409" s="3">
        <v>138.0</v>
      </c>
      <c r="E1409" s="3">
        <v>2.07</v>
      </c>
      <c r="F1409" s="3">
        <v>4.54</v>
      </c>
      <c r="G1409" s="3">
        <v>25.16</v>
      </c>
    </row>
    <row r="1410">
      <c r="A1410" s="3">
        <v>168920.0</v>
      </c>
      <c r="B1410" s="3" t="s">
        <v>1434</v>
      </c>
      <c r="C1410" s="3" t="s">
        <v>660</v>
      </c>
      <c r="D1410" s="3">
        <v>365.0</v>
      </c>
      <c r="E1410" s="3">
        <v>4.74</v>
      </c>
      <c r="F1410" s="3">
        <v>9.42</v>
      </c>
      <c r="G1410" s="3">
        <v>74.26</v>
      </c>
    </row>
    <row r="1411">
      <c r="A1411" s="3">
        <v>168921.0</v>
      </c>
      <c r="B1411" s="3" t="s">
        <v>1435</v>
      </c>
      <c r="C1411" s="3" t="s">
        <v>660</v>
      </c>
      <c r="D1411" s="3">
        <v>364.0</v>
      </c>
      <c r="E1411" s="3">
        <v>5.09</v>
      </c>
      <c r="F1411" s="3">
        <v>8.75</v>
      </c>
      <c r="G1411" s="3">
        <v>73.89</v>
      </c>
    </row>
    <row r="1412">
      <c r="A1412" s="3">
        <v>168922.0</v>
      </c>
      <c r="B1412" s="3" t="s">
        <v>1436</v>
      </c>
      <c r="C1412" s="3" t="s">
        <v>660</v>
      </c>
      <c r="D1412" s="3">
        <v>370.0</v>
      </c>
      <c r="E1412" s="3">
        <v>1.75</v>
      </c>
      <c r="F1412" s="3">
        <v>7.11</v>
      </c>
      <c r="G1412" s="3">
        <v>79.45</v>
      </c>
    </row>
    <row r="1413">
      <c r="A1413" s="3">
        <v>168923.0</v>
      </c>
      <c r="B1413" s="3" t="s">
        <v>1437</v>
      </c>
      <c r="C1413" s="3" t="s">
        <v>660</v>
      </c>
      <c r="D1413" s="3">
        <v>334.0</v>
      </c>
      <c r="E1413" s="3">
        <v>3.4</v>
      </c>
      <c r="F1413" s="3">
        <v>8.28</v>
      </c>
      <c r="G1413" s="3">
        <v>70.28</v>
      </c>
    </row>
    <row r="1414">
      <c r="A1414" s="3">
        <v>168924.0</v>
      </c>
      <c r="B1414" s="3" t="s">
        <v>1438</v>
      </c>
      <c r="C1414" s="3" t="s">
        <v>660</v>
      </c>
      <c r="D1414" s="3">
        <v>348.0</v>
      </c>
      <c r="E1414" s="3">
        <v>2.85</v>
      </c>
      <c r="F1414" s="3">
        <v>8.41</v>
      </c>
      <c r="G1414" s="3">
        <v>73.43</v>
      </c>
    </row>
    <row r="1415">
      <c r="A1415" s="3">
        <v>168925.0</v>
      </c>
      <c r="B1415" s="3" t="s">
        <v>1439</v>
      </c>
      <c r="C1415" s="3" t="s">
        <v>660</v>
      </c>
      <c r="D1415" s="3">
        <v>355.0</v>
      </c>
      <c r="E1415" s="3">
        <v>1.72</v>
      </c>
      <c r="F1415" s="3">
        <v>8.41</v>
      </c>
      <c r="G1415" s="3">
        <v>74.79</v>
      </c>
    </row>
    <row r="1416">
      <c r="A1416" s="3">
        <v>168926.0</v>
      </c>
      <c r="B1416" s="3" t="s">
        <v>1440</v>
      </c>
      <c r="C1416" s="3" t="s">
        <v>660</v>
      </c>
      <c r="D1416" s="3">
        <v>138.0</v>
      </c>
      <c r="E1416" s="3">
        <v>2.07</v>
      </c>
      <c r="F1416" s="3">
        <v>4.54</v>
      </c>
      <c r="G1416" s="3">
        <v>25.16</v>
      </c>
    </row>
    <row r="1417">
      <c r="A1417" s="3">
        <v>168927.0</v>
      </c>
      <c r="B1417" s="3" t="s">
        <v>1441</v>
      </c>
      <c r="C1417" s="3" t="s">
        <v>660</v>
      </c>
      <c r="D1417" s="3">
        <v>371.0</v>
      </c>
      <c r="E1417" s="3">
        <v>1.51</v>
      </c>
      <c r="F1417" s="3">
        <v>13.04</v>
      </c>
      <c r="G1417" s="3">
        <v>74.67</v>
      </c>
    </row>
    <row r="1418">
      <c r="A1418" s="3">
        <v>168928.0</v>
      </c>
      <c r="B1418" s="3" t="s">
        <v>1442</v>
      </c>
      <c r="C1418" s="3" t="s">
        <v>660</v>
      </c>
      <c r="D1418" s="3">
        <v>158.0</v>
      </c>
      <c r="E1418" s="3">
        <v>0.93</v>
      </c>
      <c r="F1418" s="3">
        <v>5.8</v>
      </c>
      <c r="G1418" s="3">
        <v>30.86</v>
      </c>
    </row>
    <row r="1419">
      <c r="A1419" s="3">
        <v>168929.0</v>
      </c>
      <c r="B1419" s="3" t="s">
        <v>1443</v>
      </c>
      <c r="C1419" s="3" t="s">
        <v>660</v>
      </c>
      <c r="D1419" s="3">
        <v>370.0</v>
      </c>
      <c r="E1419" s="3">
        <v>1.75</v>
      </c>
      <c r="F1419" s="3">
        <v>7.11</v>
      </c>
      <c r="G1419" s="3">
        <v>79.45</v>
      </c>
    </row>
    <row r="1420">
      <c r="A1420" s="3">
        <v>168930.0</v>
      </c>
      <c r="B1420" s="3" t="s">
        <v>1444</v>
      </c>
      <c r="C1420" s="3" t="s">
        <v>660</v>
      </c>
      <c r="D1420" s="3">
        <v>130.0</v>
      </c>
      <c r="E1420" s="3">
        <v>0.21</v>
      </c>
      <c r="F1420" s="3">
        <v>2.38</v>
      </c>
      <c r="G1420" s="3">
        <v>28.59</v>
      </c>
    </row>
    <row r="1421">
      <c r="A1421" s="3">
        <v>168931.0</v>
      </c>
      <c r="B1421" s="3" t="s">
        <v>1445</v>
      </c>
      <c r="C1421" s="3" t="s">
        <v>660</v>
      </c>
      <c r="D1421" s="3">
        <v>358.0</v>
      </c>
      <c r="E1421" s="3">
        <v>0.52</v>
      </c>
      <c r="F1421" s="3">
        <v>6.5</v>
      </c>
      <c r="G1421" s="3">
        <v>79.15</v>
      </c>
    </row>
    <row r="1422">
      <c r="A1422" s="3">
        <v>168932.0</v>
      </c>
      <c r="B1422" s="3" t="s">
        <v>1446</v>
      </c>
      <c r="C1422" s="3" t="s">
        <v>660</v>
      </c>
      <c r="D1422" s="3">
        <v>130.0</v>
      </c>
      <c r="E1422" s="3">
        <v>0.19</v>
      </c>
      <c r="F1422" s="3">
        <v>2.36</v>
      </c>
      <c r="G1422" s="3">
        <v>28.73</v>
      </c>
    </row>
    <row r="1423">
      <c r="A1423" s="3">
        <v>168933.0</v>
      </c>
      <c r="B1423" s="3" t="s">
        <v>1447</v>
      </c>
      <c r="C1423" s="3" t="s">
        <v>660</v>
      </c>
      <c r="D1423" s="3">
        <v>360.0</v>
      </c>
      <c r="E1423" s="3">
        <v>1.05</v>
      </c>
      <c r="F1423" s="3">
        <v>12.68</v>
      </c>
      <c r="G1423" s="3">
        <v>72.83</v>
      </c>
    </row>
    <row r="1424">
      <c r="A1424" s="3">
        <v>168934.0</v>
      </c>
      <c r="B1424" s="3" t="s">
        <v>1448</v>
      </c>
      <c r="C1424" s="3" t="s">
        <v>660</v>
      </c>
      <c r="D1424" s="3">
        <v>164.0</v>
      </c>
      <c r="E1424" s="3">
        <v>0.21</v>
      </c>
      <c r="F1424" s="3">
        <v>8.86</v>
      </c>
      <c r="G1424" s="3">
        <v>30.88</v>
      </c>
    </row>
    <row r="1425">
      <c r="A1425" s="3">
        <v>168935.0</v>
      </c>
      <c r="B1425" s="3" t="s">
        <v>1449</v>
      </c>
      <c r="C1425" s="3" t="s">
        <v>660</v>
      </c>
      <c r="D1425" s="3">
        <v>130.0</v>
      </c>
      <c r="E1425" s="3">
        <v>0.28</v>
      </c>
      <c r="F1425" s="3">
        <v>2.69</v>
      </c>
      <c r="G1425" s="3">
        <v>28.17</v>
      </c>
    </row>
    <row r="1426">
      <c r="A1426" s="3">
        <v>168936.0</v>
      </c>
      <c r="B1426" s="3" t="s">
        <v>1450</v>
      </c>
      <c r="C1426" s="3" t="s">
        <v>660</v>
      </c>
      <c r="D1426" s="3">
        <v>364.0</v>
      </c>
      <c r="E1426" s="3">
        <v>0.98</v>
      </c>
      <c r="F1426" s="3">
        <v>10.33</v>
      </c>
      <c r="G1426" s="3">
        <v>76.31</v>
      </c>
    </row>
    <row r="1427">
      <c r="A1427" s="3">
        <v>168937.0</v>
      </c>
      <c r="B1427" s="3" t="s">
        <v>1451</v>
      </c>
      <c r="C1427" s="3" t="s">
        <v>660</v>
      </c>
      <c r="D1427" s="3">
        <v>374.0</v>
      </c>
      <c r="E1427" s="3">
        <v>2.23</v>
      </c>
      <c r="F1427" s="3">
        <v>21.78</v>
      </c>
      <c r="G1427" s="3">
        <v>65.65</v>
      </c>
    </row>
    <row r="1428">
      <c r="A1428" s="3">
        <v>168938.0</v>
      </c>
      <c r="B1428" s="3" t="s">
        <v>1452</v>
      </c>
      <c r="C1428" s="3" t="s">
        <v>660</v>
      </c>
      <c r="D1428" s="3">
        <v>366.0</v>
      </c>
      <c r="E1428" s="3">
        <v>1.48</v>
      </c>
      <c r="F1428" s="3">
        <v>9.71</v>
      </c>
      <c r="G1428" s="3">
        <v>76.22</v>
      </c>
    </row>
    <row r="1429">
      <c r="A1429" s="3">
        <v>168939.0</v>
      </c>
      <c r="B1429" s="3" t="s">
        <v>1453</v>
      </c>
      <c r="C1429" s="3" t="s">
        <v>660</v>
      </c>
      <c r="D1429" s="3">
        <v>363.0</v>
      </c>
      <c r="E1429" s="3">
        <v>1.45</v>
      </c>
      <c r="F1429" s="3">
        <v>11.5</v>
      </c>
      <c r="G1429" s="3">
        <v>73.81</v>
      </c>
    </row>
    <row r="1430">
      <c r="A1430" s="3">
        <v>168940.0</v>
      </c>
      <c r="B1430" s="3" t="s">
        <v>1454</v>
      </c>
      <c r="C1430" s="3" t="s">
        <v>660</v>
      </c>
      <c r="D1430" s="3">
        <v>363.0</v>
      </c>
      <c r="E1430" s="3">
        <v>1.45</v>
      </c>
      <c r="F1430" s="3">
        <v>11.5</v>
      </c>
      <c r="G1430" s="3">
        <v>73.81</v>
      </c>
    </row>
    <row r="1431">
      <c r="A1431" s="3">
        <v>168941.0</v>
      </c>
      <c r="B1431" s="3" t="s">
        <v>1455</v>
      </c>
      <c r="C1431" s="3" t="s">
        <v>660</v>
      </c>
      <c r="D1431" s="3">
        <v>363.0</v>
      </c>
      <c r="E1431" s="3">
        <v>1.45</v>
      </c>
      <c r="F1431" s="3">
        <v>11.5</v>
      </c>
      <c r="G1431" s="3">
        <v>73.81</v>
      </c>
    </row>
    <row r="1432">
      <c r="A1432" s="3">
        <v>168942.0</v>
      </c>
      <c r="B1432" s="3" t="s">
        <v>1456</v>
      </c>
      <c r="C1432" s="3" t="s">
        <v>660</v>
      </c>
      <c r="D1432" s="3">
        <v>362.0</v>
      </c>
      <c r="E1432" s="3">
        <v>1.38</v>
      </c>
      <c r="F1432" s="3">
        <v>13.07</v>
      </c>
      <c r="G1432" s="3">
        <v>72.2</v>
      </c>
    </row>
    <row r="1433">
      <c r="A1433" s="3">
        <v>168943.0</v>
      </c>
      <c r="B1433" s="3" t="s">
        <v>1457</v>
      </c>
      <c r="C1433" s="3" t="s">
        <v>660</v>
      </c>
      <c r="D1433" s="3">
        <v>359.0</v>
      </c>
      <c r="E1433" s="3">
        <v>3.34</v>
      </c>
      <c r="F1433" s="3">
        <v>8.43</v>
      </c>
      <c r="G1433" s="3">
        <v>76.64</v>
      </c>
    </row>
    <row r="1434">
      <c r="A1434" s="3">
        <v>168944.0</v>
      </c>
      <c r="B1434" s="3" t="s">
        <v>1458</v>
      </c>
      <c r="C1434" s="3" t="s">
        <v>660</v>
      </c>
      <c r="D1434" s="3">
        <v>332.0</v>
      </c>
      <c r="E1434" s="3">
        <v>1.95</v>
      </c>
      <c r="F1434" s="3">
        <v>9.61</v>
      </c>
      <c r="G1434" s="3">
        <v>74.48</v>
      </c>
    </row>
    <row r="1435">
      <c r="A1435" s="3">
        <v>168945.0</v>
      </c>
      <c r="B1435" s="3" t="s">
        <v>1459</v>
      </c>
      <c r="C1435" s="3" t="s">
        <v>101</v>
      </c>
      <c r="D1435" s="3">
        <v>81.0</v>
      </c>
      <c r="E1435" s="3">
        <v>0.07</v>
      </c>
      <c r="F1435" s="3">
        <v>2.04</v>
      </c>
      <c r="G1435" s="3">
        <v>17.98</v>
      </c>
    </row>
    <row r="1436">
      <c r="A1436" s="3">
        <v>168946.0</v>
      </c>
      <c r="B1436" s="3" t="s">
        <v>1460</v>
      </c>
      <c r="C1436" s="3" t="s">
        <v>101</v>
      </c>
      <c r="D1436" s="3">
        <v>162.0</v>
      </c>
      <c r="E1436" s="3">
        <v>7.47</v>
      </c>
      <c r="F1436" s="3">
        <v>2.56</v>
      </c>
      <c r="G1436" s="3">
        <v>22.22</v>
      </c>
    </row>
    <row r="1437">
      <c r="A1437" s="3">
        <v>168947.0</v>
      </c>
      <c r="B1437" s="3" t="s">
        <v>1461</v>
      </c>
      <c r="C1437" s="3" t="s">
        <v>101</v>
      </c>
      <c r="D1437" s="3">
        <v>134.0</v>
      </c>
      <c r="E1437" s="3">
        <v>3.42</v>
      </c>
      <c r="F1437" s="3">
        <v>2.4</v>
      </c>
      <c r="G1437" s="3">
        <v>24.31</v>
      </c>
    </row>
    <row r="1438">
      <c r="A1438" s="3">
        <v>168948.0</v>
      </c>
      <c r="B1438" s="3" t="s">
        <v>1462</v>
      </c>
      <c r="C1438" s="3" t="s">
        <v>101</v>
      </c>
      <c r="D1438" s="3">
        <v>187.0</v>
      </c>
      <c r="E1438" s="3">
        <v>10.0</v>
      </c>
      <c r="F1438" s="3">
        <v>2.7</v>
      </c>
      <c r="G1438" s="3">
        <v>22.95</v>
      </c>
    </row>
    <row r="1439">
      <c r="A1439" s="3">
        <v>168949.0</v>
      </c>
      <c r="B1439" s="3" t="s">
        <v>1463</v>
      </c>
      <c r="C1439" s="3" t="s">
        <v>1464</v>
      </c>
      <c r="D1439" s="3">
        <v>359.0</v>
      </c>
      <c r="E1439" s="3">
        <v>1.27</v>
      </c>
      <c r="F1439" s="3">
        <v>10.84</v>
      </c>
      <c r="G1439" s="3">
        <v>76.02</v>
      </c>
    </row>
    <row r="1440">
      <c r="A1440" s="3">
        <v>168950.0</v>
      </c>
      <c r="B1440" s="3" t="s">
        <v>1465</v>
      </c>
      <c r="C1440" s="3" t="s">
        <v>1464</v>
      </c>
      <c r="D1440" s="3">
        <v>129.0</v>
      </c>
      <c r="E1440" s="3">
        <v>3.2</v>
      </c>
      <c r="F1440" s="3">
        <v>2.82</v>
      </c>
      <c r="G1440" s="3">
        <v>22.03</v>
      </c>
    </row>
    <row r="1441">
      <c r="A1441" s="3">
        <v>168951.0</v>
      </c>
      <c r="B1441" s="3" t="s">
        <v>1466</v>
      </c>
      <c r="C1441" s="3" t="s">
        <v>1464</v>
      </c>
      <c r="D1441" s="3">
        <v>359.0</v>
      </c>
      <c r="E1441" s="3">
        <v>1.37</v>
      </c>
      <c r="F1441" s="3">
        <v>10.42</v>
      </c>
      <c r="G1441" s="3">
        <v>76.31</v>
      </c>
    </row>
    <row r="1442">
      <c r="A1442" s="3">
        <v>168952.0</v>
      </c>
      <c r="B1442" s="3" t="s">
        <v>1467</v>
      </c>
      <c r="C1442" s="3" t="s">
        <v>1464</v>
      </c>
      <c r="D1442" s="3">
        <v>148.0</v>
      </c>
      <c r="E1442" s="3">
        <v>3.7</v>
      </c>
      <c r="F1442" s="3">
        <v>2.94</v>
      </c>
      <c r="G1442" s="3">
        <v>25.67</v>
      </c>
    </row>
    <row r="1443">
      <c r="A1443" s="3">
        <v>168953.0</v>
      </c>
      <c r="B1443" s="3" t="s">
        <v>1468</v>
      </c>
      <c r="C1443" s="3" t="s">
        <v>1464</v>
      </c>
      <c r="D1443" s="3">
        <v>349.0</v>
      </c>
      <c r="E1443" s="3">
        <v>1.88</v>
      </c>
      <c r="F1443" s="3">
        <v>11.6</v>
      </c>
      <c r="G1443" s="3">
        <v>71.51</v>
      </c>
    </row>
    <row r="1444">
      <c r="A1444" s="3">
        <v>168954.0</v>
      </c>
      <c r="B1444" s="3" t="s">
        <v>1469</v>
      </c>
      <c r="C1444" s="3" t="s">
        <v>1464</v>
      </c>
      <c r="D1444" s="3">
        <v>354.0</v>
      </c>
      <c r="E1444" s="3">
        <v>1.78</v>
      </c>
      <c r="F1444" s="3">
        <v>12.32</v>
      </c>
      <c r="G1444" s="3">
        <v>72.2</v>
      </c>
    </row>
    <row r="1445">
      <c r="A1445" s="3">
        <v>168955.0</v>
      </c>
      <c r="B1445" s="3" t="s">
        <v>1470</v>
      </c>
      <c r="C1445" s="3" t="s">
        <v>1464</v>
      </c>
      <c r="D1445" s="3">
        <v>356.0</v>
      </c>
      <c r="E1445" s="3">
        <v>1.97</v>
      </c>
      <c r="F1445" s="3">
        <v>10.9</v>
      </c>
      <c r="G1445" s="3">
        <v>73.77</v>
      </c>
    </row>
    <row r="1446">
      <c r="A1446" s="3">
        <v>168956.0</v>
      </c>
      <c r="B1446" s="3" t="s">
        <v>1471</v>
      </c>
      <c r="C1446" s="3" t="s">
        <v>1464</v>
      </c>
      <c r="D1446" s="3">
        <v>343.0</v>
      </c>
      <c r="E1446" s="3">
        <v>1.75</v>
      </c>
      <c r="F1446" s="3">
        <v>7.02</v>
      </c>
      <c r="G1446" s="3">
        <v>74.68</v>
      </c>
    </row>
    <row r="1447">
      <c r="A1447" s="3">
        <v>168957.0</v>
      </c>
      <c r="B1447" s="3" t="s">
        <v>1472</v>
      </c>
      <c r="C1447" s="3" t="s">
        <v>1464</v>
      </c>
      <c r="D1447" s="3">
        <v>328.0</v>
      </c>
      <c r="E1447" s="3">
        <v>9.98</v>
      </c>
      <c r="F1447" s="3">
        <v>8.73</v>
      </c>
      <c r="G1447" s="3">
        <v>50.72</v>
      </c>
    </row>
    <row r="1448">
      <c r="A1448" s="3">
        <v>168958.0</v>
      </c>
      <c r="B1448" s="3" t="s">
        <v>1473</v>
      </c>
      <c r="C1448" s="3" t="s">
        <v>1464</v>
      </c>
      <c r="D1448" s="3">
        <v>355.0</v>
      </c>
      <c r="E1448" s="3">
        <v>2.7</v>
      </c>
      <c r="F1448" s="3">
        <v>12.53</v>
      </c>
      <c r="G1448" s="3">
        <v>70.26</v>
      </c>
    </row>
    <row r="1449">
      <c r="A1449" s="3">
        <v>168959.0</v>
      </c>
      <c r="B1449" s="3" t="s">
        <v>1474</v>
      </c>
      <c r="C1449" s="3" t="s">
        <v>1464</v>
      </c>
      <c r="D1449" s="3">
        <v>363.0</v>
      </c>
      <c r="E1449" s="3">
        <v>1.62</v>
      </c>
      <c r="F1449" s="3">
        <v>10.62</v>
      </c>
      <c r="G1449" s="3">
        <v>76.45</v>
      </c>
    </row>
    <row r="1450">
      <c r="A1450" s="3">
        <v>168960.0</v>
      </c>
      <c r="B1450" s="3" t="s">
        <v>1475</v>
      </c>
      <c r="C1450" s="3" t="s">
        <v>1464</v>
      </c>
      <c r="D1450" s="3">
        <v>145.0</v>
      </c>
      <c r="E1450" s="3">
        <v>4.22</v>
      </c>
      <c r="F1450" s="3">
        <v>5.06</v>
      </c>
      <c r="G1450" s="3">
        <v>21.61</v>
      </c>
    </row>
    <row r="1451">
      <c r="A1451" s="3">
        <v>168961.0</v>
      </c>
      <c r="B1451" s="3" t="s">
        <v>1476</v>
      </c>
      <c r="C1451" s="3" t="s">
        <v>1464</v>
      </c>
      <c r="D1451" s="3">
        <v>334.0</v>
      </c>
      <c r="E1451" s="3">
        <v>22.45</v>
      </c>
      <c r="F1451" s="3">
        <v>18.66</v>
      </c>
      <c r="G1451" s="3">
        <v>14.23</v>
      </c>
    </row>
    <row r="1452">
      <c r="A1452" s="3">
        <v>168962.0</v>
      </c>
      <c r="B1452" s="3" t="s">
        <v>1477</v>
      </c>
      <c r="C1452" s="3" t="s">
        <v>1464</v>
      </c>
      <c r="D1452" s="3">
        <v>215.0</v>
      </c>
      <c r="E1452" s="3">
        <v>5.51</v>
      </c>
      <c r="F1452" s="3">
        <v>9.45</v>
      </c>
      <c r="G1452" s="3">
        <v>31.89</v>
      </c>
    </row>
    <row r="1453">
      <c r="A1453" s="3">
        <v>168963.0</v>
      </c>
      <c r="B1453" s="3" t="s">
        <v>1478</v>
      </c>
      <c r="C1453" s="3" t="s">
        <v>1464</v>
      </c>
      <c r="D1453" s="3">
        <v>228.0</v>
      </c>
      <c r="E1453" s="3">
        <v>12.6</v>
      </c>
      <c r="F1453" s="3">
        <v>7.87</v>
      </c>
      <c r="G1453" s="3">
        <v>20.67</v>
      </c>
    </row>
    <row r="1454">
      <c r="A1454" s="3">
        <v>168964.0</v>
      </c>
      <c r="B1454" s="3" t="s">
        <v>1479</v>
      </c>
      <c r="C1454" s="3" t="s">
        <v>1464</v>
      </c>
      <c r="D1454" s="3">
        <v>142.0</v>
      </c>
      <c r="E1454" s="3">
        <v>2.57</v>
      </c>
      <c r="F1454" s="3">
        <v>3.49</v>
      </c>
      <c r="G1454" s="3">
        <v>26.28</v>
      </c>
    </row>
    <row r="1455">
      <c r="A1455" s="3">
        <v>168965.0</v>
      </c>
      <c r="B1455" s="3" t="s">
        <v>1480</v>
      </c>
      <c r="C1455" s="3" t="s">
        <v>1464</v>
      </c>
      <c r="D1455" s="3">
        <v>149.0</v>
      </c>
      <c r="E1455" s="3">
        <v>10.47</v>
      </c>
      <c r="F1455" s="3">
        <v>6.98</v>
      </c>
      <c r="G1455" s="3">
        <v>6.78</v>
      </c>
    </row>
    <row r="1456">
      <c r="A1456" s="3">
        <v>168966.0</v>
      </c>
      <c r="B1456" s="3" t="s">
        <v>1481</v>
      </c>
      <c r="C1456" s="3" t="s">
        <v>196</v>
      </c>
      <c r="D1456" s="3">
        <v>516.0</v>
      </c>
      <c r="E1456" s="3">
        <v>27.0</v>
      </c>
      <c r="F1456" s="3">
        <v>10.7</v>
      </c>
      <c r="G1456" s="3">
        <v>57.6</v>
      </c>
    </row>
    <row r="1457">
      <c r="A1457" s="3">
        <v>168967.0</v>
      </c>
      <c r="B1457" s="3" t="s">
        <v>1482</v>
      </c>
      <c r="C1457" s="3" t="s">
        <v>196</v>
      </c>
      <c r="D1457" s="3">
        <v>510.0</v>
      </c>
      <c r="E1457" s="3">
        <v>27.0</v>
      </c>
      <c r="F1457" s="3">
        <v>10.8</v>
      </c>
      <c r="G1457" s="3">
        <v>57.0</v>
      </c>
    </row>
    <row r="1458">
      <c r="A1458" s="3">
        <v>168968.0</v>
      </c>
      <c r="B1458" s="3" t="s">
        <v>1483</v>
      </c>
      <c r="C1458" s="3" t="s">
        <v>196</v>
      </c>
      <c r="D1458" s="3">
        <v>129.0</v>
      </c>
      <c r="E1458" s="3">
        <v>6.83</v>
      </c>
      <c r="F1458" s="3">
        <v>2.73</v>
      </c>
      <c r="G1458" s="3">
        <v>14.42</v>
      </c>
    </row>
    <row r="1459">
      <c r="A1459" s="3">
        <v>168969.0</v>
      </c>
      <c r="B1459" s="3" t="s">
        <v>1484</v>
      </c>
      <c r="C1459" s="3" t="s">
        <v>196</v>
      </c>
      <c r="D1459" s="3">
        <v>129.0</v>
      </c>
      <c r="E1459" s="3">
        <v>7.1</v>
      </c>
      <c r="F1459" s="3">
        <v>2.72</v>
      </c>
      <c r="G1459" s="3">
        <v>14.34</v>
      </c>
    </row>
    <row r="1460">
      <c r="A1460" s="3">
        <v>168970.0</v>
      </c>
      <c r="B1460" s="3" t="s">
        <v>1485</v>
      </c>
      <c r="C1460" s="3" t="s">
        <v>196</v>
      </c>
      <c r="D1460" s="3">
        <v>500.0</v>
      </c>
      <c r="E1460" s="3">
        <v>26.0</v>
      </c>
      <c r="F1460" s="3">
        <v>12.9</v>
      </c>
      <c r="G1460" s="3">
        <v>53.5</v>
      </c>
    </row>
    <row r="1461">
      <c r="A1461" s="3">
        <v>168971.0</v>
      </c>
      <c r="B1461" s="3" t="s">
        <v>1486</v>
      </c>
      <c r="C1461" s="3" t="s">
        <v>196</v>
      </c>
      <c r="D1461" s="3">
        <v>512.0</v>
      </c>
      <c r="E1461" s="3">
        <v>27.65</v>
      </c>
      <c r="F1461" s="3">
        <v>15.36</v>
      </c>
      <c r="G1461" s="3">
        <v>52.2</v>
      </c>
    </row>
    <row r="1462">
      <c r="A1462" s="3">
        <v>168972.0</v>
      </c>
      <c r="B1462" s="3" t="s">
        <v>1487</v>
      </c>
      <c r="C1462" s="3" t="s">
        <v>196</v>
      </c>
      <c r="D1462" s="3">
        <v>501.0</v>
      </c>
      <c r="E1462" s="3">
        <v>25.6</v>
      </c>
      <c r="F1462" s="3">
        <v>12.5</v>
      </c>
      <c r="G1462" s="3">
        <v>55.6</v>
      </c>
    </row>
    <row r="1463">
      <c r="A1463" s="3">
        <v>168973.0</v>
      </c>
      <c r="B1463" s="3" t="s">
        <v>1488</v>
      </c>
      <c r="C1463" s="3" t="s">
        <v>196</v>
      </c>
      <c r="D1463" s="3">
        <v>512.0</v>
      </c>
      <c r="E1463" s="3">
        <v>26.0</v>
      </c>
      <c r="F1463" s="3">
        <v>13.9</v>
      </c>
      <c r="G1463" s="3">
        <v>55.68</v>
      </c>
    </row>
    <row r="1464">
      <c r="A1464" s="3">
        <v>168974.0</v>
      </c>
      <c r="B1464" s="3" t="s">
        <v>1489</v>
      </c>
      <c r="C1464" s="3" t="s">
        <v>196</v>
      </c>
      <c r="D1464" s="3">
        <v>66.0</v>
      </c>
      <c r="E1464" s="3">
        <v>3.34</v>
      </c>
      <c r="F1464" s="3">
        <v>1.97</v>
      </c>
      <c r="G1464" s="3">
        <v>7.21</v>
      </c>
    </row>
    <row r="1465">
      <c r="A1465" s="3">
        <v>168975.0</v>
      </c>
      <c r="B1465" s="3" t="s">
        <v>1490</v>
      </c>
      <c r="C1465" s="3" t="s">
        <v>318</v>
      </c>
      <c r="D1465" s="3">
        <v>386.0</v>
      </c>
      <c r="E1465" s="3">
        <v>4.9</v>
      </c>
      <c r="F1465" s="3">
        <v>7.5</v>
      </c>
      <c r="G1465" s="3">
        <v>78.06</v>
      </c>
    </row>
    <row r="1466">
      <c r="A1466" s="3">
        <v>168976.0</v>
      </c>
      <c r="B1466" s="3" t="s">
        <v>1491</v>
      </c>
      <c r="C1466" s="3" t="s">
        <v>107</v>
      </c>
      <c r="D1466" s="3">
        <v>353.0</v>
      </c>
      <c r="E1466" s="3">
        <v>31.8</v>
      </c>
      <c r="F1466" s="3">
        <v>3.4</v>
      </c>
      <c r="G1466" s="3">
        <v>13.4</v>
      </c>
    </row>
    <row r="1467">
      <c r="A1467" s="3">
        <v>168977.0</v>
      </c>
      <c r="B1467" s="3" t="s">
        <v>1492</v>
      </c>
      <c r="C1467" s="3" t="s">
        <v>107</v>
      </c>
      <c r="D1467" s="3">
        <v>258.0</v>
      </c>
      <c r="E1467" s="3">
        <v>18.6</v>
      </c>
      <c r="F1467" s="3">
        <v>21.7</v>
      </c>
      <c r="G1467" s="3">
        <v>0.9</v>
      </c>
    </row>
    <row r="1468">
      <c r="A1468" s="3">
        <v>168978.0</v>
      </c>
      <c r="B1468" s="3" t="s">
        <v>1493</v>
      </c>
      <c r="C1468" s="3" t="s">
        <v>107</v>
      </c>
      <c r="D1468" s="3">
        <v>20.0</v>
      </c>
      <c r="E1468" s="3">
        <v>0.5</v>
      </c>
      <c r="F1468" s="3">
        <v>3.8</v>
      </c>
      <c r="G1468" s="3">
        <v>0.0</v>
      </c>
    </row>
    <row r="1469">
      <c r="A1469" s="3">
        <v>168979.0</v>
      </c>
      <c r="B1469" s="3" t="s">
        <v>1494</v>
      </c>
      <c r="C1469" s="3" t="s">
        <v>107</v>
      </c>
      <c r="D1469" s="3">
        <v>271.0</v>
      </c>
      <c r="E1469" s="3">
        <v>21.7</v>
      </c>
      <c r="F1469" s="3">
        <v>19.0</v>
      </c>
      <c r="G1469" s="3">
        <v>0.0</v>
      </c>
    </row>
    <row r="1470">
      <c r="A1470" s="3">
        <v>168980.0</v>
      </c>
      <c r="B1470" s="3" t="s">
        <v>1495</v>
      </c>
      <c r="C1470" s="3" t="s">
        <v>107</v>
      </c>
      <c r="D1470" s="3">
        <v>117.0</v>
      </c>
      <c r="E1470" s="3">
        <v>3.9</v>
      </c>
      <c r="F1470" s="3">
        <v>18.4</v>
      </c>
      <c r="G1470" s="3">
        <v>2.0</v>
      </c>
    </row>
    <row r="1471">
      <c r="A1471" s="3">
        <v>168981.0</v>
      </c>
      <c r="B1471" s="3" t="s">
        <v>1496</v>
      </c>
      <c r="C1471" s="3" t="s">
        <v>107</v>
      </c>
      <c r="D1471" s="3">
        <v>900.0</v>
      </c>
      <c r="E1471" s="3">
        <v>100.0</v>
      </c>
      <c r="F1471" s="3">
        <v>0.0</v>
      </c>
      <c r="G1471" s="3">
        <v>0.0</v>
      </c>
    </row>
    <row r="1472">
      <c r="A1472" s="3">
        <v>168982.0</v>
      </c>
      <c r="B1472" s="3" t="s">
        <v>1497</v>
      </c>
      <c r="C1472" s="3" t="s">
        <v>107</v>
      </c>
      <c r="D1472" s="3">
        <v>52.0</v>
      </c>
      <c r="E1472" s="3">
        <v>1.07</v>
      </c>
      <c r="F1472" s="3">
        <v>0.84</v>
      </c>
      <c r="G1472" s="3">
        <v>9.84</v>
      </c>
    </row>
    <row r="1473">
      <c r="A1473" s="3">
        <v>168983.0</v>
      </c>
      <c r="B1473" s="3" t="s">
        <v>1498</v>
      </c>
      <c r="C1473" s="3" t="s">
        <v>107</v>
      </c>
      <c r="D1473" s="3">
        <v>122.0</v>
      </c>
      <c r="E1473" s="3">
        <v>3.9</v>
      </c>
      <c r="F1473" s="3">
        <v>15.0</v>
      </c>
      <c r="G1473" s="3">
        <v>6.8</v>
      </c>
    </row>
    <row r="1474">
      <c r="A1474" s="3">
        <v>168984.0</v>
      </c>
      <c r="B1474" s="3" t="s">
        <v>1499</v>
      </c>
      <c r="C1474" s="3" t="s">
        <v>107</v>
      </c>
      <c r="D1474" s="3">
        <v>41.0</v>
      </c>
      <c r="E1474" s="3">
        <v>0.7</v>
      </c>
      <c r="F1474" s="3">
        <v>3.8</v>
      </c>
      <c r="G1474" s="3">
        <v>4.8</v>
      </c>
    </row>
    <row r="1475">
      <c r="A1475" s="3">
        <v>168985.0</v>
      </c>
      <c r="B1475" s="3" t="s">
        <v>1500</v>
      </c>
      <c r="C1475" s="3" t="s">
        <v>107</v>
      </c>
      <c r="D1475" s="3">
        <v>260.0</v>
      </c>
      <c r="E1475" s="3">
        <v>22.8</v>
      </c>
      <c r="F1475" s="3">
        <v>13.7</v>
      </c>
      <c r="G1475" s="3">
        <v>0.0</v>
      </c>
    </row>
    <row r="1476">
      <c r="A1476" s="3">
        <v>168986.0</v>
      </c>
      <c r="B1476" s="3" t="s">
        <v>1501</v>
      </c>
      <c r="C1476" s="3" t="s">
        <v>107</v>
      </c>
      <c r="D1476" s="3">
        <v>83.0</v>
      </c>
      <c r="E1476" s="3">
        <v>1.6</v>
      </c>
      <c r="F1476" s="3">
        <v>17.1</v>
      </c>
      <c r="G1476" s="3">
        <v>0.0</v>
      </c>
    </row>
    <row r="1477">
      <c r="A1477" s="3">
        <v>168987.0</v>
      </c>
      <c r="B1477" s="3" t="s">
        <v>1502</v>
      </c>
      <c r="C1477" s="3" t="s">
        <v>107</v>
      </c>
      <c r="D1477" s="3">
        <v>97.0</v>
      </c>
      <c r="E1477" s="3">
        <v>5.3</v>
      </c>
      <c r="F1477" s="3">
        <v>11.7</v>
      </c>
      <c r="G1477" s="3">
        <v>0.0</v>
      </c>
    </row>
    <row r="1478">
      <c r="A1478" s="3">
        <v>168988.0</v>
      </c>
      <c r="B1478" s="3" t="s">
        <v>1503</v>
      </c>
      <c r="C1478" s="3" t="s">
        <v>107</v>
      </c>
      <c r="D1478" s="3">
        <v>44.0</v>
      </c>
      <c r="E1478" s="3">
        <v>0.8</v>
      </c>
      <c r="F1478" s="3">
        <v>3.0</v>
      </c>
      <c r="G1478" s="3">
        <v>6.3</v>
      </c>
    </row>
    <row r="1479">
      <c r="A1479" s="3">
        <v>168989.0</v>
      </c>
      <c r="B1479" s="3" t="s">
        <v>1504</v>
      </c>
      <c r="C1479" s="3" t="s">
        <v>107</v>
      </c>
      <c r="D1479" s="3">
        <v>63.0</v>
      </c>
      <c r="E1479" s="3">
        <v>0.8</v>
      </c>
      <c r="F1479" s="3">
        <v>11.3</v>
      </c>
      <c r="G1479" s="3">
        <v>2.6</v>
      </c>
    </row>
    <row r="1480">
      <c r="A1480" s="3">
        <v>168990.0</v>
      </c>
      <c r="B1480" s="3" t="s">
        <v>1505</v>
      </c>
      <c r="C1480" s="3" t="s">
        <v>107</v>
      </c>
      <c r="D1480" s="3">
        <v>312.0</v>
      </c>
      <c r="E1480" s="3">
        <v>6.6</v>
      </c>
      <c r="F1480" s="3">
        <v>60.4</v>
      </c>
      <c r="G1480" s="3">
        <v>2.8</v>
      </c>
    </row>
    <row r="1481">
      <c r="A1481" s="3">
        <v>168991.0</v>
      </c>
      <c r="B1481" s="3" t="s">
        <v>1506</v>
      </c>
      <c r="C1481" s="3" t="s">
        <v>107</v>
      </c>
      <c r="D1481" s="3">
        <v>55.0</v>
      </c>
      <c r="E1481" s="3">
        <v>0.5</v>
      </c>
      <c r="F1481" s="3">
        <v>6.6</v>
      </c>
      <c r="G1481" s="3">
        <v>6.0</v>
      </c>
    </row>
    <row r="1482">
      <c r="A1482" s="3">
        <v>168992.0</v>
      </c>
      <c r="B1482" s="3" t="s">
        <v>1507</v>
      </c>
      <c r="C1482" s="3" t="s">
        <v>107</v>
      </c>
      <c r="D1482" s="3">
        <v>135.0</v>
      </c>
      <c r="E1482" s="3">
        <v>0.29</v>
      </c>
      <c r="F1482" s="3">
        <v>0.99</v>
      </c>
      <c r="G1482" s="3">
        <v>32.0</v>
      </c>
    </row>
    <row r="1483">
      <c r="A1483" s="3">
        <v>168993.0</v>
      </c>
      <c r="B1483" s="3" t="s">
        <v>1508</v>
      </c>
      <c r="C1483" s="3" t="s">
        <v>107</v>
      </c>
      <c r="D1483" s="3">
        <v>341.0</v>
      </c>
      <c r="E1483" s="3">
        <v>0.69</v>
      </c>
      <c r="F1483" s="3">
        <v>1.71</v>
      </c>
      <c r="G1483" s="3">
        <v>81.98</v>
      </c>
    </row>
    <row r="1484">
      <c r="A1484" s="3">
        <v>168994.0</v>
      </c>
      <c r="B1484" s="3" t="s">
        <v>1509</v>
      </c>
      <c r="C1484" s="3" t="s">
        <v>107</v>
      </c>
      <c r="D1484" s="3">
        <v>25.0</v>
      </c>
      <c r="E1484" s="3">
        <v>0.0</v>
      </c>
      <c r="F1484" s="3">
        <v>1.18</v>
      </c>
      <c r="G1484" s="3">
        <v>5.14</v>
      </c>
    </row>
    <row r="1485">
      <c r="A1485" s="3">
        <v>168995.0</v>
      </c>
      <c r="B1485" s="3" t="s">
        <v>1510</v>
      </c>
      <c r="C1485" s="3" t="s">
        <v>107</v>
      </c>
      <c r="D1485" s="3">
        <v>47.0</v>
      </c>
      <c r="E1485" s="3">
        <v>0.28</v>
      </c>
      <c r="F1485" s="3">
        <v>4.21</v>
      </c>
      <c r="G1485" s="3">
        <v>6.96</v>
      </c>
    </row>
    <row r="1486">
      <c r="A1486" s="3">
        <v>168996.0</v>
      </c>
      <c r="B1486" s="3" t="s">
        <v>1511</v>
      </c>
      <c r="C1486" s="3" t="s">
        <v>107</v>
      </c>
      <c r="D1486" s="3">
        <v>129.0</v>
      </c>
      <c r="E1486" s="3">
        <v>0.32</v>
      </c>
      <c r="F1486" s="3">
        <v>1.64</v>
      </c>
      <c r="G1486" s="3">
        <v>29.99</v>
      </c>
    </row>
    <row r="1487">
      <c r="A1487" s="3">
        <v>168997.0</v>
      </c>
      <c r="B1487" s="3" t="s">
        <v>1512</v>
      </c>
      <c r="C1487" s="3" t="s">
        <v>107</v>
      </c>
      <c r="D1487" s="3">
        <v>62.0</v>
      </c>
      <c r="E1487" s="3">
        <v>0.28</v>
      </c>
      <c r="F1487" s="3">
        <v>1.12</v>
      </c>
      <c r="G1487" s="3">
        <v>13.85</v>
      </c>
    </row>
    <row r="1488">
      <c r="A1488" s="3">
        <v>168998.0</v>
      </c>
      <c r="B1488" s="3" t="s">
        <v>1513</v>
      </c>
      <c r="C1488" s="3" t="s">
        <v>107</v>
      </c>
      <c r="D1488" s="3">
        <v>162.0</v>
      </c>
      <c r="E1488" s="3">
        <v>0.34</v>
      </c>
      <c r="F1488" s="3">
        <v>1.6</v>
      </c>
      <c r="G1488" s="3">
        <v>38.22</v>
      </c>
    </row>
    <row r="1489">
      <c r="A1489" s="3">
        <v>168999.0</v>
      </c>
      <c r="B1489" s="3" t="s">
        <v>1514</v>
      </c>
      <c r="C1489" s="3" t="s">
        <v>107</v>
      </c>
      <c r="D1489" s="3">
        <v>162.0</v>
      </c>
      <c r="E1489" s="3">
        <v>1.69</v>
      </c>
      <c r="F1489" s="3">
        <v>3.04</v>
      </c>
      <c r="G1489" s="3">
        <v>33.62</v>
      </c>
    </row>
    <row r="1490">
      <c r="A1490" s="3">
        <v>169000.0</v>
      </c>
      <c r="B1490" s="3" t="s">
        <v>1515</v>
      </c>
      <c r="C1490" s="3" t="s">
        <v>107</v>
      </c>
      <c r="D1490" s="3">
        <v>137.0</v>
      </c>
      <c r="E1490" s="3">
        <v>5.0</v>
      </c>
      <c r="F1490" s="3">
        <v>22.9</v>
      </c>
      <c r="G1490" s="3">
        <v>0.0</v>
      </c>
    </row>
    <row r="1491">
      <c r="A1491" s="3">
        <v>169001.0</v>
      </c>
      <c r="B1491" s="3" t="s">
        <v>1516</v>
      </c>
      <c r="C1491" s="3" t="s">
        <v>107</v>
      </c>
      <c r="D1491" s="3">
        <v>93.0</v>
      </c>
      <c r="E1491" s="3">
        <v>1.7</v>
      </c>
      <c r="F1491" s="3">
        <v>18.1</v>
      </c>
      <c r="G1491" s="3">
        <v>1.4</v>
      </c>
    </row>
    <row r="1492">
      <c r="A1492" s="3">
        <v>169002.0</v>
      </c>
      <c r="B1492" s="3" t="s">
        <v>1517</v>
      </c>
      <c r="C1492" s="3" t="s">
        <v>107</v>
      </c>
      <c r="D1492" s="3">
        <v>102.0</v>
      </c>
      <c r="E1492" s="3">
        <v>3.3</v>
      </c>
      <c r="F1492" s="3">
        <v>17.0</v>
      </c>
      <c r="G1492" s="3">
        <v>1.0</v>
      </c>
    </row>
    <row r="1493">
      <c r="A1493" s="3">
        <v>169003.0</v>
      </c>
      <c r="B1493" s="3" t="s">
        <v>1518</v>
      </c>
      <c r="C1493" s="3" t="s">
        <v>107</v>
      </c>
      <c r="D1493" s="3">
        <v>120.0</v>
      </c>
      <c r="E1493" s="3">
        <v>1.88</v>
      </c>
      <c r="F1493" s="3">
        <v>25.85</v>
      </c>
      <c r="G1493" s="3">
        <v>0.0</v>
      </c>
    </row>
    <row r="1494">
      <c r="A1494" s="3">
        <v>169004.0</v>
      </c>
      <c r="B1494" s="3" t="s">
        <v>1519</v>
      </c>
      <c r="C1494" s="3" t="s">
        <v>107</v>
      </c>
      <c r="D1494" s="3">
        <v>390.0</v>
      </c>
      <c r="E1494" s="3">
        <v>7.16</v>
      </c>
      <c r="F1494" s="3">
        <v>9.06</v>
      </c>
      <c r="G1494" s="3">
        <v>72.22</v>
      </c>
    </row>
    <row r="1495">
      <c r="A1495" s="3">
        <v>169005.0</v>
      </c>
      <c r="B1495" s="3" t="s">
        <v>1520</v>
      </c>
      <c r="C1495" s="3" t="s">
        <v>107</v>
      </c>
      <c r="D1495" s="3">
        <v>34.0</v>
      </c>
      <c r="E1495" s="3">
        <v>0.35</v>
      </c>
      <c r="F1495" s="3">
        <v>0.69</v>
      </c>
      <c r="G1495" s="3">
        <v>7.06</v>
      </c>
    </row>
    <row r="1496">
      <c r="A1496" s="3">
        <v>169006.0</v>
      </c>
      <c r="B1496" s="3" t="s">
        <v>1521</v>
      </c>
      <c r="C1496" s="3" t="s">
        <v>107</v>
      </c>
      <c r="D1496" s="3">
        <v>32.0</v>
      </c>
      <c r="E1496" s="3">
        <v>0.54</v>
      </c>
      <c r="F1496" s="3">
        <v>1.42</v>
      </c>
      <c r="G1496" s="3">
        <v>5.38</v>
      </c>
    </row>
    <row r="1497">
      <c r="A1497" s="3">
        <v>169007.0</v>
      </c>
      <c r="B1497" s="3" t="s">
        <v>1522</v>
      </c>
      <c r="C1497" s="3" t="s">
        <v>107</v>
      </c>
      <c r="D1497" s="3">
        <v>168.0</v>
      </c>
      <c r="E1497" s="3">
        <v>4.7</v>
      </c>
      <c r="F1497" s="3">
        <v>13.19</v>
      </c>
      <c r="G1497" s="3">
        <v>18.28</v>
      </c>
    </row>
    <row r="1498">
      <c r="A1498" s="3">
        <v>169008.0</v>
      </c>
      <c r="B1498" s="3" t="s">
        <v>1523</v>
      </c>
      <c r="C1498" s="3" t="s">
        <v>158</v>
      </c>
      <c r="D1498" s="3">
        <v>323.0</v>
      </c>
      <c r="E1498" s="3">
        <v>18.9</v>
      </c>
      <c r="F1498" s="3">
        <v>12.31</v>
      </c>
      <c r="G1498" s="3">
        <v>25.96</v>
      </c>
    </row>
    <row r="1499">
      <c r="A1499" s="3">
        <v>169009.0</v>
      </c>
      <c r="B1499" s="3" t="s">
        <v>1524</v>
      </c>
      <c r="C1499" s="3" t="s">
        <v>158</v>
      </c>
      <c r="D1499" s="3">
        <v>290.0</v>
      </c>
      <c r="E1499" s="3">
        <v>13.17</v>
      </c>
      <c r="F1499" s="3">
        <v>3.31</v>
      </c>
      <c r="G1499" s="3">
        <v>39.5</v>
      </c>
    </row>
    <row r="1500">
      <c r="A1500" s="3">
        <v>169010.0</v>
      </c>
      <c r="B1500" s="3" t="s">
        <v>1525</v>
      </c>
      <c r="C1500" s="3" t="s">
        <v>158</v>
      </c>
      <c r="D1500" s="3">
        <v>143.0</v>
      </c>
      <c r="E1500" s="3">
        <v>4.34</v>
      </c>
      <c r="F1500" s="3">
        <v>5.01</v>
      </c>
      <c r="G1500" s="3">
        <v>21.08</v>
      </c>
    </row>
    <row r="1501">
      <c r="A1501" s="3">
        <v>169011.0</v>
      </c>
      <c r="B1501" s="3" t="s">
        <v>1526</v>
      </c>
      <c r="C1501" s="3" t="s">
        <v>158</v>
      </c>
      <c r="D1501" s="3">
        <v>316.0</v>
      </c>
      <c r="E1501" s="3">
        <v>18.37</v>
      </c>
      <c r="F1501" s="3">
        <v>14.87</v>
      </c>
      <c r="G1501" s="3">
        <v>22.87</v>
      </c>
    </row>
    <row r="1502">
      <c r="A1502" s="3">
        <v>169012.0</v>
      </c>
      <c r="B1502" s="3" t="s">
        <v>1527</v>
      </c>
      <c r="C1502" s="3" t="s">
        <v>158</v>
      </c>
      <c r="D1502" s="3">
        <v>296.0</v>
      </c>
      <c r="E1502" s="3">
        <v>16.15</v>
      </c>
      <c r="F1502" s="3">
        <v>19.25</v>
      </c>
      <c r="G1502" s="3">
        <v>18.36</v>
      </c>
    </row>
    <row r="1503">
      <c r="A1503" s="3">
        <v>169013.0</v>
      </c>
      <c r="B1503" s="3" t="s">
        <v>1528</v>
      </c>
      <c r="C1503" s="3" t="s">
        <v>158</v>
      </c>
      <c r="D1503" s="3">
        <v>330.0</v>
      </c>
      <c r="E1503" s="3">
        <v>20.78</v>
      </c>
      <c r="F1503" s="3">
        <v>18.11</v>
      </c>
      <c r="G1503" s="3">
        <v>17.72</v>
      </c>
    </row>
    <row r="1504">
      <c r="A1504" s="3">
        <v>169014.0</v>
      </c>
      <c r="B1504" s="3" t="s">
        <v>1529</v>
      </c>
      <c r="C1504" s="3" t="s">
        <v>158</v>
      </c>
      <c r="D1504" s="3">
        <v>196.0</v>
      </c>
      <c r="E1504" s="3">
        <v>7.83</v>
      </c>
      <c r="F1504" s="3">
        <v>31.02</v>
      </c>
      <c r="G1504" s="3">
        <v>0.47</v>
      </c>
    </row>
    <row r="1505">
      <c r="A1505" s="3">
        <v>169015.0</v>
      </c>
      <c r="B1505" s="3" t="s">
        <v>1530</v>
      </c>
      <c r="C1505" s="3" t="s">
        <v>158</v>
      </c>
      <c r="D1505" s="3">
        <v>325.0</v>
      </c>
      <c r="E1505" s="3">
        <v>18.33</v>
      </c>
      <c r="F1505" s="3">
        <v>14.75</v>
      </c>
      <c r="G1505" s="3">
        <v>25.14</v>
      </c>
    </row>
    <row r="1506">
      <c r="A1506" s="3">
        <v>169016.0</v>
      </c>
      <c r="B1506" s="3" t="s">
        <v>1531</v>
      </c>
      <c r="C1506" s="3" t="s">
        <v>158</v>
      </c>
      <c r="D1506" s="3">
        <v>195.0</v>
      </c>
      <c r="E1506" s="3">
        <v>8.48</v>
      </c>
      <c r="F1506" s="3">
        <v>29.8</v>
      </c>
      <c r="G1506" s="3">
        <v>0.0</v>
      </c>
    </row>
    <row r="1507">
      <c r="A1507" s="3">
        <v>169017.0</v>
      </c>
      <c r="B1507" s="3" t="s">
        <v>1532</v>
      </c>
      <c r="C1507" s="3" t="s">
        <v>158</v>
      </c>
      <c r="D1507" s="3">
        <v>202.0</v>
      </c>
      <c r="E1507" s="3">
        <v>9.14</v>
      </c>
      <c r="F1507" s="3">
        <v>13.23</v>
      </c>
      <c r="G1507" s="3">
        <v>16.65</v>
      </c>
    </row>
    <row r="1508">
      <c r="A1508" s="3">
        <v>169018.0</v>
      </c>
      <c r="B1508" s="3" t="s">
        <v>1533</v>
      </c>
      <c r="C1508" s="3" t="s">
        <v>158</v>
      </c>
      <c r="D1508" s="3">
        <v>157.0</v>
      </c>
      <c r="E1508" s="3">
        <v>9.79</v>
      </c>
      <c r="F1508" s="3">
        <v>12.56</v>
      </c>
      <c r="G1508" s="3">
        <v>4.57</v>
      </c>
    </row>
    <row r="1509">
      <c r="A1509" s="3">
        <v>169019.0</v>
      </c>
      <c r="B1509" s="3" t="s">
        <v>1534</v>
      </c>
      <c r="C1509" s="3" t="s">
        <v>158</v>
      </c>
      <c r="D1509" s="3">
        <v>325.0</v>
      </c>
      <c r="E1509" s="3">
        <v>20.31</v>
      </c>
      <c r="F1509" s="3">
        <v>18.68</v>
      </c>
      <c r="G1509" s="3">
        <v>16.84</v>
      </c>
    </row>
    <row r="1510">
      <c r="A1510" s="3">
        <v>169020.0</v>
      </c>
      <c r="B1510" s="3" t="s">
        <v>1535</v>
      </c>
      <c r="C1510" s="3" t="s">
        <v>158</v>
      </c>
      <c r="D1510" s="3">
        <v>120.0</v>
      </c>
      <c r="E1510" s="3">
        <v>7.09</v>
      </c>
      <c r="F1510" s="3">
        <v>0.79</v>
      </c>
      <c r="G1510" s="3">
        <v>13.17</v>
      </c>
    </row>
    <row r="1511">
      <c r="A1511" s="3">
        <v>169021.0</v>
      </c>
      <c r="B1511" s="3" t="s">
        <v>1536</v>
      </c>
      <c r="C1511" s="3" t="s">
        <v>158</v>
      </c>
      <c r="D1511" s="3">
        <v>327.0</v>
      </c>
      <c r="E1511" s="3">
        <v>16.0</v>
      </c>
      <c r="F1511" s="3">
        <v>4.78</v>
      </c>
      <c r="G1511" s="3">
        <v>40.95</v>
      </c>
    </row>
    <row r="1512">
      <c r="A1512" s="3">
        <v>169022.0</v>
      </c>
      <c r="B1512" s="3" t="s">
        <v>1537</v>
      </c>
      <c r="C1512" s="3" t="s">
        <v>158</v>
      </c>
      <c r="D1512" s="3">
        <v>295.0</v>
      </c>
      <c r="E1512" s="3">
        <v>14.5</v>
      </c>
      <c r="F1512" s="3">
        <v>19.17</v>
      </c>
      <c r="G1512" s="3">
        <v>22.03</v>
      </c>
    </row>
    <row r="1513">
      <c r="A1513" s="3">
        <v>169023.0</v>
      </c>
      <c r="B1513" s="3" t="s">
        <v>1538</v>
      </c>
      <c r="C1513" s="3" t="s">
        <v>158</v>
      </c>
      <c r="D1513" s="3">
        <v>183.0</v>
      </c>
      <c r="E1513" s="3">
        <v>15.03</v>
      </c>
      <c r="F1513" s="3">
        <v>0.97</v>
      </c>
      <c r="G1513" s="3">
        <v>10.88</v>
      </c>
    </row>
    <row r="1514">
      <c r="A1514" s="3">
        <v>169024.0</v>
      </c>
      <c r="B1514" s="3" t="s">
        <v>1539</v>
      </c>
      <c r="C1514" s="3" t="s">
        <v>158</v>
      </c>
      <c r="D1514" s="3">
        <v>234.0</v>
      </c>
      <c r="E1514" s="3">
        <v>12.16</v>
      </c>
      <c r="F1514" s="3">
        <v>13.75</v>
      </c>
      <c r="G1514" s="3">
        <v>17.41</v>
      </c>
    </row>
    <row r="1515">
      <c r="A1515" s="3">
        <v>169025.0</v>
      </c>
      <c r="B1515" s="3" t="s">
        <v>1540</v>
      </c>
      <c r="C1515" s="3" t="s">
        <v>158</v>
      </c>
      <c r="D1515" s="3">
        <v>197.0</v>
      </c>
      <c r="E1515" s="3">
        <v>8.99</v>
      </c>
      <c r="F1515" s="3">
        <v>2.49</v>
      </c>
      <c r="G1515" s="3">
        <v>26.59</v>
      </c>
    </row>
    <row r="1516">
      <c r="A1516" s="3">
        <v>169026.0</v>
      </c>
      <c r="B1516" s="3" t="s">
        <v>1541</v>
      </c>
      <c r="C1516" s="3" t="s">
        <v>158</v>
      </c>
      <c r="D1516" s="3">
        <v>159.0</v>
      </c>
      <c r="E1516" s="3">
        <v>11.78</v>
      </c>
      <c r="F1516" s="3">
        <v>0.88</v>
      </c>
      <c r="G1516" s="3">
        <v>12.35</v>
      </c>
    </row>
    <row r="1517">
      <c r="A1517" s="3">
        <v>169027.0</v>
      </c>
      <c r="B1517" s="3" t="s">
        <v>1542</v>
      </c>
      <c r="C1517" s="3" t="s">
        <v>158</v>
      </c>
      <c r="D1517" s="3">
        <v>356.0</v>
      </c>
      <c r="E1517" s="3">
        <v>19.28</v>
      </c>
      <c r="F1517" s="3">
        <v>4.89</v>
      </c>
      <c r="G1517" s="3">
        <v>40.72</v>
      </c>
    </row>
    <row r="1518">
      <c r="A1518" s="3">
        <v>169028.0</v>
      </c>
      <c r="B1518" s="3" t="s">
        <v>1543</v>
      </c>
      <c r="C1518" s="3" t="s">
        <v>158</v>
      </c>
      <c r="D1518" s="3">
        <v>157.0</v>
      </c>
      <c r="E1518" s="3">
        <v>9.79</v>
      </c>
      <c r="F1518" s="3">
        <v>12.56</v>
      </c>
      <c r="G1518" s="3">
        <v>4.57</v>
      </c>
    </row>
    <row r="1519">
      <c r="A1519" s="3">
        <v>169029.0</v>
      </c>
      <c r="B1519" s="3" t="s">
        <v>1544</v>
      </c>
      <c r="C1519" s="3" t="s">
        <v>158</v>
      </c>
      <c r="D1519" s="3">
        <v>170.0</v>
      </c>
      <c r="E1519" s="3">
        <v>8.52</v>
      </c>
      <c r="F1519" s="3">
        <v>7.84</v>
      </c>
      <c r="G1519" s="3">
        <v>15.51</v>
      </c>
    </row>
    <row r="1520">
      <c r="A1520" s="3">
        <v>169030.0</v>
      </c>
      <c r="B1520" s="3" t="s">
        <v>1545</v>
      </c>
      <c r="C1520" s="3" t="s">
        <v>158</v>
      </c>
      <c r="D1520" s="3">
        <v>191.0</v>
      </c>
      <c r="E1520" s="3">
        <v>11.06</v>
      </c>
      <c r="F1520" s="3">
        <v>10.48</v>
      </c>
      <c r="G1520" s="3">
        <v>12.36</v>
      </c>
    </row>
    <row r="1521">
      <c r="A1521" s="3">
        <v>169031.0</v>
      </c>
      <c r="B1521" s="3" t="s">
        <v>1546</v>
      </c>
      <c r="C1521" s="3" t="s">
        <v>158</v>
      </c>
      <c r="D1521" s="3">
        <v>195.0</v>
      </c>
      <c r="E1521" s="3">
        <v>4.86</v>
      </c>
      <c r="F1521" s="3">
        <v>3.56</v>
      </c>
      <c r="G1521" s="3">
        <v>34.15</v>
      </c>
    </row>
    <row r="1522">
      <c r="A1522" s="3">
        <v>169032.0</v>
      </c>
      <c r="B1522" s="3" t="s">
        <v>1547</v>
      </c>
      <c r="C1522" s="3" t="s">
        <v>158</v>
      </c>
      <c r="D1522" s="3">
        <v>144.0</v>
      </c>
      <c r="E1522" s="3">
        <v>5.0</v>
      </c>
      <c r="F1522" s="3">
        <v>7.3</v>
      </c>
      <c r="G1522" s="3">
        <v>17.52</v>
      </c>
    </row>
    <row r="1523">
      <c r="A1523" s="3">
        <v>169033.0</v>
      </c>
      <c r="B1523" s="3" t="s">
        <v>1548</v>
      </c>
      <c r="C1523" s="3" t="s">
        <v>158</v>
      </c>
      <c r="D1523" s="3">
        <v>104.0</v>
      </c>
      <c r="E1523" s="3">
        <v>1.89</v>
      </c>
      <c r="F1523" s="3">
        <v>3.9</v>
      </c>
      <c r="G1523" s="3">
        <v>17.77</v>
      </c>
    </row>
    <row r="1524">
      <c r="A1524" s="3">
        <v>169034.0</v>
      </c>
      <c r="B1524" s="3" t="s">
        <v>1549</v>
      </c>
      <c r="C1524" s="3" t="s">
        <v>158</v>
      </c>
      <c r="D1524" s="3">
        <v>394.0</v>
      </c>
      <c r="E1524" s="3">
        <v>25.5</v>
      </c>
      <c r="F1524" s="3">
        <v>16.87</v>
      </c>
      <c r="G1524" s="3">
        <v>24.25</v>
      </c>
    </row>
    <row r="1525">
      <c r="A1525" s="3">
        <v>169035.0</v>
      </c>
      <c r="B1525" s="3" t="s">
        <v>1550</v>
      </c>
      <c r="C1525" s="3" t="s">
        <v>158</v>
      </c>
      <c r="D1525" s="3">
        <v>368.0</v>
      </c>
      <c r="E1525" s="3">
        <v>23.08</v>
      </c>
      <c r="F1525" s="3">
        <v>15.93</v>
      </c>
      <c r="G1525" s="3">
        <v>24.11</v>
      </c>
    </row>
    <row r="1526">
      <c r="A1526" s="3">
        <v>169036.0</v>
      </c>
      <c r="B1526" s="3" t="s">
        <v>1551</v>
      </c>
      <c r="C1526" s="3" t="s">
        <v>158</v>
      </c>
      <c r="D1526" s="3">
        <v>156.0</v>
      </c>
      <c r="E1526" s="3">
        <v>6.0</v>
      </c>
      <c r="F1526" s="3">
        <v>7.96</v>
      </c>
      <c r="G1526" s="3">
        <v>17.62</v>
      </c>
    </row>
    <row r="1527">
      <c r="A1527" s="3">
        <v>169037.0</v>
      </c>
      <c r="B1527" s="3" t="s">
        <v>1552</v>
      </c>
      <c r="C1527" s="3" t="s">
        <v>158</v>
      </c>
      <c r="D1527" s="3">
        <v>159.0</v>
      </c>
      <c r="E1527" s="3">
        <v>5.61</v>
      </c>
      <c r="F1527" s="3">
        <v>7.44</v>
      </c>
      <c r="G1527" s="3">
        <v>19.64</v>
      </c>
    </row>
    <row r="1528">
      <c r="A1528" s="3">
        <v>169038.0</v>
      </c>
      <c r="B1528" s="3" t="s">
        <v>1553</v>
      </c>
      <c r="C1528" s="3" t="s">
        <v>158</v>
      </c>
      <c r="D1528" s="3">
        <v>154.0</v>
      </c>
      <c r="E1528" s="3">
        <v>5.7</v>
      </c>
      <c r="F1528" s="3">
        <v>7.07</v>
      </c>
      <c r="G1528" s="3">
        <v>18.5</v>
      </c>
    </row>
    <row r="1529">
      <c r="A1529" s="3">
        <v>169039.0</v>
      </c>
      <c r="B1529" s="3" t="s">
        <v>1554</v>
      </c>
      <c r="C1529" s="3" t="s">
        <v>222</v>
      </c>
      <c r="D1529" s="3">
        <v>400.0</v>
      </c>
      <c r="E1529" s="3">
        <v>3.33</v>
      </c>
      <c r="F1529" s="3">
        <v>7.1</v>
      </c>
      <c r="G1529" s="3">
        <v>84.7</v>
      </c>
    </row>
    <row r="1530">
      <c r="A1530" s="3">
        <v>169040.0</v>
      </c>
      <c r="B1530" s="3" t="s">
        <v>1555</v>
      </c>
      <c r="C1530" s="3" t="s">
        <v>222</v>
      </c>
      <c r="D1530" s="3">
        <v>371.0</v>
      </c>
      <c r="E1530" s="3">
        <v>2.86</v>
      </c>
      <c r="F1530" s="3">
        <v>11.43</v>
      </c>
      <c r="G1530" s="3">
        <v>81.5</v>
      </c>
    </row>
    <row r="1531">
      <c r="A1531" s="3">
        <v>169041.0</v>
      </c>
      <c r="B1531" s="3" t="s">
        <v>1556</v>
      </c>
      <c r="C1531" s="3" t="s">
        <v>222</v>
      </c>
      <c r="D1531" s="3">
        <v>378.0</v>
      </c>
      <c r="E1531" s="3">
        <v>7.1</v>
      </c>
      <c r="F1531" s="3">
        <v>7.9</v>
      </c>
      <c r="G1531" s="3">
        <v>74.3</v>
      </c>
    </row>
    <row r="1532">
      <c r="A1532" s="3">
        <v>169042.0</v>
      </c>
      <c r="B1532" s="3" t="s">
        <v>1557</v>
      </c>
      <c r="C1532" s="3" t="s">
        <v>196</v>
      </c>
      <c r="D1532" s="3">
        <v>47.0</v>
      </c>
      <c r="E1532" s="3">
        <v>0.1</v>
      </c>
      <c r="F1532" s="3">
        <v>0.3</v>
      </c>
      <c r="G1532" s="3">
        <v>11.4</v>
      </c>
    </row>
    <row r="1533">
      <c r="A1533" s="3">
        <v>169043.0</v>
      </c>
      <c r="B1533" s="3" t="s">
        <v>1558</v>
      </c>
      <c r="C1533" s="3" t="s">
        <v>196</v>
      </c>
      <c r="D1533" s="3">
        <v>43.0</v>
      </c>
      <c r="E1533" s="3">
        <v>0.1</v>
      </c>
      <c r="F1533" s="3">
        <v>0.5</v>
      </c>
      <c r="G1533" s="3">
        <v>9.9</v>
      </c>
    </row>
    <row r="1534">
      <c r="A1534" s="3">
        <v>169044.0</v>
      </c>
      <c r="B1534" s="3" t="s">
        <v>1559</v>
      </c>
      <c r="C1534" s="3" t="s">
        <v>183</v>
      </c>
      <c r="D1534" s="3">
        <v>54.0</v>
      </c>
      <c r="E1534" s="3">
        <v>0.0</v>
      </c>
      <c r="F1534" s="3">
        <v>0.2</v>
      </c>
      <c r="G1534" s="3">
        <v>13.41</v>
      </c>
    </row>
    <row r="1535">
      <c r="A1535" s="3">
        <v>169045.0</v>
      </c>
      <c r="B1535" s="3" t="s">
        <v>1560</v>
      </c>
      <c r="C1535" s="3" t="s">
        <v>38</v>
      </c>
      <c r="D1535" s="3">
        <v>332.0</v>
      </c>
      <c r="E1535" s="3">
        <v>0.5</v>
      </c>
      <c r="F1535" s="3">
        <v>4.6</v>
      </c>
      <c r="G1535" s="3">
        <v>77.3</v>
      </c>
    </row>
    <row r="1536">
      <c r="A1536" s="3">
        <v>169046.0</v>
      </c>
      <c r="B1536" s="3" t="s">
        <v>1561</v>
      </c>
      <c r="C1536" s="3" t="s">
        <v>33</v>
      </c>
      <c r="D1536" s="3">
        <v>469.0</v>
      </c>
      <c r="E1536" s="3">
        <v>18.2</v>
      </c>
      <c r="F1536" s="3">
        <v>5.0</v>
      </c>
      <c r="G1536" s="3">
        <v>71.4</v>
      </c>
    </row>
    <row r="1537">
      <c r="A1537" s="3">
        <v>169047.0</v>
      </c>
      <c r="B1537" s="3" t="s">
        <v>1562</v>
      </c>
      <c r="C1537" s="3" t="s">
        <v>196</v>
      </c>
      <c r="D1537" s="3">
        <v>421.0</v>
      </c>
      <c r="E1537" s="3">
        <v>9.9</v>
      </c>
      <c r="F1537" s="3">
        <v>6.4</v>
      </c>
      <c r="G1537" s="3">
        <v>76.68</v>
      </c>
    </row>
    <row r="1538">
      <c r="A1538" s="3">
        <v>169048.0</v>
      </c>
      <c r="B1538" s="3" t="s">
        <v>1563</v>
      </c>
      <c r="C1538" s="3" t="s">
        <v>196</v>
      </c>
      <c r="D1538" s="3">
        <v>406.0</v>
      </c>
      <c r="E1538" s="3">
        <v>3.0</v>
      </c>
      <c r="F1538" s="3">
        <v>8.7</v>
      </c>
      <c r="G1538" s="3">
        <v>85.98</v>
      </c>
    </row>
    <row r="1539">
      <c r="A1539" s="3">
        <v>169049.0</v>
      </c>
      <c r="B1539" s="3" t="s">
        <v>1564</v>
      </c>
      <c r="C1539" s="3" t="s">
        <v>196</v>
      </c>
      <c r="D1539" s="3">
        <v>51.0</v>
      </c>
      <c r="E1539" s="3">
        <v>1.5</v>
      </c>
      <c r="F1539" s="3">
        <v>4.1</v>
      </c>
      <c r="G1539" s="3">
        <v>5.35</v>
      </c>
    </row>
    <row r="1540">
      <c r="A1540" s="3">
        <v>169050.0</v>
      </c>
      <c r="B1540" s="3" t="s">
        <v>1565</v>
      </c>
      <c r="C1540" s="3" t="s">
        <v>192</v>
      </c>
      <c r="D1540" s="3">
        <v>271.0</v>
      </c>
      <c r="E1540" s="3">
        <v>17.6</v>
      </c>
      <c r="F1540" s="3">
        <v>24.7</v>
      </c>
      <c r="G1540" s="3">
        <v>3.5</v>
      </c>
    </row>
    <row r="1541">
      <c r="A1541" s="3">
        <v>169051.0</v>
      </c>
      <c r="B1541" s="3" t="s">
        <v>1566</v>
      </c>
      <c r="C1541" s="3" t="s">
        <v>192</v>
      </c>
      <c r="D1541" s="3">
        <v>141.0</v>
      </c>
      <c r="E1541" s="3">
        <v>0.0</v>
      </c>
      <c r="F1541" s="3">
        <v>31.7</v>
      </c>
      <c r="G1541" s="3">
        <v>3.5</v>
      </c>
    </row>
    <row r="1542">
      <c r="A1542" s="3">
        <v>169052.0</v>
      </c>
      <c r="B1542" s="3" t="s">
        <v>1567</v>
      </c>
      <c r="C1542" s="3" t="s">
        <v>187</v>
      </c>
      <c r="D1542" s="3">
        <v>718.0</v>
      </c>
      <c r="E1542" s="3">
        <v>80.7</v>
      </c>
      <c r="F1542" s="3">
        <v>0.9</v>
      </c>
      <c r="G1542" s="3">
        <v>0.6</v>
      </c>
    </row>
    <row r="1543">
      <c r="A1543" s="3">
        <v>169053.0</v>
      </c>
      <c r="B1543" s="3" t="s">
        <v>1568</v>
      </c>
      <c r="C1543" s="3" t="s">
        <v>187</v>
      </c>
      <c r="D1543" s="3">
        <v>450.0</v>
      </c>
      <c r="E1543" s="3">
        <v>50.0</v>
      </c>
      <c r="F1543" s="3">
        <v>1.0</v>
      </c>
      <c r="G1543" s="3">
        <v>1.0</v>
      </c>
    </row>
    <row r="1544">
      <c r="A1544" s="3">
        <v>169054.0</v>
      </c>
      <c r="B1544" s="3" t="s">
        <v>1569</v>
      </c>
      <c r="C1544" s="3" t="s">
        <v>196</v>
      </c>
      <c r="D1544" s="3">
        <v>51.0</v>
      </c>
      <c r="E1544" s="3">
        <v>0.9</v>
      </c>
      <c r="F1544" s="3">
        <v>1.6</v>
      </c>
      <c r="G1544" s="3">
        <v>9.2</v>
      </c>
    </row>
    <row r="1545">
      <c r="A1545" s="3">
        <v>169055.0</v>
      </c>
      <c r="B1545" s="3" t="s">
        <v>1570</v>
      </c>
      <c r="C1545" s="3" t="s">
        <v>187</v>
      </c>
      <c r="D1545" s="3">
        <v>542.0</v>
      </c>
      <c r="E1545" s="3">
        <v>57.85</v>
      </c>
      <c r="F1545" s="3">
        <v>2.17</v>
      </c>
      <c r="G1545" s="3">
        <v>3.3</v>
      </c>
    </row>
    <row r="1546">
      <c r="A1546" s="3">
        <v>169056.0</v>
      </c>
      <c r="B1546" s="3" t="s">
        <v>1571</v>
      </c>
      <c r="C1546" s="3" t="s">
        <v>187</v>
      </c>
      <c r="D1546" s="3">
        <v>404.0</v>
      </c>
      <c r="E1546" s="3">
        <v>34.53</v>
      </c>
      <c r="F1546" s="3">
        <v>0.85</v>
      </c>
      <c r="G1546" s="3">
        <v>22.4</v>
      </c>
    </row>
    <row r="1547">
      <c r="A1547" s="3">
        <v>169057.0</v>
      </c>
      <c r="B1547" s="3" t="s">
        <v>1572</v>
      </c>
      <c r="C1547" s="3" t="s">
        <v>187</v>
      </c>
      <c r="D1547" s="3">
        <v>427.0</v>
      </c>
      <c r="E1547" s="3">
        <v>43.33</v>
      </c>
      <c r="F1547" s="3">
        <v>1.9</v>
      </c>
      <c r="G1547" s="3">
        <v>7.36</v>
      </c>
    </row>
    <row r="1548">
      <c r="A1548" s="3">
        <v>169058.0</v>
      </c>
      <c r="B1548" s="3" t="s">
        <v>1573</v>
      </c>
      <c r="C1548" s="3" t="s">
        <v>38</v>
      </c>
      <c r="D1548" s="3">
        <v>132.0</v>
      </c>
      <c r="E1548" s="3">
        <v>0.3</v>
      </c>
      <c r="F1548" s="3">
        <v>0.3</v>
      </c>
      <c r="G1548" s="3">
        <v>53.42</v>
      </c>
    </row>
    <row r="1549">
      <c r="A1549" s="3">
        <v>169059.0</v>
      </c>
      <c r="B1549" s="3" t="s">
        <v>1574</v>
      </c>
      <c r="C1549" s="3" t="s">
        <v>38</v>
      </c>
      <c r="D1549" s="3">
        <v>470.0</v>
      </c>
      <c r="E1549" s="3">
        <v>21.0</v>
      </c>
      <c r="F1549" s="3">
        <v>9.5</v>
      </c>
      <c r="G1549" s="3">
        <v>60.67</v>
      </c>
    </row>
    <row r="1550">
      <c r="A1550" s="3">
        <v>169060.0</v>
      </c>
      <c r="B1550" s="3" t="s">
        <v>1575</v>
      </c>
      <c r="C1550" s="3" t="s">
        <v>38</v>
      </c>
      <c r="D1550" s="3">
        <v>398.0</v>
      </c>
      <c r="E1550" s="3">
        <v>1.67</v>
      </c>
      <c r="F1550" s="3">
        <v>3.33</v>
      </c>
      <c r="G1550" s="3">
        <v>92.39</v>
      </c>
    </row>
    <row r="1551">
      <c r="A1551" s="3">
        <v>169061.0</v>
      </c>
      <c r="B1551" s="3" t="s">
        <v>1576</v>
      </c>
      <c r="C1551" s="3" t="s">
        <v>38</v>
      </c>
      <c r="D1551" s="3">
        <v>354.0</v>
      </c>
      <c r="E1551" s="3">
        <v>0.2</v>
      </c>
      <c r="F1551" s="3">
        <v>0.0</v>
      </c>
      <c r="G1551" s="3">
        <v>88.1</v>
      </c>
    </row>
    <row r="1552">
      <c r="A1552" s="3">
        <v>169062.0</v>
      </c>
      <c r="B1552" s="3" t="s">
        <v>1577</v>
      </c>
      <c r="C1552" s="3" t="s">
        <v>38</v>
      </c>
      <c r="D1552" s="3">
        <v>53.0</v>
      </c>
      <c r="E1552" s="3">
        <v>0.16</v>
      </c>
      <c r="F1552" s="3">
        <v>0.82</v>
      </c>
      <c r="G1552" s="3">
        <v>11.98</v>
      </c>
    </row>
    <row r="1553">
      <c r="A1553" s="3">
        <v>169063.0</v>
      </c>
      <c r="B1553" s="3" t="s">
        <v>1578</v>
      </c>
      <c r="C1553" s="3" t="s">
        <v>33</v>
      </c>
      <c r="D1553" s="3">
        <v>464.0</v>
      </c>
      <c r="E1553" s="3">
        <v>17.6</v>
      </c>
      <c r="F1553" s="3">
        <v>9.8</v>
      </c>
      <c r="G1553" s="3">
        <v>66.7</v>
      </c>
    </row>
    <row r="1554">
      <c r="A1554" s="3">
        <v>169064.0</v>
      </c>
      <c r="B1554" s="3" t="s">
        <v>1579</v>
      </c>
      <c r="C1554" s="3" t="s">
        <v>33</v>
      </c>
      <c r="D1554" s="3">
        <v>338.0</v>
      </c>
      <c r="E1554" s="3">
        <v>3.1</v>
      </c>
      <c r="F1554" s="3">
        <v>8.2</v>
      </c>
      <c r="G1554" s="3">
        <v>69.39</v>
      </c>
    </row>
    <row r="1555">
      <c r="A1555" s="3">
        <v>169065.0</v>
      </c>
      <c r="B1555" s="3" t="s">
        <v>1580</v>
      </c>
      <c r="C1555" s="3" t="s">
        <v>228</v>
      </c>
      <c r="D1555" s="3">
        <v>97.0</v>
      </c>
      <c r="E1555" s="3">
        <v>1.0</v>
      </c>
      <c r="F1555" s="3">
        <v>5.0</v>
      </c>
      <c r="G1555" s="3">
        <v>16.9</v>
      </c>
    </row>
    <row r="1556">
      <c r="A1556" s="3">
        <v>169066.0</v>
      </c>
      <c r="B1556" s="3" t="s">
        <v>1581</v>
      </c>
      <c r="C1556" s="3" t="s">
        <v>228</v>
      </c>
      <c r="D1556" s="3">
        <v>189.0</v>
      </c>
      <c r="E1556" s="3">
        <v>11.11</v>
      </c>
      <c r="F1556" s="3">
        <v>17.78</v>
      </c>
      <c r="G1556" s="3">
        <v>4.44</v>
      </c>
    </row>
    <row r="1557">
      <c r="A1557" s="3">
        <v>169067.0</v>
      </c>
      <c r="B1557" s="3" t="s">
        <v>1582</v>
      </c>
      <c r="C1557" s="3" t="s">
        <v>228</v>
      </c>
      <c r="D1557" s="3">
        <v>197.0</v>
      </c>
      <c r="E1557" s="3">
        <v>9.0</v>
      </c>
      <c r="F1557" s="3">
        <v>21.0</v>
      </c>
      <c r="G1557" s="3">
        <v>8.0</v>
      </c>
    </row>
    <row r="1558">
      <c r="A1558" s="3">
        <v>169068.0</v>
      </c>
      <c r="B1558" s="3" t="s">
        <v>1583</v>
      </c>
      <c r="C1558" s="3" t="s">
        <v>228</v>
      </c>
      <c r="D1558" s="3">
        <v>290.0</v>
      </c>
      <c r="E1558" s="3">
        <v>18.0</v>
      </c>
      <c r="F1558" s="3">
        <v>23.0</v>
      </c>
      <c r="G1558" s="3">
        <v>9.0</v>
      </c>
    </row>
    <row r="1559">
      <c r="A1559" s="3">
        <v>169069.0</v>
      </c>
      <c r="B1559" s="3" t="s">
        <v>1584</v>
      </c>
      <c r="C1559" s="3" t="s">
        <v>228</v>
      </c>
      <c r="D1559" s="3">
        <v>149.0</v>
      </c>
      <c r="E1559" s="3">
        <v>9.0</v>
      </c>
      <c r="F1559" s="3">
        <v>8.0</v>
      </c>
      <c r="G1559" s="3">
        <v>9.0</v>
      </c>
    </row>
    <row r="1560">
      <c r="A1560" s="3">
        <v>169070.0</v>
      </c>
      <c r="B1560" s="3" t="s">
        <v>1585</v>
      </c>
      <c r="C1560" s="3" t="s">
        <v>183</v>
      </c>
      <c r="D1560" s="3">
        <v>50.0</v>
      </c>
      <c r="E1560" s="3">
        <v>0.0</v>
      </c>
      <c r="F1560" s="3">
        <v>0.5</v>
      </c>
      <c r="G1560" s="3">
        <v>6.3</v>
      </c>
    </row>
    <row r="1561">
      <c r="A1561" s="3">
        <v>169071.0</v>
      </c>
      <c r="B1561" s="3" t="s">
        <v>1586</v>
      </c>
      <c r="C1561" s="3" t="s">
        <v>183</v>
      </c>
      <c r="D1561" s="3">
        <v>49.0</v>
      </c>
      <c r="E1561" s="3">
        <v>0.0</v>
      </c>
      <c r="F1561" s="3">
        <v>0.07</v>
      </c>
      <c r="G1561" s="3">
        <v>1.17</v>
      </c>
    </row>
    <row r="1562">
      <c r="A1562" s="3">
        <v>169072.0</v>
      </c>
      <c r="B1562" s="3" t="s">
        <v>1587</v>
      </c>
      <c r="C1562" s="3" t="s">
        <v>38</v>
      </c>
      <c r="D1562" s="3">
        <v>360.0</v>
      </c>
      <c r="E1562" s="3">
        <v>0.0</v>
      </c>
      <c r="F1562" s="3">
        <v>0.94</v>
      </c>
      <c r="G1562" s="3">
        <v>89.11</v>
      </c>
    </row>
    <row r="1563">
      <c r="A1563" s="3">
        <v>169073.0</v>
      </c>
      <c r="B1563" s="3" t="s">
        <v>1588</v>
      </c>
      <c r="C1563" s="3" t="s">
        <v>192</v>
      </c>
      <c r="D1563" s="3">
        <v>353.0</v>
      </c>
      <c r="E1563" s="3">
        <v>1.4</v>
      </c>
      <c r="F1563" s="3">
        <v>19.9</v>
      </c>
      <c r="G1563" s="3">
        <v>66.2</v>
      </c>
    </row>
    <row r="1564">
      <c r="A1564" s="3">
        <v>169074.0</v>
      </c>
      <c r="B1564" s="3" t="s">
        <v>1589</v>
      </c>
      <c r="C1564" s="3" t="s">
        <v>101</v>
      </c>
      <c r="D1564" s="3">
        <v>24.0</v>
      </c>
      <c r="E1564" s="3">
        <v>0.3</v>
      </c>
      <c r="F1564" s="3">
        <v>1.2</v>
      </c>
      <c r="G1564" s="3">
        <v>5.31</v>
      </c>
    </row>
    <row r="1565">
      <c r="A1565" s="3">
        <v>169075.0</v>
      </c>
      <c r="B1565" s="3" t="s">
        <v>1590</v>
      </c>
      <c r="C1565" s="3" t="s">
        <v>222</v>
      </c>
      <c r="D1565" s="3">
        <v>352.0</v>
      </c>
      <c r="E1565" s="3">
        <v>3.3</v>
      </c>
      <c r="F1565" s="3">
        <v>11.2</v>
      </c>
      <c r="G1565" s="3">
        <v>75.7</v>
      </c>
    </row>
    <row r="1566">
      <c r="A1566" s="3">
        <v>169076.0</v>
      </c>
      <c r="B1566" s="3" t="s">
        <v>1591</v>
      </c>
      <c r="C1566" s="3" t="s">
        <v>222</v>
      </c>
      <c r="D1566" s="3">
        <v>388.0</v>
      </c>
      <c r="E1566" s="3">
        <v>6.3</v>
      </c>
      <c r="F1566" s="3">
        <v>9.5</v>
      </c>
      <c r="G1566" s="3">
        <v>73.8</v>
      </c>
    </row>
    <row r="1567">
      <c r="A1567" s="3">
        <v>169077.0</v>
      </c>
      <c r="B1567" s="3" t="s">
        <v>1592</v>
      </c>
      <c r="C1567" s="3" t="s">
        <v>222</v>
      </c>
      <c r="D1567" s="3">
        <v>385.0</v>
      </c>
      <c r="E1567" s="3">
        <v>5.6</v>
      </c>
      <c r="F1567" s="3">
        <v>7.1</v>
      </c>
      <c r="G1567" s="3">
        <v>76.2</v>
      </c>
    </row>
    <row r="1568">
      <c r="A1568" s="3">
        <v>169078.0</v>
      </c>
      <c r="B1568" s="3" t="s">
        <v>1593</v>
      </c>
      <c r="C1568" s="3" t="s">
        <v>192</v>
      </c>
      <c r="D1568" s="3">
        <v>95.0</v>
      </c>
      <c r="E1568" s="3">
        <v>4.2</v>
      </c>
      <c r="F1568" s="3">
        <v>10.9</v>
      </c>
      <c r="G1568" s="3">
        <v>3.0</v>
      </c>
    </row>
    <row r="1569">
      <c r="A1569" s="3">
        <v>169079.0</v>
      </c>
      <c r="B1569" s="3" t="s">
        <v>1594</v>
      </c>
      <c r="C1569" s="3" t="s">
        <v>192</v>
      </c>
      <c r="D1569" s="3">
        <v>208.0</v>
      </c>
      <c r="E1569" s="3">
        <v>16.67</v>
      </c>
      <c r="F1569" s="3">
        <v>7.85</v>
      </c>
      <c r="G1569" s="3">
        <v>6.73</v>
      </c>
    </row>
    <row r="1570">
      <c r="A1570" s="3">
        <v>169080.0</v>
      </c>
      <c r="B1570" s="3" t="s">
        <v>1595</v>
      </c>
      <c r="C1570" s="3" t="s">
        <v>192</v>
      </c>
      <c r="D1570" s="3">
        <v>180.0</v>
      </c>
      <c r="E1570" s="3">
        <v>7.0</v>
      </c>
      <c r="F1570" s="3">
        <v>24.6</v>
      </c>
      <c r="G1570" s="3">
        <v>3.5</v>
      </c>
    </row>
    <row r="1571">
      <c r="A1571" s="3">
        <v>169081.0</v>
      </c>
      <c r="B1571" s="3" t="s">
        <v>1596</v>
      </c>
      <c r="C1571" s="3" t="s">
        <v>192</v>
      </c>
      <c r="D1571" s="3">
        <v>295.0</v>
      </c>
      <c r="E1571" s="3">
        <v>28.6</v>
      </c>
      <c r="F1571" s="3">
        <v>7.1</v>
      </c>
      <c r="G1571" s="3">
        <v>3.5</v>
      </c>
    </row>
    <row r="1572">
      <c r="A1572" s="3">
        <v>169082.0</v>
      </c>
      <c r="B1572" s="3" t="s">
        <v>1597</v>
      </c>
      <c r="C1572" s="3" t="s">
        <v>189</v>
      </c>
      <c r="D1572" s="3">
        <v>615.0</v>
      </c>
      <c r="E1572" s="3">
        <v>62.4</v>
      </c>
      <c r="F1572" s="3">
        <v>11.8</v>
      </c>
      <c r="G1572" s="3">
        <v>1.4</v>
      </c>
    </row>
    <row r="1573">
      <c r="A1573" s="3">
        <v>169083.0</v>
      </c>
      <c r="B1573" s="3" t="s">
        <v>1598</v>
      </c>
      <c r="C1573" s="3" t="s">
        <v>228</v>
      </c>
      <c r="D1573" s="3">
        <v>151.0</v>
      </c>
      <c r="E1573" s="3">
        <v>8.1</v>
      </c>
      <c r="F1573" s="3">
        <v>12.5</v>
      </c>
      <c r="G1573" s="3">
        <v>6.9</v>
      </c>
    </row>
    <row r="1574">
      <c r="A1574" s="3">
        <v>169084.0</v>
      </c>
      <c r="B1574" s="3" t="s">
        <v>1599</v>
      </c>
      <c r="C1574" s="3" t="s">
        <v>101</v>
      </c>
      <c r="D1574" s="3">
        <v>60.0</v>
      </c>
      <c r="E1574" s="3">
        <v>0.2</v>
      </c>
      <c r="F1574" s="3">
        <v>1.4</v>
      </c>
      <c r="G1574" s="3">
        <v>13.6</v>
      </c>
    </row>
    <row r="1575">
      <c r="A1575" s="3">
        <v>169085.0</v>
      </c>
      <c r="B1575" s="3" t="s">
        <v>1600</v>
      </c>
      <c r="C1575" s="3" t="s">
        <v>101</v>
      </c>
      <c r="D1575" s="3">
        <v>37.0</v>
      </c>
      <c r="E1575" s="3">
        <v>0.2</v>
      </c>
      <c r="F1575" s="3">
        <v>1.4</v>
      </c>
      <c r="G1575" s="3">
        <v>7.31</v>
      </c>
    </row>
    <row r="1576">
      <c r="A1576" s="3">
        <v>169086.0</v>
      </c>
      <c r="B1576" s="3" t="s">
        <v>1601</v>
      </c>
      <c r="C1576" s="3" t="s">
        <v>257</v>
      </c>
      <c r="D1576" s="3">
        <v>66.0</v>
      </c>
      <c r="E1576" s="3">
        <v>0.44</v>
      </c>
      <c r="F1576" s="3">
        <v>0.83</v>
      </c>
      <c r="G1576" s="3">
        <v>16.53</v>
      </c>
    </row>
    <row r="1577">
      <c r="A1577" s="3">
        <v>169087.0</v>
      </c>
      <c r="B1577" s="3" t="s">
        <v>1602</v>
      </c>
      <c r="C1577" s="3" t="s">
        <v>257</v>
      </c>
      <c r="D1577" s="3">
        <v>277.0</v>
      </c>
      <c r="E1577" s="3">
        <v>1.2</v>
      </c>
      <c r="F1577" s="3">
        <v>3.8</v>
      </c>
      <c r="G1577" s="3">
        <v>70.7</v>
      </c>
    </row>
    <row r="1578">
      <c r="A1578" s="3">
        <v>169088.0</v>
      </c>
      <c r="B1578" s="3" t="s">
        <v>1603</v>
      </c>
      <c r="C1578" s="3" t="s">
        <v>257</v>
      </c>
      <c r="D1578" s="3">
        <v>55.0</v>
      </c>
      <c r="E1578" s="3">
        <v>0.31</v>
      </c>
      <c r="F1578" s="3">
        <v>1.52</v>
      </c>
      <c r="G1578" s="3">
        <v>13.02</v>
      </c>
    </row>
    <row r="1579">
      <c r="A1579" s="3">
        <v>169089.0</v>
      </c>
      <c r="B1579" s="3" t="s">
        <v>1604</v>
      </c>
      <c r="C1579" s="3" t="s">
        <v>257</v>
      </c>
      <c r="D1579" s="3">
        <v>60.0</v>
      </c>
      <c r="E1579" s="3">
        <v>0.1</v>
      </c>
      <c r="F1579" s="3">
        <v>1.31</v>
      </c>
      <c r="G1579" s="3">
        <v>15.14</v>
      </c>
    </row>
    <row r="1580">
      <c r="A1580" s="3">
        <v>169090.0</v>
      </c>
      <c r="B1580" s="3" t="s">
        <v>1605</v>
      </c>
      <c r="C1580" s="3" t="s">
        <v>257</v>
      </c>
      <c r="D1580" s="3">
        <v>73.0</v>
      </c>
      <c r="E1580" s="3">
        <v>0.58</v>
      </c>
      <c r="F1580" s="3">
        <v>0.41</v>
      </c>
      <c r="G1580" s="3">
        <v>17.91</v>
      </c>
    </row>
    <row r="1581">
      <c r="A1581" s="3">
        <v>169091.0</v>
      </c>
      <c r="B1581" s="3" t="s">
        <v>1606</v>
      </c>
      <c r="C1581" s="3" t="s">
        <v>257</v>
      </c>
      <c r="D1581" s="3">
        <v>319.0</v>
      </c>
      <c r="E1581" s="3">
        <v>1.18</v>
      </c>
      <c r="F1581" s="3">
        <v>2.45</v>
      </c>
      <c r="G1581" s="3">
        <v>78.58</v>
      </c>
    </row>
    <row r="1582">
      <c r="A1582" s="3">
        <v>169092.0</v>
      </c>
      <c r="B1582" s="3" t="s">
        <v>1607</v>
      </c>
      <c r="C1582" s="3" t="s">
        <v>257</v>
      </c>
      <c r="D1582" s="3">
        <v>34.0</v>
      </c>
      <c r="E1582" s="3">
        <v>0.19</v>
      </c>
      <c r="F1582" s="3">
        <v>0.84</v>
      </c>
      <c r="G1582" s="3">
        <v>8.16</v>
      </c>
    </row>
    <row r="1583">
      <c r="A1583" s="3">
        <v>169093.0</v>
      </c>
      <c r="B1583" s="3" t="s">
        <v>1608</v>
      </c>
      <c r="C1583" s="3" t="s">
        <v>257</v>
      </c>
      <c r="D1583" s="3">
        <v>28.0</v>
      </c>
      <c r="E1583" s="3">
        <v>0.1</v>
      </c>
      <c r="F1583" s="3">
        <v>1.11</v>
      </c>
      <c r="G1583" s="3">
        <v>6.58</v>
      </c>
    </row>
    <row r="1584">
      <c r="A1584" s="3">
        <v>169094.0</v>
      </c>
      <c r="B1584" s="3" t="s">
        <v>1609</v>
      </c>
      <c r="C1584" s="3" t="s">
        <v>257</v>
      </c>
      <c r="D1584" s="3">
        <v>116.0</v>
      </c>
      <c r="E1584" s="3">
        <v>10.9</v>
      </c>
      <c r="F1584" s="3">
        <v>0.84</v>
      </c>
      <c r="G1584" s="3">
        <v>6.04</v>
      </c>
    </row>
    <row r="1585">
      <c r="A1585" s="3">
        <v>169095.0</v>
      </c>
      <c r="B1585" s="3" t="s">
        <v>1610</v>
      </c>
      <c r="C1585" s="3" t="s">
        <v>257</v>
      </c>
      <c r="D1585" s="3">
        <v>81.0</v>
      </c>
      <c r="E1585" s="3">
        <v>6.87</v>
      </c>
      <c r="F1585" s="3">
        <v>0.97</v>
      </c>
      <c r="G1585" s="3">
        <v>5.61</v>
      </c>
    </row>
    <row r="1586">
      <c r="A1586" s="3">
        <v>169096.0</v>
      </c>
      <c r="B1586" s="3" t="s">
        <v>1611</v>
      </c>
      <c r="C1586" s="3" t="s">
        <v>257</v>
      </c>
      <c r="D1586" s="3">
        <v>145.0</v>
      </c>
      <c r="E1586" s="3">
        <v>15.32</v>
      </c>
      <c r="F1586" s="3">
        <v>1.03</v>
      </c>
      <c r="G1586" s="3">
        <v>3.84</v>
      </c>
    </row>
    <row r="1587">
      <c r="A1587" s="3">
        <v>169097.0</v>
      </c>
      <c r="B1587" s="3" t="s">
        <v>1612</v>
      </c>
      <c r="C1587" s="3" t="s">
        <v>257</v>
      </c>
      <c r="D1587" s="3">
        <v>47.0</v>
      </c>
      <c r="E1587" s="3">
        <v>0.12</v>
      </c>
      <c r="F1587" s="3">
        <v>0.94</v>
      </c>
      <c r="G1587" s="3">
        <v>11.75</v>
      </c>
    </row>
    <row r="1588">
      <c r="A1588" s="3">
        <v>169098.0</v>
      </c>
      <c r="B1588" s="3" t="s">
        <v>1613</v>
      </c>
      <c r="C1588" s="3" t="s">
        <v>257</v>
      </c>
      <c r="D1588" s="3">
        <v>45.0</v>
      </c>
      <c r="E1588" s="3">
        <v>0.2</v>
      </c>
      <c r="F1588" s="3">
        <v>0.7</v>
      </c>
      <c r="G1588" s="3">
        <v>10.4</v>
      </c>
    </row>
    <row r="1589">
      <c r="A1589" s="3">
        <v>169099.0</v>
      </c>
      <c r="B1589" s="3" t="s">
        <v>1614</v>
      </c>
      <c r="C1589" s="3" t="s">
        <v>257</v>
      </c>
      <c r="D1589" s="3">
        <v>47.0</v>
      </c>
      <c r="E1589" s="3">
        <v>0.15</v>
      </c>
      <c r="F1589" s="3">
        <v>0.68</v>
      </c>
      <c r="G1589" s="3">
        <v>11.01</v>
      </c>
    </row>
    <row r="1590">
      <c r="A1590" s="3">
        <v>169100.0</v>
      </c>
      <c r="B1590" s="3" t="s">
        <v>1615</v>
      </c>
      <c r="C1590" s="3" t="s">
        <v>257</v>
      </c>
      <c r="D1590" s="3">
        <v>49.0</v>
      </c>
      <c r="E1590" s="3">
        <v>0.12</v>
      </c>
      <c r="F1590" s="3">
        <v>0.68</v>
      </c>
      <c r="G1590" s="3">
        <v>11.54</v>
      </c>
    </row>
    <row r="1591">
      <c r="A1591" s="3">
        <v>169101.0</v>
      </c>
      <c r="B1591" s="3" t="s">
        <v>1616</v>
      </c>
      <c r="C1591" s="3" t="s">
        <v>257</v>
      </c>
      <c r="D1591" s="3">
        <v>47.0</v>
      </c>
      <c r="E1591" s="3">
        <v>0.12</v>
      </c>
      <c r="F1591" s="3">
        <v>0.68</v>
      </c>
      <c r="G1591" s="3">
        <v>11.27</v>
      </c>
    </row>
    <row r="1592">
      <c r="A1592" s="3">
        <v>169102.0</v>
      </c>
      <c r="B1592" s="3" t="s">
        <v>1617</v>
      </c>
      <c r="C1592" s="3" t="s">
        <v>257</v>
      </c>
      <c r="D1592" s="3">
        <v>37.0</v>
      </c>
      <c r="E1592" s="3">
        <v>0.06</v>
      </c>
      <c r="F1592" s="3">
        <v>0.6</v>
      </c>
      <c r="G1592" s="3">
        <v>8.8</v>
      </c>
    </row>
    <row r="1593">
      <c r="A1593" s="3">
        <v>169103.0</v>
      </c>
      <c r="B1593" s="3" t="s">
        <v>1618</v>
      </c>
      <c r="C1593" s="3" t="s">
        <v>257</v>
      </c>
      <c r="D1593" s="3">
        <v>97.0</v>
      </c>
      <c r="E1593" s="3">
        <v>0.2</v>
      </c>
      <c r="F1593" s="3">
        <v>1.5</v>
      </c>
      <c r="G1593" s="3">
        <v>25.0</v>
      </c>
    </row>
    <row r="1594">
      <c r="A1594" s="3">
        <v>169104.0</v>
      </c>
      <c r="B1594" s="3" t="s">
        <v>1619</v>
      </c>
      <c r="C1594" s="3" t="s">
        <v>257</v>
      </c>
      <c r="D1594" s="3">
        <v>43.0</v>
      </c>
      <c r="E1594" s="3">
        <v>0.1</v>
      </c>
      <c r="F1594" s="3">
        <v>0.6</v>
      </c>
      <c r="G1594" s="3">
        <v>10.28</v>
      </c>
    </row>
    <row r="1595">
      <c r="A1595" s="3">
        <v>169105.0</v>
      </c>
      <c r="B1595" s="3" t="s">
        <v>1620</v>
      </c>
      <c r="C1595" s="3" t="s">
        <v>257</v>
      </c>
      <c r="D1595" s="3">
        <v>53.0</v>
      </c>
      <c r="E1595" s="3">
        <v>0.31</v>
      </c>
      <c r="F1595" s="3">
        <v>0.81</v>
      </c>
      <c r="G1595" s="3">
        <v>13.34</v>
      </c>
    </row>
    <row r="1596">
      <c r="A1596" s="3">
        <v>169106.0</v>
      </c>
      <c r="B1596" s="3" t="s">
        <v>1621</v>
      </c>
      <c r="C1596" s="3" t="s">
        <v>257</v>
      </c>
      <c r="D1596" s="3">
        <v>37.0</v>
      </c>
      <c r="E1596" s="3">
        <v>0.03</v>
      </c>
      <c r="F1596" s="3">
        <v>0.62</v>
      </c>
      <c r="G1596" s="3">
        <v>9.57</v>
      </c>
    </row>
    <row r="1597">
      <c r="A1597" s="3">
        <v>169107.0</v>
      </c>
      <c r="B1597" s="3" t="s">
        <v>1622</v>
      </c>
      <c r="C1597" s="3" t="s">
        <v>257</v>
      </c>
      <c r="D1597" s="3">
        <v>57.0</v>
      </c>
      <c r="E1597" s="3">
        <v>0.15</v>
      </c>
      <c r="F1597" s="3">
        <v>0.17</v>
      </c>
      <c r="G1597" s="3">
        <v>14.51</v>
      </c>
    </row>
    <row r="1598">
      <c r="A1598" s="3">
        <v>169108.0</v>
      </c>
      <c r="B1598" s="3" t="s">
        <v>1623</v>
      </c>
      <c r="C1598" s="3" t="s">
        <v>257</v>
      </c>
      <c r="D1598" s="3">
        <v>97.0</v>
      </c>
      <c r="E1598" s="3">
        <v>0.7</v>
      </c>
      <c r="F1598" s="3">
        <v>2.2</v>
      </c>
      <c r="G1598" s="3">
        <v>23.38</v>
      </c>
    </row>
    <row r="1599">
      <c r="A1599" s="3">
        <v>169109.0</v>
      </c>
      <c r="B1599" s="3" t="s">
        <v>1624</v>
      </c>
      <c r="C1599" s="3" t="s">
        <v>257</v>
      </c>
      <c r="D1599" s="3">
        <v>51.0</v>
      </c>
      <c r="E1599" s="3">
        <v>0.05</v>
      </c>
      <c r="F1599" s="3">
        <v>0.39</v>
      </c>
      <c r="G1599" s="3">
        <v>13.6</v>
      </c>
    </row>
    <row r="1600">
      <c r="A1600" s="3">
        <v>169110.0</v>
      </c>
      <c r="B1600" s="3" t="s">
        <v>1625</v>
      </c>
      <c r="C1600" s="3" t="s">
        <v>257</v>
      </c>
      <c r="D1600" s="3">
        <v>60.0</v>
      </c>
      <c r="E1600" s="3">
        <v>0.18</v>
      </c>
      <c r="F1600" s="3">
        <v>0.67</v>
      </c>
      <c r="G1600" s="3">
        <v>14.45</v>
      </c>
    </row>
    <row r="1601">
      <c r="A1601" s="3">
        <v>169111.0</v>
      </c>
      <c r="B1601" s="3" t="s">
        <v>1626</v>
      </c>
      <c r="C1601" s="3" t="s">
        <v>257</v>
      </c>
      <c r="D1601" s="3">
        <v>54.0</v>
      </c>
      <c r="E1601" s="3">
        <v>0.03</v>
      </c>
      <c r="F1601" s="3">
        <v>0.45</v>
      </c>
      <c r="G1601" s="3">
        <v>14.55</v>
      </c>
    </row>
    <row r="1602">
      <c r="A1602" s="3">
        <v>169112.0</v>
      </c>
      <c r="B1602" s="3" t="s">
        <v>1627</v>
      </c>
      <c r="C1602" s="3" t="s">
        <v>257</v>
      </c>
      <c r="D1602" s="3">
        <v>74.0</v>
      </c>
      <c r="E1602" s="3">
        <v>0.1</v>
      </c>
      <c r="F1602" s="3">
        <v>0.45</v>
      </c>
      <c r="G1602" s="3">
        <v>19.94</v>
      </c>
    </row>
    <row r="1603">
      <c r="A1603" s="3">
        <v>169113.0</v>
      </c>
      <c r="B1603" s="3" t="s">
        <v>1628</v>
      </c>
      <c r="C1603" s="3" t="s">
        <v>257</v>
      </c>
      <c r="D1603" s="3">
        <v>96.0</v>
      </c>
      <c r="E1603" s="3">
        <v>0.03</v>
      </c>
      <c r="F1603" s="3">
        <v>0.47</v>
      </c>
      <c r="G1603" s="3">
        <v>26.06</v>
      </c>
    </row>
    <row r="1604">
      <c r="A1604" s="3">
        <v>169114.0</v>
      </c>
      <c r="B1604" s="3" t="s">
        <v>1629</v>
      </c>
      <c r="C1604" s="3" t="s">
        <v>257</v>
      </c>
      <c r="D1604" s="3">
        <v>75.0</v>
      </c>
      <c r="E1604" s="3">
        <v>0.1</v>
      </c>
      <c r="F1604" s="3">
        <v>0.41</v>
      </c>
      <c r="G1604" s="3">
        <v>20.08</v>
      </c>
    </row>
    <row r="1605">
      <c r="A1605" s="3">
        <v>169115.0</v>
      </c>
      <c r="B1605" s="3" t="s">
        <v>1630</v>
      </c>
      <c r="C1605" s="3" t="s">
        <v>257</v>
      </c>
      <c r="D1605" s="3">
        <v>103.0</v>
      </c>
      <c r="E1605" s="3">
        <v>0.22</v>
      </c>
      <c r="F1605" s="3">
        <v>1.06</v>
      </c>
      <c r="G1605" s="3">
        <v>26.6</v>
      </c>
    </row>
    <row r="1606">
      <c r="A1606" s="3">
        <v>169116.0</v>
      </c>
      <c r="B1606" s="3" t="s">
        <v>1631</v>
      </c>
      <c r="C1606" s="3" t="s">
        <v>257</v>
      </c>
      <c r="D1606" s="3">
        <v>94.0</v>
      </c>
      <c r="E1606" s="3">
        <v>0.13</v>
      </c>
      <c r="F1606" s="3">
        <v>0.63</v>
      </c>
      <c r="G1606" s="3">
        <v>23.98</v>
      </c>
    </row>
    <row r="1607">
      <c r="A1607" s="3">
        <v>169117.0</v>
      </c>
      <c r="B1607" s="3" t="s">
        <v>1632</v>
      </c>
      <c r="C1607" s="3" t="s">
        <v>257</v>
      </c>
      <c r="D1607" s="3">
        <v>49.0</v>
      </c>
      <c r="E1607" s="3">
        <v>0.57</v>
      </c>
      <c r="F1607" s="3">
        <v>0.1</v>
      </c>
      <c r="G1607" s="3">
        <v>11.61</v>
      </c>
    </row>
    <row r="1608">
      <c r="A1608" s="3">
        <v>169118.0</v>
      </c>
      <c r="B1608" s="3" t="s">
        <v>1633</v>
      </c>
      <c r="C1608" s="3" t="s">
        <v>257</v>
      </c>
      <c r="D1608" s="3">
        <v>57.0</v>
      </c>
      <c r="E1608" s="3">
        <v>0.14</v>
      </c>
      <c r="F1608" s="3">
        <v>0.36</v>
      </c>
      <c r="G1608" s="3">
        <v>15.23</v>
      </c>
    </row>
    <row r="1609">
      <c r="A1609" s="3">
        <v>169119.0</v>
      </c>
      <c r="B1609" s="3" t="s">
        <v>1634</v>
      </c>
      <c r="C1609" s="3" t="s">
        <v>257</v>
      </c>
      <c r="D1609" s="3">
        <v>29.0</v>
      </c>
      <c r="E1609" s="3">
        <v>0.03</v>
      </c>
      <c r="F1609" s="3">
        <v>0.19</v>
      </c>
      <c r="G1609" s="3">
        <v>7.81</v>
      </c>
    </row>
    <row r="1610">
      <c r="A1610" s="3">
        <v>169120.0</v>
      </c>
      <c r="B1610" s="3" t="s">
        <v>1635</v>
      </c>
      <c r="C1610" s="3" t="s">
        <v>257</v>
      </c>
      <c r="D1610" s="3">
        <v>97.0</v>
      </c>
      <c r="E1610" s="3">
        <v>0.13</v>
      </c>
      <c r="F1610" s="3">
        <v>0.19</v>
      </c>
      <c r="G1610" s="3">
        <v>25.25</v>
      </c>
    </row>
    <row r="1611">
      <c r="A1611" s="3">
        <v>169121.0</v>
      </c>
      <c r="B1611" s="3" t="s">
        <v>1636</v>
      </c>
      <c r="C1611" s="3" t="s">
        <v>257</v>
      </c>
      <c r="D1611" s="3">
        <v>262.0</v>
      </c>
      <c r="E1611" s="3">
        <v>0.63</v>
      </c>
      <c r="F1611" s="3">
        <v>1.87</v>
      </c>
      <c r="G1611" s="3">
        <v>69.7</v>
      </c>
    </row>
    <row r="1612">
      <c r="A1612" s="3">
        <v>169122.0</v>
      </c>
      <c r="B1612" s="3" t="s">
        <v>1637</v>
      </c>
      <c r="C1612" s="3" t="s">
        <v>257</v>
      </c>
      <c r="D1612" s="3">
        <v>127.0</v>
      </c>
      <c r="E1612" s="3">
        <v>0.31</v>
      </c>
      <c r="F1612" s="3">
        <v>0.91</v>
      </c>
      <c r="G1612" s="3">
        <v>33.81</v>
      </c>
    </row>
    <row r="1613">
      <c r="A1613" s="3">
        <v>169123.0</v>
      </c>
      <c r="B1613" s="3" t="s">
        <v>1638</v>
      </c>
      <c r="C1613" s="3" t="s">
        <v>257</v>
      </c>
      <c r="D1613" s="3">
        <v>140.0</v>
      </c>
      <c r="E1613" s="3">
        <v>0.29</v>
      </c>
      <c r="F1613" s="3">
        <v>0.86</v>
      </c>
      <c r="G1613" s="3">
        <v>37.14</v>
      </c>
    </row>
    <row r="1614">
      <c r="A1614" s="3">
        <v>169124.0</v>
      </c>
      <c r="B1614" s="3" t="s">
        <v>1639</v>
      </c>
      <c r="C1614" s="3" t="s">
        <v>257</v>
      </c>
      <c r="D1614" s="3">
        <v>50.0</v>
      </c>
      <c r="E1614" s="3">
        <v>0.12</v>
      </c>
      <c r="F1614" s="3">
        <v>0.54</v>
      </c>
      <c r="G1614" s="3">
        <v>13.12</v>
      </c>
    </row>
    <row r="1615">
      <c r="A1615" s="3">
        <v>169125.0</v>
      </c>
      <c r="B1615" s="3" t="s">
        <v>1640</v>
      </c>
      <c r="C1615" s="3" t="s">
        <v>257</v>
      </c>
      <c r="D1615" s="3">
        <v>32.0</v>
      </c>
      <c r="E1615" s="3">
        <v>0.09</v>
      </c>
      <c r="F1615" s="3">
        <v>0.43</v>
      </c>
      <c r="G1615" s="3">
        <v>8.3</v>
      </c>
    </row>
    <row r="1616">
      <c r="A1616" s="3">
        <v>169126.0</v>
      </c>
      <c r="B1616" s="3" t="s">
        <v>1641</v>
      </c>
      <c r="C1616" s="3" t="s">
        <v>257</v>
      </c>
      <c r="D1616" s="3">
        <v>60.0</v>
      </c>
      <c r="E1616" s="3">
        <v>0.08</v>
      </c>
      <c r="F1616" s="3">
        <v>0.42</v>
      </c>
      <c r="G1616" s="3">
        <v>15.7</v>
      </c>
    </row>
    <row r="1617">
      <c r="A1617" s="3">
        <v>169127.0</v>
      </c>
      <c r="B1617" s="3" t="s">
        <v>1642</v>
      </c>
      <c r="C1617" s="3" t="s">
        <v>257</v>
      </c>
      <c r="D1617" s="3">
        <v>52.0</v>
      </c>
      <c r="E1617" s="3">
        <v>0.12</v>
      </c>
      <c r="F1617" s="3">
        <v>0.36</v>
      </c>
      <c r="G1617" s="3">
        <v>13.45</v>
      </c>
    </row>
    <row r="1618">
      <c r="A1618" s="3">
        <v>169128.0</v>
      </c>
      <c r="B1618" s="3" t="s">
        <v>1643</v>
      </c>
      <c r="C1618" s="3" t="s">
        <v>257</v>
      </c>
      <c r="D1618" s="3">
        <v>51.0</v>
      </c>
      <c r="E1618" s="3">
        <v>0.03</v>
      </c>
      <c r="F1618" s="3">
        <v>0.4</v>
      </c>
      <c r="G1618" s="3">
        <v>12.67</v>
      </c>
    </row>
    <row r="1619">
      <c r="A1619" s="3">
        <v>169129.0</v>
      </c>
      <c r="B1619" s="3" t="s">
        <v>1644</v>
      </c>
      <c r="C1619" s="3" t="s">
        <v>257</v>
      </c>
      <c r="D1619" s="3">
        <v>33.0</v>
      </c>
      <c r="E1619" s="3">
        <v>0.4</v>
      </c>
      <c r="F1619" s="3">
        <v>0.8</v>
      </c>
      <c r="G1619" s="3">
        <v>7.49</v>
      </c>
    </row>
    <row r="1620">
      <c r="A1620" s="3">
        <v>169130.0</v>
      </c>
      <c r="B1620" s="3" t="s">
        <v>1645</v>
      </c>
      <c r="C1620" s="3" t="s">
        <v>257</v>
      </c>
      <c r="D1620" s="3">
        <v>122.0</v>
      </c>
      <c r="E1620" s="3">
        <v>0.35</v>
      </c>
      <c r="F1620" s="3">
        <v>1.3</v>
      </c>
      <c r="G1620" s="3">
        <v>31.89</v>
      </c>
    </row>
    <row r="1621">
      <c r="A1621" s="3">
        <v>169131.0</v>
      </c>
      <c r="B1621" s="3" t="s">
        <v>1646</v>
      </c>
      <c r="C1621" s="3" t="s">
        <v>257</v>
      </c>
      <c r="D1621" s="3">
        <v>155.0</v>
      </c>
      <c r="E1621" s="3">
        <v>0.16</v>
      </c>
      <c r="F1621" s="3">
        <v>1.52</v>
      </c>
      <c r="G1621" s="3">
        <v>41.37</v>
      </c>
    </row>
    <row r="1622">
      <c r="A1622" s="3">
        <v>169132.0</v>
      </c>
      <c r="B1622" s="3" t="s">
        <v>1647</v>
      </c>
      <c r="C1622" s="3" t="s">
        <v>257</v>
      </c>
      <c r="D1622" s="3">
        <v>89.0</v>
      </c>
      <c r="E1622" s="3">
        <v>0.1</v>
      </c>
      <c r="F1622" s="3">
        <v>0.36</v>
      </c>
      <c r="G1622" s="3">
        <v>23.24</v>
      </c>
    </row>
    <row r="1623">
      <c r="A1623" s="3">
        <v>169133.0</v>
      </c>
      <c r="B1623" s="3" t="s">
        <v>1648</v>
      </c>
      <c r="C1623" s="3" t="s">
        <v>257</v>
      </c>
      <c r="D1623" s="3">
        <v>101.0</v>
      </c>
      <c r="E1623" s="3">
        <v>0.1</v>
      </c>
      <c r="F1623" s="3">
        <v>0.36</v>
      </c>
      <c r="G1623" s="3">
        <v>26.31</v>
      </c>
    </row>
    <row r="1624">
      <c r="A1624" s="3">
        <v>169134.0</v>
      </c>
      <c r="B1624" s="3" t="s">
        <v>1649</v>
      </c>
      <c r="C1624" s="3" t="s">
        <v>257</v>
      </c>
      <c r="D1624" s="3">
        <v>83.0</v>
      </c>
      <c r="E1624" s="3">
        <v>1.17</v>
      </c>
      <c r="F1624" s="3">
        <v>1.67</v>
      </c>
      <c r="G1624" s="3">
        <v>18.7</v>
      </c>
    </row>
    <row r="1625">
      <c r="A1625" s="3">
        <v>169135.0</v>
      </c>
      <c r="B1625" s="3" t="s">
        <v>1650</v>
      </c>
      <c r="C1625" s="3" t="s">
        <v>101</v>
      </c>
      <c r="D1625" s="3">
        <v>123.0</v>
      </c>
      <c r="E1625" s="3">
        <v>0.32</v>
      </c>
      <c r="F1625" s="3">
        <v>6.81</v>
      </c>
      <c r="G1625" s="3">
        <v>23.64</v>
      </c>
    </row>
    <row r="1626">
      <c r="A1626" s="3">
        <v>169136.0</v>
      </c>
      <c r="B1626" s="3" t="s">
        <v>1651</v>
      </c>
      <c r="C1626" s="3" t="s">
        <v>101</v>
      </c>
      <c r="D1626" s="3">
        <v>71.0</v>
      </c>
      <c r="E1626" s="3">
        <v>0.29</v>
      </c>
      <c r="F1626" s="3">
        <v>4.07</v>
      </c>
      <c r="G1626" s="3">
        <v>13.33</v>
      </c>
    </row>
    <row r="1627">
      <c r="A1627" s="3">
        <v>169137.0</v>
      </c>
      <c r="B1627" s="3" t="s">
        <v>1652</v>
      </c>
      <c r="C1627" s="3" t="s">
        <v>101</v>
      </c>
      <c r="D1627" s="3">
        <v>21.0</v>
      </c>
      <c r="E1627" s="3">
        <v>0.09</v>
      </c>
      <c r="F1627" s="3">
        <v>2.03</v>
      </c>
      <c r="G1627" s="3">
        <v>4.19</v>
      </c>
    </row>
    <row r="1628">
      <c r="A1628" s="3">
        <v>169138.0</v>
      </c>
      <c r="B1628" s="3" t="s">
        <v>1653</v>
      </c>
      <c r="C1628" s="3" t="s">
        <v>101</v>
      </c>
      <c r="D1628" s="3">
        <v>50.0</v>
      </c>
      <c r="E1628" s="3">
        <v>0.21</v>
      </c>
      <c r="F1628" s="3">
        <v>4.3</v>
      </c>
      <c r="G1628" s="3">
        <v>10.59</v>
      </c>
    </row>
    <row r="1629">
      <c r="A1629" s="3">
        <v>169139.0</v>
      </c>
      <c r="B1629" s="3" t="s">
        <v>1654</v>
      </c>
      <c r="C1629" s="3" t="s">
        <v>101</v>
      </c>
      <c r="D1629" s="3">
        <v>67.0</v>
      </c>
      <c r="E1629" s="3">
        <v>0.7</v>
      </c>
      <c r="F1629" s="3">
        <v>6.15</v>
      </c>
      <c r="G1629" s="3">
        <v>13.05</v>
      </c>
    </row>
    <row r="1630">
      <c r="A1630" s="3">
        <v>169140.0</v>
      </c>
      <c r="B1630" s="3" t="s">
        <v>1655</v>
      </c>
      <c r="C1630" s="3" t="s">
        <v>101</v>
      </c>
      <c r="D1630" s="3">
        <v>78.0</v>
      </c>
      <c r="E1630" s="3">
        <v>0.81</v>
      </c>
      <c r="F1630" s="3">
        <v>7.07</v>
      </c>
      <c r="G1630" s="3">
        <v>15.01</v>
      </c>
    </row>
    <row r="1631">
      <c r="A1631" s="3">
        <v>169141.0</v>
      </c>
      <c r="B1631" s="3" t="s">
        <v>1656</v>
      </c>
      <c r="C1631" s="3" t="s">
        <v>101</v>
      </c>
      <c r="D1631" s="3">
        <v>35.0</v>
      </c>
      <c r="E1631" s="3">
        <v>0.28</v>
      </c>
      <c r="F1631" s="3">
        <v>1.89</v>
      </c>
      <c r="G1631" s="3">
        <v>7.88</v>
      </c>
    </row>
    <row r="1632">
      <c r="A1632" s="3">
        <v>169142.0</v>
      </c>
      <c r="B1632" s="3" t="s">
        <v>1657</v>
      </c>
      <c r="C1632" s="3" t="s">
        <v>101</v>
      </c>
      <c r="D1632" s="3">
        <v>15.0</v>
      </c>
      <c r="E1632" s="3">
        <v>0.17</v>
      </c>
      <c r="F1632" s="3">
        <v>0.72</v>
      </c>
      <c r="G1632" s="3">
        <v>3.27</v>
      </c>
    </row>
    <row r="1633">
      <c r="A1633" s="3">
        <v>169143.0</v>
      </c>
      <c r="B1633" s="3" t="s">
        <v>1658</v>
      </c>
      <c r="C1633" s="3" t="s">
        <v>101</v>
      </c>
      <c r="D1633" s="3">
        <v>21.0</v>
      </c>
      <c r="E1633" s="3">
        <v>0.41</v>
      </c>
      <c r="F1633" s="3">
        <v>1.05</v>
      </c>
      <c r="G1633" s="3">
        <v>4.19</v>
      </c>
    </row>
    <row r="1634">
      <c r="A1634" s="3">
        <v>169144.0</v>
      </c>
      <c r="B1634" s="3" t="s">
        <v>1659</v>
      </c>
      <c r="C1634" s="3" t="s">
        <v>101</v>
      </c>
      <c r="D1634" s="3">
        <v>16.0</v>
      </c>
      <c r="E1634" s="3">
        <v>0.2</v>
      </c>
      <c r="F1634" s="3">
        <v>0.83</v>
      </c>
      <c r="G1634" s="3">
        <v>3.49</v>
      </c>
    </row>
    <row r="1635">
      <c r="A1635" s="3">
        <v>169145.0</v>
      </c>
      <c r="B1635" s="3" t="s">
        <v>1660</v>
      </c>
      <c r="C1635" s="3" t="s">
        <v>101</v>
      </c>
      <c r="D1635" s="3">
        <v>43.0</v>
      </c>
      <c r="E1635" s="3">
        <v>0.17</v>
      </c>
      <c r="F1635" s="3">
        <v>1.61</v>
      </c>
      <c r="G1635" s="3">
        <v>9.56</v>
      </c>
    </row>
    <row r="1636">
      <c r="A1636" s="3">
        <v>169146.0</v>
      </c>
      <c r="B1636" s="3" t="s">
        <v>1661</v>
      </c>
      <c r="C1636" s="3" t="s">
        <v>101</v>
      </c>
      <c r="D1636" s="3">
        <v>44.0</v>
      </c>
      <c r="E1636" s="3">
        <v>0.18</v>
      </c>
      <c r="F1636" s="3">
        <v>1.68</v>
      </c>
      <c r="G1636" s="3">
        <v>9.96</v>
      </c>
    </row>
    <row r="1637">
      <c r="A1637" s="3">
        <v>169147.0</v>
      </c>
      <c r="B1637" s="3" t="s">
        <v>1662</v>
      </c>
      <c r="C1637" s="3" t="s">
        <v>101</v>
      </c>
      <c r="D1637" s="3">
        <v>30.0</v>
      </c>
      <c r="E1637" s="3">
        <v>0.09</v>
      </c>
      <c r="F1637" s="3">
        <v>0.73</v>
      </c>
      <c r="G1637" s="3">
        <v>7.14</v>
      </c>
    </row>
    <row r="1638">
      <c r="A1638" s="3">
        <v>169148.0</v>
      </c>
      <c r="B1638" s="3" t="s">
        <v>1663</v>
      </c>
      <c r="C1638" s="3" t="s">
        <v>189</v>
      </c>
      <c r="D1638" s="3">
        <v>117.0</v>
      </c>
      <c r="E1638" s="3">
        <v>4.39</v>
      </c>
      <c r="F1638" s="3">
        <v>17.99</v>
      </c>
      <c r="G1638" s="3">
        <v>1.57</v>
      </c>
    </row>
    <row r="1639">
      <c r="A1639" s="3">
        <v>169149.0</v>
      </c>
      <c r="B1639" s="3" t="s">
        <v>1664</v>
      </c>
      <c r="C1639" s="3" t="s">
        <v>189</v>
      </c>
      <c r="D1639" s="3">
        <v>110.0</v>
      </c>
      <c r="E1639" s="3">
        <v>3.97</v>
      </c>
      <c r="F1639" s="3">
        <v>17.34</v>
      </c>
      <c r="G1639" s="3">
        <v>1.45</v>
      </c>
    </row>
    <row r="1640">
      <c r="A1640" s="3">
        <v>169150.0</v>
      </c>
      <c r="B1640" s="3" t="s">
        <v>1665</v>
      </c>
      <c r="C1640" s="3" t="s">
        <v>189</v>
      </c>
      <c r="D1640" s="3">
        <v>132.0</v>
      </c>
      <c r="E1640" s="3">
        <v>4.45</v>
      </c>
      <c r="F1640" s="3">
        <v>21.69</v>
      </c>
      <c r="G1640" s="3">
        <v>1.26</v>
      </c>
    </row>
    <row r="1641">
      <c r="A1641" s="3">
        <v>169151.0</v>
      </c>
      <c r="B1641" s="3" t="s">
        <v>1666</v>
      </c>
      <c r="C1641" s="3" t="s">
        <v>189</v>
      </c>
      <c r="D1641" s="3">
        <v>95.0</v>
      </c>
      <c r="E1641" s="3">
        <v>2.29</v>
      </c>
      <c r="F1641" s="3">
        <v>17.38</v>
      </c>
      <c r="G1641" s="3">
        <v>1.23</v>
      </c>
    </row>
    <row r="1642">
      <c r="A1642" s="3">
        <v>169152.0</v>
      </c>
      <c r="B1642" s="3" t="s">
        <v>1667</v>
      </c>
      <c r="C1642" s="3" t="s">
        <v>189</v>
      </c>
      <c r="D1642" s="3">
        <v>107.0</v>
      </c>
      <c r="E1642" s="3">
        <v>3.38</v>
      </c>
      <c r="F1642" s="3">
        <v>17.93</v>
      </c>
      <c r="G1642" s="3">
        <v>1.24</v>
      </c>
    </row>
    <row r="1643">
      <c r="A1643" s="3">
        <v>169153.0</v>
      </c>
      <c r="B1643" s="3" t="s">
        <v>1668</v>
      </c>
      <c r="C1643" s="3" t="s">
        <v>189</v>
      </c>
      <c r="D1643" s="3">
        <v>103.0</v>
      </c>
      <c r="E1643" s="3">
        <v>3.78</v>
      </c>
      <c r="F1643" s="3">
        <v>14.47</v>
      </c>
      <c r="G1643" s="3">
        <v>2.82</v>
      </c>
    </row>
    <row r="1644">
      <c r="A1644" s="3">
        <v>169154.0</v>
      </c>
      <c r="B1644" s="3" t="s">
        <v>1669</v>
      </c>
      <c r="C1644" s="3" t="s">
        <v>189</v>
      </c>
      <c r="D1644" s="3">
        <v>113.0</v>
      </c>
      <c r="E1644" s="3">
        <v>4.18</v>
      </c>
      <c r="F1644" s="3">
        <v>17.53</v>
      </c>
      <c r="G1644" s="3">
        <v>1.2</v>
      </c>
    </row>
    <row r="1645">
      <c r="A1645" s="3">
        <v>169155.0</v>
      </c>
      <c r="B1645" s="3" t="s">
        <v>1670</v>
      </c>
      <c r="C1645" s="3" t="s">
        <v>189</v>
      </c>
      <c r="D1645" s="3">
        <v>507.0</v>
      </c>
      <c r="E1645" s="3">
        <v>51.57</v>
      </c>
      <c r="F1645" s="3">
        <v>8.77</v>
      </c>
      <c r="G1645" s="3">
        <v>2.0</v>
      </c>
    </row>
    <row r="1646">
      <c r="A1646" s="3">
        <v>169156.0</v>
      </c>
      <c r="B1646" s="3" t="s">
        <v>1671</v>
      </c>
      <c r="C1646" s="3" t="s">
        <v>189</v>
      </c>
      <c r="D1646" s="3">
        <v>515.0</v>
      </c>
      <c r="E1646" s="3">
        <v>53.0</v>
      </c>
      <c r="F1646" s="3">
        <v>7.5</v>
      </c>
      <c r="G1646" s="3">
        <v>1.87</v>
      </c>
    </row>
    <row r="1647">
      <c r="A1647" s="3">
        <v>169157.0</v>
      </c>
      <c r="B1647" s="3" t="s">
        <v>1672</v>
      </c>
      <c r="C1647" s="3" t="s">
        <v>189</v>
      </c>
      <c r="D1647" s="3">
        <v>171.0</v>
      </c>
      <c r="E1647" s="3">
        <v>10.54</v>
      </c>
      <c r="F1647" s="3">
        <v>19.11</v>
      </c>
      <c r="G1647" s="3">
        <v>0.0</v>
      </c>
    </row>
    <row r="1648">
      <c r="A1648" s="3">
        <v>169158.0</v>
      </c>
      <c r="B1648" s="3" t="s">
        <v>1673</v>
      </c>
      <c r="C1648" s="3" t="s">
        <v>189</v>
      </c>
      <c r="D1648" s="3">
        <v>148.0</v>
      </c>
      <c r="E1648" s="3">
        <v>4.09</v>
      </c>
      <c r="F1648" s="3">
        <v>27.18</v>
      </c>
      <c r="G1648" s="3">
        <v>0.74</v>
      </c>
    </row>
    <row r="1649">
      <c r="A1649" s="3">
        <v>169159.0</v>
      </c>
      <c r="B1649" s="3" t="s">
        <v>1674</v>
      </c>
      <c r="C1649" s="3" t="s">
        <v>189</v>
      </c>
      <c r="D1649" s="3">
        <v>112.0</v>
      </c>
      <c r="E1649" s="3">
        <v>3.43</v>
      </c>
      <c r="F1649" s="3">
        <v>19.38</v>
      </c>
      <c r="G1649" s="3">
        <v>1.02</v>
      </c>
    </row>
    <row r="1650">
      <c r="A1650" s="3">
        <v>169160.0</v>
      </c>
      <c r="B1650" s="3" t="s">
        <v>1675</v>
      </c>
      <c r="C1650" s="3" t="s">
        <v>189</v>
      </c>
      <c r="D1650" s="3">
        <v>117.0</v>
      </c>
      <c r="E1650" s="3">
        <v>4.99</v>
      </c>
      <c r="F1650" s="3">
        <v>14.05</v>
      </c>
      <c r="G1650" s="3">
        <v>4.21</v>
      </c>
    </row>
    <row r="1651">
      <c r="A1651" s="3">
        <v>169161.0</v>
      </c>
      <c r="B1651" s="3" t="s">
        <v>1676</v>
      </c>
      <c r="C1651" s="3" t="s">
        <v>189</v>
      </c>
      <c r="D1651" s="3">
        <v>149.0</v>
      </c>
      <c r="E1651" s="3">
        <v>9.29</v>
      </c>
      <c r="F1651" s="3">
        <v>13.69</v>
      </c>
      <c r="G1651" s="3">
        <v>2.72</v>
      </c>
    </row>
    <row r="1652">
      <c r="A1652" s="3">
        <v>169162.0</v>
      </c>
      <c r="B1652" s="3" t="s">
        <v>1677</v>
      </c>
      <c r="C1652" s="3" t="s">
        <v>189</v>
      </c>
      <c r="D1652" s="3">
        <v>243.0</v>
      </c>
      <c r="E1652" s="3">
        <v>20.0</v>
      </c>
      <c r="F1652" s="3">
        <v>14.28</v>
      </c>
      <c r="G1652" s="3">
        <v>1.42</v>
      </c>
    </row>
    <row r="1653">
      <c r="A1653" s="3">
        <v>169163.0</v>
      </c>
      <c r="B1653" s="3" t="s">
        <v>1678</v>
      </c>
      <c r="C1653" s="3" t="s">
        <v>189</v>
      </c>
      <c r="D1653" s="3">
        <v>179.0</v>
      </c>
      <c r="E1653" s="3">
        <v>12.13</v>
      </c>
      <c r="F1653" s="3">
        <v>16.09</v>
      </c>
      <c r="G1653" s="3">
        <v>1.35</v>
      </c>
    </row>
    <row r="1654">
      <c r="A1654" s="3">
        <v>169164.0</v>
      </c>
      <c r="B1654" s="3" t="s">
        <v>1679</v>
      </c>
      <c r="C1654" s="3" t="s">
        <v>189</v>
      </c>
      <c r="D1654" s="3">
        <v>161.0</v>
      </c>
      <c r="E1654" s="3">
        <v>8.56</v>
      </c>
      <c r="F1654" s="3">
        <v>20.1</v>
      </c>
      <c r="G1654" s="3">
        <v>0.99</v>
      </c>
    </row>
    <row r="1655">
      <c r="A1655" s="3">
        <v>169165.0</v>
      </c>
      <c r="B1655" s="3" t="s">
        <v>1680</v>
      </c>
      <c r="C1655" s="3" t="s">
        <v>189</v>
      </c>
      <c r="D1655" s="3">
        <v>200.0</v>
      </c>
      <c r="E1655" s="3">
        <v>13.37</v>
      </c>
      <c r="F1655" s="3">
        <v>18.62</v>
      </c>
      <c r="G1655" s="3">
        <v>1.35</v>
      </c>
    </row>
    <row r="1656">
      <c r="A1656" s="3">
        <v>169166.0</v>
      </c>
      <c r="B1656" s="3" t="s">
        <v>1681</v>
      </c>
      <c r="C1656" s="3" t="s">
        <v>189</v>
      </c>
      <c r="D1656" s="3">
        <v>166.0</v>
      </c>
      <c r="E1656" s="3">
        <v>8.73</v>
      </c>
      <c r="F1656" s="3">
        <v>20.8</v>
      </c>
      <c r="G1656" s="3">
        <v>1.54</v>
      </c>
    </row>
    <row r="1657">
      <c r="A1657" s="3">
        <v>169167.0</v>
      </c>
      <c r="B1657" s="3" t="s">
        <v>1682</v>
      </c>
      <c r="C1657" s="3" t="s">
        <v>189</v>
      </c>
      <c r="D1657" s="3">
        <v>125.0</v>
      </c>
      <c r="E1657" s="3">
        <v>5.05</v>
      </c>
      <c r="F1657" s="3">
        <v>18.62</v>
      </c>
      <c r="G1657" s="3">
        <v>1.72</v>
      </c>
    </row>
    <row r="1658">
      <c r="A1658" s="3">
        <v>169168.0</v>
      </c>
      <c r="B1658" s="3" t="s">
        <v>1683</v>
      </c>
      <c r="C1658" s="3" t="s">
        <v>189</v>
      </c>
      <c r="D1658" s="3">
        <v>124.0</v>
      </c>
      <c r="E1658" s="3">
        <v>5.13</v>
      </c>
      <c r="F1658" s="3">
        <v>15.08</v>
      </c>
      <c r="G1658" s="3">
        <v>4.69</v>
      </c>
    </row>
    <row r="1659">
      <c r="A1659" s="3">
        <v>169169.0</v>
      </c>
      <c r="B1659" s="3" t="s">
        <v>1684</v>
      </c>
      <c r="C1659" s="3" t="s">
        <v>189</v>
      </c>
      <c r="D1659" s="3">
        <v>123.0</v>
      </c>
      <c r="E1659" s="3">
        <v>5.46</v>
      </c>
      <c r="F1659" s="3">
        <v>13.88</v>
      </c>
      <c r="G1659" s="3">
        <v>4.61</v>
      </c>
    </row>
    <row r="1660">
      <c r="A1660" s="3">
        <v>169170.0</v>
      </c>
      <c r="B1660" s="3" t="s">
        <v>1685</v>
      </c>
      <c r="C1660" s="3" t="s">
        <v>189</v>
      </c>
      <c r="D1660" s="3">
        <v>177.0</v>
      </c>
      <c r="E1660" s="3">
        <v>9.39</v>
      </c>
      <c r="F1660" s="3">
        <v>22.47</v>
      </c>
      <c r="G1660" s="3">
        <v>0.6</v>
      </c>
    </row>
    <row r="1661">
      <c r="A1661" s="3">
        <v>169171.0</v>
      </c>
      <c r="B1661" s="3" t="s">
        <v>1686</v>
      </c>
      <c r="C1661" s="3" t="s">
        <v>189</v>
      </c>
      <c r="D1661" s="3">
        <v>191.0</v>
      </c>
      <c r="E1661" s="3">
        <v>10.93</v>
      </c>
      <c r="F1661" s="3">
        <v>22.88</v>
      </c>
      <c r="G1661" s="3">
        <v>0.33</v>
      </c>
    </row>
    <row r="1662">
      <c r="A1662" s="3">
        <v>169172.0</v>
      </c>
      <c r="B1662" s="3" t="s">
        <v>1687</v>
      </c>
      <c r="C1662" s="3" t="s">
        <v>189</v>
      </c>
      <c r="D1662" s="3">
        <v>180.0</v>
      </c>
      <c r="E1662" s="3">
        <v>8.28</v>
      </c>
      <c r="F1662" s="3">
        <v>26.18</v>
      </c>
      <c r="G1662" s="3">
        <v>0.17</v>
      </c>
    </row>
    <row r="1663">
      <c r="A1663" s="3">
        <v>169173.0</v>
      </c>
      <c r="B1663" s="3" t="s">
        <v>1688</v>
      </c>
      <c r="C1663" s="3" t="s">
        <v>189</v>
      </c>
      <c r="D1663" s="3">
        <v>132.0</v>
      </c>
      <c r="E1663" s="3">
        <v>3.07</v>
      </c>
      <c r="F1663" s="3">
        <v>26.02</v>
      </c>
      <c r="G1663" s="3">
        <v>0.68</v>
      </c>
    </row>
    <row r="1664">
      <c r="A1664" s="3">
        <v>169174.0</v>
      </c>
      <c r="B1664" s="3" t="s">
        <v>1689</v>
      </c>
      <c r="C1664" s="3" t="s">
        <v>189</v>
      </c>
      <c r="D1664" s="3">
        <v>125.0</v>
      </c>
      <c r="E1664" s="3">
        <v>2.92</v>
      </c>
      <c r="F1664" s="3">
        <v>24.46</v>
      </c>
      <c r="G1664" s="3">
        <v>0.32</v>
      </c>
    </row>
    <row r="1665">
      <c r="A1665" s="3">
        <v>169175.0</v>
      </c>
      <c r="B1665" s="3" t="s">
        <v>1690</v>
      </c>
      <c r="C1665" s="3" t="s">
        <v>189</v>
      </c>
      <c r="D1665" s="3">
        <v>139.0</v>
      </c>
      <c r="E1665" s="3">
        <v>3.68</v>
      </c>
      <c r="F1665" s="3">
        <v>26.49</v>
      </c>
      <c r="G1665" s="3">
        <v>0.68</v>
      </c>
    </row>
    <row r="1666">
      <c r="A1666" s="3">
        <v>169176.0</v>
      </c>
      <c r="B1666" s="3" t="s">
        <v>1691</v>
      </c>
      <c r="C1666" s="3" t="s">
        <v>189</v>
      </c>
      <c r="D1666" s="3">
        <v>125.0</v>
      </c>
      <c r="E1666" s="3">
        <v>3.19</v>
      </c>
      <c r="F1666" s="3">
        <v>23.79</v>
      </c>
      <c r="G1666" s="3">
        <v>0.18</v>
      </c>
    </row>
    <row r="1667">
      <c r="A1667" s="3">
        <v>169177.0</v>
      </c>
      <c r="B1667" s="3" t="s">
        <v>1692</v>
      </c>
      <c r="C1667" s="3" t="s">
        <v>189</v>
      </c>
      <c r="D1667" s="3">
        <v>173.0</v>
      </c>
      <c r="E1667" s="3">
        <v>9.17</v>
      </c>
      <c r="F1667" s="3">
        <v>22.45</v>
      </c>
      <c r="G1667" s="3">
        <v>0.21</v>
      </c>
    </row>
    <row r="1668">
      <c r="A1668" s="3">
        <v>169178.0</v>
      </c>
      <c r="B1668" s="3" t="s">
        <v>1693</v>
      </c>
      <c r="C1668" s="3" t="s">
        <v>189</v>
      </c>
      <c r="D1668" s="3">
        <v>361.0</v>
      </c>
      <c r="E1668" s="3">
        <v>30.86</v>
      </c>
      <c r="F1668" s="3">
        <v>20.89</v>
      </c>
      <c r="G1668" s="3">
        <v>0.0</v>
      </c>
    </row>
    <row r="1669">
      <c r="A1669" s="3">
        <v>169179.0</v>
      </c>
      <c r="B1669" s="3" t="s">
        <v>1694</v>
      </c>
      <c r="C1669" s="3" t="s">
        <v>189</v>
      </c>
      <c r="D1669" s="3">
        <v>508.0</v>
      </c>
      <c r="E1669" s="3">
        <v>52.33</v>
      </c>
      <c r="F1669" s="3">
        <v>9.27</v>
      </c>
      <c r="G1669" s="3">
        <v>0.0</v>
      </c>
    </row>
    <row r="1670">
      <c r="A1670" s="3">
        <v>169180.0</v>
      </c>
      <c r="B1670" s="3" t="s">
        <v>1695</v>
      </c>
      <c r="C1670" s="3" t="s">
        <v>189</v>
      </c>
      <c r="D1670" s="3">
        <v>116.0</v>
      </c>
      <c r="E1670" s="3">
        <v>3.15</v>
      </c>
      <c r="F1670" s="3">
        <v>21.61</v>
      </c>
      <c r="G1670" s="3">
        <v>0.31</v>
      </c>
    </row>
    <row r="1671">
      <c r="A1671" s="3">
        <v>169181.0</v>
      </c>
      <c r="B1671" s="3" t="s">
        <v>1696</v>
      </c>
      <c r="C1671" s="3" t="s">
        <v>189</v>
      </c>
      <c r="D1671" s="3">
        <v>117.0</v>
      </c>
      <c r="E1671" s="3">
        <v>3.48</v>
      </c>
      <c r="F1671" s="3">
        <v>21.09</v>
      </c>
      <c r="G1671" s="3">
        <v>0.22</v>
      </c>
    </row>
    <row r="1672">
      <c r="A1672" s="3">
        <v>169182.0</v>
      </c>
      <c r="B1672" s="3" t="s">
        <v>1697</v>
      </c>
      <c r="C1672" s="3" t="s">
        <v>189</v>
      </c>
      <c r="D1672" s="3">
        <v>171.0</v>
      </c>
      <c r="E1672" s="3">
        <v>10.26</v>
      </c>
      <c r="F1672" s="3">
        <v>19.45</v>
      </c>
      <c r="G1672" s="3">
        <v>0.0</v>
      </c>
    </row>
    <row r="1673">
      <c r="A1673" s="3">
        <v>169183.0</v>
      </c>
      <c r="B1673" s="3" t="s">
        <v>1698</v>
      </c>
      <c r="C1673" s="3" t="s">
        <v>189</v>
      </c>
      <c r="D1673" s="3">
        <v>198.0</v>
      </c>
      <c r="E1673" s="3">
        <v>9.42</v>
      </c>
      <c r="F1673" s="3">
        <v>28.33</v>
      </c>
      <c r="G1673" s="3">
        <v>0.02</v>
      </c>
    </row>
    <row r="1674">
      <c r="A1674" s="3">
        <v>169184.0</v>
      </c>
      <c r="B1674" s="3" t="s">
        <v>1699</v>
      </c>
      <c r="C1674" s="3" t="s">
        <v>189</v>
      </c>
      <c r="D1674" s="3">
        <v>114.0</v>
      </c>
      <c r="E1674" s="3">
        <v>3.14</v>
      </c>
      <c r="F1674" s="3">
        <v>20.16</v>
      </c>
      <c r="G1674" s="3">
        <v>0.0</v>
      </c>
    </row>
    <row r="1675">
      <c r="A1675" s="3">
        <v>169185.0</v>
      </c>
      <c r="B1675" s="3" t="s">
        <v>1700</v>
      </c>
      <c r="C1675" s="3" t="s">
        <v>189</v>
      </c>
      <c r="D1675" s="3">
        <v>121.0</v>
      </c>
      <c r="E1675" s="3">
        <v>3.7</v>
      </c>
      <c r="F1675" s="3">
        <v>21.5</v>
      </c>
      <c r="G1675" s="3">
        <v>0.31</v>
      </c>
    </row>
    <row r="1676">
      <c r="A1676" s="3">
        <v>169186.0</v>
      </c>
      <c r="B1676" s="3" t="s">
        <v>1701</v>
      </c>
      <c r="C1676" s="3" t="s">
        <v>189</v>
      </c>
      <c r="D1676" s="3">
        <v>123.0</v>
      </c>
      <c r="E1676" s="3">
        <v>3.39</v>
      </c>
      <c r="F1676" s="3">
        <v>21.64</v>
      </c>
      <c r="G1676" s="3">
        <v>0.0</v>
      </c>
    </row>
    <row r="1677">
      <c r="A1677" s="3">
        <v>169187.0</v>
      </c>
      <c r="B1677" s="3" t="s">
        <v>1702</v>
      </c>
      <c r="C1677" s="3" t="s">
        <v>189</v>
      </c>
      <c r="D1677" s="3">
        <v>127.0</v>
      </c>
      <c r="E1677" s="3">
        <v>3.4</v>
      </c>
      <c r="F1677" s="3">
        <v>22.54</v>
      </c>
      <c r="G1677" s="3">
        <v>0.0</v>
      </c>
    </row>
    <row r="1678">
      <c r="A1678" s="3">
        <v>169188.0</v>
      </c>
      <c r="B1678" s="3" t="s">
        <v>1703</v>
      </c>
      <c r="C1678" s="3" t="s">
        <v>189</v>
      </c>
      <c r="D1678" s="3">
        <v>162.0</v>
      </c>
      <c r="E1678" s="3">
        <v>4.49</v>
      </c>
      <c r="F1678" s="3">
        <v>28.47</v>
      </c>
      <c r="G1678" s="3">
        <v>0.0</v>
      </c>
    </row>
    <row r="1679">
      <c r="A1679" s="3">
        <v>169189.0</v>
      </c>
      <c r="B1679" s="3" t="s">
        <v>1704</v>
      </c>
      <c r="C1679" s="3" t="s">
        <v>189</v>
      </c>
      <c r="D1679" s="3">
        <v>155.0</v>
      </c>
      <c r="E1679" s="3">
        <v>4.23</v>
      </c>
      <c r="F1679" s="3">
        <v>27.47</v>
      </c>
      <c r="G1679" s="3">
        <v>0.0</v>
      </c>
    </row>
    <row r="1680">
      <c r="A1680" s="3">
        <v>169190.0</v>
      </c>
      <c r="B1680" s="3" t="s">
        <v>1705</v>
      </c>
      <c r="C1680" s="3" t="s">
        <v>189</v>
      </c>
      <c r="D1680" s="3">
        <v>121.0</v>
      </c>
      <c r="E1680" s="3">
        <v>4.0</v>
      </c>
      <c r="F1680" s="3">
        <v>21.1</v>
      </c>
      <c r="G1680" s="3">
        <v>0.21</v>
      </c>
    </row>
    <row r="1681">
      <c r="A1681" s="3">
        <v>169191.0</v>
      </c>
      <c r="B1681" s="3" t="s">
        <v>1706</v>
      </c>
      <c r="C1681" s="3" t="s">
        <v>189</v>
      </c>
      <c r="D1681" s="3">
        <v>393.0</v>
      </c>
      <c r="E1681" s="3">
        <v>32.93</v>
      </c>
      <c r="F1681" s="3">
        <v>22.83</v>
      </c>
      <c r="G1681" s="3">
        <v>1.39</v>
      </c>
    </row>
    <row r="1682">
      <c r="A1682" s="3">
        <v>169192.0</v>
      </c>
      <c r="B1682" s="3" t="s">
        <v>1707</v>
      </c>
      <c r="C1682" s="3" t="s">
        <v>189</v>
      </c>
      <c r="D1682" s="3">
        <v>289.0</v>
      </c>
      <c r="E1682" s="3">
        <v>20.04</v>
      </c>
      <c r="F1682" s="3">
        <v>26.69</v>
      </c>
      <c r="G1682" s="3">
        <v>0.58</v>
      </c>
    </row>
    <row r="1683">
      <c r="A1683" s="3">
        <v>169193.0</v>
      </c>
      <c r="B1683" s="3" t="s">
        <v>1708</v>
      </c>
      <c r="C1683" s="3" t="s">
        <v>189</v>
      </c>
      <c r="D1683" s="3">
        <v>187.0</v>
      </c>
      <c r="E1683" s="3">
        <v>7.15</v>
      </c>
      <c r="F1683" s="3">
        <v>30.55</v>
      </c>
      <c r="G1683" s="3">
        <v>0.0</v>
      </c>
    </row>
    <row r="1684">
      <c r="A1684" s="3">
        <v>169194.0</v>
      </c>
      <c r="B1684" s="3" t="s">
        <v>1709</v>
      </c>
      <c r="C1684" s="3" t="s">
        <v>189</v>
      </c>
      <c r="D1684" s="3">
        <v>123.0</v>
      </c>
      <c r="E1684" s="3">
        <v>3.78</v>
      </c>
      <c r="F1684" s="3">
        <v>21.35</v>
      </c>
      <c r="G1684" s="3">
        <v>0.82</v>
      </c>
    </row>
    <row r="1685">
      <c r="A1685" s="3">
        <v>169195.0</v>
      </c>
      <c r="B1685" s="3" t="s">
        <v>1710</v>
      </c>
      <c r="C1685" s="3" t="s">
        <v>189</v>
      </c>
      <c r="D1685" s="3">
        <v>175.0</v>
      </c>
      <c r="E1685" s="3">
        <v>7.14</v>
      </c>
      <c r="F1685" s="3">
        <v>27.58</v>
      </c>
      <c r="G1685" s="3">
        <v>0.0</v>
      </c>
    </row>
    <row r="1686">
      <c r="A1686" s="3">
        <v>169196.0</v>
      </c>
      <c r="B1686" s="3" t="s">
        <v>1711</v>
      </c>
      <c r="C1686" s="3" t="s">
        <v>189</v>
      </c>
      <c r="D1686" s="3">
        <v>169.0</v>
      </c>
      <c r="E1686" s="3">
        <v>6.74</v>
      </c>
      <c r="F1686" s="3">
        <v>26.14</v>
      </c>
      <c r="G1686" s="3">
        <v>0.89</v>
      </c>
    </row>
    <row r="1687">
      <c r="A1687" s="3">
        <v>169197.0</v>
      </c>
      <c r="B1687" s="3" t="s">
        <v>1712</v>
      </c>
      <c r="C1687" s="3" t="s">
        <v>189</v>
      </c>
      <c r="D1687" s="3">
        <v>216.0</v>
      </c>
      <c r="E1687" s="3">
        <v>11.65</v>
      </c>
      <c r="F1687" s="3">
        <v>27.83</v>
      </c>
      <c r="G1687" s="3">
        <v>0.0</v>
      </c>
    </row>
    <row r="1688">
      <c r="A1688" s="3">
        <v>169198.0</v>
      </c>
      <c r="B1688" s="3" t="s">
        <v>1713</v>
      </c>
      <c r="C1688" s="3" t="s">
        <v>189</v>
      </c>
      <c r="D1688" s="3">
        <v>199.0</v>
      </c>
      <c r="E1688" s="3">
        <v>10.32</v>
      </c>
      <c r="F1688" s="3">
        <v>26.48</v>
      </c>
      <c r="G1688" s="3">
        <v>0.0</v>
      </c>
    </row>
    <row r="1689">
      <c r="A1689" s="3">
        <v>169199.0</v>
      </c>
      <c r="B1689" s="3" t="s">
        <v>1714</v>
      </c>
      <c r="C1689" s="3" t="s">
        <v>189</v>
      </c>
      <c r="D1689" s="3">
        <v>247.0</v>
      </c>
      <c r="E1689" s="3">
        <v>15.73</v>
      </c>
      <c r="F1689" s="3">
        <v>26.28</v>
      </c>
      <c r="G1689" s="3">
        <v>0.0</v>
      </c>
    </row>
    <row r="1690">
      <c r="A1690" s="3">
        <v>169200.0</v>
      </c>
      <c r="B1690" s="3" t="s">
        <v>1715</v>
      </c>
      <c r="C1690" s="3" t="s">
        <v>189</v>
      </c>
      <c r="D1690" s="3">
        <v>260.0</v>
      </c>
      <c r="E1690" s="3">
        <v>17.56</v>
      </c>
      <c r="F1690" s="3">
        <v>25.58</v>
      </c>
      <c r="G1690" s="3">
        <v>0.0</v>
      </c>
    </row>
    <row r="1691">
      <c r="A1691" s="3">
        <v>169201.0</v>
      </c>
      <c r="B1691" s="3" t="s">
        <v>1716</v>
      </c>
      <c r="C1691" s="3" t="s">
        <v>189</v>
      </c>
      <c r="D1691" s="3">
        <v>270.0</v>
      </c>
      <c r="E1691" s="3">
        <v>18.31</v>
      </c>
      <c r="F1691" s="3">
        <v>26.4</v>
      </c>
      <c r="G1691" s="3">
        <v>0.0</v>
      </c>
    </row>
    <row r="1692">
      <c r="A1692" s="3">
        <v>169202.0</v>
      </c>
      <c r="B1692" s="3" t="s">
        <v>1717</v>
      </c>
      <c r="C1692" s="3" t="s">
        <v>101</v>
      </c>
      <c r="D1692" s="3">
        <v>21.0</v>
      </c>
      <c r="E1692" s="3">
        <v>0.18</v>
      </c>
      <c r="F1692" s="3">
        <v>2.11</v>
      </c>
      <c r="G1692" s="3">
        <v>4.11</v>
      </c>
    </row>
    <row r="1693">
      <c r="A1693" s="3">
        <v>169203.0</v>
      </c>
      <c r="B1693" s="3" t="s">
        <v>1718</v>
      </c>
      <c r="C1693" s="3" t="s">
        <v>101</v>
      </c>
      <c r="D1693" s="3">
        <v>99.0</v>
      </c>
      <c r="E1693" s="3">
        <v>0.29</v>
      </c>
      <c r="F1693" s="3">
        <v>5.33</v>
      </c>
      <c r="G1693" s="3">
        <v>20.23</v>
      </c>
    </row>
    <row r="1694">
      <c r="A1694" s="3">
        <v>169204.0</v>
      </c>
      <c r="B1694" s="3" t="s">
        <v>1719</v>
      </c>
      <c r="C1694" s="3" t="s">
        <v>101</v>
      </c>
      <c r="D1694" s="3">
        <v>78.0</v>
      </c>
      <c r="E1694" s="3">
        <v>0.1</v>
      </c>
      <c r="F1694" s="3">
        <v>4.49</v>
      </c>
      <c r="G1694" s="3">
        <v>16.14</v>
      </c>
    </row>
    <row r="1695">
      <c r="A1695" s="3">
        <v>169205.0</v>
      </c>
      <c r="B1695" s="3" t="s">
        <v>1720</v>
      </c>
      <c r="C1695" s="3" t="s">
        <v>101</v>
      </c>
      <c r="D1695" s="3">
        <v>47.0</v>
      </c>
      <c r="E1695" s="3">
        <v>0.15</v>
      </c>
      <c r="F1695" s="3">
        <v>3.27</v>
      </c>
      <c r="G1695" s="3">
        <v>10.51</v>
      </c>
    </row>
    <row r="1696">
      <c r="A1696" s="3">
        <v>169206.0</v>
      </c>
      <c r="B1696" s="3" t="s">
        <v>1721</v>
      </c>
      <c r="C1696" s="3" t="s">
        <v>101</v>
      </c>
      <c r="D1696" s="3">
        <v>15.0</v>
      </c>
      <c r="E1696" s="3">
        <v>0.18</v>
      </c>
      <c r="F1696" s="3">
        <v>1.8</v>
      </c>
      <c r="G1696" s="3">
        <v>2.48</v>
      </c>
    </row>
    <row r="1697">
      <c r="A1697" s="3">
        <v>169207.0</v>
      </c>
      <c r="B1697" s="3" t="s">
        <v>1722</v>
      </c>
      <c r="C1697" s="3" t="s">
        <v>101</v>
      </c>
      <c r="D1697" s="3">
        <v>19.0</v>
      </c>
      <c r="E1697" s="3">
        <v>0.65</v>
      </c>
      <c r="F1697" s="3">
        <v>2.14</v>
      </c>
      <c r="G1697" s="3">
        <v>2.46</v>
      </c>
    </row>
    <row r="1698">
      <c r="A1698" s="3">
        <v>169208.0</v>
      </c>
      <c r="B1698" s="3" t="s">
        <v>1723</v>
      </c>
      <c r="C1698" s="3" t="s">
        <v>101</v>
      </c>
      <c r="D1698" s="3">
        <v>24.0</v>
      </c>
      <c r="E1698" s="3">
        <v>0.23</v>
      </c>
      <c r="F1698" s="3">
        <v>3.23</v>
      </c>
      <c r="G1698" s="3">
        <v>4.1</v>
      </c>
    </row>
    <row r="1699">
      <c r="A1699" s="3">
        <v>169209.0</v>
      </c>
      <c r="B1699" s="3" t="s">
        <v>1724</v>
      </c>
      <c r="C1699" s="3" t="s">
        <v>101</v>
      </c>
      <c r="D1699" s="3">
        <v>18.0</v>
      </c>
      <c r="E1699" s="3">
        <v>0.42</v>
      </c>
      <c r="F1699" s="3">
        <v>2.95</v>
      </c>
      <c r="G1699" s="3">
        <v>1.92</v>
      </c>
    </row>
    <row r="1700">
      <c r="A1700" s="3">
        <v>169210.0</v>
      </c>
      <c r="B1700" s="3" t="s">
        <v>1725</v>
      </c>
      <c r="C1700" s="3" t="s">
        <v>101</v>
      </c>
      <c r="D1700" s="3">
        <v>27.0</v>
      </c>
      <c r="E1700" s="3">
        <v>0.3</v>
      </c>
      <c r="F1700" s="3">
        <v>2.6</v>
      </c>
      <c r="G1700" s="3">
        <v>5.2</v>
      </c>
    </row>
    <row r="1701">
      <c r="A1701" s="3">
        <v>169211.0</v>
      </c>
      <c r="B1701" s="3" t="s">
        <v>1726</v>
      </c>
      <c r="C1701" s="3" t="s">
        <v>101</v>
      </c>
      <c r="D1701" s="3">
        <v>12.0</v>
      </c>
      <c r="E1701" s="3">
        <v>0.22</v>
      </c>
      <c r="F1701" s="3">
        <v>1.53</v>
      </c>
      <c r="G1701" s="3">
        <v>1.92</v>
      </c>
    </row>
    <row r="1702">
      <c r="A1702" s="3">
        <v>169212.0</v>
      </c>
      <c r="B1702" s="3" t="s">
        <v>1727</v>
      </c>
      <c r="C1702" s="3" t="s">
        <v>101</v>
      </c>
      <c r="D1702" s="3">
        <v>19.0</v>
      </c>
      <c r="E1702" s="3">
        <v>0.4</v>
      </c>
      <c r="F1702" s="3">
        <v>1.72</v>
      </c>
      <c r="G1702" s="3">
        <v>3.22</v>
      </c>
    </row>
    <row r="1703">
      <c r="A1703" s="3">
        <v>169213.0</v>
      </c>
      <c r="B1703" s="3" t="s">
        <v>1728</v>
      </c>
      <c r="C1703" s="3" t="s">
        <v>101</v>
      </c>
      <c r="D1703" s="3">
        <v>29.0</v>
      </c>
      <c r="E1703" s="3">
        <v>0.5</v>
      </c>
      <c r="F1703" s="3">
        <v>4.2</v>
      </c>
      <c r="G1703" s="3">
        <v>4.1</v>
      </c>
    </row>
    <row r="1704">
      <c r="A1704" s="3">
        <v>169214.0</v>
      </c>
      <c r="B1704" s="3" t="s">
        <v>1729</v>
      </c>
      <c r="C1704" s="3" t="s">
        <v>101</v>
      </c>
      <c r="D1704" s="3">
        <v>67.0</v>
      </c>
      <c r="E1704" s="3">
        <v>1.22</v>
      </c>
      <c r="F1704" s="3">
        <v>2.29</v>
      </c>
      <c r="G1704" s="3">
        <v>14.34</v>
      </c>
    </row>
    <row r="1705">
      <c r="A1705" s="3">
        <v>169215.0</v>
      </c>
      <c r="B1705" s="3" t="s">
        <v>1730</v>
      </c>
      <c r="C1705" s="3" t="s">
        <v>101</v>
      </c>
      <c r="D1705" s="3">
        <v>72.0</v>
      </c>
      <c r="E1705" s="3">
        <v>0.42</v>
      </c>
      <c r="F1705" s="3">
        <v>1.74</v>
      </c>
      <c r="G1705" s="3">
        <v>18.13</v>
      </c>
    </row>
    <row r="1706">
      <c r="A1706" s="3">
        <v>169216.0</v>
      </c>
      <c r="B1706" s="3" t="s">
        <v>1731</v>
      </c>
      <c r="C1706" s="3" t="s">
        <v>101</v>
      </c>
      <c r="D1706" s="3">
        <v>79.0</v>
      </c>
      <c r="E1706" s="3">
        <v>0.5</v>
      </c>
      <c r="F1706" s="3">
        <v>2.41</v>
      </c>
      <c r="G1706" s="3">
        <v>19.44</v>
      </c>
    </row>
    <row r="1707">
      <c r="A1707" s="3">
        <v>169217.0</v>
      </c>
      <c r="B1707" s="3" t="s">
        <v>1732</v>
      </c>
      <c r="C1707" s="3" t="s">
        <v>101</v>
      </c>
      <c r="D1707" s="3">
        <v>113.0</v>
      </c>
      <c r="E1707" s="3">
        <v>1.42</v>
      </c>
      <c r="F1707" s="3">
        <v>3.62</v>
      </c>
      <c r="G1707" s="3">
        <v>25.87</v>
      </c>
    </row>
    <row r="1708">
      <c r="A1708" s="3">
        <v>169218.0</v>
      </c>
      <c r="B1708" s="3" t="s">
        <v>1733</v>
      </c>
      <c r="C1708" s="3" t="s">
        <v>101</v>
      </c>
      <c r="D1708" s="3">
        <v>75.0</v>
      </c>
      <c r="E1708" s="3">
        <v>0.55</v>
      </c>
      <c r="F1708" s="3">
        <v>2.33</v>
      </c>
      <c r="G1708" s="3">
        <v>18.17</v>
      </c>
    </row>
    <row r="1709">
      <c r="A1709" s="3">
        <v>169219.0</v>
      </c>
      <c r="B1709" s="3" t="s">
        <v>1734</v>
      </c>
      <c r="C1709" s="3" t="s">
        <v>101</v>
      </c>
      <c r="D1709" s="3">
        <v>21.0</v>
      </c>
      <c r="E1709" s="3">
        <v>0.4</v>
      </c>
      <c r="F1709" s="3">
        <v>2.0</v>
      </c>
      <c r="G1709" s="3">
        <v>3.6</v>
      </c>
    </row>
    <row r="1710">
      <c r="A1710" s="3">
        <v>169220.0</v>
      </c>
      <c r="B1710" s="3" t="s">
        <v>1735</v>
      </c>
      <c r="C1710" s="3" t="s">
        <v>101</v>
      </c>
      <c r="D1710" s="3">
        <v>90.0</v>
      </c>
      <c r="E1710" s="3">
        <v>0.35</v>
      </c>
      <c r="F1710" s="3">
        <v>2.95</v>
      </c>
      <c r="G1710" s="3">
        <v>18.83</v>
      </c>
    </row>
    <row r="1711">
      <c r="A1711" s="3">
        <v>169221.0</v>
      </c>
      <c r="B1711" s="3" t="s">
        <v>1736</v>
      </c>
      <c r="C1711" s="3" t="s">
        <v>101</v>
      </c>
      <c r="D1711" s="3">
        <v>34.0</v>
      </c>
      <c r="E1711" s="3">
        <v>0.3</v>
      </c>
      <c r="F1711" s="3">
        <v>2.6</v>
      </c>
      <c r="G1711" s="3">
        <v>7.0</v>
      </c>
    </row>
    <row r="1712">
      <c r="A1712" s="3">
        <v>169222.0</v>
      </c>
      <c r="B1712" s="3" t="s">
        <v>1737</v>
      </c>
      <c r="C1712" s="3" t="s">
        <v>101</v>
      </c>
      <c r="D1712" s="3">
        <v>47.0</v>
      </c>
      <c r="E1712" s="3">
        <v>0.4</v>
      </c>
      <c r="F1712" s="3">
        <v>2.8</v>
      </c>
      <c r="G1712" s="3">
        <v>8.35</v>
      </c>
    </row>
    <row r="1713">
      <c r="A1713" s="3">
        <v>169223.0</v>
      </c>
      <c r="B1713" s="3" t="s">
        <v>1738</v>
      </c>
      <c r="C1713" s="3" t="s">
        <v>101</v>
      </c>
      <c r="D1713" s="3">
        <v>47.0</v>
      </c>
      <c r="E1713" s="3">
        <v>0.1</v>
      </c>
      <c r="F1713" s="3">
        <v>2.53</v>
      </c>
      <c r="G1713" s="3">
        <v>9.18</v>
      </c>
    </row>
    <row r="1714">
      <c r="A1714" s="3">
        <v>169224.0</v>
      </c>
      <c r="B1714" s="3" t="s">
        <v>1739</v>
      </c>
      <c r="C1714" s="3" t="s">
        <v>101</v>
      </c>
      <c r="D1714" s="3">
        <v>29.0</v>
      </c>
      <c r="E1714" s="3">
        <v>0.25</v>
      </c>
      <c r="F1714" s="3">
        <v>4.1</v>
      </c>
      <c r="G1714" s="3">
        <v>4.82</v>
      </c>
    </row>
    <row r="1715">
      <c r="A1715" s="3">
        <v>169225.0</v>
      </c>
      <c r="B1715" s="3" t="s">
        <v>1740</v>
      </c>
      <c r="C1715" s="3" t="s">
        <v>101</v>
      </c>
      <c r="D1715" s="3">
        <v>10.0</v>
      </c>
      <c r="E1715" s="3">
        <v>0.16</v>
      </c>
      <c r="F1715" s="3">
        <v>0.59</v>
      </c>
      <c r="G1715" s="3">
        <v>2.16</v>
      </c>
    </row>
    <row r="1716">
      <c r="A1716" s="3">
        <v>169226.0</v>
      </c>
      <c r="B1716" s="3" t="s">
        <v>1741</v>
      </c>
      <c r="C1716" s="3" t="s">
        <v>101</v>
      </c>
      <c r="D1716" s="3">
        <v>45.0</v>
      </c>
      <c r="E1716" s="3">
        <v>0.7</v>
      </c>
      <c r="F1716" s="3">
        <v>2.7</v>
      </c>
      <c r="G1716" s="3">
        <v>9.2</v>
      </c>
    </row>
    <row r="1717">
      <c r="A1717" s="3">
        <v>169227.0</v>
      </c>
      <c r="B1717" s="3" t="s">
        <v>1742</v>
      </c>
      <c r="C1717" s="3" t="s">
        <v>101</v>
      </c>
      <c r="D1717" s="3">
        <v>33.0</v>
      </c>
      <c r="E1717" s="3">
        <v>0.6</v>
      </c>
      <c r="F1717" s="3">
        <v>2.0</v>
      </c>
      <c r="G1717" s="3">
        <v>6.4</v>
      </c>
    </row>
    <row r="1718">
      <c r="A1718" s="3">
        <v>169228.0</v>
      </c>
      <c r="B1718" s="3" t="s">
        <v>1743</v>
      </c>
      <c r="C1718" s="3" t="s">
        <v>101</v>
      </c>
      <c r="D1718" s="3">
        <v>25.0</v>
      </c>
      <c r="E1718" s="3">
        <v>0.18</v>
      </c>
      <c r="F1718" s="3">
        <v>0.98</v>
      </c>
      <c r="G1718" s="3">
        <v>5.88</v>
      </c>
    </row>
    <row r="1719">
      <c r="A1719" s="3">
        <v>169229.0</v>
      </c>
      <c r="B1719" s="3" t="s">
        <v>1744</v>
      </c>
      <c r="C1719" s="3" t="s">
        <v>101</v>
      </c>
      <c r="D1719" s="3">
        <v>35.0</v>
      </c>
      <c r="E1719" s="3">
        <v>0.23</v>
      </c>
      <c r="F1719" s="3">
        <v>0.83</v>
      </c>
      <c r="G1719" s="3">
        <v>8.73</v>
      </c>
    </row>
    <row r="1720">
      <c r="A1720" s="3">
        <v>169230.0</v>
      </c>
      <c r="B1720" s="3" t="s">
        <v>1745</v>
      </c>
      <c r="C1720" s="3" t="s">
        <v>101</v>
      </c>
      <c r="D1720" s="3">
        <v>149.0</v>
      </c>
      <c r="E1720" s="3">
        <v>0.5</v>
      </c>
      <c r="F1720" s="3">
        <v>6.36</v>
      </c>
      <c r="G1720" s="3">
        <v>33.06</v>
      </c>
    </row>
    <row r="1721">
      <c r="A1721" s="3">
        <v>169231.0</v>
      </c>
      <c r="B1721" s="3" t="s">
        <v>1746</v>
      </c>
      <c r="C1721" s="3" t="s">
        <v>101</v>
      </c>
      <c r="D1721" s="3">
        <v>80.0</v>
      </c>
      <c r="E1721" s="3">
        <v>0.75</v>
      </c>
      <c r="F1721" s="3">
        <v>1.82</v>
      </c>
      <c r="G1721" s="3">
        <v>17.77</v>
      </c>
    </row>
    <row r="1722">
      <c r="A1722" s="3">
        <v>169232.0</v>
      </c>
      <c r="B1722" s="3" t="s">
        <v>1747</v>
      </c>
      <c r="C1722" s="3" t="s">
        <v>101</v>
      </c>
      <c r="D1722" s="3">
        <v>14.0</v>
      </c>
      <c r="E1722" s="3">
        <v>0.02</v>
      </c>
      <c r="F1722" s="3">
        <v>0.62</v>
      </c>
      <c r="G1722" s="3">
        <v>3.39</v>
      </c>
    </row>
    <row r="1723">
      <c r="A1723" s="3">
        <v>169233.0</v>
      </c>
      <c r="B1723" s="3" t="s">
        <v>1748</v>
      </c>
      <c r="C1723" s="3" t="s">
        <v>101</v>
      </c>
      <c r="D1723" s="3">
        <v>15.0</v>
      </c>
      <c r="E1723" s="3">
        <v>0.02</v>
      </c>
      <c r="F1723" s="3">
        <v>0.6</v>
      </c>
      <c r="G1723" s="3">
        <v>3.69</v>
      </c>
    </row>
    <row r="1724">
      <c r="A1724" s="3">
        <v>169234.0</v>
      </c>
      <c r="B1724" s="3" t="s">
        <v>1749</v>
      </c>
      <c r="C1724" s="3" t="s">
        <v>101</v>
      </c>
      <c r="D1724" s="3">
        <v>46.0</v>
      </c>
      <c r="E1724" s="3">
        <v>0.2</v>
      </c>
      <c r="F1724" s="3">
        <v>2.1</v>
      </c>
      <c r="G1724" s="3">
        <v>9.19</v>
      </c>
    </row>
    <row r="1725">
      <c r="A1725" s="3">
        <v>169235.0</v>
      </c>
      <c r="B1725" s="3" t="s">
        <v>1750</v>
      </c>
      <c r="C1725" s="3" t="s">
        <v>101</v>
      </c>
      <c r="D1725" s="3">
        <v>50.0</v>
      </c>
      <c r="E1725" s="3">
        <v>0.27</v>
      </c>
      <c r="F1725" s="3">
        <v>2.95</v>
      </c>
      <c r="G1725" s="3">
        <v>9.2</v>
      </c>
    </row>
    <row r="1726">
      <c r="A1726" s="3">
        <v>169236.0</v>
      </c>
      <c r="B1726" s="3" t="s">
        <v>1751</v>
      </c>
      <c r="C1726" s="3" t="s">
        <v>101</v>
      </c>
      <c r="D1726" s="3">
        <v>73.0</v>
      </c>
      <c r="E1726" s="3">
        <v>0.01</v>
      </c>
      <c r="F1726" s="3">
        <v>2.0</v>
      </c>
      <c r="G1726" s="3">
        <v>17.44</v>
      </c>
    </row>
    <row r="1727">
      <c r="A1727" s="3">
        <v>169237.0</v>
      </c>
      <c r="B1727" s="3" t="s">
        <v>1752</v>
      </c>
      <c r="C1727" s="3" t="s">
        <v>101</v>
      </c>
      <c r="D1727" s="3">
        <v>25.0</v>
      </c>
      <c r="E1727" s="3">
        <v>0.04</v>
      </c>
      <c r="F1727" s="3">
        <v>0.48</v>
      </c>
      <c r="G1727" s="3">
        <v>6.75</v>
      </c>
    </row>
    <row r="1728">
      <c r="A1728" s="3">
        <v>169238.0</v>
      </c>
      <c r="B1728" s="3" t="s">
        <v>1753</v>
      </c>
      <c r="C1728" s="3" t="s">
        <v>101</v>
      </c>
      <c r="D1728" s="3">
        <v>36.0</v>
      </c>
      <c r="E1728" s="3">
        <v>1.21</v>
      </c>
      <c r="F1728" s="3">
        <v>2.94</v>
      </c>
      <c r="G1728" s="3">
        <v>5.3</v>
      </c>
    </row>
    <row r="1729">
      <c r="A1729" s="3">
        <v>169239.0</v>
      </c>
      <c r="B1729" s="3" t="s">
        <v>1754</v>
      </c>
      <c r="C1729" s="3" t="s">
        <v>101</v>
      </c>
      <c r="D1729" s="3">
        <v>28.0</v>
      </c>
      <c r="E1729" s="3">
        <v>0.46</v>
      </c>
      <c r="F1729" s="3">
        <v>2.66</v>
      </c>
      <c r="G1729" s="3">
        <v>4.88</v>
      </c>
    </row>
    <row r="1730">
      <c r="A1730" s="3">
        <v>169240.0</v>
      </c>
      <c r="B1730" s="3" t="s">
        <v>1755</v>
      </c>
      <c r="C1730" s="3" t="s">
        <v>101</v>
      </c>
      <c r="D1730" s="3">
        <v>36.0</v>
      </c>
      <c r="E1730" s="3">
        <v>1.21</v>
      </c>
      <c r="F1730" s="3">
        <v>2.94</v>
      </c>
      <c r="G1730" s="3">
        <v>5.3</v>
      </c>
    </row>
    <row r="1731">
      <c r="A1731" s="3">
        <v>169241.0</v>
      </c>
      <c r="B1731" s="3" t="s">
        <v>1756</v>
      </c>
      <c r="C1731" s="3" t="s">
        <v>101</v>
      </c>
      <c r="D1731" s="3">
        <v>258.0</v>
      </c>
      <c r="E1731" s="3">
        <v>0.56</v>
      </c>
      <c r="F1731" s="3">
        <v>8.58</v>
      </c>
      <c r="G1731" s="3">
        <v>65.03</v>
      </c>
    </row>
    <row r="1732">
      <c r="A1732" s="3">
        <v>169242.0</v>
      </c>
      <c r="B1732" s="3" t="s">
        <v>1757</v>
      </c>
      <c r="C1732" s="3" t="s">
        <v>101</v>
      </c>
      <c r="D1732" s="3">
        <v>34.0</v>
      </c>
      <c r="E1732" s="3">
        <v>0.49</v>
      </c>
      <c r="F1732" s="3">
        <v>2.24</v>
      </c>
      <c r="G1732" s="3">
        <v>6.79</v>
      </c>
    </row>
    <row r="1733">
      <c r="A1733" s="3">
        <v>169243.0</v>
      </c>
      <c r="B1733" s="3" t="s">
        <v>1758</v>
      </c>
      <c r="C1733" s="3" t="s">
        <v>101</v>
      </c>
      <c r="D1733" s="3">
        <v>29.0</v>
      </c>
      <c r="E1733" s="3">
        <v>0.58</v>
      </c>
      <c r="F1733" s="3">
        <v>3.28</v>
      </c>
      <c r="G1733" s="3">
        <v>4.44</v>
      </c>
    </row>
    <row r="1734">
      <c r="A1734" s="3">
        <v>169244.0</v>
      </c>
      <c r="B1734" s="3" t="s">
        <v>1759</v>
      </c>
      <c r="C1734" s="3" t="s">
        <v>101</v>
      </c>
      <c r="D1734" s="3">
        <v>43.0</v>
      </c>
      <c r="E1734" s="3">
        <v>0.8</v>
      </c>
      <c r="F1734" s="3">
        <v>4.2</v>
      </c>
      <c r="G1734" s="3">
        <v>7.3</v>
      </c>
    </row>
    <row r="1735">
      <c r="A1735" s="3">
        <v>169245.0</v>
      </c>
      <c r="B1735" s="3" t="s">
        <v>1760</v>
      </c>
      <c r="C1735" s="3" t="s">
        <v>101</v>
      </c>
      <c r="D1735" s="3">
        <v>32.0</v>
      </c>
      <c r="E1735" s="3">
        <v>0.7</v>
      </c>
      <c r="F1735" s="3">
        <v>3.2</v>
      </c>
      <c r="G1735" s="3">
        <v>5.0</v>
      </c>
    </row>
    <row r="1736">
      <c r="A1736" s="3">
        <v>169246.0</v>
      </c>
      <c r="B1736" s="3" t="s">
        <v>1761</v>
      </c>
      <c r="C1736" s="3" t="s">
        <v>101</v>
      </c>
      <c r="D1736" s="3">
        <v>61.0</v>
      </c>
      <c r="E1736" s="3">
        <v>0.3</v>
      </c>
      <c r="F1736" s="3">
        <v>1.5</v>
      </c>
      <c r="G1736" s="3">
        <v>14.15</v>
      </c>
    </row>
    <row r="1737">
      <c r="A1737" s="3">
        <v>169247.0</v>
      </c>
      <c r="B1737" s="3" t="s">
        <v>1762</v>
      </c>
      <c r="C1737" s="3" t="s">
        <v>101</v>
      </c>
      <c r="D1737" s="3">
        <v>17.0</v>
      </c>
      <c r="E1737" s="3">
        <v>0.3</v>
      </c>
      <c r="F1737" s="3">
        <v>1.23</v>
      </c>
      <c r="G1737" s="3">
        <v>3.29</v>
      </c>
    </row>
    <row r="1738">
      <c r="A1738" s="3">
        <v>169248.0</v>
      </c>
      <c r="B1738" s="3" t="s">
        <v>1763</v>
      </c>
      <c r="C1738" s="3" t="s">
        <v>101</v>
      </c>
      <c r="D1738" s="3">
        <v>14.0</v>
      </c>
      <c r="E1738" s="3">
        <v>0.14</v>
      </c>
      <c r="F1738" s="3">
        <v>0.9</v>
      </c>
      <c r="G1738" s="3">
        <v>2.97</v>
      </c>
    </row>
    <row r="1739">
      <c r="A1739" s="3">
        <v>169249.0</v>
      </c>
      <c r="B1739" s="3" t="s">
        <v>1764</v>
      </c>
      <c r="C1739" s="3" t="s">
        <v>101</v>
      </c>
      <c r="D1739" s="3">
        <v>15.0</v>
      </c>
      <c r="E1739" s="3">
        <v>0.15</v>
      </c>
      <c r="F1739" s="3">
        <v>1.36</v>
      </c>
      <c r="G1739" s="3">
        <v>2.87</v>
      </c>
    </row>
    <row r="1740">
      <c r="A1740" s="3">
        <v>169250.0</v>
      </c>
      <c r="B1740" s="3" t="s">
        <v>1765</v>
      </c>
      <c r="C1740" s="3" t="s">
        <v>101</v>
      </c>
      <c r="D1740" s="3">
        <v>74.0</v>
      </c>
      <c r="E1740" s="3">
        <v>0.1</v>
      </c>
      <c r="F1740" s="3">
        <v>2.6</v>
      </c>
      <c r="G1740" s="3">
        <v>17.23</v>
      </c>
    </row>
    <row r="1741">
      <c r="A1741" s="3">
        <v>169251.0</v>
      </c>
      <c r="B1741" s="3" t="s">
        <v>1766</v>
      </c>
      <c r="C1741" s="3" t="s">
        <v>101</v>
      </c>
      <c r="D1741" s="3">
        <v>22.0</v>
      </c>
      <c r="E1741" s="3">
        <v>0.34</v>
      </c>
      <c r="F1741" s="3">
        <v>3.09</v>
      </c>
      <c r="G1741" s="3">
        <v>3.26</v>
      </c>
    </row>
    <row r="1742">
      <c r="A1742" s="3">
        <v>169252.0</v>
      </c>
      <c r="B1742" s="3" t="s">
        <v>1767</v>
      </c>
      <c r="C1742" s="3" t="s">
        <v>101</v>
      </c>
      <c r="D1742" s="3">
        <v>28.0</v>
      </c>
      <c r="E1742" s="3">
        <v>0.47</v>
      </c>
      <c r="F1742" s="3">
        <v>2.17</v>
      </c>
      <c r="G1742" s="3">
        <v>5.29</v>
      </c>
    </row>
    <row r="1743">
      <c r="A1743" s="3">
        <v>169253.0</v>
      </c>
      <c r="B1743" s="3" t="s">
        <v>1768</v>
      </c>
      <c r="C1743" s="3" t="s">
        <v>101</v>
      </c>
      <c r="D1743" s="3">
        <v>26.0</v>
      </c>
      <c r="E1743" s="3">
        <v>0.33</v>
      </c>
      <c r="F1743" s="3">
        <v>3.58</v>
      </c>
      <c r="G1743" s="3">
        <v>4.04</v>
      </c>
    </row>
    <row r="1744">
      <c r="A1744" s="3">
        <v>169254.0</v>
      </c>
      <c r="B1744" s="3" t="s">
        <v>1769</v>
      </c>
      <c r="C1744" s="3" t="s">
        <v>101</v>
      </c>
      <c r="D1744" s="3">
        <v>25.0</v>
      </c>
      <c r="E1744" s="3">
        <v>0.29</v>
      </c>
      <c r="F1744" s="3">
        <v>1.87</v>
      </c>
      <c r="G1744" s="3">
        <v>5.09</v>
      </c>
    </row>
    <row r="1745">
      <c r="A1745" s="3">
        <v>169255.0</v>
      </c>
      <c r="B1745" s="3" t="s">
        <v>1770</v>
      </c>
      <c r="C1745" s="3" t="s">
        <v>101</v>
      </c>
      <c r="D1745" s="3">
        <v>22.0</v>
      </c>
      <c r="E1745" s="3">
        <v>0.35</v>
      </c>
      <c r="F1745" s="3">
        <v>2.11</v>
      </c>
      <c r="G1745" s="3">
        <v>3.87</v>
      </c>
    </row>
    <row r="1746">
      <c r="A1746" s="3">
        <v>169256.0</v>
      </c>
      <c r="B1746" s="3" t="s">
        <v>1771</v>
      </c>
      <c r="C1746" s="3" t="s">
        <v>101</v>
      </c>
      <c r="D1746" s="3">
        <v>27.0</v>
      </c>
      <c r="E1746" s="3">
        <v>0.42</v>
      </c>
      <c r="F1746" s="3">
        <v>2.86</v>
      </c>
      <c r="G1746" s="3">
        <v>4.67</v>
      </c>
    </row>
    <row r="1747">
      <c r="A1747" s="3">
        <v>169257.0</v>
      </c>
      <c r="B1747" s="3" t="s">
        <v>1772</v>
      </c>
      <c r="C1747" s="3" t="s">
        <v>101</v>
      </c>
      <c r="D1747" s="3">
        <v>26.0</v>
      </c>
      <c r="E1747" s="3">
        <v>0.47</v>
      </c>
      <c r="F1747" s="3">
        <v>2.56</v>
      </c>
      <c r="G1747" s="3">
        <v>4.51</v>
      </c>
    </row>
    <row r="1748">
      <c r="A1748" s="3">
        <v>169258.0</v>
      </c>
      <c r="B1748" s="3" t="s">
        <v>1773</v>
      </c>
      <c r="C1748" s="3" t="s">
        <v>101</v>
      </c>
      <c r="D1748" s="3">
        <v>20.0</v>
      </c>
      <c r="E1748" s="3">
        <v>0.27</v>
      </c>
      <c r="F1748" s="3">
        <v>2.49</v>
      </c>
      <c r="G1748" s="3">
        <v>3.41</v>
      </c>
    </row>
    <row r="1749">
      <c r="A1749" s="3">
        <v>169259.0</v>
      </c>
      <c r="B1749" s="3" t="s">
        <v>1774</v>
      </c>
      <c r="C1749" s="3" t="s">
        <v>101</v>
      </c>
      <c r="D1749" s="3">
        <v>19.0</v>
      </c>
      <c r="E1749" s="3">
        <v>0.25</v>
      </c>
      <c r="F1749" s="3">
        <v>2.27</v>
      </c>
      <c r="G1749" s="3">
        <v>3.11</v>
      </c>
    </row>
    <row r="1750">
      <c r="A1750" s="3">
        <v>169260.0</v>
      </c>
      <c r="B1750" s="3" t="s">
        <v>1775</v>
      </c>
      <c r="C1750" s="3" t="s">
        <v>101</v>
      </c>
      <c r="D1750" s="3">
        <v>33.0</v>
      </c>
      <c r="E1750" s="3">
        <v>0.19</v>
      </c>
      <c r="F1750" s="3">
        <v>1.93</v>
      </c>
      <c r="G1750" s="3">
        <v>7.45</v>
      </c>
    </row>
    <row r="1751">
      <c r="A1751" s="3">
        <v>169261.0</v>
      </c>
      <c r="B1751" s="3" t="s">
        <v>1776</v>
      </c>
      <c r="C1751" s="3" t="s">
        <v>101</v>
      </c>
      <c r="D1751" s="3">
        <v>22.0</v>
      </c>
      <c r="E1751" s="3">
        <v>0.21</v>
      </c>
      <c r="F1751" s="3">
        <v>1.87</v>
      </c>
      <c r="G1751" s="3">
        <v>4.51</v>
      </c>
    </row>
    <row r="1752">
      <c r="A1752" s="3">
        <v>169262.0</v>
      </c>
      <c r="B1752" s="3" t="s">
        <v>1777</v>
      </c>
      <c r="C1752" s="3" t="s">
        <v>101</v>
      </c>
      <c r="D1752" s="3">
        <v>30.0</v>
      </c>
      <c r="E1752" s="3">
        <v>0.25</v>
      </c>
      <c r="F1752" s="3">
        <v>1.69</v>
      </c>
      <c r="G1752" s="3">
        <v>6.63</v>
      </c>
    </row>
    <row r="1753">
      <c r="A1753" s="3">
        <v>169263.0</v>
      </c>
      <c r="B1753" s="3" t="s">
        <v>1778</v>
      </c>
      <c r="C1753" s="3" t="s">
        <v>101</v>
      </c>
      <c r="D1753" s="3">
        <v>29.0</v>
      </c>
      <c r="E1753" s="3">
        <v>0.24</v>
      </c>
      <c r="F1753" s="3">
        <v>1.63</v>
      </c>
      <c r="G1753" s="3">
        <v>6.41</v>
      </c>
    </row>
    <row r="1754">
      <c r="A1754" s="3">
        <v>169264.0</v>
      </c>
      <c r="B1754" s="3" t="s">
        <v>1779</v>
      </c>
      <c r="C1754" s="3" t="s">
        <v>101</v>
      </c>
      <c r="D1754" s="3">
        <v>158.0</v>
      </c>
      <c r="E1754" s="3">
        <v>5.48</v>
      </c>
      <c r="F1754" s="3">
        <v>2.75</v>
      </c>
      <c r="G1754" s="3">
        <v>25.55</v>
      </c>
    </row>
    <row r="1755">
      <c r="A1755" s="3">
        <v>169265.0</v>
      </c>
      <c r="B1755" s="3" t="s">
        <v>1780</v>
      </c>
      <c r="C1755" s="3" t="s">
        <v>101</v>
      </c>
      <c r="D1755" s="3">
        <v>153.0</v>
      </c>
      <c r="E1755" s="3">
        <v>5.78</v>
      </c>
      <c r="F1755" s="3">
        <v>2.42</v>
      </c>
      <c r="G1755" s="3">
        <v>23.98</v>
      </c>
    </row>
    <row r="1756">
      <c r="A1756" s="3">
        <v>169266.0</v>
      </c>
      <c r="B1756" s="3" t="s">
        <v>1781</v>
      </c>
      <c r="C1756" s="3" t="s">
        <v>101</v>
      </c>
      <c r="D1756" s="3">
        <v>218.0</v>
      </c>
      <c r="E1756" s="3">
        <v>8.2</v>
      </c>
      <c r="F1756" s="3">
        <v>3.44</v>
      </c>
      <c r="G1756" s="3">
        <v>34.03</v>
      </c>
    </row>
    <row r="1757">
      <c r="A1757" s="3">
        <v>169267.0</v>
      </c>
      <c r="B1757" s="3" t="s">
        <v>1782</v>
      </c>
      <c r="C1757" s="3" t="s">
        <v>101</v>
      </c>
      <c r="D1757" s="3">
        <v>260.0</v>
      </c>
      <c r="E1757" s="3">
        <v>14.95</v>
      </c>
      <c r="F1757" s="3">
        <v>2.83</v>
      </c>
      <c r="G1757" s="3">
        <v>30.15</v>
      </c>
    </row>
    <row r="1758">
      <c r="A1758" s="3">
        <v>169268.0</v>
      </c>
      <c r="B1758" s="3" t="s">
        <v>1783</v>
      </c>
      <c r="C1758" s="3" t="s">
        <v>101</v>
      </c>
      <c r="D1758" s="3">
        <v>333.0</v>
      </c>
      <c r="E1758" s="3">
        <v>18.71</v>
      </c>
      <c r="F1758" s="3">
        <v>3.55</v>
      </c>
      <c r="G1758" s="3">
        <v>39.68</v>
      </c>
    </row>
    <row r="1759">
      <c r="A1759" s="3">
        <v>169269.0</v>
      </c>
      <c r="B1759" s="3" t="s">
        <v>1784</v>
      </c>
      <c r="C1759" s="3" t="s">
        <v>101</v>
      </c>
      <c r="D1759" s="3">
        <v>143.0</v>
      </c>
      <c r="E1759" s="3">
        <v>8.2</v>
      </c>
      <c r="F1759" s="3">
        <v>2.68</v>
      </c>
      <c r="G1759" s="3">
        <v>11.17</v>
      </c>
    </row>
    <row r="1760">
      <c r="A1760" s="3">
        <v>169270.0</v>
      </c>
      <c r="B1760" s="3" t="s">
        <v>1785</v>
      </c>
      <c r="C1760" s="3" t="s">
        <v>101</v>
      </c>
      <c r="D1760" s="3">
        <v>15.0</v>
      </c>
      <c r="E1760" s="3">
        <v>0.07</v>
      </c>
      <c r="F1760" s="3">
        <v>1.03</v>
      </c>
      <c r="G1760" s="3">
        <v>3.28</v>
      </c>
    </row>
    <row r="1761">
      <c r="A1761" s="3">
        <v>169271.0</v>
      </c>
      <c r="B1761" s="3" t="s">
        <v>1786</v>
      </c>
      <c r="C1761" s="3" t="s">
        <v>101</v>
      </c>
      <c r="D1761" s="3">
        <v>15.0</v>
      </c>
      <c r="E1761" s="3">
        <v>0.08</v>
      </c>
      <c r="F1761" s="3">
        <v>1.09</v>
      </c>
      <c r="G1761" s="3">
        <v>3.3</v>
      </c>
    </row>
    <row r="1762">
      <c r="A1762" s="3">
        <v>169272.0</v>
      </c>
      <c r="B1762" s="3" t="s">
        <v>1787</v>
      </c>
      <c r="C1762" s="3" t="s">
        <v>101</v>
      </c>
      <c r="D1762" s="3">
        <v>19.0</v>
      </c>
      <c r="E1762" s="3">
        <v>0.4</v>
      </c>
      <c r="F1762" s="3">
        <v>3.15</v>
      </c>
      <c r="G1762" s="3">
        <v>2.33</v>
      </c>
    </row>
    <row r="1763">
      <c r="A1763" s="3">
        <v>169273.0</v>
      </c>
      <c r="B1763" s="3" t="s">
        <v>1788</v>
      </c>
      <c r="C1763" s="3" t="s">
        <v>101</v>
      </c>
      <c r="D1763" s="3">
        <v>104.0</v>
      </c>
      <c r="E1763" s="3">
        <v>0.13</v>
      </c>
      <c r="F1763" s="3">
        <v>1.09</v>
      </c>
      <c r="G1763" s="3">
        <v>26.39</v>
      </c>
    </row>
    <row r="1764">
      <c r="A1764" s="3">
        <v>169274.0</v>
      </c>
      <c r="B1764" s="3" t="s">
        <v>1789</v>
      </c>
      <c r="C1764" s="3" t="s">
        <v>101</v>
      </c>
      <c r="D1764" s="3">
        <v>20.0</v>
      </c>
      <c r="E1764" s="3">
        <v>0.36</v>
      </c>
      <c r="F1764" s="3">
        <v>2.03</v>
      </c>
      <c r="G1764" s="3">
        <v>3.39</v>
      </c>
    </row>
    <row r="1765">
      <c r="A1765" s="3">
        <v>169275.0</v>
      </c>
      <c r="B1765" s="3" t="s">
        <v>1790</v>
      </c>
      <c r="C1765" s="3" t="s">
        <v>101</v>
      </c>
      <c r="D1765" s="3">
        <v>18.0</v>
      </c>
      <c r="E1765" s="3">
        <v>0.19</v>
      </c>
      <c r="F1765" s="3">
        <v>1.49</v>
      </c>
      <c r="G1765" s="3">
        <v>3.55</v>
      </c>
    </row>
    <row r="1766">
      <c r="A1766" s="3">
        <v>169276.0</v>
      </c>
      <c r="B1766" s="3" t="s">
        <v>1791</v>
      </c>
      <c r="C1766" s="3" t="s">
        <v>101</v>
      </c>
      <c r="D1766" s="3">
        <v>16.0</v>
      </c>
      <c r="E1766" s="3">
        <v>0.1</v>
      </c>
      <c r="F1766" s="3">
        <v>0.68</v>
      </c>
      <c r="G1766" s="3">
        <v>3.4</v>
      </c>
    </row>
    <row r="1767">
      <c r="A1767" s="3">
        <v>169277.0</v>
      </c>
      <c r="B1767" s="3" t="s">
        <v>1792</v>
      </c>
      <c r="C1767" s="3" t="s">
        <v>101</v>
      </c>
      <c r="D1767" s="3">
        <v>82.0</v>
      </c>
      <c r="E1767" s="3">
        <v>0.2</v>
      </c>
      <c r="F1767" s="3">
        <v>3.3</v>
      </c>
      <c r="G1767" s="3">
        <v>18.6</v>
      </c>
    </row>
    <row r="1768">
      <c r="A1768" s="3">
        <v>169278.0</v>
      </c>
      <c r="B1768" s="3" t="s">
        <v>1793</v>
      </c>
      <c r="C1768" s="3" t="s">
        <v>101</v>
      </c>
      <c r="D1768" s="3">
        <v>68.0</v>
      </c>
      <c r="E1768" s="3">
        <v>0.17</v>
      </c>
      <c r="F1768" s="3">
        <v>2.73</v>
      </c>
      <c r="G1768" s="3">
        <v>15.36</v>
      </c>
    </row>
    <row r="1769">
      <c r="A1769" s="3">
        <v>169279.0</v>
      </c>
      <c r="B1769" s="3" t="s">
        <v>1794</v>
      </c>
      <c r="C1769" s="3" t="s">
        <v>101</v>
      </c>
      <c r="D1769" s="3">
        <v>19.0</v>
      </c>
      <c r="E1769" s="3">
        <v>0.14</v>
      </c>
      <c r="F1769" s="3">
        <v>0.91</v>
      </c>
      <c r="G1769" s="3">
        <v>4.28</v>
      </c>
    </row>
    <row r="1770">
      <c r="A1770" s="3">
        <v>169280.0</v>
      </c>
      <c r="B1770" s="3" t="s">
        <v>1795</v>
      </c>
      <c r="C1770" s="3" t="s">
        <v>101</v>
      </c>
      <c r="D1770" s="3">
        <v>26.0</v>
      </c>
      <c r="E1770" s="3">
        <v>0.03</v>
      </c>
      <c r="F1770" s="3">
        <v>0.54</v>
      </c>
      <c r="G1770" s="3">
        <v>6.75</v>
      </c>
    </row>
    <row r="1771">
      <c r="A1771" s="3">
        <v>169281.0</v>
      </c>
      <c r="B1771" s="3" t="s">
        <v>1796</v>
      </c>
      <c r="C1771" s="3" t="s">
        <v>101</v>
      </c>
      <c r="D1771" s="3">
        <v>22.0</v>
      </c>
      <c r="E1771" s="3">
        <v>0.05</v>
      </c>
      <c r="F1771" s="3">
        <v>1.14</v>
      </c>
      <c r="G1771" s="3">
        <v>5.23</v>
      </c>
    </row>
    <row r="1772">
      <c r="A1772" s="3">
        <v>169282.0</v>
      </c>
      <c r="B1772" s="3" t="s">
        <v>1797</v>
      </c>
      <c r="C1772" s="3" t="s">
        <v>228</v>
      </c>
      <c r="D1772" s="3">
        <v>147.0</v>
      </c>
      <c r="E1772" s="3">
        <v>6.8</v>
      </c>
      <c r="F1772" s="3">
        <v>12.95</v>
      </c>
      <c r="G1772" s="3">
        <v>11.05</v>
      </c>
    </row>
    <row r="1773">
      <c r="A1773" s="3">
        <v>169283.0</v>
      </c>
      <c r="B1773" s="3" t="s">
        <v>1798</v>
      </c>
      <c r="C1773" s="3" t="s">
        <v>228</v>
      </c>
      <c r="D1773" s="3">
        <v>141.0</v>
      </c>
      <c r="E1773" s="3">
        <v>6.4</v>
      </c>
      <c r="F1773" s="3">
        <v>12.35</v>
      </c>
      <c r="G1773" s="3">
        <v>11.05</v>
      </c>
    </row>
    <row r="1774">
      <c r="A1774" s="3">
        <v>169284.0</v>
      </c>
      <c r="B1774" s="3" t="s">
        <v>1799</v>
      </c>
      <c r="C1774" s="3" t="s">
        <v>101</v>
      </c>
      <c r="D1774" s="3">
        <v>122.0</v>
      </c>
      <c r="E1774" s="3">
        <v>6.7</v>
      </c>
      <c r="F1774" s="3">
        <v>13.09</v>
      </c>
      <c r="G1774" s="3">
        <v>9.57</v>
      </c>
    </row>
    <row r="1775">
      <c r="A1775" s="3">
        <v>169285.0</v>
      </c>
      <c r="B1775" s="3" t="s">
        <v>1800</v>
      </c>
      <c r="C1775" s="3" t="s">
        <v>101</v>
      </c>
      <c r="D1775" s="3">
        <v>19.0</v>
      </c>
      <c r="E1775" s="3">
        <v>0.37</v>
      </c>
      <c r="F1775" s="3">
        <v>2.11</v>
      </c>
      <c r="G1775" s="3">
        <v>2.92</v>
      </c>
    </row>
    <row r="1776">
      <c r="A1776" s="3">
        <v>169286.0</v>
      </c>
      <c r="B1776" s="3" t="s">
        <v>1801</v>
      </c>
      <c r="C1776" s="3" t="s">
        <v>101</v>
      </c>
      <c r="D1776" s="3">
        <v>23.0</v>
      </c>
      <c r="E1776" s="3">
        <v>0.5</v>
      </c>
      <c r="F1776" s="3">
        <v>2.81</v>
      </c>
      <c r="G1776" s="3">
        <v>3.4</v>
      </c>
    </row>
    <row r="1777">
      <c r="A1777" s="3">
        <v>169287.0</v>
      </c>
      <c r="B1777" s="3" t="s">
        <v>1802</v>
      </c>
      <c r="C1777" s="3" t="s">
        <v>101</v>
      </c>
      <c r="D1777" s="3">
        <v>29.0</v>
      </c>
      <c r="E1777" s="3">
        <v>0.57</v>
      </c>
      <c r="F1777" s="3">
        <v>3.63</v>
      </c>
      <c r="G1777" s="3">
        <v>4.21</v>
      </c>
    </row>
    <row r="1778">
      <c r="A1778" s="3">
        <v>169288.0</v>
      </c>
      <c r="B1778" s="3" t="s">
        <v>1803</v>
      </c>
      <c r="C1778" s="3" t="s">
        <v>101</v>
      </c>
      <c r="D1778" s="3">
        <v>34.0</v>
      </c>
      <c r="E1778" s="3">
        <v>0.87</v>
      </c>
      <c r="F1778" s="3">
        <v>4.01</v>
      </c>
      <c r="G1778" s="3">
        <v>4.8</v>
      </c>
    </row>
    <row r="1779">
      <c r="A1779" s="3">
        <v>169289.0</v>
      </c>
      <c r="B1779" s="3" t="s">
        <v>1804</v>
      </c>
      <c r="C1779" s="3" t="s">
        <v>101</v>
      </c>
      <c r="D1779" s="3">
        <v>18.0</v>
      </c>
      <c r="E1779" s="3">
        <v>0.2</v>
      </c>
      <c r="F1779" s="3">
        <v>1.2</v>
      </c>
      <c r="G1779" s="3">
        <v>3.84</v>
      </c>
    </row>
    <row r="1780">
      <c r="A1780" s="3">
        <v>169290.0</v>
      </c>
      <c r="B1780" s="3" t="s">
        <v>1805</v>
      </c>
      <c r="C1780" s="3" t="s">
        <v>101</v>
      </c>
      <c r="D1780" s="3">
        <v>16.0</v>
      </c>
      <c r="E1780" s="3">
        <v>0.17</v>
      </c>
      <c r="F1780" s="3">
        <v>1.03</v>
      </c>
      <c r="G1780" s="3">
        <v>3.3</v>
      </c>
    </row>
    <row r="1781">
      <c r="A1781" s="3">
        <v>169291.0</v>
      </c>
      <c r="B1781" s="3" t="s">
        <v>1806</v>
      </c>
      <c r="C1781" s="3" t="s">
        <v>101</v>
      </c>
      <c r="D1781" s="3">
        <v>17.0</v>
      </c>
      <c r="E1781" s="3">
        <v>0.32</v>
      </c>
      <c r="F1781" s="3">
        <v>1.21</v>
      </c>
      <c r="G1781" s="3">
        <v>3.11</v>
      </c>
    </row>
    <row r="1782">
      <c r="A1782" s="3">
        <v>169292.0</v>
      </c>
      <c r="B1782" s="3" t="s">
        <v>1807</v>
      </c>
      <c r="C1782" s="3" t="s">
        <v>101</v>
      </c>
      <c r="D1782" s="3">
        <v>15.0</v>
      </c>
      <c r="E1782" s="3">
        <v>0.36</v>
      </c>
      <c r="F1782" s="3">
        <v>1.14</v>
      </c>
      <c r="G1782" s="3">
        <v>2.69</v>
      </c>
    </row>
    <row r="1783">
      <c r="A1783" s="3">
        <v>169293.0</v>
      </c>
      <c r="B1783" s="3" t="s">
        <v>1808</v>
      </c>
      <c r="C1783" s="3" t="s">
        <v>101</v>
      </c>
      <c r="D1783" s="3">
        <v>56.0</v>
      </c>
      <c r="E1783" s="3">
        <v>0.14</v>
      </c>
      <c r="F1783" s="3">
        <v>1.12</v>
      </c>
      <c r="G1783" s="3">
        <v>14.58</v>
      </c>
    </row>
    <row r="1784">
      <c r="A1784" s="3">
        <v>169294.0</v>
      </c>
      <c r="B1784" s="3" t="s">
        <v>1809</v>
      </c>
      <c r="C1784" s="3" t="s">
        <v>101</v>
      </c>
      <c r="D1784" s="3">
        <v>34.0</v>
      </c>
      <c r="E1784" s="3">
        <v>0.08</v>
      </c>
      <c r="F1784" s="3">
        <v>0.67</v>
      </c>
      <c r="G1784" s="3">
        <v>8.79</v>
      </c>
    </row>
    <row r="1785">
      <c r="A1785" s="3">
        <v>169295.0</v>
      </c>
      <c r="B1785" s="3" t="s">
        <v>1810</v>
      </c>
      <c r="C1785" s="3" t="s">
        <v>101</v>
      </c>
      <c r="D1785" s="3">
        <v>45.0</v>
      </c>
      <c r="E1785" s="3">
        <v>0.1</v>
      </c>
      <c r="F1785" s="3">
        <v>1.0</v>
      </c>
      <c r="G1785" s="3">
        <v>11.69</v>
      </c>
    </row>
    <row r="1786">
      <c r="A1786" s="3">
        <v>169296.0</v>
      </c>
      <c r="B1786" s="3" t="s">
        <v>1811</v>
      </c>
      <c r="C1786" s="3" t="s">
        <v>101</v>
      </c>
      <c r="D1786" s="3">
        <v>40.0</v>
      </c>
      <c r="E1786" s="3">
        <v>0.09</v>
      </c>
      <c r="F1786" s="3">
        <v>0.9</v>
      </c>
      <c r="G1786" s="3">
        <v>10.49</v>
      </c>
    </row>
    <row r="1787">
      <c r="A1787" s="3">
        <v>169297.0</v>
      </c>
      <c r="B1787" s="3" t="s">
        <v>1812</v>
      </c>
      <c r="C1787" s="3" t="s">
        <v>101</v>
      </c>
      <c r="D1787" s="3">
        <v>30.0</v>
      </c>
      <c r="E1787" s="3">
        <v>0.37</v>
      </c>
      <c r="F1787" s="3">
        <v>1.48</v>
      </c>
      <c r="G1787" s="3">
        <v>6.46</v>
      </c>
    </row>
    <row r="1788">
      <c r="A1788" s="3">
        <v>169298.0</v>
      </c>
      <c r="B1788" s="3" t="s">
        <v>1813</v>
      </c>
      <c r="C1788" s="3" t="s">
        <v>101</v>
      </c>
      <c r="D1788" s="3">
        <v>31.0</v>
      </c>
      <c r="E1788" s="3">
        <v>0.57</v>
      </c>
      <c r="F1788" s="3">
        <v>0.64</v>
      </c>
      <c r="G1788" s="3">
        <v>6.91</v>
      </c>
    </row>
    <row r="1789">
      <c r="A1789" s="3">
        <v>169299.0</v>
      </c>
      <c r="B1789" s="3" t="s">
        <v>1814</v>
      </c>
      <c r="C1789" s="3" t="s">
        <v>101</v>
      </c>
      <c r="D1789" s="3">
        <v>27.0</v>
      </c>
      <c r="E1789" s="3">
        <v>0.26</v>
      </c>
      <c r="F1789" s="3">
        <v>0.66</v>
      </c>
      <c r="G1789" s="3">
        <v>6.46</v>
      </c>
    </row>
    <row r="1790">
      <c r="A1790" s="3">
        <v>169300.0</v>
      </c>
      <c r="B1790" s="3" t="s">
        <v>1815</v>
      </c>
      <c r="C1790" s="3" t="s">
        <v>101</v>
      </c>
      <c r="D1790" s="3">
        <v>99.0</v>
      </c>
      <c r="E1790" s="3">
        <v>1.02</v>
      </c>
      <c r="F1790" s="3">
        <v>5.03</v>
      </c>
      <c r="G1790" s="3">
        <v>19.59</v>
      </c>
    </row>
    <row r="1791">
      <c r="A1791" s="3">
        <v>169301.0</v>
      </c>
      <c r="B1791" s="3" t="s">
        <v>1816</v>
      </c>
      <c r="C1791" s="3" t="s">
        <v>101</v>
      </c>
      <c r="D1791" s="3">
        <v>19.0</v>
      </c>
      <c r="E1791" s="3">
        <v>0.2</v>
      </c>
      <c r="F1791" s="3">
        <v>2.6</v>
      </c>
      <c r="G1791" s="3">
        <v>3.13</v>
      </c>
    </row>
    <row r="1792">
      <c r="A1792" s="3">
        <v>169302.0</v>
      </c>
      <c r="B1792" s="3" t="s">
        <v>1817</v>
      </c>
      <c r="C1792" s="3" t="s">
        <v>101</v>
      </c>
      <c r="D1792" s="3">
        <v>20.0</v>
      </c>
      <c r="E1792" s="3">
        <v>0.24</v>
      </c>
      <c r="F1792" s="3">
        <v>2.08</v>
      </c>
      <c r="G1792" s="3">
        <v>3.7</v>
      </c>
    </row>
    <row r="1793">
      <c r="A1793" s="3">
        <v>169303.0</v>
      </c>
      <c r="B1793" s="3" t="s">
        <v>1818</v>
      </c>
      <c r="C1793" s="3" t="s">
        <v>101</v>
      </c>
      <c r="D1793" s="3">
        <v>42.0</v>
      </c>
      <c r="E1793" s="3">
        <v>0.51</v>
      </c>
      <c r="F1793" s="3">
        <v>2.49</v>
      </c>
      <c r="G1793" s="3">
        <v>8.82</v>
      </c>
    </row>
    <row r="1794">
      <c r="A1794" s="3">
        <v>169304.0</v>
      </c>
      <c r="B1794" s="3" t="s">
        <v>1819</v>
      </c>
      <c r="C1794" s="3" t="s">
        <v>101</v>
      </c>
      <c r="D1794" s="3">
        <v>35.0</v>
      </c>
      <c r="E1794" s="3">
        <v>0.34</v>
      </c>
      <c r="F1794" s="3">
        <v>2.18</v>
      </c>
      <c r="G1794" s="3">
        <v>7.38</v>
      </c>
    </row>
    <row r="1795">
      <c r="A1795" s="3">
        <v>169305.0</v>
      </c>
      <c r="B1795" s="3" t="s">
        <v>1820</v>
      </c>
      <c r="C1795" s="3" t="s">
        <v>101</v>
      </c>
      <c r="D1795" s="3">
        <v>101.0</v>
      </c>
      <c r="E1795" s="3">
        <v>0.2</v>
      </c>
      <c r="F1795" s="3">
        <v>1.98</v>
      </c>
      <c r="G1795" s="3">
        <v>23.19</v>
      </c>
    </row>
    <row r="1796">
      <c r="A1796" s="3">
        <v>169306.0</v>
      </c>
      <c r="B1796" s="3" t="s">
        <v>1821</v>
      </c>
      <c r="C1796" s="3" t="s">
        <v>101</v>
      </c>
      <c r="D1796" s="3">
        <v>96.0</v>
      </c>
      <c r="E1796" s="3">
        <v>0.18</v>
      </c>
      <c r="F1796" s="3">
        <v>1.71</v>
      </c>
      <c r="G1796" s="3">
        <v>22.22</v>
      </c>
    </row>
    <row r="1797">
      <c r="A1797" s="3">
        <v>169307.0</v>
      </c>
      <c r="B1797" s="3" t="s">
        <v>1822</v>
      </c>
      <c r="C1797" s="3" t="s">
        <v>101</v>
      </c>
      <c r="D1797" s="3">
        <v>100.0</v>
      </c>
      <c r="E1797" s="3">
        <v>0.12</v>
      </c>
      <c r="F1797" s="3">
        <v>1.71</v>
      </c>
      <c r="G1797" s="3">
        <v>23.4</v>
      </c>
    </row>
    <row r="1798">
      <c r="A1798" s="3">
        <v>169308.0</v>
      </c>
      <c r="B1798" s="3" t="s">
        <v>1823</v>
      </c>
      <c r="C1798" s="3" t="s">
        <v>101</v>
      </c>
      <c r="D1798" s="3">
        <v>112.0</v>
      </c>
      <c r="E1798" s="3">
        <v>0.2</v>
      </c>
      <c r="F1798" s="3">
        <v>1.5</v>
      </c>
      <c r="G1798" s="3">
        <v>26.46</v>
      </c>
    </row>
    <row r="1799">
      <c r="A1799" s="3">
        <v>169309.0</v>
      </c>
      <c r="B1799" s="3" t="s">
        <v>1824</v>
      </c>
      <c r="C1799" s="3" t="s">
        <v>101</v>
      </c>
      <c r="D1799" s="3">
        <v>14.0</v>
      </c>
      <c r="E1799" s="3">
        <v>0.08</v>
      </c>
      <c r="F1799" s="3">
        <v>0.73</v>
      </c>
      <c r="G1799" s="3">
        <v>3.2</v>
      </c>
    </row>
    <row r="1800">
      <c r="A1800" s="3">
        <v>169310.0</v>
      </c>
      <c r="B1800" s="3" t="s">
        <v>1825</v>
      </c>
      <c r="C1800" s="3" t="s">
        <v>101</v>
      </c>
      <c r="D1800" s="3">
        <v>44.0</v>
      </c>
      <c r="E1800" s="3">
        <v>0.97</v>
      </c>
      <c r="F1800" s="3">
        <v>2.79</v>
      </c>
      <c r="G1800" s="3">
        <v>6.91</v>
      </c>
    </row>
    <row r="1801">
      <c r="A1801" s="3">
        <v>169311.0</v>
      </c>
      <c r="B1801" s="3" t="s">
        <v>1826</v>
      </c>
      <c r="C1801" s="3" t="s">
        <v>101</v>
      </c>
      <c r="D1801" s="3">
        <v>51.0</v>
      </c>
      <c r="E1801" s="3">
        <v>0.34</v>
      </c>
      <c r="F1801" s="3">
        <v>2.89</v>
      </c>
      <c r="G1801" s="3">
        <v>11.39</v>
      </c>
    </row>
    <row r="1802">
      <c r="A1802" s="3">
        <v>169312.0</v>
      </c>
      <c r="B1802" s="3" t="s">
        <v>1827</v>
      </c>
      <c r="C1802" s="3" t="s">
        <v>101</v>
      </c>
      <c r="D1802" s="3">
        <v>45.0</v>
      </c>
      <c r="E1802" s="3">
        <v>0.5</v>
      </c>
      <c r="F1802" s="3">
        <v>3.11</v>
      </c>
      <c r="G1802" s="3">
        <v>9.18</v>
      </c>
    </row>
    <row r="1803">
      <c r="A1803" s="3">
        <v>169313.0</v>
      </c>
      <c r="B1803" s="3" t="s">
        <v>1828</v>
      </c>
      <c r="C1803" s="3" t="s">
        <v>101</v>
      </c>
      <c r="D1803" s="3">
        <v>22.0</v>
      </c>
      <c r="E1803" s="3">
        <v>0.22</v>
      </c>
      <c r="F1803" s="3">
        <v>2.4</v>
      </c>
      <c r="G1803" s="3">
        <v>4.11</v>
      </c>
    </row>
    <row r="1804">
      <c r="A1804" s="3">
        <v>169314.0</v>
      </c>
      <c r="B1804" s="3" t="s">
        <v>1829</v>
      </c>
      <c r="C1804" s="3" t="s">
        <v>101</v>
      </c>
      <c r="D1804" s="3">
        <v>15.0</v>
      </c>
      <c r="E1804" s="3">
        <v>0.18</v>
      </c>
      <c r="F1804" s="3">
        <v>1.8</v>
      </c>
      <c r="G1804" s="3">
        <v>2.48</v>
      </c>
    </row>
    <row r="1805">
      <c r="A1805" s="3">
        <v>169315.0</v>
      </c>
      <c r="B1805" s="3" t="s">
        <v>1830</v>
      </c>
      <c r="C1805" s="3" t="s">
        <v>101</v>
      </c>
      <c r="D1805" s="3">
        <v>33.0</v>
      </c>
      <c r="E1805" s="3">
        <v>0.58</v>
      </c>
      <c r="F1805" s="3">
        <v>4.83</v>
      </c>
      <c r="G1805" s="3">
        <v>4.72</v>
      </c>
    </row>
    <row r="1806">
      <c r="A1806" s="3">
        <v>169316.0</v>
      </c>
      <c r="B1806" s="3" t="s">
        <v>1831</v>
      </c>
      <c r="C1806" s="3" t="s">
        <v>101</v>
      </c>
      <c r="D1806" s="3">
        <v>123.0</v>
      </c>
      <c r="E1806" s="3">
        <v>0.32</v>
      </c>
      <c r="F1806" s="3">
        <v>6.81</v>
      </c>
      <c r="G1806" s="3">
        <v>23.64</v>
      </c>
    </row>
    <row r="1807">
      <c r="A1807" s="3">
        <v>169317.0</v>
      </c>
      <c r="B1807" s="3" t="s">
        <v>1832</v>
      </c>
      <c r="C1807" s="3" t="s">
        <v>101</v>
      </c>
      <c r="D1807" s="3">
        <v>71.0</v>
      </c>
      <c r="E1807" s="3">
        <v>0.29</v>
      </c>
      <c r="F1807" s="3">
        <v>4.07</v>
      </c>
      <c r="G1807" s="3">
        <v>13.33</v>
      </c>
    </row>
    <row r="1808">
      <c r="A1808" s="3">
        <v>169318.0</v>
      </c>
      <c r="B1808" s="3" t="s">
        <v>1833</v>
      </c>
      <c r="C1808" s="3" t="s">
        <v>101</v>
      </c>
      <c r="D1808" s="3">
        <v>105.0</v>
      </c>
      <c r="E1808" s="3">
        <v>0.3</v>
      </c>
      <c r="F1808" s="3">
        <v>6.65</v>
      </c>
      <c r="G1808" s="3">
        <v>19.45</v>
      </c>
    </row>
    <row r="1809">
      <c r="A1809" s="3">
        <v>169319.0</v>
      </c>
      <c r="B1809" s="3" t="s">
        <v>1834</v>
      </c>
      <c r="C1809" s="3" t="s">
        <v>101</v>
      </c>
      <c r="D1809" s="3">
        <v>20.0</v>
      </c>
      <c r="E1809" s="3">
        <v>0.32</v>
      </c>
      <c r="F1809" s="3">
        <v>1.86</v>
      </c>
      <c r="G1809" s="3">
        <v>3.5</v>
      </c>
    </row>
    <row r="1810">
      <c r="A1810" s="3">
        <v>169320.0</v>
      </c>
      <c r="B1810" s="3" t="s">
        <v>1835</v>
      </c>
      <c r="C1810" s="3" t="s">
        <v>101</v>
      </c>
      <c r="D1810" s="3">
        <v>31.0</v>
      </c>
      <c r="E1810" s="3">
        <v>0.12</v>
      </c>
      <c r="F1810" s="3">
        <v>1.82</v>
      </c>
      <c r="G1810" s="3">
        <v>7.13</v>
      </c>
    </row>
    <row r="1811">
      <c r="A1811" s="3">
        <v>169321.0</v>
      </c>
      <c r="B1811" s="3" t="s">
        <v>1836</v>
      </c>
      <c r="C1811" s="3" t="s">
        <v>101</v>
      </c>
      <c r="D1811" s="3">
        <v>35.0</v>
      </c>
      <c r="E1811" s="3">
        <v>0.28</v>
      </c>
      <c r="F1811" s="3">
        <v>1.89</v>
      </c>
      <c r="G1811" s="3">
        <v>7.88</v>
      </c>
    </row>
    <row r="1812">
      <c r="A1812" s="3">
        <v>169322.0</v>
      </c>
      <c r="B1812" s="3" t="s">
        <v>1837</v>
      </c>
      <c r="C1812" s="3" t="s">
        <v>101</v>
      </c>
      <c r="D1812" s="3">
        <v>35.0</v>
      </c>
      <c r="E1812" s="3">
        <v>0.28</v>
      </c>
      <c r="F1812" s="3">
        <v>1.89</v>
      </c>
      <c r="G1812" s="3">
        <v>7.88</v>
      </c>
    </row>
    <row r="1813">
      <c r="A1813" s="3">
        <v>169323.0</v>
      </c>
      <c r="B1813" s="3" t="s">
        <v>1838</v>
      </c>
      <c r="C1813" s="3" t="s">
        <v>101</v>
      </c>
      <c r="D1813" s="3">
        <v>35.0</v>
      </c>
      <c r="E1813" s="3">
        <v>0.28</v>
      </c>
      <c r="F1813" s="3">
        <v>1.89</v>
      </c>
      <c r="G1813" s="3">
        <v>7.88</v>
      </c>
    </row>
    <row r="1814">
      <c r="A1814" s="3">
        <v>169324.0</v>
      </c>
      <c r="B1814" s="3" t="s">
        <v>1839</v>
      </c>
      <c r="C1814" s="3" t="s">
        <v>101</v>
      </c>
      <c r="D1814" s="3">
        <v>33.0</v>
      </c>
      <c r="E1814" s="3">
        <v>0.21</v>
      </c>
      <c r="F1814" s="3">
        <v>1.8</v>
      </c>
      <c r="G1814" s="3">
        <v>7.58</v>
      </c>
    </row>
    <row r="1815">
      <c r="A1815" s="3">
        <v>169325.0</v>
      </c>
      <c r="B1815" s="3" t="s">
        <v>1840</v>
      </c>
      <c r="C1815" s="3" t="s">
        <v>101</v>
      </c>
      <c r="D1815" s="3">
        <v>28.0</v>
      </c>
      <c r="E1815" s="3">
        <v>0.17</v>
      </c>
      <c r="F1815" s="3">
        <v>1.49</v>
      </c>
      <c r="G1815" s="3">
        <v>6.45</v>
      </c>
    </row>
    <row r="1816">
      <c r="A1816" s="3">
        <v>169326.0</v>
      </c>
      <c r="B1816" s="3" t="s">
        <v>1841</v>
      </c>
      <c r="C1816" s="3" t="s">
        <v>101</v>
      </c>
      <c r="D1816" s="3">
        <v>28.0</v>
      </c>
      <c r="E1816" s="3">
        <v>0.17</v>
      </c>
      <c r="F1816" s="3">
        <v>1.49</v>
      </c>
      <c r="G1816" s="3">
        <v>6.45</v>
      </c>
    </row>
    <row r="1817">
      <c r="A1817" s="3">
        <v>169327.0</v>
      </c>
      <c r="B1817" s="3" t="s">
        <v>1842</v>
      </c>
      <c r="C1817" s="3" t="s">
        <v>101</v>
      </c>
      <c r="D1817" s="3">
        <v>28.0</v>
      </c>
      <c r="E1817" s="3">
        <v>0.17</v>
      </c>
      <c r="F1817" s="3">
        <v>1.49</v>
      </c>
      <c r="G1817" s="3">
        <v>6.45</v>
      </c>
    </row>
    <row r="1818">
      <c r="A1818" s="3">
        <v>169328.0</v>
      </c>
      <c r="B1818" s="3" t="s">
        <v>1843</v>
      </c>
      <c r="C1818" s="3" t="s">
        <v>101</v>
      </c>
      <c r="D1818" s="3">
        <v>62.0</v>
      </c>
      <c r="E1818" s="3">
        <v>0.5</v>
      </c>
      <c r="F1818" s="3">
        <v>4.8</v>
      </c>
      <c r="G1818" s="3">
        <v>10.1</v>
      </c>
    </row>
    <row r="1819">
      <c r="A1819" s="3">
        <v>169329.0</v>
      </c>
      <c r="B1819" s="3" t="s">
        <v>1844</v>
      </c>
      <c r="C1819" s="3" t="s">
        <v>101</v>
      </c>
      <c r="D1819" s="3">
        <v>28.0</v>
      </c>
      <c r="E1819" s="3">
        <v>0.35</v>
      </c>
      <c r="F1819" s="3">
        <v>2.98</v>
      </c>
      <c r="G1819" s="3">
        <v>5.06</v>
      </c>
    </row>
    <row r="1820">
      <c r="A1820" s="3">
        <v>169330.0</v>
      </c>
      <c r="B1820" s="3" t="s">
        <v>1845</v>
      </c>
      <c r="C1820" s="3" t="s">
        <v>101</v>
      </c>
      <c r="D1820" s="3">
        <v>28.0</v>
      </c>
      <c r="E1820" s="3">
        <v>0.35</v>
      </c>
      <c r="F1820" s="3">
        <v>2.98</v>
      </c>
      <c r="G1820" s="3">
        <v>5.06</v>
      </c>
    </row>
    <row r="1821">
      <c r="A1821" s="3">
        <v>169331.0</v>
      </c>
      <c r="B1821" s="3" t="s">
        <v>1846</v>
      </c>
      <c r="C1821" s="3" t="s">
        <v>101</v>
      </c>
      <c r="D1821" s="3">
        <v>28.0</v>
      </c>
      <c r="E1821" s="3">
        <v>0.35</v>
      </c>
      <c r="F1821" s="3">
        <v>2.98</v>
      </c>
      <c r="G1821" s="3">
        <v>5.24</v>
      </c>
    </row>
    <row r="1822">
      <c r="A1822" s="3">
        <v>169332.0</v>
      </c>
      <c r="B1822" s="3" t="s">
        <v>1847</v>
      </c>
      <c r="C1822" s="3" t="s">
        <v>101</v>
      </c>
      <c r="D1822" s="3">
        <v>42.0</v>
      </c>
      <c r="E1822" s="3">
        <v>0.39</v>
      </c>
      <c r="F1822" s="3">
        <v>3.64</v>
      </c>
      <c r="G1822" s="3">
        <v>8.32</v>
      </c>
    </row>
    <row r="1823">
      <c r="A1823" s="3">
        <v>169333.0</v>
      </c>
      <c r="B1823" s="3" t="s">
        <v>1848</v>
      </c>
      <c r="C1823" s="3" t="s">
        <v>101</v>
      </c>
      <c r="D1823" s="3">
        <v>88.0</v>
      </c>
      <c r="E1823" s="3">
        <v>0.14</v>
      </c>
      <c r="F1823" s="3">
        <v>2.09</v>
      </c>
      <c r="G1823" s="3">
        <v>21.15</v>
      </c>
    </row>
    <row r="1824">
      <c r="A1824" s="3">
        <v>169334.0</v>
      </c>
      <c r="B1824" s="3" t="s">
        <v>1849</v>
      </c>
      <c r="C1824" s="3" t="s">
        <v>101</v>
      </c>
      <c r="D1824" s="3">
        <v>8.0</v>
      </c>
      <c r="E1824" s="3">
        <v>0.02</v>
      </c>
      <c r="F1824" s="3">
        <v>0.23</v>
      </c>
      <c r="G1824" s="3">
        <v>2.16</v>
      </c>
    </row>
    <row r="1825">
      <c r="A1825" s="3">
        <v>169335.0</v>
      </c>
      <c r="B1825" s="3" t="s">
        <v>1850</v>
      </c>
      <c r="C1825" s="3" t="s">
        <v>101</v>
      </c>
      <c r="D1825" s="3">
        <v>24.0</v>
      </c>
      <c r="E1825" s="3">
        <v>0.18</v>
      </c>
      <c r="F1825" s="3">
        <v>1.21</v>
      </c>
      <c r="G1825" s="3">
        <v>5.37</v>
      </c>
    </row>
    <row r="1826">
      <c r="A1826" s="3">
        <v>169336.0</v>
      </c>
      <c r="B1826" s="3" t="s">
        <v>1851</v>
      </c>
      <c r="C1826" s="3" t="s">
        <v>101</v>
      </c>
      <c r="D1826" s="3">
        <v>24.0</v>
      </c>
      <c r="E1826" s="3">
        <v>0.18</v>
      </c>
      <c r="F1826" s="3">
        <v>1.21</v>
      </c>
      <c r="G1826" s="3">
        <v>5.37</v>
      </c>
    </row>
    <row r="1827">
      <c r="A1827" s="3">
        <v>169337.0</v>
      </c>
      <c r="B1827" s="3" t="s">
        <v>1852</v>
      </c>
      <c r="C1827" s="3" t="s">
        <v>101</v>
      </c>
      <c r="D1827" s="3">
        <v>14.0</v>
      </c>
      <c r="E1827" s="3">
        <v>0.17</v>
      </c>
      <c r="F1827" s="3">
        <v>1.5</v>
      </c>
      <c r="G1827" s="3">
        <v>2.41</v>
      </c>
    </row>
    <row r="1828">
      <c r="A1828" s="3">
        <v>169338.0</v>
      </c>
      <c r="B1828" s="3" t="s">
        <v>1853</v>
      </c>
      <c r="C1828" s="3" t="s">
        <v>101</v>
      </c>
      <c r="D1828" s="3">
        <v>20.0</v>
      </c>
      <c r="E1828" s="3">
        <v>0.11</v>
      </c>
      <c r="F1828" s="3">
        <v>0.76</v>
      </c>
      <c r="G1828" s="3">
        <v>4.74</v>
      </c>
    </row>
    <row r="1829">
      <c r="A1829" s="3">
        <v>169339.0</v>
      </c>
      <c r="B1829" s="3" t="s">
        <v>1854</v>
      </c>
      <c r="C1829" s="3" t="s">
        <v>101</v>
      </c>
      <c r="D1829" s="3">
        <v>35.0</v>
      </c>
      <c r="E1829" s="3">
        <v>0.18</v>
      </c>
      <c r="F1829" s="3">
        <v>0.76</v>
      </c>
      <c r="G1829" s="3">
        <v>8.22</v>
      </c>
    </row>
    <row r="1830">
      <c r="A1830" s="3">
        <v>169340.0</v>
      </c>
      <c r="B1830" s="3" t="s">
        <v>1855</v>
      </c>
      <c r="C1830" s="3" t="s">
        <v>101</v>
      </c>
      <c r="D1830" s="3">
        <v>23.0</v>
      </c>
      <c r="E1830" s="3">
        <v>0.14</v>
      </c>
      <c r="F1830" s="3">
        <v>0.59</v>
      </c>
      <c r="G1830" s="3">
        <v>5.36</v>
      </c>
    </row>
    <row r="1831">
      <c r="A1831" s="3">
        <v>169341.0</v>
      </c>
      <c r="B1831" s="3" t="s">
        <v>1856</v>
      </c>
      <c r="C1831" s="3" t="s">
        <v>101</v>
      </c>
      <c r="D1831" s="3">
        <v>27.0</v>
      </c>
      <c r="E1831" s="3">
        <v>0.19</v>
      </c>
      <c r="F1831" s="3">
        <v>0.96</v>
      </c>
      <c r="G1831" s="3">
        <v>5.9</v>
      </c>
    </row>
    <row r="1832">
      <c r="A1832" s="3">
        <v>169342.0</v>
      </c>
      <c r="B1832" s="3" t="s">
        <v>1857</v>
      </c>
      <c r="C1832" s="3" t="s">
        <v>101</v>
      </c>
      <c r="D1832" s="3">
        <v>18.0</v>
      </c>
      <c r="E1832" s="3">
        <v>0.16</v>
      </c>
      <c r="F1832" s="3">
        <v>0.83</v>
      </c>
      <c r="G1832" s="3">
        <v>4.0</v>
      </c>
    </row>
    <row r="1833">
      <c r="A1833" s="3">
        <v>169343.0</v>
      </c>
      <c r="B1833" s="3" t="s">
        <v>1858</v>
      </c>
      <c r="C1833" s="3" t="s">
        <v>101</v>
      </c>
      <c r="D1833" s="3">
        <v>20.0</v>
      </c>
      <c r="E1833" s="3">
        <v>0.08</v>
      </c>
      <c r="F1833" s="3">
        <v>1.88</v>
      </c>
      <c r="G1833" s="3">
        <v>4.13</v>
      </c>
    </row>
    <row r="1834">
      <c r="A1834" s="3">
        <v>169344.0</v>
      </c>
      <c r="B1834" s="3" t="s">
        <v>1859</v>
      </c>
      <c r="C1834" s="3" t="s">
        <v>101</v>
      </c>
      <c r="D1834" s="3">
        <v>22.0</v>
      </c>
      <c r="E1834" s="3">
        <v>0.48</v>
      </c>
      <c r="F1834" s="3">
        <v>0.62</v>
      </c>
      <c r="G1834" s="3">
        <v>4.5</v>
      </c>
    </row>
    <row r="1835">
      <c r="A1835" s="3">
        <v>169345.0</v>
      </c>
      <c r="B1835" s="3" t="s">
        <v>1860</v>
      </c>
      <c r="C1835" s="3" t="s">
        <v>101</v>
      </c>
      <c r="D1835" s="3">
        <v>61.0</v>
      </c>
      <c r="E1835" s="3">
        <v>0.77</v>
      </c>
      <c r="F1835" s="3">
        <v>1.95</v>
      </c>
      <c r="G1835" s="3">
        <v>13.86</v>
      </c>
    </row>
    <row r="1836">
      <c r="A1836" s="3">
        <v>169346.0</v>
      </c>
      <c r="B1836" s="3" t="s">
        <v>1861</v>
      </c>
      <c r="C1836" s="3" t="s">
        <v>101</v>
      </c>
      <c r="D1836" s="3">
        <v>72.0</v>
      </c>
      <c r="E1836" s="3">
        <v>0.42</v>
      </c>
      <c r="F1836" s="3">
        <v>1.74</v>
      </c>
      <c r="G1836" s="3">
        <v>18.13</v>
      </c>
    </row>
    <row r="1837">
      <c r="A1837" s="3">
        <v>169347.0</v>
      </c>
      <c r="B1837" s="3" t="s">
        <v>1862</v>
      </c>
      <c r="C1837" s="3" t="s">
        <v>101</v>
      </c>
      <c r="D1837" s="3">
        <v>79.0</v>
      </c>
      <c r="E1837" s="3">
        <v>0.5</v>
      </c>
      <c r="F1837" s="3">
        <v>2.41</v>
      </c>
      <c r="G1837" s="3">
        <v>19.44</v>
      </c>
    </row>
    <row r="1838">
      <c r="A1838" s="3">
        <v>169348.0</v>
      </c>
      <c r="B1838" s="3" t="s">
        <v>1863</v>
      </c>
      <c r="C1838" s="3" t="s">
        <v>101</v>
      </c>
      <c r="D1838" s="3">
        <v>79.0</v>
      </c>
      <c r="E1838" s="3">
        <v>0.67</v>
      </c>
      <c r="F1838" s="3">
        <v>2.55</v>
      </c>
      <c r="G1838" s="3">
        <v>18.71</v>
      </c>
    </row>
    <row r="1839">
      <c r="A1839" s="3">
        <v>169349.0</v>
      </c>
      <c r="B1839" s="3" t="s">
        <v>1864</v>
      </c>
      <c r="C1839" s="3" t="s">
        <v>101</v>
      </c>
      <c r="D1839" s="3">
        <v>94.0</v>
      </c>
      <c r="E1839" s="3">
        <v>0.74</v>
      </c>
      <c r="F1839" s="3">
        <v>3.11</v>
      </c>
      <c r="G1839" s="3">
        <v>22.33</v>
      </c>
    </row>
    <row r="1840">
      <c r="A1840" s="3">
        <v>169350.0</v>
      </c>
      <c r="B1840" s="3" t="s">
        <v>1865</v>
      </c>
      <c r="C1840" s="3" t="s">
        <v>101</v>
      </c>
      <c r="D1840" s="3">
        <v>23.0</v>
      </c>
      <c r="E1840" s="3">
        <v>0.6</v>
      </c>
      <c r="F1840" s="3">
        <v>1.9</v>
      </c>
      <c r="G1840" s="3">
        <v>3.8</v>
      </c>
    </row>
    <row r="1841">
      <c r="A1841" s="3">
        <v>169351.0</v>
      </c>
      <c r="B1841" s="3" t="s">
        <v>1866</v>
      </c>
      <c r="C1841" s="3" t="s">
        <v>101</v>
      </c>
      <c r="D1841" s="3">
        <v>33.0</v>
      </c>
      <c r="E1841" s="3">
        <v>0.6</v>
      </c>
      <c r="F1841" s="3">
        <v>2.0</v>
      </c>
      <c r="G1841" s="3">
        <v>6.4</v>
      </c>
    </row>
    <row r="1842">
      <c r="A1842" s="3">
        <v>169352.0</v>
      </c>
      <c r="B1842" s="3" t="s">
        <v>1867</v>
      </c>
      <c r="C1842" s="3" t="s">
        <v>101</v>
      </c>
      <c r="D1842" s="3">
        <v>33.0</v>
      </c>
      <c r="E1842" s="3">
        <v>0.23</v>
      </c>
      <c r="F1842" s="3">
        <v>0.83</v>
      </c>
      <c r="G1842" s="3">
        <v>8.14</v>
      </c>
    </row>
    <row r="1843">
      <c r="A1843" s="3">
        <v>169353.0</v>
      </c>
      <c r="B1843" s="3" t="s">
        <v>1868</v>
      </c>
      <c r="C1843" s="3" t="s">
        <v>101</v>
      </c>
      <c r="D1843" s="3">
        <v>13.0</v>
      </c>
      <c r="E1843" s="3">
        <v>0.02</v>
      </c>
      <c r="F1843" s="3">
        <v>0.6</v>
      </c>
      <c r="G1843" s="3">
        <v>3.1</v>
      </c>
    </row>
    <row r="1844">
      <c r="A1844" s="3">
        <v>169354.0</v>
      </c>
      <c r="B1844" s="3" t="s">
        <v>1869</v>
      </c>
      <c r="C1844" s="3" t="s">
        <v>101</v>
      </c>
      <c r="D1844" s="3">
        <v>37.0</v>
      </c>
      <c r="E1844" s="3">
        <v>0.2</v>
      </c>
      <c r="F1844" s="3">
        <v>3.68</v>
      </c>
      <c r="G1844" s="3">
        <v>7.29</v>
      </c>
    </row>
    <row r="1845">
      <c r="A1845" s="3">
        <v>169355.0</v>
      </c>
      <c r="B1845" s="3" t="s">
        <v>1870</v>
      </c>
      <c r="C1845" s="3" t="s">
        <v>101</v>
      </c>
      <c r="D1845" s="3">
        <v>44.0</v>
      </c>
      <c r="E1845" s="3">
        <v>1.21</v>
      </c>
      <c r="F1845" s="3">
        <v>2.94</v>
      </c>
      <c r="G1845" s="3">
        <v>5.3</v>
      </c>
    </row>
    <row r="1846">
      <c r="A1846" s="3">
        <v>169356.0</v>
      </c>
      <c r="B1846" s="3" t="s">
        <v>1871</v>
      </c>
      <c r="C1846" s="3" t="s">
        <v>101</v>
      </c>
      <c r="D1846" s="3">
        <v>36.0</v>
      </c>
      <c r="E1846" s="3">
        <v>1.21</v>
      </c>
      <c r="F1846" s="3">
        <v>2.94</v>
      </c>
      <c r="G1846" s="3">
        <v>5.3</v>
      </c>
    </row>
    <row r="1847">
      <c r="A1847" s="3">
        <v>169357.0</v>
      </c>
      <c r="B1847" s="3" t="s">
        <v>1872</v>
      </c>
      <c r="C1847" s="3" t="s">
        <v>101</v>
      </c>
      <c r="D1847" s="3">
        <v>29.0</v>
      </c>
      <c r="E1847" s="3">
        <v>0.11</v>
      </c>
      <c r="F1847" s="3">
        <v>1.8</v>
      </c>
      <c r="G1847" s="3">
        <v>6.69</v>
      </c>
    </row>
    <row r="1848">
      <c r="A1848" s="3">
        <v>169358.0</v>
      </c>
      <c r="B1848" s="3" t="s">
        <v>1873</v>
      </c>
      <c r="C1848" s="3" t="s">
        <v>101</v>
      </c>
      <c r="D1848" s="3">
        <v>36.0</v>
      </c>
      <c r="E1848" s="3">
        <v>0.09</v>
      </c>
      <c r="F1848" s="3">
        <v>0.72</v>
      </c>
      <c r="G1848" s="3">
        <v>8.23</v>
      </c>
    </row>
    <row r="1849">
      <c r="A1849" s="3">
        <v>169359.0</v>
      </c>
      <c r="B1849" s="3" t="s">
        <v>1874</v>
      </c>
      <c r="C1849" s="3" t="s">
        <v>101</v>
      </c>
      <c r="D1849" s="3">
        <v>47.0</v>
      </c>
      <c r="E1849" s="3">
        <v>0.1</v>
      </c>
      <c r="F1849" s="3">
        <v>2.53</v>
      </c>
      <c r="G1849" s="3">
        <v>9.17</v>
      </c>
    </row>
    <row r="1850">
      <c r="A1850" s="3">
        <v>169360.0</v>
      </c>
      <c r="B1850" s="3" t="s">
        <v>1875</v>
      </c>
      <c r="C1850" s="3" t="s">
        <v>101</v>
      </c>
      <c r="D1850" s="3">
        <v>64.0</v>
      </c>
      <c r="E1850" s="3">
        <v>0.5</v>
      </c>
      <c r="F1850" s="3">
        <v>1.95</v>
      </c>
      <c r="G1850" s="3">
        <v>15.41</v>
      </c>
    </row>
    <row r="1851">
      <c r="A1851" s="3">
        <v>169361.0</v>
      </c>
      <c r="B1851" s="3" t="s">
        <v>1876</v>
      </c>
      <c r="C1851" s="3" t="s">
        <v>101</v>
      </c>
      <c r="D1851" s="3">
        <v>67.0</v>
      </c>
      <c r="E1851" s="3">
        <v>1.22</v>
      </c>
      <c r="F1851" s="3">
        <v>2.29</v>
      </c>
      <c r="G1851" s="3">
        <v>14.34</v>
      </c>
    </row>
    <row r="1852">
      <c r="A1852" s="3">
        <v>169362.0</v>
      </c>
      <c r="B1852" s="3" t="s">
        <v>1877</v>
      </c>
      <c r="C1852" s="3" t="s">
        <v>101</v>
      </c>
      <c r="D1852" s="3">
        <v>74.0</v>
      </c>
      <c r="E1852" s="3">
        <v>0.42</v>
      </c>
      <c r="F1852" s="3">
        <v>1.74</v>
      </c>
      <c r="G1852" s="3">
        <v>18.62</v>
      </c>
    </row>
    <row r="1853">
      <c r="A1853" s="3">
        <v>169363.0</v>
      </c>
      <c r="B1853" s="3" t="s">
        <v>1878</v>
      </c>
      <c r="C1853" s="3" t="s">
        <v>101</v>
      </c>
      <c r="D1853" s="3">
        <v>72.0</v>
      </c>
      <c r="E1853" s="3">
        <v>0.42</v>
      </c>
      <c r="F1853" s="3">
        <v>1.74</v>
      </c>
      <c r="G1853" s="3">
        <v>18.13</v>
      </c>
    </row>
    <row r="1854">
      <c r="A1854" s="3">
        <v>169364.0</v>
      </c>
      <c r="B1854" s="3" t="s">
        <v>1879</v>
      </c>
      <c r="C1854" s="3" t="s">
        <v>101</v>
      </c>
      <c r="D1854" s="3">
        <v>80.0</v>
      </c>
      <c r="E1854" s="3">
        <v>0.43</v>
      </c>
      <c r="F1854" s="3">
        <v>2.75</v>
      </c>
      <c r="G1854" s="3">
        <v>19.56</v>
      </c>
    </row>
    <row r="1855">
      <c r="A1855" s="3">
        <v>169365.0</v>
      </c>
      <c r="B1855" s="3" t="s">
        <v>1880</v>
      </c>
      <c r="C1855" s="3" t="s">
        <v>101</v>
      </c>
      <c r="D1855" s="3">
        <v>98.0</v>
      </c>
      <c r="E1855" s="3">
        <v>0.78</v>
      </c>
      <c r="F1855" s="3">
        <v>3.28</v>
      </c>
      <c r="G1855" s="3">
        <v>23.5</v>
      </c>
    </row>
    <row r="1856">
      <c r="A1856" s="3">
        <v>169366.0</v>
      </c>
      <c r="B1856" s="3" t="s">
        <v>1881</v>
      </c>
      <c r="C1856" s="3" t="s">
        <v>101</v>
      </c>
      <c r="D1856" s="3">
        <v>94.0</v>
      </c>
      <c r="E1856" s="3">
        <v>0.74</v>
      </c>
      <c r="F1856" s="3">
        <v>3.11</v>
      </c>
      <c r="G1856" s="3">
        <v>22.33</v>
      </c>
    </row>
    <row r="1857">
      <c r="A1857" s="3">
        <v>169367.0</v>
      </c>
      <c r="B1857" s="3" t="s">
        <v>1882</v>
      </c>
      <c r="C1857" s="3" t="s">
        <v>101</v>
      </c>
      <c r="D1857" s="3">
        <v>94.0</v>
      </c>
      <c r="E1857" s="3">
        <v>0.74</v>
      </c>
      <c r="F1857" s="3">
        <v>3.11</v>
      </c>
      <c r="G1857" s="3">
        <v>22.33</v>
      </c>
    </row>
    <row r="1858">
      <c r="A1858" s="3">
        <v>169368.0</v>
      </c>
      <c r="B1858" s="3" t="s">
        <v>1883</v>
      </c>
      <c r="C1858" s="3" t="s">
        <v>101</v>
      </c>
      <c r="D1858" s="3">
        <v>21.0</v>
      </c>
      <c r="E1858" s="3">
        <v>0.05</v>
      </c>
      <c r="F1858" s="3">
        <v>1.14</v>
      </c>
      <c r="G1858" s="3">
        <v>5.1</v>
      </c>
    </row>
    <row r="1859">
      <c r="A1859" s="3">
        <v>169369.0</v>
      </c>
      <c r="B1859" s="3" t="s">
        <v>1884</v>
      </c>
      <c r="C1859" s="3" t="s">
        <v>101</v>
      </c>
      <c r="D1859" s="3">
        <v>81.0</v>
      </c>
      <c r="E1859" s="3">
        <v>4.45</v>
      </c>
      <c r="F1859" s="3">
        <v>8.47</v>
      </c>
      <c r="G1859" s="3">
        <v>6.53</v>
      </c>
    </row>
    <row r="1860">
      <c r="A1860" s="3">
        <v>169370.0</v>
      </c>
      <c r="B1860" s="3" t="s">
        <v>1885</v>
      </c>
      <c r="C1860" s="3" t="s">
        <v>101</v>
      </c>
      <c r="D1860" s="3">
        <v>125.0</v>
      </c>
      <c r="E1860" s="3">
        <v>7.1</v>
      </c>
      <c r="F1860" s="3">
        <v>13.1</v>
      </c>
      <c r="G1860" s="3">
        <v>9.4</v>
      </c>
    </row>
    <row r="1861">
      <c r="A1861" s="3">
        <v>169371.0</v>
      </c>
      <c r="B1861" s="3" t="s">
        <v>1886</v>
      </c>
      <c r="C1861" s="3" t="s">
        <v>101</v>
      </c>
      <c r="D1861" s="3">
        <v>20.0</v>
      </c>
      <c r="E1861" s="3">
        <v>0.64</v>
      </c>
      <c r="F1861" s="3">
        <v>1.83</v>
      </c>
      <c r="G1861" s="3">
        <v>2.93</v>
      </c>
    </row>
    <row r="1862">
      <c r="A1862" s="3">
        <v>169372.0</v>
      </c>
      <c r="B1862" s="3" t="s">
        <v>1887</v>
      </c>
      <c r="C1862" s="3" t="s">
        <v>101</v>
      </c>
      <c r="D1862" s="3">
        <v>113.0</v>
      </c>
      <c r="E1862" s="3">
        <v>5.6</v>
      </c>
      <c r="F1862" s="3">
        <v>1.9</v>
      </c>
      <c r="G1862" s="3">
        <v>15.02</v>
      </c>
    </row>
    <row r="1863">
      <c r="A1863" s="3">
        <v>169373.0</v>
      </c>
      <c r="B1863" s="3" t="s">
        <v>1888</v>
      </c>
      <c r="C1863" s="3" t="s">
        <v>101</v>
      </c>
      <c r="D1863" s="3">
        <v>314.0</v>
      </c>
      <c r="E1863" s="3">
        <v>3.0</v>
      </c>
      <c r="F1863" s="3">
        <v>17.9</v>
      </c>
      <c r="G1863" s="3">
        <v>68.7</v>
      </c>
    </row>
    <row r="1864">
      <c r="A1864" s="3">
        <v>169374.0</v>
      </c>
      <c r="B1864" s="3" t="s">
        <v>1889</v>
      </c>
      <c r="C1864" s="3" t="s">
        <v>101</v>
      </c>
      <c r="D1864" s="3">
        <v>20.0</v>
      </c>
      <c r="E1864" s="3">
        <v>0.1</v>
      </c>
      <c r="F1864" s="3">
        <v>1.15</v>
      </c>
      <c r="G1864" s="3">
        <v>4.5</v>
      </c>
    </row>
    <row r="1865">
      <c r="A1865" s="3">
        <v>169375.0</v>
      </c>
      <c r="B1865" s="3" t="s">
        <v>1890</v>
      </c>
      <c r="C1865" s="3" t="s">
        <v>101</v>
      </c>
      <c r="D1865" s="3">
        <v>20.0</v>
      </c>
      <c r="E1865" s="3">
        <v>0.1</v>
      </c>
      <c r="F1865" s="3">
        <v>1.15</v>
      </c>
      <c r="G1865" s="3">
        <v>4.5</v>
      </c>
    </row>
    <row r="1866">
      <c r="A1866" s="3">
        <v>169376.0</v>
      </c>
      <c r="B1866" s="3" t="s">
        <v>1891</v>
      </c>
      <c r="C1866" s="3" t="s">
        <v>101</v>
      </c>
      <c r="D1866" s="3">
        <v>22.0</v>
      </c>
      <c r="E1866" s="3">
        <v>0.34</v>
      </c>
      <c r="F1866" s="3">
        <v>3.09</v>
      </c>
      <c r="G1866" s="3">
        <v>3.26</v>
      </c>
    </row>
    <row r="1867">
      <c r="A1867" s="3">
        <v>169377.0</v>
      </c>
      <c r="B1867" s="3" t="s">
        <v>1892</v>
      </c>
      <c r="C1867" s="3" t="s">
        <v>101</v>
      </c>
      <c r="D1867" s="3">
        <v>29.0</v>
      </c>
      <c r="E1867" s="3">
        <v>0.58</v>
      </c>
      <c r="F1867" s="3">
        <v>3.28</v>
      </c>
      <c r="G1867" s="3">
        <v>4.44</v>
      </c>
    </row>
    <row r="1868">
      <c r="A1868" s="3">
        <v>169378.0</v>
      </c>
      <c r="B1868" s="3" t="s">
        <v>1893</v>
      </c>
      <c r="C1868" s="3" t="s">
        <v>101</v>
      </c>
      <c r="D1868" s="3">
        <v>91.0</v>
      </c>
      <c r="E1868" s="3">
        <v>0.41</v>
      </c>
      <c r="F1868" s="3">
        <v>0.58</v>
      </c>
      <c r="G1868" s="3">
        <v>21.15</v>
      </c>
    </row>
    <row r="1869">
      <c r="A1869" s="3">
        <v>169379.0</v>
      </c>
      <c r="B1869" s="3" t="s">
        <v>1894</v>
      </c>
      <c r="C1869" s="3" t="s">
        <v>101</v>
      </c>
      <c r="D1869" s="3">
        <v>11.0</v>
      </c>
      <c r="E1869" s="3">
        <v>0.2</v>
      </c>
      <c r="F1869" s="3">
        <v>0.33</v>
      </c>
      <c r="G1869" s="3">
        <v>2.26</v>
      </c>
    </row>
    <row r="1870">
      <c r="A1870" s="3">
        <v>169380.0</v>
      </c>
      <c r="B1870" s="3" t="s">
        <v>1895</v>
      </c>
      <c r="C1870" s="3" t="s">
        <v>101</v>
      </c>
      <c r="D1870" s="3">
        <v>122.0</v>
      </c>
      <c r="E1870" s="3">
        <v>0.26</v>
      </c>
      <c r="F1870" s="3">
        <v>0.37</v>
      </c>
      <c r="G1870" s="3">
        <v>33.73</v>
      </c>
    </row>
    <row r="1871">
      <c r="A1871" s="3">
        <v>169381.0</v>
      </c>
      <c r="B1871" s="3" t="s">
        <v>1896</v>
      </c>
      <c r="C1871" s="3" t="s">
        <v>101</v>
      </c>
      <c r="D1871" s="3">
        <v>101.0</v>
      </c>
      <c r="E1871" s="3">
        <v>0.1</v>
      </c>
      <c r="F1871" s="3">
        <v>1.04</v>
      </c>
      <c r="G1871" s="3">
        <v>27.4</v>
      </c>
    </row>
    <row r="1872">
      <c r="A1872" s="3">
        <v>169382.0</v>
      </c>
      <c r="B1872" s="3" t="s">
        <v>1897</v>
      </c>
      <c r="C1872" s="3" t="s">
        <v>101</v>
      </c>
      <c r="D1872" s="3">
        <v>37.0</v>
      </c>
      <c r="E1872" s="3">
        <v>0.29</v>
      </c>
      <c r="F1872" s="3">
        <v>2.66</v>
      </c>
      <c r="G1872" s="3">
        <v>7.81</v>
      </c>
    </row>
    <row r="1873">
      <c r="A1873" s="3">
        <v>169383.0</v>
      </c>
      <c r="B1873" s="3" t="s">
        <v>1898</v>
      </c>
      <c r="C1873" s="3" t="s">
        <v>101</v>
      </c>
      <c r="D1873" s="3">
        <v>27.0</v>
      </c>
      <c r="E1873" s="3">
        <v>0.21</v>
      </c>
      <c r="F1873" s="3">
        <v>1.0</v>
      </c>
      <c r="G1873" s="3">
        <v>6.32</v>
      </c>
    </row>
    <row r="1874">
      <c r="A1874" s="3">
        <v>169384.0</v>
      </c>
      <c r="B1874" s="3" t="s">
        <v>1899</v>
      </c>
      <c r="C1874" s="3" t="s">
        <v>101</v>
      </c>
      <c r="D1874" s="3">
        <v>213.0</v>
      </c>
      <c r="E1874" s="3">
        <v>14.08</v>
      </c>
      <c r="F1874" s="3">
        <v>5.06</v>
      </c>
      <c r="G1874" s="3">
        <v>23.33</v>
      </c>
    </row>
    <row r="1875">
      <c r="A1875" s="3">
        <v>169385.0</v>
      </c>
      <c r="B1875" s="3" t="s">
        <v>1900</v>
      </c>
      <c r="C1875" s="3" t="s">
        <v>101</v>
      </c>
      <c r="D1875" s="3">
        <v>31.0</v>
      </c>
      <c r="E1875" s="3">
        <v>0.2</v>
      </c>
      <c r="F1875" s="3">
        <v>1.24</v>
      </c>
      <c r="G1875" s="3">
        <v>7.3</v>
      </c>
    </row>
    <row r="1876">
      <c r="A1876" s="3">
        <v>169386.0</v>
      </c>
      <c r="B1876" s="3" t="s">
        <v>1901</v>
      </c>
      <c r="C1876" s="3" t="s">
        <v>101</v>
      </c>
      <c r="D1876" s="3">
        <v>129.0</v>
      </c>
      <c r="E1876" s="3">
        <v>0.54</v>
      </c>
      <c r="F1876" s="3">
        <v>0.63</v>
      </c>
      <c r="G1876" s="3">
        <v>34.48</v>
      </c>
    </row>
    <row r="1877">
      <c r="A1877" s="3">
        <v>169387.0</v>
      </c>
      <c r="B1877" s="3" t="s">
        <v>1902</v>
      </c>
      <c r="C1877" s="3" t="s">
        <v>101</v>
      </c>
      <c r="D1877" s="3">
        <v>25.0</v>
      </c>
      <c r="E1877" s="3">
        <v>0.66</v>
      </c>
      <c r="F1877" s="3">
        <v>2.58</v>
      </c>
      <c r="G1877" s="3">
        <v>3.65</v>
      </c>
    </row>
    <row r="1878">
      <c r="A1878" s="3">
        <v>169388.0</v>
      </c>
      <c r="B1878" s="3" t="s">
        <v>1903</v>
      </c>
      <c r="C1878" s="3" t="s">
        <v>101</v>
      </c>
      <c r="D1878" s="3">
        <v>15.0</v>
      </c>
      <c r="E1878" s="3">
        <v>0.05</v>
      </c>
      <c r="F1878" s="3">
        <v>1.35</v>
      </c>
      <c r="G1878" s="3">
        <v>3.28</v>
      </c>
    </row>
    <row r="1879">
      <c r="A1879" s="3">
        <v>169389.0</v>
      </c>
      <c r="B1879" s="3" t="s">
        <v>1904</v>
      </c>
      <c r="C1879" s="3" t="s">
        <v>101</v>
      </c>
      <c r="D1879" s="3">
        <v>31.0</v>
      </c>
      <c r="E1879" s="3">
        <v>0.3</v>
      </c>
      <c r="F1879" s="3">
        <v>2.95</v>
      </c>
      <c r="G1879" s="3">
        <v>6.09</v>
      </c>
    </row>
    <row r="1880">
      <c r="A1880" s="3">
        <v>169390.0</v>
      </c>
      <c r="B1880" s="3" t="s">
        <v>1905</v>
      </c>
      <c r="C1880" s="3" t="s">
        <v>101</v>
      </c>
      <c r="D1880" s="3">
        <v>32.0</v>
      </c>
      <c r="E1880" s="3">
        <v>0.31</v>
      </c>
      <c r="F1880" s="3">
        <v>3.04</v>
      </c>
      <c r="G1880" s="3">
        <v>6.28</v>
      </c>
    </row>
    <row r="1881">
      <c r="A1881" s="3">
        <v>169391.0</v>
      </c>
      <c r="B1881" s="3" t="s">
        <v>1906</v>
      </c>
      <c r="C1881" s="3" t="s">
        <v>101</v>
      </c>
      <c r="D1881" s="3">
        <v>32.0</v>
      </c>
      <c r="E1881" s="3">
        <v>0.31</v>
      </c>
      <c r="F1881" s="3">
        <v>3.04</v>
      </c>
      <c r="G1881" s="3">
        <v>6.28</v>
      </c>
    </row>
    <row r="1882">
      <c r="A1882" s="3">
        <v>169392.0</v>
      </c>
      <c r="B1882" s="3" t="s">
        <v>1907</v>
      </c>
      <c r="C1882" s="3" t="s">
        <v>101</v>
      </c>
      <c r="D1882" s="3">
        <v>22.0</v>
      </c>
      <c r="E1882" s="3">
        <v>0.72</v>
      </c>
      <c r="F1882" s="3">
        <v>1.14</v>
      </c>
      <c r="G1882" s="3">
        <v>3.81</v>
      </c>
    </row>
    <row r="1883">
      <c r="A1883" s="3">
        <v>169393.0</v>
      </c>
      <c r="B1883" s="3" t="s">
        <v>1908</v>
      </c>
      <c r="C1883" s="3" t="s">
        <v>101</v>
      </c>
      <c r="D1883" s="3">
        <v>69.0</v>
      </c>
      <c r="E1883" s="3">
        <v>1.97</v>
      </c>
      <c r="F1883" s="3">
        <v>4.27</v>
      </c>
      <c r="G1883" s="3">
        <v>11.71</v>
      </c>
    </row>
    <row r="1884">
      <c r="A1884" s="3">
        <v>169394.0</v>
      </c>
      <c r="B1884" s="3" t="s">
        <v>1909</v>
      </c>
      <c r="C1884" s="3" t="s">
        <v>101</v>
      </c>
      <c r="D1884" s="3">
        <v>27.0</v>
      </c>
      <c r="E1884" s="3">
        <v>0.45</v>
      </c>
      <c r="F1884" s="3">
        <v>1.66</v>
      </c>
      <c r="G1884" s="3">
        <v>5.35</v>
      </c>
    </row>
    <row r="1885">
      <c r="A1885" s="3">
        <v>169395.0</v>
      </c>
      <c r="B1885" s="3" t="s">
        <v>1910</v>
      </c>
      <c r="C1885" s="3" t="s">
        <v>101</v>
      </c>
      <c r="D1885" s="3">
        <v>32.0</v>
      </c>
      <c r="E1885" s="3">
        <v>0.44</v>
      </c>
      <c r="F1885" s="3">
        <v>1.74</v>
      </c>
      <c r="G1885" s="3">
        <v>6.7</v>
      </c>
    </row>
    <row r="1886">
      <c r="A1886" s="3">
        <v>169396.0</v>
      </c>
      <c r="B1886" s="3" t="s">
        <v>1911</v>
      </c>
      <c r="C1886" s="3" t="s">
        <v>101</v>
      </c>
      <c r="D1886" s="3">
        <v>281.0</v>
      </c>
      <c r="E1886" s="3">
        <v>8.2</v>
      </c>
      <c r="F1886" s="3">
        <v>11.86</v>
      </c>
      <c r="G1886" s="3">
        <v>51.42</v>
      </c>
    </row>
    <row r="1887">
      <c r="A1887" s="3">
        <v>169397.0</v>
      </c>
      <c r="B1887" s="3" t="s">
        <v>1912</v>
      </c>
      <c r="C1887" s="3" t="s">
        <v>101</v>
      </c>
      <c r="D1887" s="3">
        <v>121.0</v>
      </c>
      <c r="E1887" s="3">
        <v>0.9</v>
      </c>
      <c r="F1887" s="3">
        <v>1.5</v>
      </c>
      <c r="G1887" s="3">
        <v>26.64</v>
      </c>
    </row>
    <row r="1888">
      <c r="A1888" s="3">
        <v>169398.0</v>
      </c>
      <c r="B1888" s="3" t="s">
        <v>1913</v>
      </c>
      <c r="C1888" s="3" t="s">
        <v>101</v>
      </c>
      <c r="D1888" s="3">
        <v>32.0</v>
      </c>
      <c r="E1888" s="3">
        <v>0.52</v>
      </c>
      <c r="F1888" s="3">
        <v>0.33</v>
      </c>
      <c r="G1888" s="3">
        <v>7.44</v>
      </c>
    </row>
    <row r="1889">
      <c r="A1889" s="3">
        <v>169399.0</v>
      </c>
      <c r="B1889" s="3" t="s">
        <v>1914</v>
      </c>
      <c r="C1889" s="3" t="s">
        <v>101</v>
      </c>
      <c r="D1889" s="3">
        <v>103.0</v>
      </c>
      <c r="E1889" s="3">
        <v>2.75</v>
      </c>
      <c r="F1889" s="3">
        <v>4.71</v>
      </c>
      <c r="G1889" s="3">
        <v>19.22</v>
      </c>
    </row>
    <row r="1890">
      <c r="A1890" s="3">
        <v>169400.0</v>
      </c>
      <c r="B1890" s="3" t="s">
        <v>1915</v>
      </c>
      <c r="C1890" s="3" t="s">
        <v>101</v>
      </c>
      <c r="D1890" s="3">
        <v>23.0</v>
      </c>
      <c r="E1890" s="3">
        <v>0.78</v>
      </c>
      <c r="F1890" s="3">
        <v>2.98</v>
      </c>
      <c r="G1890" s="3">
        <v>2.71</v>
      </c>
    </row>
    <row r="1891">
      <c r="A1891" s="3">
        <v>169401.0</v>
      </c>
      <c r="B1891" s="3" t="s">
        <v>1916</v>
      </c>
      <c r="C1891" s="3" t="s">
        <v>101</v>
      </c>
      <c r="D1891" s="3">
        <v>98.0</v>
      </c>
      <c r="E1891" s="3">
        <v>0.4</v>
      </c>
      <c r="F1891" s="3">
        <v>1.46</v>
      </c>
      <c r="G1891" s="3">
        <v>23.63</v>
      </c>
    </row>
    <row r="1892">
      <c r="A1892" s="3">
        <v>169402.0</v>
      </c>
      <c r="B1892" s="3" t="s">
        <v>1917</v>
      </c>
      <c r="C1892" s="3" t="s">
        <v>101</v>
      </c>
      <c r="D1892" s="3">
        <v>35.0</v>
      </c>
      <c r="E1892" s="3">
        <v>0.46</v>
      </c>
      <c r="F1892" s="3">
        <v>3.91</v>
      </c>
      <c r="G1892" s="3">
        <v>6.04</v>
      </c>
    </row>
    <row r="1893">
      <c r="A1893" s="3">
        <v>169403.0</v>
      </c>
      <c r="B1893" s="3" t="s">
        <v>1918</v>
      </c>
      <c r="C1893" s="3" t="s">
        <v>101</v>
      </c>
      <c r="D1893" s="3">
        <v>31.0</v>
      </c>
      <c r="E1893" s="3">
        <v>0.19</v>
      </c>
      <c r="F1893" s="3">
        <v>1.94</v>
      </c>
      <c r="G1893" s="3">
        <v>6.97</v>
      </c>
    </row>
    <row r="1894">
      <c r="A1894" s="3">
        <v>169404.0</v>
      </c>
      <c r="B1894" s="3" t="s">
        <v>1919</v>
      </c>
      <c r="C1894" s="3" t="s">
        <v>101</v>
      </c>
      <c r="D1894" s="3">
        <v>26.0</v>
      </c>
      <c r="E1894" s="3">
        <v>0.76</v>
      </c>
      <c r="F1894" s="3">
        <v>1.2</v>
      </c>
      <c r="G1894" s="3">
        <v>4.67</v>
      </c>
    </row>
    <row r="1895">
      <c r="A1895" s="3">
        <v>169405.0</v>
      </c>
      <c r="B1895" s="3" t="s">
        <v>1920</v>
      </c>
      <c r="C1895" s="3" t="s">
        <v>101</v>
      </c>
      <c r="D1895" s="3">
        <v>34.0</v>
      </c>
      <c r="E1895" s="3">
        <v>0.4</v>
      </c>
      <c r="F1895" s="3">
        <v>4.55</v>
      </c>
      <c r="G1895" s="3">
        <v>5.54</v>
      </c>
    </row>
    <row r="1896">
      <c r="A1896" s="3">
        <v>169406.0</v>
      </c>
      <c r="B1896" s="3" t="s">
        <v>1921</v>
      </c>
      <c r="C1896" s="3" t="s">
        <v>1099</v>
      </c>
      <c r="D1896" s="3">
        <v>607.0</v>
      </c>
      <c r="E1896" s="3">
        <v>56.44</v>
      </c>
      <c r="F1896" s="3">
        <v>17.95</v>
      </c>
      <c r="G1896" s="3">
        <v>17.89</v>
      </c>
    </row>
    <row r="1897">
      <c r="A1897" s="3">
        <v>169407.0</v>
      </c>
      <c r="B1897" s="3" t="s">
        <v>1922</v>
      </c>
      <c r="C1897" s="3" t="s">
        <v>1099</v>
      </c>
      <c r="D1897" s="3">
        <v>557.0</v>
      </c>
      <c r="E1897" s="3">
        <v>47.37</v>
      </c>
      <c r="F1897" s="3">
        <v>28.33</v>
      </c>
      <c r="G1897" s="3">
        <v>15.31</v>
      </c>
    </row>
    <row r="1898">
      <c r="A1898" s="3">
        <v>169408.0</v>
      </c>
      <c r="B1898" s="3" t="s">
        <v>1923</v>
      </c>
      <c r="C1898" s="3" t="s">
        <v>1099</v>
      </c>
      <c r="D1898" s="3">
        <v>360.0</v>
      </c>
      <c r="E1898" s="3">
        <v>1.24</v>
      </c>
      <c r="F1898" s="3">
        <v>5.25</v>
      </c>
      <c r="G1898" s="3">
        <v>81.43</v>
      </c>
    </row>
    <row r="1899">
      <c r="A1899" s="3">
        <v>169409.0</v>
      </c>
      <c r="B1899" s="3" t="s">
        <v>1924</v>
      </c>
      <c r="C1899" s="3" t="s">
        <v>1099</v>
      </c>
      <c r="D1899" s="3">
        <v>202.0</v>
      </c>
      <c r="E1899" s="3">
        <v>20.8</v>
      </c>
      <c r="F1899" s="3">
        <v>1.61</v>
      </c>
      <c r="G1899" s="3">
        <v>5.58</v>
      </c>
    </row>
    <row r="1900">
      <c r="A1900" s="3">
        <v>169410.0</v>
      </c>
      <c r="B1900" s="3" t="s">
        <v>1925</v>
      </c>
      <c r="C1900" s="3" t="s">
        <v>1099</v>
      </c>
      <c r="D1900" s="3">
        <v>570.0</v>
      </c>
      <c r="E1900" s="3">
        <v>48.0</v>
      </c>
      <c r="F1900" s="3">
        <v>17.81</v>
      </c>
      <c r="G1900" s="3">
        <v>26.19</v>
      </c>
    </row>
    <row r="1901">
      <c r="A1901" s="3">
        <v>169411.0</v>
      </c>
      <c r="B1901" s="3" t="s">
        <v>1926</v>
      </c>
      <c r="C1901" s="3" t="s">
        <v>1099</v>
      </c>
      <c r="D1901" s="3">
        <v>647.0</v>
      </c>
      <c r="E1901" s="3">
        <v>62.3</v>
      </c>
      <c r="F1901" s="3">
        <v>13.11</v>
      </c>
      <c r="G1901" s="3">
        <v>20.79</v>
      </c>
    </row>
    <row r="1902">
      <c r="A1902" s="3">
        <v>169412.0</v>
      </c>
      <c r="B1902" s="3" t="s">
        <v>1927</v>
      </c>
      <c r="C1902" s="3" t="s">
        <v>1099</v>
      </c>
      <c r="D1902" s="3">
        <v>631.0</v>
      </c>
      <c r="E1902" s="3">
        <v>61.21</v>
      </c>
      <c r="F1902" s="3">
        <v>20.45</v>
      </c>
      <c r="G1902" s="3">
        <v>11.73</v>
      </c>
    </row>
    <row r="1903">
      <c r="A1903" s="3">
        <v>169413.0</v>
      </c>
      <c r="B1903" s="3" t="s">
        <v>1928</v>
      </c>
      <c r="C1903" s="3" t="s">
        <v>1099</v>
      </c>
      <c r="D1903" s="3">
        <v>154.0</v>
      </c>
      <c r="E1903" s="3">
        <v>0.53</v>
      </c>
      <c r="F1903" s="3">
        <v>2.25</v>
      </c>
      <c r="G1903" s="3">
        <v>34.91</v>
      </c>
    </row>
    <row r="1904">
      <c r="A1904" s="3">
        <v>169414.0</v>
      </c>
      <c r="B1904" s="3" t="s">
        <v>1929</v>
      </c>
      <c r="C1904" s="3" t="s">
        <v>1099</v>
      </c>
      <c r="D1904" s="3">
        <v>534.0</v>
      </c>
      <c r="E1904" s="3">
        <v>42.16</v>
      </c>
      <c r="F1904" s="3">
        <v>18.29</v>
      </c>
      <c r="G1904" s="3">
        <v>28.88</v>
      </c>
    </row>
    <row r="1905">
      <c r="A1905" s="3">
        <v>169415.0</v>
      </c>
      <c r="B1905" s="3" t="s">
        <v>1930</v>
      </c>
      <c r="C1905" s="3" t="s">
        <v>1099</v>
      </c>
      <c r="D1905" s="3">
        <v>574.0</v>
      </c>
      <c r="E1905" s="3">
        <v>49.05</v>
      </c>
      <c r="F1905" s="3">
        <v>29.84</v>
      </c>
      <c r="G1905" s="3">
        <v>14.71</v>
      </c>
    </row>
    <row r="1906">
      <c r="A1906" s="3">
        <v>169416.0</v>
      </c>
      <c r="B1906" s="3" t="s">
        <v>1931</v>
      </c>
      <c r="C1906" s="3" t="s">
        <v>1099</v>
      </c>
      <c r="D1906" s="3">
        <v>567.0</v>
      </c>
      <c r="E1906" s="3">
        <v>48.0</v>
      </c>
      <c r="F1906" s="3">
        <v>16.96</v>
      </c>
      <c r="G1906" s="3">
        <v>26.04</v>
      </c>
    </row>
    <row r="1907">
      <c r="A1907" s="3">
        <v>169417.0</v>
      </c>
      <c r="B1907" s="3" t="s">
        <v>1932</v>
      </c>
      <c r="C1907" s="3" t="s">
        <v>1099</v>
      </c>
      <c r="D1907" s="3">
        <v>546.0</v>
      </c>
      <c r="E1907" s="3">
        <v>49.8</v>
      </c>
      <c r="F1907" s="3">
        <v>19.33</v>
      </c>
      <c r="G1907" s="3">
        <v>15.31</v>
      </c>
    </row>
    <row r="1908">
      <c r="A1908" s="3">
        <v>169418.0</v>
      </c>
      <c r="B1908" s="3" t="s">
        <v>1933</v>
      </c>
      <c r="C1908" s="3" t="s">
        <v>1099</v>
      </c>
      <c r="D1908" s="3">
        <v>582.0</v>
      </c>
      <c r="E1908" s="3">
        <v>49.8</v>
      </c>
      <c r="F1908" s="3">
        <v>19.33</v>
      </c>
      <c r="G1908" s="3">
        <v>24.07</v>
      </c>
    </row>
    <row r="1909">
      <c r="A1909" s="3">
        <v>169419.0</v>
      </c>
      <c r="B1909" s="3" t="s">
        <v>1934</v>
      </c>
      <c r="C1909" s="3" t="s">
        <v>1099</v>
      </c>
      <c r="D1909" s="3">
        <v>607.0</v>
      </c>
      <c r="E1909" s="3">
        <v>55.17</v>
      </c>
      <c r="F1909" s="3">
        <v>21.23</v>
      </c>
      <c r="G1909" s="3">
        <v>17.68</v>
      </c>
    </row>
    <row r="1910">
      <c r="A1910" s="3">
        <v>169420.0</v>
      </c>
      <c r="B1910" s="3" t="s">
        <v>1935</v>
      </c>
      <c r="C1910" s="3" t="s">
        <v>1099</v>
      </c>
      <c r="D1910" s="3">
        <v>607.0</v>
      </c>
      <c r="E1910" s="3">
        <v>55.89</v>
      </c>
      <c r="F1910" s="3">
        <v>21.43</v>
      </c>
      <c r="G1910" s="3">
        <v>17.86</v>
      </c>
    </row>
    <row r="1911">
      <c r="A1911" s="3">
        <v>169421.0</v>
      </c>
      <c r="B1911" s="3" t="s">
        <v>1936</v>
      </c>
      <c r="C1911" s="3" t="s">
        <v>1099</v>
      </c>
      <c r="D1911" s="3">
        <v>574.0</v>
      </c>
      <c r="E1911" s="3">
        <v>46.35</v>
      </c>
      <c r="F1911" s="3">
        <v>15.31</v>
      </c>
      <c r="G1911" s="3">
        <v>32.69</v>
      </c>
    </row>
    <row r="1912">
      <c r="A1912" s="3">
        <v>169422.0</v>
      </c>
      <c r="B1912" s="3" t="s">
        <v>1937</v>
      </c>
      <c r="C1912" s="3" t="s">
        <v>1099</v>
      </c>
      <c r="D1912" s="3">
        <v>581.0</v>
      </c>
      <c r="E1912" s="3">
        <v>47.77</v>
      </c>
      <c r="F1912" s="3">
        <v>16.84</v>
      </c>
      <c r="G1912" s="3">
        <v>30.16</v>
      </c>
    </row>
    <row r="1913">
      <c r="A1913" s="3">
        <v>169423.0</v>
      </c>
      <c r="B1913" s="3" t="s">
        <v>1938</v>
      </c>
      <c r="C1913" s="3" t="s">
        <v>1099</v>
      </c>
      <c r="D1913" s="3">
        <v>615.0</v>
      </c>
      <c r="E1913" s="3">
        <v>56.17</v>
      </c>
      <c r="F1913" s="3">
        <v>15.52</v>
      </c>
      <c r="G1913" s="3">
        <v>22.27</v>
      </c>
    </row>
    <row r="1914">
      <c r="A1914" s="3">
        <v>169424.0</v>
      </c>
      <c r="B1914" s="3" t="s">
        <v>1939</v>
      </c>
      <c r="C1914" s="3" t="s">
        <v>1099</v>
      </c>
      <c r="D1914" s="3">
        <v>710.0</v>
      </c>
      <c r="E1914" s="3">
        <v>74.27</v>
      </c>
      <c r="F1914" s="3">
        <v>9.5</v>
      </c>
      <c r="G1914" s="3">
        <v>13.55</v>
      </c>
    </row>
    <row r="1915">
      <c r="A1915" s="3">
        <v>169425.0</v>
      </c>
      <c r="B1915" s="3" t="s">
        <v>1940</v>
      </c>
      <c r="C1915" s="3" t="s">
        <v>1099</v>
      </c>
      <c r="D1915" s="3">
        <v>715.0</v>
      </c>
      <c r="E1915" s="3">
        <v>75.23</v>
      </c>
      <c r="F1915" s="3">
        <v>9.2</v>
      </c>
      <c r="G1915" s="3">
        <v>13.01</v>
      </c>
    </row>
    <row r="1916">
      <c r="A1916" s="3">
        <v>169426.0</v>
      </c>
      <c r="B1916" s="3" t="s">
        <v>1941</v>
      </c>
      <c r="C1916" s="3" t="s">
        <v>1099</v>
      </c>
      <c r="D1916" s="3">
        <v>569.0</v>
      </c>
      <c r="E1916" s="3">
        <v>45.82</v>
      </c>
      <c r="F1916" s="3">
        <v>21.05</v>
      </c>
      <c r="G1916" s="3">
        <v>27.55</v>
      </c>
    </row>
    <row r="1917">
      <c r="A1917" s="3">
        <v>169427.0</v>
      </c>
      <c r="B1917" s="3" t="s">
        <v>1942</v>
      </c>
      <c r="C1917" s="3" t="s">
        <v>1099</v>
      </c>
      <c r="D1917" s="3">
        <v>607.0</v>
      </c>
      <c r="E1917" s="3">
        <v>53.95</v>
      </c>
      <c r="F1917" s="3">
        <v>20.04</v>
      </c>
      <c r="G1917" s="3">
        <v>21.05</v>
      </c>
    </row>
    <row r="1918">
      <c r="A1918" s="3">
        <v>169428.0</v>
      </c>
      <c r="B1918" s="3" t="s">
        <v>1943</v>
      </c>
      <c r="C1918" s="3" t="s">
        <v>1099</v>
      </c>
      <c r="D1918" s="3">
        <v>607.0</v>
      </c>
      <c r="E1918" s="3">
        <v>50.0</v>
      </c>
      <c r="F1918" s="3">
        <v>17.86</v>
      </c>
      <c r="G1918" s="3">
        <v>25.0</v>
      </c>
    </row>
    <row r="1919">
      <c r="A1919" s="3">
        <v>169429.0</v>
      </c>
      <c r="B1919" s="3" t="s">
        <v>1944</v>
      </c>
      <c r="C1919" s="3" t="s">
        <v>189</v>
      </c>
      <c r="D1919" s="3">
        <v>117.0</v>
      </c>
      <c r="E1919" s="3">
        <v>2.69</v>
      </c>
      <c r="F1919" s="3">
        <v>23.07</v>
      </c>
      <c r="G1919" s="3">
        <v>0.0</v>
      </c>
    </row>
    <row r="1920">
      <c r="A1920" s="3">
        <v>169430.0</v>
      </c>
      <c r="B1920" s="3" t="s">
        <v>1945</v>
      </c>
      <c r="C1920" s="3" t="s">
        <v>189</v>
      </c>
      <c r="D1920" s="3">
        <v>291.0</v>
      </c>
      <c r="E1920" s="3">
        <v>24.05</v>
      </c>
      <c r="F1920" s="3">
        <v>17.32</v>
      </c>
      <c r="G1920" s="3">
        <v>0.0</v>
      </c>
    </row>
    <row r="1921">
      <c r="A1921" s="3">
        <v>169431.0</v>
      </c>
      <c r="B1921" s="3" t="s">
        <v>1946</v>
      </c>
      <c r="C1921" s="3" t="s">
        <v>189</v>
      </c>
      <c r="D1921" s="3">
        <v>278.0</v>
      </c>
      <c r="E1921" s="3">
        <v>22.55</v>
      </c>
      <c r="F1921" s="3">
        <v>17.48</v>
      </c>
      <c r="G1921" s="3">
        <v>0.0</v>
      </c>
    </row>
    <row r="1922">
      <c r="A1922" s="3">
        <v>169432.0</v>
      </c>
      <c r="B1922" s="3" t="s">
        <v>1947</v>
      </c>
      <c r="C1922" s="3" t="s">
        <v>189</v>
      </c>
      <c r="D1922" s="3">
        <v>280.0</v>
      </c>
      <c r="E1922" s="3">
        <v>17.37</v>
      </c>
      <c r="F1922" s="3">
        <v>28.97</v>
      </c>
      <c r="G1922" s="3">
        <v>0.0</v>
      </c>
    </row>
    <row r="1923">
      <c r="A1923" s="3">
        <v>169433.0</v>
      </c>
      <c r="B1923" s="3" t="s">
        <v>1948</v>
      </c>
      <c r="C1923" s="3" t="s">
        <v>189</v>
      </c>
      <c r="D1923" s="3">
        <v>165.0</v>
      </c>
      <c r="E1923" s="3">
        <v>8.29</v>
      </c>
      <c r="F1923" s="3">
        <v>21.22</v>
      </c>
      <c r="G1923" s="3">
        <v>0.0</v>
      </c>
    </row>
    <row r="1924">
      <c r="A1924" s="3">
        <v>169434.0</v>
      </c>
      <c r="B1924" s="3" t="s">
        <v>1949</v>
      </c>
      <c r="C1924" s="3" t="s">
        <v>189</v>
      </c>
      <c r="D1924" s="3">
        <v>263.0</v>
      </c>
      <c r="E1924" s="3">
        <v>16.44</v>
      </c>
      <c r="F1924" s="3">
        <v>26.98</v>
      </c>
      <c r="G1924" s="3">
        <v>0.0</v>
      </c>
    </row>
    <row r="1925">
      <c r="A1925" s="3">
        <v>169435.0</v>
      </c>
      <c r="B1925" s="3" t="s">
        <v>1950</v>
      </c>
      <c r="C1925" s="3" t="s">
        <v>189</v>
      </c>
      <c r="D1925" s="3">
        <v>202.0</v>
      </c>
      <c r="E1925" s="3">
        <v>9.31</v>
      </c>
      <c r="F1925" s="3">
        <v>27.55</v>
      </c>
      <c r="G1925" s="3">
        <v>0.0</v>
      </c>
    </row>
    <row r="1926">
      <c r="A1926" s="3">
        <v>169436.0</v>
      </c>
      <c r="B1926" s="3" t="s">
        <v>1951</v>
      </c>
      <c r="C1926" s="3" t="s">
        <v>189</v>
      </c>
      <c r="D1926" s="3">
        <v>265.0</v>
      </c>
      <c r="E1926" s="3">
        <v>16.76</v>
      </c>
      <c r="F1926" s="3">
        <v>26.58</v>
      </c>
      <c r="G1926" s="3">
        <v>0.0</v>
      </c>
    </row>
    <row r="1927">
      <c r="A1927" s="3">
        <v>169437.0</v>
      </c>
      <c r="B1927" s="3" t="s">
        <v>1952</v>
      </c>
      <c r="C1927" s="3" t="s">
        <v>189</v>
      </c>
      <c r="D1927" s="3">
        <v>161.0</v>
      </c>
      <c r="E1927" s="3">
        <v>8.3</v>
      </c>
      <c r="F1927" s="3">
        <v>20.13</v>
      </c>
      <c r="G1927" s="3">
        <v>0.0</v>
      </c>
    </row>
    <row r="1928">
      <c r="A1928" s="3">
        <v>169438.0</v>
      </c>
      <c r="B1928" s="3" t="s">
        <v>1953</v>
      </c>
      <c r="C1928" s="3" t="s">
        <v>189</v>
      </c>
      <c r="D1928" s="3">
        <v>205.0</v>
      </c>
      <c r="E1928" s="3">
        <v>9.01</v>
      </c>
      <c r="F1928" s="3">
        <v>28.88</v>
      </c>
      <c r="G1928" s="3">
        <v>0.0</v>
      </c>
    </row>
    <row r="1929">
      <c r="A1929" s="3">
        <v>169439.0</v>
      </c>
      <c r="B1929" s="3" t="s">
        <v>1954</v>
      </c>
      <c r="C1929" s="3" t="s">
        <v>189</v>
      </c>
      <c r="D1929" s="3">
        <v>390.0</v>
      </c>
      <c r="E1929" s="3">
        <v>36.23</v>
      </c>
      <c r="F1929" s="3">
        <v>14.4</v>
      </c>
      <c r="G1929" s="3">
        <v>0.4</v>
      </c>
    </row>
    <row r="1930">
      <c r="A1930" s="3">
        <v>169440.0</v>
      </c>
      <c r="B1930" s="3" t="s">
        <v>1955</v>
      </c>
      <c r="C1930" s="3" t="s">
        <v>189</v>
      </c>
      <c r="D1930" s="3">
        <v>221.0</v>
      </c>
      <c r="E1930" s="3">
        <v>9.24</v>
      </c>
      <c r="F1930" s="3">
        <v>32.21</v>
      </c>
      <c r="G1930" s="3">
        <v>0.0</v>
      </c>
    </row>
    <row r="1931">
      <c r="A1931" s="3">
        <v>169441.0</v>
      </c>
      <c r="B1931" s="3" t="s">
        <v>1956</v>
      </c>
      <c r="C1931" s="3" t="s">
        <v>189</v>
      </c>
      <c r="D1931" s="3">
        <v>128.0</v>
      </c>
      <c r="E1931" s="3">
        <v>3.85</v>
      </c>
      <c r="F1931" s="3">
        <v>21.75</v>
      </c>
      <c r="G1931" s="3">
        <v>0.0</v>
      </c>
    </row>
    <row r="1932">
      <c r="A1932" s="3">
        <v>169442.0</v>
      </c>
      <c r="B1932" s="3" t="s">
        <v>1957</v>
      </c>
      <c r="C1932" s="3" t="s">
        <v>189</v>
      </c>
      <c r="D1932" s="3">
        <v>201.0</v>
      </c>
      <c r="E1932" s="3">
        <v>6.36</v>
      </c>
      <c r="F1932" s="3">
        <v>33.68</v>
      </c>
      <c r="G1932" s="3">
        <v>0.0</v>
      </c>
    </row>
    <row r="1933">
      <c r="A1933" s="3">
        <v>169443.0</v>
      </c>
      <c r="B1933" s="3" t="s">
        <v>1958</v>
      </c>
      <c r="C1933" s="3" t="s">
        <v>189</v>
      </c>
      <c r="D1933" s="3">
        <v>161.0</v>
      </c>
      <c r="E1933" s="3">
        <v>7.39</v>
      </c>
      <c r="F1933" s="3">
        <v>22.13</v>
      </c>
      <c r="G1933" s="3">
        <v>0.0</v>
      </c>
    </row>
    <row r="1934">
      <c r="A1934" s="3">
        <v>169444.0</v>
      </c>
      <c r="B1934" s="3" t="s">
        <v>1959</v>
      </c>
      <c r="C1934" s="3" t="s">
        <v>189</v>
      </c>
      <c r="D1934" s="3">
        <v>216.0</v>
      </c>
      <c r="E1934" s="3">
        <v>10.46</v>
      </c>
      <c r="F1934" s="3">
        <v>30.54</v>
      </c>
      <c r="G1934" s="3">
        <v>0.0</v>
      </c>
    </row>
    <row r="1935">
      <c r="A1935" s="3">
        <v>169445.0</v>
      </c>
      <c r="B1935" s="3" t="s">
        <v>1960</v>
      </c>
      <c r="C1935" s="3" t="s">
        <v>189</v>
      </c>
      <c r="D1935" s="3">
        <v>140.0</v>
      </c>
      <c r="E1935" s="3">
        <v>6.07</v>
      </c>
      <c r="F1935" s="3">
        <v>21.13</v>
      </c>
      <c r="G1935" s="3">
        <v>0.31</v>
      </c>
    </row>
    <row r="1936">
      <c r="A1936" s="3">
        <v>169446.0</v>
      </c>
      <c r="B1936" s="3" t="s">
        <v>1961</v>
      </c>
      <c r="C1936" s="3" t="s">
        <v>189</v>
      </c>
      <c r="D1936" s="3">
        <v>145.0</v>
      </c>
      <c r="E1936" s="3">
        <v>6.51</v>
      </c>
      <c r="F1936" s="3">
        <v>21.19</v>
      </c>
      <c r="G1936" s="3">
        <v>0.39</v>
      </c>
    </row>
    <row r="1937">
      <c r="A1937" s="3">
        <v>169447.0</v>
      </c>
      <c r="B1937" s="3" t="s">
        <v>1962</v>
      </c>
      <c r="C1937" s="3" t="s">
        <v>189</v>
      </c>
      <c r="D1937" s="3">
        <v>295.0</v>
      </c>
      <c r="E1937" s="3">
        <v>21.83</v>
      </c>
      <c r="F1937" s="3">
        <v>23.05</v>
      </c>
      <c r="G1937" s="3">
        <v>0.0</v>
      </c>
    </row>
    <row r="1938">
      <c r="A1938" s="3">
        <v>169448.0</v>
      </c>
      <c r="B1938" s="3" t="s">
        <v>1963</v>
      </c>
      <c r="C1938" s="3" t="s">
        <v>189</v>
      </c>
      <c r="D1938" s="3">
        <v>165.0</v>
      </c>
      <c r="E1938" s="3">
        <v>4.73</v>
      </c>
      <c r="F1938" s="3">
        <v>28.48</v>
      </c>
      <c r="G1938" s="3">
        <v>0.15</v>
      </c>
    </row>
    <row r="1939">
      <c r="A1939" s="3">
        <v>169449.0</v>
      </c>
      <c r="B1939" s="3" t="s">
        <v>1964</v>
      </c>
      <c r="C1939" s="3" t="s">
        <v>189</v>
      </c>
      <c r="D1939" s="3">
        <v>99.0</v>
      </c>
      <c r="E1939" s="3">
        <v>3.09</v>
      </c>
      <c r="F1939" s="3">
        <v>17.4</v>
      </c>
      <c r="G1939" s="3">
        <v>0.29</v>
      </c>
    </row>
    <row r="1940">
      <c r="A1940" s="3">
        <v>169450.0</v>
      </c>
      <c r="B1940" s="3" t="s">
        <v>1965</v>
      </c>
      <c r="C1940" s="3" t="s">
        <v>189</v>
      </c>
      <c r="D1940" s="3">
        <v>158.0</v>
      </c>
      <c r="E1940" s="3">
        <v>4.65</v>
      </c>
      <c r="F1940" s="3">
        <v>27.27</v>
      </c>
      <c r="G1940" s="3">
        <v>0.0</v>
      </c>
    </row>
    <row r="1941">
      <c r="A1941" s="3">
        <v>169451.0</v>
      </c>
      <c r="B1941" s="3" t="s">
        <v>1966</v>
      </c>
      <c r="C1941" s="3" t="s">
        <v>189</v>
      </c>
      <c r="D1941" s="3">
        <v>135.0</v>
      </c>
      <c r="E1941" s="3">
        <v>3.63</v>
      </c>
      <c r="F1941" s="3">
        <v>20.36</v>
      </c>
      <c r="G1941" s="3">
        <v>3.89</v>
      </c>
    </row>
    <row r="1942">
      <c r="A1942" s="3">
        <v>169452.0</v>
      </c>
      <c r="B1942" s="3" t="s">
        <v>1967</v>
      </c>
      <c r="C1942" s="3" t="s">
        <v>189</v>
      </c>
      <c r="D1942" s="3">
        <v>235.0</v>
      </c>
      <c r="E1942" s="3">
        <v>18.6</v>
      </c>
      <c r="F1942" s="3">
        <v>15.7</v>
      </c>
      <c r="G1942" s="3">
        <v>0.0</v>
      </c>
    </row>
    <row r="1943">
      <c r="A1943" s="3">
        <v>169453.0</v>
      </c>
      <c r="B1943" s="3" t="s">
        <v>1968</v>
      </c>
      <c r="C1943" s="3" t="s">
        <v>189</v>
      </c>
      <c r="D1943" s="3">
        <v>271.0</v>
      </c>
      <c r="E1943" s="3">
        <v>17.2</v>
      </c>
      <c r="F1943" s="3">
        <v>27.1</v>
      </c>
      <c r="G1943" s="3">
        <v>0.0</v>
      </c>
    </row>
    <row r="1944">
      <c r="A1944" s="3">
        <v>169454.0</v>
      </c>
      <c r="B1944" s="3" t="s">
        <v>1969</v>
      </c>
      <c r="C1944" s="3" t="s">
        <v>189</v>
      </c>
      <c r="D1944" s="3">
        <v>105.0</v>
      </c>
      <c r="E1944" s="3">
        <v>3.0</v>
      </c>
      <c r="F1944" s="3">
        <v>18.3</v>
      </c>
      <c r="G1944" s="3">
        <v>0.0</v>
      </c>
    </row>
    <row r="1945">
      <c r="A1945" s="3">
        <v>169455.0</v>
      </c>
      <c r="B1945" s="3" t="s">
        <v>1970</v>
      </c>
      <c r="C1945" s="3" t="s">
        <v>189</v>
      </c>
      <c r="D1945" s="3">
        <v>211.0</v>
      </c>
      <c r="E1945" s="3">
        <v>9.52</v>
      </c>
      <c r="F1945" s="3">
        <v>29.22</v>
      </c>
      <c r="G1945" s="3">
        <v>0.0</v>
      </c>
    </row>
    <row r="1946">
      <c r="A1946" s="3">
        <v>169456.0</v>
      </c>
      <c r="B1946" s="3" t="s">
        <v>1971</v>
      </c>
      <c r="C1946" s="3" t="s">
        <v>189</v>
      </c>
      <c r="D1946" s="3">
        <v>189.0</v>
      </c>
      <c r="E1946" s="3">
        <v>6.74</v>
      </c>
      <c r="F1946" s="3">
        <v>29.99</v>
      </c>
      <c r="G1946" s="3">
        <v>0.0</v>
      </c>
    </row>
    <row r="1947">
      <c r="A1947" s="3">
        <v>169457.0</v>
      </c>
      <c r="B1947" s="3" t="s">
        <v>1972</v>
      </c>
      <c r="C1947" s="3" t="s">
        <v>189</v>
      </c>
      <c r="D1947" s="3">
        <v>212.0</v>
      </c>
      <c r="E1947" s="3">
        <v>9.67</v>
      </c>
      <c r="F1947" s="3">
        <v>29.33</v>
      </c>
      <c r="G1947" s="3">
        <v>0.0</v>
      </c>
    </row>
    <row r="1948">
      <c r="A1948" s="3">
        <v>169458.0</v>
      </c>
      <c r="B1948" s="3" t="s">
        <v>1973</v>
      </c>
      <c r="C1948" s="3" t="s">
        <v>189</v>
      </c>
      <c r="D1948" s="3">
        <v>219.0</v>
      </c>
      <c r="E1948" s="3">
        <v>10.54</v>
      </c>
      <c r="F1948" s="3">
        <v>29.02</v>
      </c>
      <c r="G1948" s="3">
        <v>0.0</v>
      </c>
    </row>
    <row r="1949">
      <c r="A1949" s="3">
        <v>169459.0</v>
      </c>
      <c r="B1949" s="3" t="s">
        <v>1974</v>
      </c>
      <c r="C1949" s="3" t="s">
        <v>189</v>
      </c>
      <c r="D1949" s="3">
        <v>276.0</v>
      </c>
      <c r="E1949" s="3">
        <v>19.27</v>
      </c>
      <c r="F1949" s="3">
        <v>23.96</v>
      </c>
      <c r="G1949" s="3">
        <v>0.0</v>
      </c>
    </row>
    <row r="1950">
      <c r="A1950" s="3">
        <v>169460.0</v>
      </c>
      <c r="B1950" s="3" t="s">
        <v>1975</v>
      </c>
      <c r="C1950" s="3" t="s">
        <v>189</v>
      </c>
      <c r="D1950" s="3">
        <v>283.0</v>
      </c>
      <c r="E1950" s="3">
        <v>20.15</v>
      </c>
      <c r="F1950" s="3">
        <v>23.61</v>
      </c>
      <c r="G1950" s="3">
        <v>0.0</v>
      </c>
    </row>
    <row r="1951">
      <c r="A1951" s="3">
        <v>169461.0</v>
      </c>
      <c r="B1951" s="3" t="s">
        <v>1976</v>
      </c>
      <c r="C1951" s="3" t="s">
        <v>189</v>
      </c>
      <c r="D1951" s="3">
        <v>267.0</v>
      </c>
      <c r="E1951" s="3">
        <v>17.98</v>
      </c>
      <c r="F1951" s="3">
        <v>24.47</v>
      </c>
      <c r="G1951" s="3">
        <v>0.0</v>
      </c>
    </row>
    <row r="1952">
      <c r="A1952" s="3">
        <v>169462.0</v>
      </c>
      <c r="B1952" s="3" t="s">
        <v>1977</v>
      </c>
      <c r="C1952" s="3" t="s">
        <v>189</v>
      </c>
      <c r="D1952" s="3">
        <v>155.0</v>
      </c>
      <c r="E1952" s="3">
        <v>6.6</v>
      </c>
      <c r="F1952" s="3">
        <v>22.32</v>
      </c>
      <c r="G1952" s="3">
        <v>0.0</v>
      </c>
    </row>
    <row r="1953">
      <c r="A1953" s="3">
        <v>169463.0</v>
      </c>
      <c r="B1953" s="3" t="s">
        <v>1978</v>
      </c>
      <c r="C1953" s="3" t="s">
        <v>189</v>
      </c>
      <c r="D1953" s="3">
        <v>194.0</v>
      </c>
      <c r="E1953" s="3">
        <v>8.81</v>
      </c>
      <c r="F1953" s="3">
        <v>26.89</v>
      </c>
      <c r="G1953" s="3">
        <v>0.0</v>
      </c>
    </row>
    <row r="1954">
      <c r="A1954" s="3">
        <v>169464.0</v>
      </c>
      <c r="B1954" s="3" t="s">
        <v>1979</v>
      </c>
      <c r="C1954" s="3" t="s">
        <v>189</v>
      </c>
      <c r="D1954" s="3">
        <v>247.0</v>
      </c>
      <c r="E1954" s="3">
        <v>15.93</v>
      </c>
      <c r="F1954" s="3">
        <v>24.18</v>
      </c>
      <c r="G1954" s="3">
        <v>0.0</v>
      </c>
    </row>
    <row r="1955">
      <c r="A1955" s="3">
        <v>169465.0</v>
      </c>
      <c r="B1955" s="3" t="s">
        <v>1980</v>
      </c>
      <c r="C1955" s="3" t="s">
        <v>189</v>
      </c>
      <c r="D1955" s="3">
        <v>258.0</v>
      </c>
      <c r="E1955" s="3">
        <v>17.26</v>
      </c>
      <c r="F1955" s="3">
        <v>24.05</v>
      </c>
      <c r="G1955" s="3">
        <v>0.0</v>
      </c>
    </row>
    <row r="1956">
      <c r="A1956" s="3">
        <v>169466.0</v>
      </c>
      <c r="B1956" s="3" t="s">
        <v>1981</v>
      </c>
      <c r="C1956" s="3" t="s">
        <v>189</v>
      </c>
      <c r="D1956" s="3">
        <v>230.0</v>
      </c>
      <c r="E1956" s="3">
        <v>14.0</v>
      </c>
      <c r="F1956" s="3">
        <v>24.38</v>
      </c>
      <c r="G1956" s="3">
        <v>0.0</v>
      </c>
    </row>
    <row r="1957">
      <c r="A1957" s="3">
        <v>169467.0</v>
      </c>
      <c r="B1957" s="3" t="s">
        <v>1982</v>
      </c>
      <c r="C1957" s="3" t="s">
        <v>189</v>
      </c>
      <c r="D1957" s="3">
        <v>206.0</v>
      </c>
      <c r="E1957" s="3">
        <v>9.35</v>
      </c>
      <c r="F1957" s="3">
        <v>28.45</v>
      </c>
      <c r="G1957" s="3">
        <v>0.0</v>
      </c>
    </row>
    <row r="1958">
      <c r="A1958" s="3">
        <v>169468.0</v>
      </c>
      <c r="B1958" s="3" t="s">
        <v>1983</v>
      </c>
      <c r="C1958" s="3" t="s">
        <v>189</v>
      </c>
      <c r="D1958" s="3">
        <v>177.0</v>
      </c>
      <c r="E1958" s="3">
        <v>7.36</v>
      </c>
      <c r="F1958" s="3">
        <v>26.0</v>
      </c>
      <c r="G1958" s="3">
        <v>0.0</v>
      </c>
    </row>
    <row r="1959">
      <c r="A1959" s="3">
        <v>169469.0</v>
      </c>
      <c r="B1959" s="3" t="s">
        <v>1984</v>
      </c>
      <c r="C1959" s="3" t="s">
        <v>189</v>
      </c>
      <c r="D1959" s="3">
        <v>198.0</v>
      </c>
      <c r="E1959" s="3">
        <v>5.92</v>
      </c>
      <c r="F1959" s="3">
        <v>33.9</v>
      </c>
      <c r="G1959" s="3">
        <v>0.0</v>
      </c>
    </row>
    <row r="1960">
      <c r="A1960" s="3">
        <v>169470.0</v>
      </c>
      <c r="B1960" s="3" t="s">
        <v>1985</v>
      </c>
      <c r="C1960" s="3" t="s">
        <v>189</v>
      </c>
      <c r="D1960" s="3">
        <v>151.0</v>
      </c>
      <c r="E1960" s="3">
        <v>7.01</v>
      </c>
      <c r="F1960" s="3">
        <v>20.48</v>
      </c>
      <c r="G1960" s="3">
        <v>0.0</v>
      </c>
    </row>
    <row r="1961">
      <c r="A1961" s="3">
        <v>169471.0</v>
      </c>
      <c r="B1961" s="3" t="s">
        <v>1986</v>
      </c>
      <c r="C1961" s="3" t="s">
        <v>189</v>
      </c>
      <c r="D1961" s="3">
        <v>166.0</v>
      </c>
      <c r="E1961" s="3">
        <v>4.11</v>
      </c>
      <c r="F1961" s="3">
        <v>30.24</v>
      </c>
      <c r="G1961" s="3">
        <v>0.0</v>
      </c>
    </row>
    <row r="1962">
      <c r="A1962" s="3">
        <v>169472.0</v>
      </c>
      <c r="B1962" s="3" t="s">
        <v>1987</v>
      </c>
      <c r="C1962" s="3" t="s">
        <v>189</v>
      </c>
      <c r="D1962" s="3">
        <v>158.0</v>
      </c>
      <c r="E1962" s="3">
        <v>3.37</v>
      </c>
      <c r="F1962" s="3">
        <v>29.81</v>
      </c>
      <c r="G1962" s="3">
        <v>0.0</v>
      </c>
    </row>
    <row r="1963">
      <c r="A1963" s="3">
        <v>169473.0</v>
      </c>
      <c r="B1963" s="3" t="s">
        <v>1988</v>
      </c>
      <c r="C1963" s="3" t="s">
        <v>189</v>
      </c>
      <c r="D1963" s="3">
        <v>270.0</v>
      </c>
      <c r="E1963" s="3">
        <v>17.86</v>
      </c>
      <c r="F1963" s="3">
        <v>25.56</v>
      </c>
      <c r="G1963" s="3">
        <v>0.0</v>
      </c>
    </row>
    <row r="1964">
      <c r="A1964" s="3">
        <v>169474.0</v>
      </c>
      <c r="B1964" s="3" t="s">
        <v>1989</v>
      </c>
      <c r="C1964" s="3" t="s">
        <v>189</v>
      </c>
      <c r="D1964" s="3">
        <v>241.0</v>
      </c>
      <c r="E1964" s="3">
        <v>15.37</v>
      </c>
      <c r="F1964" s="3">
        <v>23.87</v>
      </c>
      <c r="G1964" s="3">
        <v>0.0</v>
      </c>
    </row>
    <row r="1965">
      <c r="A1965" s="3">
        <v>169475.0</v>
      </c>
      <c r="B1965" s="3" t="s">
        <v>1990</v>
      </c>
      <c r="C1965" s="3" t="s">
        <v>189</v>
      </c>
      <c r="D1965" s="3">
        <v>202.0</v>
      </c>
      <c r="E1965" s="3">
        <v>9.83</v>
      </c>
      <c r="F1965" s="3">
        <v>28.28</v>
      </c>
      <c r="G1965" s="3">
        <v>0.0</v>
      </c>
    </row>
    <row r="1966">
      <c r="A1966" s="3">
        <v>169476.0</v>
      </c>
      <c r="B1966" s="3" t="s">
        <v>1991</v>
      </c>
      <c r="C1966" s="3" t="s">
        <v>189</v>
      </c>
      <c r="D1966" s="3">
        <v>187.0</v>
      </c>
      <c r="E1966" s="3">
        <v>8.34</v>
      </c>
      <c r="F1966" s="3">
        <v>27.96</v>
      </c>
      <c r="G1966" s="3">
        <v>0.0</v>
      </c>
    </row>
    <row r="1967">
      <c r="A1967" s="3">
        <v>169477.0</v>
      </c>
      <c r="B1967" s="3" t="s">
        <v>1992</v>
      </c>
      <c r="C1967" s="3" t="s">
        <v>189</v>
      </c>
      <c r="D1967" s="3">
        <v>139.0</v>
      </c>
      <c r="E1967" s="3">
        <v>6.42</v>
      </c>
      <c r="F1967" s="3">
        <v>20.36</v>
      </c>
      <c r="G1967" s="3">
        <v>0.0</v>
      </c>
    </row>
    <row r="1968">
      <c r="A1968" s="3">
        <v>169478.0</v>
      </c>
      <c r="B1968" s="3" t="s">
        <v>1993</v>
      </c>
      <c r="C1968" s="3" t="s">
        <v>189</v>
      </c>
      <c r="D1968" s="3">
        <v>143.0</v>
      </c>
      <c r="E1968" s="3">
        <v>6.88</v>
      </c>
      <c r="F1968" s="3">
        <v>20.35</v>
      </c>
      <c r="G1968" s="3">
        <v>0.0</v>
      </c>
    </row>
    <row r="1969">
      <c r="A1969" s="3">
        <v>169479.0</v>
      </c>
      <c r="B1969" s="3" t="s">
        <v>1994</v>
      </c>
      <c r="C1969" s="3" t="s">
        <v>189</v>
      </c>
      <c r="D1969" s="3">
        <v>210.0</v>
      </c>
      <c r="E1969" s="3">
        <v>11.07</v>
      </c>
      <c r="F1969" s="3">
        <v>27.59</v>
      </c>
      <c r="G1969" s="3">
        <v>0.0</v>
      </c>
    </row>
    <row r="1970">
      <c r="A1970" s="3">
        <v>169480.0</v>
      </c>
      <c r="B1970" s="3" t="s">
        <v>1995</v>
      </c>
      <c r="C1970" s="3" t="s">
        <v>189</v>
      </c>
      <c r="D1970" s="3">
        <v>123.0</v>
      </c>
      <c r="E1970" s="3">
        <v>4.09</v>
      </c>
      <c r="F1970" s="3">
        <v>21.64</v>
      </c>
      <c r="G1970" s="3">
        <v>0.0</v>
      </c>
    </row>
    <row r="1971">
      <c r="A1971" s="3">
        <v>169481.0</v>
      </c>
      <c r="B1971" s="3" t="s">
        <v>1996</v>
      </c>
      <c r="C1971" s="3" t="s">
        <v>189</v>
      </c>
      <c r="D1971" s="3">
        <v>125.0</v>
      </c>
      <c r="E1971" s="3">
        <v>4.35</v>
      </c>
      <c r="F1971" s="3">
        <v>21.45</v>
      </c>
      <c r="G1971" s="3">
        <v>0.11</v>
      </c>
    </row>
    <row r="1972">
      <c r="A1972" s="3">
        <v>169482.0</v>
      </c>
      <c r="B1972" s="3" t="s">
        <v>1997</v>
      </c>
      <c r="C1972" s="3" t="s">
        <v>189</v>
      </c>
      <c r="D1972" s="3">
        <v>121.0</v>
      </c>
      <c r="E1972" s="3">
        <v>3.7</v>
      </c>
      <c r="F1972" s="3">
        <v>21.93</v>
      </c>
      <c r="G1972" s="3">
        <v>0.0</v>
      </c>
    </row>
    <row r="1973">
      <c r="A1973" s="3">
        <v>169483.0</v>
      </c>
      <c r="B1973" s="3" t="s">
        <v>1998</v>
      </c>
      <c r="C1973" s="3" t="s">
        <v>189</v>
      </c>
      <c r="D1973" s="3">
        <v>215.0</v>
      </c>
      <c r="E1973" s="3">
        <v>14.42</v>
      </c>
      <c r="F1973" s="3">
        <v>20.01</v>
      </c>
      <c r="G1973" s="3">
        <v>0.0</v>
      </c>
    </row>
    <row r="1974">
      <c r="A1974" s="3">
        <v>169484.0</v>
      </c>
      <c r="B1974" s="3" t="s">
        <v>1999</v>
      </c>
      <c r="C1974" s="3" t="s">
        <v>189</v>
      </c>
      <c r="D1974" s="3">
        <v>259.0</v>
      </c>
      <c r="E1974" s="3">
        <v>16.59</v>
      </c>
      <c r="F1974" s="3">
        <v>26.11</v>
      </c>
      <c r="G1974" s="3">
        <v>0.0</v>
      </c>
    </row>
    <row r="1975">
      <c r="A1975" s="3">
        <v>169485.0</v>
      </c>
      <c r="B1975" s="3" t="s">
        <v>2000</v>
      </c>
      <c r="C1975" s="3" t="s">
        <v>189</v>
      </c>
      <c r="D1975" s="3">
        <v>224.0</v>
      </c>
      <c r="E1975" s="3">
        <v>15.42</v>
      </c>
      <c r="F1975" s="3">
        <v>19.79</v>
      </c>
      <c r="G1975" s="3">
        <v>0.0</v>
      </c>
    </row>
    <row r="1976">
      <c r="A1976" s="3">
        <v>169486.0</v>
      </c>
      <c r="B1976" s="3" t="s">
        <v>2001</v>
      </c>
      <c r="C1976" s="3" t="s">
        <v>189</v>
      </c>
      <c r="D1976" s="3">
        <v>268.0</v>
      </c>
      <c r="E1976" s="3">
        <v>17.68</v>
      </c>
      <c r="F1976" s="3">
        <v>25.85</v>
      </c>
      <c r="G1976" s="3">
        <v>0.0</v>
      </c>
    </row>
    <row r="1977">
      <c r="A1977" s="3">
        <v>169487.0</v>
      </c>
      <c r="B1977" s="3" t="s">
        <v>2002</v>
      </c>
      <c r="C1977" s="3" t="s">
        <v>189</v>
      </c>
      <c r="D1977" s="3">
        <v>193.0</v>
      </c>
      <c r="E1977" s="3">
        <v>12.4</v>
      </c>
      <c r="F1977" s="3">
        <v>19.06</v>
      </c>
      <c r="G1977" s="3">
        <v>0.0</v>
      </c>
    </row>
    <row r="1978">
      <c r="A1978" s="3">
        <v>169488.0</v>
      </c>
      <c r="B1978" s="3" t="s">
        <v>2003</v>
      </c>
      <c r="C1978" s="3" t="s">
        <v>189</v>
      </c>
      <c r="D1978" s="3">
        <v>289.0</v>
      </c>
      <c r="E1978" s="3">
        <v>18.42</v>
      </c>
      <c r="F1978" s="3">
        <v>28.82</v>
      </c>
      <c r="G1978" s="3">
        <v>0.0</v>
      </c>
    </row>
    <row r="1979">
      <c r="A1979" s="3">
        <v>169489.0</v>
      </c>
      <c r="B1979" s="3" t="s">
        <v>2004</v>
      </c>
      <c r="C1979" s="3" t="s">
        <v>189</v>
      </c>
      <c r="D1979" s="3">
        <v>267.0</v>
      </c>
      <c r="E1979" s="3">
        <v>20.98</v>
      </c>
      <c r="F1979" s="3">
        <v>17.65</v>
      </c>
      <c r="G1979" s="3">
        <v>0.59</v>
      </c>
    </row>
    <row r="1980">
      <c r="A1980" s="3">
        <v>169490.0</v>
      </c>
      <c r="B1980" s="3" t="s">
        <v>2005</v>
      </c>
      <c r="C1980" s="3" t="s">
        <v>189</v>
      </c>
      <c r="D1980" s="3">
        <v>349.0</v>
      </c>
      <c r="E1980" s="3">
        <v>27.17</v>
      </c>
      <c r="F1980" s="3">
        <v>24.4</v>
      </c>
      <c r="G1980" s="3">
        <v>0.0</v>
      </c>
    </row>
    <row r="1981">
      <c r="A1981" s="3">
        <v>169491.0</v>
      </c>
      <c r="B1981" s="3" t="s">
        <v>2006</v>
      </c>
      <c r="C1981" s="3" t="s">
        <v>189</v>
      </c>
      <c r="D1981" s="3">
        <v>244.0</v>
      </c>
      <c r="E1981" s="3">
        <v>17.98</v>
      </c>
      <c r="F1981" s="3">
        <v>19.23</v>
      </c>
      <c r="G1981" s="3">
        <v>0.0</v>
      </c>
    </row>
    <row r="1982">
      <c r="A1982" s="3">
        <v>169492.0</v>
      </c>
      <c r="B1982" s="3" t="s">
        <v>2007</v>
      </c>
      <c r="C1982" s="3" t="s">
        <v>189</v>
      </c>
      <c r="D1982" s="3">
        <v>295.0</v>
      </c>
      <c r="E1982" s="3">
        <v>18.5</v>
      </c>
      <c r="F1982" s="3">
        <v>30.05</v>
      </c>
      <c r="G1982" s="3">
        <v>0.0</v>
      </c>
    </row>
    <row r="1983">
      <c r="A1983" s="3">
        <v>169493.0</v>
      </c>
      <c r="B1983" s="3" t="s">
        <v>2008</v>
      </c>
      <c r="C1983" s="3" t="s">
        <v>189</v>
      </c>
      <c r="D1983" s="3">
        <v>248.0</v>
      </c>
      <c r="E1983" s="3">
        <v>19.41</v>
      </c>
      <c r="F1983" s="3">
        <v>17.16</v>
      </c>
      <c r="G1983" s="3">
        <v>0.0</v>
      </c>
    </row>
    <row r="1984">
      <c r="A1984" s="3">
        <v>169494.0</v>
      </c>
      <c r="B1984" s="3" t="s">
        <v>2009</v>
      </c>
      <c r="C1984" s="3" t="s">
        <v>189</v>
      </c>
      <c r="D1984" s="3">
        <v>341.0</v>
      </c>
      <c r="E1984" s="3">
        <v>25.12</v>
      </c>
      <c r="F1984" s="3">
        <v>26.78</v>
      </c>
      <c r="G1984" s="3">
        <v>0.0</v>
      </c>
    </row>
    <row r="1985">
      <c r="A1985" s="3">
        <v>169495.0</v>
      </c>
      <c r="B1985" s="3" t="s">
        <v>2010</v>
      </c>
      <c r="C1985" s="3" t="s">
        <v>189</v>
      </c>
      <c r="D1985" s="3">
        <v>268.0</v>
      </c>
      <c r="E1985" s="3">
        <v>21.31</v>
      </c>
      <c r="F1985" s="3">
        <v>16.98</v>
      </c>
      <c r="G1985" s="3">
        <v>0.97</v>
      </c>
    </row>
    <row r="1986">
      <c r="A1986" s="3">
        <v>169496.0</v>
      </c>
      <c r="B1986" s="3" t="s">
        <v>2011</v>
      </c>
      <c r="C1986" s="3" t="s">
        <v>189</v>
      </c>
      <c r="D1986" s="3">
        <v>190.0</v>
      </c>
      <c r="E1986" s="3">
        <v>9.36</v>
      </c>
      <c r="F1986" s="3">
        <v>26.41</v>
      </c>
      <c r="G1986" s="3">
        <v>0.0</v>
      </c>
    </row>
    <row r="1987">
      <c r="A1987" s="3">
        <v>169497.0</v>
      </c>
      <c r="B1987" s="3" t="s">
        <v>2012</v>
      </c>
      <c r="C1987" s="3" t="s">
        <v>189</v>
      </c>
      <c r="D1987" s="3">
        <v>172.0</v>
      </c>
      <c r="E1987" s="3">
        <v>7.12</v>
      </c>
      <c r="F1987" s="3">
        <v>27.02</v>
      </c>
      <c r="G1987" s="3">
        <v>0.0</v>
      </c>
    </row>
    <row r="1988">
      <c r="A1988" s="3">
        <v>169498.0</v>
      </c>
      <c r="B1988" s="3" t="s">
        <v>2013</v>
      </c>
      <c r="C1988" s="3" t="s">
        <v>189</v>
      </c>
      <c r="D1988" s="3">
        <v>306.0</v>
      </c>
      <c r="E1988" s="3">
        <v>26.1</v>
      </c>
      <c r="F1988" s="3">
        <v>16.53</v>
      </c>
      <c r="G1988" s="3">
        <v>0.0</v>
      </c>
    </row>
    <row r="1989">
      <c r="A1989" s="3">
        <v>169499.0</v>
      </c>
      <c r="B1989" s="3" t="s">
        <v>2014</v>
      </c>
      <c r="C1989" s="3" t="s">
        <v>189</v>
      </c>
      <c r="D1989" s="3">
        <v>337.0</v>
      </c>
      <c r="E1989" s="3">
        <v>26.75</v>
      </c>
      <c r="F1989" s="3">
        <v>22.42</v>
      </c>
      <c r="G1989" s="3">
        <v>0.0</v>
      </c>
    </row>
    <row r="1990">
      <c r="A1990" s="3">
        <v>169500.0</v>
      </c>
      <c r="B1990" s="3" t="s">
        <v>2015</v>
      </c>
      <c r="C1990" s="3" t="s">
        <v>189</v>
      </c>
      <c r="D1990" s="3">
        <v>351.0</v>
      </c>
      <c r="E1990" s="3">
        <v>28.11</v>
      </c>
      <c r="F1990" s="3">
        <v>22.77</v>
      </c>
      <c r="G1990" s="3">
        <v>0.0</v>
      </c>
    </row>
    <row r="1991">
      <c r="A1991" s="3">
        <v>169501.0</v>
      </c>
      <c r="B1991" s="3" t="s">
        <v>2016</v>
      </c>
      <c r="C1991" s="3" t="s">
        <v>189</v>
      </c>
      <c r="D1991" s="3">
        <v>315.0</v>
      </c>
      <c r="E1991" s="3">
        <v>24.2</v>
      </c>
      <c r="F1991" s="3">
        <v>22.73</v>
      </c>
      <c r="G1991" s="3">
        <v>0.0</v>
      </c>
    </row>
    <row r="1992">
      <c r="A1992" s="3">
        <v>169502.0</v>
      </c>
      <c r="B1992" s="3" t="s">
        <v>2017</v>
      </c>
      <c r="C1992" s="3" t="s">
        <v>189</v>
      </c>
      <c r="D1992" s="3">
        <v>330.0</v>
      </c>
      <c r="E1992" s="3">
        <v>25.63</v>
      </c>
      <c r="F1992" s="3">
        <v>23.1</v>
      </c>
      <c r="G1992" s="3">
        <v>0.0</v>
      </c>
    </row>
    <row r="1993">
      <c r="A1993" s="3">
        <v>169503.0</v>
      </c>
      <c r="B1993" s="3" t="s">
        <v>2018</v>
      </c>
      <c r="C1993" s="3" t="s">
        <v>189</v>
      </c>
      <c r="D1993" s="3">
        <v>355.0</v>
      </c>
      <c r="E1993" s="3">
        <v>31.66</v>
      </c>
      <c r="F1993" s="3">
        <v>16.15</v>
      </c>
      <c r="G1993" s="3">
        <v>0.0</v>
      </c>
    </row>
    <row r="1994">
      <c r="A1994" s="3">
        <v>169504.0</v>
      </c>
      <c r="B1994" s="3" t="s">
        <v>2019</v>
      </c>
      <c r="C1994" s="3" t="s">
        <v>189</v>
      </c>
      <c r="D1994" s="3">
        <v>386.0</v>
      </c>
      <c r="E1994" s="3">
        <v>32.38</v>
      </c>
      <c r="F1994" s="3">
        <v>21.95</v>
      </c>
      <c r="G1994" s="3">
        <v>0.0</v>
      </c>
    </row>
    <row r="1995">
      <c r="A1995" s="3">
        <v>169505.0</v>
      </c>
      <c r="B1995" s="3" t="s">
        <v>2020</v>
      </c>
      <c r="C1995" s="3" t="s">
        <v>189</v>
      </c>
      <c r="D1995" s="3">
        <v>333.0</v>
      </c>
      <c r="E1995" s="3">
        <v>29.34</v>
      </c>
      <c r="F1995" s="3">
        <v>16.03</v>
      </c>
      <c r="G1995" s="3">
        <v>0.0</v>
      </c>
    </row>
    <row r="1996">
      <c r="A1996" s="3">
        <v>169506.0</v>
      </c>
      <c r="B1996" s="3" t="s">
        <v>2021</v>
      </c>
      <c r="C1996" s="3" t="s">
        <v>189</v>
      </c>
      <c r="D1996" s="3">
        <v>370.0</v>
      </c>
      <c r="E1996" s="3">
        <v>31.18</v>
      </c>
      <c r="F1996" s="3">
        <v>20.86</v>
      </c>
      <c r="G1996" s="3">
        <v>0.0</v>
      </c>
    </row>
    <row r="1997">
      <c r="A1997" s="3">
        <v>169507.0</v>
      </c>
      <c r="B1997" s="3" t="s">
        <v>2022</v>
      </c>
      <c r="C1997" s="3" t="s">
        <v>189</v>
      </c>
      <c r="D1997" s="3">
        <v>378.0</v>
      </c>
      <c r="E1997" s="3">
        <v>31.28</v>
      </c>
      <c r="F1997" s="3">
        <v>22.5</v>
      </c>
      <c r="G1997" s="3">
        <v>0.0</v>
      </c>
    </row>
    <row r="1998">
      <c r="A1998" s="3">
        <v>169508.0</v>
      </c>
      <c r="B1998" s="3" t="s">
        <v>2023</v>
      </c>
      <c r="C1998" s="3" t="s">
        <v>189</v>
      </c>
      <c r="D1998" s="3">
        <v>295.0</v>
      </c>
      <c r="E1998" s="3">
        <v>24.85</v>
      </c>
      <c r="F1998" s="3">
        <v>16.52</v>
      </c>
      <c r="G1998" s="3">
        <v>0.0</v>
      </c>
    </row>
    <row r="1999">
      <c r="A1999" s="3">
        <v>169509.0</v>
      </c>
      <c r="B1999" s="3" t="s">
        <v>2024</v>
      </c>
      <c r="C1999" s="3" t="s">
        <v>189</v>
      </c>
      <c r="D1999" s="3">
        <v>254.0</v>
      </c>
      <c r="E1999" s="3">
        <v>19.06</v>
      </c>
      <c r="F1999" s="3">
        <v>19.33</v>
      </c>
      <c r="G1999" s="3">
        <v>0.0</v>
      </c>
    </row>
    <row r="2000">
      <c r="A2000" s="3">
        <v>169510.0</v>
      </c>
      <c r="B2000" s="3" t="s">
        <v>2025</v>
      </c>
      <c r="C2000" s="3" t="s">
        <v>189</v>
      </c>
      <c r="D2000" s="3">
        <v>291.0</v>
      </c>
      <c r="E2000" s="3">
        <v>20.04</v>
      </c>
      <c r="F2000" s="3">
        <v>25.85</v>
      </c>
      <c r="G2000" s="3">
        <v>0.0</v>
      </c>
    </row>
    <row r="2001">
      <c r="A2001" s="3">
        <v>169511.0</v>
      </c>
      <c r="B2001" s="3" t="s">
        <v>2026</v>
      </c>
      <c r="C2001" s="3" t="s">
        <v>189</v>
      </c>
      <c r="D2001" s="3">
        <v>341.0</v>
      </c>
      <c r="E2001" s="3">
        <v>27.14</v>
      </c>
      <c r="F2001" s="3">
        <v>22.54</v>
      </c>
      <c r="G2001" s="3">
        <v>0.0</v>
      </c>
    </row>
    <row r="2002">
      <c r="A2002" s="3">
        <v>169512.0</v>
      </c>
      <c r="B2002" s="3" t="s">
        <v>2027</v>
      </c>
      <c r="C2002" s="3" t="s">
        <v>189</v>
      </c>
      <c r="D2002" s="3">
        <v>263.0</v>
      </c>
      <c r="E2002" s="3">
        <v>20.13</v>
      </c>
      <c r="F2002" s="3">
        <v>19.09</v>
      </c>
      <c r="G2002" s="3">
        <v>0.0</v>
      </c>
    </row>
    <row r="2003">
      <c r="A2003" s="3">
        <v>169513.0</v>
      </c>
      <c r="B2003" s="3" t="s">
        <v>2028</v>
      </c>
      <c r="C2003" s="3" t="s">
        <v>189</v>
      </c>
      <c r="D2003" s="3">
        <v>323.0</v>
      </c>
      <c r="E2003" s="3">
        <v>25.02</v>
      </c>
      <c r="F2003" s="3">
        <v>22.76</v>
      </c>
      <c r="G2003" s="3">
        <v>0.0</v>
      </c>
    </row>
    <row r="2004">
      <c r="A2004" s="3">
        <v>169514.0</v>
      </c>
      <c r="B2004" s="3" t="s">
        <v>2029</v>
      </c>
      <c r="C2004" s="3" t="s">
        <v>189</v>
      </c>
      <c r="D2004" s="3">
        <v>335.0</v>
      </c>
      <c r="E2004" s="3">
        <v>29.18</v>
      </c>
      <c r="F2004" s="3">
        <v>16.74</v>
      </c>
      <c r="G2004" s="3">
        <v>0.06</v>
      </c>
    </row>
    <row r="2005">
      <c r="A2005" s="3">
        <v>169515.0</v>
      </c>
      <c r="B2005" s="3" t="s">
        <v>2030</v>
      </c>
      <c r="C2005" s="3" t="s">
        <v>189</v>
      </c>
      <c r="D2005" s="3">
        <v>354.0</v>
      </c>
      <c r="E2005" s="3">
        <v>27.86</v>
      </c>
      <c r="F2005" s="3">
        <v>24.13</v>
      </c>
      <c r="G2005" s="3">
        <v>0.0</v>
      </c>
    </row>
    <row r="2006">
      <c r="A2006" s="3">
        <v>169516.0</v>
      </c>
      <c r="B2006" s="3" t="s">
        <v>2031</v>
      </c>
      <c r="C2006" s="3" t="s">
        <v>189</v>
      </c>
      <c r="D2006" s="3">
        <v>411.0</v>
      </c>
      <c r="E2006" s="3">
        <v>35.12</v>
      </c>
      <c r="F2006" s="3">
        <v>22.15</v>
      </c>
      <c r="G2006" s="3">
        <v>0.0</v>
      </c>
    </row>
    <row r="2007">
      <c r="A2007" s="3">
        <v>169517.0</v>
      </c>
      <c r="B2007" s="3" t="s">
        <v>2032</v>
      </c>
      <c r="C2007" s="3" t="s">
        <v>189</v>
      </c>
      <c r="D2007" s="3">
        <v>184.0</v>
      </c>
      <c r="E2007" s="3">
        <v>10.68</v>
      </c>
      <c r="F2007" s="3">
        <v>20.56</v>
      </c>
      <c r="G2007" s="3">
        <v>0.0</v>
      </c>
    </row>
    <row r="2008">
      <c r="A2008" s="3">
        <v>169518.0</v>
      </c>
      <c r="B2008" s="3" t="s">
        <v>2033</v>
      </c>
      <c r="C2008" s="3" t="s">
        <v>189</v>
      </c>
      <c r="D2008" s="3">
        <v>218.0</v>
      </c>
      <c r="E2008" s="3">
        <v>11.08</v>
      </c>
      <c r="F2008" s="3">
        <v>27.58</v>
      </c>
      <c r="G2008" s="3">
        <v>0.0</v>
      </c>
    </row>
    <row r="2009">
      <c r="A2009" s="3">
        <v>169519.0</v>
      </c>
      <c r="B2009" s="3" t="s">
        <v>2034</v>
      </c>
      <c r="C2009" s="3" t="s">
        <v>189</v>
      </c>
      <c r="D2009" s="3">
        <v>192.0</v>
      </c>
      <c r="E2009" s="3">
        <v>11.54</v>
      </c>
      <c r="F2009" s="3">
        <v>20.7</v>
      </c>
      <c r="G2009" s="3">
        <v>0.0</v>
      </c>
    </row>
    <row r="2010">
      <c r="A2010" s="3">
        <v>169520.0</v>
      </c>
      <c r="B2010" s="3" t="s">
        <v>2035</v>
      </c>
      <c r="C2010" s="3" t="s">
        <v>189</v>
      </c>
      <c r="D2010" s="3">
        <v>247.0</v>
      </c>
      <c r="E2010" s="3">
        <v>11.87</v>
      </c>
      <c r="F2010" s="3">
        <v>32.76</v>
      </c>
      <c r="G2010" s="3">
        <v>0.0</v>
      </c>
    </row>
    <row r="2011">
      <c r="A2011" s="3">
        <v>169521.0</v>
      </c>
      <c r="B2011" s="3" t="s">
        <v>2036</v>
      </c>
      <c r="C2011" s="3" t="s">
        <v>189</v>
      </c>
      <c r="D2011" s="3">
        <v>240.0</v>
      </c>
      <c r="E2011" s="3">
        <v>11.19</v>
      </c>
      <c r="F2011" s="3">
        <v>32.67</v>
      </c>
      <c r="G2011" s="3">
        <v>0.0</v>
      </c>
    </row>
    <row r="2012">
      <c r="A2012" s="3">
        <v>169522.0</v>
      </c>
      <c r="B2012" s="3" t="s">
        <v>2037</v>
      </c>
      <c r="C2012" s="3" t="s">
        <v>189</v>
      </c>
      <c r="D2012" s="3">
        <v>212.0</v>
      </c>
      <c r="E2012" s="3">
        <v>10.85</v>
      </c>
      <c r="F2012" s="3">
        <v>26.77</v>
      </c>
      <c r="G2012" s="3">
        <v>0.0</v>
      </c>
    </row>
    <row r="2013">
      <c r="A2013" s="3">
        <v>169523.0</v>
      </c>
      <c r="B2013" s="3" t="s">
        <v>2038</v>
      </c>
      <c r="C2013" s="3" t="s">
        <v>189</v>
      </c>
      <c r="D2013" s="3">
        <v>166.0</v>
      </c>
      <c r="E2013" s="3">
        <v>8.24</v>
      </c>
      <c r="F2013" s="3">
        <v>21.49</v>
      </c>
      <c r="G2013" s="3">
        <v>0.0</v>
      </c>
    </row>
    <row r="2014">
      <c r="A2014" s="3">
        <v>169524.0</v>
      </c>
      <c r="B2014" s="3" t="s">
        <v>2039</v>
      </c>
      <c r="C2014" s="3" t="s">
        <v>189</v>
      </c>
      <c r="D2014" s="3">
        <v>208.0</v>
      </c>
      <c r="E2014" s="3">
        <v>9.65</v>
      </c>
      <c r="F2014" s="3">
        <v>28.31</v>
      </c>
      <c r="G2014" s="3">
        <v>0.0</v>
      </c>
    </row>
    <row r="2015">
      <c r="A2015" s="3">
        <v>169525.0</v>
      </c>
      <c r="B2015" s="3" t="s">
        <v>2040</v>
      </c>
      <c r="C2015" s="3" t="s">
        <v>189</v>
      </c>
      <c r="D2015" s="3">
        <v>189.0</v>
      </c>
      <c r="E2015" s="3">
        <v>11.67</v>
      </c>
      <c r="F2015" s="3">
        <v>19.6</v>
      </c>
      <c r="G2015" s="3">
        <v>0.0</v>
      </c>
    </row>
    <row r="2016">
      <c r="A2016" s="3">
        <v>169526.0</v>
      </c>
      <c r="B2016" s="3" t="s">
        <v>2041</v>
      </c>
      <c r="C2016" s="3" t="s">
        <v>189</v>
      </c>
      <c r="D2016" s="3">
        <v>219.0</v>
      </c>
      <c r="E2016" s="3">
        <v>11.34</v>
      </c>
      <c r="F2016" s="3">
        <v>27.45</v>
      </c>
      <c r="G2016" s="3">
        <v>0.0</v>
      </c>
    </row>
    <row r="2017">
      <c r="A2017" s="3">
        <v>169527.0</v>
      </c>
      <c r="B2017" s="3" t="s">
        <v>2042</v>
      </c>
      <c r="C2017" s="3" t="s">
        <v>189</v>
      </c>
      <c r="D2017" s="3">
        <v>199.0</v>
      </c>
      <c r="E2017" s="3">
        <v>12.83</v>
      </c>
      <c r="F2017" s="3">
        <v>19.48</v>
      </c>
      <c r="G2017" s="3">
        <v>0.0</v>
      </c>
    </row>
    <row r="2018">
      <c r="A2018" s="3">
        <v>169528.0</v>
      </c>
      <c r="B2018" s="3" t="s">
        <v>2043</v>
      </c>
      <c r="C2018" s="3" t="s">
        <v>189</v>
      </c>
      <c r="D2018" s="3">
        <v>228.0</v>
      </c>
      <c r="E2018" s="3">
        <v>12.34</v>
      </c>
      <c r="F2018" s="3">
        <v>27.27</v>
      </c>
      <c r="G2018" s="3">
        <v>0.0</v>
      </c>
    </row>
    <row r="2019">
      <c r="A2019" s="3">
        <v>169529.0</v>
      </c>
      <c r="B2019" s="3" t="s">
        <v>2044</v>
      </c>
      <c r="C2019" s="3" t="s">
        <v>189</v>
      </c>
      <c r="D2019" s="3">
        <v>166.0</v>
      </c>
      <c r="E2019" s="3">
        <v>7.93</v>
      </c>
      <c r="F2019" s="3">
        <v>22.06</v>
      </c>
      <c r="G2019" s="3">
        <v>0.0</v>
      </c>
    </row>
    <row r="2020">
      <c r="A2020" s="3">
        <v>169530.0</v>
      </c>
      <c r="B2020" s="3" t="s">
        <v>2045</v>
      </c>
      <c r="C2020" s="3" t="s">
        <v>189</v>
      </c>
      <c r="D2020" s="3">
        <v>238.0</v>
      </c>
      <c r="E2020" s="3">
        <v>10.13</v>
      </c>
      <c r="F2020" s="3">
        <v>34.34</v>
      </c>
      <c r="G2020" s="3">
        <v>0.0</v>
      </c>
    </row>
    <row r="2021">
      <c r="A2021" s="3">
        <v>169531.0</v>
      </c>
      <c r="B2021" s="3" t="s">
        <v>2046</v>
      </c>
      <c r="C2021" s="3" t="s">
        <v>189</v>
      </c>
      <c r="D2021" s="3">
        <v>204.0</v>
      </c>
      <c r="E2021" s="3">
        <v>9.0</v>
      </c>
      <c r="F2021" s="3">
        <v>30.67</v>
      </c>
      <c r="G2021" s="3">
        <v>0.0</v>
      </c>
    </row>
    <row r="2022">
      <c r="A2022" s="3">
        <v>169532.0</v>
      </c>
      <c r="B2022" s="3" t="s">
        <v>2047</v>
      </c>
      <c r="C2022" s="3" t="s">
        <v>189</v>
      </c>
      <c r="D2022" s="3">
        <v>168.0</v>
      </c>
      <c r="E2022" s="3">
        <v>8.19</v>
      </c>
      <c r="F2022" s="3">
        <v>21.94</v>
      </c>
      <c r="G2022" s="3">
        <v>0.0</v>
      </c>
    </row>
    <row r="2023">
      <c r="A2023" s="3">
        <v>169533.0</v>
      </c>
      <c r="B2023" s="3" t="s">
        <v>2048</v>
      </c>
      <c r="C2023" s="3" t="s">
        <v>189</v>
      </c>
      <c r="D2023" s="3">
        <v>201.0</v>
      </c>
      <c r="E2023" s="3">
        <v>7.73</v>
      </c>
      <c r="F2023" s="3">
        <v>30.63</v>
      </c>
      <c r="G2023" s="3">
        <v>0.0</v>
      </c>
    </row>
    <row r="2024">
      <c r="A2024" s="3">
        <v>169534.0</v>
      </c>
      <c r="B2024" s="3" t="s">
        <v>2049</v>
      </c>
      <c r="C2024" s="3" t="s">
        <v>189</v>
      </c>
      <c r="D2024" s="3">
        <v>173.0</v>
      </c>
      <c r="E2024" s="3">
        <v>8.67</v>
      </c>
      <c r="F2024" s="3">
        <v>22.24</v>
      </c>
      <c r="G2024" s="3">
        <v>0.0</v>
      </c>
    </row>
    <row r="2025">
      <c r="A2025" s="3">
        <v>169535.0</v>
      </c>
      <c r="B2025" s="3" t="s">
        <v>2050</v>
      </c>
      <c r="C2025" s="3" t="s">
        <v>189</v>
      </c>
      <c r="D2025" s="3">
        <v>225.0</v>
      </c>
      <c r="E2025" s="3">
        <v>10.1</v>
      </c>
      <c r="F2025" s="3">
        <v>31.27</v>
      </c>
      <c r="G2025" s="3">
        <v>0.0</v>
      </c>
    </row>
    <row r="2026">
      <c r="A2026" s="3">
        <v>169536.0</v>
      </c>
      <c r="B2026" s="3" t="s">
        <v>2051</v>
      </c>
      <c r="C2026" s="3" t="s">
        <v>189</v>
      </c>
      <c r="D2026" s="3">
        <v>137.0</v>
      </c>
      <c r="E2026" s="3">
        <v>6.21</v>
      </c>
      <c r="F2026" s="3">
        <v>20.28</v>
      </c>
      <c r="G2026" s="3">
        <v>0.0</v>
      </c>
    </row>
    <row r="2027">
      <c r="A2027" s="3">
        <v>169537.0</v>
      </c>
      <c r="B2027" s="3" t="s">
        <v>2052</v>
      </c>
      <c r="C2027" s="3" t="s">
        <v>189</v>
      </c>
      <c r="D2027" s="3">
        <v>294.0</v>
      </c>
      <c r="E2027" s="3">
        <v>21.13</v>
      </c>
      <c r="F2027" s="3">
        <v>24.21</v>
      </c>
      <c r="G2027" s="3">
        <v>0.0</v>
      </c>
    </row>
    <row r="2028">
      <c r="A2028" s="3">
        <v>169538.0</v>
      </c>
      <c r="B2028" s="3" t="s">
        <v>2053</v>
      </c>
      <c r="C2028" s="3" t="s">
        <v>189</v>
      </c>
      <c r="D2028" s="3">
        <v>228.0</v>
      </c>
      <c r="E2028" s="3">
        <v>15.49</v>
      </c>
      <c r="F2028" s="3">
        <v>20.61</v>
      </c>
      <c r="G2028" s="3">
        <v>0.0</v>
      </c>
    </row>
    <row r="2029">
      <c r="A2029" s="3">
        <v>169539.0</v>
      </c>
      <c r="B2029" s="3" t="s">
        <v>2054</v>
      </c>
      <c r="C2029" s="3" t="s">
        <v>189</v>
      </c>
      <c r="D2029" s="3">
        <v>264.0</v>
      </c>
      <c r="E2029" s="3">
        <v>16.78</v>
      </c>
      <c r="F2029" s="3">
        <v>26.44</v>
      </c>
      <c r="G2029" s="3">
        <v>0.0</v>
      </c>
    </row>
    <row r="2030">
      <c r="A2030" s="3">
        <v>169540.0</v>
      </c>
      <c r="B2030" s="3" t="s">
        <v>2055</v>
      </c>
      <c r="C2030" s="3" t="s">
        <v>189</v>
      </c>
      <c r="D2030" s="3">
        <v>237.0</v>
      </c>
      <c r="E2030" s="3">
        <v>17.1</v>
      </c>
      <c r="F2030" s="3">
        <v>19.32</v>
      </c>
      <c r="G2030" s="3">
        <v>0.0</v>
      </c>
    </row>
    <row r="2031">
      <c r="A2031" s="3">
        <v>169541.0</v>
      </c>
      <c r="B2031" s="3" t="s">
        <v>2056</v>
      </c>
      <c r="C2031" s="3" t="s">
        <v>189</v>
      </c>
      <c r="D2031" s="3">
        <v>310.0</v>
      </c>
      <c r="E2031" s="3">
        <v>22.12</v>
      </c>
      <c r="F2031" s="3">
        <v>25.92</v>
      </c>
      <c r="G2031" s="3">
        <v>0.0</v>
      </c>
    </row>
    <row r="2032">
      <c r="A2032" s="3">
        <v>169542.0</v>
      </c>
      <c r="B2032" s="3" t="s">
        <v>2057</v>
      </c>
      <c r="C2032" s="3" t="s">
        <v>189</v>
      </c>
      <c r="D2032" s="3">
        <v>247.0</v>
      </c>
      <c r="E2032" s="3">
        <v>18.16</v>
      </c>
      <c r="F2032" s="3">
        <v>19.61</v>
      </c>
      <c r="G2032" s="3">
        <v>0.0</v>
      </c>
    </row>
    <row r="2033">
      <c r="A2033" s="3">
        <v>169543.0</v>
      </c>
      <c r="B2033" s="3" t="s">
        <v>2058</v>
      </c>
      <c r="C2033" s="3" t="s">
        <v>189</v>
      </c>
      <c r="D2033" s="3">
        <v>267.0</v>
      </c>
      <c r="E2033" s="3">
        <v>17.12</v>
      </c>
      <c r="F2033" s="3">
        <v>26.46</v>
      </c>
      <c r="G2033" s="3">
        <v>0.0</v>
      </c>
    </row>
    <row r="2034">
      <c r="A2034" s="3">
        <v>169544.0</v>
      </c>
      <c r="B2034" s="3" t="s">
        <v>2059</v>
      </c>
      <c r="C2034" s="3" t="s">
        <v>189</v>
      </c>
      <c r="D2034" s="3">
        <v>324.0</v>
      </c>
      <c r="E2034" s="3">
        <v>24.6</v>
      </c>
      <c r="F2034" s="3">
        <v>23.9</v>
      </c>
      <c r="G2034" s="3">
        <v>0.0</v>
      </c>
    </row>
    <row r="2035">
      <c r="A2035" s="3">
        <v>169545.0</v>
      </c>
      <c r="B2035" s="3" t="s">
        <v>2060</v>
      </c>
      <c r="C2035" s="3" t="s">
        <v>189</v>
      </c>
      <c r="D2035" s="3">
        <v>246.0</v>
      </c>
      <c r="E2035" s="3">
        <v>17.88</v>
      </c>
      <c r="F2035" s="3">
        <v>19.82</v>
      </c>
      <c r="G2035" s="3">
        <v>0.0</v>
      </c>
    </row>
    <row r="2036">
      <c r="A2036" s="3">
        <v>169546.0</v>
      </c>
      <c r="B2036" s="3" t="s">
        <v>2061</v>
      </c>
      <c r="C2036" s="3" t="s">
        <v>189</v>
      </c>
      <c r="D2036" s="3">
        <v>316.0</v>
      </c>
      <c r="E2036" s="3">
        <v>23.7</v>
      </c>
      <c r="F2036" s="3">
        <v>23.9</v>
      </c>
      <c r="G2036" s="3">
        <v>0.0</v>
      </c>
    </row>
    <row r="2037">
      <c r="A2037" s="3">
        <v>169547.0</v>
      </c>
      <c r="B2037" s="3" t="s">
        <v>2062</v>
      </c>
      <c r="C2037" s="3" t="s">
        <v>189</v>
      </c>
      <c r="D2037" s="3">
        <v>274.0</v>
      </c>
      <c r="E2037" s="3">
        <v>21.83</v>
      </c>
      <c r="F2037" s="3">
        <v>18.15</v>
      </c>
      <c r="G2037" s="3">
        <v>0.0</v>
      </c>
    </row>
    <row r="2038">
      <c r="A2038" s="3">
        <v>169548.0</v>
      </c>
      <c r="B2038" s="3" t="s">
        <v>2063</v>
      </c>
      <c r="C2038" s="3" t="s">
        <v>189</v>
      </c>
      <c r="D2038" s="3">
        <v>308.0</v>
      </c>
      <c r="E2038" s="3">
        <v>22.21</v>
      </c>
      <c r="F2038" s="3">
        <v>25.26</v>
      </c>
      <c r="G2038" s="3">
        <v>0.0</v>
      </c>
    </row>
    <row r="2039">
      <c r="A2039" s="3">
        <v>169549.0</v>
      </c>
      <c r="B2039" s="3" t="s">
        <v>2064</v>
      </c>
      <c r="C2039" s="3" t="s">
        <v>189</v>
      </c>
      <c r="D2039" s="3">
        <v>343.0</v>
      </c>
      <c r="E2039" s="3">
        <v>26.67</v>
      </c>
      <c r="F2039" s="3">
        <v>24.04</v>
      </c>
      <c r="G2039" s="3">
        <v>0.0</v>
      </c>
    </row>
    <row r="2040">
      <c r="A2040" s="3">
        <v>169550.0</v>
      </c>
      <c r="B2040" s="3" t="s">
        <v>2065</v>
      </c>
      <c r="C2040" s="3" t="s">
        <v>189</v>
      </c>
      <c r="D2040" s="3">
        <v>313.0</v>
      </c>
      <c r="E2040" s="3">
        <v>21.06</v>
      </c>
      <c r="F2040" s="3">
        <v>28.77</v>
      </c>
      <c r="G2040" s="3">
        <v>0.0</v>
      </c>
    </row>
    <row r="2041">
      <c r="A2041" s="3">
        <v>169551.0</v>
      </c>
      <c r="B2041" s="3" t="s">
        <v>2066</v>
      </c>
      <c r="C2041" s="3" t="s">
        <v>189</v>
      </c>
      <c r="D2041" s="3">
        <v>189.0</v>
      </c>
      <c r="E2041" s="3">
        <v>11.13</v>
      </c>
      <c r="F2041" s="3">
        <v>20.68</v>
      </c>
      <c r="G2041" s="3">
        <v>0.0</v>
      </c>
    </row>
    <row r="2042">
      <c r="A2042" s="3">
        <v>169552.0</v>
      </c>
      <c r="B2042" s="3" t="s">
        <v>2067</v>
      </c>
      <c r="C2042" s="3" t="s">
        <v>189</v>
      </c>
      <c r="D2042" s="3">
        <v>230.0</v>
      </c>
      <c r="E2042" s="3">
        <v>12.71</v>
      </c>
      <c r="F2042" s="3">
        <v>27.12</v>
      </c>
      <c r="G2042" s="3">
        <v>0.0</v>
      </c>
    </row>
    <row r="2043">
      <c r="A2043" s="3">
        <v>169553.0</v>
      </c>
      <c r="B2043" s="3" t="s">
        <v>2068</v>
      </c>
      <c r="C2043" s="3" t="s">
        <v>189</v>
      </c>
      <c r="D2043" s="3">
        <v>171.0</v>
      </c>
      <c r="E2043" s="3">
        <v>6.69</v>
      </c>
      <c r="F2043" s="3">
        <v>25.95</v>
      </c>
      <c r="G2043" s="3">
        <v>0.0</v>
      </c>
    </row>
    <row r="2044">
      <c r="A2044" s="3">
        <v>169554.0</v>
      </c>
      <c r="B2044" s="3" t="s">
        <v>2069</v>
      </c>
      <c r="C2044" s="3" t="s">
        <v>189</v>
      </c>
      <c r="D2044" s="3">
        <v>183.0</v>
      </c>
      <c r="E2044" s="3">
        <v>7.15</v>
      </c>
      <c r="F2044" s="3">
        <v>27.78</v>
      </c>
      <c r="G2044" s="3">
        <v>0.0</v>
      </c>
    </row>
    <row r="2045">
      <c r="A2045" s="3">
        <v>169555.0</v>
      </c>
      <c r="B2045" s="3" t="s">
        <v>2070</v>
      </c>
      <c r="C2045" s="3" t="s">
        <v>189</v>
      </c>
      <c r="D2045" s="3">
        <v>205.0</v>
      </c>
      <c r="E2045" s="3">
        <v>6.77</v>
      </c>
      <c r="F2045" s="3">
        <v>33.59</v>
      </c>
      <c r="G2045" s="3">
        <v>0.0</v>
      </c>
    </row>
    <row r="2046">
      <c r="A2046" s="3">
        <v>169556.0</v>
      </c>
      <c r="B2046" s="3" t="s">
        <v>2071</v>
      </c>
      <c r="C2046" s="3" t="s">
        <v>189</v>
      </c>
      <c r="D2046" s="3">
        <v>234.0</v>
      </c>
      <c r="E2046" s="3">
        <v>12.71</v>
      </c>
      <c r="F2046" s="3">
        <v>27.95</v>
      </c>
      <c r="G2046" s="3">
        <v>0.0</v>
      </c>
    </row>
    <row r="2047">
      <c r="A2047" s="3">
        <v>169557.0</v>
      </c>
      <c r="B2047" s="3" t="s">
        <v>2072</v>
      </c>
      <c r="C2047" s="3" t="s">
        <v>189</v>
      </c>
      <c r="D2047" s="3">
        <v>249.0</v>
      </c>
      <c r="E2047" s="3">
        <v>14.74</v>
      </c>
      <c r="F2047" s="3">
        <v>27.27</v>
      </c>
      <c r="G2047" s="3">
        <v>0.0</v>
      </c>
    </row>
    <row r="2048">
      <c r="A2048" s="3">
        <v>169558.0</v>
      </c>
      <c r="B2048" s="3" t="s">
        <v>2073</v>
      </c>
      <c r="C2048" s="3" t="s">
        <v>189</v>
      </c>
      <c r="D2048" s="3">
        <v>211.0</v>
      </c>
      <c r="E2048" s="3">
        <v>11.07</v>
      </c>
      <c r="F2048" s="3">
        <v>26.05</v>
      </c>
      <c r="G2048" s="3">
        <v>0.0</v>
      </c>
    </row>
    <row r="2049">
      <c r="A2049" s="3">
        <v>169559.0</v>
      </c>
      <c r="B2049" s="3" t="s">
        <v>2074</v>
      </c>
      <c r="C2049" s="3" t="s">
        <v>189</v>
      </c>
      <c r="D2049" s="3">
        <v>157.0</v>
      </c>
      <c r="E2049" s="3">
        <v>7.68</v>
      </c>
      <c r="F2049" s="3">
        <v>20.64</v>
      </c>
      <c r="G2049" s="3">
        <v>0.0</v>
      </c>
    </row>
    <row r="2050">
      <c r="A2050" s="3">
        <v>169560.0</v>
      </c>
      <c r="B2050" s="3" t="s">
        <v>2075</v>
      </c>
      <c r="C2050" s="3" t="s">
        <v>189</v>
      </c>
      <c r="D2050" s="3">
        <v>167.0</v>
      </c>
      <c r="E2050" s="3">
        <v>4.28</v>
      </c>
      <c r="F2050" s="3">
        <v>29.96</v>
      </c>
      <c r="G2050" s="3">
        <v>0.0</v>
      </c>
    </row>
    <row r="2051">
      <c r="A2051" s="3">
        <v>169561.0</v>
      </c>
      <c r="B2051" s="3" t="s">
        <v>2076</v>
      </c>
      <c r="C2051" s="3" t="s">
        <v>189</v>
      </c>
      <c r="D2051" s="3">
        <v>161.0</v>
      </c>
      <c r="E2051" s="3">
        <v>5.69</v>
      </c>
      <c r="F2051" s="3">
        <v>25.74</v>
      </c>
      <c r="G2051" s="3">
        <v>0.0</v>
      </c>
    </row>
    <row r="2052">
      <c r="A2052" s="3">
        <v>169562.0</v>
      </c>
      <c r="B2052" s="3" t="s">
        <v>2077</v>
      </c>
      <c r="C2052" s="3" t="s">
        <v>189</v>
      </c>
      <c r="D2052" s="3">
        <v>157.0</v>
      </c>
      <c r="E2052" s="3">
        <v>5.02</v>
      </c>
      <c r="F2052" s="3">
        <v>26.13</v>
      </c>
      <c r="G2052" s="3">
        <v>0.0</v>
      </c>
    </row>
    <row r="2053">
      <c r="A2053" s="3">
        <v>169563.0</v>
      </c>
      <c r="B2053" s="3" t="s">
        <v>2078</v>
      </c>
      <c r="C2053" s="3" t="s">
        <v>189</v>
      </c>
      <c r="D2053" s="3">
        <v>155.0</v>
      </c>
      <c r="E2053" s="3">
        <v>7.17</v>
      </c>
      <c r="F2053" s="3">
        <v>21.22</v>
      </c>
      <c r="G2053" s="3">
        <v>0.0</v>
      </c>
    </row>
    <row r="2054">
      <c r="A2054" s="3">
        <v>169564.0</v>
      </c>
      <c r="B2054" s="3" t="s">
        <v>2079</v>
      </c>
      <c r="C2054" s="3" t="s">
        <v>189</v>
      </c>
      <c r="D2054" s="3">
        <v>145.0</v>
      </c>
      <c r="E2054" s="3">
        <v>6.06</v>
      </c>
      <c r="F2054" s="3">
        <v>21.22</v>
      </c>
      <c r="G2054" s="3">
        <v>0.0</v>
      </c>
    </row>
    <row r="2055">
      <c r="A2055" s="3">
        <v>169565.0</v>
      </c>
      <c r="B2055" s="3" t="s">
        <v>2080</v>
      </c>
      <c r="C2055" s="3" t="s">
        <v>189</v>
      </c>
      <c r="D2055" s="3">
        <v>137.0</v>
      </c>
      <c r="E2055" s="3">
        <v>6.01</v>
      </c>
      <c r="F2055" s="3">
        <v>20.61</v>
      </c>
      <c r="G2055" s="3">
        <v>0.0</v>
      </c>
    </row>
    <row r="2056">
      <c r="A2056" s="3">
        <v>169566.0</v>
      </c>
      <c r="B2056" s="3" t="s">
        <v>2081</v>
      </c>
      <c r="C2056" s="3" t="s">
        <v>189</v>
      </c>
      <c r="D2056" s="3">
        <v>139.0</v>
      </c>
      <c r="E2056" s="3">
        <v>6.21</v>
      </c>
      <c r="F2056" s="3">
        <v>20.67</v>
      </c>
      <c r="G2056" s="3">
        <v>0.0</v>
      </c>
    </row>
    <row r="2057">
      <c r="A2057" s="3">
        <v>169567.0</v>
      </c>
      <c r="B2057" s="3" t="s">
        <v>2082</v>
      </c>
      <c r="C2057" s="3" t="s">
        <v>189</v>
      </c>
      <c r="D2057" s="3">
        <v>250.0</v>
      </c>
      <c r="E2057" s="3">
        <v>14.95</v>
      </c>
      <c r="F2057" s="3">
        <v>28.84</v>
      </c>
      <c r="G2057" s="3">
        <v>0.0</v>
      </c>
    </row>
    <row r="2058">
      <c r="A2058" s="3">
        <v>169568.0</v>
      </c>
      <c r="B2058" s="3" t="s">
        <v>2083</v>
      </c>
      <c r="C2058" s="3" t="s">
        <v>189</v>
      </c>
      <c r="D2058" s="3">
        <v>224.0</v>
      </c>
      <c r="E2058" s="3">
        <v>12.08</v>
      </c>
      <c r="F2058" s="3">
        <v>28.79</v>
      </c>
      <c r="G2058" s="3">
        <v>0.0</v>
      </c>
    </row>
    <row r="2059">
      <c r="A2059" s="3">
        <v>169569.0</v>
      </c>
      <c r="B2059" s="3" t="s">
        <v>2084</v>
      </c>
      <c r="C2059" s="3" t="s">
        <v>189</v>
      </c>
      <c r="D2059" s="3">
        <v>240.0</v>
      </c>
      <c r="E2059" s="3">
        <v>13.8</v>
      </c>
      <c r="F2059" s="3">
        <v>28.82</v>
      </c>
      <c r="G2059" s="3">
        <v>0.0</v>
      </c>
    </row>
    <row r="2060">
      <c r="A2060" s="3">
        <v>169570.0</v>
      </c>
      <c r="B2060" s="3" t="s">
        <v>2085</v>
      </c>
      <c r="C2060" s="3" t="s">
        <v>189</v>
      </c>
      <c r="D2060" s="3">
        <v>158.0</v>
      </c>
      <c r="E2060" s="3">
        <v>8.45</v>
      </c>
      <c r="F2060" s="3">
        <v>20.57</v>
      </c>
      <c r="G2060" s="3">
        <v>0.0</v>
      </c>
    </row>
    <row r="2061">
      <c r="A2061" s="3">
        <v>169571.0</v>
      </c>
      <c r="B2061" s="3" t="s">
        <v>2086</v>
      </c>
      <c r="C2061" s="3" t="s">
        <v>189</v>
      </c>
      <c r="D2061" s="3">
        <v>182.0</v>
      </c>
      <c r="E2061" s="3">
        <v>8.34</v>
      </c>
      <c r="F2061" s="3">
        <v>26.75</v>
      </c>
      <c r="G2061" s="3">
        <v>0.0</v>
      </c>
    </row>
    <row r="2062">
      <c r="A2062" s="3">
        <v>169572.0</v>
      </c>
      <c r="B2062" s="3" t="s">
        <v>2087</v>
      </c>
      <c r="C2062" s="3" t="s">
        <v>183</v>
      </c>
      <c r="D2062" s="3">
        <v>29.0</v>
      </c>
      <c r="E2062" s="3">
        <v>0.0</v>
      </c>
      <c r="F2062" s="3">
        <v>0.25</v>
      </c>
      <c r="G2062" s="3">
        <v>1.3</v>
      </c>
    </row>
    <row r="2063">
      <c r="A2063" s="3">
        <v>169573.0</v>
      </c>
      <c r="B2063" s="3" t="s">
        <v>2088</v>
      </c>
      <c r="C2063" s="3" t="s">
        <v>183</v>
      </c>
      <c r="D2063" s="3">
        <v>125.0</v>
      </c>
      <c r="E2063" s="3">
        <v>0.0</v>
      </c>
      <c r="F2063" s="3">
        <v>0.0</v>
      </c>
      <c r="G2063" s="3">
        <v>15.7</v>
      </c>
    </row>
    <row r="2064">
      <c r="A2064" s="3">
        <v>169574.0</v>
      </c>
      <c r="B2064" s="3" t="s">
        <v>2089</v>
      </c>
      <c r="C2064" s="3" t="s">
        <v>183</v>
      </c>
      <c r="D2064" s="3">
        <v>186.0</v>
      </c>
      <c r="E2064" s="3">
        <v>0.06</v>
      </c>
      <c r="F2064" s="3">
        <v>0.06</v>
      </c>
      <c r="G2064" s="3">
        <v>6.94</v>
      </c>
    </row>
    <row r="2065">
      <c r="A2065" s="3">
        <v>169575.0</v>
      </c>
      <c r="B2065" s="3" t="s">
        <v>2090</v>
      </c>
      <c r="C2065" s="3" t="s">
        <v>183</v>
      </c>
      <c r="D2065" s="3">
        <v>27.0</v>
      </c>
      <c r="E2065" s="3">
        <v>0.0</v>
      </c>
      <c r="F2065" s="3">
        <v>0.17</v>
      </c>
      <c r="G2065" s="3">
        <v>0.73</v>
      </c>
    </row>
    <row r="2066">
      <c r="A2066" s="3">
        <v>169576.0</v>
      </c>
      <c r="B2066" s="3" t="s">
        <v>2091</v>
      </c>
      <c r="C2066" s="3" t="s">
        <v>38</v>
      </c>
      <c r="D2066" s="3">
        <v>390.0</v>
      </c>
      <c r="E2066" s="3">
        <v>14.8</v>
      </c>
      <c r="F2066" s="3">
        <v>4.1</v>
      </c>
      <c r="G2066" s="3">
        <v>68.4</v>
      </c>
    </row>
    <row r="2067">
      <c r="A2067" s="3">
        <v>169577.0</v>
      </c>
      <c r="B2067" s="3" t="s">
        <v>2092</v>
      </c>
      <c r="C2067" s="3" t="s">
        <v>38</v>
      </c>
      <c r="D2067" s="3">
        <v>165.0</v>
      </c>
      <c r="E2067" s="3">
        <v>0.0</v>
      </c>
      <c r="F2067" s="3">
        <v>0.0</v>
      </c>
      <c r="G2067" s="3">
        <v>44.55</v>
      </c>
    </row>
    <row r="2068">
      <c r="A2068" s="3">
        <v>169578.0</v>
      </c>
      <c r="B2068" s="3" t="s">
        <v>2093</v>
      </c>
      <c r="C2068" s="3" t="s">
        <v>38</v>
      </c>
      <c r="D2068" s="3">
        <v>234.0</v>
      </c>
      <c r="E2068" s="3">
        <v>0.0</v>
      </c>
      <c r="F2068" s="3">
        <v>0.0</v>
      </c>
      <c r="G2068" s="3">
        <v>61.47</v>
      </c>
    </row>
    <row r="2069">
      <c r="A2069" s="3">
        <v>169579.0</v>
      </c>
      <c r="B2069" s="3" t="s">
        <v>2094</v>
      </c>
      <c r="C2069" s="3" t="s">
        <v>38</v>
      </c>
      <c r="D2069" s="3">
        <v>577.0</v>
      </c>
      <c r="E2069" s="3">
        <v>38.46</v>
      </c>
      <c r="F2069" s="3">
        <v>12.82</v>
      </c>
      <c r="G2069" s="3">
        <v>44.89</v>
      </c>
    </row>
    <row r="2070">
      <c r="A2070" s="3">
        <v>169580.0</v>
      </c>
      <c r="B2070" s="3" t="s">
        <v>2095</v>
      </c>
      <c r="C2070" s="3" t="s">
        <v>38</v>
      </c>
      <c r="D2070" s="3">
        <v>510.0</v>
      </c>
      <c r="E2070" s="3">
        <v>33.76</v>
      </c>
      <c r="F2070" s="3">
        <v>6.21</v>
      </c>
      <c r="G2070" s="3">
        <v>44.88</v>
      </c>
    </row>
    <row r="2071">
      <c r="A2071" s="3">
        <v>169581.0</v>
      </c>
      <c r="B2071" s="3" t="s">
        <v>2096</v>
      </c>
      <c r="C2071" s="3" t="s">
        <v>38</v>
      </c>
      <c r="D2071" s="3">
        <v>517.0</v>
      </c>
      <c r="E2071" s="3">
        <v>26.15</v>
      </c>
      <c r="F2071" s="3">
        <v>4.44</v>
      </c>
      <c r="G2071" s="3">
        <v>65.96</v>
      </c>
    </row>
    <row r="2072">
      <c r="A2072" s="3">
        <v>169582.0</v>
      </c>
      <c r="B2072" s="3" t="s">
        <v>2097</v>
      </c>
      <c r="C2072" s="3" t="s">
        <v>38</v>
      </c>
      <c r="D2072" s="3">
        <v>515.0</v>
      </c>
      <c r="E2072" s="3">
        <v>26.13</v>
      </c>
      <c r="F2072" s="3">
        <v>9.57</v>
      </c>
      <c r="G2072" s="3">
        <v>60.48</v>
      </c>
    </row>
    <row r="2073">
      <c r="A2073" s="3">
        <v>169583.0</v>
      </c>
      <c r="B2073" s="3" t="s">
        <v>2098</v>
      </c>
      <c r="C2073" s="3" t="s">
        <v>38</v>
      </c>
      <c r="D2073" s="3">
        <v>492.0</v>
      </c>
      <c r="E2073" s="3">
        <v>21.13</v>
      </c>
      <c r="F2073" s="3">
        <v>4.33</v>
      </c>
      <c r="G2073" s="3">
        <v>71.19</v>
      </c>
    </row>
    <row r="2074">
      <c r="A2074" s="3">
        <v>169584.0</v>
      </c>
      <c r="B2074" s="3" t="s">
        <v>2099</v>
      </c>
      <c r="C2074" s="3" t="s">
        <v>38</v>
      </c>
      <c r="D2074" s="3">
        <v>502.0</v>
      </c>
      <c r="E2074" s="3">
        <v>23.36</v>
      </c>
      <c r="F2074" s="3">
        <v>4.78</v>
      </c>
      <c r="G2074" s="3">
        <v>68.4</v>
      </c>
    </row>
    <row r="2075">
      <c r="A2075" s="3">
        <v>169585.0</v>
      </c>
      <c r="B2075" s="3" t="s">
        <v>2100</v>
      </c>
      <c r="C2075" s="3" t="s">
        <v>38</v>
      </c>
      <c r="D2075" s="3">
        <v>522.0</v>
      </c>
      <c r="E2075" s="3">
        <v>33.7</v>
      </c>
      <c r="F2075" s="3">
        <v>15.5</v>
      </c>
      <c r="G2075" s="3">
        <v>47.4</v>
      </c>
    </row>
    <row r="2076">
      <c r="A2076" s="3">
        <v>169586.0</v>
      </c>
      <c r="B2076" s="3" t="s">
        <v>2101</v>
      </c>
      <c r="C2076" s="3" t="s">
        <v>38</v>
      </c>
      <c r="D2076" s="3">
        <v>486.0</v>
      </c>
      <c r="E2076" s="3">
        <v>18.98</v>
      </c>
      <c r="F2076" s="3">
        <v>7.57</v>
      </c>
      <c r="G2076" s="3">
        <v>71.24</v>
      </c>
    </row>
    <row r="2077">
      <c r="A2077" s="3">
        <v>169587.0</v>
      </c>
      <c r="B2077" s="3" t="s">
        <v>2102</v>
      </c>
      <c r="C2077" s="3" t="s">
        <v>38</v>
      </c>
      <c r="D2077" s="3">
        <v>422.0</v>
      </c>
      <c r="E2077" s="3">
        <v>17.0</v>
      </c>
      <c r="F2077" s="3">
        <v>4.4</v>
      </c>
      <c r="G2077" s="3">
        <v>71.0</v>
      </c>
    </row>
    <row r="2078">
      <c r="A2078" s="3">
        <v>169588.0</v>
      </c>
      <c r="B2078" s="3" t="s">
        <v>2103</v>
      </c>
      <c r="C2078" s="3" t="s">
        <v>38</v>
      </c>
      <c r="D2078" s="3">
        <v>516.0</v>
      </c>
      <c r="E2078" s="3">
        <v>33.3</v>
      </c>
      <c r="F2078" s="3">
        <v>11.6</v>
      </c>
      <c r="G2078" s="3">
        <v>50.3</v>
      </c>
    </row>
    <row r="2079">
      <c r="A2079" s="3">
        <v>169589.0</v>
      </c>
      <c r="B2079" s="3" t="s">
        <v>2104</v>
      </c>
      <c r="C2079" s="3" t="s">
        <v>38</v>
      </c>
      <c r="D2079" s="3">
        <v>491.0</v>
      </c>
      <c r="E2079" s="3">
        <v>23.85</v>
      </c>
      <c r="F2079" s="3">
        <v>7.53</v>
      </c>
      <c r="G2079" s="3">
        <v>61.51</v>
      </c>
    </row>
    <row r="2080">
      <c r="A2080" s="3">
        <v>169590.0</v>
      </c>
      <c r="B2080" s="3" t="s">
        <v>2105</v>
      </c>
      <c r="C2080" s="3" t="s">
        <v>38</v>
      </c>
      <c r="D2080" s="3">
        <v>408.0</v>
      </c>
      <c r="E2080" s="3">
        <v>8.21</v>
      </c>
      <c r="F2080" s="3">
        <v>0.41</v>
      </c>
      <c r="G2080" s="3">
        <v>82.57</v>
      </c>
    </row>
    <row r="2081">
      <c r="A2081" s="3">
        <v>169591.0</v>
      </c>
      <c r="B2081" s="3" t="s">
        <v>2106</v>
      </c>
      <c r="C2081" s="3" t="s">
        <v>38</v>
      </c>
      <c r="D2081" s="3">
        <v>502.0</v>
      </c>
      <c r="E2081" s="3">
        <v>23.36</v>
      </c>
      <c r="F2081" s="3">
        <v>4.78</v>
      </c>
      <c r="G2081" s="3">
        <v>68.4</v>
      </c>
    </row>
    <row r="2082">
      <c r="A2082" s="3">
        <v>169592.0</v>
      </c>
      <c r="B2082" s="3" t="s">
        <v>2107</v>
      </c>
      <c r="C2082" s="3" t="s">
        <v>38</v>
      </c>
      <c r="D2082" s="3">
        <v>556.0</v>
      </c>
      <c r="E2082" s="3">
        <v>32.4</v>
      </c>
      <c r="F2082" s="3">
        <v>5.54</v>
      </c>
      <c r="G2082" s="3">
        <v>60.49</v>
      </c>
    </row>
    <row r="2083">
      <c r="A2083" s="3">
        <v>169593.0</v>
      </c>
      <c r="B2083" s="3" t="s">
        <v>2108</v>
      </c>
      <c r="C2083" s="3" t="s">
        <v>38</v>
      </c>
      <c r="D2083" s="3">
        <v>228.0</v>
      </c>
      <c r="E2083" s="3">
        <v>13.7</v>
      </c>
      <c r="F2083" s="3">
        <v>19.6</v>
      </c>
      <c r="G2083" s="3">
        <v>57.9</v>
      </c>
    </row>
    <row r="2084">
      <c r="A2084" s="3">
        <v>169594.0</v>
      </c>
      <c r="B2084" s="3" t="s">
        <v>2109</v>
      </c>
      <c r="C2084" s="3" t="s">
        <v>38</v>
      </c>
      <c r="D2084" s="3">
        <v>220.0</v>
      </c>
      <c r="E2084" s="3">
        <v>13.1</v>
      </c>
      <c r="F2084" s="3">
        <v>18.1</v>
      </c>
      <c r="G2084" s="3">
        <v>58.3</v>
      </c>
    </row>
    <row r="2085">
      <c r="A2085" s="3">
        <v>169595.0</v>
      </c>
      <c r="B2085" s="3" t="s">
        <v>2110</v>
      </c>
      <c r="C2085" s="3" t="s">
        <v>38</v>
      </c>
      <c r="D2085" s="3">
        <v>104.0</v>
      </c>
      <c r="E2085" s="3">
        <v>4.58</v>
      </c>
      <c r="F2085" s="3">
        <v>5.02</v>
      </c>
      <c r="G2085" s="3">
        <v>11.0</v>
      </c>
    </row>
    <row r="2086">
      <c r="A2086" s="3">
        <v>169596.0</v>
      </c>
      <c r="B2086" s="3" t="s">
        <v>2111</v>
      </c>
      <c r="C2086" s="3" t="s">
        <v>38</v>
      </c>
      <c r="D2086" s="3">
        <v>60.0</v>
      </c>
      <c r="E2086" s="3">
        <v>0.0</v>
      </c>
      <c r="F2086" s="3">
        <v>1.22</v>
      </c>
      <c r="G2086" s="3">
        <v>14.19</v>
      </c>
    </row>
    <row r="2087">
      <c r="A2087" s="3">
        <v>169597.0</v>
      </c>
      <c r="B2087" s="3" t="s">
        <v>2112</v>
      </c>
      <c r="C2087" s="3" t="s">
        <v>38</v>
      </c>
      <c r="D2087" s="3">
        <v>198.0</v>
      </c>
      <c r="E2087" s="3">
        <v>0.0</v>
      </c>
      <c r="F2087" s="3">
        <v>15.67</v>
      </c>
      <c r="G2087" s="3">
        <v>80.21</v>
      </c>
    </row>
    <row r="2088">
      <c r="A2088" s="3">
        <v>169598.0</v>
      </c>
      <c r="B2088" s="3" t="s">
        <v>2113</v>
      </c>
      <c r="C2088" s="3" t="s">
        <v>38</v>
      </c>
      <c r="D2088" s="3">
        <v>20.0</v>
      </c>
      <c r="E2088" s="3">
        <v>0.0</v>
      </c>
      <c r="F2088" s="3">
        <v>0.83</v>
      </c>
      <c r="G2088" s="3">
        <v>4.22</v>
      </c>
    </row>
    <row r="2089">
      <c r="A2089" s="3">
        <v>169599.0</v>
      </c>
      <c r="B2089" s="3" t="s">
        <v>2114</v>
      </c>
      <c r="C2089" s="3" t="s">
        <v>38</v>
      </c>
      <c r="D2089" s="3">
        <v>335.0</v>
      </c>
      <c r="E2089" s="3">
        <v>0.1</v>
      </c>
      <c r="F2089" s="3">
        <v>85.6</v>
      </c>
      <c r="G2089" s="3">
        <v>0.0</v>
      </c>
    </row>
    <row r="2090">
      <c r="A2090" s="3">
        <v>169600.0</v>
      </c>
      <c r="B2090" s="3" t="s">
        <v>2115</v>
      </c>
      <c r="C2090" s="3" t="s">
        <v>38</v>
      </c>
      <c r="D2090" s="3">
        <v>111.0</v>
      </c>
      <c r="E2090" s="3">
        <v>3.1</v>
      </c>
      <c r="F2090" s="3">
        <v>3.1</v>
      </c>
      <c r="G2090" s="3">
        <v>18.8</v>
      </c>
    </row>
    <row r="2091">
      <c r="A2091" s="3">
        <v>169601.0</v>
      </c>
      <c r="B2091" s="3" t="s">
        <v>2116</v>
      </c>
      <c r="C2091" s="3" t="s">
        <v>38</v>
      </c>
      <c r="D2091" s="3">
        <v>161.0</v>
      </c>
      <c r="E2091" s="3">
        <v>3.43</v>
      </c>
      <c r="F2091" s="3">
        <v>1.75</v>
      </c>
      <c r="G2091" s="3">
        <v>30.84</v>
      </c>
    </row>
    <row r="2092">
      <c r="A2092" s="3">
        <v>169602.0</v>
      </c>
      <c r="B2092" s="3" t="s">
        <v>2117</v>
      </c>
      <c r="C2092" s="3" t="s">
        <v>38</v>
      </c>
      <c r="D2092" s="3">
        <v>348.0</v>
      </c>
      <c r="E2092" s="3">
        <v>0.0</v>
      </c>
      <c r="F2092" s="3">
        <v>0.0</v>
      </c>
      <c r="G2092" s="3">
        <v>91.6</v>
      </c>
    </row>
    <row r="2093">
      <c r="A2093" s="3">
        <v>169603.0</v>
      </c>
      <c r="B2093" s="3" t="s">
        <v>2118</v>
      </c>
      <c r="C2093" s="3" t="s">
        <v>38</v>
      </c>
      <c r="D2093" s="3">
        <v>362.0</v>
      </c>
      <c r="E2093" s="3">
        <v>2.1</v>
      </c>
      <c r="F2093" s="3">
        <v>2.6</v>
      </c>
      <c r="G2093" s="3">
        <v>89.3</v>
      </c>
    </row>
    <row r="2094">
      <c r="A2094" s="3">
        <v>169604.0</v>
      </c>
      <c r="B2094" s="3" t="s">
        <v>2119</v>
      </c>
      <c r="C2094" s="3" t="s">
        <v>38</v>
      </c>
      <c r="D2094" s="3">
        <v>120.0</v>
      </c>
      <c r="E2094" s="3">
        <v>3.15</v>
      </c>
      <c r="F2094" s="3">
        <v>3.16</v>
      </c>
      <c r="G2094" s="3">
        <v>19.64</v>
      </c>
    </row>
    <row r="2095">
      <c r="A2095" s="3">
        <v>169605.0</v>
      </c>
      <c r="B2095" s="3" t="s">
        <v>2120</v>
      </c>
      <c r="C2095" s="3" t="s">
        <v>38</v>
      </c>
      <c r="D2095" s="3">
        <v>121.0</v>
      </c>
      <c r="E2095" s="3">
        <v>2.82</v>
      </c>
      <c r="F2095" s="3">
        <v>3.25</v>
      </c>
      <c r="G2095" s="3">
        <v>20.68</v>
      </c>
    </row>
    <row r="2096">
      <c r="A2096" s="3">
        <v>169606.0</v>
      </c>
      <c r="B2096" s="3" t="s">
        <v>2121</v>
      </c>
      <c r="C2096" s="3" t="s">
        <v>38</v>
      </c>
      <c r="D2096" s="3">
        <v>369.0</v>
      </c>
      <c r="E2096" s="3">
        <v>0.1</v>
      </c>
      <c r="F2096" s="3">
        <v>0.1</v>
      </c>
      <c r="G2096" s="3">
        <v>94.3</v>
      </c>
    </row>
    <row r="2097">
      <c r="A2097" s="3">
        <v>169607.0</v>
      </c>
      <c r="B2097" s="3" t="s">
        <v>2122</v>
      </c>
      <c r="C2097" s="3" t="s">
        <v>38</v>
      </c>
      <c r="D2097" s="3">
        <v>115.0</v>
      </c>
      <c r="E2097" s="3">
        <v>2.89</v>
      </c>
      <c r="F2097" s="3">
        <v>2.84</v>
      </c>
      <c r="G2097" s="3">
        <v>19.43</v>
      </c>
    </row>
    <row r="2098">
      <c r="A2098" s="3">
        <v>169608.0</v>
      </c>
      <c r="B2098" s="3" t="s">
        <v>2123</v>
      </c>
      <c r="C2098" s="3" t="s">
        <v>38</v>
      </c>
      <c r="D2098" s="3">
        <v>130.0</v>
      </c>
      <c r="E2098" s="3">
        <v>3.78</v>
      </c>
      <c r="F2098" s="3">
        <v>1.45</v>
      </c>
      <c r="G2098" s="3">
        <v>22.6</v>
      </c>
    </row>
    <row r="2099">
      <c r="A2099" s="3">
        <v>169609.0</v>
      </c>
      <c r="B2099" s="3" t="s">
        <v>2124</v>
      </c>
      <c r="C2099" s="3" t="s">
        <v>38</v>
      </c>
      <c r="D2099" s="3">
        <v>379.0</v>
      </c>
      <c r="E2099" s="3">
        <v>0.4</v>
      </c>
      <c r="F2099" s="3">
        <v>0.3</v>
      </c>
      <c r="G2099" s="3">
        <v>93.5</v>
      </c>
    </row>
    <row r="2100">
      <c r="A2100" s="3">
        <v>169610.0</v>
      </c>
      <c r="B2100" s="3" t="s">
        <v>2125</v>
      </c>
      <c r="C2100" s="3" t="s">
        <v>38</v>
      </c>
      <c r="D2100" s="3">
        <v>113.0</v>
      </c>
      <c r="E2100" s="3">
        <v>2.9</v>
      </c>
      <c r="F2100" s="3">
        <v>2.8</v>
      </c>
      <c r="G2100" s="3">
        <v>18.92</v>
      </c>
    </row>
    <row r="2101">
      <c r="A2101" s="3">
        <v>169611.0</v>
      </c>
      <c r="B2101" s="3" t="s">
        <v>2126</v>
      </c>
      <c r="C2101" s="3" t="s">
        <v>38</v>
      </c>
      <c r="D2101" s="3">
        <v>111.0</v>
      </c>
      <c r="E2101" s="3">
        <v>1.63</v>
      </c>
      <c r="F2101" s="3">
        <v>3.29</v>
      </c>
      <c r="G2101" s="3">
        <v>20.81</v>
      </c>
    </row>
    <row r="2102">
      <c r="A2102" s="3">
        <v>169612.0</v>
      </c>
      <c r="B2102" s="3" t="s">
        <v>2127</v>
      </c>
      <c r="C2102" s="3" t="s">
        <v>38</v>
      </c>
      <c r="D2102" s="3">
        <v>105.0</v>
      </c>
      <c r="E2102" s="3">
        <v>1.67</v>
      </c>
      <c r="F2102" s="3">
        <v>2.88</v>
      </c>
      <c r="G2102" s="3">
        <v>19.56</v>
      </c>
    </row>
    <row r="2103">
      <c r="A2103" s="3">
        <v>169613.0</v>
      </c>
      <c r="B2103" s="3" t="s">
        <v>2128</v>
      </c>
      <c r="C2103" s="3" t="s">
        <v>38</v>
      </c>
      <c r="D2103" s="3">
        <v>24.0</v>
      </c>
      <c r="E2103" s="3">
        <v>0.1</v>
      </c>
      <c r="F2103" s="3">
        <v>0.5</v>
      </c>
      <c r="G2103" s="3">
        <v>6.2</v>
      </c>
    </row>
    <row r="2104">
      <c r="A2104" s="3">
        <v>169614.0</v>
      </c>
      <c r="B2104" s="3" t="s">
        <v>2129</v>
      </c>
      <c r="C2104" s="3" t="s">
        <v>38</v>
      </c>
      <c r="D2104" s="3">
        <v>130.0</v>
      </c>
      <c r="E2104" s="3">
        <v>3.88</v>
      </c>
      <c r="F2104" s="3">
        <v>1.95</v>
      </c>
      <c r="G2104" s="3">
        <v>21.69</v>
      </c>
    </row>
    <row r="2105">
      <c r="A2105" s="3">
        <v>169615.0</v>
      </c>
      <c r="B2105" s="3" t="s">
        <v>2130</v>
      </c>
      <c r="C2105" s="3" t="s">
        <v>38</v>
      </c>
      <c r="D2105" s="3">
        <v>104.0</v>
      </c>
      <c r="E2105" s="3">
        <v>2.5</v>
      </c>
      <c r="F2105" s="3">
        <v>3.1</v>
      </c>
      <c r="G2105" s="3">
        <v>17.8</v>
      </c>
    </row>
    <row r="2106">
      <c r="A2106" s="3">
        <v>169616.0</v>
      </c>
      <c r="B2106" s="3" t="s">
        <v>2131</v>
      </c>
      <c r="C2106" s="3" t="s">
        <v>38</v>
      </c>
      <c r="D2106" s="3">
        <v>363.0</v>
      </c>
      <c r="E2106" s="3">
        <v>3.3</v>
      </c>
      <c r="F2106" s="3">
        <v>2.4</v>
      </c>
      <c r="G2106" s="3">
        <v>91.5</v>
      </c>
    </row>
    <row r="2107">
      <c r="A2107" s="3">
        <v>169617.0</v>
      </c>
      <c r="B2107" s="3" t="s">
        <v>2132</v>
      </c>
      <c r="C2107" s="3" t="s">
        <v>38</v>
      </c>
      <c r="D2107" s="3">
        <v>96.0</v>
      </c>
      <c r="E2107" s="3">
        <v>3.34</v>
      </c>
      <c r="F2107" s="3">
        <v>3.2</v>
      </c>
      <c r="G2107" s="3">
        <v>13.34</v>
      </c>
    </row>
    <row r="2108">
      <c r="A2108" s="3">
        <v>169618.0</v>
      </c>
      <c r="B2108" s="3" t="s">
        <v>2133</v>
      </c>
      <c r="C2108" s="3" t="s">
        <v>38</v>
      </c>
      <c r="D2108" s="3">
        <v>433.0</v>
      </c>
      <c r="E2108" s="3">
        <v>24.0</v>
      </c>
      <c r="F2108" s="3">
        <v>1.5</v>
      </c>
      <c r="G2108" s="3">
        <v>52.7</v>
      </c>
    </row>
    <row r="2109">
      <c r="A2109" s="3">
        <v>169619.0</v>
      </c>
      <c r="B2109" s="3" t="s">
        <v>2134</v>
      </c>
      <c r="C2109" s="3" t="s">
        <v>38</v>
      </c>
      <c r="D2109" s="3">
        <v>415.0</v>
      </c>
      <c r="E2109" s="3">
        <v>17.3</v>
      </c>
      <c r="F2109" s="3">
        <v>0.1</v>
      </c>
      <c r="G2109" s="3">
        <v>67.32</v>
      </c>
    </row>
    <row r="2110">
      <c r="A2110" s="3">
        <v>169620.0</v>
      </c>
      <c r="B2110" s="3" t="s">
        <v>2135</v>
      </c>
      <c r="C2110" s="3" t="s">
        <v>38</v>
      </c>
      <c r="D2110" s="3">
        <v>418.0</v>
      </c>
      <c r="E2110" s="3">
        <v>16.23</v>
      </c>
      <c r="F2110" s="3">
        <v>0.0</v>
      </c>
      <c r="G2110" s="3">
        <v>67.89</v>
      </c>
    </row>
    <row r="2111">
      <c r="A2111" s="3">
        <v>169621.0</v>
      </c>
      <c r="B2111" s="3" t="s">
        <v>2136</v>
      </c>
      <c r="C2111" s="3" t="s">
        <v>38</v>
      </c>
      <c r="D2111" s="3">
        <v>103.0</v>
      </c>
      <c r="E2111" s="3">
        <v>1.72</v>
      </c>
      <c r="F2111" s="3">
        <v>2.99</v>
      </c>
      <c r="G2111" s="3">
        <v>18.82</v>
      </c>
    </row>
    <row r="2112">
      <c r="A2112" s="3">
        <v>169622.0</v>
      </c>
      <c r="B2112" s="3" t="s">
        <v>2137</v>
      </c>
      <c r="C2112" s="3" t="s">
        <v>38</v>
      </c>
      <c r="D2112" s="3">
        <v>568.0</v>
      </c>
      <c r="E2112" s="3">
        <v>35.73</v>
      </c>
      <c r="F2112" s="3">
        <v>9.76</v>
      </c>
      <c r="G2112" s="3">
        <v>51.72</v>
      </c>
    </row>
    <row r="2113">
      <c r="A2113" s="3">
        <v>169623.0</v>
      </c>
      <c r="B2113" s="3" t="s">
        <v>2138</v>
      </c>
      <c r="C2113" s="3" t="s">
        <v>38</v>
      </c>
      <c r="D2113" s="3">
        <v>521.0</v>
      </c>
      <c r="E2113" s="3">
        <v>29.85</v>
      </c>
      <c r="F2113" s="3">
        <v>11.34</v>
      </c>
      <c r="G2113" s="3">
        <v>55.18</v>
      </c>
    </row>
    <row r="2114">
      <c r="A2114" s="3">
        <v>169624.0</v>
      </c>
      <c r="B2114" s="3" t="s">
        <v>2139</v>
      </c>
      <c r="C2114" s="3" t="s">
        <v>38</v>
      </c>
      <c r="D2114" s="3">
        <v>517.0</v>
      </c>
      <c r="E2114" s="3">
        <v>32.09</v>
      </c>
      <c r="F2114" s="3">
        <v>11.28</v>
      </c>
      <c r="G2114" s="3">
        <v>52.8</v>
      </c>
    </row>
    <row r="2115">
      <c r="A2115" s="3">
        <v>169625.0</v>
      </c>
      <c r="B2115" s="3" t="s">
        <v>2140</v>
      </c>
      <c r="C2115" s="3" t="s">
        <v>38</v>
      </c>
      <c r="D2115" s="3">
        <v>389.0</v>
      </c>
      <c r="E2115" s="3">
        <v>5.2</v>
      </c>
      <c r="F2115" s="3">
        <v>1.3</v>
      </c>
      <c r="G2115" s="3">
        <v>92.0</v>
      </c>
    </row>
    <row r="2116">
      <c r="A2116" s="3">
        <v>169626.0</v>
      </c>
      <c r="B2116" s="3" t="s">
        <v>2141</v>
      </c>
      <c r="C2116" s="3" t="s">
        <v>38</v>
      </c>
      <c r="D2116" s="3">
        <v>244.0</v>
      </c>
      <c r="E2116" s="3">
        <v>0.0</v>
      </c>
      <c r="F2116" s="3">
        <v>1.5</v>
      </c>
      <c r="G2116" s="3">
        <v>62.6</v>
      </c>
    </row>
    <row r="2117">
      <c r="A2117" s="3">
        <v>169627.0</v>
      </c>
      <c r="B2117" s="3" t="s">
        <v>2142</v>
      </c>
      <c r="C2117" s="3" t="s">
        <v>38</v>
      </c>
      <c r="D2117" s="3">
        <v>563.0</v>
      </c>
      <c r="E2117" s="3">
        <v>34.5</v>
      </c>
      <c r="F2117" s="3">
        <v>5.58</v>
      </c>
      <c r="G2117" s="3">
        <v>57.54</v>
      </c>
    </row>
    <row r="2118">
      <c r="A2118" s="3">
        <v>169628.0</v>
      </c>
      <c r="B2118" s="3" t="s">
        <v>2143</v>
      </c>
      <c r="C2118" s="3" t="s">
        <v>38</v>
      </c>
      <c r="D2118" s="3">
        <v>521.0</v>
      </c>
      <c r="E2118" s="3">
        <v>31.34</v>
      </c>
      <c r="F2118" s="3">
        <v>9.53</v>
      </c>
      <c r="G2118" s="3">
        <v>55.38</v>
      </c>
    </row>
    <row r="2119">
      <c r="A2119" s="3">
        <v>169629.0</v>
      </c>
      <c r="B2119" s="3" t="s">
        <v>2144</v>
      </c>
      <c r="C2119" s="3" t="s">
        <v>38</v>
      </c>
      <c r="D2119" s="3">
        <v>520.0</v>
      </c>
      <c r="E2119" s="3">
        <v>27.84</v>
      </c>
      <c r="F2119" s="3">
        <v>6.24</v>
      </c>
      <c r="G2119" s="3">
        <v>63.64</v>
      </c>
    </row>
    <row r="2120">
      <c r="A2120" s="3">
        <v>169630.0</v>
      </c>
      <c r="B2120" s="3" t="s">
        <v>2145</v>
      </c>
      <c r="C2120" s="3" t="s">
        <v>38</v>
      </c>
      <c r="D2120" s="3">
        <v>474.0</v>
      </c>
      <c r="E2120" s="3">
        <v>23.42</v>
      </c>
      <c r="F2120" s="3">
        <v>8.66</v>
      </c>
      <c r="G2120" s="3">
        <v>61.6</v>
      </c>
    </row>
    <row r="2121">
      <c r="A2121" s="3">
        <v>169631.0</v>
      </c>
      <c r="B2121" s="3" t="s">
        <v>2146</v>
      </c>
      <c r="C2121" s="3" t="s">
        <v>38</v>
      </c>
      <c r="D2121" s="3">
        <v>169.0</v>
      </c>
      <c r="E2121" s="3">
        <v>7.45</v>
      </c>
      <c r="F2121" s="3">
        <v>3.97</v>
      </c>
      <c r="G2121" s="3">
        <v>21.42</v>
      </c>
    </row>
    <row r="2122">
      <c r="A2122" s="3">
        <v>169632.0</v>
      </c>
      <c r="B2122" s="3" t="s">
        <v>2147</v>
      </c>
      <c r="C2122" s="3" t="s">
        <v>38</v>
      </c>
      <c r="D2122" s="3">
        <v>87.0</v>
      </c>
      <c r="E2122" s="3">
        <v>0.1</v>
      </c>
      <c r="F2122" s="3">
        <v>1.2</v>
      </c>
      <c r="G2122" s="3">
        <v>20.2</v>
      </c>
    </row>
    <row r="2123">
      <c r="A2123" s="3">
        <v>169633.0</v>
      </c>
      <c r="B2123" s="3" t="s">
        <v>2148</v>
      </c>
      <c r="C2123" s="3" t="s">
        <v>38</v>
      </c>
      <c r="D2123" s="3">
        <v>173.0</v>
      </c>
      <c r="E2123" s="3">
        <v>5.74</v>
      </c>
      <c r="F2123" s="3">
        <v>3.54</v>
      </c>
      <c r="G2123" s="3">
        <v>26.79</v>
      </c>
    </row>
    <row r="2124">
      <c r="A2124" s="3">
        <v>169634.0</v>
      </c>
      <c r="B2124" s="3" t="s">
        <v>2149</v>
      </c>
      <c r="C2124" s="3" t="s">
        <v>38</v>
      </c>
      <c r="D2124" s="3">
        <v>540.0</v>
      </c>
      <c r="E2124" s="3">
        <v>30.0</v>
      </c>
      <c r="F2124" s="3">
        <v>7.5</v>
      </c>
      <c r="G2124" s="3">
        <v>59.95</v>
      </c>
    </row>
    <row r="2125">
      <c r="A2125" s="3">
        <v>169635.0</v>
      </c>
      <c r="B2125" s="3" t="s">
        <v>2150</v>
      </c>
      <c r="C2125" s="3" t="s">
        <v>33</v>
      </c>
      <c r="D2125" s="3">
        <v>342.0</v>
      </c>
      <c r="E2125" s="3">
        <v>1.0</v>
      </c>
      <c r="F2125" s="3">
        <v>0.6</v>
      </c>
      <c r="G2125" s="3">
        <v>82.7</v>
      </c>
    </row>
    <row r="2126">
      <c r="A2126" s="3">
        <v>169636.0</v>
      </c>
      <c r="B2126" s="3" t="s">
        <v>2151</v>
      </c>
      <c r="C2126" s="3" t="s">
        <v>33</v>
      </c>
      <c r="D2126" s="3">
        <v>373.0</v>
      </c>
      <c r="E2126" s="3">
        <v>3.5</v>
      </c>
      <c r="F2126" s="3">
        <v>0.1</v>
      </c>
      <c r="G2126" s="3">
        <v>85.2</v>
      </c>
    </row>
    <row r="2127">
      <c r="A2127" s="3">
        <v>169637.0</v>
      </c>
      <c r="B2127" s="3" t="s">
        <v>2152</v>
      </c>
      <c r="C2127" s="3" t="s">
        <v>38</v>
      </c>
      <c r="D2127" s="3">
        <v>549.0</v>
      </c>
      <c r="E2127" s="3">
        <v>33.18</v>
      </c>
      <c r="F2127" s="3">
        <v>7.41</v>
      </c>
      <c r="G2127" s="3">
        <v>55.25</v>
      </c>
    </row>
    <row r="2128">
      <c r="A2128" s="3">
        <v>169638.0</v>
      </c>
      <c r="B2128" s="3" t="s">
        <v>2153</v>
      </c>
      <c r="C2128" s="3" t="s">
        <v>38</v>
      </c>
      <c r="D2128" s="3">
        <v>128.0</v>
      </c>
      <c r="E2128" s="3">
        <v>0.0</v>
      </c>
      <c r="F2128" s="3">
        <v>0.4</v>
      </c>
      <c r="G2128" s="3">
        <v>32.6</v>
      </c>
    </row>
    <row r="2129">
      <c r="A2129" s="3">
        <v>169639.0</v>
      </c>
      <c r="B2129" s="3" t="s">
        <v>2154</v>
      </c>
      <c r="C2129" s="3" t="s">
        <v>38</v>
      </c>
      <c r="D2129" s="3">
        <v>536.0</v>
      </c>
      <c r="E2129" s="3">
        <v>36.22</v>
      </c>
      <c r="F2129" s="3">
        <v>15.25</v>
      </c>
      <c r="G2129" s="3">
        <v>43.64</v>
      </c>
    </row>
    <row r="2130">
      <c r="A2130" s="3">
        <v>169640.0</v>
      </c>
      <c r="B2130" s="3" t="s">
        <v>2155</v>
      </c>
      <c r="C2130" s="3" t="s">
        <v>38</v>
      </c>
      <c r="D2130" s="3">
        <v>304.0</v>
      </c>
      <c r="E2130" s="3">
        <v>0.0</v>
      </c>
      <c r="F2130" s="3">
        <v>0.3</v>
      </c>
      <c r="G2130" s="3">
        <v>82.4</v>
      </c>
    </row>
    <row r="2131">
      <c r="A2131" s="3">
        <v>169641.0</v>
      </c>
      <c r="B2131" s="3" t="s">
        <v>2156</v>
      </c>
      <c r="C2131" s="3" t="s">
        <v>38</v>
      </c>
      <c r="D2131" s="3">
        <v>278.0</v>
      </c>
      <c r="E2131" s="3">
        <v>0.07</v>
      </c>
      <c r="F2131" s="3">
        <v>0.37</v>
      </c>
      <c r="G2131" s="3">
        <v>68.86</v>
      </c>
    </row>
    <row r="2132">
      <c r="A2132" s="3">
        <v>169642.0</v>
      </c>
      <c r="B2132" s="3" t="s">
        <v>2157</v>
      </c>
      <c r="C2132" s="3" t="s">
        <v>38</v>
      </c>
      <c r="D2132" s="3">
        <v>266.0</v>
      </c>
      <c r="E2132" s="3">
        <v>0.02</v>
      </c>
      <c r="F2132" s="3">
        <v>0.15</v>
      </c>
      <c r="G2132" s="3">
        <v>69.95</v>
      </c>
    </row>
    <row r="2133">
      <c r="A2133" s="3">
        <v>169643.0</v>
      </c>
      <c r="B2133" s="3" t="s">
        <v>2158</v>
      </c>
      <c r="C2133" s="3" t="s">
        <v>38</v>
      </c>
      <c r="D2133" s="3">
        <v>480.0</v>
      </c>
      <c r="E2133" s="3">
        <v>24.32</v>
      </c>
      <c r="F2133" s="3">
        <v>7.15</v>
      </c>
      <c r="G2133" s="3">
        <v>61.07</v>
      </c>
    </row>
    <row r="2134">
      <c r="A2134" s="3">
        <v>169644.0</v>
      </c>
      <c r="B2134" s="3" t="s">
        <v>2159</v>
      </c>
      <c r="C2134" s="3" t="s">
        <v>38</v>
      </c>
      <c r="D2134" s="3">
        <v>463.0</v>
      </c>
      <c r="E2134" s="3">
        <v>18.0</v>
      </c>
      <c r="F2134" s="3">
        <v>3.3</v>
      </c>
      <c r="G2134" s="3">
        <v>71.85</v>
      </c>
    </row>
    <row r="2135">
      <c r="A2135" s="3">
        <v>169645.0</v>
      </c>
      <c r="B2135" s="3" t="s">
        <v>2160</v>
      </c>
      <c r="C2135" s="3" t="s">
        <v>38</v>
      </c>
      <c r="D2135" s="3">
        <v>443.0</v>
      </c>
      <c r="E2135" s="3">
        <v>15.17</v>
      </c>
      <c r="F2135" s="3">
        <v>2.59</v>
      </c>
      <c r="G2135" s="3">
        <v>75.94</v>
      </c>
    </row>
    <row r="2136">
      <c r="A2136" s="3">
        <v>169646.0</v>
      </c>
      <c r="B2136" s="3" t="s">
        <v>2161</v>
      </c>
      <c r="C2136" s="3" t="s">
        <v>38</v>
      </c>
      <c r="D2136" s="3">
        <v>408.0</v>
      </c>
      <c r="E2136" s="3">
        <v>8.36</v>
      </c>
      <c r="F2136" s="3">
        <v>0.41</v>
      </c>
      <c r="G2136" s="3">
        <v>82.43</v>
      </c>
    </row>
    <row r="2137">
      <c r="A2137" s="3">
        <v>169647.0</v>
      </c>
      <c r="B2137" s="3" t="s">
        <v>2162</v>
      </c>
      <c r="C2137" s="3" t="s">
        <v>38</v>
      </c>
      <c r="D2137" s="3">
        <v>400.0</v>
      </c>
      <c r="E2137" s="3">
        <v>7.78</v>
      </c>
      <c r="F2137" s="3">
        <v>0.39</v>
      </c>
      <c r="G2137" s="3">
        <v>79.73</v>
      </c>
    </row>
    <row r="2138">
      <c r="A2138" s="3">
        <v>169648.0</v>
      </c>
      <c r="B2138" s="3" t="s">
        <v>2163</v>
      </c>
      <c r="C2138" s="3" t="s">
        <v>38</v>
      </c>
      <c r="D2138" s="3">
        <v>367.0</v>
      </c>
      <c r="E2138" s="3">
        <v>0.6</v>
      </c>
      <c r="F2138" s="3">
        <v>0.0</v>
      </c>
      <c r="G2138" s="3">
        <v>92.7</v>
      </c>
    </row>
    <row r="2139">
      <c r="A2139" s="3">
        <v>169649.0</v>
      </c>
      <c r="B2139" s="3" t="s">
        <v>2164</v>
      </c>
      <c r="C2139" s="3" t="s">
        <v>38</v>
      </c>
      <c r="D2139" s="3">
        <v>115.0</v>
      </c>
      <c r="E2139" s="3">
        <v>2.8</v>
      </c>
      <c r="F2139" s="3">
        <v>2.62</v>
      </c>
      <c r="G2139" s="3">
        <v>19.76</v>
      </c>
    </row>
    <row r="2140">
      <c r="A2140" s="3">
        <v>169650.0</v>
      </c>
      <c r="B2140" s="3" t="s">
        <v>2165</v>
      </c>
      <c r="C2140" s="3" t="s">
        <v>38</v>
      </c>
      <c r="D2140" s="3">
        <v>366.0</v>
      </c>
      <c r="E2140" s="3">
        <v>0.4</v>
      </c>
      <c r="F2140" s="3">
        <v>0.0</v>
      </c>
      <c r="G2140" s="3">
        <v>93.0</v>
      </c>
    </row>
    <row r="2141">
      <c r="A2141" s="3">
        <v>169651.0</v>
      </c>
      <c r="B2141" s="3" t="s">
        <v>2166</v>
      </c>
      <c r="C2141" s="3" t="s">
        <v>38</v>
      </c>
      <c r="D2141" s="3">
        <v>539.0</v>
      </c>
      <c r="E2141" s="3">
        <v>29.3</v>
      </c>
      <c r="F2141" s="3">
        <v>5.81</v>
      </c>
      <c r="G2141" s="3">
        <v>62.99</v>
      </c>
    </row>
    <row r="2142">
      <c r="A2142" s="3">
        <v>169652.0</v>
      </c>
      <c r="B2142" s="3" t="s">
        <v>2167</v>
      </c>
      <c r="C2142" s="3" t="s">
        <v>38</v>
      </c>
      <c r="D2142" s="3">
        <v>525.0</v>
      </c>
      <c r="E2142" s="3">
        <v>28.68</v>
      </c>
      <c r="F2142" s="3">
        <v>6.35</v>
      </c>
      <c r="G2142" s="3">
        <v>60.37</v>
      </c>
    </row>
    <row r="2143">
      <c r="A2143" s="3">
        <v>169653.0</v>
      </c>
      <c r="B2143" s="3" t="s">
        <v>2168</v>
      </c>
      <c r="C2143" s="3" t="s">
        <v>38</v>
      </c>
      <c r="D2143" s="3">
        <v>517.0</v>
      </c>
      <c r="E2143" s="3">
        <v>26.23</v>
      </c>
      <c r="F2143" s="3">
        <v>8.21</v>
      </c>
      <c r="G2143" s="3">
        <v>62.06</v>
      </c>
    </row>
    <row r="2144">
      <c r="A2144" s="3">
        <v>169654.0</v>
      </c>
      <c r="B2144" s="3" t="s">
        <v>2169</v>
      </c>
      <c r="C2144" s="3" t="s">
        <v>38</v>
      </c>
      <c r="D2144" s="3">
        <v>378.0</v>
      </c>
      <c r="E2144" s="3">
        <v>0.7</v>
      </c>
      <c r="F2144" s="3">
        <v>0.0</v>
      </c>
      <c r="G2144" s="3">
        <v>95.4</v>
      </c>
    </row>
    <row r="2145">
      <c r="A2145" s="3">
        <v>169655.0</v>
      </c>
      <c r="B2145" s="3" t="s">
        <v>2170</v>
      </c>
      <c r="C2145" s="3" t="s">
        <v>38</v>
      </c>
      <c r="D2145" s="3">
        <v>387.0</v>
      </c>
      <c r="E2145" s="3">
        <v>0.0</v>
      </c>
      <c r="F2145" s="3">
        <v>0.0</v>
      </c>
      <c r="G2145" s="3">
        <v>99.98</v>
      </c>
    </row>
    <row r="2146">
      <c r="A2146" s="3">
        <v>169656.0</v>
      </c>
      <c r="B2146" s="3" t="s">
        <v>2171</v>
      </c>
      <c r="C2146" s="3" t="s">
        <v>38</v>
      </c>
      <c r="D2146" s="3">
        <v>389.0</v>
      </c>
      <c r="E2146" s="3">
        <v>0.0</v>
      </c>
      <c r="F2146" s="3">
        <v>0.0</v>
      </c>
      <c r="G2146" s="3">
        <v>99.77</v>
      </c>
    </row>
    <row r="2147">
      <c r="A2147" s="3">
        <v>169657.0</v>
      </c>
      <c r="B2147" s="3" t="s">
        <v>2172</v>
      </c>
      <c r="C2147" s="3" t="s">
        <v>38</v>
      </c>
      <c r="D2147" s="3">
        <v>365.0</v>
      </c>
      <c r="E2147" s="3">
        <v>0.0</v>
      </c>
      <c r="F2147" s="3">
        <v>2.17</v>
      </c>
      <c r="G2147" s="3">
        <v>89.08</v>
      </c>
    </row>
    <row r="2148">
      <c r="A2148" s="3">
        <v>169658.0</v>
      </c>
      <c r="B2148" s="3" t="s">
        <v>2173</v>
      </c>
      <c r="C2148" s="3" t="s">
        <v>38</v>
      </c>
      <c r="D2148" s="3">
        <v>354.0</v>
      </c>
      <c r="E2148" s="3">
        <v>0.2</v>
      </c>
      <c r="F2148" s="3">
        <v>0.1</v>
      </c>
      <c r="G2148" s="3">
        <v>90.9</v>
      </c>
    </row>
    <row r="2149">
      <c r="A2149" s="3">
        <v>169659.0</v>
      </c>
      <c r="B2149" s="3" t="s">
        <v>2174</v>
      </c>
      <c r="C2149" s="3" t="s">
        <v>38</v>
      </c>
      <c r="D2149" s="3">
        <v>281.0</v>
      </c>
      <c r="E2149" s="3">
        <v>0.0</v>
      </c>
      <c r="F2149" s="3">
        <v>0.0</v>
      </c>
      <c r="G2149" s="3">
        <v>76.0</v>
      </c>
    </row>
    <row r="2150">
      <c r="A2150" s="3">
        <v>169660.0</v>
      </c>
      <c r="B2150" s="3" t="s">
        <v>2175</v>
      </c>
      <c r="C2150" s="3" t="s">
        <v>38</v>
      </c>
      <c r="D2150" s="3">
        <v>318.0</v>
      </c>
      <c r="E2150" s="3">
        <v>0.0</v>
      </c>
      <c r="F2150" s="3">
        <v>6.2</v>
      </c>
      <c r="G2150" s="3">
        <v>71.3</v>
      </c>
    </row>
    <row r="2151">
      <c r="A2151" s="3">
        <v>169661.0</v>
      </c>
      <c r="B2151" s="3" t="s">
        <v>2176</v>
      </c>
      <c r="C2151" s="3" t="s">
        <v>38</v>
      </c>
      <c r="D2151" s="3">
        <v>260.0</v>
      </c>
      <c r="E2151" s="3">
        <v>0.06</v>
      </c>
      <c r="F2151" s="3">
        <v>0.04</v>
      </c>
      <c r="G2151" s="3">
        <v>67.04</v>
      </c>
    </row>
    <row r="2152">
      <c r="A2152" s="3">
        <v>169662.0</v>
      </c>
      <c r="B2152" s="3" t="s">
        <v>2177</v>
      </c>
      <c r="C2152" s="3" t="s">
        <v>38</v>
      </c>
      <c r="D2152" s="3">
        <v>290.0</v>
      </c>
      <c r="E2152" s="3">
        <v>0.0</v>
      </c>
      <c r="F2152" s="3">
        <v>0.0</v>
      </c>
      <c r="G2152" s="3">
        <v>74.9</v>
      </c>
    </row>
    <row r="2153">
      <c r="A2153" s="3">
        <v>169663.0</v>
      </c>
      <c r="B2153" s="3" t="s">
        <v>2178</v>
      </c>
      <c r="C2153" s="3" t="s">
        <v>38</v>
      </c>
      <c r="D2153" s="3">
        <v>488.0</v>
      </c>
      <c r="E2153" s="3">
        <v>24.38</v>
      </c>
      <c r="F2153" s="3">
        <v>6.86</v>
      </c>
      <c r="G2153" s="3">
        <v>62.85</v>
      </c>
    </row>
    <row r="2154">
      <c r="A2154" s="3">
        <v>169664.0</v>
      </c>
      <c r="B2154" s="3" t="s">
        <v>2179</v>
      </c>
      <c r="C2154" s="3" t="s">
        <v>38</v>
      </c>
      <c r="D2154" s="3">
        <v>322.0</v>
      </c>
      <c r="E2154" s="3">
        <v>0.3</v>
      </c>
      <c r="F2154" s="3">
        <v>0.8</v>
      </c>
      <c r="G2154" s="3">
        <v>79.0</v>
      </c>
    </row>
    <row r="2155">
      <c r="A2155" s="3">
        <v>169665.0</v>
      </c>
      <c r="B2155" s="3" t="s">
        <v>2180</v>
      </c>
      <c r="C2155" s="3" t="s">
        <v>38</v>
      </c>
      <c r="D2155" s="3">
        <v>253.0</v>
      </c>
      <c r="E2155" s="3">
        <v>0.1</v>
      </c>
      <c r="F2155" s="3">
        <v>0.1</v>
      </c>
      <c r="G2155" s="3">
        <v>66.4</v>
      </c>
    </row>
    <row r="2156">
      <c r="A2156" s="3">
        <v>169666.0</v>
      </c>
      <c r="B2156" s="3" t="s">
        <v>2181</v>
      </c>
      <c r="C2156" s="3" t="s">
        <v>38</v>
      </c>
      <c r="D2156" s="3">
        <v>448.0</v>
      </c>
      <c r="E2156" s="3">
        <v>22.0</v>
      </c>
      <c r="F2156" s="3">
        <v>4.5</v>
      </c>
      <c r="G2156" s="3">
        <v>58.08</v>
      </c>
    </row>
    <row r="2157">
      <c r="A2157" s="3">
        <v>169667.0</v>
      </c>
      <c r="B2157" s="3" t="s">
        <v>2182</v>
      </c>
      <c r="C2157" s="3" t="s">
        <v>38</v>
      </c>
      <c r="D2157" s="3">
        <v>405.0</v>
      </c>
      <c r="E2157" s="3">
        <v>4.34</v>
      </c>
      <c r="F2157" s="3">
        <v>0.19</v>
      </c>
      <c r="G2157" s="3">
        <v>90.77</v>
      </c>
    </row>
    <row r="2158">
      <c r="A2158" s="3">
        <v>169668.0</v>
      </c>
      <c r="B2158" s="3" t="s">
        <v>2183</v>
      </c>
      <c r="C2158" s="3" t="s">
        <v>38</v>
      </c>
      <c r="D2158" s="3">
        <v>341.0</v>
      </c>
      <c r="E2158" s="3">
        <v>0.53</v>
      </c>
      <c r="F2158" s="3">
        <v>0.44</v>
      </c>
      <c r="G2158" s="3">
        <v>83.65</v>
      </c>
    </row>
    <row r="2159">
      <c r="A2159" s="3">
        <v>169669.0</v>
      </c>
      <c r="B2159" s="3" t="s">
        <v>2184</v>
      </c>
      <c r="C2159" s="3" t="s">
        <v>38</v>
      </c>
      <c r="D2159" s="3">
        <v>453.0</v>
      </c>
      <c r="E2159" s="3">
        <v>17.48</v>
      </c>
      <c r="F2159" s="3">
        <v>2.26</v>
      </c>
      <c r="G2159" s="3">
        <v>71.34</v>
      </c>
    </row>
    <row r="2160">
      <c r="A2160" s="3">
        <v>169670.0</v>
      </c>
      <c r="B2160" s="3" t="s">
        <v>2185</v>
      </c>
      <c r="C2160" s="3" t="s">
        <v>38</v>
      </c>
      <c r="D2160" s="3">
        <v>397.0</v>
      </c>
      <c r="E2160" s="3">
        <v>3.33</v>
      </c>
      <c r="F2160" s="3">
        <v>0.03</v>
      </c>
      <c r="G2160" s="3">
        <v>91.56</v>
      </c>
    </row>
    <row r="2161">
      <c r="A2161" s="3">
        <v>169671.0</v>
      </c>
      <c r="B2161" s="3" t="s">
        <v>2186</v>
      </c>
      <c r="C2161" s="3" t="s">
        <v>38</v>
      </c>
      <c r="D2161" s="3">
        <v>560.0</v>
      </c>
      <c r="E2161" s="3">
        <v>32.75</v>
      </c>
      <c r="F2161" s="3">
        <v>1.07</v>
      </c>
      <c r="G2161" s="3">
        <v>64.72</v>
      </c>
    </row>
    <row r="2162">
      <c r="A2162" s="3">
        <v>169672.0</v>
      </c>
      <c r="B2162" s="3" t="s">
        <v>2187</v>
      </c>
      <c r="C2162" s="3" t="s">
        <v>33</v>
      </c>
      <c r="D2162" s="3">
        <v>436.0</v>
      </c>
      <c r="E2162" s="3">
        <v>14.3</v>
      </c>
      <c r="F2162" s="3">
        <v>9.0</v>
      </c>
      <c r="G2162" s="3">
        <v>71.7</v>
      </c>
    </row>
    <row r="2163">
      <c r="A2163" s="3">
        <v>169673.0</v>
      </c>
      <c r="B2163" s="3" t="s">
        <v>2188</v>
      </c>
      <c r="C2163" s="3" t="s">
        <v>33</v>
      </c>
      <c r="D2163" s="3">
        <v>458.0</v>
      </c>
      <c r="E2163" s="3">
        <v>20.4</v>
      </c>
      <c r="F2163" s="3">
        <v>7.0</v>
      </c>
      <c r="G2163" s="3">
        <v>64.6</v>
      </c>
    </row>
    <row r="2164">
      <c r="A2164" s="3">
        <v>169674.0</v>
      </c>
      <c r="B2164" s="3" t="s">
        <v>2189</v>
      </c>
      <c r="C2164" s="3" t="s">
        <v>33</v>
      </c>
      <c r="D2164" s="3">
        <v>418.0</v>
      </c>
      <c r="E2164" s="3">
        <v>16.57</v>
      </c>
      <c r="F2164" s="3">
        <v>5.65</v>
      </c>
      <c r="G2164" s="3">
        <v>70.2</v>
      </c>
    </row>
    <row r="2165">
      <c r="A2165" s="3">
        <v>169675.0</v>
      </c>
      <c r="B2165" s="3" t="s">
        <v>2190</v>
      </c>
      <c r="C2165" s="3" t="s">
        <v>33</v>
      </c>
      <c r="D2165" s="3">
        <v>427.0</v>
      </c>
      <c r="E2165" s="3">
        <v>15.5</v>
      </c>
      <c r="F2165" s="3">
        <v>6.1</v>
      </c>
      <c r="G2165" s="3">
        <v>70.8</v>
      </c>
    </row>
    <row r="2166">
      <c r="A2166" s="3">
        <v>169676.0</v>
      </c>
      <c r="B2166" s="3" t="s">
        <v>2191</v>
      </c>
      <c r="C2166" s="3" t="s">
        <v>33</v>
      </c>
      <c r="D2166" s="3">
        <v>454.0</v>
      </c>
      <c r="E2166" s="3">
        <v>20.4</v>
      </c>
      <c r="F2166" s="3">
        <v>8.0</v>
      </c>
      <c r="G2166" s="3">
        <v>63.6</v>
      </c>
    </row>
    <row r="2167">
      <c r="A2167" s="3">
        <v>169677.0</v>
      </c>
      <c r="B2167" s="3" t="s">
        <v>2192</v>
      </c>
      <c r="C2167" s="3" t="s">
        <v>33</v>
      </c>
      <c r="D2167" s="3">
        <v>532.0</v>
      </c>
      <c r="E2167" s="3">
        <v>33.98</v>
      </c>
      <c r="F2167" s="3">
        <v>6.39</v>
      </c>
      <c r="G2167" s="3">
        <v>53.83</v>
      </c>
    </row>
    <row r="2168">
      <c r="A2168" s="3">
        <v>169678.0</v>
      </c>
      <c r="B2168" s="3" t="s">
        <v>2193</v>
      </c>
      <c r="C2168" s="3" t="s">
        <v>33</v>
      </c>
      <c r="D2168" s="3">
        <v>551.0</v>
      </c>
      <c r="E2168" s="3">
        <v>37.0</v>
      </c>
      <c r="F2168" s="3">
        <v>7.0</v>
      </c>
      <c r="G2168" s="3">
        <v>50.6</v>
      </c>
    </row>
    <row r="2169">
      <c r="A2169" s="3">
        <v>169679.0</v>
      </c>
      <c r="B2169" s="3" t="s">
        <v>2194</v>
      </c>
      <c r="C2169" s="3" t="s">
        <v>33</v>
      </c>
      <c r="D2169" s="3">
        <v>385.0</v>
      </c>
      <c r="E2169" s="3">
        <v>3.2</v>
      </c>
      <c r="F2169" s="3">
        <v>8.4</v>
      </c>
      <c r="G2169" s="3">
        <v>81.2</v>
      </c>
    </row>
    <row r="2170">
      <c r="A2170" s="3">
        <v>169680.0</v>
      </c>
      <c r="B2170" s="3" t="s">
        <v>2195</v>
      </c>
      <c r="C2170" s="3" t="s">
        <v>33</v>
      </c>
      <c r="D2170" s="3">
        <v>387.0</v>
      </c>
      <c r="E2170" s="3">
        <v>3.5</v>
      </c>
      <c r="F2170" s="3">
        <v>8.5</v>
      </c>
      <c r="G2170" s="3">
        <v>80.1</v>
      </c>
    </row>
    <row r="2171">
      <c r="A2171" s="3">
        <v>169681.0</v>
      </c>
      <c r="B2171" s="3" t="s">
        <v>2196</v>
      </c>
      <c r="C2171" s="3" t="s">
        <v>33</v>
      </c>
      <c r="D2171" s="3">
        <v>483.0</v>
      </c>
      <c r="E2171" s="3">
        <v>23.8</v>
      </c>
      <c r="F2171" s="3">
        <v>9.8</v>
      </c>
      <c r="G2171" s="3">
        <v>62.3</v>
      </c>
    </row>
    <row r="2172">
      <c r="A2172" s="3">
        <v>169682.0</v>
      </c>
      <c r="B2172" s="3" t="s">
        <v>2197</v>
      </c>
      <c r="C2172" s="3" t="s">
        <v>33</v>
      </c>
      <c r="D2172" s="3">
        <v>496.0</v>
      </c>
      <c r="E2172" s="3">
        <v>27.2</v>
      </c>
      <c r="F2172" s="3">
        <v>8.5</v>
      </c>
      <c r="G2172" s="3">
        <v>57.7</v>
      </c>
    </row>
    <row r="2173">
      <c r="A2173" s="3">
        <v>169683.0</v>
      </c>
      <c r="B2173" s="3" t="s">
        <v>2198</v>
      </c>
      <c r="C2173" s="3" t="s">
        <v>33</v>
      </c>
      <c r="D2173" s="3">
        <v>471.0</v>
      </c>
      <c r="E2173" s="3">
        <v>20.8</v>
      </c>
      <c r="F2173" s="3">
        <v>7.1</v>
      </c>
      <c r="G2173" s="3">
        <v>66.9</v>
      </c>
    </row>
    <row r="2174">
      <c r="A2174" s="3">
        <v>169684.0</v>
      </c>
      <c r="B2174" s="3" t="s">
        <v>2199</v>
      </c>
      <c r="C2174" s="3" t="s">
        <v>33</v>
      </c>
      <c r="D2174" s="3">
        <v>274.0</v>
      </c>
      <c r="E2174" s="3">
        <v>0.7</v>
      </c>
      <c r="F2174" s="3">
        <v>7.74</v>
      </c>
      <c r="G2174" s="3">
        <v>65.0</v>
      </c>
    </row>
    <row r="2175">
      <c r="A2175" s="3">
        <v>169685.0</v>
      </c>
      <c r="B2175" s="3" t="s">
        <v>2200</v>
      </c>
      <c r="C2175" s="3" t="s">
        <v>33</v>
      </c>
      <c r="D2175" s="3">
        <v>381.0</v>
      </c>
      <c r="E2175" s="3">
        <v>1.4</v>
      </c>
      <c r="F2175" s="3">
        <v>2.0</v>
      </c>
      <c r="G2175" s="3">
        <v>90.06</v>
      </c>
    </row>
    <row r="2176">
      <c r="A2176" s="3">
        <v>169686.0</v>
      </c>
      <c r="B2176" s="3" t="s">
        <v>2201</v>
      </c>
      <c r="C2176" s="3" t="s">
        <v>33</v>
      </c>
      <c r="D2176" s="3">
        <v>379.0</v>
      </c>
      <c r="E2176" s="3">
        <v>0.6</v>
      </c>
      <c r="F2176" s="3">
        <v>9.64</v>
      </c>
      <c r="G2176" s="3">
        <v>83.76</v>
      </c>
    </row>
    <row r="2177">
      <c r="A2177" s="3">
        <v>169687.0</v>
      </c>
      <c r="B2177" s="3" t="s">
        <v>2202</v>
      </c>
      <c r="C2177" s="3" t="s">
        <v>33</v>
      </c>
      <c r="D2177" s="3">
        <v>417.0</v>
      </c>
      <c r="E2177" s="3">
        <v>9.0</v>
      </c>
      <c r="F2177" s="3">
        <v>3.4</v>
      </c>
      <c r="G2177" s="3">
        <v>80.5</v>
      </c>
    </row>
    <row r="2178">
      <c r="A2178" s="3">
        <v>169688.0</v>
      </c>
      <c r="B2178" s="3" t="s">
        <v>2203</v>
      </c>
      <c r="C2178" s="3" t="s">
        <v>33</v>
      </c>
      <c r="D2178" s="3">
        <v>390.0</v>
      </c>
      <c r="E2178" s="3">
        <v>7.4</v>
      </c>
      <c r="F2178" s="3">
        <v>8.0</v>
      </c>
      <c r="G2178" s="3">
        <v>78.0</v>
      </c>
    </row>
    <row r="2179">
      <c r="A2179" s="3">
        <v>169689.0</v>
      </c>
      <c r="B2179" s="3" t="s">
        <v>2204</v>
      </c>
      <c r="C2179" s="3" t="s">
        <v>33</v>
      </c>
      <c r="D2179" s="3">
        <v>420.0</v>
      </c>
      <c r="E2179" s="3">
        <v>13.02</v>
      </c>
      <c r="F2179" s="3">
        <v>4.47</v>
      </c>
      <c r="G2179" s="3">
        <v>72.31</v>
      </c>
    </row>
    <row r="2180">
      <c r="A2180" s="3">
        <v>169690.0</v>
      </c>
      <c r="B2180" s="3" t="s">
        <v>2205</v>
      </c>
      <c r="C2180" s="3" t="s">
        <v>38</v>
      </c>
      <c r="D2180" s="3">
        <v>477.0</v>
      </c>
      <c r="E2180" s="3">
        <v>29.7</v>
      </c>
      <c r="F2180" s="3">
        <v>4.2</v>
      </c>
      <c r="G2180" s="3">
        <v>63.4</v>
      </c>
    </row>
    <row r="2181">
      <c r="A2181" s="3">
        <v>169691.0</v>
      </c>
      <c r="B2181" s="3" t="s">
        <v>2206</v>
      </c>
      <c r="C2181" s="3" t="s">
        <v>38</v>
      </c>
      <c r="D2181" s="3">
        <v>381.0</v>
      </c>
      <c r="E2181" s="3">
        <v>0.0</v>
      </c>
      <c r="F2181" s="3">
        <v>7.8</v>
      </c>
      <c r="G2181" s="3">
        <v>90.5</v>
      </c>
    </row>
    <row r="2182">
      <c r="A2182" s="3">
        <v>169692.0</v>
      </c>
      <c r="B2182" s="3" t="s">
        <v>2207</v>
      </c>
      <c r="C2182" s="3" t="s">
        <v>38</v>
      </c>
      <c r="D2182" s="3">
        <v>345.0</v>
      </c>
      <c r="E2182" s="3">
        <v>0.0</v>
      </c>
      <c r="F2182" s="3">
        <v>55.3</v>
      </c>
      <c r="G2182" s="3">
        <v>33.3</v>
      </c>
    </row>
    <row r="2183">
      <c r="A2183" s="3">
        <v>169693.0</v>
      </c>
      <c r="B2183" s="3" t="s">
        <v>2208</v>
      </c>
      <c r="C2183" s="3" t="s">
        <v>38</v>
      </c>
      <c r="D2183" s="3">
        <v>345.0</v>
      </c>
      <c r="E2183" s="3">
        <v>0.0</v>
      </c>
      <c r="F2183" s="3">
        <v>55.3</v>
      </c>
      <c r="G2183" s="3">
        <v>33.3</v>
      </c>
    </row>
    <row r="2184">
      <c r="A2184" s="3">
        <v>169694.0</v>
      </c>
      <c r="B2184" s="3" t="s">
        <v>2209</v>
      </c>
      <c r="C2184" s="3" t="s">
        <v>660</v>
      </c>
      <c r="D2184" s="3">
        <v>363.0</v>
      </c>
      <c r="E2184" s="3">
        <v>3.69</v>
      </c>
      <c r="F2184" s="3">
        <v>8.46</v>
      </c>
      <c r="G2184" s="3">
        <v>76.59</v>
      </c>
    </row>
    <row r="2185">
      <c r="A2185" s="3">
        <v>169695.0</v>
      </c>
      <c r="B2185" s="3" t="s">
        <v>2210</v>
      </c>
      <c r="C2185" s="3" t="s">
        <v>660</v>
      </c>
      <c r="D2185" s="3">
        <v>375.0</v>
      </c>
      <c r="E2185" s="3">
        <v>1.39</v>
      </c>
      <c r="F2185" s="3">
        <v>5.59</v>
      </c>
      <c r="G2185" s="3">
        <v>82.75</v>
      </c>
    </row>
    <row r="2186">
      <c r="A2186" s="3">
        <v>169696.0</v>
      </c>
      <c r="B2186" s="3" t="s">
        <v>2211</v>
      </c>
      <c r="C2186" s="3" t="s">
        <v>660</v>
      </c>
      <c r="D2186" s="3">
        <v>363.0</v>
      </c>
      <c r="E2186" s="3">
        <v>3.69</v>
      </c>
      <c r="F2186" s="3">
        <v>8.46</v>
      </c>
      <c r="G2186" s="3">
        <v>76.59</v>
      </c>
    </row>
    <row r="2187">
      <c r="A2187" s="3">
        <v>169697.0</v>
      </c>
      <c r="B2187" s="3" t="s">
        <v>2212</v>
      </c>
      <c r="C2187" s="3" t="s">
        <v>660</v>
      </c>
      <c r="D2187" s="3">
        <v>362.0</v>
      </c>
      <c r="E2187" s="3">
        <v>3.59</v>
      </c>
      <c r="F2187" s="3">
        <v>8.12</v>
      </c>
      <c r="G2187" s="3">
        <v>76.89</v>
      </c>
    </row>
    <row r="2188">
      <c r="A2188" s="3">
        <v>169698.0</v>
      </c>
      <c r="B2188" s="3" t="s">
        <v>2213</v>
      </c>
      <c r="C2188" s="3" t="s">
        <v>660</v>
      </c>
      <c r="D2188" s="3">
        <v>381.0</v>
      </c>
      <c r="E2188" s="3">
        <v>0.05</v>
      </c>
      <c r="F2188" s="3">
        <v>0.26</v>
      </c>
      <c r="G2188" s="3">
        <v>91.27</v>
      </c>
    </row>
    <row r="2189">
      <c r="A2189" s="3">
        <v>169699.0</v>
      </c>
      <c r="B2189" s="3" t="s">
        <v>2214</v>
      </c>
      <c r="C2189" s="3" t="s">
        <v>660</v>
      </c>
      <c r="D2189" s="3">
        <v>376.0</v>
      </c>
      <c r="E2189" s="3">
        <v>0.64</v>
      </c>
      <c r="F2189" s="3">
        <v>12.76</v>
      </c>
      <c r="G2189" s="3">
        <v>77.43</v>
      </c>
    </row>
    <row r="2190">
      <c r="A2190" s="3">
        <v>169700.0</v>
      </c>
      <c r="B2190" s="3" t="s">
        <v>2215</v>
      </c>
      <c r="C2190" s="3" t="s">
        <v>660</v>
      </c>
      <c r="D2190" s="3">
        <v>112.0</v>
      </c>
      <c r="E2190" s="3">
        <v>0.16</v>
      </c>
      <c r="F2190" s="3">
        <v>3.79</v>
      </c>
      <c r="G2190" s="3">
        <v>23.22</v>
      </c>
    </row>
    <row r="2191">
      <c r="A2191" s="3">
        <v>169701.0</v>
      </c>
      <c r="B2191" s="3" t="s">
        <v>2216</v>
      </c>
      <c r="C2191" s="3" t="s">
        <v>660</v>
      </c>
      <c r="D2191" s="3">
        <v>72.0</v>
      </c>
      <c r="E2191" s="3">
        <v>0.88</v>
      </c>
      <c r="F2191" s="3">
        <v>1.48</v>
      </c>
      <c r="G2191" s="3">
        <v>14.26</v>
      </c>
    </row>
    <row r="2192">
      <c r="A2192" s="3">
        <v>169702.0</v>
      </c>
      <c r="B2192" s="3" t="s">
        <v>2217</v>
      </c>
      <c r="C2192" s="3" t="s">
        <v>660</v>
      </c>
      <c r="D2192" s="3">
        <v>378.0</v>
      </c>
      <c r="E2192" s="3">
        <v>4.22</v>
      </c>
      <c r="F2192" s="3">
        <v>11.02</v>
      </c>
      <c r="G2192" s="3">
        <v>72.85</v>
      </c>
    </row>
    <row r="2193">
      <c r="A2193" s="3">
        <v>169703.0</v>
      </c>
      <c r="B2193" s="3" t="s">
        <v>2218</v>
      </c>
      <c r="C2193" s="3" t="s">
        <v>660</v>
      </c>
      <c r="D2193" s="3">
        <v>367.0</v>
      </c>
      <c r="E2193" s="3">
        <v>3.2</v>
      </c>
      <c r="F2193" s="3">
        <v>7.54</v>
      </c>
      <c r="G2193" s="3">
        <v>76.25</v>
      </c>
    </row>
    <row r="2194">
      <c r="A2194" s="3">
        <v>169704.0</v>
      </c>
      <c r="B2194" s="3" t="s">
        <v>2219</v>
      </c>
      <c r="C2194" s="3" t="s">
        <v>660</v>
      </c>
      <c r="D2194" s="3">
        <v>123.0</v>
      </c>
      <c r="E2194" s="3">
        <v>0.97</v>
      </c>
      <c r="F2194" s="3">
        <v>2.74</v>
      </c>
      <c r="G2194" s="3">
        <v>25.58</v>
      </c>
    </row>
    <row r="2195">
      <c r="A2195" s="3">
        <v>169705.0</v>
      </c>
      <c r="B2195" s="3" t="s">
        <v>2220</v>
      </c>
      <c r="C2195" s="3" t="s">
        <v>660</v>
      </c>
      <c r="D2195" s="3">
        <v>389.0</v>
      </c>
      <c r="E2195" s="3">
        <v>6.9</v>
      </c>
      <c r="F2195" s="3">
        <v>16.89</v>
      </c>
      <c r="G2195" s="3">
        <v>66.27</v>
      </c>
    </row>
    <row r="2196">
      <c r="A2196" s="3">
        <v>169706.0</v>
      </c>
      <c r="B2196" s="3" t="s">
        <v>2221</v>
      </c>
      <c r="C2196" s="3" t="s">
        <v>660</v>
      </c>
      <c r="D2196" s="3">
        <v>362.0</v>
      </c>
      <c r="E2196" s="3">
        <v>2.68</v>
      </c>
      <c r="F2196" s="3">
        <v>7.5</v>
      </c>
      <c r="G2196" s="3">
        <v>76.17</v>
      </c>
    </row>
    <row r="2197">
      <c r="A2197" s="3">
        <v>169707.0</v>
      </c>
      <c r="B2197" s="3" t="s">
        <v>2222</v>
      </c>
      <c r="C2197" s="3" t="s">
        <v>660</v>
      </c>
      <c r="D2197" s="3">
        <v>374.0</v>
      </c>
      <c r="E2197" s="3">
        <v>1.03</v>
      </c>
      <c r="F2197" s="3">
        <v>7.51</v>
      </c>
      <c r="G2197" s="3">
        <v>80.89</v>
      </c>
    </row>
    <row r="2198">
      <c r="A2198" s="3">
        <v>169708.0</v>
      </c>
      <c r="B2198" s="3" t="s">
        <v>2223</v>
      </c>
      <c r="C2198" s="3" t="s">
        <v>660</v>
      </c>
      <c r="D2198" s="3">
        <v>123.0</v>
      </c>
      <c r="E2198" s="3">
        <v>0.37</v>
      </c>
      <c r="F2198" s="3">
        <v>2.91</v>
      </c>
      <c r="G2198" s="3">
        <v>26.05</v>
      </c>
    </row>
    <row r="2199">
      <c r="A2199" s="3">
        <v>169709.0</v>
      </c>
      <c r="B2199" s="3" t="s">
        <v>2224</v>
      </c>
      <c r="C2199" s="3" t="s">
        <v>660</v>
      </c>
      <c r="D2199" s="3">
        <v>380.0</v>
      </c>
      <c r="E2199" s="3">
        <v>0.94</v>
      </c>
      <c r="F2199" s="3">
        <v>7.82</v>
      </c>
      <c r="G2199" s="3">
        <v>82.32</v>
      </c>
    </row>
    <row r="2200">
      <c r="A2200" s="3">
        <v>169710.0</v>
      </c>
      <c r="B2200" s="3" t="s">
        <v>2225</v>
      </c>
      <c r="C2200" s="3" t="s">
        <v>660</v>
      </c>
      <c r="D2200" s="3">
        <v>124.0</v>
      </c>
      <c r="E2200" s="3">
        <v>0.5</v>
      </c>
      <c r="F2200" s="3">
        <v>2.18</v>
      </c>
      <c r="G2200" s="3">
        <v>26.76</v>
      </c>
    </row>
    <row r="2201">
      <c r="A2201" s="3">
        <v>169711.0</v>
      </c>
      <c r="B2201" s="3" t="s">
        <v>2226</v>
      </c>
      <c r="C2201" s="3" t="s">
        <v>660</v>
      </c>
      <c r="D2201" s="3">
        <v>97.0</v>
      </c>
      <c r="E2201" s="3">
        <v>0.19</v>
      </c>
      <c r="F2201" s="3">
        <v>2.02</v>
      </c>
      <c r="G2201" s="3">
        <v>21.09</v>
      </c>
    </row>
    <row r="2202">
      <c r="A2202" s="3">
        <v>169712.0</v>
      </c>
      <c r="B2202" s="3" t="s">
        <v>2227</v>
      </c>
      <c r="C2202" s="3" t="s">
        <v>660</v>
      </c>
      <c r="D2202" s="3">
        <v>151.0</v>
      </c>
      <c r="E2202" s="3">
        <v>0.27</v>
      </c>
      <c r="F2202" s="3">
        <v>3.2</v>
      </c>
      <c r="G2202" s="3">
        <v>33.88</v>
      </c>
    </row>
    <row r="2203">
      <c r="A2203" s="3">
        <v>169713.0</v>
      </c>
      <c r="B2203" s="3" t="s">
        <v>2228</v>
      </c>
      <c r="C2203" s="3" t="s">
        <v>660</v>
      </c>
      <c r="D2203" s="3">
        <v>316.0</v>
      </c>
      <c r="E2203" s="3">
        <v>20.85</v>
      </c>
      <c r="F2203" s="3">
        <v>13.35</v>
      </c>
      <c r="G2203" s="3">
        <v>49.69</v>
      </c>
    </row>
    <row r="2204">
      <c r="A2204" s="3">
        <v>169714.0</v>
      </c>
      <c r="B2204" s="3" t="s">
        <v>2229</v>
      </c>
      <c r="C2204" s="3" t="s">
        <v>660</v>
      </c>
      <c r="D2204" s="3">
        <v>366.0</v>
      </c>
      <c r="E2204" s="3">
        <v>1.42</v>
      </c>
      <c r="F2204" s="3">
        <v>5.95</v>
      </c>
      <c r="G2204" s="3">
        <v>80.13</v>
      </c>
    </row>
    <row r="2205">
      <c r="A2205" s="3">
        <v>169715.0</v>
      </c>
      <c r="B2205" s="3" t="s">
        <v>2230</v>
      </c>
      <c r="C2205" s="3" t="s">
        <v>660</v>
      </c>
      <c r="D2205" s="3">
        <v>360.0</v>
      </c>
      <c r="E2205" s="3">
        <v>1.05</v>
      </c>
      <c r="F2205" s="3">
        <v>12.68</v>
      </c>
      <c r="G2205" s="3">
        <v>72.83</v>
      </c>
    </row>
    <row r="2206">
      <c r="A2206" s="3">
        <v>169716.0</v>
      </c>
      <c r="B2206" s="3" t="s">
        <v>2231</v>
      </c>
      <c r="C2206" s="3" t="s">
        <v>660</v>
      </c>
      <c r="D2206" s="3">
        <v>329.0</v>
      </c>
      <c r="E2206" s="3">
        <v>3.46</v>
      </c>
      <c r="F2206" s="3">
        <v>10.62</v>
      </c>
      <c r="G2206" s="3">
        <v>72.09</v>
      </c>
    </row>
    <row r="2207">
      <c r="A2207" s="3">
        <v>169717.0</v>
      </c>
      <c r="B2207" s="3" t="s">
        <v>2232</v>
      </c>
      <c r="C2207" s="3" t="s">
        <v>660</v>
      </c>
      <c r="D2207" s="3">
        <v>358.0</v>
      </c>
      <c r="E2207" s="3">
        <v>0.02</v>
      </c>
      <c r="F2207" s="3">
        <v>0.19</v>
      </c>
      <c r="G2207" s="3">
        <v>88.69</v>
      </c>
    </row>
    <row r="2208">
      <c r="A2208" s="3">
        <v>169718.0</v>
      </c>
      <c r="B2208" s="3" t="s">
        <v>2233</v>
      </c>
      <c r="C2208" s="3" t="s">
        <v>660</v>
      </c>
      <c r="D2208" s="3">
        <v>336.0</v>
      </c>
      <c r="E2208" s="3">
        <v>2.09</v>
      </c>
      <c r="F2208" s="3">
        <v>13.05</v>
      </c>
      <c r="G2208" s="3">
        <v>72.13</v>
      </c>
    </row>
    <row r="2209">
      <c r="A2209" s="3">
        <v>169719.0</v>
      </c>
      <c r="B2209" s="3" t="s">
        <v>2234</v>
      </c>
      <c r="C2209" s="3" t="s">
        <v>660</v>
      </c>
      <c r="D2209" s="3">
        <v>342.0</v>
      </c>
      <c r="E2209" s="3">
        <v>1.71</v>
      </c>
      <c r="F2209" s="3">
        <v>11.31</v>
      </c>
      <c r="G2209" s="3">
        <v>75.9</v>
      </c>
    </row>
    <row r="2210">
      <c r="A2210" s="3">
        <v>169720.0</v>
      </c>
      <c r="B2210" s="3" t="s">
        <v>2235</v>
      </c>
      <c r="C2210" s="3" t="s">
        <v>660</v>
      </c>
      <c r="D2210" s="3">
        <v>340.0</v>
      </c>
      <c r="E2210" s="3">
        <v>1.99</v>
      </c>
      <c r="F2210" s="3">
        <v>10.69</v>
      </c>
      <c r="G2210" s="3">
        <v>75.36</v>
      </c>
    </row>
    <row r="2211">
      <c r="A2211" s="3">
        <v>169721.0</v>
      </c>
      <c r="B2211" s="3" t="s">
        <v>2236</v>
      </c>
      <c r="C2211" s="3" t="s">
        <v>660</v>
      </c>
      <c r="D2211" s="3">
        <v>339.0</v>
      </c>
      <c r="E2211" s="3">
        <v>2.47</v>
      </c>
      <c r="F2211" s="3">
        <v>13.68</v>
      </c>
      <c r="G2211" s="3">
        <v>71.13</v>
      </c>
    </row>
    <row r="2212">
      <c r="A2212" s="3">
        <v>169722.0</v>
      </c>
      <c r="B2212" s="3" t="s">
        <v>2237</v>
      </c>
      <c r="C2212" s="3" t="s">
        <v>660</v>
      </c>
      <c r="D2212" s="3">
        <v>216.0</v>
      </c>
      <c r="E2212" s="3">
        <v>4.25</v>
      </c>
      <c r="F2212" s="3">
        <v>15.55</v>
      </c>
      <c r="G2212" s="3">
        <v>64.51</v>
      </c>
    </row>
    <row r="2213">
      <c r="A2213" s="3">
        <v>169723.0</v>
      </c>
      <c r="B2213" s="3" t="s">
        <v>2238</v>
      </c>
      <c r="C2213" s="3" t="s">
        <v>660</v>
      </c>
      <c r="D2213" s="3">
        <v>362.0</v>
      </c>
      <c r="E2213" s="3">
        <v>0.86</v>
      </c>
      <c r="F2213" s="3">
        <v>8.2</v>
      </c>
      <c r="G2213" s="3">
        <v>78.03</v>
      </c>
    </row>
    <row r="2214">
      <c r="A2214" s="3">
        <v>169724.0</v>
      </c>
      <c r="B2214" s="3" t="s">
        <v>2239</v>
      </c>
      <c r="C2214" s="3" t="s">
        <v>660</v>
      </c>
      <c r="D2214" s="3">
        <v>405.0</v>
      </c>
      <c r="E2214" s="3">
        <v>10.63</v>
      </c>
      <c r="F2214" s="3">
        <v>9.66</v>
      </c>
      <c r="G2214" s="3">
        <v>67.14</v>
      </c>
    </row>
    <row r="2215">
      <c r="A2215" s="3">
        <v>169725.0</v>
      </c>
      <c r="B2215" s="3" t="s">
        <v>2240</v>
      </c>
      <c r="C2215" s="3" t="s">
        <v>660</v>
      </c>
      <c r="D2215" s="3">
        <v>198.0</v>
      </c>
      <c r="E2215" s="3">
        <v>1.27</v>
      </c>
      <c r="F2215" s="3">
        <v>7.49</v>
      </c>
      <c r="G2215" s="3">
        <v>42.53</v>
      </c>
    </row>
    <row r="2216">
      <c r="A2216" s="3">
        <v>169726.0</v>
      </c>
      <c r="B2216" s="3" t="s">
        <v>2241</v>
      </c>
      <c r="C2216" s="3" t="s">
        <v>660</v>
      </c>
      <c r="D2216" s="3">
        <v>357.0</v>
      </c>
      <c r="E2216" s="3">
        <v>1.08</v>
      </c>
      <c r="F2216" s="3">
        <v>14.73</v>
      </c>
      <c r="G2216" s="3">
        <v>74.9</v>
      </c>
    </row>
    <row r="2217">
      <c r="A2217" s="3">
        <v>169727.0</v>
      </c>
      <c r="B2217" s="3" t="s">
        <v>2242</v>
      </c>
      <c r="C2217" s="3" t="s">
        <v>660</v>
      </c>
      <c r="D2217" s="3">
        <v>288.0</v>
      </c>
      <c r="E2217" s="3">
        <v>2.3</v>
      </c>
      <c r="F2217" s="3">
        <v>11.31</v>
      </c>
      <c r="G2217" s="3">
        <v>54.73</v>
      </c>
    </row>
    <row r="2218">
      <c r="A2218" s="3">
        <v>169728.0</v>
      </c>
      <c r="B2218" s="3" t="s">
        <v>2243</v>
      </c>
      <c r="C2218" s="3" t="s">
        <v>660</v>
      </c>
      <c r="D2218" s="3">
        <v>131.0</v>
      </c>
      <c r="E2218" s="3">
        <v>1.05</v>
      </c>
      <c r="F2218" s="3">
        <v>5.15</v>
      </c>
      <c r="G2218" s="3">
        <v>24.93</v>
      </c>
    </row>
    <row r="2219">
      <c r="A2219" s="3">
        <v>169729.0</v>
      </c>
      <c r="B2219" s="3" t="s">
        <v>2244</v>
      </c>
      <c r="C2219" s="3" t="s">
        <v>660</v>
      </c>
      <c r="D2219" s="3">
        <v>289.0</v>
      </c>
      <c r="E2219" s="3">
        <v>2.1</v>
      </c>
      <c r="F2219" s="3">
        <v>11.26</v>
      </c>
      <c r="G2219" s="3">
        <v>55.72</v>
      </c>
    </row>
    <row r="2220">
      <c r="A2220" s="3">
        <v>169730.0</v>
      </c>
      <c r="B2220" s="3" t="s">
        <v>2245</v>
      </c>
      <c r="C2220" s="3" t="s">
        <v>660</v>
      </c>
      <c r="D2220" s="3">
        <v>130.0</v>
      </c>
      <c r="E2220" s="3">
        <v>0.94</v>
      </c>
      <c r="F2220" s="3">
        <v>5.06</v>
      </c>
      <c r="G2220" s="3">
        <v>25.04</v>
      </c>
    </row>
    <row r="2221">
      <c r="A2221" s="3">
        <v>169731.0</v>
      </c>
      <c r="B2221" s="3" t="s">
        <v>2246</v>
      </c>
      <c r="C2221" s="3" t="s">
        <v>660</v>
      </c>
      <c r="D2221" s="3">
        <v>384.0</v>
      </c>
      <c r="E2221" s="3">
        <v>4.44</v>
      </c>
      <c r="F2221" s="3">
        <v>14.16</v>
      </c>
      <c r="G2221" s="3">
        <v>71.27</v>
      </c>
    </row>
    <row r="2222">
      <c r="A2222" s="3">
        <v>169732.0</v>
      </c>
      <c r="B2222" s="3" t="s">
        <v>2247</v>
      </c>
      <c r="C2222" s="3" t="s">
        <v>660</v>
      </c>
      <c r="D2222" s="3">
        <v>138.0</v>
      </c>
      <c r="E2222" s="3">
        <v>2.07</v>
      </c>
      <c r="F2222" s="3">
        <v>4.54</v>
      </c>
      <c r="G2222" s="3">
        <v>25.16</v>
      </c>
    </row>
    <row r="2223">
      <c r="A2223" s="3">
        <v>169733.0</v>
      </c>
      <c r="B2223" s="3" t="s">
        <v>2248</v>
      </c>
      <c r="C2223" s="3" t="s">
        <v>660</v>
      </c>
      <c r="D2223" s="3">
        <v>382.0</v>
      </c>
      <c r="E2223" s="3">
        <v>4.55</v>
      </c>
      <c r="F2223" s="3">
        <v>14.61</v>
      </c>
      <c r="G2223" s="3">
        <v>70.32</v>
      </c>
    </row>
    <row r="2224">
      <c r="A2224" s="3">
        <v>169734.0</v>
      </c>
      <c r="B2224" s="3" t="s">
        <v>2249</v>
      </c>
      <c r="C2224" s="3" t="s">
        <v>660</v>
      </c>
      <c r="D2224" s="3">
        <v>132.0</v>
      </c>
      <c r="E2224" s="3">
        <v>1.57</v>
      </c>
      <c r="F2224" s="3">
        <v>5.04</v>
      </c>
      <c r="G2224" s="3">
        <v>24.25</v>
      </c>
    </row>
    <row r="2225">
      <c r="A2225" s="3">
        <v>169735.0</v>
      </c>
      <c r="B2225" s="3" t="s">
        <v>2250</v>
      </c>
      <c r="C2225" s="3" t="s">
        <v>660</v>
      </c>
      <c r="D2225" s="3">
        <v>521.0</v>
      </c>
      <c r="E2225" s="3">
        <v>31.72</v>
      </c>
      <c r="F2225" s="3">
        <v>10.33</v>
      </c>
      <c r="G2225" s="3">
        <v>51.9</v>
      </c>
    </row>
    <row r="2226">
      <c r="A2226" s="3">
        <v>169736.0</v>
      </c>
      <c r="B2226" s="3" t="s">
        <v>2251</v>
      </c>
      <c r="C2226" s="3" t="s">
        <v>660</v>
      </c>
      <c r="D2226" s="3">
        <v>371.0</v>
      </c>
      <c r="E2226" s="3">
        <v>1.51</v>
      </c>
      <c r="F2226" s="3">
        <v>13.04</v>
      </c>
      <c r="G2226" s="3">
        <v>74.67</v>
      </c>
    </row>
    <row r="2227">
      <c r="A2227" s="3">
        <v>169737.0</v>
      </c>
      <c r="B2227" s="3" t="s">
        <v>2252</v>
      </c>
      <c r="C2227" s="3" t="s">
        <v>660</v>
      </c>
      <c r="D2227" s="3">
        <v>158.0</v>
      </c>
      <c r="E2227" s="3">
        <v>0.93</v>
      </c>
      <c r="F2227" s="3">
        <v>5.8</v>
      </c>
      <c r="G2227" s="3">
        <v>30.86</v>
      </c>
    </row>
    <row r="2228">
      <c r="A2228" s="3">
        <v>169738.0</v>
      </c>
      <c r="B2228" s="3" t="s">
        <v>2253</v>
      </c>
      <c r="C2228" s="3" t="s">
        <v>660</v>
      </c>
      <c r="D2228" s="3">
        <v>352.0</v>
      </c>
      <c r="E2228" s="3">
        <v>2.93</v>
      </c>
      <c r="F2228" s="3">
        <v>13.87</v>
      </c>
      <c r="G2228" s="3">
        <v>73.37</v>
      </c>
    </row>
    <row r="2229">
      <c r="A2229" s="3">
        <v>169739.0</v>
      </c>
      <c r="B2229" s="3" t="s">
        <v>2254</v>
      </c>
      <c r="C2229" s="3" t="s">
        <v>660</v>
      </c>
      <c r="D2229" s="3">
        <v>345.0</v>
      </c>
      <c r="E2229" s="3">
        <v>1.6</v>
      </c>
      <c r="F2229" s="3">
        <v>10.5</v>
      </c>
      <c r="G2229" s="3">
        <v>74.52</v>
      </c>
    </row>
    <row r="2230">
      <c r="A2230" s="3">
        <v>169740.0</v>
      </c>
      <c r="B2230" s="3" t="s">
        <v>2255</v>
      </c>
      <c r="C2230" s="3" t="s">
        <v>660</v>
      </c>
      <c r="D2230" s="3">
        <v>361.0</v>
      </c>
      <c r="E2230" s="3">
        <v>1.84</v>
      </c>
      <c r="F2230" s="3">
        <v>10.28</v>
      </c>
      <c r="G2230" s="3">
        <v>78.3</v>
      </c>
    </row>
    <row r="2231">
      <c r="A2231" s="3">
        <v>169741.0</v>
      </c>
      <c r="B2231" s="3" t="s">
        <v>2256</v>
      </c>
      <c r="C2231" s="3" t="s">
        <v>660</v>
      </c>
      <c r="D2231" s="3">
        <v>404.0</v>
      </c>
      <c r="E2231" s="3">
        <v>9.12</v>
      </c>
      <c r="F2231" s="3">
        <v>14.66</v>
      </c>
      <c r="G2231" s="3">
        <v>65.7</v>
      </c>
    </row>
    <row r="2232">
      <c r="A2232" s="3">
        <v>169742.0</v>
      </c>
      <c r="B2232" s="3" t="s">
        <v>2257</v>
      </c>
      <c r="C2232" s="3" t="s">
        <v>660</v>
      </c>
      <c r="D2232" s="3">
        <v>364.0</v>
      </c>
      <c r="E2232" s="3">
        <v>0.56</v>
      </c>
      <c r="F2232" s="3">
        <v>5.95</v>
      </c>
      <c r="G2232" s="3">
        <v>80.18</v>
      </c>
    </row>
    <row r="2233">
      <c r="A2233" s="3">
        <v>169743.0</v>
      </c>
      <c r="B2233" s="3" t="s">
        <v>2258</v>
      </c>
      <c r="C2233" s="3" t="s">
        <v>660</v>
      </c>
      <c r="D2233" s="3">
        <v>337.0</v>
      </c>
      <c r="E2233" s="3">
        <v>2.13</v>
      </c>
      <c r="F2233" s="3">
        <v>14.54</v>
      </c>
      <c r="G2233" s="3">
        <v>70.58</v>
      </c>
    </row>
    <row r="2234">
      <c r="A2234" s="3">
        <v>169744.0</v>
      </c>
      <c r="B2234" s="3" t="s">
        <v>2259</v>
      </c>
      <c r="C2234" s="3" t="s">
        <v>660</v>
      </c>
      <c r="D2234" s="3">
        <v>132.0</v>
      </c>
      <c r="E2234" s="3">
        <v>0.83</v>
      </c>
      <c r="F2234" s="3">
        <v>5.71</v>
      </c>
      <c r="G2234" s="3">
        <v>27.6</v>
      </c>
    </row>
    <row r="2235">
      <c r="A2235" s="3">
        <v>169745.0</v>
      </c>
      <c r="B2235" s="3" t="s">
        <v>2260</v>
      </c>
      <c r="C2235" s="3" t="s">
        <v>660</v>
      </c>
      <c r="D2235" s="3">
        <v>338.0</v>
      </c>
      <c r="E2235" s="3">
        <v>2.43</v>
      </c>
      <c r="F2235" s="3">
        <v>14.57</v>
      </c>
      <c r="G2235" s="3">
        <v>70.19</v>
      </c>
    </row>
    <row r="2236">
      <c r="A2236" s="3">
        <v>169746.0</v>
      </c>
      <c r="B2236" s="3" t="s">
        <v>2261</v>
      </c>
      <c r="C2236" s="3" t="s">
        <v>660</v>
      </c>
      <c r="D2236" s="3">
        <v>127.0</v>
      </c>
      <c r="E2236" s="3">
        <v>0.85</v>
      </c>
      <c r="F2236" s="3">
        <v>5.5</v>
      </c>
      <c r="G2236" s="3">
        <v>26.44</v>
      </c>
    </row>
    <row r="2237">
      <c r="A2237" s="3">
        <v>169747.0</v>
      </c>
      <c r="B2237" s="3" t="s">
        <v>2262</v>
      </c>
      <c r="C2237" s="3" t="s">
        <v>660</v>
      </c>
      <c r="D2237" s="3">
        <v>367.0</v>
      </c>
      <c r="E2237" s="3">
        <v>2.38</v>
      </c>
      <c r="F2237" s="3">
        <v>13.3</v>
      </c>
      <c r="G2237" s="3">
        <v>73.13</v>
      </c>
    </row>
    <row r="2238">
      <c r="A2238" s="3">
        <v>169748.0</v>
      </c>
      <c r="B2238" s="3" t="s">
        <v>2263</v>
      </c>
      <c r="C2238" s="3" t="s">
        <v>660</v>
      </c>
      <c r="D2238" s="3">
        <v>361.0</v>
      </c>
      <c r="E2238" s="3">
        <v>3.86</v>
      </c>
      <c r="F2238" s="3">
        <v>6.93</v>
      </c>
      <c r="G2238" s="3">
        <v>76.85</v>
      </c>
    </row>
    <row r="2239">
      <c r="A2239" s="3">
        <v>169749.0</v>
      </c>
      <c r="B2239" s="3" t="s">
        <v>2264</v>
      </c>
      <c r="C2239" s="3" t="s">
        <v>660</v>
      </c>
      <c r="D2239" s="3">
        <v>363.0</v>
      </c>
      <c r="E2239" s="3">
        <v>3.69</v>
      </c>
      <c r="F2239" s="3">
        <v>8.46</v>
      </c>
      <c r="G2239" s="3">
        <v>76.59</v>
      </c>
    </row>
    <row r="2240">
      <c r="A2240" s="3">
        <v>169750.0</v>
      </c>
      <c r="B2240" s="3" t="s">
        <v>2265</v>
      </c>
      <c r="C2240" s="3" t="s">
        <v>660</v>
      </c>
      <c r="D2240" s="3">
        <v>362.0</v>
      </c>
      <c r="E2240" s="3">
        <v>3.59</v>
      </c>
      <c r="F2240" s="3">
        <v>8.12</v>
      </c>
      <c r="G2240" s="3">
        <v>76.89</v>
      </c>
    </row>
    <row r="2241">
      <c r="A2241" s="3">
        <v>169751.0</v>
      </c>
      <c r="B2241" s="3" t="s">
        <v>2266</v>
      </c>
      <c r="C2241" s="3" t="s">
        <v>660</v>
      </c>
      <c r="D2241" s="3">
        <v>157.0</v>
      </c>
      <c r="E2241" s="3">
        <v>0.93</v>
      </c>
      <c r="F2241" s="3">
        <v>5.8</v>
      </c>
      <c r="G2241" s="3">
        <v>30.59</v>
      </c>
    </row>
    <row r="2242">
      <c r="A2242" s="3">
        <v>169752.0</v>
      </c>
      <c r="B2242" s="3" t="s">
        <v>2267</v>
      </c>
      <c r="C2242" s="3" t="s">
        <v>660</v>
      </c>
      <c r="D2242" s="3">
        <v>72.0</v>
      </c>
      <c r="E2242" s="3">
        <v>0.88</v>
      </c>
      <c r="F2242" s="3">
        <v>1.48</v>
      </c>
      <c r="G2242" s="3">
        <v>14.26</v>
      </c>
    </row>
    <row r="2243">
      <c r="A2243" s="3">
        <v>169753.0</v>
      </c>
      <c r="B2243" s="3" t="s">
        <v>2268</v>
      </c>
      <c r="C2243" s="3" t="s">
        <v>660</v>
      </c>
      <c r="D2243" s="3">
        <v>130.0</v>
      </c>
      <c r="E2243" s="3">
        <v>0.28</v>
      </c>
      <c r="F2243" s="3">
        <v>2.69</v>
      </c>
      <c r="G2243" s="3">
        <v>28.17</v>
      </c>
    </row>
    <row r="2244">
      <c r="A2244" s="3">
        <v>169754.0</v>
      </c>
      <c r="B2244" s="3" t="s">
        <v>2269</v>
      </c>
      <c r="C2244" s="3" t="s">
        <v>660</v>
      </c>
      <c r="D2244" s="3">
        <v>364.0</v>
      </c>
      <c r="E2244" s="3">
        <v>0.98</v>
      </c>
      <c r="F2244" s="3">
        <v>10.33</v>
      </c>
      <c r="G2244" s="3">
        <v>76.31</v>
      </c>
    </row>
    <row r="2245">
      <c r="A2245" s="3">
        <v>169755.0</v>
      </c>
      <c r="B2245" s="3" t="s">
        <v>2270</v>
      </c>
      <c r="C2245" s="3" t="s">
        <v>660</v>
      </c>
      <c r="D2245" s="3">
        <v>384.0</v>
      </c>
      <c r="E2245" s="3">
        <v>4.44</v>
      </c>
      <c r="F2245" s="3">
        <v>14.16</v>
      </c>
      <c r="G2245" s="3">
        <v>71.27</v>
      </c>
    </row>
    <row r="2246">
      <c r="A2246" s="3">
        <v>169756.0</v>
      </c>
      <c r="B2246" s="3" t="s">
        <v>2271</v>
      </c>
      <c r="C2246" s="3" t="s">
        <v>660</v>
      </c>
      <c r="D2246" s="3">
        <v>365.0</v>
      </c>
      <c r="E2246" s="3">
        <v>0.66</v>
      </c>
      <c r="F2246" s="3">
        <v>7.13</v>
      </c>
      <c r="G2246" s="3">
        <v>79.95</v>
      </c>
    </row>
    <row r="2247">
      <c r="A2247" s="3">
        <v>169757.0</v>
      </c>
      <c r="B2247" s="3" t="s">
        <v>2272</v>
      </c>
      <c r="C2247" s="3" t="s">
        <v>660</v>
      </c>
      <c r="D2247" s="3">
        <v>130.0</v>
      </c>
      <c r="E2247" s="3">
        <v>0.28</v>
      </c>
      <c r="F2247" s="3">
        <v>2.69</v>
      </c>
      <c r="G2247" s="3">
        <v>28.17</v>
      </c>
    </row>
    <row r="2248">
      <c r="A2248" s="3">
        <v>169758.0</v>
      </c>
      <c r="B2248" s="3" t="s">
        <v>2273</v>
      </c>
      <c r="C2248" s="3" t="s">
        <v>660</v>
      </c>
      <c r="D2248" s="3">
        <v>374.0</v>
      </c>
      <c r="E2248" s="3">
        <v>1.03</v>
      </c>
      <c r="F2248" s="3">
        <v>7.51</v>
      </c>
      <c r="G2248" s="3">
        <v>80.89</v>
      </c>
    </row>
    <row r="2249">
      <c r="A2249" s="3">
        <v>169759.0</v>
      </c>
      <c r="B2249" s="3" t="s">
        <v>2274</v>
      </c>
      <c r="C2249" s="3" t="s">
        <v>660</v>
      </c>
      <c r="D2249" s="3">
        <v>123.0</v>
      </c>
      <c r="E2249" s="3">
        <v>0.37</v>
      </c>
      <c r="F2249" s="3">
        <v>2.91</v>
      </c>
      <c r="G2249" s="3">
        <v>26.05</v>
      </c>
    </row>
    <row r="2250">
      <c r="A2250" s="3">
        <v>169760.0</v>
      </c>
      <c r="B2250" s="3" t="s">
        <v>2275</v>
      </c>
      <c r="C2250" s="3" t="s">
        <v>660</v>
      </c>
      <c r="D2250" s="3">
        <v>360.0</v>
      </c>
      <c r="E2250" s="3">
        <v>0.58</v>
      </c>
      <c r="F2250" s="3">
        <v>6.61</v>
      </c>
      <c r="G2250" s="3">
        <v>79.34</v>
      </c>
    </row>
    <row r="2251">
      <c r="A2251" s="3">
        <v>169761.0</v>
      </c>
      <c r="B2251" s="3" t="s">
        <v>2276</v>
      </c>
      <c r="C2251" s="3" t="s">
        <v>660</v>
      </c>
      <c r="D2251" s="3">
        <v>364.0</v>
      </c>
      <c r="E2251" s="3">
        <v>0.98</v>
      </c>
      <c r="F2251" s="3">
        <v>10.33</v>
      </c>
      <c r="G2251" s="3">
        <v>76.31</v>
      </c>
    </row>
    <row r="2252">
      <c r="A2252" s="3">
        <v>169762.0</v>
      </c>
      <c r="B2252" s="3" t="s">
        <v>2277</v>
      </c>
      <c r="C2252" s="3" t="s">
        <v>660</v>
      </c>
      <c r="D2252" s="3">
        <v>138.0</v>
      </c>
      <c r="E2252" s="3">
        <v>2.07</v>
      </c>
      <c r="F2252" s="3">
        <v>4.54</v>
      </c>
      <c r="G2252" s="3">
        <v>25.16</v>
      </c>
    </row>
    <row r="2253">
      <c r="A2253" s="3">
        <v>169763.0</v>
      </c>
      <c r="B2253" s="3" t="s">
        <v>2278</v>
      </c>
      <c r="C2253" s="3" t="s">
        <v>101</v>
      </c>
      <c r="D2253" s="3">
        <v>119.0</v>
      </c>
      <c r="E2253" s="3">
        <v>1.85</v>
      </c>
      <c r="F2253" s="3">
        <v>1.99</v>
      </c>
      <c r="G2253" s="3">
        <v>23.44</v>
      </c>
    </row>
    <row r="2254">
      <c r="A2254" s="3">
        <v>169764.0</v>
      </c>
      <c r="B2254" s="3" t="s">
        <v>2279</v>
      </c>
      <c r="C2254" s="3" t="s">
        <v>101</v>
      </c>
      <c r="D2254" s="3">
        <v>162.0</v>
      </c>
      <c r="E2254" s="3">
        <v>5.84</v>
      </c>
      <c r="F2254" s="3">
        <v>2.47</v>
      </c>
      <c r="G2254" s="3">
        <v>25.01</v>
      </c>
    </row>
    <row r="2255">
      <c r="A2255" s="3">
        <v>169765.0</v>
      </c>
      <c r="B2255" s="3" t="s">
        <v>2280</v>
      </c>
      <c r="C2255" s="3" t="s">
        <v>101</v>
      </c>
      <c r="D2255" s="3">
        <v>20.0</v>
      </c>
      <c r="E2255" s="3">
        <v>0.1</v>
      </c>
      <c r="F2255" s="3">
        <v>0.33</v>
      </c>
      <c r="G2255" s="3">
        <v>4.83</v>
      </c>
    </row>
    <row r="2256">
      <c r="A2256" s="3">
        <v>169766.0</v>
      </c>
      <c r="B2256" s="3" t="s">
        <v>2281</v>
      </c>
      <c r="C2256" s="3" t="s">
        <v>101</v>
      </c>
      <c r="D2256" s="3">
        <v>22.0</v>
      </c>
      <c r="E2256" s="3">
        <v>0.4</v>
      </c>
      <c r="F2256" s="3">
        <v>0.8</v>
      </c>
      <c r="G2256" s="3">
        <v>4.56</v>
      </c>
    </row>
    <row r="2257">
      <c r="A2257" s="3">
        <v>169767.0</v>
      </c>
      <c r="B2257" s="3" t="s">
        <v>2282</v>
      </c>
      <c r="C2257" s="3" t="s">
        <v>101</v>
      </c>
      <c r="D2257" s="3">
        <v>31.0</v>
      </c>
      <c r="E2257" s="3">
        <v>0.04</v>
      </c>
      <c r="F2257" s="3">
        <v>0.49</v>
      </c>
      <c r="G2257" s="3">
        <v>8.13</v>
      </c>
    </row>
    <row r="2258">
      <c r="A2258" s="3">
        <v>169768.0</v>
      </c>
      <c r="B2258" s="3" t="s">
        <v>2283</v>
      </c>
      <c r="C2258" s="3" t="s">
        <v>101</v>
      </c>
      <c r="D2258" s="3">
        <v>106.0</v>
      </c>
      <c r="E2258" s="3">
        <v>5.01</v>
      </c>
      <c r="F2258" s="3">
        <v>1.97</v>
      </c>
      <c r="G2258" s="3">
        <v>13.29</v>
      </c>
    </row>
    <row r="2259">
      <c r="A2259" s="3">
        <v>169769.0</v>
      </c>
      <c r="B2259" s="3" t="s">
        <v>2284</v>
      </c>
      <c r="C2259" s="3" t="s">
        <v>1464</v>
      </c>
      <c r="D2259" s="3">
        <v>334.0</v>
      </c>
      <c r="E2259" s="3">
        <v>10.67</v>
      </c>
      <c r="F2259" s="3">
        <v>12.73</v>
      </c>
      <c r="G2259" s="3">
        <v>46.66</v>
      </c>
    </row>
    <row r="2260">
      <c r="A2260" s="3">
        <v>169770.0</v>
      </c>
      <c r="B2260" s="3" t="s">
        <v>2285</v>
      </c>
      <c r="C2260" s="3" t="s">
        <v>1464</v>
      </c>
      <c r="D2260" s="3">
        <v>164.0</v>
      </c>
      <c r="E2260" s="3">
        <v>4.99</v>
      </c>
      <c r="F2260" s="3">
        <v>6.68</v>
      </c>
      <c r="G2260" s="3">
        <v>23.1</v>
      </c>
    </row>
    <row r="2261">
      <c r="A2261" s="3">
        <v>169771.0</v>
      </c>
      <c r="B2261" s="3" t="s">
        <v>2286</v>
      </c>
      <c r="C2261" s="3" t="s">
        <v>1464</v>
      </c>
      <c r="D2261" s="3">
        <v>284.0</v>
      </c>
      <c r="E2261" s="3">
        <v>12.54</v>
      </c>
      <c r="F2261" s="3">
        <v>9.21</v>
      </c>
      <c r="G2261" s="3">
        <v>33.63</v>
      </c>
    </row>
    <row r="2262">
      <c r="A2262" s="3">
        <v>169772.0</v>
      </c>
      <c r="B2262" s="3" t="s">
        <v>2287</v>
      </c>
      <c r="C2262" s="3" t="s">
        <v>1464</v>
      </c>
      <c r="D2262" s="3">
        <v>287.0</v>
      </c>
      <c r="E2262" s="3">
        <v>12.79</v>
      </c>
      <c r="F2262" s="3">
        <v>9.4</v>
      </c>
      <c r="G2262" s="3">
        <v>33.46</v>
      </c>
    </row>
    <row r="2263">
      <c r="A2263" s="3">
        <v>169773.0</v>
      </c>
      <c r="B2263" s="3" t="s">
        <v>2288</v>
      </c>
      <c r="C2263" s="3" t="s">
        <v>1464</v>
      </c>
      <c r="D2263" s="3">
        <v>136.0</v>
      </c>
      <c r="E2263" s="3">
        <v>5.52</v>
      </c>
      <c r="F2263" s="3">
        <v>8.28</v>
      </c>
      <c r="G2263" s="3">
        <v>13.28</v>
      </c>
    </row>
    <row r="2264">
      <c r="A2264" s="3">
        <v>169774.0</v>
      </c>
      <c r="B2264" s="3" t="s">
        <v>2289</v>
      </c>
      <c r="C2264" s="3" t="s">
        <v>1464</v>
      </c>
      <c r="D2264" s="3">
        <v>297.0</v>
      </c>
      <c r="E2264" s="3">
        <v>4.03</v>
      </c>
      <c r="F2264" s="3">
        <v>13.1</v>
      </c>
      <c r="G2264" s="3">
        <v>52.06</v>
      </c>
    </row>
    <row r="2265">
      <c r="A2265" s="3">
        <v>169775.0</v>
      </c>
      <c r="B2265" s="3" t="s">
        <v>2290</v>
      </c>
      <c r="C2265" s="3" t="s">
        <v>1464</v>
      </c>
      <c r="D2265" s="3">
        <v>235.0</v>
      </c>
      <c r="E2265" s="3">
        <v>9.45</v>
      </c>
      <c r="F2265" s="3">
        <v>10.24</v>
      </c>
      <c r="G2265" s="3">
        <v>27.29</v>
      </c>
    </row>
    <row r="2266">
      <c r="A2266" s="3">
        <v>169776.0</v>
      </c>
      <c r="B2266" s="3" t="s">
        <v>2291</v>
      </c>
      <c r="C2266" s="3" t="s">
        <v>1464</v>
      </c>
      <c r="D2266" s="3">
        <v>388.0</v>
      </c>
      <c r="E2266" s="3">
        <v>6.56</v>
      </c>
      <c r="F2266" s="3">
        <v>11.48</v>
      </c>
      <c r="G2266" s="3">
        <v>70.75</v>
      </c>
    </row>
    <row r="2267">
      <c r="A2267" s="3">
        <v>169777.0</v>
      </c>
      <c r="B2267" s="3" t="s">
        <v>2292</v>
      </c>
      <c r="C2267" s="3" t="s">
        <v>1464</v>
      </c>
      <c r="D2267" s="3">
        <v>125.0</v>
      </c>
      <c r="E2267" s="3">
        <v>2.38</v>
      </c>
      <c r="F2267" s="3">
        <v>3.27</v>
      </c>
      <c r="G2267" s="3">
        <v>22.74</v>
      </c>
    </row>
    <row r="2268">
      <c r="A2268" s="3">
        <v>169778.0</v>
      </c>
      <c r="B2268" s="3" t="s">
        <v>2293</v>
      </c>
      <c r="C2268" s="3" t="s">
        <v>1464</v>
      </c>
      <c r="D2268" s="3">
        <v>362.0</v>
      </c>
      <c r="E2268" s="3">
        <v>3.51</v>
      </c>
      <c r="F2268" s="3">
        <v>8.77</v>
      </c>
      <c r="G2268" s="3">
        <v>73.88</v>
      </c>
    </row>
    <row r="2269">
      <c r="A2269" s="3">
        <v>169779.0</v>
      </c>
      <c r="B2269" s="3" t="s">
        <v>2294</v>
      </c>
      <c r="C2269" s="3" t="s">
        <v>1464</v>
      </c>
      <c r="D2269" s="3">
        <v>195.0</v>
      </c>
      <c r="E2269" s="3">
        <v>6.14</v>
      </c>
      <c r="F2269" s="3">
        <v>5.26</v>
      </c>
      <c r="G2269" s="3">
        <v>29.64</v>
      </c>
    </row>
    <row r="2270">
      <c r="A2270" s="3">
        <v>169780.0</v>
      </c>
      <c r="B2270" s="3" t="s">
        <v>2295</v>
      </c>
      <c r="C2270" s="3" t="s">
        <v>1464</v>
      </c>
      <c r="D2270" s="3">
        <v>168.0</v>
      </c>
      <c r="E2270" s="3">
        <v>5.51</v>
      </c>
      <c r="F2270" s="3">
        <v>7.87</v>
      </c>
      <c r="G2270" s="3">
        <v>21.74</v>
      </c>
    </row>
    <row r="2271">
      <c r="A2271" s="3">
        <v>169781.0</v>
      </c>
      <c r="B2271" s="3" t="s">
        <v>2296</v>
      </c>
      <c r="C2271" s="3" t="s">
        <v>1464</v>
      </c>
      <c r="D2271" s="3">
        <v>324.0</v>
      </c>
      <c r="E2271" s="3">
        <v>22.13</v>
      </c>
      <c r="F2271" s="3">
        <v>9.54</v>
      </c>
      <c r="G2271" s="3">
        <v>21.57</v>
      </c>
    </row>
    <row r="2272">
      <c r="A2272" s="3">
        <v>169782.0</v>
      </c>
      <c r="B2272" s="3" t="s">
        <v>2297</v>
      </c>
      <c r="C2272" s="3" t="s">
        <v>1464</v>
      </c>
      <c r="D2272" s="3">
        <v>136.0</v>
      </c>
      <c r="E2272" s="3">
        <v>8.53</v>
      </c>
      <c r="F2272" s="3">
        <v>7.96</v>
      </c>
      <c r="G2272" s="3">
        <v>6.96</v>
      </c>
    </row>
    <row r="2273">
      <c r="A2273" s="3">
        <v>169783.0</v>
      </c>
      <c r="B2273" s="3" t="s">
        <v>2298</v>
      </c>
      <c r="C2273" s="3" t="s">
        <v>1464</v>
      </c>
      <c r="D2273" s="3">
        <v>155.0</v>
      </c>
      <c r="E2273" s="3">
        <v>11.1</v>
      </c>
      <c r="F2273" s="3">
        <v>6.89</v>
      </c>
      <c r="G2273" s="3">
        <v>6.96</v>
      </c>
    </row>
    <row r="2274">
      <c r="A2274" s="3">
        <v>169784.0</v>
      </c>
      <c r="B2274" s="3" t="s">
        <v>2299</v>
      </c>
      <c r="C2274" s="3" t="s">
        <v>1464</v>
      </c>
      <c r="D2274" s="3">
        <v>328.0</v>
      </c>
      <c r="E2274" s="3">
        <v>22.9</v>
      </c>
      <c r="F2274" s="3">
        <v>9.29</v>
      </c>
      <c r="G2274" s="3">
        <v>21.07</v>
      </c>
    </row>
    <row r="2275">
      <c r="A2275" s="3">
        <v>169785.0</v>
      </c>
      <c r="B2275" s="3" t="s">
        <v>2300</v>
      </c>
      <c r="C2275" s="3" t="s">
        <v>196</v>
      </c>
      <c r="D2275" s="3">
        <v>512.0</v>
      </c>
      <c r="E2275" s="3">
        <v>26.1</v>
      </c>
      <c r="F2275" s="3">
        <v>11.3</v>
      </c>
      <c r="G2275" s="3">
        <v>57.0</v>
      </c>
    </row>
    <row r="2276">
      <c r="A2276" s="3">
        <v>169786.0</v>
      </c>
      <c r="B2276" s="3" t="s">
        <v>2301</v>
      </c>
      <c r="C2276" s="3" t="s">
        <v>196</v>
      </c>
      <c r="D2276" s="3">
        <v>492.0</v>
      </c>
      <c r="E2276" s="3">
        <v>25.1</v>
      </c>
      <c r="F2276" s="3">
        <v>10.8</v>
      </c>
      <c r="G2276" s="3">
        <v>57.1</v>
      </c>
    </row>
    <row r="2277">
      <c r="A2277" s="3">
        <v>169787.0</v>
      </c>
      <c r="B2277" s="3" t="s">
        <v>2302</v>
      </c>
      <c r="C2277" s="3" t="s">
        <v>196</v>
      </c>
      <c r="D2277" s="3">
        <v>501.0</v>
      </c>
      <c r="E2277" s="3">
        <v>25.7</v>
      </c>
      <c r="F2277" s="3">
        <v>11.1</v>
      </c>
      <c r="G2277" s="3">
        <v>56.3</v>
      </c>
    </row>
    <row r="2278">
      <c r="A2278" s="3">
        <v>169788.0</v>
      </c>
      <c r="B2278" s="3" t="s">
        <v>2303</v>
      </c>
      <c r="C2278" s="3" t="s">
        <v>196</v>
      </c>
      <c r="D2278" s="3">
        <v>476.0</v>
      </c>
      <c r="E2278" s="3">
        <v>21.0</v>
      </c>
      <c r="F2278" s="3">
        <v>15.7</v>
      </c>
      <c r="G2278" s="3">
        <v>56.0</v>
      </c>
    </row>
    <row r="2279">
      <c r="A2279" s="3">
        <v>169789.0</v>
      </c>
      <c r="B2279" s="3" t="s">
        <v>2304</v>
      </c>
      <c r="C2279" s="3" t="s">
        <v>196</v>
      </c>
      <c r="D2279" s="3">
        <v>67.0</v>
      </c>
      <c r="E2279" s="3">
        <v>3.34</v>
      </c>
      <c r="F2279" s="3">
        <v>1.97</v>
      </c>
      <c r="G2279" s="3">
        <v>7.19</v>
      </c>
    </row>
    <row r="2280">
      <c r="A2280" s="3">
        <v>169790.0</v>
      </c>
      <c r="B2280" s="3" t="s">
        <v>2305</v>
      </c>
      <c r="C2280" s="3" t="s">
        <v>196</v>
      </c>
      <c r="D2280" s="3">
        <v>66.0</v>
      </c>
      <c r="E2280" s="3">
        <v>3.48</v>
      </c>
      <c r="F2280" s="3">
        <v>1.38</v>
      </c>
      <c r="G2280" s="3">
        <v>7.39</v>
      </c>
    </row>
    <row r="2281">
      <c r="A2281" s="3">
        <v>169791.0</v>
      </c>
      <c r="B2281" s="3" t="s">
        <v>2306</v>
      </c>
      <c r="C2281" s="3" t="s">
        <v>196</v>
      </c>
      <c r="D2281" s="3">
        <v>510.0</v>
      </c>
      <c r="E2281" s="3">
        <v>27.0</v>
      </c>
      <c r="F2281" s="3">
        <v>10.8</v>
      </c>
      <c r="G2281" s="3">
        <v>57.0</v>
      </c>
    </row>
    <row r="2282">
      <c r="A2282" s="3">
        <v>169792.0</v>
      </c>
      <c r="B2282" s="3" t="s">
        <v>2307</v>
      </c>
      <c r="C2282" s="3" t="s">
        <v>196</v>
      </c>
      <c r="D2282" s="3">
        <v>69.0</v>
      </c>
      <c r="E2282" s="3">
        <v>0.0</v>
      </c>
      <c r="F2282" s="3">
        <v>1.06</v>
      </c>
      <c r="G2282" s="3">
        <v>20.41</v>
      </c>
    </row>
    <row r="2283">
      <c r="A2283" s="3">
        <v>169793.0</v>
      </c>
      <c r="B2283" s="3" t="s">
        <v>2308</v>
      </c>
      <c r="C2283" s="3" t="s">
        <v>107</v>
      </c>
      <c r="D2283" s="3">
        <v>155.0</v>
      </c>
      <c r="E2283" s="3">
        <v>8.3</v>
      </c>
      <c r="F2283" s="3">
        <v>20.1</v>
      </c>
      <c r="G2283" s="3">
        <v>0.0</v>
      </c>
    </row>
    <row r="2284">
      <c r="A2284" s="3">
        <v>169794.0</v>
      </c>
      <c r="B2284" s="3" t="s">
        <v>2309</v>
      </c>
      <c r="C2284" s="3" t="s">
        <v>107</v>
      </c>
      <c r="D2284" s="3">
        <v>130.0</v>
      </c>
      <c r="E2284" s="3">
        <v>3.1</v>
      </c>
      <c r="F2284" s="3">
        <v>25.6</v>
      </c>
      <c r="G2284" s="3">
        <v>0.0</v>
      </c>
    </row>
    <row r="2285">
      <c r="A2285" s="3">
        <v>169795.0</v>
      </c>
      <c r="B2285" s="3" t="s">
        <v>2310</v>
      </c>
      <c r="C2285" s="3" t="s">
        <v>107</v>
      </c>
      <c r="D2285" s="3">
        <v>327.0</v>
      </c>
      <c r="E2285" s="3">
        <v>5.34</v>
      </c>
      <c r="F2285" s="3">
        <v>69.86</v>
      </c>
      <c r="G2285" s="3">
        <v>0.0</v>
      </c>
    </row>
    <row r="2286">
      <c r="A2286" s="3">
        <v>169796.0</v>
      </c>
      <c r="B2286" s="3" t="s">
        <v>2311</v>
      </c>
      <c r="C2286" s="3" t="s">
        <v>107</v>
      </c>
      <c r="D2286" s="3">
        <v>291.0</v>
      </c>
      <c r="E2286" s="3">
        <v>23.3</v>
      </c>
      <c r="F2286" s="3">
        <v>19.6</v>
      </c>
      <c r="G2286" s="3">
        <v>0.0</v>
      </c>
    </row>
    <row r="2287">
      <c r="A2287" s="3">
        <v>169797.0</v>
      </c>
      <c r="B2287" s="3" t="s">
        <v>2312</v>
      </c>
      <c r="C2287" s="3" t="s">
        <v>107</v>
      </c>
      <c r="D2287" s="3">
        <v>111.0</v>
      </c>
      <c r="E2287" s="3">
        <v>0.5</v>
      </c>
      <c r="F2287" s="3">
        <v>26.5</v>
      </c>
      <c r="G2287" s="3">
        <v>0.0</v>
      </c>
    </row>
    <row r="2288">
      <c r="A2288" s="3">
        <v>169798.0</v>
      </c>
      <c r="B2288" s="3" t="s">
        <v>2313</v>
      </c>
      <c r="C2288" s="3" t="s">
        <v>107</v>
      </c>
      <c r="D2288" s="3">
        <v>82.0</v>
      </c>
      <c r="E2288" s="3">
        <v>1.75</v>
      </c>
      <c r="F2288" s="3">
        <v>15.5</v>
      </c>
      <c r="G2288" s="3">
        <v>0.0</v>
      </c>
    </row>
    <row r="2289">
      <c r="A2289" s="3">
        <v>169799.0</v>
      </c>
      <c r="B2289" s="3" t="s">
        <v>2314</v>
      </c>
      <c r="C2289" s="3" t="s">
        <v>107</v>
      </c>
      <c r="D2289" s="3">
        <v>44.0</v>
      </c>
      <c r="E2289" s="3">
        <v>0.0</v>
      </c>
      <c r="F2289" s="3">
        <v>0.7</v>
      </c>
      <c r="G2289" s="3">
        <v>10.4</v>
      </c>
    </row>
    <row r="2290">
      <c r="A2290" s="3">
        <v>169800.0</v>
      </c>
      <c r="B2290" s="3" t="s">
        <v>2315</v>
      </c>
      <c r="C2290" s="3" t="s">
        <v>107</v>
      </c>
      <c r="D2290" s="3">
        <v>786.0</v>
      </c>
      <c r="E2290" s="3">
        <v>84.4</v>
      </c>
      <c r="F2290" s="3">
        <v>6.7</v>
      </c>
      <c r="G2290" s="3">
        <v>0.0</v>
      </c>
    </row>
    <row r="2291">
      <c r="A2291" s="3">
        <v>169801.0</v>
      </c>
      <c r="B2291" s="3" t="s">
        <v>2316</v>
      </c>
      <c r="C2291" s="3" t="s">
        <v>107</v>
      </c>
      <c r="D2291" s="3">
        <v>326.0</v>
      </c>
      <c r="E2291" s="3">
        <v>31.4</v>
      </c>
      <c r="F2291" s="3">
        <v>10.8</v>
      </c>
      <c r="G2291" s="3">
        <v>0.0</v>
      </c>
    </row>
    <row r="2292">
      <c r="A2292" s="3">
        <v>169802.0</v>
      </c>
      <c r="B2292" s="3" t="s">
        <v>2317</v>
      </c>
      <c r="C2292" s="3" t="s">
        <v>107</v>
      </c>
      <c r="D2292" s="3">
        <v>51.0</v>
      </c>
      <c r="E2292" s="3">
        <v>0.8</v>
      </c>
      <c r="F2292" s="3">
        <v>2.4</v>
      </c>
      <c r="G2292" s="3">
        <v>8.6</v>
      </c>
    </row>
    <row r="2293">
      <c r="A2293" s="3">
        <v>169803.0</v>
      </c>
      <c r="B2293" s="3" t="s">
        <v>2318</v>
      </c>
      <c r="C2293" s="3" t="s">
        <v>107</v>
      </c>
      <c r="D2293" s="3">
        <v>79.0</v>
      </c>
      <c r="E2293" s="3">
        <v>0.7</v>
      </c>
      <c r="F2293" s="3">
        <v>13.5</v>
      </c>
      <c r="G2293" s="3">
        <v>4.7</v>
      </c>
    </row>
    <row r="2294">
      <c r="A2294" s="3">
        <v>169804.0</v>
      </c>
      <c r="B2294" s="3" t="s">
        <v>2319</v>
      </c>
      <c r="C2294" s="3" t="s">
        <v>107</v>
      </c>
      <c r="D2294" s="3">
        <v>55.0</v>
      </c>
      <c r="E2294" s="3">
        <v>0.2</v>
      </c>
      <c r="F2294" s="3">
        <v>1.1</v>
      </c>
      <c r="G2294" s="3">
        <v>12.3</v>
      </c>
    </row>
    <row r="2295">
      <c r="A2295" s="3">
        <v>169805.0</v>
      </c>
      <c r="B2295" s="3" t="s">
        <v>2320</v>
      </c>
      <c r="C2295" s="3" t="s">
        <v>107</v>
      </c>
      <c r="D2295" s="3">
        <v>55.0</v>
      </c>
      <c r="E2295" s="3">
        <v>0.5</v>
      </c>
      <c r="F2295" s="3">
        <v>0.4</v>
      </c>
      <c r="G2295" s="3">
        <v>12.2</v>
      </c>
    </row>
    <row r="2296">
      <c r="A2296" s="3">
        <v>169806.0</v>
      </c>
      <c r="B2296" s="3" t="s">
        <v>2321</v>
      </c>
      <c r="C2296" s="3" t="s">
        <v>107</v>
      </c>
      <c r="D2296" s="3">
        <v>74.0</v>
      </c>
      <c r="E2296" s="3">
        <v>1.93</v>
      </c>
      <c r="F2296" s="3">
        <v>9.6</v>
      </c>
      <c r="G2296" s="3">
        <v>4.47</v>
      </c>
    </row>
    <row r="2297">
      <c r="A2297" s="3">
        <v>169807.0</v>
      </c>
      <c r="B2297" s="3" t="s">
        <v>2322</v>
      </c>
      <c r="C2297" s="3" t="s">
        <v>107</v>
      </c>
      <c r="D2297" s="3">
        <v>489.0</v>
      </c>
      <c r="E2297" s="3">
        <v>34.6</v>
      </c>
      <c r="F2297" s="3">
        <v>44.5</v>
      </c>
      <c r="G2297" s="3">
        <v>0.0</v>
      </c>
    </row>
    <row r="2298">
      <c r="A2298" s="3">
        <v>169808.0</v>
      </c>
      <c r="B2298" s="3" t="s">
        <v>2323</v>
      </c>
      <c r="C2298" s="3" t="s">
        <v>107</v>
      </c>
      <c r="D2298" s="3">
        <v>37.0</v>
      </c>
      <c r="E2298" s="3">
        <v>0.1</v>
      </c>
      <c r="F2298" s="3">
        <v>0.4</v>
      </c>
      <c r="G2298" s="3">
        <v>8.7</v>
      </c>
    </row>
    <row r="2299">
      <c r="A2299" s="3">
        <v>169809.0</v>
      </c>
      <c r="B2299" s="3" t="s">
        <v>2324</v>
      </c>
      <c r="C2299" s="3" t="s">
        <v>107</v>
      </c>
      <c r="D2299" s="3">
        <v>79.0</v>
      </c>
      <c r="E2299" s="3">
        <v>0.8</v>
      </c>
      <c r="F2299" s="3">
        <v>17.9</v>
      </c>
      <c r="G2299" s="3">
        <v>0.0</v>
      </c>
    </row>
    <row r="2300">
      <c r="A2300" s="3">
        <v>169810.0</v>
      </c>
      <c r="B2300" s="3" t="s">
        <v>2325</v>
      </c>
      <c r="C2300" s="3" t="s">
        <v>107</v>
      </c>
      <c r="D2300" s="3">
        <v>424.0</v>
      </c>
      <c r="E2300" s="3">
        <v>42.0</v>
      </c>
      <c r="F2300" s="3">
        <v>5.6</v>
      </c>
      <c r="G2300" s="3">
        <v>6.0</v>
      </c>
    </row>
    <row r="2301">
      <c r="A2301" s="3">
        <v>169811.0</v>
      </c>
      <c r="B2301" s="3" t="s">
        <v>2326</v>
      </c>
      <c r="C2301" s="3" t="s">
        <v>107</v>
      </c>
      <c r="D2301" s="3">
        <v>258.0</v>
      </c>
      <c r="E2301" s="3">
        <v>1.05</v>
      </c>
      <c r="F2301" s="3">
        <v>9.0</v>
      </c>
      <c r="G2301" s="3">
        <v>53.26</v>
      </c>
    </row>
    <row r="2302">
      <c r="A2302" s="3">
        <v>169812.0</v>
      </c>
      <c r="B2302" s="3" t="s">
        <v>2327</v>
      </c>
      <c r="C2302" s="3" t="s">
        <v>107</v>
      </c>
      <c r="D2302" s="3">
        <v>113.0</v>
      </c>
      <c r="E2302" s="3">
        <v>2.73</v>
      </c>
      <c r="F2302" s="3">
        <v>22.13</v>
      </c>
      <c r="G2302" s="3">
        <v>0.0</v>
      </c>
    </row>
    <row r="2303">
      <c r="A2303" s="3">
        <v>169813.0</v>
      </c>
      <c r="B2303" s="3" t="s">
        <v>2328</v>
      </c>
      <c r="C2303" s="3" t="s">
        <v>107</v>
      </c>
      <c r="D2303" s="3">
        <v>345.0</v>
      </c>
      <c r="E2303" s="3">
        <v>11.43</v>
      </c>
      <c r="F2303" s="3">
        <v>60.62</v>
      </c>
      <c r="G2303" s="3">
        <v>0.0</v>
      </c>
    </row>
    <row r="2304">
      <c r="A2304" s="3">
        <v>169814.0</v>
      </c>
      <c r="B2304" s="3" t="s">
        <v>2329</v>
      </c>
      <c r="C2304" s="3" t="s">
        <v>107</v>
      </c>
      <c r="D2304" s="3">
        <v>68.0</v>
      </c>
      <c r="E2304" s="3">
        <v>0.15</v>
      </c>
      <c r="F2304" s="3">
        <v>0.52</v>
      </c>
      <c r="G2304" s="3">
        <v>16.23</v>
      </c>
    </row>
    <row r="2305">
      <c r="A2305" s="3">
        <v>169815.0</v>
      </c>
      <c r="B2305" s="3" t="s">
        <v>2330</v>
      </c>
      <c r="C2305" s="3" t="s">
        <v>107</v>
      </c>
      <c r="D2305" s="3">
        <v>48.0</v>
      </c>
      <c r="E2305" s="3">
        <v>0.16</v>
      </c>
      <c r="F2305" s="3">
        <v>4.06</v>
      </c>
      <c r="G2305" s="3">
        <v>7.47</v>
      </c>
    </row>
    <row r="2306">
      <c r="A2306" s="3">
        <v>169816.0</v>
      </c>
      <c r="B2306" s="3" t="s">
        <v>2331</v>
      </c>
      <c r="C2306" s="3" t="s">
        <v>107</v>
      </c>
      <c r="D2306" s="3">
        <v>42.0</v>
      </c>
      <c r="E2306" s="3">
        <v>0.11</v>
      </c>
      <c r="F2306" s="3">
        <v>0.12</v>
      </c>
      <c r="G2306" s="3">
        <v>10.17</v>
      </c>
    </row>
    <row r="2307">
      <c r="A2307" s="3">
        <v>169817.0</v>
      </c>
      <c r="B2307" s="3" t="s">
        <v>2332</v>
      </c>
      <c r="C2307" s="3" t="s">
        <v>107</v>
      </c>
      <c r="D2307" s="3">
        <v>91.0</v>
      </c>
      <c r="E2307" s="3">
        <v>0.31</v>
      </c>
      <c r="F2307" s="3">
        <v>0.39</v>
      </c>
      <c r="G2307" s="3">
        <v>21.57</v>
      </c>
    </row>
    <row r="2308">
      <c r="A2308" s="3">
        <v>169818.0</v>
      </c>
      <c r="B2308" s="3" t="s">
        <v>2333</v>
      </c>
      <c r="C2308" s="3" t="s">
        <v>107</v>
      </c>
      <c r="D2308" s="3">
        <v>156.0</v>
      </c>
      <c r="E2308" s="3">
        <v>0.36</v>
      </c>
      <c r="F2308" s="3">
        <v>2.62</v>
      </c>
      <c r="G2308" s="3">
        <v>35.67</v>
      </c>
    </row>
    <row r="2309">
      <c r="A2309" s="3">
        <v>169819.0</v>
      </c>
      <c r="B2309" s="3" t="s">
        <v>2334</v>
      </c>
      <c r="C2309" s="3" t="s">
        <v>107</v>
      </c>
      <c r="D2309" s="3">
        <v>42.0</v>
      </c>
      <c r="E2309" s="3">
        <v>0.11</v>
      </c>
      <c r="F2309" s="3">
        <v>2.71</v>
      </c>
      <c r="G2309" s="3">
        <v>7.49</v>
      </c>
    </row>
    <row r="2310">
      <c r="A2310" s="3">
        <v>169820.0</v>
      </c>
      <c r="B2310" s="3" t="s">
        <v>2335</v>
      </c>
      <c r="C2310" s="3" t="s">
        <v>107</v>
      </c>
      <c r="D2310" s="3">
        <v>91.0</v>
      </c>
      <c r="E2310" s="3">
        <v>0.17</v>
      </c>
      <c r="F2310" s="3">
        <v>0.43</v>
      </c>
      <c r="G2310" s="3">
        <v>21.95</v>
      </c>
    </row>
    <row r="2311">
      <c r="A2311" s="3">
        <v>169821.0</v>
      </c>
      <c r="B2311" s="3" t="s">
        <v>2336</v>
      </c>
      <c r="C2311" s="3" t="s">
        <v>107</v>
      </c>
      <c r="D2311" s="3">
        <v>541.0</v>
      </c>
      <c r="E2311" s="3">
        <v>34.08</v>
      </c>
      <c r="F2311" s="3">
        <v>7.41</v>
      </c>
      <c r="G2311" s="3">
        <v>51.06</v>
      </c>
    </row>
    <row r="2312">
      <c r="A2312" s="3">
        <v>169822.0</v>
      </c>
      <c r="B2312" s="3" t="s">
        <v>2337</v>
      </c>
      <c r="C2312" s="3" t="s">
        <v>107</v>
      </c>
      <c r="D2312" s="3">
        <v>159.0</v>
      </c>
      <c r="E2312" s="3">
        <v>4.82</v>
      </c>
      <c r="F2312" s="3">
        <v>28.81</v>
      </c>
      <c r="G2312" s="3">
        <v>0.0</v>
      </c>
    </row>
    <row r="2313">
      <c r="A2313" s="3">
        <v>169823.0</v>
      </c>
      <c r="B2313" s="3" t="s">
        <v>2338</v>
      </c>
      <c r="C2313" s="3" t="s">
        <v>107</v>
      </c>
      <c r="D2313" s="3">
        <v>470.0</v>
      </c>
      <c r="E2313" s="3">
        <v>43.5</v>
      </c>
      <c r="F2313" s="3">
        <v>9.0</v>
      </c>
      <c r="G2313" s="3">
        <v>10.5</v>
      </c>
    </row>
    <row r="2314">
      <c r="A2314" s="3">
        <v>169824.0</v>
      </c>
      <c r="B2314" s="3" t="s">
        <v>2339</v>
      </c>
      <c r="C2314" s="3" t="s">
        <v>107</v>
      </c>
      <c r="D2314" s="3">
        <v>242.0</v>
      </c>
      <c r="E2314" s="3">
        <v>14.65</v>
      </c>
      <c r="F2314" s="3">
        <v>22.1</v>
      </c>
      <c r="G2314" s="3">
        <v>5.55</v>
      </c>
    </row>
    <row r="2315">
      <c r="A2315" s="3">
        <v>169825.0</v>
      </c>
      <c r="B2315" s="3" t="s">
        <v>2340</v>
      </c>
      <c r="C2315" s="3" t="s">
        <v>107</v>
      </c>
      <c r="D2315" s="3">
        <v>850.0</v>
      </c>
      <c r="E2315" s="3">
        <v>94.0</v>
      </c>
      <c r="F2315" s="3">
        <v>0.9</v>
      </c>
      <c r="G2315" s="3">
        <v>0.0</v>
      </c>
    </row>
    <row r="2316">
      <c r="A2316" s="3">
        <v>169826.0</v>
      </c>
      <c r="B2316" s="3" t="s">
        <v>2341</v>
      </c>
      <c r="C2316" s="3" t="s">
        <v>107</v>
      </c>
      <c r="D2316" s="3">
        <v>361.0</v>
      </c>
      <c r="E2316" s="3">
        <v>1.07</v>
      </c>
      <c r="F2316" s="3">
        <v>7.9</v>
      </c>
      <c r="G2316" s="3">
        <v>80.02</v>
      </c>
    </row>
    <row r="2317">
      <c r="A2317" s="3">
        <v>169827.0</v>
      </c>
      <c r="B2317" s="3" t="s">
        <v>2342</v>
      </c>
      <c r="C2317" s="3" t="s">
        <v>107</v>
      </c>
      <c r="D2317" s="3">
        <v>628.0</v>
      </c>
      <c r="E2317" s="3">
        <v>52.99</v>
      </c>
      <c r="F2317" s="3">
        <v>14.89</v>
      </c>
      <c r="G2317" s="3">
        <v>22.98</v>
      </c>
    </row>
    <row r="2318">
      <c r="A2318" s="3">
        <v>169828.0</v>
      </c>
      <c r="B2318" s="3" t="s">
        <v>2343</v>
      </c>
      <c r="C2318" s="3" t="s">
        <v>107</v>
      </c>
      <c r="D2318" s="3">
        <v>2.0</v>
      </c>
      <c r="E2318" s="3">
        <v>0.2</v>
      </c>
      <c r="F2318" s="3">
        <v>0.12</v>
      </c>
      <c r="G2318" s="3">
        <v>0.0</v>
      </c>
    </row>
    <row r="2319">
      <c r="A2319" s="3">
        <v>169829.0</v>
      </c>
      <c r="B2319" s="3" t="s">
        <v>2344</v>
      </c>
      <c r="C2319" s="3" t="s">
        <v>107</v>
      </c>
      <c r="D2319" s="3">
        <v>276.0</v>
      </c>
      <c r="E2319" s="3">
        <v>1.4</v>
      </c>
      <c r="F2319" s="3">
        <v>7.83</v>
      </c>
      <c r="G2319" s="3">
        <v>58.12</v>
      </c>
    </row>
    <row r="2320">
      <c r="A2320" s="3">
        <v>169830.0</v>
      </c>
      <c r="B2320" s="3" t="s">
        <v>2345</v>
      </c>
      <c r="C2320" s="3" t="s">
        <v>107</v>
      </c>
      <c r="D2320" s="3">
        <v>186.0</v>
      </c>
      <c r="E2320" s="3">
        <v>1.53</v>
      </c>
      <c r="F2320" s="3">
        <v>3.1</v>
      </c>
      <c r="G2320" s="3">
        <v>39.84</v>
      </c>
    </row>
    <row r="2321">
      <c r="A2321" s="3">
        <v>169831.0</v>
      </c>
      <c r="B2321" s="3" t="s">
        <v>2346</v>
      </c>
      <c r="C2321" s="3" t="s">
        <v>158</v>
      </c>
      <c r="D2321" s="3">
        <v>189.0</v>
      </c>
      <c r="E2321" s="3">
        <v>9.08</v>
      </c>
      <c r="F2321" s="3">
        <v>26.85</v>
      </c>
      <c r="G2321" s="3">
        <v>0.0</v>
      </c>
    </row>
    <row r="2322">
      <c r="A2322" s="3">
        <v>169832.0</v>
      </c>
      <c r="B2322" s="3" t="s">
        <v>2347</v>
      </c>
      <c r="C2322" s="3" t="s">
        <v>158</v>
      </c>
      <c r="D2322" s="3">
        <v>302.0</v>
      </c>
      <c r="E2322" s="3">
        <v>19.02</v>
      </c>
      <c r="F2322" s="3">
        <v>11.87</v>
      </c>
      <c r="G2322" s="3">
        <v>20.87</v>
      </c>
    </row>
    <row r="2323">
      <c r="A2323" s="3">
        <v>169833.0</v>
      </c>
      <c r="B2323" s="3" t="s">
        <v>2348</v>
      </c>
      <c r="C2323" s="3" t="s">
        <v>158</v>
      </c>
      <c r="D2323" s="3">
        <v>296.0</v>
      </c>
      <c r="E2323" s="3">
        <v>14.82</v>
      </c>
      <c r="F2323" s="3">
        <v>3.74</v>
      </c>
      <c r="G2323" s="3">
        <v>36.9</v>
      </c>
    </row>
    <row r="2324">
      <c r="A2324" s="3">
        <v>169834.0</v>
      </c>
      <c r="B2324" s="3" t="s">
        <v>2349</v>
      </c>
      <c r="C2324" s="3" t="s">
        <v>158</v>
      </c>
      <c r="D2324" s="3">
        <v>333.0</v>
      </c>
      <c r="E2324" s="3">
        <v>18.76</v>
      </c>
      <c r="F2324" s="3">
        <v>15.82</v>
      </c>
      <c r="G2324" s="3">
        <v>25.33</v>
      </c>
    </row>
    <row r="2325">
      <c r="A2325" s="3">
        <v>169835.0</v>
      </c>
      <c r="B2325" s="3" t="s">
        <v>2350</v>
      </c>
      <c r="C2325" s="3" t="s">
        <v>158</v>
      </c>
      <c r="D2325" s="3">
        <v>121.0</v>
      </c>
      <c r="E2325" s="3">
        <v>3.45</v>
      </c>
      <c r="F2325" s="3">
        <v>5.03</v>
      </c>
      <c r="G2325" s="3">
        <v>17.4</v>
      </c>
    </row>
    <row r="2326">
      <c r="A2326" s="3">
        <v>169836.0</v>
      </c>
      <c r="B2326" s="3" t="s">
        <v>2351</v>
      </c>
      <c r="C2326" s="3" t="s">
        <v>158</v>
      </c>
      <c r="D2326" s="3">
        <v>289.0</v>
      </c>
      <c r="E2326" s="3">
        <v>14.04</v>
      </c>
      <c r="F2326" s="3">
        <v>3.49</v>
      </c>
      <c r="G2326" s="3">
        <v>37.2</v>
      </c>
    </row>
    <row r="2327">
      <c r="A2327" s="3">
        <v>169837.0</v>
      </c>
      <c r="B2327" s="3" t="s">
        <v>2352</v>
      </c>
      <c r="C2327" s="3" t="s">
        <v>158</v>
      </c>
      <c r="D2327" s="3">
        <v>307.0</v>
      </c>
      <c r="E2327" s="3">
        <v>17.45</v>
      </c>
      <c r="F2327" s="3">
        <v>18.68</v>
      </c>
      <c r="G2327" s="3">
        <v>18.77</v>
      </c>
    </row>
    <row r="2328">
      <c r="A2328" s="3">
        <v>169838.0</v>
      </c>
      <c r="B2328" s="3" t="s">
        <v>2353</v>
      </c>
      <c r="C2328" s="3" t="s">
        <v>158</v>
      </c>
      <c r="D2328" s="3">
        <v>308.0</v>
      </c>
      <c r="E2328" s="3">
        <v>18.67</v>
      </c>
      <c r="F2328" s="3">
        <v>12.67</v>
      </c>
      <c r="G2328" s="3">
        <v>22.29</v>
      </c>
    </row>
    <row r="2329">
      <c r="A2329" s="3">
        <v>169839.0</v>
      </c>
      <c r="B2329" s="3" t="s">
        <v>2354</v>
      </c>
      <c r="C2329" s="3" t="s">
        <v>158</v>
      </c>
      <c r="D2329" s="3">
        <v>151.0</v>
      </c>
      <c r="E2329" s="3">
        <v>6.06</v>
      </c>
      <c r="F2329" s="3">
        <v>5.42</v>
      </c>
      <c r="G2329" s="3">
        <v>18.8</v>
      </c>
    </row>
    <row r="2330">
      <c r="A2330" s="3">
        <v>169840.0</v>
      </c>
      <c r="B2330" s="3" t="s">
        <v>2355</v>
      </c>
      <c r="C2330" s="3" t="s">
        <v>158</v>
      </c>
      <c r="D2330" s="3">
        <v>356.0</v>
      </c>
      <c r="E2330" s="3">
        <v>19.61</v>
      </c>
      <c r="F2330" s="3">
        <v>4.58</v>
      </c>
      <c r="G2330" s="3">
        <v>40.17</v>
      </c>
    </row>
    <row r="2331">
      <c r="A2331" s="3">
        <v>169841.0</v>
      </c>
      <c r="B2331" s="3" t="s">
        <v>2356</v>
      </c>
      <c r="C2331" s="3" t="s">
        <v>158</v>
      </c>
      <c r="D2331" s="3">
        <v>297.0</v>
      </c>
      <c r="E2331" s="3">
        <v>16.24</v>
      </c>
      <c r="F2331" s="3">
        <v>19.62</v>
      </c>
      <c r="G2331" s="3">
        <v>17.98</v>
      </c>
    </row>
    <row r="2332">
      <c r="A2332" s="3">
        <v>169842.0</v>
      </c>
      <c r="B2332" s="3" t="s">
        <v>2357</v>
      </c>
      <c r="C2332" s="3" t="s">
        <v>158</v>
      </c>
      <c r="D2332" s="3">
        <v>293.0</v>
      </c>
      <c r="E2332" s="3">
        <v>15.48</v>
      </c>
      <c r="F2332" s="3">
        <v>18.06</v>
      </c>
      <c r="G2332" s="3">
        <v>20.29</v>
      </c>
    </row>
    <row r="2333">
      <c r="A2333" s="3">
        <v>169843.0</v>
      </c>
      <c r="B2333" s="3" t="s">
        <v>2358</v>
      </c>
      <c r="C2333" s="3" t="s">
        <v>158</v>
      </c>
      <c r="D2333" s="3">
        <v>175.0</v>
      </c>
      <c r="E2333" s="3">
        <v>13.22</v>
      </c>
      <c r="F2333" s="3">
        <v>0.89</v>
      </c>
      <c r="G2333" s="3">
        <v>13.01</v>
      </c>
    </row>
    <row r="2334">
      <c r="A2334" s="3">
        <v>169844.0</v>
      </c>
      <c r="B2334" s="3" t="s">
        <v>2359</v>
      </c>
      <c r="C2334" s="3" t="s">
        <v>158</v>
      </c>
      <c r="D2334" s="3">
        <v>385.0</v>
      </c>
      <c r="E2334" s="3">
        <v>22.23</v>
      </c>
      <c r="F2334" s="3">
        <v>5.29</v>
      </c>
      <c r="G2334" s="3">
        <v>41.05</v>
      </c>
    </row>
    <row r="2335">
      <c r="A2335" s="3">
        <v>169845.0</v>
      </c>
      <c r="B2335" s="3" t="s">
        <v>2360</v>
      </c>
      <c r="C2335" s="3" t="s">
        <v>158</v>
      </c>
      <c r="D2335" s="3">
        <v>170.0</v>
      </c>
      <c r="E2335" s="3">
        <v>8.52</v>
      </c>
      <c r="F2335" s="3">
        <v>7.84</v>
      </c>
      <c r="G2335" s="3">
        <v>15.51</v>
      </c>
    </row>
    <row r="2336">
      <c r="A2336" s="3">
        <v>169846.0</v>
      </c>
      <c r="B2336" s="3" t="s">
        <v>2361</v>
      </c>
      <c r="C2336" s="3" t="s">
        <v>158</v>
      </c>
      <c r="D2336" s="3">
        <v>219.0</v>
      </c>
      <c r="E2336" s="3">
        <v>10.79</v>
      </c>
      <c r="F2336" s="3">
        <v>13.49</v>
      </c>
      <c r="G2336" s="3">
        <v>16.89</v>
      </c>
    </row>
    <row r="2337">
      <c r="A2337" s="3">
        <v>169847.0</v>
      </c>
      <c r="B2337" s="3" t="s">
        <v>2362</v>
      </c>
      <c r="C2337" s="3" t="s">
        <v>158</v>
      </c>
      <c r="D2337" s="3">
        <v>302.0</v>
      </c>
      <c r="E2337" s="3">
        <v>16.63</v>
      </c>
      <c r="F2337" s="3">
        <v>18.88</v>
      </c>
      <c r="G2337" s="3">
        <v>19.29</v>
      </c>
    </row>
    <row r="2338">
      <c r="A2338" s="3">
        <v>169848.0</v>
      </c>
      <c r="B2338" s="3" t="s">
        <v>2363</v>
      </c>
      <c r="C2338" s="3" t="s">
        <v>158</v>
      </c>
      <c r="D2338" s="3">
        <v>197.0</v>
      </c>
      <c r="E2338" s="3">
        <v>8.99</v>
      </c>
      <c r="F2338" s="3">
        <v>2.49</v>
      </c>
      <c r="G2338" s="3">
        <v>26.59</v>
      </c>
    </row>
    <row r="2339">
      <c r="A2339" s="3">
        <v>169849.0</v>
      </c>
      <c r="B2339" s="3" t="s">
        <v>2364</v>
      </c>
      <c r="C2339" s="3" t="s">
        <v>158</v>
      </c>
      <c r="D2339" s="3">
        <v>194.0</v>
      </c>
      <c r="E2339" s="3">
        <v>11.75</v>
      </c>
      <c r="F2339" s="3">
        <v>6.49</v>
      </c>
      <c r="G2339" s="3">
        <v>15.61</v>
      </c>
    </row>
    <row r="2340">
      <c r="A2340" s="3">
        <v>169850.0</v>
      </c>
      <c r="B2340" s="3" t="s">
        <v>2365</v>
      </c>
      <c r="C2340" s="3" t="s">
        <v>158</v>
      </c>
      <c r="D2340" s="3">
        <v>185.0</v>
      </c>
      <c r="E2340" s="3">
        <v>10.69</v>
      </c>
      <c r="F2340" s="3">
        <v>10.83</v>
      </c>
      <c r="G2340" s="3">
        <v>11.36</v>
      </c>
    </row>
    <row r="2341">
      <c r="A2341" s="3">
        <v>169851.0</v>
      </c>
      <c r="B2341" s="3" t="s">
        <v>2366</v>
      </c>
      <c r="C2341" s="3" t="s">
        <v>158</v>
      </c>
      <c r="D2341" s="3">
        <v>184.0</v>
      </c>
      <c r="E2341" s="3">
        <v>10.84</v>
      </c>
      <c r="F2341" s="3">
        <v>11.28</v>
      </c>
      <c r="G2341" s="3">
        <v>10.33</v>
      </c>
    </row>
    <row r="2342">
      <c r="A2342" s="3">
        <v>169852.0</v>
      </c>
      <c r="B2342" s="3" t="s">
        <v>2367</v>
      </c>
      <c r="C2342" s="3" t="s">
        <v>158</v>
      </c>
      <c r="D2342" s="3">
        <v>102.0</v>
      </c>
      <c r="E2342" s="3">
        <v>1.85</v>
      </c>
      <c r="F2342" s="3">
        <v>4.26</v>
      </c>
      <c r="G2342" s="3">
        <v>17.14</v>
      </c>
    </row>
    <row r="2343">
      <c r="A2343" s="3">
        <v>169853.0</v>
      </c>
      <c r="B2343" s="3" t="s">
        <v>2368</v>
      </c>
      <c r="C2343" s="3" t="s">
        <v>158</v>
      </c>
      <c r="D2343" s="3">
        <v>104.0</v>
      </c>
      <c r="E2343" s="3">
        <v>1.75</v>
      </c>
      <c r="F2343" s="3">
        <v>3.42</v>
      </c>
      <c r="G2343" s="3">
        <v>18.63</v>
      </c>
    </row>
    <row r="2344">
      <c r="A2344" s="3">
        <v>169854.0</v>
      </c>
      <c r="B2344" s="3" t="s">
        <v>2369</v>
      </c>
      <c r="C2344" s="3" t="s">
        <v>158</v>
      </c>
      <c r="D2344" s="3">
        <v>271.0</v>
      </c>
      <c r="E2344" s="3">
        <v>17.74</v>
      </c>
      <c r="F2344" s="3">
        <v>11.67</v>
      </c>
      <c r="G2344" s="3">
        <v>16.2</v>
      </c>
    </row>
    <row r="2345">
      <c r="A2345" s="3">
        <v>169855.0</v>
      </c>
      <c r="B2345" s="3" t="s">
        <v>2370</v>
      </c>
      <c r="C2345" s="3" t="s">
        <v>158</v>
      </c>
      <c r="D2345" s="3">
        <v>273.0</v>
      </c>
      <c r="E2345" s="3">
        <v>18.47</v>
      </c>
      <c r="F2345" s="3">
        <v>11.24</v>
      </c>
      <c r="G2345" s="3">
        <v>15.45</v>
      </c>
    </row>
    <row r="2346">
      <c r="A2346" s="3">
        <v>169856.0</v>
      </c>
      <c r="B2346" s="3" t="s">
        <v>2371</v>
      </c>
      <c r="C2346" s="3" t="s">
        <v>158</v>
      </c>
      <c r="D2346" s="3">
        <v>216.0</v>
      </c>
      <c r="E2346" s="3">
        <v>11.99</v>
      </c>
      <c r="F2346" s="3">
        <v>8.99</v>
      </c>
      <c r="G2346" s="3">
        <v>17.97</v>
      </c>
    </row>
    <row r="2347">
      <c r="A2347" s="3">
        <v>169857.0</v>
      </c>
      <c r="B2347" s="3" t="s">
        <v>2372</v>
      </c>
      <c r="C2347" s="3" t="s">
        <v>158</v>
      </c>
      <c r="D2347" s="3">
        <v>206.0</v>
      </c>
      <c r="E2347" s="3">
        <v>10.95</v>
      </c>
      <c r="F2347" s="3">
        <v>19.0</v>
      </c>
      <c r="G2347" s="3">
        <v>7.8</v>
      </c>
    </row>
    <row r="2348">
      <c r="A2348" s="3">
        <v>169858.0</v>
      </c>
      <c r="B2348" s="3" t="s">
        <v>2373</v>
      </c>
      <c r="C2348" s="3" t="s">
        <v>158</v>
      </c>
      <c r="D2348" s="3">
        <v>211.0</v>
      </c>
      <c r="E2348" s="3">
        <v>11.23</v>
      </c>
      <c r="F2348" s="3">
        <v>15.33</v>
      </c>
      <c r="G2348" s="3">
        <v>12.28</v>
      </c>
    </row>
    <row r="2349">
      <c r="A2349" s="3">
        <v>169859.0</v>
      </c>
      <c r="B2349" s="3" t="s">
        <v>2374</v>
      </c>
      <c r="C2349" s="3" t="s">
        <v>222</v>
      </c>
      <c r="D2349" s="3">
        <v>409.0</v>
      </c>
      <c r="E2349" s="3">
        <v>7.3</v>
      </c>
      <c r="F2349" s="3">
        <v>7.7</v>
      </c>
      <c r="G2349" s="3">
        <v>79.6</v>
      </c>
    </row>
    <row r="2350">
      <c r="A2350" s="3">
        <v>169860.0</v>
      </c>
      <c r="B2350" s="3" t="s">
        <v>2375</v>
      </c>
      <c r="C2350" s="3" t="s">
        <v>187</v>
      </c>
      <c r="D2350" s="3">
        <v>534.0</v>
      </c>
      <c r="E2350" s="3">
        <v>52.0</v>
      </c>
      <c r="F2350" s="3">
        <v>0.0</v>
      </c>
      <c r="G2350" s="3">
        <v>16.7</v>
      </c>
    </row>
    <row r="2351">
      <c r="A2351" s="3">
        <v>169861.0</v>
      </c>
      <c r="B2351" s="3" t="s">
        <v>2376</v>
      </c>
      <c r="C2351" s="3" t="s">
        <v>33</v>
      </c>
      <c r="D2351" s="3">
        <v>500.0</v>
      </c>
      <c r="E2351" s="3">
        <v>28.1</v>
      </c>
      <c r="F2351" s="3">
        <v>9.0</v>
      </c>
      <c r="G2351" s="3">
        <v>58.1</v>
      </c>
    </row>
    <row r="2352">
      <c r="A2352" s="3">
        <v>169862.0</v>
      </c>
      <c r="B2352" s="3" t="s">
        <v>2377</v>
      </c>
      <c r="C2352" s="3" t="s">
        <v>222</v>
      </c>
      <c r="D2352" s="3">
        <v>403.0</v>
      </c>
      <c r="E2352" s="3">
        <v>10.5</v>
      </c>
      <c r="F2352" s="3">
        <v>9.0</v>
      </c>
      <c r="G2352" s="3">
        <v>73.0</v>
      </c>
    </row>
    <row r="2353">
      <c r="A2353" s="3">
        <v>169863.0</v>
      </c>
      <c r="B2353" s="3" t="s">
        <v>2378</v>
      </c>
      <c r="C2353" s="3" t="s">
        <v>33</v>
      </c>
      <c r="D2353" s="3">
        <v>531.0</v>
      </c>
      <c r="E2353" s="3">
        <v>32.2</v>
      </c>
      <c r="F2353" s="3">
        <v>5.2</v>
      </c>
      <c r="G2353" s="3">
        <v>55.2</v>
      </c>
    </row>
    <row r="2354">
      <c r="A2354" s="3">
        <v>169864.0</v>
      </c>
      <c r="B2354" s="3" t="s">
        <v>2379</v>
      </c>
      <c r="C2354" s="3" t="s">
        <v>196</v>
      </c>
      <c r="D2354" s="3">
        <v>69.0</v>
      </c>
      <c r="E2354" s="3">
        <v>1.5</v>
      </c>
      <c r="F2354" s="3">
        <v>1.9</v>
      </c>
      <c r="G2354" s="3">
        <v>12.1</v>
      </c>
    </row>
    <row r="2355">
      <c r="A2355" s="3">
        <v>169865.0</v>
      </c>
      <c r="B2355" s="3" t="s">
        <v>2380</v>
      </c>
      <c r="C2355" s="3" t="s">
        <v>196</v>
      </c>
      <c r="D2355" s="3">
        <v>64.0</v>
      </c>
      <c r="E2355" s="3">
        <v>0.5</v>
      </c>
      <c r="F2355" s="3">
        <v>3.4</v>
      </c>
      <c r="G2355" s="3">
        <v>11.49</v>
      </c>
    </row>
    <row r="2356">
      <c r="A2356" s="3">
        <v>169866.0</v>
      </c>
      <c r="B2356" s="3" t="s">
        <v>2381</v>
      </c>
      <c r="C2356" s="3" t="s">
        <v>189</v>
      </c>
      <c r="D2356" s="3">
        <v>121.0</v>
      </c>
      <c r="E2356" s="3">
        <v>2.8</v>
      </c>
      <c r="F2356" s="3">
        <v>15.5</v>
      </c>
      <c r="G2356" s="3">
        <v>8.4</v>
      </c>
    </row>
    <row r="2357">
      <c r="A2357" s="3">
        <v>169867.0</v>
      </c>
      <c r="B2357" s="3" t="s">
        <v>2382</v>
      </c>
      <c r="C2357" s="3" t="s">
        <v>187</v>
      </c>
      <c r="D2357" s="3">
        <v>884.0</v>
      </c>
      <c r="E2357" s="3">
        <v>100.0</v>
      </c>
      <c r="F2357" s="3">
        <v>0.0</v>
      </c>
      <c r="G2357" s="3">
        <v>0.0</v>
      </c>
    </row>
    <row r="2358">
      <c r="A2358" s="3">
        <v>169868.0</v>
      </c>
      <c r="B2358" s="3" t="s">
        <v>2383</v>
      </c>
      <c r="C2358" s="3" t="s">
        <v>192</v>
      </c>
      <c r="D2358" s="3">
        <v>35.0</v>
      </c>
      <c r="E2358" s="3">
        <v>0.18</v>
      </c>
      <c r="F2358" s="3">
        <v>3.4</v>
      </c>
      <c r="G2358" s="3">
        <v>4.85</v>
      </c>
    </row>
    <row r="2359">
      <c r="A2359" s="3">
        <v>169869.0</v>
      </c>
      <c r="B2359" s="3" t="s">
        <v>2384</v>
      </c>
      <c r="C2359" s="3" t="s">
        <v>228</v>
      </c>
      <c r="D2359" s="3">
        <v>590.0</v>
      </c>
      <c r="E2359" s="3">
        <v>49.9</v>
      </c>
      <c r="F2359" s="3">
        <v>24.0</v>
      </c>
      <c r="G2359" s="3">
        <v>21.83</v>
      </c>
    </row>
    <row r="2360">
      <c r="A2360" s="3">
        <v>169870.0</v>
      </c>
      <c r="B2360" s="3" t="s">
        <v>2385</v>
      </c>
      <c r="C2360" s="3" t="s">
        <v>222</v>
      </c>
      <c r="D2360" s="3">
        <v>390.0</v>
      </c>
      <c r="E2360" s="3">
        <v>8.8</v>
      </c>
      <c r="F2360" s="3">
        <v>9.8</v>
      </c>
      <c r="G2360" s="3">
        <v>70.9</v>
      </c>
    </row>
    <row r="2361">
      <c r="A2361" s="3">
        <v>169871.0</v>
      </c>
      <c r="B2361" s="3" t="s">
        <v>2386</v>
      </c>
      <c r="C2361" s="3" t="s">
        <v>196</v>
      </c>
      <c r="D2361" s="3">
        <v>21.0</v>
      </c>
      <c r="E2361" s="3">
        <v>0.3</v>
      </c>
      <c r="F2361" s="3">
        <v>0.6</v>
      </c>
      <c r="G2361" s="3">
        <v>5.23</v>
      </c>
    </row>
    <row r="2362">
      <c r="A2362" s="3">
        <v>169872.0</v>
      </c>
      <c r="B2362" s="3" t="s">
        <v>2387</v>
      </c>
      <c r="C2362" s="3" t="s">
        <v>196</v>
      </c>
      <c r="D2362" s="3">
        <v>68.0</v>
      </c>
      <c r="E2362" s="3">
        <v>0.8</v>
      </c>
      <c r="F2362" s="3">
        <v>1.0</v>
      </c>
      <c r="G2362" s="3">
        <v>14.14</v>
      </c>
    </row>
    <row r="2363">
      <c r="A2363" s="3">
        <v>169873.0</v>
      </c>
      <c r="B2363" s="3" t="s">
        <v>2388</v>
      </c>
      <c r="C2363" s="3" t="s">
        <v>196</v>
      </c>
      <c r="D2363" s="3">
        <v>66.0</v>
      </c>
      <c r="E2363" s="3">
        <v>0.3</v>
      </c>
      <c r="F2363" s="3">
        <v>0.4</v>
      </c>
      <c r="G2363" s="3">
        <v>15.48</v>
      </c>
    </row>
    <row r="2364">
      <c r="A2364" s="3">
        <v>169874.0</v>
      </c>
      <c r="B2364" s="3" t="s">
        <v>2389</v>
      </c>
      <c r="C2364" s="3" t="s">
        <v>196</v>
      </c>
      <c r="D2364" s="3">
        <v>69.0</v>
      </c>
      <c r="E2364" s="3">
        <v>0.4</v>
      </c>
      <c r="F2364" s="3">
        <v>0.4</v>
      </c>
      <c r="G2364" s="3">
        <v>16.0</v>
      </c>
    </row>
    <row r="2365">
      <c r="A2365" s="3">
        <v>169875.0</v>
      </c>
      <c r="B2365" s="3" t="s">
        <v>2390</v>
      </c>
      <c r="C2365" s="3" t="s">
        <v>187</v>
      </c>
      <c r="D2365" s="3">
        <v>15.0</v>
      </c>
      <c r="E2365" s="3">
        <v>0.0</v>
      </c>
      <c r="F2365" s="3">
        <v>0.1</v>
      </c>
      <c r="G2365" s="3">
        <v>3.7</v>
      </c>
    </row>
    <row r="2366">
      <c r="A2366" s="3">
        <v>169876.0</v>
      </c>
      <c r="B2366" s="3" t="s">
        <v>2391</v>
      </c>
      <c r="C2366" s="3" t="s">
        <v>187</v>
      </c>
      <c r="D2366" s="3">
        <v>99.0</v>
      </c>
      <c r="E2366" s="3">
        <v>7.2</v>
      </c>
      <c r="F2366" s="3">
        <v>5.1</v>
      </c>
      <c r="G2366" s="3">
        <v>2.9</v>
      </c>
    </row>
    <row r="2367">
      <c r="A2367" s="3">
        <v>169877.0</v>
      </c>
      <c r="B2367" s="3" t="s">
        <v>2392</v>
      </c>
      <c r="C2367" s="3" t="s">
        <v>187</v>
      </c>
      <c r="D2367" s="3">
        <v>110.0</v>
      </c>
      <c r="E2367" s="3">
        <v>4.4</v>
      </c>
      <c r="F2367" s="3">
        <v>0.3</v>
      </c>
      <c r="G2367" s="3">
        <v>18.6</v>
      </c>
    </row>
    <row r="2368">
      <c r="A2368" s="3">
        <v>169878.0</v>
      </c>
      <c r="B2368" s="3" t="s">
        <v>2393</v>
      </c>
      <c r="C2368" s="3" t="s">
        <v>38</v>
      </c>
      <c r="D2368" s="3">
        <v>51.0</v>
      </c>
      <c r="E2368" s="3">
        <v>0.0</v>
      </c>
      <c r="F2368" s="3">
        <v>0.8</v>
      </c>
      <c r="G2368" s="3">
        <v>11.99</v>
      </c>
    </row>
    <row r="2369">
      <c r="A2369" s="3">
        <v>169879.0</v>
      </c>
      <c r="B2369" s="3" t="s">
        <v>2394</v>
      </c>
      <c r="C2369" s="3" t="s">
        <v>38</v>
      </c>
      <c r="D2369" s="3">
        <v>121.0</v>
      </c>
      <c r="E2369" s="3">
        <v>0.0</v>
      </c>
      <c r="F2369" s="3">
        <v>0.55</v>
      </c>
      <c r="G2369" s="3">
        <v>29.6</v>
      </c>
    </row>
    <row r="2370">
      <c r="A2370" s="3">
        <v>169880.0</v>
      </c>
      <c r="B2370" s="3" t="s">
        <v>2395</v>
      </c>
      <c r="C2370" s="3" t="s">
        <v>38</v>
      </c>
      <c r="D2370" s="3">
        <v>394.0</v>
      </c>
      <c r="E2370" s="3">
        <v>0.0</v>
      </c>
      <c r="F2370" s="3">
        <v>0.0</v>
      </c>
      <c r="G2370" s="3">
        <v>98.6</v>
      </c>
    </row>
    <row r="2371">
      <c r="A2371" s="3">
        <v>169881.0</v>
      </c>
      <c r="B2371" s="3" t="s">
        <v>2396</v>
      </c>
      <c r="C2371" s="3" t="s">
        <v>38</v>
      </c>
      <c r="D2371" s="3">
        <v>590.0</v>
      </c>
      <c r="E2371" s="3">
        <v>43.27</v>
      </c>
      <c r="F2371" s="3">
        <v>12.39</v>
      </c>
      <c r="G2371" s="3">
        <v>37.68</v>
      </c>
    </row>
    <row r="2372">
      <c r="A2372" s="3">
        <v>169882.0</v>
      </c>
      <c r="B2372" s="3" t="s">
        <v>2397</v>
      </c>
      <c r="C2372" s="3" t="s">
        <v>38</v>
      </c>
      <c r="D2372" s="3">
        <v>268.0</v>
      </c>
      <c r="E2372" s="3">
        <v>0.4</v>
      </c>
      <c r="F2372" s="3">
        <v>0.0</v>
      </c>
      <c r="G2372" s="3">
        <v>94.8</v>
      </c>
    </row>
    <row r="2373">
      <c r="A2373" s="3">
        <v>169883.0</v>
      </c>
      <c r="B2373" s="3" t="s">
        <v>2398</v>
      </c>
      <c r="C2373" s="3" t="s">
        <v>196</v>
      </c>
      <c r="D2373" s="3">
        <v>10.0</v>
      </c>
      <c r="E2373" s="3">
        <v>0.0</v>
      </c>
      <c r="F2373" s="3">
        <v>0.0</v>
      </c>
      <c r="G2373" s="3">
        <v>2.45</v>
      </c>
    </row>
    <row r="2374">
      <c r="A2374" s="3">
        <v>169884.0</v>
      </c>
      <c r="B2374" s="3" t="s">
        <v>2399</v>
      </c>
      <c r="C2374" s="3" t="s">
        <v>228</v>
      </c>
      <c r="D2374" s="3">
        <v>331.0</v>
      </c>
      <c r="E2374" s="3">
        <v>0.1</v>
      </c>
      <c r="F2374" s="3">
        <v>0.1</v>
      </c>
      <c r="G2374" s="3">
        <v>82.32</v>
      </c>
    </row>
    <row r="2375">
      <c r="A2375" s="3">
        <v>169885.0</v>
      </c>
      <c r="B2375" s="3" t="s">
        <v>2400</v>
      </c>
      <c r="C2375" s="3" t="s">
        <v>228</v>
      </c>
      <c r="D2375" s="3">
        <v>47.0</v>
      </c>
      <c r="E2375" s="3">
        <v>3.2</v>
      </c>
      <c r="F2375" s="3">
        <v>1.8</v>
      </c>
      <c r="G2375" s="3">
        <v>2.8</v>
      </c>
    </row>
    <row r="2376">
      <c r="A2376" s="3">
        <v>169886.0</v>
      </c>
      <c r="B2376" s="3" t="s">
        <v>2401</v>
      </c>
      <c r="C2376" s="3" t="s">
        <v>228</v>
      </c>
      <c r="D2376" s="3">
        <v>224.0</v>
      </c>
      <c r="E2376" s="3">
        <v>12.73</v>
      </c>
      <c r="F2376" s="3">
        <v>23.64</v>
      </c>
      <c r="G2376" s="3">
        <v>3.64</v>
      </c>
    </row>
    <row r="2377">
      <c r="A2377" s="3">
        <v>169887.0</v>
      </c>
      <c r="B2377" s="3" t="s">
        <v>2402</v>
      </c>
      <c r="C2377" s="3" t="s">
        <v>228</v>
      </c>
      <c r="D2377" s="3">
        <v>233.0</v>
      </c>
      <c r="E2377" s="3">
        <v>13.73</v>
      </c>
      <c r="F2377" s="3">
        <v>19.61</v>
      </c>
      <c r="G2377" s="3">
        <v>7.7</v>
      </c>
    </row>
    <row r="2378">
      <c r="A2378" s="3">
        <v>169888.0</v>
      </c>
      <c r="B2378" s="3" t="s">
        <v>2403</v>
      </c>
      <c r="C2378" s="3" t="s">
        <v>228</v>
      </c>
      <c r="D2378" s="3">
        <v>197.0</v>
      </c>
      <c r="E2378" s="3">
        <v>9.0</v>
      </c>
      <c r="F2378" s="3">
        <v>21.0</v>
      </c>
      <c r="G2378" s="3">
        <v>8.0</v>
      </c>
    </row>
    <row r="2379">
      <c r="A2379" s="3">
        <v>169889.0</v>
      </c>
      <c r="B2379" s="3" t="s">
        <v>2404</v>
      </c>
      <c r="C2379" s="3" t="s">
        <v>101</v>
      </c>
      <c r="D2379" s="3">
        <v>28.0</v>
      </c>
      <c r="E2379" s="3">
        <v>0.3</v>
      </c>
      <c r="F2379" s="3">
        <v>1.1</v>
      </c>
      <c r="G2379" s="3">
        <v>5.2</v>
      </c>
    </row>
    <row r="2380">
      <c r="A2380" s="3">
        <v>169890.0</v>
      </c>
      <c r="B2380" s="3" t="s">
        <v>2405</v>
      </c>
      <c r="C2380" s="3" t="s">
        <v>101</v>
      </c>
      <c r="D2380" s="3">
        <v>30.0</v>
      </c>
      <c r="E2380" s="3">
        <v>0.1</v>
      </c>
      <c r="F2380" s="3">
        <v>1.6</v>
      </c>
      <c r="G2380" s="3">
        <v>5.67</v>
      </c>
    </row>
    <row r="2381">
      <c r="A2381" s="3">
        <v>169891.0</v>
      </c>
      <c r="B2381" s="3" t="s">
        <v>2406</v>
      </c>
      <c r="C2381" s="3" t="s">
        <v>101</v>
      </c>
      <c r="D2381" s="3">
        <v>28.0</v>
      </c>
      <c r="E2381" s="3">
        <v>0.1</v>
      </c>
      <c r="F2381" s="3">
        <v>1.1</v>
      </c>
      <c r="G2381" s="3">
        <v>5.63</v>
      </c>
    </row>
    <row r="2382">
      <c r="A2382" s="3">
        <v>169892.0</v>
      </c>
      <c r="B2382" s="3" t="s">
        <v>2407</v>
      </c>
      <c r="C2382" s="3" t="s">
        <v>101</v>
      </c>
      <c r="D2382" s="3">
        <v>49.0</v>
      </c>
      <c r="E2382" s="3">
        <v>0.7</v>
      </c>
      <c r="F2382" s="3">
        <v>0.9</v>
      </c>
      <c r="G2382" s="3">
        <v>9.77</v>
      </c>
    </row>
    <row r="2383">
      <c r="A2383" s="3">
        <v>169893.0</v>
      </c>
      <c r="B2383" s="3" t="s">
        <v>2408</v>
      </c>
      <c r="C2383" s="3" t="s">
        <v>228</v>
      </c>
      <c r="D2383" s="3">
        <v>476.0</v>
      </c>
      <c r="E2383" s="3">
        <v>25.9</v>
      </c>
      <c r="F2383" s="3">
        <v>32.0</v>
      </c>
      <c r="G2383" s="3">
        <v>28.6</v>
      </c>
    </row>
    <row r="2384">
      <c r="A2384" s="3">
        <v>169894.0</v>
      </c>
      <c r="B2384" s="3" t="s">
        <v>2409</v>
      </c>
      <c r="C2384" s="3" t="s">
        <v>187</v>
      </c>
      <c r="D2384" s="3">
        <v>373.0</v>
      </c>
      <c r="E2384" s="3">
        <v>1.0</v>
      </c>
      <c r="F2384" s="3">
        <v>2.0</v>
      </c>
      <c r="G2384" s="3">
        <v>89.0</v>
      </c>
    </row>
    <row r="2385">
      <c r="A2385" s="3">
        <v>169895.0</v>
      </c>
      <c r="B2385" s="3" t="s">
        <v>2410</v>
      </c>
      <c r="C2385" s="3" t="s">
        <v>187</v>
      </c>
      <c r="D2385" s="3">
        <v>202.0</v>
      </c>
      <c r="E2385" s="3">
        <v>12.42</v>
      </c>
      <c r="F2385" s="3">
        <v>1.25</v>
      </c>
      <c r="G2385" s="3">
        <v>21.33</v>
      </c>
    </row>
    <row r="2386">
      <c r="A2386" s="3">
        <v>169896.0</v>
      </c>
      <c r="B2386" s="3" t="s">
        <v>2411</v>
      </c>
      <c r="C2386" s="3" t="s">
        <v>38</v>
      </c>
      <c r="D2386" s="3">
        <v>368.0</v>
      </c>
      <c r="E2386" s="3">
        <v>0.0</v>
      </c>
      <c r="F2386" s="3">
        <v>0.0</v>
      </c>
      <c r="G2386" s="3">
        <v>100.0</v>
      </c>
    </row>
    <row r="2387">
      <c r="A2387" s="3">
        <v>169897.0</v>
      </c>
      <c r="B2387" s="3" t="s">
        <v>2412</v>
      </c>
      <c r="C2387" s="3" t="s">
        <v>192</v>
      </c>
      <c r="D2387" s="3">
        <v>358.0</v>
      </c>
      <c r="E2387" s="3">
        <v>5.1</v>
      </c>
      <c r="F2387" s="3">
        <v>35.8</v>
      </c>
      <c r="G2387" s="3">
        <v>41.0</v>
      </c>
    </row>
    <row r="2388">
      <c r="A2388" s="3">
        <v>169898.0</v>
      </c>
      <c r="B2388" s="3" t="s">
        <v>2413</v>
      </c>
      <c r="C2388" s="3" t="s">
        <v>192</v>
      </c>
      <c r="D2388" s="3">
        <v>95.0</v>
      </c>
      <c r="E2388" s="3">
        <v>0.2</v>
      </c>
      <c r="F2388" s="3">
        <v>4.4</v>
      </c>
      <c r="G2388" s="3">
        <v>19.0</v>
      </c>
    </row>
    <row r="2389">
      <c r="A2389" s="3">
        <v>169899.0</v>
      </c>
      <c r="B2389" s="3" t="s">
        <v>2414</v>
      </c>
      <c r="C2389" s="3" t="s">
        <v>192</v>
      </c>
      <c r="D2389" s="3">
        <v>100.0</v>
      </c>
      <c r="E2389" s="3">
        <v>6.0</v>
      </c>
      <c r="F2389" s="3">
        <v>0.9</v>
      </c>
      <c r="G2389" s="3">
        <v>10.6</v>
      </c>
    </row>
    <row r="2390">
      <c r="A2390" s="3">
        <v>169900.0</v>
      </c>
      <c r="B2390" s="3" t="s">
        <v>2415</v>
      </c>
      <c r="C2390" s="3" t="s">
        <v>38</v>
      </c>
      <c r="D2390" s="3">
        <v>190.0</v>
      </c>
      <c r="E2390" s="3">
        <v>6.0</v>
      </c>
      <c r="F2390" s="3">
        <v>4.3</v>
      </c>
      <c r="G2390" s="3">
        <v>29.64</v>
      </c>
    </row>
    <row r="2391">
      <c r="A2391" s="3">
        <v>169901.0</v>
      </c>
      <c r="B2391" s="3" t="s">
        <v>2416</v>
      </c>
      <c r="C2391" s="3" t="s">
        <v>192</v>
      </c>
      <c r="D2391" s="3">
        <v>239.0</v>
      </c>
      <c r="E2391" s="3">
        <v>14.0</v>
      </c>
      <c r="F2391" s="3">
        <v>16.7</v>
      </c>
      <c r="G2391" s="3">
        <v>11.6</v>
      </c>
    </row>
    <row r="2392">
      <c r="A2392" s="3">
        <v>169902.0</v>
      </c>
      <c r="B2392" s="3" t="s">
        <v>2417</v>
      </c>
      <c r="C2392" s="3" t="s">
        <v>189</v>
      </c>
      <c r="D2392" s="3">
        <v>227.0</v>
      </c>
      <c r="E2392" s="3">
        <v>14.1</v>
      </c>
      <c r="F2392" s="3">
        <v>25.1</v>
      </c>
      <c r="G2392" s="3">
        <v>0.0</v>
      </c>
    </row>
    <row r="2393">
      <c r="A2393" s="3">
        <v>169903.0</v>
      </c>
      <c r="B2393" s="3" t="s">
        <v>2418</v>
      </c>
      <c r="C2393" s="3" t="s">
        <v>189</v>
      </c>
      <c r="D2393" s="3">
        <v>239.0</v>
      </c>
      <c r="E2393" s="3">
        <v>12.1</v>
      </c>
      <c r="F2393" s="3">
        <v>32.4</v>
      </c>
      <c r="G2393" s="3">
        <v>0.0</v>
      </c>
    </row>
    <row r="2394">
      <c r="A2394" s="3">
        <v>169904.0</v>
      </c>
      <c r="B2394" s="3" t="s">
        <v>2419</v>
      </c>
      <c r="C2394" s="3" t="s">
        <v>192</v>
      </c>
      <c r="D2394" s="3">
        <v>131.0</v>
      </c>
      <c r="E2394" s="3">
        <v>5.6</v>
      </c>
      <c r="F2394" s="3">
        <v>13.1</v>
      </c>
      <c r="G2394" s="3">
        <v>7.5</v>
      </c>
    </row>
    <row r="2395">
      <c r="A2395" s="3">
        <v>169905.0</v>
      </c>
      <c r="B2395" s="3" t="s">
        <v>2420</v>
      </c>
      <c r="C2395" s="3" t="s">
        <v>189</v>
      </c>
      <c r="D2395" s="3">
        <v>213.0</v>
      </c>
      <c r="E2395" s="3">
        <v>13.0</v>
      </c>
      <c r="F2395" s="3">
        <v>23.9</v>
      </c>
      <c r="G2395" s="3">
        <v>0.0</v>
      </c>
    </row>
    <row r="2396">
      <c r="A2396" s="3">
        <v>169906.0</v>
      </c>
      <c r="B2396" s="3" t="s">
        <v>2421</v>
      </c>
      <c r="C2396" s="3" t="s">
        <v>189</v>
      </c>
      <c r="D2396" s="3">
        <v>165.0</v>
      </c>
      <c r="E2396" s="3">
        <v>7.7</v>
      </c>
      <c r="F2396" s="3">
        <v>22.0</v>
      </c>
      <c r="G2396" s="3">
        <v>0.5</v>
      </c>
    </row>
    <row r="2397">
      <c r="A2397" s="3">
        <v>169907.0</v>
      </c>
      <c r="B2397" s="3" t="s">
        <v>2422</v>
      </c>
      <c r="C2397" s="3" t="s">
        <v>257</v>
      </c>
      <c r="D2397" s="3">
        <v>286.0</v>
      </c>
      <c r="E2397" s="3">
        <v>0.4</v>
      </c>
      <c r="F2397" s="3">
        <v>4.9</v>
      </c>
      <c r="G2397" s="3">
        <v>74.0</v>
      </c>
    </row>
    <row r="2398">
      <c r="A2398" s="3">
        <v>169908.0</v>
      </c>
      <c r="B2398" s="3" t="s">
        <v>2423</v>
      </c>
      <c r="C2398" s="3" t="s">
        <v>257</v>
      </c>
      <c r="D2398" s="3">
        <v>47.0</v>
      </c>
      <c r="E2398" s="3">
        <v>0.2</v>
      </c>
      <c r="F2398" s="3">
        <v>0.43</v>
      </c>
      <c r="G2398" s="3">
        <v>12.14</v>
      </c>
    </row>
    <row r="2399">
      <c r="A2399" s="3">
        <v>169909.0</v>
      </c>
      <c r="B2399" s="3" t="s">
        <v>2424</v>
      </c>
      <c r="C2399" s="3" t="s">
        <v>257</v>
      </c>
      <c r="D2399" s="3">
        <v>51.0</v>
      </c>
      <c r="E2399" s="3">
        <v>0.5</v>
      </c>
      <c r="F2399" s="3">
        <v>0.5</v>
      </c>
      <c r="G2399" s="3">
        <v>12.5</v>
      </c>
    </row>
    <row r="2400">
      <c r="A2400" s="3">
        <v>169910.0</v>
      </c>
      <c r="B2400" s="3" t="s">
        <v>2425</v>
      </c>
      <c r="C2400" s="3" t="s">
        <v>257</v>
      </c>
      <c r="D2400" s="3">
        <v>60.0</v>
      </c>
      <c r="E2400" s="3">
        <v>0.38</v>
      </c>
      <c r="F2400" s="3">
        <v>0.82</v>
      </c>
      <c r="G2400" s="3">
        <v>14.98</v>
      </c>
    </row>
    <row r="2401">
      <c r="A2401" s="3">
        <v>169911.0</v>
      </c>
      <c r="B2401" s="3" t="s">
        <v>2426</v>
      </c>
      <c r="C2401" s="3" t="s">
        <v>257</v>
      </c>
      <c r="D2401" s="3">
        <v>36.0</v>
      </c>
      <c r="E2401" s="3">
        <v>0.14</v>
      </c>
      <c r="F2401" s="3">
        <v>0.54</v>
      </c>
      <c r="G2401" s="3">
        <v>9.09</v>
      </c>
    </row>
    <row r="2402">
      <c r="A2402" s="3">
        <v>169912.0</v>
      </c>
      <c r="B2402" s="3" t="s">
        <v>2427</v>
      </c>
      <c r="C2402" s="3" t="s">
        <v>257</v>
      </c>
      <c r="D2402" s="3">
        <v>33.0</v>
      </c>
      <c r="E2402" s="3">
        <v>0.25</v>
      </c>
      <c r="F2402" s="3">
        <v>0.84</v>
      </c>
      <c r="G2402" s="3">
        <v>7.94</v>
      </c>
    </row>
    <row r="2403">
      <c r="A2403" s="3">
        <v>169913.0</v>
      </c>
      <c r="B2403" s="3" t="s">
        <v>2428</v>
      </c>
      <c r="C2403" s="3" t="s">
        <v>257</v>
      </c>
      <c r="D2403" s="3">
        <v>43.0</v>
      </c>
      <c r="E2403" s="3">
        <v>0.39</v>
      </c>
      <c r="F2403" s="3">
        <v>1.44</v>
      </c>
      <c r="G2403" s="3">
        <v>9.8</v>
      </c>
    </row>
    <row r="2404">
      <c r="A2404" s="3">
        <v>169914.0</v>
      </c>
      <c r="B2404" s="3" t="s">
        <v>2429</v>
      </c>
      <c r="C2404" s="3" t="s">
        <v>257</v>
      </c>
      <c r="D2404" s="3">
        <v>44.0</v>
      </c>
      <c r="E2404" s="3">
        <v>0.32</v>
      </c>
      <c r="F2404" s="3">
        <v>1.06</v>
      </c>
      <c r="G2404" s="3">
        <v>10.55</v>
      </c>
    </row>
    <row r="2405">
      <c r="A2405" s="3">
        <v>169915.0</v>
      </c>
      <c r="B2405" s="3" t="s">
        <v>2430</v>
      </c>
      <c r="C2405" s="3" t="s">
        <v>257</v>
      </c>
      <c r="D2405" s="3">
        <v>28.0</v>
      </c>
      <c r="E2405" s="3">
        <v>0.22</v>
      </c>
      <c r="F2405" s="3">
        <v>0.38</v>
      </c>
      <c r="G2405" s="3">
        <v>6.84</v>
      </c>
    </row>
    <row r="2406">
      <c r="A2406" s="3">
        <v>169916.0</v>
      </c>
      <c r="B2406" s="3" t="s">
        <v>2431</v>
      </c>
      <c r="C2406" s="3" t="s">
        <v>257</v>
      </c>
      <c r="D2406" s="3">
        <v>49.0</v>
      </c>
      <c r="E2406" s="3">
        <v>0.3</v>
      </c>
      <c r="F2406" s="3">
        <v>1.04</v>
      </c>
      <c r="G2406" s="3">
        <v>11.89</v>
      </c>
    </row>
    <row r="2407">
      <c r="A2407" s="3">
        <v>169917.0</v>
      </c>
      <c r="B2407" s="3" t="s">
        <v>2432</v>
      </c>
      <c r="C2407" s="3" t="s">
        <v>257</v>
      </c>
      <c r="D2407" s="3">
        <v>49.0</v>
      </c>
      <c r="E2407" s="3">
        <v>0.15</v>
      </c>
      <c r="F2407" s="3">
        <v>0.91</v>
      </c>
      <c r="G2407" s="3">
        <v>12.54</v>
      </c>
    </row>
    <row r="2408">
      <c r="A2408" s="3">
        <v>169918.0</v>
      </c>
      <c r="B2408" s="3" t="s">
        <v>2433</v>
      </c>
      <c r="C2408" s="3" t="s">
        <v>257</v>
      </c>
      <c r="D2408" s="3">
        <v>46.0</v>
      </c>
      <c r="E2408" s="3">
        <v>0.21</v>
      </c>
      <c r="F2408" s="3">
        <v>0.7</v>
      </c>
      <c r="G2408" s="3">
        <v>11.54</v>
      </c>
    </row>
    <row r="2409">
      <c r="A2409" s="3">
        <v>169919.0</v>
      </c>
      <c r="B2409" s="3" t="s">
        <v>2434</v>
      </c>
      <c r="C2409" s="3" t="s">
        <v>257</v>
      </c>
      <c r="D2409" s="3">
        <v>63.0</v>
      </c>
      <c r="E2409" s="3">
        <v>0.3</v>
      </c>
      <c r="F2409" s="3">
        <v>1.3</v>
      </c>
      <c r="G2409" s="3">
        <v>15.5</v>
      </c>
    </row>
    <row r="2410">
      <c r="A2410" s="3">
        <v>169920.0</v>
      </c>
      <c r="B2410" s="3" t="s">
        <v>2435</v>
      </c>
      <c r="C2410" s="3" t="s">
        <v>257</v>
      </c>
      <c r="D2410" s="3">
        <v>47.0</v>
      </c>
      <c r="E2410" s="3">
        <v>0.12</v>
      </c>
      <c r="F2410" s="3">
        <v>0.68</v>
      </c>
      <c r="G2410" s="3">
        <v>11.27</v>
      </c>
    </row>
    <row r="2411">
      <c r="A2411" s="3">
        <v>169921.0</v>
      </c>
      <c r="B2411" s="3" t="s">
        <v>2436</v>
      </c>
      <c r="C2411" s="3" t="s">
        <v>257</v>
      </c>
      <c r="D2411" s="3">
        <v>37.0</v>
      </c>
      <c r="E2411" s="3">
        <v>0.06</v>
      </c>
      <c r="F2411" s="3">
        <v>0.6</v>
      </c>
      <c r="G2411" s="3">
        <v>8.47</v>
      </c>
    </row>
    <row r="2412">
      <c r="A2412" s="3">
        <v>169922.0</v>
      </c>
      <c r="B2412" s="3" t="s">
        <v>2437</v>
      </c>
      <c r="C2412" s="3" t="s">
        <v>257</v>
      </c>
      <c r="D2412" s="3">
        <v>147.0</v>
      </c>
      <c r="E2412" s="3">
        <v>0.25</v>
      </c>
      <c r="F2412" s="3">
        <v>2.4</v>
      </c>
      <c r="G2412" s="3">
        <v>33.86</v>
      </c>
    </row>
    <row r="2413">
      <c r="A2413" s="3">
        <v>169923.0</v>
      </c>
      <c r="B2413" s="3" t="s">
        <v>2438</v>
      </c>
      <c r="C2413" s="3" t="s">
        <v>257</v>
      </c>
      <c r="D2413" s="3">
        <v>148.0</v>
      </c>
      <c r="E2413" s="3">
        <v>0.25</v>
      </c>
      <c r="F2413" s="3">
        <v>2.4</v>
      </c>
      <c r="G2413" s="3">
        <v>35.19</v>
      </c>
    </row>
    <row r="2414">
      <c r="A2414" s="3">
        <v>169924.0</v>
      </c>
      <c r="B2414" s="3" t="s">
        <v>2439</v>
      </c>
      <c r="C2414" s="3" t="s">
        <v>257</v>
      </c>
      <c r="D2414" s="3">
        <v>61.0</v>
      </c>
      <c r="E2414" s="3">
        <v>0.1</v>
      </c>
      <c r="F2414" s="3">
        <v>0.45</v>
      </c>
      <c r="G2414" s="3">
        <v>16.19</v>
      </c>
    </row>
    <row r="2415">
      <c r="A2415" s="3">
        <v>169925.0</v>
      </c>
      <c r="B2415" s="3" t="s">
        <v>2440</v>
      </c>
      <c r="C2415" s="3" t="s">
        <v>257</v>
      </c>
      <c r="D2415" s="3">
        <v>43.0</v>
      </c>
      <c r="E2415" s="3">
        <v>0.2</v>
      </c>
      <c r="F2415" s="3">
        <v>0.5</v>
      </c>
      <c r="G2415" s="3">
        <v>10.1</v>
      </c>
    </row>
    <row r="2416">
      <c r="A2416" s="3">
        <v>169926.0</v>
      </c>
      <c r="B2416" s="3" t="s">
        <v>2441</v>
      </c>
      <c r="C2416" s="3" t="s">
        <v>257</v>
      </c>
      <c r="D2416" s="3">
        <v>43.0</v>
      </c>
      <c r="E2416" s="3">
        <v>0.26</v>
      </c>
      <c r="F2416" s="3">
        <v>0.47</v>
      </c>
      <c r="G2416" s="3">
        <v>10.82</v>
      </c>
    </row>
    <row r="2417">
      <c r="A2417" s="3">
        <v>169927.0</v>
      </c>
      <c r="B2417" s="3" t="s">
        <v>2442</v>
      </c>
      <c r="C2417" s="3" t="s">
        <v>257</v>
      </c>
      <c r="D2417" s="3">
        <v>206.0</v>
      </c>
      <c r="E2417" s="3">
        <v>0.55</v>
      </c>
      <c r="F2417" s="3">
        <v>0.14</v>
      </c>
      <c r="G2417" s="3">
        <v>55.83</v>
      </c>
    </row>
    <row r="2418">
      <c r="A2418" s="3">
        <v>169928.0</v>
      </c>
      <c r="B2418" s="3" t="s">
        <v>2443</v>
      </c>
      <c r="C2418" s="3" t="s">
        <v>257</v>
      </c>
      <c r="D2418" s="3">
        <v>39.0</v>
      </c>
      <c r="E2418" s="3">
        <v>0.25</v>
      </c>
      <c r="F2418" s="3">
        <v>0.91</v>
      </c>
      <c r="G2418" s="3">
        <v>9.54</v>
      </c>
    </row>
    <row r="2419">
      <c r="A2419" s="3">
        <v>169929.0</v>
      </c>
      <c r="B2419" s="3" t="s">
        <v>2444</v>
      </c>
      <c r="C2419" s="3" t="s">
        <v>257</v>
      </c>
      <c r="D2419" s="3">
        <v>24.0</v>
      </c>
      <c r="E2419" s="3">
        <v>0.06</v>
      </c>
      <c r="F2419" s="3">
        <v>0.44</v>
      </c>
      <c r="G2419" s="3">
        <v>6.11</v>
      </c>
    </row>
    <row r="2420">
      <c r="A2420" s="3">
        <v>169930.0</v>
      </c>
      <c r="B2420" s="3" t="s">
        <v>2445</v>
      </c>
      <c r="C2420" s="3" t="s">
        <v>257</v>
      </c>
      <c r="D2420" s="3">
        <v>44.0</v>
      </c>
      <c r="E2420" s="3">
        <v>0.03</v>
      </c>
      <c r="F2420" s="3">
        <v>0.63</v>
      </c>
      <c r="G2420" s="3">
        <v>11.57</v>
      </c>
    </row>
    <row r="2421">
      <c r="A2421" s="3">
        <v>169931.0</v>
      </c>
      <c r="B2421" s="3" t="s">
        <v>2446</v>
      </c>
      <c r="C2421" s="3" t="s">
        <v>257</v>
      </c>
      <c r="D2421" s="3">
        <v>42.0</v>
      </c>
      <c r="E2421" s="3">
        <v>0.1</v>
      </c>
      <c r="F2421" s="3">
        <v>0.4</v>
      </c>
      <c r="G2421" s="3">
        <v>11.1</v>
      </c>
    </row>
    <row r="2422">
      <c r="A2422" s="3">
        <v>169932.0</v>
      </c>
      <c r="B2422" s="3" t="s">
        <v>2447</v>
      </c>
      <c r="C2422" s="3" t="s">
        <v>257</v>
      </c>
      <c r="D2422" s="3">
        <v>325.0</v>
      </c>
      <c r="E2422" s="3">
        <v>1.03</v>
      </c>
      <c r="F2422" s="3">
        <v>4.89</v>
      </c>
      <c r="G2422" s="3">
        <v>83.18</v>
      </c>
    </row>
    <row r="2423">
      <c r="A2423" s="3">
        <v>169933.0</v>
      </c>
      <c r="B2423" s="3" t="s">
        <v>2448</v>
      </c>
      <c r="C2423" s="3" t="s">
        <v>257</v>
      </c>
      <c r="D2423" s="3">
        <v>133.0</v>
      </c>
      <c r="E2423" s="3">
        <v>0.42</v>
      </c>
      <c r="F2423" s="3">
        <v>2.01</v>
      </c>
      <c r="G2423" s="3">
        <v>34.14</v>
      </c>
    </row>
    <row r="2424">
      <c r="A2424" s="3">
        <v>169934.0</v>
      </c>
      <c r="B2424" s="3" t="s">
        <v>2449</v>
      </c>
      <c r="C2424" s="3" t="s">
        <v>257</v>
      </c>
      <c r="D2424" s="3">
        <v>239.0</v>
      </c>
      <c r="E2424" s="3">
        <v>0.76</v>
      </c>
      <c r="F2424" s="3">
        <v>3.61</v>
      </c>
      <c r="G2424" s="3">
        <v>61.33</v>
      </c>
    </row>
    <row r="2425">
      <c r="A2425" s="3">
        <v>169935.0</v>
      </c>
      <c r="B2425" s="3" t="s">
        <v>2450</v>
      </c>
      <c r="C2425" s="3" t="s">
        <v>257</v>
      </c>
      <c r="D2425" s="3">
        <v>77.0</v>
      </c>
      <c r="E2425" s="3">
        <v>0.25</v>
      </c>
      <c r="F2425" s="3">
        <v>1.16</v>
      </c>
      <c r="G2425" s="3">
        <v>19.69</v>
      </c>
    </row>
    <row r="2426">
      <c r="A2426" s="3">
        <v>169936.0</v>
      </c>
      <c r="B2426" s="3" t="s">
        <v>2451</v>
      </c>
      <c r="C2426" s="3" t="s">
        <v>257</v>
      </c>
      <c r="D2426" s="3">
        <v>50.0</v>
      </c>
      <c r="E2426" s="3">
        <v>0.07</v>
      </c>
      <c r="F2426" s="3">
        <v>0.34</v>
      </c>
      <c r="G2426" s="3">
        <v>12.94</v>
      </c>
    </row>
    <row r="2427">
      <c r="A2427" s="3">
        <v>169937.0</v>
      </c>
      <c r="B2427" s="3" t="s">
        <v>2452</v>
      </c>
      <c r="C2427" s="3" t="s">
        <v>257</v>
      </c>
      <c r="D2427" s="3">
        <v>47.0</v>
      </c>
      <c r="E2427" s="3">
        <v>0.1</v>
      </c>
      <c r="F2427" s="3">
        <v>0.3</v>
      </c>
      <c r="G2427" s="3">
        <v>12.2</v>
      </c>
    </row>
    <row r="2428">
      <c r="A2428" s="3">
        <v>169938.0</v>
      </c>
      <c r="B2428" s="3" t="s">
        <v>2453</v>
      </c>
      <c r="C2428" s="3" t="s">
        <v>257</v>
      </c>
      <c r="D2428" s="3">
        <v>57.0</v>
      </c>
      <c r="E2428" s="3">
        <v>0.03</v>
      </c>
      <c r="F2428" s="3">
        <v>0.19</v>
      </c>
      <c r="G2428" s="3">
        <v>15.17</v>
      </c>
    </row>
    <row r="2429">
      <c r="A2429" s="3">
        <v>169939.0</v>
      </c>
      <c r="B2429" s="3" t="s">
        <v>2454</v>
      </c>
      <c r="C2429" s="3" t="s">
        <v>257</v>
      </c>
      <c r="D2429" s="3">
        <v>74.0</v>
      </c>
      <c r="E2429" s="3">
        <v>0.13</v>
      </c>
      <c r="F2429" s="3">
        <v>0.2</v>
      </c>
      <c r="G2429" s="3">
        <v>19.17</v>
      </c>
    </row>
    <row r="2430">
      <c r="A2430" s="3">
        <v>169940.0</v>
      </c>
      <c r="B2430" s="3" t="s">
        <v>2455</v>
      </c>
      <c r="C2430" s="3" t="s">
        <v>257</v>
      </c>
      <c r="D2430" s="3">
        <v>60.0</v>
      </c>
      <c r="E2430" s="3">
        <v>0.01</v>
      </c>
      <c r="F2430" s="3">
        <v>0.11</v>
      </c>
      <c r="G2430" s="3">
        <v>15.76</v>
      </c>
    </row>
    <row r="2431">
      <c r="A2431" s="3">
        <v>169941.0</v>
      </c>
      <c r="B2431" s="3" t="s">
        <v>2456</v>
      </c>
      <c r="C2431" s="3" t="s">
        <v>257</v>
      </c>
      <c r="D2431" s="3">
        <v>70.0</v>
      </c>
      <c r="E2431" s="3">
        <v>0.19</v>
      </c>
      <c r="F2431" s="3">
        <v>0.58</v>
      </c>
      <c r="G2431" s="3">
        <v>18.59</v>
      </c>
    </row>
    <row r="2432">
      <c r="A2432" s="3">
        <v>169942.0</v>
      </c>
      <c r="B2432" s="3" t="s">
        <v>2457</v>
      </c>
      <c r="C2432" s="3" t="s">
        <v>257</v>
      </c>
      <c r="D2432" s="3">
        <v>274.0</v>
      </c>
      <c r="E2432" s="3">
        <v>0.59</v>
      </c>
      <c r="F2432" s="3">
        <v>1.38</v>
      </c>
      <c r="G2432" s="3">
        <v>73.43</v>
      </c>
    </row>
    <row r="2433">
      <c r="A2433" s="3">
        <v>169943.0</v>
      </c>
      <c r="B2433" s="3" t="s">
        <v>2458</v>
      </c>
      <c r="C2433" s="3" t="s">
        <v>257</v>
      </c>
      <c r="D2433" s="3">
        <v>127.0</v>
      </c>
      <c r="E2433" s="3">
        <v>0.4</v>
      </c>
      <c r="F2433" s="3">
        <v>0.8</v>
      </c>
      <c r="G2433" s="3">
        <v>33.5</v>
      </c>
    </row>
    <row r="2434">
      <c r="A2434" s="3">
        <v>169944.0</v>
      </c>
      <c r="B2434" s="3" t="s">
        <v>2459</v>
      </c>
      <c r="C2434" s="3" t="s">
        <v>257</v>
      </c>
      <c r="D2434" s="3">
        <v>78.0</v>
      </c>
      <c r="E2434" s="3">
        <v>0.11</v>
      </c>
      <c r="F2434" s="3">
        <v>0.35</v>
      </c>
      <c r="G2434" s="3">
        <v>20.2</v>
      </c>
    </row>
    <row r="2435">
      <c r="A2435" s="3">
        <v>169945.0</v>
      </c>
      <c r="B2435" s="3" t="s">
        <v>2460</v>
      </c>
      <c r="C2435" s="3" t="s">
        <v>257</v>
      </c>
      <c r="D2435" s="3">
        <v>83.0</v>
      </c>
      <c r="E2435" s="3">
        <v>0.11</v>
      </c>
      <c r="F2435" s="3">
        <v>0.34</v>
      </c>
      <c r="G2435" s="3">
        <v>21.5</v>
      </c>
    </row>
    <row r="2436">
      <c r="A2436" s="3">
        <v>169946.0</v>
      </c>
      <c r="B2436" s="3" t="s">
        <v>2461</v>
      </c>
      <c r="C2436" s="3" t="s">
        <v>257</v>
      </c>
      <c r="D2436" s="3">
        <v>86.0</v>
      </c>
      <c r="E2436" s="3">
        <v>0.1</v>
      </c>
      <c r="F2436" s="3">
        <v>0.4</v>
      </c>
      <c r="G2436" s="3">
        <v>22.2</v>
      </c>
    </row>
    <row r="2437">
      <c r="A2437" s="3">
        <v>169947.0</v>
      </c>
      <c r="B2437" s="3" t="s">
        <v>2462</v>
      </c>
      <c r="C2437" s="3" t="s">
        <v>257</v>
      </c>
      <c r="D2437" s="3">
        <v>53.0</v>
      </c>
      <c r="E2437" s="3">
        <v>0.12</v>
      </c>
      <c r="F2437" s="3">
        <v>0.36</v>
      </c>
      <c r="G2437" s="3">
        <v>12.87</v>
      </c>
    </row>
    <row r="2438">
      <c r="A2438" s="3">
        <v>169948.0</v>
      </c>
      <c r="B2438" s="3" t="s">
        <v>2463</v>
      </c>
      <c r="C2438" s="3" t="s">
        <v>257</v>
      </c>
      <c r="D2438" s="3">
        <v>179.0</v>
      </c>
      <c r="E2438" s="3">
        <v>0.1</v>
      </c>
      <c r="F2438" s="3">
        <v>1.3</v>
      </c>
      <c r="G2438" s="3">
        <v>44.3</v>
      </c>
    </row>
    <row r="2439">
      <c r="A2439" s="3">
        <v>169949.0</v>
      </c>
      <c r="B2439" s="3" t="s">
        <v>2464</v>
      </c>
      <c r="C2439" s="3" t="s">
        <v>257</v>
      </c>
      <c r="D2439" s="3">
        <v>46.0</v>
      </c>
      <c r="E2439" s="3">
        <v>0.28</v>
      </c>
      <c r="F2439" s="3">
        <v>0.7</v>
      </c>
      <c r="G2439" s="3">
        <v>11.42</v>
      </c>
    </row>
    <row r="2440">
      <c r="A2440" s="3">
        <v>169950.0</v>
      </c>
      <c r="B2440" s="3" t="s">
        <v>2465</v>
      </c>
      <c r="C2440" s="3" t="s">
        <v>257</v>
      </c>
      <c r="D2440" s="3">
        <v>41.0</v>
      </c>
      <c r="E2440" s="3">
        <v>0.01</v>
      </c>
      <c r="F2440" s="3">
        <v>0.39</v>
      </c>
      <c r="G2440" s="3">
        <v>11.03</v>
      </c>
    </row>
    <row r="2441">
      <c r="A2441" s="3">
        <v>169951.0</v>
      </c>
      <c r="B2441" s="3" t="s">
        <v>2466</v>
      </c>
      <c r="C2441" s="3" t="s">
        <v>257</v>
      </c>
      <c r="D2441" s="3">
        <v>58.0</v>
      </c>
      <c r="E2441" s="3">
        <v>0.02</v>
      </c>
      <c r="F2441" s="3">
        <v>0.51</v>
      </c>
      <c r="G2441" s="3">
        <v>15.15</v>
      </c>
    </row>
    <row r="2442">
      <c r="A2442" s="3">
        <v>169952.0</v>
      </c>
      <c r="B2442" s="3" t="s">
        <v>2467</v>
      </c>
      <c r="C2442" s="3" t="s">
        <v>257</v>
      </c>
      <c r="D2442" s="3">
        <v>63.0</v>
      </c>
      <c r="E2442" s="3">
        <v>0.1</v>
      </c>
      <c r="F2442" s="3">
        <v>0.37</v>
      </c>
      <c r="G2442" s="3">
        <v>16.28</v>
      </c>
    </row>
    <row r="2443">
      <c r="A2443" s="3">
        <v>169953.0</v>
      </c>
      <c r="B2443" s="3" t="s">
        <v>2468</v>
      </c>
      <c r="C2443" s="3" t="s">
        <v>101</v>
      </c>
      <c r="D2443" s="3">
        <v>106.0</v>
      </c>
      <c r="E2443" s="3">
        <v>0.35</v>
      </c>
      <c r="F2443" s="3">
        <v>6.4</v>
      </c>
      <c r="G2443" s="3">
        <v>19.83</v>
      </c>
    </row>
    <row r="2444">
      <c r="A2444" s="3">
        <v>169954.0</v>
      </c>
      <c r="B2444" s="3" t="s">
        <v>2469</v>
      </c>
      <c r="C2444" s="3" t="s">
        <v>101</v>
      </c>
      <c r="D2444" s="3">
        <v>103.0</v>
      </c>
      <c r="E2444" s="3">
        <v>0.34</v>
      </c>
      <c r="F2444" s="3">
        <v>6.07</v>
      </c>
      <c r="G2444" s="3">
        <v>19.32</v>
      </c>
    </row>
    <row r="2445">
      <c r="A2445" s="3">
        <v>169955.0</v>
      </c>
      <c r="B2445" s="3" t="s">
        <v>2470</v>
      </c>
      <c r="C2445" s="3" t="s">
        <v>101</v>
      </c>
      <c r="D2445" s="3">
        <v>132.0</v>
      </c>
      <c r="E2445" s="3">
        <v>0.44</v>
      </c>
      <c r="F2445" s="3">
        <v>7.59</v>
      </c>
      <c r="G2445" s="3">
        <v>25.14</v>
      </c>
    </row>
    <row r="2446">
      <c r="A2446" s="3">
        <v>169956.0</v>
      </c>
      <c r="B2446" s="3" t="s">
        <v>2471</v>
      </c>
      <c r="C2446" s="3" t="s">
        <v>101</v>
      </c>
      <c r="D2446" s="3">
        <v>105.0</v>
      </c>
      <c r="E2446" s="3">
        <v>0.3</v>
      </c>
      <c r="F2446" s="3">
        <v>6.65</v>
      </c>
      <c r="G2446" s="3">
        <v>19.45</v>
      </c>
    </row>
    <row r="2447">
      <c r="A2447" s="3">
        <v>169957.0</v>
      </c>
      <c r="B2447" s="3" t="s">
        <v>2472</v>
      </c>
      <c r="C2447" s="3" t="s">
        <v>101</v>
      </c>
      <c r="D2447" s="3">
        <v>30.0</v>
      </c>
      <c r="E2447" s="3">
        <v>0.18</v>
      </c>
      <c r="F2447" s="3">
        <v>3.04</v>
      </c>
      <c r="G2447" s="3">
        <v>5.94</v>
      </c>
    </row>
    <row r="2448">
      <c r="A2448" s="3">
        <v>169958.0</v>
      </c>
      <c r="B2448" s="3" t="s">
        <v>2473</v>
      </c>
      <c r="C2448" s="3" t="s">
        <v>101</v>
      </c>
      <c r="D2448" s="3">
        <v>170.0</v>
      </c>
      <c r="E2448" s="3">
        <v>0.5</v>
      </c>
      <c r="F2448" s="3">
        <v>9.8</v>
      </c>
      <c r="G2448" s="3">
        <v>32.5</v>
      </c>
    </row>
    <row r="2449">
      <c r="A2449" s="3">
        <v>169959.0</v>
      </c>
      <c r="B2449" s="3" t="s">
        <v>2474</v>
      </c>
      <c r="C2449" s="3" t="s">
        <v>101</v>
      </c>
      <c r="D2449" s="3">
        <v>162.0</v>
      </c>
      <c r="E2449" s="3">
        <v>0.48</v>
      </c>
      <c r="F2449" s="3">
        <v>9.31</v>
      </c>
      <c r="G2449" s="3">
        <v>30.87</v>
      </c>
    </row>
    <row r="2450">
      <c r="A2450" s="3">
        <v>169960.0</v>
      </c>
      <c r="B2450" s="3" t="s">
        <v>2475</v>
      </c>
      <c r="C2450" s="3" t="s">
        <v>101</v>
      </c>
      <c r="D2450" s="3">
        <v>30.0</v>
      </c>
      <c r="E2450" s="3">
        <v>0.19</v>
      </c>
      <c r="F2450" s="3">
        <v>1.76</v>
      </c>
      <c r="G2450" s="3">
        <v>6.19</v>
      </c>
    </row>
    <row r="2451">
      <c r="A2451" s="3">
        <v>169961.0</v>
      </c>
      <c r="B2451" s="3" t="s">
        <v>2476</v>
      </c>
      <c r="C2451" s="3" t="s">
        <v>101</v>
      </c>
      <c r="D2451" s="3">
        <v>31.0</v>
      </c>
      <c r="E2451" s="3">
        <v>0.22</v>
      </c>
      <c r="F2451" s="3">
        <v>1.83</v>
      </c>
      <c r="G2451" s="3">
        <v>6.97</v>
      </c>
    </row>
    <row r="2452">
      <c r="A2452" s="3">
        <v>169962.0</v>
      </c>
      <c r="B2452" s="3" t="s">
        <v>2477</v>
      </c>
      <c r="C2452" s="3" t="s">
        <v>101</v>
      </c>
      <c r="D2452" s="3">
        <v>33.0</v>
      </c>
      <c r="E2452" s="3">
        <v>0.21</v>
      </c>
      <c r="F2452" s="3">
        <v>1.79</v>
      </c>
      <c r="G2452" s="3">
        <v>7.54</v>
      </c>
    </row>
    <row r="2453">
      <c r="A2453" s="3">
        <v>169963.0</v>
      </c>
      <c r="B2453" s="3" t="s">
        <v>2478</v>
      </c>
      <c r="C2453" s="3" t="s">
        <v>101</v>
      </c>
      <c r="D2453" s="3">
        <v>28.0</v>
      </c>
      <c r="E2453" s="3">
        <v>0.17</v>
      </c>
      <c r="F2453" s="3">
        <v>1.49</v>
      </c>
      <c r="G2453" s="3">
        <v>6.45</v>
      </c>
    </row>
    <row r="2454">
      <c r="A2454" s="3">
        <v>169964.0</v>
      </c>
      <c r="B2454" s="3" t="s">
        <v>2479</v>
      </c>
      <c r="C2454" s="3" t="s">
        <v>101</v>
      </c>
      <c r="D2454" s="3">
        <v>33.0</v>
      </c>
      <c r="E2454" s="3">
        <v>0.41</v>
      </c>
      <c r="F2454" s="3">
        <v>1.98</v>
      </c>
      <c r="G2454" s="3">
        <v>6.98</v>
      </c>
    </row>
    <row r="2455">
      <c r="A2455" s="3">
        <v>169965.0</v>
      </c>
      <c r="B2455" s="3" t="s">
        <v>2480</v>
      </c>
      <c r="C2455" s="3" t="s">
        <v>101</v>
      </c>
      <c r="D2455" s="3">
        <v>33.0</v>
      </c>
      <c r="E2455" s="3">
        <v>0.5</v>
      </c>
      <c r="F2455" s="3">
        <v>2.31</v>
      </c>
      <c r="G2455" s="3">
        <v>6.41</v>
      </c>
    </row>
    <row r="2456">
      <c r="A2456" s="3">
        <v>169966.0</v>
      </c>
      <c r="B2456" s="3" t="s">
        <v>2481</v>
      </c>
      <c r="C2456" s="3" t="s">
        <v>101</v>
      </c>
      <c r="D2456" s="3">
        <v>31.0</v>
      </c>
      <c r="E2456" s="3">
        <v>0.14</v>
      </c>
      <c r="F2456" s="3">
        <v>0.91</v>
      </c>
      <c r="G2456" s="3">
        <v>7.21</v>
      </c>
    </row>
    <row r="2457">
      <c r="A2457" s="3">
        <v>169967.0</v>
      </c>
      <c r="B2457" s="3" t="s">
        <v>2482</v>
      </c>
      <c r="C2457" s="3" t="s">
        <v>101</v>
      </c>
      <c r="D2457" s="3">
        <v>35.0</v>
      </c>
      <c r="E2457" s="3">
        <v>0.41</v>
      </c>
      <c r="F2457" s="3">
        <v>2.38</v>
      </c>
      <c r="G2457" s="3">
        <v>7.18</v>
      </c>
    </row>
    <row r="2458">
      <c r="A2458" s="3">
        <v>169968.0</v>
      </c>
      <c r="B2458" s="3" t="s">
        <v>2483</v>
      </c>
      <c r="C2458" s="3" t="s">
        <v>101</v>
      </c>
      <c r="D2458" s="3">
        <v>26.0</v>
      </c>
      <c r="E2458" s="3">
        <v>0.29</v>
      </c>
      <c r="F2458" s="3">
        <v>2.81</v>
      </c>
      <c r="G2458" s="3">
        <v>4.78</v>
      </c>
    </row>
    <row r="2459">
      <c r="A2459" s="3">
        <v>169969.0</v>
      </c>
      <c r="B2459" s="3" t="s">
        <v>2484</v>
      </c>
      <c r="C2459" s="3" t="s">
        <v>101</v>
      </c>
      <c r="D2459" s="3">
        <v>28.0</v>
      </c>
      <c r="E2459" s="3">
        <v>0.12</v>
      </c>
      <c r="F2459" s="3">
        <v>3.1</v>
      </c>
      <c r="G2459" s="3">
        <v>5.35</v>
      </c>
    </row>
    <row r="2460">
      <c r="A2460" s="3">
        <v>169970.0</v>
      </c>
      <c r="B2460" s="3" t="s">
        <v>2485</v>
      </c>
      <c r="C2460" s="3" t="s">
        <v>101</v>
      </c>
      <c r="D2460" s="3">
        <v>29.0</v>
      </c>
      <c r="E2460" s="3">
        <v>0.34</v>
      </c>
      <c r="F2460" s="3">
        <v>3.06</v>
      </c>
      <c r="G2460" s="3">
        <v>5.35</v>
      </c>
    </row>
    <row r="2461">
      <c r="A2461" s="3">
        <v>169971.0</v>
      </c>
      <c r="B2461" s="3" t="s">
        <v>2486</v>
      </c>
      <c r="C2461" s="3" t="s">
        <v>101</v>
      </c>
      <c r="D2461" s="3">
        <v>36.0</v>
      </c>
      <c r="E2461" s="3">
        <v>0.5</v>
      </c>
      <c r="F2461" s="3">
        <v>2.55</v>
      </c>
      <c r="G2461" s="3">
        <v>7.1</v>
      </c>
    </row>
    <row r="2462">
      <c r="A2462" s="3">
        <v>169972.0</v>
      </c>
      <c r="B2462" s="3" t="s">
        <v>2487</v>
      </c>
      <c r="C2462" s="3" t="s">
        <v>101</v>
      </c>
      <c r="D2462" s="3">
        <v>41.0</v>
      </c>
      <c r="E2462" s="3">
        <v>0.41</v>
      </c>
      <c r="F2462" s="3">
        <v>3.78</v>
      </c>
      <c r="G2462" s="3">
        <v>7.86</v>
      </c>
    </row>
    <row r="2463">
      <c r="A2463" s="3">
        <v>169973.0</v>
      </c>
      <c r="B2463" s="3" t="s">
        <v>2488</v>
      </c>
      <c r="C2463" s="3" t="s">
        <v>101</v>
      </c>
      <c r="D2463" s="3">
        <v>42.0</v>
      </c>
      <c r="E2463" s="3">
        <v>0.39</v>
      </c>
      <c r="F2463" s="3">
        <v>3.64</v>
      </c>
      <c r="G2463" s="3">
        <v>8.32</v>
      </c>
    </row>
    <row r="2464">
      <c r="A2464" s="3">
        <v>169974.0</v>
      </c>
      <c r="B2464" s="3" t="s">
        <v>2489</v>
      </c>
      <c r="C2464" s="3" t="s">
        <v>101</v>
      </c>
      <c r="D2464" s="3">
        <v>72.0</v>
      </c>
      <c r="E2464" s="3">
        <v>0.15</v>
      </c>
      <c r="F2464" s="3">
        <v>1.53</v>
      </c>
      <c r="G2464" s="3">
        <v>17.34</v>
      </c>
    </row>
    <row r="2465">
      <c r="A2465" s="3">
        <v>169975.0</v>
      </c>
      <c r="B2465" s="3" t="s">
        <v>2490</v>
      </c>
      <c r="C2465" s="3" t="s">
        <v>101</v>
      </c>
      <c r="D2465" s="3">
        <v>25.0</v>
      </c>
      <c r="E2465" s="3">
        <v>0.1</v>
      </c>
      <c r="F2465" s="3">
        <v>1.28</v>
      </c>
      <c r="G2465" s="3">
        <v>5.8</v>
      </c>
    </row>
    <row r="2466">
      <c r="A2466" s="3">
        <v>169976.0</v>
      </c>
      <c r="B2466" s="3" t="s">
        <v>2491</v>
      </c>
      <c r="C2466" s="3" t="s">
        <v>101</v>
      </c>
      <c r="D2466" s="3">
        <v>23.0</v>
      </c>
      <c r="E2466" s="3">
        <v>0.06</v>
      </c>
      <c r="F2466" s="3">
        <v>1.27</v>
      </c>
      <c r="G2466" s="3">
        <v>5.51</v>
      </c>
    </row>
    <row r="2467">
      <c r="A2467" s="3">
        <v>169977.0</v>
      </c>
      <c r="B2467" s="3" t="s">
        <v>2492</v>
      </c>
      <c r="C2467" s="3" t="s">
        <v>101</v>
      </c>
      <c r="D2467" s="3">
        <v>31.0</v>
      </c>
      <c r="E2467" s="3">
        <v>0.16</v>
      </c>
      <c r="F2467" s="3">
        <v>1.43</v>
      </c>
      <c r="G2467" s="3">
        <v>7.37</v>
      </c>
    </row>
    <row r="2468">
      <c r="A2468" s="3">
        <v>169978.0</v>
      </c>
      <c r="B2468" s="3" t="s">
        <v>2493</v>
      </c>
      <c r="C2468" s="3" t="s">
        <v>101</v>
      </c>
      <c r="D2468" s="3">
        <v>29.0</v>
      </c>
      <c r="E2468" s="3">
        <v>0.09</v>
      </c>
      <c r="F2468" s="3">
        <v>1.51</v>
      </c>
      <c r="G2468" s="3">
        <v>6.94</v>
      </c>
    </row>
    <row r="2469">
      <c r="A2469" s="3">
        <v>169979.0</v>
      </c>
      <c r="B2469" s="3" t="s">
        <v>2494</v>
      </c>
      <c r="C2469" s="3" t="s">
        <v>101</v>
      </c>
      <c r="D2469" s="3">
        <v>16.0</v>
      </c>
      <c r="E2469" s="3">
        <v>0.2</v>
      </c>
      <c r="F2469" s="3">
        <v>1.2</v>
      </c>
      <c r="G2469" s="3">
        <v>3.23</v>
      </c>
    </row>
    <row r="2470">
      <c r="A2470" s="3">
        <v>169980.0</v>
      </c>
      <c r="B2470" s="3" t="s">
        <v>2495</v>
      </c>
      <c r="C2470" s="3" t="s">
        <v>101</v>
      </c>
      <c r="D2470" s="3">
        <v>14.0</v>
      </c>
      <c r="E2470" s="3">
        <v>0.17</v>
      </c>
      <c r="F2470" s="3">
        <v>1.5</v>
      </c>
      <c r="G2470" s="3">
        <v>2.41</v>
      </c>
    </row>
    <row r="2471">
      <c r="A2471" s="3">
        <v>169981.0</v>
      </c>
      <c r="B2471" s="3" t="s">
        <v>2496</v>
      </c>
      <c r="C2471" s="3" t="s">
        <v>101</v>
      </c>
      <c r="D2471" s="3">
        <v>17.0</v>
      </c>
      <c r="E2471" s="3">
        <v>0.1</v>
      </c>
      <c r="F2471" s="3">
        <v>0.7</v>
      </c>
      <c r="G2471" s="3">
        <v>4.07</v>
      </c>
    </row>
    <row r="2472">
      <c r="A2472" s="3">
        <v>169982.0</v>
      </c>
      <c r="B2472" s="3" t="s">
        <v>2497</v>
      </c>
      <c r="C2472" s="3" t="s">
        <v>101</v>
      </c>
      <c r="D2472" s="3">
        <v>22.0</v>
      </c>
      <c r="E2472" s="3">
        <v>0.11</v>
      </c>
      <c r="F2472" s="3">
        <v>0.76</v>
      </c>
      <c r="G2472" s="3">
        <v>5.33</v>
      </c>
    </row>
    <row r="2473">
      <c r="A2473" s="3">
        <v>169983.0</v>
      </c>
      <c r="B2473" s="3" t="s">
        <v>2498</v>
      </c>
      <c r="C2473" s="3" t="s">
        <v>101</v>
      </c>
      <c r="D2473" s="3">
        <v>36.0</v>
      </c>
      <c r="E2473" s="3">
        <v>0.46</v>
      </c>
      <c r="F2473" s="3">
        <v>0.78</v>
      </c>
      <c r="G2473" s="3">
        <v>7.9</v>
      </c>
    </row>
    <row r="2474">
      <c r="A2474" s="3">
        <v>169984.0</v>
      </c>
      <c r="B2474" s="3" t="s">
        <v>2499</v>
      </c>
      <c r="C2474" s="3" t="s">
        <v>101</v>
      </c>
      <c r="D2474" s="3">
        <v>37.0</v>
      </c>
      <c r="E2474" s="3">
        <v>0.68</v>
      </c>
      <c r="F2474" s="3">
        <v>0.58</v>
      </c>
      <c r="G2474" s="3">
        <v>7.73</v>
      </c>
    </row>
    <row r="2475">
      <c r="A2475" s="3">
        <v>169985.0</v>
      </c>
      <c r="B2475" s="3" t="s">
        <v>2500</v>
      </c>
      <c r="C2475" s="3" t="s">
        <v>101</v>
      </c>
      <c r="D2475" s="3">
        <v>160.0</v>
      </c>
      <c r="E2475" s="3">
        <v>0.28</v>
      </c>
      <c r="F2475" s="3">
        <v>1.36</v>
      </c>
      <c r="G2475" s="3">
        <v>38.06</v>
      </c>
    </row>
    <row r="2476">
      <c r="A2476" s="3">
        <v>169986.0</v>
      </c>
      <c r="B2476" s="3" t="s">
        <v>2501</v>
      </c>
      <c r="C2476" s="3" t="s">
        <v>101</v>
      </c>
      <c r="D2476" s="3">
        <v>25.0</v>
      </c>
      <c r="E2476" s="3">
        <v>0.28</v>
      </c>
      <c r="F2476" s="3">
        <v>1.92</v>
      </c>
      <c r="G2476" s="3">
        <v>4.97</v>
      </c>
    </row>
    <row r="2477">
      <c r="A2477" s="3">
        <v>169987.0</v>
      </c>
      <c r="B2477" s="3" t="s">
        <v>2502</v>
      </c>
      <c r="C2477" s="3" t="s">
        <v>101</v>
      </c>
      <c r="D2477" s="3">
        <v>27.0</v>
      </c>
      <c r="E2477" s="3">
        <v>0.19</v>
      </c>
      <c r="F2477" s="3">
        <v>0.96</v>
      </c>
      <c r="G2477" s="3">
        <v>5.9</v>
      </c>
    </row>
    <row r="2478">
      <c r="A2478" s="3">
        <v>169988.0</v>
      </c>
      <c r="B2478" s="3" t="s">
        <v>2503</v>
      </c>
      <c r="C2478" s="3" t="s">
        <v>101</v>
      </c>
      <c r="D2478" s="3">
        <v>14.0</v>
      </c>
      <c r="E2478" s="3">
        <v>0.17</v>
      </c>
      <c r="F2478" s="3">
        <v>0.69</v>
      </c>
      <c r="G2478" s="3">
        <v>2.97</v>
      </c>
    </row>
    <row r="2479">
      <c r="A2479" s="3">
        <v>169989.0</v>
      </c>
      <c r="B2479" s="3" t="s">
        <v>2504</v>
      </c>
      <c r="C2479" s="3" t="s">
        <v>101</v>
      </c>
      <c r="D2479" s="3">
        <v>18.0</v>
      </c>
      <c r="E2479" s="3">
        <v>0.16</v>
      </c>
      <c r="F2479" s="3">
        <v>0.83</v>
      </c>
      <c r="G2479" s="3">
        <v>4.0</v>
      </c>
    </row>
    <row r="2480">
      <c r="A2480" s="3">
        <v>169990.0</v>
      </c>
      <c r="B2480" s="3" t="s">
        <v>2505</v>
      </c>
      <c r="C2480" s="3" t="s">
        <v>101</v>
      </c>
      <c r="D2480" s="3">
        <v>18.0</v>
      </c>
      <c r="E2480" s="3">
        <v>0.3</v>
      </c>
      <c r="F2480" s="3">
        <v>0.85</v>
      </c>
      <c r="G2480" s="3">
        <v>3.65</v>
      </c>
    </row>
    <row r="2481">
      <c r="A2481" s="3">
        <v>169991.0</v>
      </c>
      <c r="B2481" s="3" t="s">
        <v>2506</v>
      </c>
      <c r="C2481" s="3" t="s">
        <v>101</v>
      </c>
      <c r="D2481" s="3">
        <v>19.0</v>
      </c>
      <c r="E2481" s="3">
        <v>0.2</v>
      </c>
      <c r="F2481" s="3">
        <v>1.8</v>
      </c>
      <c r="G2481" s="3">
        <v>3.74</v>
      </c>
    </row>
    <row r="2482">
      <c r="A2482" s="3">
        <v>169992.0</v>
      </c>
      <c r="B2482" s="3" t="s">
        <v>2507</v>
      </c>
      <c r="C2482" s="3" t="s">
        <v>101</v>
      </c>
      <c r="D2482" s="3">
        <v>23.0</v>
      </c>
      <c r="E2482" s="3">
        <v>0.3</v>
      </c>
      <c r="F2482" s="3">
        <v>1.7</v>
      </c>
      <c r="G2482" s="3">
        <v>4.7</v>
      </c>
    </row>
    <row r="2483">
      <c r="A2483" s="3">
        <v>169993.0</v>
      </c>
      <c r="B2483" s="3" t="s">
        <v>2508</v>
      </c>
      <c r="C2483" s="3" t="s">
        <v>101</v>
      </c>
      <c r="D2483" s="3">
        <v>72.0</v>
      </c>
      <c r="E2483" s="3">
        <v>0.2</v>
      </c>
      <c r="F2483" s="3">
        <v>1.4</v>
      </c>
      <c r="G2483" s="3">
        <v>17.51</v>
      </c>
    </row>
    <row r="2484">
      <c r="A2484" s="3">
        <v>169994.0</v>
      </c>
      <c r="B2484" s="3" t="s">
        <v>2509</v>
      </c>
      <c r="C2484" s="3" t="s">
        <v>101</v>
      </c>
      <c r="D2484" s="3">
        <v>30.0</v>
      </c>
      <c r="E2484" s="3">
        <v>0.73</v>
      </c>
      <c r="F2484" s="3">
        <v>3.27</v>
      </c>
      <c r="G2484" s="3">
        <v>4.35</v>
      </c>
    </row>
    <row r="2485">
      <c r="A2485" s="3">
        <v>169995.0</v>
      </c>
      <c r="B2485" s="3" t="s">
        <v>2510</v>
      </c>
      <c r="C2485" s="3" t="s">
        <v>101</v>
      </c>
      <c r="D2485" s="3">
        <v>24.0</v>
      </c>
      <c r="E2485" s="3">
        <v>0.56</v>
      </c>
      <c r="F2485" s="3">
        <v>3.36</v>
      </c>
      <c r="G2485" s="3">
        <v>3.02</v>
      </c>
    </row>
    <row r="2486">
      <c r="A2486" s="3">
        <v>169996.0</v>
      </c>
      <c r="B2486" s="3" t="s">
        <v>2511</v>
      </c>
      <c r="C2486" s="3" t="s">
        <v>101</v>
      </c>
      <c r="D2486" s="3">
        <v>36.0</v>
      </c>
      <c r="E2486" s="3">
        <v>0.41</v>
      </c>
      <c r="F2486" s="3">
        <v>2.97</v>
      </c>
      <c r="G2486" s="3">
        <v>7.1</v>
      </c>
    </row>
    <row r="2487">
      <c r="A2487" s="3">
        <v>169997.0</v>
      </c>
      <c r="B2487" s="3" t="s">
        <v>2512</v>
      </c>
      <c r="C2487" s="3" t="s">
        <v>101</v>
      </c>
      <c r="D2487" s="3">
        <v>23.0</v>
      </c>
      <c r="E2487" s="3">
        <v>0.52</v>
      </c>
      <c r="F2487" s="3">
        <v>2.13</v>
      </c>
      <c r="G2487" s="3">
        <v>3.67</v>
      </c>
    </row>
    <row r="2488">
      <c r="A2488" s="3">
        <v>169998.0</v>
      </c>
      <c r="B2488" s="3" t="s">
        <v>2513</v>
      </c>
      <c r="C2488" s="3" t="s">
        <v>101</v>
      </c>
      <c r="D2488" s="3">
        <v>86.0</v>
      </c>
      <c r="E2488" s="3">
        <v>1.35</v>
      </c>
      <c r="F2488" s="3">
        <v>3.27</v>
      </c>
      <c r="G2488" s="3">
        <v>18.7</v>
      </c>
    </row>
    <row r="2489">
      <c r="A2489" s="3">
        <v>169999.0</v>
      </c>
      <c r="B2489" s="3" t="s">
        <v>2514</v>
      </c>
      <c r="C2489" s="3" t="s">
        <v>101</v>
      </c>
      <c r="D2489" s="3">
        <v>96.0</v>
      </c>
      <c r="E2489" s="3">
        <v>1.5</v>
      </c>
      <c r="F2489" s="3">
        <v>3.41</v>
      </c>
      <c r="G2489" s="3">
        <v>20.98</v>
      </c>
    </row>
    <row r="2490">
      <c r="A2490" s="3">
        <v>170000.0</v>
      </c>
      <c r="B2490" s="3" t="s">
        <v>2515</v>
      </c>
      <c r="C2490" s="3" t="s">
        <v>101</v>
      </c>
      <c r="D2490" s="3">
        <v>40.0</v>
      </c>
      <c r="E2490" s="3">
        <v>0.1</v>
      </c>
      <c r="F2490" s="3">
        <v>1.1</v>
      </c>
      <c r="G2490" s="3">
        <v>9.34</v>
      </c>
    </row>
    <row r="2491">
      <c r="A2491" s="3">
        <v>170001.0</v>
      </c>
      <c r="B2491" s="3" t="s">
        <v>2516</v>
      </c>
      <c r="C2491" s="3" t="s">
        <v>101</v>
      </c>
      <c r="D2491" s="3">
        <v>44.0</v>
      </c>
      <c r="E2491" s="3">
        <v>0.19</v>
      </c>
      <c r="F2491" s="3">
        <v>1.36</v>
      </c>
      <c r="G2491" s="3">
        <v>10.15</v>
      </c>
    </row>
    <row r="2492">
      <c r="A2492" s="3">
        <v>170002.0</v>
      </c>
      <c r="B2492" s="3" t="s">
        <v>2517</v>
      </c>
      <c r="C2492" s="3" t="s">
        <v>101</v>
      </c>
      <c r="D2492" s="3">
        <v>349.0</v>
      </c>
      <c r="E2492" s="3">
        <v>0.46</v>
      </c>
      <c r="F2492" s="3">
        <v>8.95</v>
      </c>
      <c r="G2492" s="3">
        <v>83.28</v>
      </c>
    </row>
    <row r="2493">
      <c r="A2493" s="3">
        <v>170003.0</v>
      </c>
      <c r="B2493" s="3" t="s">
        <v>2518</v>
      </c>
      <c r="C2493" s="3" t="s">
        <v>101</v>
      </c>
      <c r="D2493" s="3">
        <v>19.0</v>
      </c>
      <c r="E2493" s="3">
        <v>0.09</v>
      </c>
      <c r="F2493" s="3">
        <v>0.85</v>
      </c>
      <c r="G2493" s="3">
        <v>4.02</v>
      </c>
    </row>
    <row r="2494">
      <c r="A2494" s="3">
        <v>170004.0</v>
      </c>
      <c r="B2494" s="3" t="s">
        <v>2519</v>
      </c>
      <c r="C2494" s="3" t="s">
        <v>101</v>
      </c>
      <c r="D2494" s="3">
        <v>123.0</v>
      </c>
      <c r="E2494" s="3">
        <v>10.8</v>
      </c>
      <c r="F2494" s="3">
        <v>0.95</v>
      </c>
      <c r="G2494" s="3">
        <v>7.86</v>
      </c>
    </row>
    <row r="2495">
      <c r="A2495" s="3">
        <v>170005.0</v>
      </c>
      <c r="B2495" s="3" t="s">
        <v>2520</v>
      </c>
      <c r="C2495" s="3" t="s">
        <v>101</v>
      </c>
      <c r="D2495" s="3">
        <v>32.0</v>
      </c>
      <c r="E2495" s="3">
        <v>0.19</v>
      </c>
      <c r="F2495" s="3">
        <v>1.83</v>
      </c>
      <c r="G2495" s="3">
        <v>7.34</v>
      </c>
    </row>
    <row r="2496">
      <c r="A2496" s="3">
        <v>170006.0</v>
      </c>
      <c r="B2496" s="3" t="s">
        <v>2521</v>
      </c>
      <c r="C2496" s="3" t="s">
        <v>101</v>
      </c>
      <c r="D2496" s="3">
        <v>27.0</v>
      </c>
      <c r="E2496" s="3">
        <v>0.47</v>
      </c>
      <c r="F2496" s="3">
        <v>0.97</v>
      </c>
      <c r="G2496" s="3">
        <v>5.74</v>
      </c>
    </row>
    <row r="2497">
      <c r="A2497" s="3">
        <v>170007.0</v>
      </c>
      <c r="B2497" s="3" t="s">
        <v>2522</v>
      </c>
      <c r="C2497" s="3" t="s">
        <v>101</v>
      </c>
      <c r="D2497" s="3">
        <v>34.0</v>
      </c>
      <c r="E2497" s="3">
        <v>0.4</v>
      </c>
      <c r="F2497" s="3">
        <v>1.9</v>
      </c>
      <c r="G2497" s="3">
        <v>6.5</v>
      </c>
    </row>
    <row r="2498">
      <c r="A2498" s="3">
        <v>170008.0</v>
      </c>
      <c r="B2498" s="3" t="s">
        <v>2523</v>
      </c>
      <c r="C2498" s="3" t="s">
        <v>101</v>
      </c>
      <c r="D2498" s="3">
        <v>32.0</v>
      </c>
      <c r="E2498" s="3">
        <v>0.08</v>
      </c>
      <c r="F2498" s="3">
        <v>0.8</v>
      </c>
      <c r="G2498" s="3">
        <v>7.55</v>
      </c>
    </row>
    <row r="2499">
      <c r="A2499" s="3">
        <v>170009.0</v>
      </c>
      <c r="B2499" s="3" t="s">
        <v>2524</v>
      </c>
      <c r="C2499" s="3" t="s">
        <v>101</v>
      </c>
      <c r="D2499" s="3">
        <v>71.0</v>
      </c>
      <c r="E2499" s="3">
        <v>0.3</v>
      </c>
      <c r="F2499" s="3">
        <v>1.32</v>
      </c>
      <c r="G2499" s="3">
        <v>17.01</v>
      </c>
    </row>
    <row r="2500">
      <c r="A2500" s="3">
        <v>170010.0</v>
      </c>
      <c r="B2500" s="3" t="s">
        <v>2525</v>
      </c>
      <c r="C2500" s="3" t="s">
        <v>101</v>
      </c>
      <c r="D2500" s="3">
        <v>42.0</v>
      </c>
      <c r="E2500" s="3">
        <v>0.2</v>
      </c>
      <c r="F2500" s="3">
        <v>2.8</v>
      </c>
      <c r="G2500" s="3">
        <v>7.55</v>
      </c>
    </row>
    <row r="2501">
      <c r="A2501" s="3">
        <v>170011.0</v>
      </c>
      <c r="B2501" s="3" t="s">
        <v>2526</v>
      </c>
      <c r="C2501" s="3" t="s">
        <v>101</v>
      </c>
      <c r="D2501" s="3">
        <v>42.0</v>
      </c>
      <c r="E2501" s="3">
        <v>0.23</v>
      </c>
      <c r="F2501" s="3">
        <v>3.27</v>
      </c>
      <c r="G2501" s="3">
        <v>7.05</v>
      </c>
    </row>
    <row r="2502">
      <c r="A2502" s="3">
        <v>170012.0</v>
      </c>
      <c r="B2502" s="3" t="s">
        <v>2527</v>
      </c>
      <c r="C2502" s="3" t="s">
        <v>101</v>
      </c>
      <c r="D2502" s="3">
        <v>42.0</v>
      </c>
      <c r="E2502" s="3">
        <v>0.3</v>
      </c>
      <c r="F2502" s="3">
        <v>2.8</v>
      </c>
      <c r="G2502" s="3">
        <v>7.2</v>
      </c>
    </row>
    <row r="2503">
      <c r="A2503" s="3">
        <v>170013.0</v>
      </c>
      <c r="B2503" s="3" t="s">
        <v>2528</v>
      </c>
      <c r="C2503" s="3" t="s">
        <v>101</v>
      </c>
      <c r="D2503" s="3">
        <v>68.0</v>
      </c>
      <c r="E2503" s="3">
        <v>0.8</v>
      </c>
      <c r="F2503" s="3">
        <v>4.47</v>
      </c>
      <c r="G2503" s="3">
        <v>11.36</v>
      </c>
    </row>
    <row r="2504">
      <c r="A2504" s="3">
        <v>170014.0</v>
      </c>
      <c r="B2504" s="3" t="s">
        <v>2529</v>
      </c>
      <c r="C2504" s="3" t="s">
        <v>101</v>
      </c>
      <c r="D2504" s="3">
        <v>50.0</v>
      </c>
      <c r="E2504" s="3">
        <v>0.27</v>
      </c>
      <c r="F2504" s="3">
        <v>3.09</v>
      </c>
      <c r="G2504" s="3">
        <v>9.25</v>
      </c>
    </row>
    <row r="2505">
      <c r="A2505" s="3">
        <v>170015.0</v>
      </c>
      <c r="B2505" s="3" t="s">
        <v>2530</v>
      </c>
      <c r="C2505" s="3" t="s">
        <v>101</v>
      </c>
      <c r="D2505" s="3">
        <v>71.0</v>
      </c>
      <c r="E2505" s="3">
        <v>0.95</v>
      </c>
      <c r="F2505" s="3">
        <v>4.33</v>
      </c>
      <c r="G2505" s="3">
        <v>11.82</v>
      </c>
    </row>
    <row r="2506">
      <c r="A2506" s="3">
        <v>170016.0</v>
      </c>
      <c r="B2506" s="3" t="s">
        <v>2531</v>
      </c>
      <c r="C2506" s="3" t="s">
        <v>101</v>
      </c>
      <c r="D2506" s="3">
        <v>77.0</v>
      </c>
      <c r="E2506" s="3">
        <v>0.4</v>
      </c>
      <c r="F2506" s="3">
        <v>5.22</v>
      </c>
      <c r="G2506" s="3">
        <v>13.62</v>
      </c>
    </row>
    <row r="2507">
      <c r="A2507" s="3">
        <v>170017.0</v>
      </c>
      <c r="B2507" s="3" t="s">
        <v>2532</v>
      </c>
      <c r="C2507" s="3" t="s">
        <v>101</v>
      </c>
      <c r="D2507" s="3">
        <v>78.0</v>
      </c>
      <c r="E2507" s="3">
        <v>0.27</v>
      </c>
      <c r="F2507" s="3">
        <v>5.15</v>
      </c>
      <c r="G2507" s="3">
        <v>14.26</v>
      </c>
    </row>
    <row r="2508">
      <c r="A2508" s="3">
        <v>170018.0</v>
      </c>
      <c r="B2508" s="3" t="s">
        <v>2533</v>
      </c>
      <c r="C2508" s="3" t="s">
        <v>101</v>
      </c>
      <c r="D2508" s="3">
        <v>48.0</v>
      </c>
      <c r="E2508" s="3">
        <v>0.42</v>
      </c>
      <c r="F2508" s="3">
        <v>3.09</v>
      </c>
      <c r="G2508" s="3">
        <v>10.12</v>
      </c>
    </row>
    <row r="2509">
      <c r="A2509" s="3">
        <v>170019.0</v>
      </c>
      <c r="B2509" s="3" t="s">
        <v>2534</v>
      </c>
      <c r="C2509" s="3" t="s">
        <v>101</v>
      </c>
      <c r="D2509" s="3">
        <v>51.0</v>
      </c>
      <c r="E2509" s="3">
        <v>0.38</v>
      </c>
      <c r="F2509" s="3">
        <v>3.28</v>
      </c>
      <c r="G2509" s="3">
        <v>8.57</v>
      </c>
    </row>
    <row r="2510">
      <c r="A2510" s="3">
        <v>170020.0</v>
      </c>
      <c r="B2510" s="3" t="s">
        <v>2535</v>
      </c>
      <c r="C2510" s="3" t="s">
        <v>101</v>
      </c>
      <c r="D2510" s="3">
        <v>70.0</v>
      </c>
      <c r="E2510" s="3">
        <v>0.32</v>
      </c>
      <c r="F2510" s="3">
        <v>3.98</v>
      </c>
      <c r="G2510" s="3">
        <v>13.51</v>
      </c>
    </row>
    <row r="2511">
      <c r="A2511" s="3">
        <v>170021.0</v>
      </c>
      <c r="B2511" s="3" t="s">
        <v>2536</v>
      </c>
      <c r="C2511" s="3" t="s">
        <v>101</v>
      </c>
      <c r="D2511" s="3">
        <v>45.0</v>
      </c>
      <c r="E2511" s="3">
        <v>0.2</v>
      </c>
      <c r="F2511" s="3">
        <v>2.54</v>
      </c>
      <c r="G2511" s="3">
        <v>8.63</v>
      </c>
    </row>
    <row r="2512">
      <c r="A2512" s="3">
        <v>170022.0</v>
      </c>
      <c r="B2512" s="3" t="s">
        <v>2537</v>
      </c>
      <c r="C2512" s="3" t="s">
        <v>101</v>
      </c>
      <c r="D2512" s="3">
        <v>20.0</v>
      </c>
      <c r="E2512" s="3">
        <v>0.21</v>
      </c>
      <c r="F2512" s="3">
        <v>1.08</v>
      </c>
      <c r="G2512" s="3">
        <v>4.45</v>
      </c>
    </row>
    <row r="2513">
      <c r="A2513" s="3">
        <v>170023.0</v>
      </c>
      <c r="B2513" s="3" t="s">
        <v>2538</v>
      </c>
      <c r="C2513" s="3" t="s">
        <v>101</v>
      </c>
      <c r="D2513" s="3">
        <v>18.0</v>
      </c>
      <c r="E2513" s="3">
        <v>0.18</v>
      </c>
      <c r="F2513" s="3">
        <v>0.95</v>
      </c>
      <c r="G2513" s="3">
        <v>3.9</v>
      </c>
    </row>
    <row r="2514">
      <c r="A2514" s="3">
        <v>170024.0</v>
      </c>
      <c r="B2514" s="3" t="s">
        <v>2539</v>
      </c>
      <c r="C2514" s="3" t="s">
        <v>101</v>
      </c>
      <c r="D2514" s="3">
        <v>116.0</v>
      </c>
      <c r="E2514" s="3">
        <v>11.85</v>
      </c>
      <c r="F2514" s="3">
        <v>0.78</v>
      </c>
      <c r="G2514" s="3">
        <v>4.22</v>
      </c>
    </row>
    <row r="2515">
      <c r="A2515" s="3">
        <v>170025.0</v>
      </c>
      <c r="B2515" s="3" t="s">
        <v>2540</v>
      </c>
      <c r="C2515" s="3" t="s">
        <v>101</v>
      </c>
      <c r="D2515" s="3">
        <v>136.0</v>
      </c>
      <c r="E2515" s="3">
        <v>1.64</v>
      </c>
      <c r="F2515" s="3">
        <v>7.2</v>
      </c>
      <c r="G2515" s="3">
        <v>23.88</v>
      </c>
    </row>
    <row r="2516">
      <c r="A2516" s="3">
        <v>170026.0</v>
      </c>
      <c r="B2516" s="3" t="s">
        <v>2541</v>
      </c>
      <c r="C2516" s="3" t="s">
        <v>101</v>
      </c>
      <c r="D2516" s="3">
        <v>77.0</v>
      </c>
      <c r="E2516" s="3">
        <v>0.09</v>
      </c>
      <c r="F2516" s="3">
        <v>2.05</v>
      </c>
      <c r="G2516" s="3">
        <v>17.49</v>
      </c>
    </row>
    <row r="2517">
      <c r="A2517" s="3">
        <v>170027.0</v>
      </c>
      <c r="B2517" s="3" t="s">
        <v>2542</v>
      </c>
      <c r="C2517" s="3" t="s">
        <v>101</v>
      </c>
      <c r="D2517" s="3">
        <v>79.0</v>
      </c>
      <c r="E2517" s="3">
        <v>0.08</v>
      </c>
      <c r="F2517" s="3">
        <v>2.14</v>
      </c>
      <c r="G2517" s="3">
        <v>18.07</v>
      </c>
    </row>
    <row r="2518">
      <c r="A2518" s="3">
        <v>170028.0</v>
      </c>
      <c r="B2518" s="3" t="s">
        <v>2543</v>
      </c>
      <c r="C2518" s="3" t="s">
        <v>101</v>
      </c>
      <c r="D2518" s="3">
        <v>69.0</v>
      </c>
      <c r="E2518" s="3">
        <v>0.1</v>
      </c>
      <c r="F2518" s="3">
        <v>1.68</v>
      </c>
      <c r="G2518" s="3">
        <v>15.71</v>
      </c>
    </row>
    <row r="2519">
      <c r="A2519" s="3">
        <v>170029.0</v>
      </c>
      <c r="B2519" s="3" t="s">
        <v>2544</v>
      </c>
      <c r="C2519" s="3" t="s">
        <v>101</v>
      </c>
      <c r="D2519" s="3">
        <v>70.0</v>
      </c>
      <c r="E2519" s="3">
        <v>0.14</v>
      </c>
      <c r="F2519" s="3">
        <v>1.89</v>
      </c>
      <c r="G2519" s="3">
        <v>15.9</v>
      </c>
    </row>
    <row r="2520">
      <c r="A2520" s="3">
        <v>170030.0</v>
      </c>
      <c r="B2520" s="3" t="s">
        <v>2545</v>
      </c>
      <c r="C2520" s="3" t="s">
        <v>101</v>
      </c>
      <c r="D2520" s="3">
        <v>95.0</v>
      </c>
      <c r="E2520" s="3">
        <v>0.13</v>
      </c>
      <c r="F2520" s="3">
        <v>2.63</v>
      </c>
      <c r="G2520" s="3">
        <v>21.44</v>
      </c>
    </row>
    <row r="2521">
      <c r="A2521" s="3">
        <v>170031.0</v>
      </c>
      <c r="B2521" s="3" t="s">
        <v>2546</v>
      </c>
      <c r="C2521" s="3" t="s">
        <v>101</v>
      </c>
      <c r="D2521" s="3">
        <v>127.0</v>
      </c>
      <c r="E2521" s="3">
        <v>1.81</v>
      </c>
      <c r="F2521" s="3">
        <v>2.22</v>
      </c>
      <c r="G2521" s="3">
        <v>26.15</v>
      </c>
    </row>
    <row r="2522">
      <c r="A2522" s="3">
        <v>170032.0</v>
      </c>
      <c r="B2522" s="3" t="s">
        <v>2547</v>
      </c>
      <c r="C2522" s="3" t="s">
        <v>101</v>
      </c>
      <c r="D2522" s="3">
        <v>58.0</v>
      </c>
      <c r="E2522" s="3">
        <v>0.1</v>
      </c>
      <c r="F2522" s="3">
        <v>2.57</v>
      </c>
      <c r="G2522" s="3">
        <v>12.44</v>
      </c>
    </row>
    <row r="2523">
      <c r="A2523" s="3">
        <v>170033.0</v>
      </c>
      <c r="B2523" s="3" t="s">
        <v>2548</v>
      </c>
      <c r="C2523" s="3" t="s">
        <v>101</v>
      </c>
      <c r="D2523" s="3">
        <v>93.0</v>
      </c>
      <c r="E2523" s="3">
        <v>0.1</v>
      </c>
      <c r="F2523" s="3">
        <v>1.96</v>
      </c>
      <c r="G2523" s="3">
        <v>21.55</v>
      </c>
    </row>
    <row r="2524">
      <c r="A2524" s="3">
        <v>170034.0</v>
      </c>
      <c r="B2524" s="3" t="s">
        <v>2549</v>
      </c>
      <c r="C2524" s="3" t="s">
        <v>101</v>
      </c>
      <c r="D2524" s="3">
        <v>198.0</v>
      </c>
      <c r="E2524" s="3">
        <v>0.1</v>
      </c>
      <c r="F2524" s="3">
        <v>4.29</v>
      </c>
      <c r="G2524" s="3">
        <v>46.06</v>
      </c>
    </row>
    <row r="2525">
      <c r="A2525" s="3">
        <v>170035.0</v>
      </c>
      <c r="B2525" s="3" t="s">
        <v>2550</v>
      </c>
      <c r="C2525" s="3" t="s">
        <v>101</v>
      </c>
      <c r="D2525" s="3">
        <v>132.0</v>
      </c>
      <c r="E2525" s="3">
        <v>0.1</v>
      </c>
      <c r="F2525" s="3">
        <v>4.39</v>
      </c>
      <c r="G2525" s="3">
        <v>29.63</v>
      </c>
    </row>
    <row r="2526">
      <c r="A2526" s="3">
        <v>170036.0</v>
      </c>
      <c r="B2526" s="3" t="s">
        <v>2551</v>
      </c>
      <c r="C2526" s="3" t="s">
        <v>158</v>
      </c>
      <c r="D2526" s="3">
        <v>265.0</v>
      </c>
      <c r="E2526" s="3">
        <v>12.52</v>
      </c>
      <c r="F2526" s="3">
        <v>3.0</v>
      </c>
      <c r="G2526" s="3">
        <v>35.11</v>
      </c>
    </row>
    <row r="2527">
      <c r="A2527" s="3">
        <v>170037.0</v>
      </c>
      <c r="B2527" s="3" t="s">
        <v>2552</v>
      </c>
      <c r="C2527" s="3" t="s">
        <v>101</v>
      </c>
      <c r="D2527" s="3">
        <v>113.0</v>
      </c>
      <c r="E2527" s="3">
        <v>4.2</v>
      </c>
      <c r="F2527" s="3">
        <v>1.96</v>
      </c>
      <c r="G2527" s="3">
        <v>16.94</v>
      </c>
    </row>
    <row r="2528">
      <c r="A2528" s="3">
        <v>170038.0</v>
      </c>
      <c r="B2528" s="3" t="s">
        <v>2553</v>
      </c>
      <c r="C2528" s="3" t="s">
        <v>101</v>
      </c>
      <c r="D2528" s="3">
        <v>88.0</v>
      </c>
      <c r="E2528" s="3">
        <v>3.68</v>
      </c>
      <c r="F2528" s="3">
        <v>2.87</v>
      </c>
      <c r="G2528" s="3">
        <v>10.78</v>
      </c>
    </row>
    <row r="2529">
      <c r="A2529" s="3">
        <v>170039.0</v>
      </c>
      <c r="B2529" s="3" t="s">
        <v>2554</v>
      </c>
      <c r="C2529" s="3" t="s">
        <v>101</v>
      </c>
      <c r="D2529" s="3">
        <v>372.0</v>
      </c>
      <c r="E2529" s="3">
        <v>0.54</v>
      </c>
      <c r="F2529" s="3">
        <v>8.22</v>
      </c>
      <c r="G2529" s="3">
        <v>85.51</v>
      </c>
    </row>
    <row r="2530">
      <c r="A2530" s="3">
        <v>170040.0</v>
      </c>
      <c r="B2530" s="3" t="s">
        <v>2555</v>
      </c>
      <c r="C2530" s="3" t="s">
        <v>101</v>
      </c>
      <c r="D2530" s="3">
        <v>108.0</v>
      </c>
      <c r="E2530" s="3">
        <v>4.96</v>
      </c>
      <c r="F2530" s="3">
        <v>2.05</v>
      </c>
      <c r="G2530" s="3">
        <v>14.36</v>
      </c>
    </row>
    <row r="2531">
      <c r="A2531" s="3">
        <v>170041.0</v>
      </c>
      <c r="B2531" s="3" t="s">
        <v>2556</v>
      </c>
      <c r="C2531" s="3" t="s">
        <v>101</v>
      </c>
      <c r="D2531" s="3">
        <v>357.0</v>
      </c>
      <c r="E2531" s="3">
        <v>1.1</v>
      </c>
      <c r="F2531" s="3">
        <v>10.9</v>
      </c>
      <c r="G2531" s="3">
        <v>77.7</v>
      </c>
    </row>
    <row r="2532">
      <c r="A2532" s="3">
        <v>170042.0</v>
      </c>
      <c r="B2532" s="3" t="s">
        <v>2557</v>
      </c>
      <c r="C2532" s="3" t="s">
        <v>101</v>
      </c>
      <c r="D2532" s="3">
        <v>116.0</v>
      </c>
      <c r="E2532" s="3">
        <v>4.8</v>
      </c>
      <c r="F2532" s="3">
        <v>2.13</v>
      </c>
      <c r="G2532" s="3">
        <v>16.13</v>
      </c>
    </row>
    <row r="2533">
      <c r="A2533" s="3">
        <v>170043.0</v>
      </c>
      <c r="B2533" s="3" t="s">
        <v>2558</v>
      </c>
      <c r="C2533" s="3" t="s">
        <v>101</v>
      </c>
      <c r="D2533" s="3">
        <v>82.0</v>
      </c>
      <c r="E2533" s="3">
        <v>0.62</v>
      </c>
      <c r="F2533" s="3">
        <v>2.06</v>
      </c>
      <c r="G2533" s="3">
        <v>17.72</v>
      </c>
    </row>
    <row r="2534">
      <c r="A2534" s="3">
        <v>170044.0</v>
      </c>
      <c r="B2534" s="3" t="s">
        <v>2559</v>
      </c>
      <c r="C2534" s="3" t="s">
        <v>101</v>
      </c>
      <c r="D2534" s="3">
        <v>219.0</v>
      </c>
      <c r="E2534" s="3">
        <v>11.59</v>
      </c>
      <c r="F2534" s="3">
        <v>2.65</v>
      </c>
      <c r="G2534" s="3">
        <v>28.51</v>
      </c>
    </row>
    <row r="2535">
      <c r="A2535" s="3">
        <v>170045.0</v>
      </c>
      <c r="B2535" s="3" t="s">
        <v>2560</v>
      </c>
      <c r="C2535" s="3" t="s">
        <v>101</v>
      </c>
      <c r="D2535" s="3">
        <v>135.0</v>
      </c>
      <c r="E2535" s="3">
        <v>6.66</v>
      </c>
      <c r="F2535" s="3">
        <v>1.87</v>
      </c>
      <c r="G2535" s="3">
        <v>18.28</v>
      </c>
    </row>
    <row r="2536">
      <c r="A2536" s="3">
        <v>170046.0</v>
      </c>
      <c r="B2536" s="3" t="s">
        <v>2561</v>
      </c>
      <c r="C2536" s="3" t="s">
        <v>101</v>
      </c>
      <c r="D2536" s="3">
        <v>178.0</v>
      </c>
      <c r="E2536" s="3">
        <v>8.79</v>
      </c>
      <c r="F2536" s="3">
        <v>2.46</v>
      </c>
      <c r="G2536" s="3">
        <v>24.13</v>
      </c>
    </row>
    <row r="2537">
      <c r="A2537" s="3">
        <v>170047.0</v>
      </c>
      <c r="B2537" s="3" t="s">
        <v>2562</v>
      </c>
      <c r="C2537" s="3" t="s">
        <v>101</v>
      </c>
      <c r="D2537" s="3">
        <v>178.0</v>
      </c>
      <c r="E2537" s="3">
        <v>8.71</v>
      </c>
      <c r="F2537" s="3">
        <v>1.93</v>
      </c>
      <c r="G2537" s="3">
        <v>24.8</v>
      </c>
    </row>
    <row r="2538">
      <c r="A2538" s="3">
        <v>170048.0</v>
      </c>
      <c r="B2538" s="3" t="s">
        <v>2563</v>
      </c>
      <c r="C2538" s="3" t="s">
        <v>101</v>
      </c>
      <c r="D2538" s="3">
        <v>192.0</v>
      </c>
      <c r="E2538" s="3">
        <v>9.05</v>
      </c>
      <c r="F2538" s="3">
        <v>2.13</v>
      </c>
      <c r="G2538" s="3">
        <v>27.29</v>
      </c>
    </row>
    <row r="2539">
      <c r="A2539" s="3">
        <v>170049.0</v>
      </c>
      <c r="B2539" s="3" t="s">
        <v>2564</v>
      </c>
      <c r="C2539" s="3" t="s">
        <v>101</v>
      </c>
      <c r="D2539" s="3">
        <v>65.0</v>
      </c>
      <c r="E2539" s="3">
        <v>0.13</v>
      </c>
      <c r="F2539" s="3">
        <v>1.98</v>
      </c>
      <c r="G2539" s="3">
        <v>14.52</v>
      </c>
    </row>
    <row r="2540">
      <c r="A2540" s="3">
        <v>170050.0</v>
      </c>
      <c r="B2540" s="3" t="s">
        <v>2565</v>
      </c>
      <c r="C2540" s="3" t="s">
        <v>101</v>
      </c>
      <c r="D2540" s="3">
        <v>18.0</v>
      </c>
      <c r="E2540" s="3">
        <v>0.11</v>
      </c>
      <c r="F2540" s="3">
        <v>0.95</v>
      </c>
      <c r="G2540" s="3">
        <v>4.01</v>
      </c>
    </row>
    <row r="2541">
      <c r="A2541" s="3">
        <v>170051.0</v>
      </c>
      <c r="B2541" s="3" t="s">
        <v>2566</v>
      </c>
      <c r="C2541" s="3" t="s">
        <v>101</v>
      </c>
      <c r="D2541" s="3">
        <v>16.0</v>
      </c>
      <c r="E2541" s="3">
        <v>0.25</v>
      </c>
      <c r="F2541" s="3">
        <v>0.79</v>
      </c>
      <c r="G2541" s="3">
        <v>3.47</v>
      </c>
    </row>
    <row r="2542">
      <c r="A2542" s="3">
        <v>170052.0</v>
      </c>
      <c r="B2542" s="3" t="s">
        <v>2567</v>
      </c>
      <c r="C2542" s="3" t="s">
        <v>101</v>
      </c>
      <c r="D2542" s="3">
        <v>26.0</v>
      </c>
      <c r="E2542" s="3">
        <v>0.19</v>
      </c>
      <c r="F2542" s="3">
        <v>0.91</v>
      </c>
      <c r="G2542" s="3">
        <v>6.19</v>
      </c>
    </row>
    <row r="2543">
      <c r="A2543" s="3">
        <v>170053.0</v>
      </c>
      <c r="B2543" s="3" t="s">
        <v>2568</v>
      </c>
      <c r="C2543" s="3" t="s">
        <v>101</v>
      </c>
      <c r="D2543" s="3">
        <v>15.0</v>
      </c>
      <c r="E2543" s="3">
        <v>0.08</v>
      </c>
      <c r="F2543" s="3">
        <v>0.69</v>
      </c>
      <c r="G2543" s="3">
        <v>3.62</v>
      </c>
    </row>
    <row r="2544">
      <c r="A2544" s="3">
        <v>170054.0</v>
      </c>
      <c r="B2544" s="3" t="s">
        <v>2569</v>
      </c>
      <c r="C2544" s="3" t="s">
        <v>101</v>
      </c>
      <c r="D2544" s="3">
        <v>24.0</v>
      </c>
      <c r="E2544" s="3">
        <v>0.3</v>
      </c>
      <c r="F2544" s="3">
        <v>1.2</v>
      </c>
      <c r="G2544" s="3">
        <v>5.31</v>
      </c>
    </row>
    <row r="2545">
      <c r="A2545" s="3">
        <v>170055.0</v>
      </c>
      <c r="B2545" s="3" t="s">
        <v>2570</v>
      </c>
      <c r="C2545" s="3" t="s">
        <v>101</v>
      </c>
      <c r="D2545" s="3">
        <v>35.0</v>
      </c>
      <c r="E2545" s="3">
        <v>0.13</v>
      </c>
      <c r="F2545" s="3">
        <v>1.45</v>
      </c>
      <c r="G2545" s="3">
        <v>8.43</v>
      </c>
    </row>
    <row r="2546">
      <c r="A2546" s="3">
        <v>170056.0</v>
      </c>
      <c r="B2546" s="3" t="s">
        <v>2571</v>
      </c>
      <c r="C2546" s="3" t="s">
        <v>101</v>
      </c>
      <c r="D2546" s="3">
        <v>42.0</v>
      </c>
      <c r="E2546" s="3">
        <v>0.19</v>
      </c>
      <c r="F2546" s="3">
        <v>1.56</v>
      </c>
      <c r="G2546" s="3">
        <v>9.94</v>
      </c>
    </row>
    <row r="2547">
      <c r="A2547" s="3">
        <v>170057.0</v>
      </c>
      <c r="B2547" s="3" t="s">
        <v>2572</v>
      </c>
      <c r="C2547" s="3" t="s">
        <v>101</v>
      </c>
      <c r="D2547" s="3">
        <v>59.0</v>
      </c>
      <c r="E2547" s="3">
        <v>1.93</v>
      </c>
      <c r="F2547" s="3">
        <v>2.13</v>
      </c>
      <c r="G2547" s="3">
        <v>10.24</v>
      </c>
    </row>
    <row r="2548">
      <c r="A2548" s="3">
        <v>170058.0</v>
      </c>
      <c r="B2548" s="3" t="s">
        <v>2573</v>
      </c>
      <c r="C2548" s="3" t="s">
        <v>101</v>
      </c>
      <c r="D2548" s="3">
        <v>22.0</v>
      </c>
      <c r="E2548" s="3">
        <v>0.08</v>
      </c>
      <c r="F2548" s="3">
        <v>0.71</v>
      </c>
      <c r="G2548" s="3">
        <v>5.06</v>
      </c>
    </row>
    <row r="2549">
      <c r="A2549" s="3">
        <v>170059.0</v>
      </c>
      <c r="B2549" s="3" t="s">
        <v>2574</v>
      </c>
      <c r="C2549" s="3" t="s">
        <v>101</v>
      </c>
      <c r="D2549" s="3">
        <v>16.0</v>
      </c>
      <c r="E2549" s="3">
        <v>0.16</v>
      </c>
      <c r="F2549" s="3">
        <v>1.04</v>
      </c>
      <c r="G2549" s="3">
        <v>2.94</v>
      </c>
    </row>
    <row r="2550">
      <c r="A2550" s="3">
        <v>170060.0</v>
      </c>
      <c r="B2550" s="3" t="s">
        <v>2575</v>
      </c>
      <c r="C2550" s="3" t="s">
        <v>101</v>
      </c>
      <c r="D2550" s="3">
        <v>23.0</v>
      </c>
      <c r="E2550" s="3">
        <v>0.24</v>
      </c>
      <c r="F2550" s="3">
        <v>1.53</v>
      </c>
      <c r="G2550" s="3">
        <v>4.35</v>
      </c>
    </row>
    <row r="2551">
      <c r="A2551" s="3">
        <v>170061.0</v>
      </c>
      <c r="B2551" s="3" t="s">
        <v>2576</v>
      </c>
      <c r="C2551" s="3" t="s">
        <v>101</v>
      </c>
      <c r="D2551" s="3">
        <v>32.0</v>
      </c>
      <c r="E2551" s="3">
        <v>0.3</v>
      </c>
      <c r="F2551" s="3">
        <v>1.5</v>
      </c>
      <c r="G2551" s="3">
        <v>7.13</v>
      </c>
    </row>
    <row r="2552">
      <c r="A2552" s="3">
        <v>170062.0</v>
      </c>
      <c r="B2552" s="3" t="s">
        <v>2577</v>
      </c>
      <c r="C2552" s="3" t="s">
        <v>101</v>
      </c>
      <c r="D2552" s="3">
        <v>35.0</v>
      </c>
      <c r="E2552" s="3">
        <v>0.38</v>
      </c>
      <c r="F2552" s="3">
        <v>2.99</v>
      </c>
      <c r="G2552" s="3">
        <v>4.85</v>
      </c>
    </row>
    <row r="2553">
      <c r="A2553" s="3">
        <v>170063.0</v>
      </c>
      <c r="B2553" s="3" t="s">
        <v>2578</v>
      </c>
      <c r="C2553" s="3" t="s">
        <v>101</v>
      </c>
      <c r="D2553" s="3">
        <v>22.0</v>
      </c>
      <c r="E2553" s="3">
        <v>0.31</v>
      </c>
      <c r="F2553" s="3">
        <v>0.93</v>
      </c>
      <c r="G2553" s="3">
        <v>3.87</v>
      </c>
    </row>
    <row r="2554">
      <c r="A2554" s="3">
        <v>170064.0</v>
      </c>
      <c r="B2554" s="3" t="s">
        <v>2579</v>
      </c>
      <c r="C2554" s="3" t="s">
        <v>101</v>
      </c>
      <c r="D2554" s="3">
        <v>36.0</v>
      </c>
      <c r="E2554" s="3">
        <v>0.25</v>
      </c>
      <c r="F2554" s="3">
        <v>1.42</v>
      </c>
      <c r="G2554" s="3">
        <v>7.13</v>
      </c>
    </row>
    <row r="2555">
      <c r="A2555" s="3">
        <v>170065.0</v>
      </c>
      <c r="B2555" s="3" t="s">
        <v>2580</v>
      </c>
      <c r="C2555" s="3" t="s">
        <v>101</v>
      </c>
      <c r="D2555" s="3">
        <v>49.0</v>
      </c>
      <c r="E2555" s="3">
        <v>0.25</v>
      </c>
      <c r="F2555" s="3">
        <v>2.59</v>
      </c>
      <c r="G2555" s="3">
        <v>9.26</v>
      </c>
    </row>
    <row r="2556">
      <c r="A2556" s="3">
        <v>170066.0</v>
      </c>
      <c r="B2556" s="3" t="s">
        <v>2581</v>
      </c>
      <c r="C2556" s="3" t="s">
        <v>101</v>
      </c>
      <c r="D2556" s="3">
        <v>97.0</v>
      </c>
      <c r="E2556" s="3">
        <v>0.1</v>
      </c>
      <c r="F2556" s="3">
        <v>1.4</v>
      </c>
      <c r="G2556" s="3">
        <v>23.94</v>
      </c>
    </row>
    <row r="2557">
      <c r="A2557" s="3">
        <v>170067.0</v>
      </c>
      <c r="B2557" s="3" t="s">
        <v>2582</v>
      </c>
      <c r="C2557" s="3" t="s">
        <v>101</v>
      </c>
      <c r="D2557" s="3">
        <v>50.0</v>
      </c>
      <c r="E2557" s="3">
        <v>0.06</v>
      </c>
      <c r="F2557" s="3">
        <v>0.88</v>
      </c>
      <c r="G2557" s="3">
        <v>12.3</v>
      </c>
    </row>
    <row r="2558">
      <c r="A2558" s="3">
        <v>170068.0</v>
      </c>
      <c r="B2558" s="3" t="s">
        <v>2583</v>
      </c>
      <c r="C2558" s="3" t="s">
        <v>101</v>
      </c>
      <c r="D2558" s="3">
        <v>11.0</v>
      </c>
      <c r="E2558" s="3">
        <v>0.1</v>
      </c>
      <c r="F2558" s="3">
        <v>2.3</v>
      </c>
      <c r="G2558" s="3">
        <v>1.29</v>
      </c>
    </row>
    <row r="2559">
      <c r="A2559" s="3">
        <v>170069.0</v>
      </c>
      <c r="B2559" s="3" t="s">
        <v>2584</v>
      </c>
      <c r="C2559" s="3" t="s">
        <v>101</v>
      </c>
      <c r="D2559" s="3">
        <v>13.0</v>
      </c>
      <c r="E2559" s="3">
        <v>0.2</v>
      </c>
      <c r="F2559" s="3">
        <v>0.4</v>
      </c>
      <c r="G2559" s="3">
        <v>3.0</v>
      </c>
    </row>
    <row r="2560">
      <c r="A2560" s="3">
        <v>170070.0</v>
      </c>
      <c r="B2560" s="3" t="s">
        <v>2585</v>
      </c>
      <c r="C2560" s="3" t="s">
        <v>101</v>
      </c>
      <c r="D2560" s="3">
        <v>148.0</v>
      </c>
      <c r="E2560" s="3">
        <v>0.9</v>
      </c>
      <c r="F2560" s="3">
        <v>11.6</v>
      </c>
      <c r="G2560" s="3">
        <v>28.1</v>
      </c>
    </row>
    <row r="2561">
      <c r="A2561" s="3">
        <v>170071.0</v>
      </c>
      <c r="B2561" s="3" t="s">
        <v>2586</v>
      </c>
      <c r="C2561" s="3" t="s">
        <v>101</v>
      </c>
      <c r="D2561" s="3">
        <v>118.0</v>
      </c>
      <c r="E2561" s="3">
        <v>0.17</v>
      </c>
      <c r="F2561" s="3">
        <v>1.53</v>
      </c>
      <c r="G2561" s="3">
        <v>27.88</v>
      </c>
    </row>
    <row r="2562">
      <c r="A2562" s="3">
        <v>170072.0</v>
      </c>
      <c r="B2562" s="3" t="s">
        <v>2587</v>
      </c>
      <c r="C2562" s="3" t="s">
        <v>101</v>
      </c>
      <c r="D2562" s="3">
        <v>116.0</v>
      </c>
      <c r="E2562" s="3">
        <v>0.14</v>
      </c>
      <c r="F2562" s="3">
        <v>1.49</v>
      </c>
      <c r="G2562" s="3">
        <v>27.48</v>
      </c>
    </row>
    <row r="2563">
      <c r="A2563" s="3">
        <v>170073.0</v>
      </c>
      <c r="B2563" s="3" t="s">
        <v>2588</v>
      </c>
      <c r="C2563" s="3" t="s">
        <v>101</v>
      </c>
      <c r="D2563" s="3">
        <v>38.0</v>
      </c>
      <c r="E2563" s="3">
        <v>0.09</v>
      </c>
      <c r="F2563" s="3">
        <v>0.72</v>
      </c>
      <c r="G2563" s="3">
        <v>8.82</v>
      </c>
    </row>
    <row r="2564">
      <c r="A2564" s="3">
        <v>170074.0</v>
      </c>
      <c r="B2564" s="3" t="s">
        <v>2589</v>
      </c>
      <c r="C2564" s="3" t="s">
        <v>101</v>
      </c>
      <c r="D2564" s="3">
        <v>38.0</v>
      </c>
      <c r="E2564" s="3">
        <v>0.09</v>
      </c>
      <c r="F2564" s="3">
        <v>0.72</v>
      </c>
      <c r="G2564" s="3">
        <v>8.82</v>
      </c>
    </row>
    <row r="2565">
      <c r="A2565" s="3">
        <v>170075.0</v>
      </c>
      <c r="B2565" s="3" t="s">
        <v>2590</v>
      </c>
      <c r="C2565" s="3" t="s">
        <v>101</v>
      </c>
      <c r="D2565" s="3">
        <v>311.0</v>
      </c>
      <c r="E2565" s="3">
        <v>3.5</v>
      </c>
      <c r="F2565" s="3">
        <v>21.2</v>
      </c>
      <c r="G2565" s="3">
        <v>64.29</v>
      </c>
    </row>
    <row r="2566">
      <c r="A2566" s="3">
        <v>170076.0</v>
      </c>
      <c r="B2566" s="3" t="s">
        <v>2591</v>
      </c>
      <c r="C2566" s="3" t="s">
        <v>101</v>
      </c>
      <c r="D2566" s="3">
        <v>22.0</v>
      </c>
      <c r="E2566" s="3">
        <v>0.7</v>
      </c>
      <c r="F2566" s="3">
        <v>2.0</v>
      </c>
      <c r="G2566" s="3">
        <v>3.2</v>
      </c>
    </row>
    <row r="2567">
      <c r="A2567" s="3">
        <v>170077.0</v>
      </c>
      <c r="B2567" s="3" t="s">
        <v>2592</v>
      </c>
      <c r="C2567" s="3" t="s">
        <v>101</v>
      </c>
      <c r="D2567" s="3">
        <v>20.0</v>
      </c>
      <c r="E2567" s="3">
        <v>0.64</v>
      </c>
      <c r="F2567" s="3">
        <v>1.83</v>
      </c>
      <c r="G2567" s="3">
        <v>2.93</v>
      </c>
    </row>
    <row r="2568">
      <c r="A2568" s="3">
        <v>170078.0</v>
      </c>
      <c r="B2568" s="3" t="s">
        <v>2593</v>
      </c>
      <c r="C2568" s="3" t="s">
        <v>101</v>
      </c>
      <c r="D2568" s="3">
        <v>150.0</v>
      </c>
      <c r="E2568" s="3">
        <v>1.8</v>
      </c>
      <c r="F2568" s="3">
        <v>4.6</v>
      </c>
      <c r="G2568" s="3">
        <v>31.68</v>
      </c>
    </row>
    <row r="2569">
      <c r="A2569" s="3">
        <v>170079.0</v>
      </c>
      <c r="B2569" s="3" t="s">
        <v>2594</v>
      </c>
      <c r="C2569" s="3" t="s">
        <v>101</v>
      </c>
      <c r="D2569" s="3">
        <v>12.0</v>
      </c>
      <c r="E2569" s="3">
        <v>0.06</v>
      </c>
      <c r="F2569" s="3">
        <v>1.4</v>
      </c>
      <c r="G2569" s="3">
        <v>2.14</v>
      </c>
    </row>
    <row r="2570">
      <c r="A2570" s="3">
        <v>170080.0</v>
      </c>
      <c r="B2570" s="3" t="s">
        <v>2595</v>
      </c>
      <c r="C2570" s="3" t="s">
        <v>101</v>
      </c>
      <c r="D2570" s="3">
        <v>27.0</v>
      </c>
      <c r="E2570" s="3">
        <v>0.94</v>
      </c>
      <c r="F2570" s="3">
        <v>0.92</v>
      </c>
      <c r="G2570" s="3">
        <v>4.74</v>
      </c>
    </row>
    <row r="2571">
      <c r="A2571" s="3">
        <v>170081.0</v>
      </c>
      <c r="B2571" s="3" t="s">
        <v>2596</v>
      </c>
      <c r="C2571" s="3" t="s">
        <v>101</v>
      </c>
      <c r="D2571" s="3">
        <v>14.0</v>
      </c>
      <c r="E2571" s="3">
        <v>0.1</v>
      </c>
      <c r="F2571" s="3">
        <v>1.1</v>
      </c>
      <c r="G2571" s="3">
        <v>2.63</v>
      </c>
    </row>
    <row r="2572">
      <c r="A2572" s="3">
        <v>170082.0</v>
      </c>
      <c r="B2572" s="3" t="s">
        <v>2597</v>
      </c>
      <c r="C2572" s="3" t="s">
        <v>101</v>
      </c>
      <c r="D2572" s="3">
        <v>348.0</v>
      </c>
      <c r="E2572" s="3">
        <v>0.5</v>
      </c>
      <c r="F2572" s="3">
        <v>12.3</v>
      </c>
      <c r="G2572" s="3">
        <v>80.7</v>
      </c>
    </row>
    <row r="2573">
      <c r="A2573" s="3">
        <v>170083.0</v>
      </c>
      <c r="B2573" s="3" t="s">
        <v>2598</v>
      </c>
      <c r="C2573" s="3" t="s">
        <v>101</v>
      </c>
      <c r="D2573" s="3">
        <v>89.0</v>
      </c>
      <c r="E2573" s="3">
        <v>0.2</v>
      </c>
      <c r="F2573" s="3">
        <v>0.98</v>
      </c>
      <c r="G2573" s="3">
        <v>20.93</v>
      </c>
    </row>
    <row r="2574">
      <c r="A2574" s="3">
        <v>170084.0</v>
      </c>
      <c r="B2574" s="3" t="s">
        <v>2599</v>
      </c>
      <c r="C2574" s="3" t="s">
        <v>101</v>
      </c>
      <c r="D2574" s="3">
        <v>108.0</v>
      </c>
      <c r="E2574" s="3">
        <v>0.32</v>
      </c>
      <c r="F2574" s="3">
        <v>1.28</v>
      </c>
      <c r="G2574" s="3">
        <v>25.36</v>
      </c>
    </row>
    <row r="2575">
      <c r="A2575" s="3">
        <v>170085.0</v>
      </c>
      <c r="B2575" s="3" t="s">
        <v>2600</v>
      </c>
      <c r="C2575" s="3" t="s">
        <v>101</v>
      </c>
      <c r="D2575" s="3">
        <v>33.0</v>
      </c>
      <c r="E2575" s="3">
        <v>0.27</v>
      </c>
      <c r="F2575" s="3">
        <v>1.44</v>
      </c>
      <c r="G2575" s="3">
        <v>7.24</v>
      </c>
    </row>
    <row r="2576">
      <c r="A2576" s="3">
        <v>170086.0</v>
      </c>
      <c r="B2576" s="3" t="s">
        <v>2601</v>
      </c>
      <c r="C2576" s="3" t="s">
        <v>101</v>
      </c>
      <c r="D2576" s="3">
        <v>62.0</v>
      </c>
      <c r="E2576" s="3">
        <v>0.9</v>
      </c>
      <c r="F2576" s="3">
        <v>5.25</v>
      </c>
      <c r="G2576" s="3">
        <v>11.6</v>
      </c>
    </row>
    <row r="2577">
      <c r="A2577" s="3">
        <v>170087.0</v>
      </c>
      <c r="B2577" s="3" t="s">
        <v>2602</v>
      </c>
      <c r="C2577" s="3" t="s">
        <v>101</v>
      </c>
      <c r="D2577" s="3">
        <v>22.0</v>
      </c>
      <c r="E2577" s="3">
        <v>0.32</v>
      </c>
      <c r="F2577" s="3">
        <v>1.86</v>
      </c>
      <c r="G2577" s="3">
        <v>4.1</v>
      </c>
    </row>
    <row r="2578">
      <c r="A2578" s="3">
        <v>170088.0</v>
      </c>
      <c r="B2578" s="3" t="s">
        <v>2603</v>
      </c>
      <c r="C2578" s="3" t="s">
        <v>101</v>
      </c>
      <c r="D2578" s="3">
        <v>164.0</v>
      </c>
      <c r="E2578" s="3">
        <v>3.54</v>
      </c>
      <c r="F2578" s="3">
        <v>0.89</v>
      </c>
      <c r="G2578" s="3">
        <v>32.12</v>
      </c>
    </row>
    <row r="2579">
      <c r="A2579" s="3">
        <v>170089.0</v>
      </c>
      <c r="B2579" s="3" t="s">
        <v>2604</v>
      </c>
      <c r="C2579" s="3" t="s">
        <v>101</v>
      </c>
      <c r="D2579" s="3">
        <v>79.0</v>
      </c>
      <c r="E2579" s="3">
        <v>2.68</v>
      </c>
      <c r="F2579" s="3">
        <v>1.96</v>
      </c>
      <c r="G2579" s="3">
        <v>13.05</v>
      </c>
    </row>
    <row r="2580">
      <c r="A2580" s="3">
        <v>170090.0</v>
      </c>
      <c r="B2580" s="3" t="s">
        <v>2605</v>
      </c>
      <c r="C2580" s="3" t="s">
        <v>101</v>
      </c>
      <c r="D2580" s="3">
        <v>306.0</v>
      </c>
      <c r="E2580" s="3">
        <v>0.3</v>
      </c>
      <c r="F2580" s="3">
        <v>6.21</v>
      </c>
      <c r="G2580" s="3">
        <v>80.88</v>
      </c>
    </row>
    <row r="2581">
      <c r="A2581" s="3">
        <v>170091.0</v>
      </c>
      <c r="B2581" s="3" t="s">
        <v>2606</v>
      </c>
      <c r="C2581" s="3" t="s">
        <v>101</v>
      </c>
      <c r="D2581" s="3">
        <v>26.0</v>
      </c>
      <c r="E2581" s="3">
        <v>0.39</v>
      </c>
      <c r="F2581" s="3">
        <v>5.92</v>
      </c>
      <c r="G2581" s="3">
        <v>2.42</v>
      </c>
    </row>
    <row r="2582">
      <c r="A2582" s="3">
        <v>170092.0</v>
      </c>
      <c r="B2582" s="3" t="s">
        <v>2607</v>
      </c>
      <c r="C2582" s="3" t="s">
        <v>101</v>
      </c>
      <c r="D2582" s="3">
        <v>268.0</v>
      </c>
      <c r="E2582" s="3">
        <v>14.76</v>
      </c>
      <c r="F2582" s="3">
        <v>6.08</v>
      </c>
      <c r="G2582" s="3">
        <v>27.81</v>
      </c>
    </row>
    <row r="2583">
      <c r="A2583" s="3">
        <v>170093.0</v>
      </c>
      <c r="B2583" s="3" t="s">
        <v>2608</v>
      </c>
      <c r="C2583" s="3" t="s">
        <v>101</v>
      </c>
      <c r="D2583" s="3">
        <v>93.0</v>
      </c>
      <c r="E2583" s="3">
        <v>0.13</v>
      </c>
      <c r="F2583" s="3">
        <v>2.5</v>
      </c>
      <c r="G2583" s="3">
        <v>21.15</v>
      </c>
    </row>
    <row r="2584">
      <c r="A2584" s="3">
        <v>170094.0</v>
      </c>
      <c r="B2584" s="3" t="s">
        <v>2609</v>
      </c>
      <c r="C2584" s="3" t="s">
        <v>101</v>
      </c>
      <c r="D2584" s="3">
        <v>105.0</v>
      </c>
      <c r="E2584" s="3">
        <v>0.1</v>
      </c>
      <c r="F2584" s="3">
        <v>2.44</v>
      </c>
      <c r="G2584" s="3">
        <v>24.24</v>
      </c>
    </row>
    <row r="2585">
      <c r="A2585" s="3">
        <v>170095.0</v>
      </c>
      <c r="B2585" s="3" t="s">
        <v>2610</v>
      </c>
      <c r="C2585" s="3" t="s">
        <v>101</v>
      </c>
      <c r="D2585" s="3">
        <v>43.0</v>
      </c>
      <c r="E2585" s="3">
        <v>2.53</v>
      </c>
      <c r="F2585" s="3">
        <v>3.81</v>
      </c>
      <c r="G2585" s="3">
        <v>3.6</v>
      </c>
    </row>
    <row r="2586">
      <c r="A2586" s="3">
        <v>170096.0</v>
      </c>
      <c r="B2586" s="3" t="s">
        <v>2611</v>
      </c>
      <c r="C2586" s="3" t="s">
        <v>101</v>
      </c>
      <c r="D2586" s="3">
        <v>15.0</v>
      </c>
      <c r="E2586" s="3">
        <v>0.26</v>
      </c>
      <c r="F2586" s="3">
        <v>0.98</v>
      </c>
      <c r="G2586" s="3">
        <v>2.98</v>
      </c>
    </row>
    <row r="2587">
      <c r="A2587" s="3">
        <v>170097.0</v>
      </c>
      <c r="B2587" s="3" t="s">
        <v>2612</v>
      </c>
      <c r="C2587" s="3" t="s">
        <v>101</v>
      </c>
      <c r="D2587" s="3">
        <v>56.0</v>
      </c>
      <c r="E2587" s="3">
        <v>0.22</v>
      </c>
      <c r="F2587" s="3">
        <v>1.56</v>
      </c>
      <c r="G2587" s="3">
        <v>14.39</v>
      </c>
    </row>
    <row r="2588">
      <c r="A2588" s="3">
        <v>170098.0</v>
      </c>
      <c r="B2588" s="3" t="s">
        <v>2613</v>
      </c>
      <c r="C2588" s="3" t="s">
        <v>101</v>
      </c>
      <c r="D2588" s="3">
        <v>22.0</v>
      </c>
      <c r="E2588" s="3">
        <v>0.21</v>
      </c>
      <c r="F2588" s="3">
        <v>1.87</v>
      </c>
      <c r="G2588" s="3">
        <v>4.51</v>
      </c>
    </row>
    <row r="2589">
      <c r="A2589" s="3">
        <v>170099.0</v>
      </c>
      <c r="B2589" s="3" t="s">
        <v>2614</v>
      </c>
      <c r="C2589" s="3" t="s">
        <v>101</v>
      </c>
      <c r="D2589" s="3">
        <v>29.0</v>
      </c>
      <c r="E2589" s="3">
        <v>0.24</v>
      </c>
      <c r="F2589" s="3">
        <v>1.63</v>
      </c>
      <c r="G2589" s="3">
        <v>6.41</v>
      </c>
    </row>
    <row r="2590">
      <c r="A2590" s="3">
        <v>170100.0</v>
      </c>
      <c r="B2590" s="3" t="s">
        <v>2615</v>
      </c>
      <c r="C2590" s="3" t="s">
        <v>101</v>
      </c>
      <c r="D2590" s="3">
        <v>42.0</v>
      </c>
      <c r="E2590" s="3">
        <v>0.19</v>
      </c>
      <c r="F2590" s="3">
        <v>1.36</v>
      </c>
      <c r="G2590" s="3">
        <v>9.56</v>
      </c>
    </row>
    <row r="2591">
      <c r="A2591" s="3">
        <v>170101.0</v>
      </c>
      <c r="B2591" s="3" t="s">
        <v>2616</v>
      </c>
      <c r="C2591" s="3" t="s">
        <v>101</v>
      </c>
      <c r="D2591" s="3">
        <v>26.0</v>
      </c>
      <c r="E2591" s="3">
        <v>0.1</v>
      </c>
      <c r="F2591" s="3">
        <v>0.77</v>
      </c>
      <c r="G2591" s="3">
        <v>6.0</v>
      </c>
    </row>
    <row r="2592">
      <c r="A2592" s="3">
        <v>170102.0</v>
      </c>
      <c r="B2592" s="3" t="s">
        <v>2617</v>
      </c>
      <c r="C2592" s="3" t="s">
        <v>101</v>
      </c>
      <c r="D2592" s="3">
        <v>84.0</v>
      </c>
      <c r="E2592" s="3">
        <v>0.22</v>
      </c>
      <c r="F2592" s="3">
        <v>5.36</v>
      </c>
      <c r="G2592" s="3">
        <v>15.63</v>
      </c>
    </row>
    <row r="2593">
      <c r="A2593" s="3">
        <v>170103.0</v>
      </c>
      <c r="B2593" s="3" t="s">
        <v>2618</v>
      </c>
      <c r="C2593" s="3" t="s">
        <v>101</v>
      </c>
      <c r="D2593" s="3">
        <v>53.0</v>
      </c>
      <c r="E2593" s="3">
        <v>0.3</v>
      </c>
      <c r="F2593" s="3">
        <v>3.19</v>
      </c>
      <c r="G2593" s="3">
        <v>9.75</v>
      </c>
    </row>
    <row r="2594">
      <c r="A2594" s="3">
        <v>170104.0</v>
      </c>
      <c r="B2594" s="3" t="s">
        <v>2619</v>
      </c>
      <c r="C2594" s="3" t="s">
        <v>101</v>
      </c>
      <c r="D2594" s="3">
        <v>69.0</v>
      </c>
      <c r="E2594" s="3">
        <v>0.35</v>
      </c>
      <c r="F2594" s="3">
        <v>4.42</v>
      </c>
      <c r="G2594" s="3">
        <v>12.58</v>
      </c>
    </row>
    <row r="2595">
      <c r="A2595" s="3">
        <v>170105.0</v>
      </c>
      <c r="B2595" s="3" t="s">
        <v>2620</v>
      </c>
      <c r="C2595" s="3" t="s">
        <v>101</v>
      </c>
      <c r="D2595" s="3">
        <v>78.0</v>
      </c>
      <c r="E2595" s="3">
        <v>0.27</v>
      </c>
      <c r="F2595" s="3">
        <v>5.15</v>
      </c>
      <c r="G2595" s="3">
        <v>14.26</v>
      </c>
    </row>
    <row r="2596">
      <c r="A2596" s="3">
        <v>170106.0</v>
      </c>
      <c r="B2596" s="3" t="s">
        <v>2621</v>
      </c>
      <c r="C2596" s="3" t="s">
        <v>101</v>
      </c>
      <c r="D2596" s="3">
        <v>40.0</v>
      </c>
      <c r="E2596" s="3">
        <v>0.44</v>
      </c>
      <c r="F2596" s="3">
        <v>1.87</v>
      </c>
      <c r="G2596" s="3">
        <v>8.81</v>
      </c>
    </row>
    <row r="2597">
      <c r="A2597" s="3">
        <v>170107.0</v>
      </c>
      <c r="B2597" s="3" t="s">
        <v>2622</v>
      </c>
      <c r="C2597" s="3" t="s">
        <v>101</v>
      </c>
      <c r="D2597" s="3">
        <v>21.0</v>
      </c>
      <c r="E2597" s="3">
        <v>0.1</v>
      </c>
      <c r="F2597" s="3">
        <v>0.9</v>
      </c>
      <c r="G2597" s="3">
        <v>5.1</v>
      </c>
    </row>
    <row r="2598">
      <c r="A2598" s="3">
        <v>170108.0</v>
      </c>
      <c r="B2598" s="3" t="s">
        <v>2623</v>
      </c>
      <c r="C2598" s="3" t="s">
        <v>101</v>
      </c>
      <c r="D2598" s="3">
        <v>26.0</v>
      </c>
      <c r="E2598" s="3">
        <v>0.3</v>
      </c>
      <c r="F2598" s="3">
        <v>0.99</v>
      </c>
      <c r="G2598" s="3">
        <v>6.03</v>
      </c>
    </row>
    <row r="2599">
      <c r="A2599" s="3">
        <v>170109.0</v>
      </c>
      <c r="B2599" s="3" t="s">
        <v>2624</v>
      </c>
      <c r="C2599" s="3" t="s">
        <v>101</v>
      </c>
      <c r="D2599" s="3">
        <v>26.0</v>
      </c>
      <c r="E2599" s="3">
        <v>0.2</v>
      </c>
      <c r="F2599" s="3">
        <v>0.92</v>
      </c>
      <c r="G2599" s="3">
        <v>6.11</v>
      </c>
    </row>
    <row r="2600">
      <c r="A2600" s="3">
        <v>170110.0</v>
      </c>
      <c r="B2600" s="3" t="s">
        <v>2625</v>
      </c>
      <c r="C2600" s="3" t="s">
        <v>101</v>
      </c>
      <c r="D2600" s="3">
        <v>28.0</v>
      </c>
      <c r="E2600" s="3">
        <v>0.2</v>
      </c>
      <c r="F2600" s="3">
        <v>0.92</v>
      </c>
      <c r="G2600" s="3">
        <v>6.7</v>
      </c>
    </row>
    <row r="2601">
      <c r="A2601" s="3">
        <v>170111.0</v>
      </c>
      <c r="B2601" s="3" t="s">
        <v>2626</v>
      </c>
      <c r="C2601" s="3" t="s">
        <v>101</v>
      </c>
      <c r="D2601" s="3">
        <v>93.0</v>
      </c>
      <c r="E2601" s="3">
        <v>0.13</v>
      </c>
      <c r="F2601" s="3">
        <v>2.5</v>
      </c>
      <c r="G2601" s="3">
        <v>21.15</v>
      </c>
    </row>
    <row r="2602">
      <c r="A2602" s="3">
        <v>170112.0</v>
      </c>
      <c r="B2602" s="3" t="s">
        <v>2627</v>
      </c>
      <c r="C2602" s="3" t="s">
        <v>101</v>
      </c>
      <c r="D2602" s="3">
        <v>93.0</v>
      </c>
      <c r="E2602" s="3">
        <v>0.1</v>
      </c>
      <c r="F2602" s="3">
        <v>1.96</v>
      </c>
      <c r="G2602" s="3">
        <v>21.55</v>
      </c>
    </row>
    <row r="2603">
      <c r="A2603" s="3">
        <v>170113.0</v>
      </c>
      <c r="B2603" s="3" t="s">
        <v>2628</v>
      </c>
      <c r="C2603" s="3" t="s">
        <v>101</v>
      </c>
      <c r="D2603" s="3">
        <v>198.0</v>
      </c>
      <c r="E2603" s="3">
        <v>0.1</v>
      </c>
      <c r="F2603" s="3">
        <v>4.29</v>
      </c>
      <c r="G2603" s="3">
        <v>46.06</v>
      </c>
    </row>
    <row r="2604">
      <c r="A2604" s="3">
        <v>170114.0</v>
      </c>
      <c r="B2604" s="3" t="s">
        <v>2629</v>
      </c>
      <c r="C2604" s="3" t="s">
        <v>101</v>
      </c>
      <c r="D2604" s="3">
        <v>87.0</v>
      </c>
      <c r="E2604" s="3">
        <v>0.1</v>
      </c>
      <c r="F2604" s="3">
        <v>1.87</v>
      </c>
      <c r="G2604" s="3">
        <v>20.13</v>
      </c>
    </row>
    <row r="2605">
      <c r="A2605" s="3">
        <v>170115.0</v>
      </c>
      <c r="B2605" s="3" t="s">
        <v>2630</v>
      </c>
      <c r="C2605" s="3" t="s">
        <v>101</v>
      </c>
      <c r="D2605" s="3">
        <v>132.0</v>
      </c>
      <c r="E2605" s="3">
        <v>0.1</v>
      </c>
      <c r="F2605" s="3">
        <v>4.39</v>
      </c>
      <c r="G2605" s="3">
        <v>29.63</v>
      </c>
    </row>
    <row r="2606">
      <c r="A2606" s="3">
        <v>170116.0</v>
      </c>
      <c r="B2606" s="3" t="s">
        <v>2631</v>
      </c>
      <c r="C2606" s="3" t="s">
        <v>101</v>
      </c>
      <c r="D2606" s="3">
        <v>63.0</v>
      </c>
      <c r="E2606" s="3">
        <v>0.13</v>
      </c>
      <c r="F2606" s="3">
        <v>1.98</v>
      </c>
      <c r="G2606" s="3">
        <v>13.93</v>
      </c>
    </row>
    <row r="2607">
      <c r="A2607" s="3">
        <v>170117.0</v>
      </c>
      <c r="B2607" s="3" t="s">
        <v>2632</v>
      </c>
      <c r="C2607" s="3" t="s">
        <v>101</v>
      </c>
      <c r="D2607" s="3">
        <v>218.0</v>
      </c>
      <c r="E2607" s="3">
        <v>8.2</v>
      </c>
      <c r="F2607" s="3">
        <v>3.44</v>
      </c>
      <c r="G2607" s="3">
        <v>34.03</v>
      </c>
    </row>
    <row r="2608">
      <c r="A2608" s="3">
        <v>170118.0</v>
      </c>
      <c r="B2608" s="3" t="s">
        <v>2633</v>
      </c>
      <c r="C2608" s="3" t="s">
        <v>101</v>
      </c>
      <c r="D2608" s="3">
        <v>168.0</v>
      </c>
      <c r="E2608" s="3">
        <v>5.22</v>
      </c>
      <c r="F2608" s="3">
        <v>2.66</v>
      </c>
      <c r="G2608" s="3">
        <v>28.71</v>
      </c>
    </row>
    <row r="2609">
      <c r="A2609" s="3">
        <v>170119.0</v>
      </c>
      <c r="B2609" s="3" t="s">
        <v>2634</v>
      </c>
      <c r="C2609" s="3" t="s">
        <v>101</v>
      </c>
      <c r="D2609" s="3">
        <v>15.0</v>
      </c>
      <c r="E2609" s="3">
        <v>0.08</v>
      </c>
      <c r="F2609" s="3">
        <v>1.09</v>
      </c>
      <c r="G2609" s="3">
        <v>3.18</v>
      </c>
    </row>
    <row r="2610">
      <c r="A2610" s="3">
        <v>170120.0</v>
      </c>
      <c r="B2610" s="3" t="s">
        <v>2635</v>
      </c>
      <c r="C2610" s="3" t="s">
        <v>101</v>
      </c>
      <c r="D2610" s="3">
        <v>21.0</v>
      </c>
      <c r="E2610" s="3">
        <v>0.22</v>
      </c>
      <c r="F2610" s="3">
        <v>2.72</v>
      </c>
      <c r="G2610" s="3">
        <v>3.39</v>
      </c>
    </row>
    <row r="2611">
      <c r="A2611" s="3">
        <v>170121.0</v>
      </c>
      <c r="B2611" s="3" t="s">
        <v>2636</v>
      </c>
      <c r="C2611" s="3" t="s">
        <v>101</v>
      </c>
      <c r="D2611" s="3">
        <v>18.0</v>
      </c>
      <c r="E2611" s="3">
        <v>0.19</v>
      </c>
      <c r="F2611" s="3">
        <v>1.49</v>
      </c>
      <c r="G2611" s="3">
        <v>3.55</v>
      </c>
    </row>
    <row r="2612">
      <c r="A2612" s="3">
        <v>170122.0</v>
      </c>
      <c r="B2612" s="3" t="s">
        <v>2637</v>
      </c>
      <c r="C2612" s="3" t="s">
        <v>101</v>
      </c>
      <c r="D2612" s="3">
        <v>17.0</v>
      </c>
      <c r="E2612" s="3">
        <v>0.24</v>
      </c>
      <c r="F2612" s="3">
        <v>0.67</v>
      </c>
      <c r="G2612" s="3">
        <v>3.43</v>
      </c>
    </row>
    <row r="2613">
      <c r="A2613" s="3">
        <v>170123.0</v>
      </c>
      <c r="B2613" s="3" t="s">
        <v>2638</v>
      </c>
      <c r="C2613" s="3" t="s">
        <v>101</v>
      </c>
      <c r="D2613" s="3">
        <v>19.0</v>
      </c>
      <c r="E2613" s="3">
        <v>0.37</v>
      </c>
      <c r="F2613" s="3">
        <v>2.11</v>
      </c>
      <c r="G2613" s="3">
        <v>2.92</v>
      </c>
    </row>
    <row r="2614">
      <c r="A2614" s="3">
        <v>170124.0</v>
      </c>
      <c r="B2614" s="3" t="s">
        <v>2639</v>
      </c>
      <c r="C2614" s="3" t="s">
        <v>101</v>
      </c>
      <c r="D2614" s="3">
        <v>34.0</v>
      </c>
      <c r="E2614" s="3">
        <v>0.87</v>
      </c>
      <c r="F2614" s="3">
        <v>4.01</v>
      </c>
      <c r="G2614" s="3">
        <v>4.8</v>
      </c>
    </row>
    <row r="2615">
      <c r="A2615" s="3">
        <v>170125.0</v>
      </c>
      <c r="B2615" s="3" t="s">
        <v>2640</v>
      </c>
      <c r="C2615" s="3" t="s">
        <v>101</v>
      </c>
      <c r="D2615" s="3">
        <v>20.0</v>
      </c>
      <c r="E2615" s="3">
        <v>0.31</v>
      </c>
      <c r="F2615" s="3">
        <v>0.91</v>
      </c>
      <c r="G2615" s="3">
        <v>4.31</v>
      </c>
    </row>
    <row r="2616">
      <c r="A2616" s="3">
        <v>170126.0</v>
      </c>
      <c r="B2616" s="3" t="s">
        <v>2641</v>
      </c>
      <c r="C2616" s="3" t="s">
        <v>101</v>
      </c>
      <c r="D2616" s="3">
        <v>19.0</v>
      </c>
      <c r="E2616" s="3">
        <v>0.39</v>
      </c>
      <c r="F2616" s="3">
        <v>1.04</v>
      </c>
      <c r="G2616" s="3">
        <v>3.79</v>
      </c>
    </row>
    <row r="2617">
      <c r="A2617" s="3">
        <v>170127.0</v>
      </c>
      <c r="B2617" s="3" t="s">
        <v>2642</v>
      </c>
      <c r="C2617" s="3" t="s">
        <v>101</v>
      </c>
      <c r="D2617" s="3">
        <v>37.0</v>
      </c>
      <c r="E2617" s="3">
        <v>0.35</v>
      </c>
      <c r="F2617" s="3">
        <v>0.89</v>
      </c>
      <c r="G2617" s="3">
        <v>8.85</v>
      </c>
    </row>
    <row r="2618">
      <c r="A2618" s="3">
        <v>170128.0</v>
      </c>
      <c r="B2618" s="3" t="s">
        <v>2643</v>
      </c>
      <c r="C2618" s="3" t="s">
        <v>101</v>
      </c>
      <c r="D2618" s="3">
        <v>56.0</v>
      </c>
      <c r="E2618" s="3">
        <v>0.14</v>
      </c>
      <c r="F2618" s="3">
        <v>1.12</v>
      </c>
      <c r="G2618" s="3">
        <v>14.58</v>
      </c>
    </row>
    <row r="2619">
      <c r="A2619" s="3">
        <v>170129.0</v>
      </c>
      <c r="B2619" s="3" t="s">
        <v>2644</v>
      </c>
      <c r="C2619" s="3" t="s">
        <v>101</v>
      </c>
      <c r="D2619" s="3">
        <v>34.0</v>
      </c>
      <c r="E2619" s="3">
        <v>0.08</v>
      </c>
      <c r="F2619" s="3">
        <v>0.67</v>
      </c>
      <c r="G2619" s="3">
        <v>8.79</v>
      </c>
    </row>
    <row r="2620">
      <c r="A2620" s="3">
        <v>170130.0</v>
      </c>
      <c r="B2620" s="3" t="s">
        <v>2645</v>
      </c>
      <c r="C2620" s="3" t="s">
        <v>101</v>
      </c>
      <c r="D2620" s="3">
        <v>40.0</v>
      </c>
      <c r="E2620" s="3">
        <v>0.09</v>
      </c>
      <c r="F2620" s="3">
        <v>0.9</v>
      </c>
      <c r="G2620" s="3">
        <v>10.49</v>
      </c>
    </row>
    <row r="2621">
      <c r="A2621" s="3">
        <v>170131.0</v>
      </c>
      <c r="B2621" s="3" t="s">
        <v>2646</v>
      </c>
      <c r="C2621" s="3" t="s">
        <v>101</v>
      </c>
      <c r="D2621" s="3">
        <v>93.0</v>
      </c>
      <c r="E2621" s="3">
        <v>0.89</v>
      </c>
      <c r="F2621" s="3">
        <v>4.31</v>
      </c>
      <c r="G2621" s="3">
        <v>19.95</v>
      </c>
    </row>
    <row r="2622">
      <c r="A2622" s="3">
        <v>170132.0</v>
      </c>
      <c r="B2622" s="3" t="s">
        <v>2647</v>
      </c>
      <c r="C2622" s="3" t="s">
        <v>101</v>
      </c>
      <c r="D2622" s="3">
        <v>20.0</v>
      </c>
      <c r="E2622" s="3">
        <v>0.24</v>
      </c>
      <c r="F2622" s="3">
        <v>2.08</v>
      </c>
      <c r="G2622" s="3">
        <v>3.7</v>
      </c>
    </row>
    <row r="2623">
      <c r="A2623" s="3">
        <v>170133.0</v>
      </c>
      <c r="B2623" s="3" t="s">
        <v>2648</v>
      </c>
      <c r="C2623" s="3" t="s">
        <v>101</v>
      </c>
      <c r="D2623" s="3">
        <v>35.0</v>
      </c>
      <c r="E2623" s="3">
        <v>0.34</v>
      </c>
      <c r="F2623" s="3">
        <v>2.18</v>
      </c>
      <c r="G2623" s="3">
        <v>7.38</v>
      </c>
    </row>
    <row r="2624">
      <c r="A2624" s="3">
        <v>170134.0</v>
      </c>
      <c r="B2624" s="3" t="s">
        <v>2649</v>
      </c>
      <c r="C2624" s="3" t="s">
        <v>101</v>
      </c>
      <c r="D2624" s="3">
        <v>90.0</v>
      </c>
      <c r="E2624" s="3">
        <v>0.15</v>
      </c>
      <c r="F2624" s="3">
        <v>2.01</v>
      </c>
      <c r="G2624" s="3">
        <v>20.71</v>
      </c>
    </row>
    <row r="2625">
      <c r="A2625" s="3">
        <v>170135.0</v>
      </c>
      <c r="B2625" s="3" t="s">
        <v>2650</v>
      </c>
      <c r="C2625" s="3" t="s">
        <v>101</v>
      </c>
      <c r="D2625" s="3">
        <v>14.0</v>
      </c>
      <c r="E2625" s="3">
        <v>0.08</v>
      </c>
      <c r="F2625" s="3">
        <v>0.73</v>
      </c>
      <c r="G2625" s="3">
        <v>3.19</v>
      </c>
    </row>
    <row r="2626">
      <c r="A2626" s="3">
        <v>170136.0</v>
      </c>
      <c r="B2626" s="3" t="s">
        <v>2651</v>
      </c>
      <c r="C2626" s="3" t="s">
        <v>101</v>
      </c>
      <c r="D2626" s="3">
        <v>44.0</v>
      </c>
      <c r="E2626" s="3">
        <v>0.68</v>
      </c>
      <c r="F2626" s="3">
        <v>4.16</v>
      </c>
      <c r="G2626" s="3">
        <v>6.85</v>
      </c>
    </row>
    <row r="2627">
      <c r="A2627" s="3">
        <v>170137.0</v>
      </c>
      <c r="B2627" s="3" t="s">
        <v>2652</v>
      </c>
      <c r="C2627" s="3" t="s">
        <v>101</v>
      </c>
      <c r="D2627" s="3">
        <v>18.0</v>
      </c>
      <c r="E2627" s="3">
        <v>0.11</v>
      </c>
      <c r="F2627" s="3">
        <v>0.95</v>
      </c>
      <c r="G2627" s="3">
        <v>4.01</v>
      </c>
    </row>
    <row r="2628">
      <c r="A2628" s="3">
        <v>170138.0</v>
      </c>
      <c r="B2628" s="3" t="s">
        <v>2653</v>
      </c>
      <c r="C2628" s="3" t="s">
        <v>101</v>
      </c>
      <c r="D2628" s="3">
        <v>16.0</v>
      </c>
      <c r="E2628" s="3">
        <v>0.25</v>
      </c>
      <c r="F2628" s="3">
        <v>0.79</v>
      </c>
      <c r="G2628" s="3">
        <v>3.47</v>
      </c>
    </row>
    <row r="2629">
      <c r="A2629" s="3">
        <v>170139.0</v>
      </c>
      <c r="B2629" s="3" t="s">
        <v>2654</v>
      </c>
      <c r="C2629" s="3" t="s">
        <v>101</v>
      </c>
      <c r="D2629" s="3">
        <v>20.0</v>
      </c>
      <c r="E2629" s="3">
        <v>0.23</v>
      </c>
      <c r="F2629" s="3">
        <v>1.14</v>
      </c>
      <c r="G2629" s="3">
        <v>4.36</v>
      </c>
    </row>
    <row r="2630">
      <c r="A2630" s="3">
        <v>170140.0</v>
      </c>
      <c r="B2630" s="3" t="s">
        <v>2655</v>
      </c>
      <c r="C2630" s="3" t="s">
        <v>101</v>
      </c>
      <c r="D2630" s="3">
        <v>29.0</v>
      </c>
      <c r="E2630" s="3">
        <v>0.42</v>
      </c>
      <c r="F2630" s="3">
        <v>3.35</v>
      </c>
      <c r="G2630" s="3">
        <v>4.98</v>
      </c>
    </row>
    <row r="2631">
      <c r="A2631" s="3">
        <v>170141.0</v>
      </c>
      <c r="B2631" s="3" t="s">
        <v>2656</v>
      </c>
      <c r="C2631" s="3" t="s">
        <v>101</v>
      </c>
      <c r="D2631" s="3">
        <v>34.0</v>
      </c>
      <c r="E2631" s="3">
        <v>0.38</v>
      </c>
      <c r="F2631" s="3">
        <v>2.99</v>
      </c>
      <c r="G2631" s="3">
        <v>4.74</v>
      </c>
    </row>
    <row r="2632">
      <c r="A2632" s="3">
        <v>170142.0</v>
      </c>
      <c r="B2632" s="3" t="s">
        <v>2657</v>
      </c>
      <c r="C2632" s="3" t="s">
        <v>101</v>
      </c>
      <c r="D2632" s="3">
        <v>60.0</v>
      </c>
      <c r="E2632" s="3">
        <v>0.15</v>
      </c>
      <c r="F2632" s="3">
        <v>2.86</v>
      </c>
      <c r="G2632" s="3">
        <v>13.09</v>
      </c>
    </row>
    <row r="2633">
      <c r="A2633" s="3">
        <v>170143.0</v>
      </c>
      <c r="B2633" s="3" t="s">
        <v>2658</v>
      </c>
      <c r="C2633" s="3" t="s">
        <v>101</v>
      </c>
      <c r="D2633" s="3">
        <v>22.0</v>
      </c>
      <c r="E2633" s="3">
        <v>0.35</v>
      </c>
      <c r="F2633" s="3">
        <v>2.11</v>
      </c>
      <c r="G2633" s="3">
        <v>3.87</v>
      </c>
    </row>
    <row r="2634">
      <c r="A2634" s="3">
        <v>170144.0</v>
      </c>
      <c r="B2634" s="3" t="s">
        <v>2659</v>
      </c>
      <c r="C2634" s="3" t="s">
        <v>1099</v>
      </c>
      <c r="D2634" s="3">
        <v>191.0</v>
      </c>
      <c r="E2634" s="3">
        <v>5.59</v>
      </c>
      <c r="F2634" s="3">
        <v>7.4</v>
      </c>
      <c r="G2634" s="3">
        <v>29.24</v>
      </c>
    </row>
    <row r="2635">
      <c r="A2635" s="3">
        <v>170145.0</v>
      </c>
      <c r="B2635" s="3" t="s">
        <v>2660</v>
      </c>
      <c r="C2635" s="3" t="s">
        <v>1099</v>
      </c>
      <c r="D2635" s="3">
        <v>168.0</v>
      </c>
      <c r="E2635" s="3">
        <v>2.3</v>
      </c>
      <c r="F2635" s="3">
        <v>5.3</v>
      </c>
      <c r="G2635" s="3">
        <v>32.0</v>
      </c>
    </row>
    <row r="2636">
      <c r="A2636" s="3">
        <v>170146.0</v>
      </c>
      <c r="B2636" s="3" t="s">
        <v>2661</v>
      </c>
      <c r="C2636" s="3" t="s">
        <v>1099</v>
      </c>
      <c r="D2636" s="3">
        <v>332.0</v>
      </c>
      <c r="E2636" s="3">
        <v>1.41</v>
      </c>
      <c r="F2636" s="3">
        <v>49.83</v>
      </c>
      <c r="G2636" s="3">
        <v>36.1</v>
      </c>
    </row>
    <row r="2637">
      <c r="A2637" s="3">
        <v>170147.0</v>
      </c>
      <c r="B2637" s="3" t="s">
        <v>2662</v>
      </c>
      <c r="C2637" s="3" t="s">
        <v>1099</v>
      </c>
      <c r="D2637" s="3">
        <v>367.0</v>
      </c>
      <c r="E2637" s="3">
        <v>4.77</v>
      </c>
      <c r="F2637" s="3">
        <v>49.1</v>
      </c>
      <c r="G2637" s="3">
        <v>38.43</v>
      </c>
    </row>
    <row r="2638">
      <c r="A2638" s="3">
        <v>170148.0</v>
      </c>
      <c r="B2638" s="3" t="s">
        <v>2663</v>
      </c>
      <c r="C2638" s="3" t="s">
        <v>1099</v>
      </c>
      <c r="D2638" s="3">
        <v>553.0</v>
      </c>
      <c r="E2638" s="3">
        <v>48.75</v>
      </c>
      <c r="F2638" s="3">
        <v>31.56</v>
      </c>
      <c r="G2638" s="3">
        <v>8.67</v>
      </c>
    </row>
    <row r="2639">
      <c r="A2639" s="3">
        <v>170149.0</v>
      </c>
      <c r="B2639" s="3" t="s">
        <v>2664</v>
      </c>
      <c r="C2639" s="3" t="s">
        <v>1099</v>
      </c>
      <c r="D2639" s="3">
        <v>332.0</v>
      </c>
      <c r="E2639" s="3">
        <v>1.97</v>
      </c>
      <c r="F2639" s="3">
        <v>15.41</v>
      </c>
      <c r="G2639" s="3">
        <v>64.47</v>
      </c>
    </row>
    <row r="2640">
      <c r="A2640" s="3">
        <v>170150.0</v>
      </c>
      <c r="B2640" s="3" t="s">
        <v>2665</v>
      </c>
      <c r="C2640" s="3" t="s">
        <v>1099</v>
      </c>
      <c r="D2640" s="3">
        <v>573.0</v>
      </c>
      <c r="E2640" s="3">
        <v>49.67</v>
      </c>
      <c r="F2640" s="3">
        <v>17.73</v>
      </c>
      <c r="G2640" s="3">
        <v>23.45</v>
      </c>
    </row>
    <row r="2641">
      <c r="A2641" s="3">
        <v>170151.0</v>
      </c>
      <c r="B2641" s="3" t="s">
        <v>2666</v>
      </c>
      <c r="C2641" s="3" t="s">
        <v>1099</v>
      </c>
      <c r="D2641" s="3">
        <v>565.0</v>
      </c>
      <c r="E2641" s="3">
        <v>48.0</v>
      </c>
      <c r="F2641" s="3">
        <v>16.96</v>
      </c>
      <c r="G2641" s="3">
        <v>25.74</v>
      </c>
    </row>
    <row r="2642">
      <c r="A2642" s="3">
        <v>170152.0</v>
      </c>
      <c r="B2642" s="3" t="s">
        <v>2667</v>
      </c>
      <c r="C2642" s="3" t="s">
        <v>1099</v>
      </c>
      <c r="D2642" s="3">
        <v>567.0</v>
      </c>
      <c r="E2642" s="3">
        <v>48.0</v>
      </c>
      <c r="F2642" s="3">
        <v>16.96</v>
      </c>
      <c r="G2642" s="3">
        <v>26.04</v>
      </c>
    </row>
    <row r="2643">
      <c r="A2643" s="3">
        <v>170153.0</v>
      </c>
      <c r="B2643" s="3" t="s">
        <v>2668</v>
      </c>
      <c r="C2643" s="3" t="s">
        <v>1099</v>
      </c>
      <c r="D2643" s="3">
        <v>382.0</v>
      </c>
      <c r="E2643" s="3">
        <v>11.89</v>
      </c>
      <c r="F2643" s="3">
        <v>40.32</v>
      </c>
      <c r="G2643" s="3">
        <v>35.14</v>
      </c>
    </row>
    <row r="2644">
      <c r="A2644" s="3">
        <v>170154.0</v>
      </c>
      <c r="B2644" s="3" t="s">
        <v>2669</v>
      </c>
      <c r="C2644" s="3" t="s">
        <v>1099</v>
      </c>
      <c r="D2644" s="3">
        <v>619.0</v>
      </c>
      <c r="E2644" s="3">
        <v>56.8</v>
      </c>
      <c r="F2644" s="3">
        <v>17.21</v>
      </c>
      <c r="G2644" s="3">
        <v>20.59</v>
      </c>
    </row>
    <row r="2645">
      <c r="A2645" s="3">
        <v>170155.0</v>
      </c>
      <c r="B2645" s="3" t="s">
        <v>2670</v>
      </c>
      <c r="C2645" s="3" t="s">
        <v>1099</v>
      </c>
      <c r="D2645" s="3">
        <v>617.0</v>
      </c>
      <c r="E2645" s="3">
        <v>55.2</v>
      </c>
      <c r="F2645" s="3">
        <v>17.28</v>
      </c>
      <c r="G2645" s="3">
        <v>23.32</v>
      </c>
    </row>
    <row r="2646">
      <c r="A2646" s="3">
        <v>170156.0</v>
      </c>
      <c r="B2646" s="3" t="s">
        <v>2671</v>
      </c>
      <c r="C2646" s="3" t="s">
        <v>1099</v>
      </c>
      <c r="D2646" s="3">
        <v>326.0</v>
      </c>
      <c r="E2646" s="3">
        <v>1.61</v>
      </c>
      <c r="F2646" s="3">
        <v>48.06</v>
      </c>
      <c r="G2646" s="3">
        <v>35.83</v>
      </c>
    </row>
    <row r="2647">
      <c r="A2647" s="3">
        <v>170157.0</v>
      </c>
      <c r="B2647" s="3" t="s">
        <v>2672</v>
      </c>
      <c r="C2647" s="3" t="s">
        <v>1099</v>
      </c>
      <c r="D2647" s="3">
        <v>387.0</v>
      </c>
      <c r="E2647" s="3">
        <v>23.86</v>
      </c>
      <c r="F2647" s="3">
        <v>6.15</v>
      </c>
      <c r="G2647" s="3">
        <v>40.75</v>
      </c>
    </row>
    <row r="2648">
      <c r="A2648" s="3">
        <v>170158.0</v>
      </c>
      <c r="B2648" s="3" t="s">
        <v>2673</v>
      </c>
      <c r="C2648" s="3" t="s">
        <v>1099</v>
      </c>
      <c r="D2648" s="3">
        <v>598.0</v>
      </c>
      <c r="E2648" s="3">
        <v>52.54</v>
      </c>
      <c r="F2648" s="3">
        <v>20.96</v>
      </c>
      <c r="G2648" s="3">
        <v>21.01</v>
      </c>
    </row>
    <row r="2649">
      <c r="A2649" s="3">
        <v>170159.0</v>
      </c>
      <c r="B2649" s="3" t="s">
        <v>2674</v>
      </c>
      <c r="C2649" s="3" t="s">
        <v>1099</v>
      </c>
      <c r="D2649" s="3">
        <v>607.0</v>
      </c>
      <c r="E2649" s="3">
        <v>55.17</v>
      </c>
      <c r="F2649" s="3">
        <v>21.23</v>
      </c>
      <c r="G2649" s="3">
        <v>17.68</v>
      </c>
    </row>
    <row r="2650">
      <c r="A2650" s="3">
        <v>170160.0</v>
      </c>
      <c r="B2650" s="3" t="s">
        <v>2675</v>
      </c>
      <c r="C2650" s="3" t="s">
        <v>1099</v>
      </c>
      <c r="D2650" s="3">
        <v>458.0</v>
      </c>
      <c r="E2650" s="3">
        <v>27.74</v>
      </c>
      <c r="F2650" s="3">
        <v>9.0</v>
      </c>
      <c r="G2650" s="3">
        <v>47.81</v>
      </c>
    </row>
    <row r="2651">
      <c r="A2651" s="3">
        <v>170161.0</v>
      </c>
      <c r="B2651" s="3" t="s">
        <v>2676</v>
      </c>
      <c r="C2651" s="3" t="s">
        <v>1099</v>
      </c>
      <c r="D2651" s="3">
        <v>576.0</v>
      </c>
      <c r="E2651" s="3">
        <v>50.0</v>
      </c>
      <c r="F2651" s="3">
        <v>6.2</v>
      </c>
      <c r="G2651" s="3">
        <v>33.5</v>
      </c>
    </row>
    <row r="2652">
      <c r="A2652" s="3">
        <v>170162.0</v>
      </c>
      <c r="B2652" s="3" t="s">
        <v>2677</v>
      </c>
      <c r="C2652" s="3" t="s">
        <v>1099</v>
      </c>
      <c r="D2652" s="3">
        <v>553.0</v>
      </c>
      <c r="E2652" s="3">
        <v>43.85</v>
      </c>
      <c r="F2652" s="3">
        <v>18.22</v>
      </c>
      <c r="G2652" s="3">
        <v>30.19</v>
      </c>
    </row>
    <row r="2653">
      <c r="A2653" s="3">
        <v>170163.0</v>
      </c>
      <c r="B2653" s="3" t="s">
        <v>2678</v>
      </c>
      <c r="C2653" s="3" t="s">
        <v>1099</v>
      </c>
      <c r="D2653" s="3">
        <v>587.0</v>
      </c>
      <c r="E2653" s="3">
        <v>49.41</v>
      </c>
      <c r="F2653" s="3">
        <v>17.56</v>
      </c>
      <c r="G2653" s="3">
        <v>27.57</v>
      </c>
    </row>
    <row r="2654">
      <c r="A2654" s="3">
        <v>170164.0</v>
      </c>
      <c r="B2654" s="3" t="s">
        <v>2679</v>
      </c>
      <c r="C2654" s="3" t="s">
        <v>1099</v>
      </c>
      <c r="D2654" s="3">
        <v>224.0</v>
      </c>
      <c r="E2654" s="3">
        <v>1.11</v>
      </c>
      <c r="F2654" s="3">
        <v>4.2</v>
      </c>
      <c r="G2654" s="3">
        <v>49.07</v>
      </c>
    </row>
    <row r="2655">
      <c r="A2655" s="3">
        <v>170165.0</v>
      </c>
      <c r="B2655" s="3" t="s">
        <v>2680</v>
      </c>
      <c r="C2655" s="3" t="s">
        <v>1099</v>
      </c>
      <c r="D2655" s="3">
        <v>363.0</v>
      </c>
      <c r="E2655" s="3">
        <v>1.81</v>
      </c>
      <c r="F2655" s="3">
        <v>6.82</v>
      </c>
      <c r="G2655" s="3">
        <v>79.76</v>
      </c>
    </row>
    <row r="2656">
      <c r="A2656" s="3">
        <v>170166.0</v>
      </c>
      <c r="B2656" s="3" t="s">
        <v>2681</v>
      </c>
      <c r="C2656" s="3" t="s">
        <v>1099</v>
      </c>
      <c r="D2656" s="3">
        <v>153.0</v>
      </c>
      <c r="E2656" s="3">
        <v>0.76</v>
      </c>
      <c r="F2656" s="3">
        <v>2.88</v>
      </c>
      <c r="G2656" s="3">
        <v>33.64</v>
      </c>
    </row>
    <row r="2657">
      <c r="A2657" s="3">
        <v>170167.0</v>
      </c>
      <c r="B2657" s="3" t="s">
        <v>2682</v>
      </c>
      <c r="C2657" s="3" t="s">
        <v>1099</v>
      </c>
      <c r="D2657" s="3">
        <v>369.0</v>
      </c>
      <c r="E2657" s="3">
        <v>3.91</v>
      </c>
      <c r="F2657" s="3">
        <v>5.01</v>
      </c>
      <c r="G2657" s="3">
        <v>78.43</v>
      </c>
    </row>
    <row r="2658">
      <c r="A2658" s="3">
        <v>170168.0</v>
      </c>
      <c r="B2658" s="3" t="s">
        <v>2683</v>
      </c>
      <c r="C2658" s="3" t="s">
        <v>1099</v>
      </c>
      <c r="D2658" s="3">
        <v>131.0</v>
      </c>
      <c r="E2658" s="3">
        <v>1.38</v>
      </c>
      <c r="F2658" s="3">
        <v>2.0</v>
      </c>
      <c r="G2658" s="3">
        <v>27.76</v>
      </c>
    </row>
    <row r="2659">
      <c r="A2659" s="3">
        <v>170169.0</v>
      </c>
      <c r="B2659" s="3" t="s">
        <v>2684</v>
      </c>
      <c r="C2659" s="3" t="s">
        <v>1099</v>
      </c>
      <c r="D2659" s="3">
        <v>354.0</v>
      </c>
      <c r="E2659" s="3">
        <v>33.49</v>
      </c>
      <c r="F2659" s="3">
        <v>3.33</v>
      </c>
      <c r="G2659" s="3">
        <v>15.23</v>
      </c>
    </row>
    <row r="2660">
      <c r="A2660" s="3">
        <v>170170.0</v>
      </c>
      <c r="B2660" s="3" t="s">
        <v>2685</v>
      </c>
      <c r="C2660" s="3" t="s">
        <v>1099</v>
      </c>
      <c r="D2660" s="3">
        <v>660.0</v>
      </c>
      <c r="E2660" s="3">
        <v>64.53</v>
      </c>
      <c r="F2660" s="3">
        <v>6.88</v>
      </c>
      <c r="G2660" s="3">
        <v>23.65</v>
      </c>
    </row>
    <row r="2661">
      <c r="A2661" s="3">
        <v>170171.0</v>
      </c>
      <c r="B2661" s="3" t="s">
        <v>2686</v>
      </c>
      <c r="C2661" s="3" t="s">
        <v>1099</v>
      </c>
      <c r="D2661" s="3">
        <v>357.0</v>
      </c>
      <c r="E2661" s="3">
        <v>16.31</v>
      </c>
      <c r="F2661" s="3">
        <v>1.17</v>
      </c>
      <c r="G2661" s="3">
        <v>53.21</v>
      </c>
    </row>
    <row r="2662">
      <c r="A2662" s="3">
        <v>170172.0</v>
      </c>
      <c r="B2662" s="3" t="s">
        <v>2687</v>
      </c>
      <c r="C2662" s="3" t="s">
        <v>1099</v>
      </c>
      <c r="D2662" s="3">
        <v>230.0</v>
      </c>
      <c r="E2662" s="3">
        <v>23.84</v>
      </c>
      <c r="F2662" s="3">
        <v>2.29</v>
      </c>
      <c r="G2662" s="3">
        <v>5.54</v>
      </c>
    </row>
    <row r="2663">
      <c r="A2663" s="3">
        <v>170173.0</v>
      </c>
      <c r="B2663" s="3" t="s">
        <v>2688</v>
      </c>
      <c r="C2663" s="3" t="s">
        <v>1099</v>
      </c>
      <c r="D2663" s="3">
        <v>197.0</v>
      </c>
      <c r="E2663" s="3">
        <v>21.33</v>
      </c>
      <c r="F2663" s="3">
        <v>2.02</v>
      </c>
      <c r="G2663" s="3">
        <v>2.81</v>
      </c>
    </row>
    <row r="2664">
      <c r="A2664" s="3">
        <v>170174.0</v>
      </c>
      <c r="B2664" s="3" t="s">
        <v>2689</v>
      </c>
      <c r="C2664" s="3" t="s">
        <v>1099</v>
      </c>
      <c r="D2664" s="3">
        <v>19.0</v>
      </c>
      <c r="E2664" s="3">
        <v>0.2</v>
      </c>
      <c r="F2664" s="3">
        <v>0.72</v>
      </c>
      <c r="G2664" s="3">
        <v>3.71</v>
      </c>
    </row>
    <row r="2665">
      <c r="A2665" s="3">
        <v>170175.0</v>
      </c>
      <c r="B2665" s="3" t="s">
        <v>2690</v>
      </c>
      <c r="C2665" s="3" t="s">
        <v>1099</v>
      </c>
      <c r="D2665" s="3">
        <v>348.0</v>
      </c>
      <c r="E2665" s="3">
        <v>2.0</v>
      </c>
      <c r="F2665" s="3">
        <v>10.35</v>
      </c>
      <c r="G2665" s="3">
        <v>72.45</v>
      </c>
    </row>
    <row r="2666">
      <c r="A2666" s="3">
        <v>170176.0</v>
      </c>
      <c r="B2666" s="3" t="s">
        <v>2691</v>
      </c>
      <c r="C2666" s="3" t="s">
        <v>1099</v>
      </c>
      <c r="D2666" s="3">
        <v>111.0</v>
      </c>
      <c r="E2666" s="3">
        <v>1.62</v>
      </c>
      <c r="F2666" s="3">
        <v>2.29</v>
      </c>
      <c r="G2666" s="3">
        <v>22.1</v>
      </c>
    </row>
    <row r="2667">
      <c r="A2667" s="3">
        <v>170177.0</v>
      </c>
      <c r="B2667" s="3" t="s">
        <v>2692</v>
      </c>
      <c r="C2667" s="3" t="s">
        <v>1099</v>
      </c>
      <c r="D2667" s="3">
        <v>657.0</v>
      </c>
      <c r="E2667" s="3">
        <v>64.37</v>
      </c>
      <c r="F2667" s="3">
        <v>12.72</v>
      </c>
      <c r="G2667" s="3">
        <v>18.25</v>
      </c>
    </row>
    <row r="2668">
      <c r="A2668" s="3">
        <v>170178.0</v>
      </c>
      <c r="B2668" s="3" t="s">
        <v>2693</v>
      </c>
      <c r="C2668" s="3" t="s">
        <v>1099</v>
      </c>
      <c r="D2668" s="3">
        <v>718.0</v>
      </c>
      <c r="E2668" s="3">
        <v>75.77</v>
      </c>
      <c r="F2668" s="3">
        <v>7.91</v>
      </c>
      <c r="G2668" s="3">
        <v>13.82</v>
      </c>
    </row>
    <row r="2669">
      <c r="A2669" s="3">
        <v>170179.0</v>
      </c>
      <c r="B2669" s="3" t="s">
        <v>2694</v>
      </c>
      <c r="C2669" s="3" t="s">
        <v>1099</v>
      </c>
      <c r="D2669" s="3">
        <v>718.0</v>
      </c>
      <c r="E2669" s="3">
        <v>76.08</v>
      </c>
      <c r="F2669" s="3">
        <v>7.79</v>
      </c>
      <c r="G2669" s="3">
        <v>13.38</v>
      </c>
    </row>
    <row r="2670">
      <c r="A2670" s="3">
        <v>170180.0</v>
      </c>
      <c r="B2670" s="3" t="s">
        <v>2695</v>
      </c>
      <c r="C2670" s="3" t="s">
        <v>1099</v>
      </c>
      <c r="D2670" s="3">
        <v>622.0</v>
      </c>
      <c r="E2670" s="3">
        <v>57.7</v>
      </c>
      <c r="F2670" s="3">
        <v>13.82</v>
      </c>
      <c r="G2670" s="3">
        <v>23.68</v>
      </c>
    </row>
    <row r="2671">
      <c r="A2671" s="3">
        <v>170181.0</v>
      </c>
      <c r="B2671" s="3" t="s">
        <v>2696</v>
      </c>
      <c r="C2671" s="3" t="s">
        <v>1099</v>
      </c>
      <c r="D2671" s="3">
        <v>608.0</v>
      </c>
      <c r="E2671" s="3">
        <v>53.2</v>
      </c>
      <c r="F2671" s="3">
        <v>18.0</v>
      </c>
      <c r="G2671" s="3">
        <v>24.62</v>
      </c>
    </row>
    <row r="2672">
      <c r="A2672" s="3">
        <v>170182.0</v>
      </c>
      <c r="B2672" s="3" t="s">
        <v>2697</v>
      </c>
      <c r="C2672" s="3" t="s">
        <v>1099</v>
      </c>
      <c r="D2672" s="3">
        <v>691.0</v>
      </c>
      <c r="E2672" s="3">
        <v>71.97</v>
      </c>
      <c r="F2672" s="3">
        <v>9.17</v>
      </c>
      <c r="G2672" s="3">
        <v>13.86</v>
      </c>
    </row>
    <row r="2673">
      <c r="A2673" s="3">
        <v>170183.0</v>
      </c>
      <c r="B2673" s="3" t="s">
        <v>2698</v>
      </c>
      <c r="C2673" s="3" t="s">
        <v>1099</v>
      </c>
      <c r="D2673" s="3">
        <v>710.0</v>
      </c>
      <c r="E2673" s="3">
        <v>74.27</v>
      </c>
      <c r="F2673" s="3">
        <v>9.5</v>
      </c>
      <c r="G2673" s="3">
        <v>13.55</v>
      </c>
    </row>
    <row r="2674">
      <c r="A2674" s="3">
        <v>170184.0</v>
      </c>
      <c r="B2674" s="3" t="s">
        <v>2699</v>
      </c>
      <c r="C2674" s="3" t="s">
        <v>1099</v>
      </c>
      <c r="D2674" s="3">
        <v>560.0</v>
      </c>
      <c r="E2674" s="3">
        <v>45.32</v>
      </c>
      <c r="F2674" s="3">
        <v>20.16</v>
      </c>
      <c r="G2674" s="3">
        <v>27.17</v>
      </c>
    </row>
    <row r="2675">
      <c r="A2675" s="3">
        <v>170185.0</v>
      </c>
      <c r="B2675" s="3" t="s">
        <v>2700</v>
      </c>
      <c r="C2675" s="3" t="s">
        <v>1099</v>
      </c>
      <c r="D2675" s="3">
        <v>572.0</v>
      </c>
      <c r="E2675" s="3">
        <v>45.82</v>
      </c>
      <c r="F2675" s="3">
        <v>21.05</v>
      </c>
      <c r="G2675" s="3">
        <v>28.28</v>
      </c>
    </row>
    <row r="2676">
      <c r="A2676" s="3">
        <v>170186.0</v>
      </c>
      <c r="B2676" s="3" t="s">
        <v>2701</v>
      </c>
      <c r="C2676" s="3" t="s">
        <v>1099</v>
      </c>
      <c r="D2676" s="3">
        <v>619.0</v>
      </c>
      <c r="E2676" s="3">
        <v>59.33</v>
      </c>
      <c r="F2676" s="3">
        <v>24.06</v>
      </c>
      <c r="G2676" s="3">
        <v>9.58</v>
      </c>
    </row>
    <row r="2677">
      <c r="A2677" s="3">
        <v>170187.0</v>
      </c>
      <c r="B2677" s="3" t="s">
        <v>2702</v>
      </c>
      <c r="C2677" s="3" t="s">
        <v>1099</v>
      </c>
      <c r="D2677" s="3">
        <v>654.0</v>
      </c>
      <c r="E2677" s="3">
        <v>65.21</v>
      </c>
      <c r="F2677" s="3">
        <v>15.23</v>
      </c>
      <c r="G2677" s="3">
        <v>13.71</v>
      </c>
    </row>
    <row r="2678">
      <c r="A2678" s="3">
        <v>170188.0</v>
      </c>
      <c r="B2678" s="3" t="s">
        <v>2703</v>
      </c>
      <c r="C2678" s="3" t="s">
        <v>1099</v>
      </c>
      <c r="D2678" s="3">
        <v>446.0</v>
      </c>
      <c r="E2678" s="3">
        <v>19.4</v>
      </c>
      <c r="F2678" s="3">
        <v>18.55</v>
      </c>
      <c r="G2678" s="3">
        <v>53.75</v>
      </c>
    </row>
    <row r="2679">
      <c r="A2679" s="3">
        <v>170189.0</v>
      </c>
      <c r="B2679" s="3" t="s">
        <v>2704</v>
      </c>
      <c r="C2679" s="3" t="s">
        <v>1099</v>
      </c>
      <c r="D2679" s="3">
        <v>595.0</v>
      </c>
      <c r="E2679" s="3">
        <v>53.76</v>
      </c>
      <c r="F2679" s="3">
        <v>17.0</v>
      </c>
      <c r="G2679" s="3">
        <v>21.19</v>
      </c>
    </row>
    <row r="2680">
      <c r="A2680" s="3">
        <v>170190.0</v>
      </c>
      <c r="B2680" s="3" t="s">
        <v>2705</v>
      </c>
      <c r="C2680" s="3" t="s">
        <v>1099</v>
      </c>
      <c r="D2680" s="3">
        <v>245.0</v>
      </c>
      <c r="E2680" s="3">
        <v>2.2</v>
      </c>
      <c r="F2680" s="3">
        <v>3.17</v>
      </c>
      <c r="G2680" s="3">
        <v>52.96</v>
      </c>
    </row>
    <row r="2681">
      <c r="A2681" s="3">
        <v>170191.0</v>
      </c>
      <c r="B2681" s="3" t="s">
        <v>2706</v>
      </c>
      <c r="C2681" s="3" t="s">
        <v>1099</v>
      </c>
      <c r="D2681" s="3">
        <v>586.0</v>
      </c>
      <c r="E2681" s="3">
        <v>50.87</v>
      </c>
      <c r="F2681" s="3">
        <v>18.08</v>
      </c>
      <c r="G2681" s="3">
        <v>24.05</v>
      </c>
    </row>
    <row r="2682">
      <c r="A2682" s="3">
        <v>170192.0</v>
      </c>
      <c r="B2682" s="3" t="s">
        <v>2707</v>
      </c>
      <c r="C2682" s="3" t="s">
        <v>1099</v>
      </c>
      <c r="D2682" s="3">
        <v>526.0</v>
      </c>
      <c r="E2682" s="3">
        <v>37.1</v>
      </c>
      <c r="F2682" s="3">
        <v>30.78</v>
      </c>
      <c r="G2682" s="3">
        <v>26.62</v>
      </c>
    </row>
    <row r="2683">
      <c r="A2683" s="3">
        <v>170193.0</v>
      </c>
      <c r="B2683" s="3" t="s">
        <v>2708</v>
      </c>
      <c r="C2683" s="3" t="s">
        <v>189</v>
      </c>
      <c r="D2683" s="3">
        <v>854.0</v>
      </c>
      <c r="E2683" s="3">
        <v>94.0</v>
      </c>
      <c r="F2683" s="3">
        <v>1.5</v>
      </c>
      <c r="G2683" s="3">
        <v>0.0</v>
      </c>
    </row>
    <row r="2684">
      <c r="A2684" s="3">
        <v>170194.0</v>
      </c>
      <c r="B2684" s="3" t="s">
        <v>2709</v>
      </c>
      <c r="C2684" s="3" t="s">
        <v>189</v>
      </c>
      <c r="D2684" s="3">
        <v>236.0</v>
      </c>
      <c r="E2684" s="3">
        <v>20.35</v>
      </c>
      <c r="F2684" s="3">
        <v>12.18</v>
      </c>
      <c r="G2684" s="3">
        <v>0.0</v>
      </c>
    </row>
    <row r="2685">
      <c r="A2685" s="3">
        <v>170195.0</v>
      </c>
      <c r="B2685" s="3" t="s">
        <v>2710</v>
      </c>
      <c r="C2685" s="3" t="s">
        <v>189</v>
      </c>
      <c r="D2685" s="3">
        <v>319.0</v>
      </c>
      <c r="E2685" s="3">
        <v>24.98</v>
      </c>
      <c r="F2685" s="3">
        <v>21.85</v>
      </c>
      <c r="G2685" s="3">
        <v>0.0</v>
      </c>
    </row>
    <row r="2686">
      <c r="A2686" s="3">
        <v>170196.0</v>
      </c>
      <c r="B2686" s="3" t="s">
        <v>2711</v>
      </c>
      <c r="C2686" s="3" t="s">
        <v>189</v>
      </c>
      <c r="D2686" s="3">
        <v>224.0</v>
      </c>
      <c r="E2686" s="3">
        <v>16.09</v>
      </c>
      <c r="F2686" s="3">
        <v>14.9</v>
      </c>
      <c r="G2686" s="3">
        <v>3.68</v>
      </c>
    </row>
    <row r="2687">
      <c r="A2687" s="3">
        <v>170197.0</v>
      </c>
      <c r="B2687" s="3" t="s">
        <v>2712</v>
      </c>
      <c r="C2687" s="3" t="s">
        <v>189</v>
      </c>
      <c r="D2687" s="3">
        <v>406.0</v>
      </c>
      <c r="E2687" s="3">
        <v>38.8</v>
      </c>
      <c r="F2687" s="3">
        <v>12.5</v>
      </c>
      <c r="G2687" s="3">
        <v>0.7</v>
      </c>
    </row>
    <row r="2688">
      <c r="A2688" s="3">
        <v>170198.0</v>
      </c>
      <c r="B2688" s="3" t="s">
        <v>2713</v>
      </c>
      <c r="C2688" s="3" t="s">
        <v>189</v>
      </c>
      <c r="D2688" s="3">
        <v>449.0</v>
      </c>
      <c r="E2688" s="3">
        <v>34.4</v>
      </c>
      <c r="F2688" s="3">
        <v>31.3</v>
      </c>
      <c r="G2688" s="3">
        <v>1.4</v>
      </c>
    </row>
    <row r="2689">
      <c r="A2689" s="3">
        <v>170199.0</v>
      </c>
      <c r="B2689" s="3" t="s">
        <v>2714</v>
      </c>
      <c r="C2689" s="3" t="s">
        <v>189</v>
      </c>
      <c r="D2689" s="3">
        <v>198.0</v>
      </c>
      <c r="E2689" s="3">
        <v>14.9</v>
      </c>
      <c r="F2689" s="3">
        <v>14.68</v>
      </c>
      <c r="G2689" s="3">
        <v>0.14</v>
      </c>
    </row>
    <row r="2690">
      <c r="A2690" s="3">
        <v>170200.0</v>
      </c>
      <c r="B2690" s="3" t="s">
        <v>2715</v>
      </c>
      <c r="C2690" s="3" t="s">
        <v>189</v>
      </c>
      <c r="D2690" s="3">
        <v>251.0</v>
      </c>
      <c r="E2690" s="3">
        <v>18.98</v>
      </c>
      <c r="F2690" s="3">
        <v>18.17</v>
      </c>
      <c r="G2690" s="3">
        <v>0.47</v>
      </c>
    </row>
    <row r="2691">
      <c r="A2691" s="3">
        <v>170201.0</v>
      </c>
      <c r="B2691" s="3" t="s">
        <v>2716</v>
      </c>
      <c r="C2691" s="3" t="s">
        <v>189</v>
      </c>
      <c r="D2691" s="3">
        <v>228.0</v>
      </c>
      <c r="E2691" s="3">
        <v>13.42</v>
      </c>
      <c r="F2691" s="3">
        <v>26.49</v>
      </c>
      <c r="G2691" s="3">
        <v>0.28</v>
      </c>
    </row>
    <row r="2692">
      <c r="A2692" s="3">
        <v>170202.0</v>
      </c>
      <c r="B2692" s="3" t="s">
        <v>2717</v>
      </c>
      <c r="C2692" s="3" t="s">
        <v>189</v>
      </c>
      <c r="D2692" s="3">
        <v>111.0</v>
      </c>
      <c r="E2692" s="3">
        <v>3.3</v>
      </c>
      <c r="F2692" s="3">
        <v>19.0</v>
      </c>
      <c r="G2692" s="3">
        <v>0.0</v>
      </c>
    </row>
    <row r="2693">
      <c r="A2693" s="3">
        <v>170203.0</v>
      </c>
      <c r="B2693" s="3" t="s">
        <v>2718</v>
      </c>
      <c r="C2693" s="3" t="s">
        <v>189</v>
      </c>
      <c r="D2693" s="3">
        <v>209.0</v>
      </c>
      <c r="E2693" s="3">
        <v>11.46</v>
      </c>
      <c r="F2693" s="3">
        <v>26.53</v>
      </c>
      <c r="G2693" s="3">
        <v>0.0</v>
      </c>
    </row>
    <row r="2694">
      <c r="A2694" s="3">
        <v>170204.0</v>
      </c>
      <c r="B2694" s="3" t="s">
        <v>2719</v>
      </c>
      <c r="C2694" s="3" t="s">
        <v>189</v>
      </c>
      <c r="D2694" s="3">
        <v>147.0</v>
      </c>
      <c r="E2694" s="3">
        <v>5.82</v>
      </c>
      <c r="F2694" s="3">
        <v>21.8</v>
      </c>
      <c r="G2694" s="3">
        <v>0.36</v>
      </c>
    </row>
    <row r="2695">
      <c r="A2695" s="3">
        <v>170205.0</v>
      </c>
      <c r="B2695" s="3" t="s">
        <v>2720</v>
      </c>
      <c r="C2695" s="3" t="s">
        <v>189</v>
      </c>
      <c r="D2695" s="3">
        <v>170.0</v>
      </c>
      <c r="E2695" s="3">
        <v>9.99</v>
      </c>
      <c r="F2695" s="3">
        <v>19.42</v>
      </c>
      <c r="G2695" s="3">
        <v>0.49</v>
      </c>
    </row>
    <row r="2696">
      <c r="A2696" s="3">
        <v>170206.0</v>
      </c>
      <c r="B2696" s="3" t="s">
        <v>2721</v>
      </c>
      <c r="C2696" s="3" t="s">
        <v>189</v>
      </c>
      <c r="D2696" s="3">
        <v>233.0</v>
      </c>
      <c r="E2696" s="3">
        <v>12.53</v>
      </c>
      <c r="F2696" s="3">
        <v>28.17</v>
      </c>
      <c r="G2696" s="3">
        <v>0.0</v>
      </c>
    </row>
    <row r="2697">
      <c r="A2697" s="3">
        <v>170207.0</v>
      </c>
      <c r="B2697" s="3" t="s">
        <v>2722</v>
      </c>
      <c r="C2697" s="3" t="s">
        <v>189</v>
      </c>
      <c r="D2697" s="3">
        <v>203.0</v>
      </c>
      <c r="E2697" s="3">
        <v>9.18</v>
      </c>
      <c r="F2697" s="3">
        <v>28.61</v>
      </c>
      <c r="G2697" s="3">
        <v>0.0</v>
      </c>
    </row>
    <row r="2698">
      <c r="A2698" s="3">
        <v>170208.0</v>
      </c>
      <c r="B2698" s="3" t="s">
        <v>2723</v>
      </c>
      <c r="C2698" s="3" t="s">
        <v>189</v>
      </c>
      <c r="D2698" s="3">
        <v>203.0</v>
      </c>
      <c r="E2698" s="3">
        <v>8.37</v>
      </c>
      <c r="F2698" s="3">
        <v>29.9</v>
      </c>
      <c r="G2698" s="3">
        <v>0.0</v>
      </c>
    </row>
    <row r="2699">
      <c r="A2699" s="3">
        <v>170209.0</v>
      </c>
      <c r="B2699" s="3" t="s">
        <v>2724</v>
      </c>
      <c r="C2699" s="3" t="s">
        <v>189</v>
      </c>
      <c r="D2699" s="3">
        <v>206.0</v>
      </c>
      <c r="E2699" s="3">
        <v>8.87</v>
      </c>
      <c r="F2699" s="3">
        <v>29.51</v>
      </c>
      <c r="G2699" s="3">
        <v>0.0</v>
      </c>
    </row>
    <row r="2700">
      <c r="A2700" s="3">
        <v>170210.0</v>
      </c>
      <c r="B2700" s="3" t="s">
        <v>2725</v>
      </c>
      <c r="C2700" s="3" t="s">
        <v>189</v>
      </c>
      <c r="D2700" s="3">
        <v>205.0</v>
      </c>
      <c r="E2700" s="3">
        <v>6.99</v>
      </c>
      <c r="F2700" s="3">
        <v>33.26</v>
      </c>
      <c r="G2700" s="3">
        <v>0.0</v>
      </c>
    </row>
    <row r="2701">
      <c r="A2701" s="3">
        <v>170211.0</v>
      </c>
      <c r="B2701" s="3" t="s">
        <v>2726</v>
      </c>
      <c r="C2701" s="3" t="s">
        <v>189</v>
      </c>
      <c r="D2701" s="3">
        <v>358.0</v>
      </c>
      <c r="E2701" s="3">
        <v>28.5</v>
      </c>
      <c r="F2701" s="3">
        <v>23.53</v>
      </c>
      <c r="G2701" s="3">
        <v>0.0</v>
      </c>
    </row>
    <row r="2702">
      <c r="A2702" s="3">
        <v>170212.0</v>
      </c>
      <c r="B2702" s="3" t="s">
        <v>2727</v>
      </c>
      <c r="C2702" s="3" t="s">
        <v>189</v>
      </c>
      <c r="D2702" s="3">
        <v>244.0</v>
      </c>
      <c r="E2702" s="3">
        <v>13.8</v>
      </c>
      <c r="F2702" s="3">
        <v>28.05</v>
      </c>
      <c r="G2702" s="3">
        <v>0.0</v>
      </c>
    </row>
    <row r="2703">
      <c r="A2703" s="3">
        <v>170213.0</v>
      </c>
      <c r="B2703" s="3" t="s">
        <v>2728</v>
      </c>
      <c r="C2703" s="3" t="s">
        <v>189</v>
      </c>
      <c r="D2703" s="3">
        <v>297.0</v>
      </c>
      <c r="E2703" s="3">
        <v>19.17</v>
      </c>
      <c r="F2703" s="3">
        <v>28.94</v>
      </c>
      <c r="G2703" s="3">
        <v>0.0</v>
      </c>
    </row>
    <row r="2704">
      <c r="A2704" s="3">
        <v>170214.0</v>
      </c>
      <c r="B2704" s="3" t="s">
        <v>2729</v>
      </c>
      <c r="C2704" s="3" t="s">
        <v>189</v>
      </c>
      <c r="D2704" s="3">
        <v>288.0</v>
      </c>
      <c r="E2704" s="3">
        <v>19.02</v>
      </c>
      <c r="F2704" s="3">
        <v>27.17</v>
      </c>
      <c r="G2704" s="3">
        <v>0.0</v>
      </c>
    </row>
    <row r="2705">
      <c r="A2705" s="3">
        <v>170215.0</v>
      </c>
      <c r="B2705" s="3" t="s">
        <v>2730</v>
      </c>
      <c r="C2705" s="3" t="s">
        <v>189</v>
      </c>
      <c r="D2705" s="3">
        <v>253.0</v>
      </c>
      <c r="E2705" s="3">
        <v>13.3</v>
      </c>
      <c r="F2705" s="3">
        <v>31.06</v>
      </c>
      <c r="G2705" s="3">
        <v>0.0</v>
      </c>
    </row>
    <row r="2706">
      <c r="A2706" s="3">
        <v>170216.0</v>
      </c>
      <c r="B2706" s="3" t="s">
        <v>2731</v>
      </c>
      <c r="C2706" s="3" t="s">
        <v>189</v>
      </c>
      <c r="D2706" s="3">
        <v>231.0</v>
      </c>
      <c r="E2706" s="3">
        <v>11.14</v>
      </c>
      <c r="F2706" s="3">
        <v>30.45</v>
      </c>
      <c r="G2706" s="3">
        <v>0.0</v>
      </c>
    </row>
    <row r="2707">
      <c r="A2707" s="3">
        <v>170217.0</v>
      </c>
      <c r="B2707" s="3" t="s">
        <v>2732</v>
      </c>
      <c r="C2707" s="3" t="s">
        <v>189</v>
      </c>
      <c r="D2707" s="3">
        <v>216.0</v>
      </c>
      <c r="E2707" s="3">
        <v>9.44</v>
      </c>
      <c r="F2707" s="3">
        <v>30.68</v>
      </c>
      <c r="G2707" s="3">
        <v>0.0</v>
      </c>
    </row>
    <row r="2708">
      <c r="A2708" s="3">
        <v>170218.0</v>
      </c>
      <c r="B2708" s="3" t="s">
        <v>2733</v>
      </c>
      <c r="C2708" s="3" t="s">
        <v>189</v>
      </c>
      <c r="D2708" s="3">
        <v>220.0</v>
      </c>
      <c r="E2708" s="3">
        <v>11.4</v>
      </c>
      <c r="F2708" s="3">
        <v>27.53</v>
      </c>
      <c r="G2708" s="3">
        <v>0.0</v>
      </c>
    </row>
    <row r="2709">
      <c r="A2709" s="3">
        <v>170219.0</v>
      </c>
      <c r="B2709" s="3" t="s">
        <v>2734</v>
      </c>
      <c r="C2709" s="3" t="s">
        <v>189</v>
      </c>
      <c r="D2709" s="3">
        <v>249.0</v>
      </c>
      <c r="E2709" s="3">
        <v>14.74</v>
      </c>
      <c r="F2709" s="3">
        <v>27.27</v>
      </c>
      <c r="G2709" s="3">
        <v>0.0</v>
      </c>
    </row>
    <row r="2710">
      <c r="A2710" s="3">
        <v>170220.0</v>
      </c>
      <c r="B2710" s="3" t="s">
        <v>2735</v>
      </c>
      <c r="C2710" s="3" t="s">
        <v>189</v>
      </c>
      <c r="D2710" s="3">
        <v>312.0</v>
      </c>
      <c r="E2710" s="3">
        <v>22.84</v>
      </c>
      <c r="F2710" s="3">
        <v>24.73</v>
      </c>
      <c r="G2710" s="3">
        <v>0.0</v>
      </c>
    </row>
    <row r="2711">
      <c r="A2711" s="3">
        <v>170221.0</v>
      </c>
      <c r="B2711" s="3" t="s">
        <v>2736</v>
      </c>
      <c r="C2711" s="3" t="s">
        <v>189</v>
      </c>
      <c r="D2711" s="3">
        <v>285.0</v>
      </c>
      <c r="E2711" s="3">
        <v>19.79</v>
      </c>
      <c r="F2711" s="3">
        <v>24.91</v>
      </c>
      <c r="G2711" s="3">
        <v>0.0</v>
      </c>
    </row>
    <row r="2712">
      <c r="A2712" s="3">
        <v>170222.0</v>
      </c>
      <c r="B2712" s="3" t="s">
        <v>2737</v>
      </c>
      <c r="C2712" s="3" t="s">
        <v>189</v>
      </c>
      <c r="D2712" s="3">
        <v>187.0</v>
      </c>
      <c r="E2712" s="3">
        <v>7.72</v>
      </c>
      <c r="F2712" s="3">
        <v>27.42</v>
      </c>
      <c r="G2712" s="3">
        <v>0.0</v>
      </c>
    </row>
    <row r="2713">
      <c r="A2713" s="3">
        <v>170223.0</v>
      </c>
      <c r="B2713" s="3" t="s">
        <v>2738</v>
      </c>
      <c r="C2713" s="3" t="s">
        <v>189</v>
      </c>
      <c r="D2713" s="3">
        <v>230.0</v>
      </c>
      <c r="E2713" s="3">
        <v>10.0</v>
      </c>
      <c r="F2713" s="3">
        <v>32.73</v>
      </c>
      <c r="G2713" s="3">
        <v>0.0</v>
      </c>
    </row>
    <row r="2714">
      <c r="A2714" s="3">
        <v>170224.0</v>
      </c>
      <c r="B2714" s="3" t="s">
        <v>2739</v>
      </c>
      <c r="C2714" s="3" t="s">
        <v>189</v>
      </c>
      <c r="D2714" s="3">
        <v>199.0</v>
      </c>
      <c r="E2714" s="3">
        <v>9.37</v>
      </c>
      <c r="F2714" s="3">
        <v>26.76</v>
      </c>
      <c r="G2714" s="3">
        <v>0.0</v>
      </c>
    </row>
    <row r="2715">
      <c r="A2715" s="3">
        <v>170225.0</v>
      </c>
      <c r="B2715" s="3" t="s">
        <v>2740</v>
      </c>
      <c r="C2715" s="3" t="s">
        <v>189</v>
      </c>
      <c r="D2715" s="3">
        <v>217.0</v>
      </c>
      <c r="E2715" s="3">
        <v>7.72</v>
      </c>
      <c r="F2715" s="3">
        <v>34.39</v>
      </c>
      <c r="G2715" s="3">
        <v>0.0</v>
      </c>
    </row>
    <row r="2716">
      <c r="A2716" s="3">
        <v>170226.0</v>
      </c>
      <c r="B2716" s="3" t="s">
        <v>2741</v>
      </c>
      <c r="C2716" s="3" t="s">
        <v>189</v>
      </c>
      <c r="D2716" s="3">
        <v>206.0</v>
      </c>
      <c r="E2716" s="3">
        <v>6.3</v>
      </c>
      <c r="F2716" s="3">
        <v>34.93</v>
      </c>
      <c r="G2716" s="3">
        <v>0.0</v>
      </c>
    </row>
    <row r="2717">
      <c r="A2717" s="3">
        <v>170227.0</v>
      </c>
      <c r="B2717" s="3" t="s">
        <v>2742</v>
      </c>
      <c r="C2717" s="3" t="s">
        <v>189</v>
      </c>
      <c r="D2717" s="3">
        <v>169.0</v>
      </c>
      <c r="E2717" s="3">
        <v>5.33</v>
      </c>
      <c r="F2717" s="3">
        <v>28.29</v>
      </c>
      <c r="G2717" s="3">
        <v>0.0</v>
      </c>
    </row>
    <row r="2718">
      <c r="A2718" s="3">
        <v>170228.0</v>
      </c>
      <c r="B2718" s="3" t="s">
        <v>2743</v>
      </c>
      <c r="C2718" s="3" t="s">
        <v>189</v>
      </c>
      <c r="D2718" s="3">
        <v>167.0</v>
      </c>
      <c r="E2718" s="3">
        <v>4.46</v>
      </c>
      <c r="F2718" s="3">
        <v>29.66</v>
      </c>
      <c r="G2718" s="3">
        <v>0.0</v>
      </c>
    </row>
    <row r="2719">
      <c r="A2719" s="3">
        <v>170229.0</v>
      </c>
      <c r="B2719" s="3" t="s">
        <v>2744</v>
      </c>
      <c r="C2719" s="3" t="s">
        <v>189</v>
      </c>
      <c r="D2719" s="3">
        <v>171.0</v>
      </c>
      <c r="E2719" s="3">
        <v>4.83</v>
      </c>
      <c r="F2719" s="3">
        <v>29.79</v>
      </c>
      <c r="G2719" s="3">
        <v>0.0</v>
      </c>
    </row>
    <row r="2720">
      <c r="A2720" s="3">
        <v>170230.0</v>
      </c>
      <c r="B2720" s="3" t="s">
        <v>2745</v>
      </c>
      <c r="C2720" s="3" t="s">
        <v>189</v>
      </c>
      <c r="D2720" s="3">
        <v>188.0</v>
      </c>
      <c r="E2720" s="3">
        <v>8.21</v>
      </c>
      <c r="F2720" s="3">
        <v>26.79</v>
      </c>
      <c r="G2720" s="3">
        <v>0.0</v>
      </c>
    </row>
    <row r="2721">
      <c r="A2721" s="3">
        <v>170231.0</v>
      </c>
      <c r="B2721" s="3" t="s">
        <v>2746</v>
      </c>
      <c r="C2721" s="3" t="s">
        <v>189</v>
      </c>
      <c r="D2721" s="3">
        <v>196.0</v>
      </c>
      <c r="E2721" s="3">
        <v>8.9</v>
      </c>
      <c r="F2721" s="3">
        <v>27.01</v>
      </c>
      <c r="G2721" s="3">
        <v>0.0</v>
      </c>
    </row>
    <row r="2722">
      <c r="A2722" s="3">
        <v>170232.0</v>
      </c>
      <c r="B2722" s="3" t="s">
        <v>2747</v>
      </c>
      <c r="C2722" s="3" t="s">
        <v>189</v>
      </c>
      <c r="D2722" s="3">
        <v>181.0</v>
      </c>
      <c r="E2722" s="3">
        <v>7.53</v>
      </c>
      <c r="F2722" s="3">
        <v>26.57</v>
      </c>
      <c r="G2722" s="3">
        <v>0.0</v>
      </c>
    </row>
    <row r="2723">
      <c r="A2723" s="3">
        <v>170233.0</v>
      </c>
      <c r="B2723" s="3" t="s">
        <v>2748</v>
      </c>
      <c r="C2723" s="3" t="s">
        <v>189</v>
      </c>
      <c r="D2723" s="3">
        <v>174.0</v>
      </c>
      <c r="E2723" s="3">
        <v>6.2</v>
      </c>
      <c r="F2723" s="3">
        <v>27.53</v>
      </c>
      <c r="G2723" s="3">
        <v>0.0</v>
      </c>
    </row>
    <row r="2724">
      <c r="A2724" s="3">
        <v>170234.0</v>
      </c>
      <c r="B2724" s="3" t="s">
        <v>2749</v>
      </c>
      <c r="C2724" s="3" t="s">
        <v>189</v>
      </c>
      <c r="D2724" s="3">
        <v>200.0</v>
      </c>
      <c r="E2724" s="3">
        <v>5.33</v>
      </c>
      <c r="F2724" s="3">
        <v>35.62</v>
      </c>
      <c r="G2724" s="3">
        <v>0.0</v>
      </c>
    </row>
    <row r="2725">
      <c r="A2725" s="3">
        <v>170235.0</v>
      </c>
      <c r="B2725" s="3" t="s">
        <v>2750</v>
      </c>
      <c r="C2725" s="3" t="s">
        <v>189</v>
      </c>
      <c r="D2725" s="3">
        <v>207.0</v>
      </c>
      <c r="E2725" s="3">
        <v>5.8</v>
      </c>
      <c r="F2725" s="3">
        <v>36.12</v>
      </c>
      <c r="G2725" s="3">
        <v>0.0</v>
      </c>
    </row>
    <row r="2726">
      <c r="A2726" s="3">
        <v>170236.0</v>
      </c>
      <c r="B2726" s="3" t="s">
        <v>2751</v>
      </c>
      <c r="C2726" s="3" t="s">
        <v>189</v>
      </c>
      <c r="D2726" s="3">
        <v>190.0</v>
      </c>
      <c r="E2726" s="3">
        <v>4.0</v>
      </c>
      <c r="F2726" s="3">
        <v>36.12</v>
      </c>
      <c r="G2726" s="3">
        <v>0.0</v>
      </c>
    </row>
    <row r="2727">
      <c r="A2727" s="3">
        <v>170237.0</v>
      </c>
      <c r="B2727" s="3" t="s">
        <v>2752</v>
      </c>
      <c r="C2727" s="3" t="s">
        <v>189</v>
      </c>
      <c r="D2727" s="3">
        <v>211.0</v>
      </c>
      <c r="E2727" s="3">
        <v>8.91</v>
      </c>
      <c r="F2727" s="3">
        <v>30.5</v>
      </c>
      <c r="G2727" s="3">
        <v>0.0</v>
      </c>
    </row>
    <row r="2728">
      <c r="A2728" s="3">
        <v>170238.0</v>
      </c>
      <c r="B2728" s="3" t="s">
        <v>2753</v>
      </c>
      <c r="C2728" s="3" t="s">
        <v>189</v>
      </c>
      <c r="D2728" s="3">
        <v>217.0</v>
      </c>
      <c r="E2728" s="3">
        <v>9.71</v>
      </c>
      <c r="F2728" s="3">
        <v>30.21</v>
      </c>
      <c r="G2728" s="3">
        <v>0.0</v>
      </c>
    </row>
    <row r="2729">
      <c r="A2729" s="3">
        <v>170239.0</v>
      </c>
      <c r="B2729" s="3" t="s">
        <v>2754</v>
      </c>
      <c r="C2729" s="3" t="s">
        <v>189</v>
      </c>
      <c r="D2729" s="3">
        <v>223.0</v>
      </c>
      <c r="E2729" s="3">
        <v>11.15</v>
      </c>
      <c r="F2729" s="3">
        <v>28.57</v>
      </c>
      <c r="G2729" s="3">
        <v>0.0</v>
      </c>
    </row>
    <row r="2730">
      <c r="A2730" s="3">
        <v>170240.0</v>
      </c>
      <c r="B2730" s="3" t="s">
        <v>2755</v>
      </c>
      <c r="C2730" s="3" t="s">
        <v>189</v>
      </c>
      <c r="D2730" s="3">
        <v>233.0</v>
      </c>
      <c r="E2730" s="3">
        <v>12.51</v>
      </c>
      <c r="F2730" s="3">
        <v>28.19</v>
      </c>
      <c r="G2730" s="3">
        <v>0.0</v>
      </c>
    </row>
    <row r="2731">
      <c r="A2731" s="3">
        <v>170241.0</v>
      </c>
      <c r="B2731" s="3" t="s">
        <v>2756</v>
      </c>
      <c r="C2731" s="3" t="s">
        <v>38</v>
      </c>
      <c r="D2731" s="3">
        <v>387.0</v>
      </c>
      <c r="E2731" s="3">
        <v>5.0</v>
      </c>
      <c r="F2731" s="3">
        <v>0.0</v>
      </c>
      <c r="G2731" s="3">
        <v>88.4</v>
      </c>
    </row>
    <row r="2732">
      <c r="A2732" s="3">
        <v>170242.0</v>
      </c>
      <c r="B2732" s="3" t="s">
        <v>2757</v>
      </c>
      <c r="C2732" s="3" t="s">
        <v>38</v>
      </c>
      <c r="D2732" s="3">
        <v>366.0</v>
      </c>
      <c r="E2732" s="3">
        <v>1.5</v>
      </c>
      <c r="F2732" s="3">
        <v>0.1</v>
      </c>
      <c r="G2732" s="3">
        <v>90.3</v>
      </c>
    </row>
    <row r="2733">
      <c r="A2733" s="3">
        <v>170243.0</v>
      </c>
      <c r="B2733" s="3" t="s">
        <v>2758</v>
      </c>
      <c r="C2733" s="3" t="s">
        <v>38</v>
      </c>
      <c r="D2733" s="3">
        <v>369.0</v>
      </c>
      <c r="E2733" s="3">
        <v>0.1</v>
      </c>
      <c r="F2733" s="3">
        <v>0.1</v>
      </c>
      <c r="G2733" s="3">
        <v>94.3</v>
      </c>
    </row>
    <row r="2734">
      <c r="A2734" s="3">
        <v>170244.0</v>
      </c>
      <c r="B2734" s="3" t="s">
        <v>2759</v>
      </c>
      <c r="C2734" s="3" t="s">
        <v>33</v>
      </c>
      <c r="D2734" s="3">
        <v>558.0</v>
      </c>
      <c r="E2734" s="3">
        <v>35.76</v>
      </c>
      <c r="F2734" s="3">
        <v>5.76</v>
      </c>
      <c r="G2734" s="3">
        <v>54.1</v>
      </c>
    </row>
    <row r="2735">
      <c r="A2735" s="3">
        <v>170245.0</v>
      </c>
      <c r="B2735" s="3" t="s">
        <v>2760</v>
      </c>
      <c r="C2735" s="3" t="s">
        <v>33</v>
      </c>
      <c r="D2735" s="3">
        <v>523.0</v>
      </c>
      <c r="E2735" s="3">
        <v>32.7</v>
      </c>
      <c r="F2735" s="3">
        <v>7.0</v>
      </c>
      <c r="G2735" s="3">
        <v>56.2</v>
      </c>
    </row>
    <row r="2736">
      <c r="A2736" s="3">
        <v>170246.0</v>
      </c>
      <c r="B2736" s="3" t="s">
        <v>2761</v>
      </c>
      <c r="C2736" s="3" t="s">
        <v>33</v>
      </c>
      <c r="D2736" s="3">
        <v>382.0</v>
      </c>
      <c r="E2736" s="3">
        <v>4.2</v>
      </c>
      <c r="F2736" s="3">
        <v>12.0</v>
      </c>
      <c r="G2736" s="3">
        <v>77.9</v>
      </c>
    </row>
    <row r="2737">
      <c r="A2737" s="3">
        <v>170247.0</v>
      </c>
      <c r="B2737" s="3" t="s">
        <v>2762</v>
      </c>
      <c r="C2737" s="3" t="s">
        <v>33</v>
      </c>
      <c r="D2737" s="3">
        <v>500.0</v>
      </c>
      <c r="E2737" s="3">
        <v>28.1</v>
      </c>
      <c r="F2737" s="3">
        <v>9.0</v>
      </c>
      <c r="G2737" s="3">
        <v>57.2</v>
      </c>
    </row>
    <row r="2738">
      <c r="A2738" s="3">
        <v>170248.0</v>
      </c>
      <c r="B2738" s="3" t="s">
        <v>2763</v>
      </c>
      <c r="C2738" s="3" t="s">
        <v>33</v>
      </c>
      <c r="D2738" s="3">
        <v>536.0</v>
      </c>
      <c r="E2738" s="3">
        <v>34.6</v>
      </c>
      <c r="F2738" s="3">
        <v>7.0</v>
      </c>
      <c r="G2738" s="3">
        <v>52.9</v>
      </c>
    </row>
    <row r="2739">
      <c r="A2739" s="3">
        <v>170249.0</v>
      </c>
      <c r="B2739" s="3" t="s">
        <v>2764</v>
      </c>
      <c r="C2739" s="3" t="s">
        <v>33</v>
      </c>
      <c r="D2739" s="3">
        <v>381.0</v>
      </c>
      <c r="E2739" s="3">
        <v>3.5</v>
      </c>
      <c r="F2739" s="3">
        <v>9.1</v>
      </c>
      <c r="G2739" s="3">
        <v>79.2</v>
      </c>
    </row>
    <row r="2740">
      <c r="A2740" s="3">
        <v>170250.0</v>
      </c>
      <c r="B2740" s="3" t="s">
        <v>2765</v>
      </c>
      <c r="C2740" s="3" t="s">
        <v>33</v>
      </c>
      <c r="D2740" s="3">
        <v>387.0</v>
      </c>
      <c r="E2740" s="3">
        <v>2.8</v>
      </c>
      <c r="F2740" s="3">
        <v>8.2</v>
      </c>
      <c r="G2740" s="3">
        <v>81.5</v>
      </c>
    </row>
    <row r="2741">
      <c r="A2741" s="3">
        <v>170251.0</v>
      </c>
      <c r="B2741" s="3" t="s">
        <v>2766</v>
      </c>
      <c r="C2741" s="3" t="s">
        <v>33</v>
      </c>
      <c r="D2741" s="3">
        <v>380.0</v>
      </c>
      <c r="E2741" s="3">
        <v>3.5</v>
      </c>
      <c r="F2741" s="3">
        <v>9.0</v>
      </c>
      <c r="G2741" s="3">
        <v>80.1</v>
      </c>
    </row>
    <row r="2742">
      <c r="A2742" s="3">
        <v>170252.0</v>
      </c>
      <c r="B2742" s="3" t="s">
        <v>2767</v>
      </c>
      <c r="C2742" s="3" t="s">
        <v>33</v>
      </c>
      <c r="D2742" s="3">
        <v>387.0</v>
      </c>
      <c r="E2742" s="3">
        <v>3.5</v>
      </c>
      <c r="F2742" s="3">
        <v>8.5</v>
      </c>
      <c r="G2742" s="3">
        <v>80.1</v>
      </c>
    </row>
    <row r="2743">
      <c r="A2743" s="3">
        <v>170253.0</v>
      </c>
      <c r="B2743" s="3" t="s">
        <v>2768</v>
      </c>
      <c r="C2743" s="3" t="s">
        <v>33</v>
      </c>
      <c r="D2743" s="3">
        <v>487.0</v>
      </c>
      <c r="E2743" s="3">
        <v>20.8</v>
      </c>
      <c r="F2743" s="3">
        <v>7.1</v>
      </c>
      <c r="G2743" s="3">
        <v>67.8</v>
      </c>
    </row>
    <row r="2744">
      <c r="A2744" s="3">
        <v>170254.0</v>
      </c>
      <c r="B2744" s="3" t="s">
        <v>2769</v>
      </c>
      <c r="C2744" s="3" t="s">
        <v>33</v>
      </c>
      <c r="D2744" s="3">
        <v>416.0</v>
      </c>
      <c r="E2744" s="3">
        <v>5.7</v>
      </c>
      <c r="F2744" s="3">
        <v>11.0</v>
      </c>
      <c r="G2744" s="3">
        <v>80.1</v>
      </c>
    </row>
    <row r="2745">
      <c r="A2745" s="3">
        <v>170255.0</v>
      </c>
      <c r="B2745" s="3" t="s">
        <v>2770</v>
      </c>
      <c r="C2745" s="3" t="s">
        <v>38</v>
      </c>
      <c r="D2745" s="3">
        <v>81.0</v>
      </c>
      <c r="E2745" s="3">
        <v>0.24</v>
      </c>
      <c r="F2745" s="3">
        <v>0.0</v>
      </c>
      <c r="G2745" s="3">
        <v>19.68</v>
      </c>
    </row>
    <row r="2746">
      <c r="A2746" s="3">
        <v>170256.0</v>
      </c>
      <c r="B2746" s="3" t="s">
        <v>2771</v>
      </c>
      <c r="C2746" s="3" t="s">
        <v>33</v>
      </c>
      <c r="D2746" s="3">
        <v>511.0</v>
      </c>
      <c r="E2746" s="3">
        <v>25.6</v>
      </c>
      <c r="F2746" s="3">
        <v>7.8</v>
      </c>
      <c r="G2746" s="3">
        <v>62.3</v>
      </c>
    </row>
    <row r="2747">
      <c r="A2747" s="3">
        <v>170257.0</v>
      </c>
      <c r="B2747" s="3" t="s">
        <v>2772</v>
      </c>
      <c r="C2747" s="3" t="s">
        <v>38</v>
      </c>
      <c r="D2747" s="3">
        <v>336.0</v>
      </c>
      <c r="E2747" s="3">
        <v>0.0</v>
      </c>
      <c r="F2747" s="3">
        <v>0.0</v>
      </c>
      <c r="G2747" s="3">
        <v>91.17</v>
      </c>
    </row>
    <row r="2748">
      <c r="A2748" s="3">
        <v>170258.0</v>
      </c>
      <c r="B2748" s="3" t="s">
        <v>2773</v>
      </c>
      <c r="C2748" s="3" t="s">
        <v>38</v>
      </c>
      <c r="D2748" s="3">
        <v>124.0</v>
      </c>
      <c r="E2748" s="3">
        <v>1.87</v>
      </c>
      <c r="F2748" s="3">
        <v>3.67</v>
      </c>
      <c r="G2748" s="3">
        <v>23.11</v>
      </c>
    </row>
    <row r="2749">
      <c r="A2749" s="3">
        <v>170259.0</v>
      </c>
      <c r="B2749" s="3" t="s">
        <v>2774</v>
      </c>
      <c r="C2749" s="3" t="s">
        <v>38</v>
      </c>
      <c r="D2749" s="3">
        <v>21.0</v>
      </c>
      <c r="E2749" s="3">
        <v>0.0</v>
      </c>
      <c r="F2749" s="3">
        <v>0.0</v>
      </c>
      <c r="G2749" s="3">
        <v>5.14</v>
      </c>
    </row>
    <row r="2750">
      <c r="A2750" s="3">
        <v>170260.0</v>
      </c>
      <c r="B2750" s="3" t="s">
        <v>2775</v>
      </c>
      <c r="C2750" s="3" t="s">
        <v>38</v>
      </c>
      <c r="D2750" s="3">
        <v>124.0</v>
      </c>
      <c r="E2750" s="3">
        <v>1.88</v>
      </c>
      <c r="F2750" s="3">
        <v>4.31</v>
      </c>
      <c r="G2750" s="3">
        <v>30.07</v>
      </c>
    </row>
    <row r="2751">
      <c r="A2751" s="3">
        <v>170261.0</v>
      </c>
      <c r="B2751" s="3" t="s">
        <v>2776</v>
      </c>
      <c r="C2751" s="3" t="s">
        <v>38</v>
      </c>
      <c r="D2751" s="3">
        <v>162.0</v>
      </c>
      <c r="E2751" s="3">
        <v>4.59</v>
      </c>
      <c r="F2751" s="3">
        <v>4.84</v>
      </c>
      <c r="G2751" s="3">
        <v>25.3</v>
      </c>
    </row>
    <row r="2752">
      <c r="A2752" s="3">
        <v>170262.0</v>
      </c>
      <c r="B2752" s="3" t="s">
        <v>2777</v>
      </c>
      <c r="C2752" s="3" t="s">
        <v>38</v>
      </c>
      <c r="D2752" s="3">
        <v>180.0</v>
      </c>
      <c r="E2752" s="3">
        <v>10.3</v>
      </c>
      <c r="F2752" s="3">
        <v>3.99</v>
      </c>
      <c r="G2752" s="3">
        <v>21.3</v>
      </c>
    </row>
    <row r="2753">
      <c r="A2753" s="3">
        <v>170263.0</v>
      </c>
      <c r="B2753" s="3" t="s">
        <v>2778</v>
      </c>
      <c r="C2753" s="3" t="s">
        <v>38</v>
      </c>
      <c r="D2753" s="3">
        <v>154.0</v>
      </c>
      <c r="E2753" s="3">
        <v>7.05</v>
      </c>
      <c r="F2753" s="3">
        <v>4.5</v>
      </c>
      <c r="G2753" s="3">
        <v>20.75</v>
      </c>
    </row>
    <row r="2754">
      <c r="A2754" s="3">
        <v>170264.0</v>
      </c>
      <c r="B2754" s="3" t="s">
        <v>2779</v>
      </c>
      <c r="C2754" s="3" t="s">
        <v>38</v>
      </c>
      <c r="D2754" s="3">
        <v>143.0</v>
      </c>
      <c r="E2754" s="3">
        <v>6.2</v>
      </c>
      <c r="F2754" s="3">
        <v>3.68</v>
      </c>
      <c r="G2754" s="3">
        <v>21.92</v>
      </c>
    </row>
    <row r="2755">
      <c r="A2755" s="3">
        <v>170265.0</v>
      </c>
      <c r="B2755" s="3" t="s">
        <v>2780</v>
      </c>
      <c r="C2755" s="3" t="s">
        <v>38</v>
      </c>
      <c r="D2755" s="3">
        <v>153.0</v>
      </c>
      <c r="E2755" s="3">
        <v>5.68</v>
      </c>
      <c r="F2755" s="3">
        <v>3.53</v>
      </c>
      <c r="G2755" s="3">
        <v>25.63</v>
      </c>
    </row>
    <row r="2756">
      <c r="A2756" s="3">
        <v>170266.0</v>
      </c>
      <c r="B2756" s="3" t="s">
        <v>2781</v>
      </c>
      <c r="C2756" s="3" t="s">
        <v>38</v>
      </c>
      <c r="D2756" s="3">
        <v>72.0</v>
      </c>
      <c r="E2756" s="3">
        <v>0.61</v>
      </c>
      <c r="F2756" s="3">
        <v>3.69</v>
      </c>
      <c r="G2756" s="3">
        <v>12.88</v>
      </c>
    </row>
    <row r="2757">
      <c r="A2757" s="3">
        <v>170267.0</v>
      </c>
      <c r="B2757" s="3" t="s">
        <v>2782</v>
      </c>
      <c r="C2757" s="3" t="s">
        <v>38</v>
      </c>
      <c r="D2757" s="3">
        <v>49.0</v>
      </c>
      <c r="E2757" s="3">
        <v>2.33</v>
      </c>
      <c r="F2757" s="3">
        <v>1.37</v>
      </c>
      <c r="G2757" s="3">
        <v>11.95</v>
      </c>
    </row>
    <row r="2758">
      <c r="A2758" s="3">
        <v>170268.0</v>
      </c>
      <c r="B2758" s="3" t="s">
        <v>2783</v>
      </c>
      <c r="C2758" s="3" t="s">
        <v>38</v>
      </c>
      <c r="D2758" s="3">
        <v>201.0</v>
      </c>
      <c r="E2758" s="3">
        <v>7.28</v>
      </c>
      <c r="F2758" s="3">
        <v>5.3</v>
      </c>
      <c r="G2758" s="3">
        <v>29.68</v>
      </c>
    </row>
    <row r="2759">
      <c r="A2759" s="3">
        <v>170269.0</v>
      </c>
      <c r="B2759" s="3" t="s">
        <v>2784</v>
      </c>
      <c r="C2759" s="3" t="s">
        <v>38</v>
      </c>
      <c r="D2759" s="3">
        <v>136.0</v>
      </c>
      <c r="E2759" s="3">
        <v>2.17</v>
      </c>
      <c r="F2759" s="3">
        <v>3.89</v>
      </c>
      <c r="G2759" s="3">
        <v>30.18</v>
      </c>
    </row>
    <row r="2760">
      <c r="A2760" s="3">
        <v>170270.0</v>
      </c>
      <c r="B2760" s="3" t="s">
        <v>2785</v>
      </c>
      <c r="C2760" s="3" t="s">
        <v>38</v>
      </c>
      <c r="D2760" s="3">
        <v>237.0</v>
      </c>
      <c r="E2760" s="3">
        <v>12.7</v>
      </c>
      <c r="F2760" s="3">
        <v>3.8</v>
      </c>
      <c r="G2760" s="3">
        <v>26.8</v>
      </c>
    </row>
    <row r="2761">
      <c r="A2761" s="3">
        <v>170271.0</v>
      </c>
      <c r="B2761" s="3" t="s">
        <v>2786</v>
      </c>
      <c r="C2761" s="3" t="s">
        <v>38</v>
      </c>
      <c r="D2761" s="3">
        <v>546.0</v>
      </c>
      <c r="E2761" s="3">
        <v>31.28</v>
      </c>
      <c r="F2761" s="3">
        <v>4.88</v>
      </c>
      <c r="G2761" s="3">
        <v>61.17</v>
      </c>
    </row>
    <row r="2762">
      <c r="A2762" s="3">
        <v>170272.0</v>
      </c>
      <c r="B2762" s="3" t="s">
        <v>2787</v>
      </c>
      <c r="C2762" s="3" t="s">
        <v>38</v>
      </c>
      <c r="D2762" s="3">
        <v>579.0</v>
      </c>
      <c r="E2762" s="3">
        <v>38.31</v>
      </c>
      <c r="F2762" s="3">
        <v>6.12</v>
      </c>
      <c r="G2762" s="3">
        <v>52.42</v>
      </c>
    </row>
    <row r="2763">
      <c r="A2763" s="3">
        <v>170273.0</v>
      </c>
      <c r="B2763" s="3" t="s">
        <v>2788</v>
      </c>
      <c r="C2763" s="3" t="s">
        <v>38</v>
      </c>
      <c r="D2763" s="3">
        <v>598.0</v>
      </c>
      <c r="E2763" s="3">
        <v>42.63</v>
      </c>
      <c r="F2763" s="3">
        <v>7.79</v>
      </c>
      <c r="G2763" s="3">
        <v>45.9</v>
      </c>
    </row>
    <row r="2764">
      <c r="A2764" s="3">
        <v>170274.0</v>
      </c>
      <c r="B2764" s="3" t="s">
        <v>2789</v>
      </c>
      <c r="C2764" s="3" t="s">
        <v>38</v>
      </c>
      <c r="D2764" s="3">
        <v>550.0</v>
      </c>
      <c r="E2764" s="3">
        <v>32.2</v>
      </c>
      <c r="F2764" s="3">
        <v>5.09</v>
      </c>
      <c r="G2764" s="3">
        <v>59.97</v>
      </c>
    </row>
    <row r="2765">
      <c r="A2765" s="3">
        <v>170275.0</v>
      </c>
      <c r="B2765" s="3" t="s">
        <v>2790</v>
      </c>
      <c r="C2765" s="3" t="s">
        <v>38</v>
      </c>
      <c r="D2765" s="3">
        <v>542.0</v>
      </c>
      <c r="E2765" s="3">
        <v>31.34</v>
      </c>
      <c r="F2765" s="3">
        <v>9.53</v>
      </c>
      <c r="G2765" s="3">
        <v>55.53</v>
      </c>
    </row>
    <row r="2766">
      <c r="A2766" s="3">
        <v>170276.0</v>
      </c>
      <c r="B2766" s="3" t="s">
        <v>2791</v>
      </c>
      <c r="C2766" s="3" t="s">
        <v>38</v>
      </c>
      <c r="D2766" s="3">
        <v>270.0</v>
      </c>
      <c r="E2766" s="3">
        <v>0.0</v>
      </c>
      <c r="F2766" s="3">
        <v>0.0</v>
      </c>
      <c r="G2766" s="3">
        <v>67.38</v>
      </c>
    </row>
    <row r="2767">
      <c r="A2767" s="3">
        <v>170277.0</v>
      </c>
      <c r="B2767" s="3" t="s">
        <v>2792</v>
      </c>
      <c r="C2767" s="3" t="s">
        <v>38</v>
      </c>
      <c r="D2767" s="3">
        <v>310.0</v>
      </c>
      <c r="E2767" s="3">
        <v>0.45</v>
      </c>
      <c r="F2767" s="3">
        <v>0.09</v>
      </c>
      <c r="G2767" s="3">
        <v>76.37</v>
      </c>
    </row>
    <row r="2768">
      <c r="A2768" s="3">
        <v>170278.0</v>
      </c>
      <c r="B2768" s="3" t="s">
        <v>2793</v>
      </c>
      <c r="C2768" s="3" t="s">
        <v>38</v>
      </c>
      <c r="D2768" s="3">
        <v>465.0</v>
      </c>
      <c r="E2768" s="3">
        <v>18.33</v>
      </c>
      <c r="F2768" s="3">
        <v>6.67</v>
      </c>
      <c r="G2768" s="3">
        <v>68.45</v>
      </c>
    </row>
    <row r="2769">
      <c r="A2769" s="3">
        <v>170279.0</v>
      </c>
      <c r="B2769" s="3" t="s">
        <v>2794</v>
      </c>
      <c r="C2769" s="3" t="s">
        <v>38</v>
      </c>
      <c r="D2769" s="3">
        <v>352.0</v>
      </c>
      <c r="E2769" s="3">
        <v>0.0</v>
      </c>
      <c r="F2769" s="3">
        <v>0.08</v>
      </c>
      <c r="G2769" s="3">
        <v>87.97</v>
      </c>
    </row>
    <row r="2770">
      <c r="A2770" s="3">
        <v>170280.0</v>
      </c>
      <c r="B2770" s="3" t="s">
        <v>2795</v>
      </c>
      <c r="C2770" s="3" t="s">
        <v>38</v>
      </c>
      <c r="D2770" s="3">
        <v>212.0</v>
      </c>
      <c r="E2770" s="3">
        <v>0.0</v>
      </c>
      <c r="F2770" s="3">
        <v>0.0</v>
      </c>
      <c r="G2770" s="3">
        <v>52.93</v>
      </c>
    </row>
    <row r="2771">
      <c r="A2771" s="3">
        <v>170281.0</v>
      </c>
      <c r="B2771" s="3" t="s">
        <v>2796</v>
      </c>
      <c r="C2771" s="3" t="s">
        <v>38</v>
      </c>
      <c r="D2771" s="3">
        <v>331.0</v>
      </c>
      <c r="E2771" s="3">
        <v>0.0</v>
      </c>
      <c r="F2771" s="3">
        <v>0.0</v>
      </c>
      <c r="G2771" s="3">
        <v>91.96</v>
      </c>
    </row>
    <row r="2772">
      <c r="A2772" s="3">
        <v>170282.0</v>
      </c>
      <c r="B2772" s="3" t="s">
        <v>2797</v>
      </c>
      <c r="C2772" s="3" t="s">
        <v>38</v>
      </c>
      <c r="D2772" s="3">
        <v>481.0</v>
      </c>
      <c r="E2772" s="3">
        <v>27.65</v>
      </c>
      <c r="F2772" s="3">
        <v>2.13</v>
      </c>
      <c r="G2772" s="3">
        <v>55.87</v>
      </c>
    </row>
    <row r="2773">
      <c r="A2773" s="3">
        <v>170283.0</v>
      </c>
      <c r="B2773" s="3" t="s">
        <v>2798</v>
      </c>
      <c r="C2773" s="3" t="s">
        <v>660</v>
      </c>
      <c r="D2773" s="3">
        <v>354.0</v>
      </c>
      <c r="E2773" s="3">
        <v>2.3</v>
      </c>
      <c r="F2773" s="3">
        <v>12.48</v>
      </c>
      <c r="G2773" s="3">
        <v>73.48</v>
      </c>
    </row>
    <row r="2774">
      <c r="A2774" s="3">
        <v>170284.0</v>
      </c>
      <c r="B2774" s="3" t="s">
        <v>2799</v>
      </c>
      <c r="C2774" s="3" t="s">
        <v>660</v>
      </c>
      <c r="D2774" s="3">
        <v>352.0</v>
      </c>
      <c r="E2774" s="3">
        <v>1.16</v>
      </c>
      <c r="F2774" s="3">
        <v>9.91</v>
      </c>
      <c r="G2774" s="3">
        <v>77.72</v>
      </c>
    </row>
    <row r="2775">
      <c r="A2775" s="3">
        <v>170285.0</v>
      </c>
      <c r="B2775" s="3" t="s">
        <v>2800</v>
      </c>
      <c r="C2775" s="3" t="s">
        <v>660</v>
      </c>
      <c r="D2775" s="3">
        <v>123.0</v>
      </c>
      <c r="E2775" s="3">
        <v>0.44</v>
      </c>
      <c r="F2775" s="3">
        <v>2.26</v>
      </c>
      <c r="G2775" s="3">
        <v>28.22</v>
      </c>
    </row>
    <row r="2776">
      <c r="A2776" s="3">
        <v>170286.0</v>
      </c>
      <c r="B2776" s="3" t="s">
        <v>2801</v>
      </c>
      <c r="C2776" s="3" t="s">
        <v>660</v>
      </c>
      <c r="D2776" s="3">
        <v>343.0</v>
      </c>
      <c r="E2776" s="3">
        <v>3.4</v>
      </c>
      <c r="F2776" s="3">
        <v>13.25</v>
      </c>
      <c r="G2776" s="3">
        <v>71.5</v>
      </c>
    </row>
    <row r="2777">
      <c r="A2777" s="3">
        <v>170287.0</v>
      </c>
      <c r="B2777" s="3" t="s">
        <v>2802</v>
      </c>
      <c r="C2777" s="3" t="s">
        <v>660</v>
      </c>
      <c r="D2777" s="3">
        <v>83.0</v>
      </c>
      <c r="E2777" s="3">
        <v>0.24</v>
      </c>
      <c r="F2777" s="3">
        <v>3.08</v>
      </c>
      <c r="G2777" s="3">
        <v>18.58</v>
      </c>
    </row>
    <row r="2778">
      <c r="A2778" s="3">
        <v>170288.0</v>
      </c>
      <c r="B2778" s="3" t="s">
        <v>2803</v>
      </c>
      <c r="C2778" s="3" t="s">
        <v>660</v>
      </c>
      <c r="D2778" s="3">
        <v>365.0</v>
      </c>
      <c r="E2778" s="3">
        <v>4.74</v>
      </c>
      <c r="F2778" s="3">
        <v>9.42</v>
      </c>
      <c r="G2778" s="3">
        <v>74.26</v>
      </c>
    </row>
    <row r="2779">
      <c r="A2779" s="3">
        <v>170289.0</v>
      </c>
      <c r="B2779" s="3" t="s">
        <v>2804</v>
      </c>
      <c r="C2779" s="3" t="s">
        <v>660</v>
      </c>
      <c r="D2779" s="3">
        <v>224.0</v>
      </c>
      <c r="E2779" s="3">
        <v>0.92</v>
      </c>
      <c r="F2779" s="3">
        <v>8.36</v>
      </c>
      <c r="G2779" s="3">
        <v>85.64</v>
      </c>
    </row>
    <row r="2780">
      <c r="A2780" s="3">
        <v>170290.0</v>
      </c>
      <c r="B2780" s="3" t="s">
        <v>2805</v>
      </c>
      <c r="C2780" s="3" t="s">
        <v>660</v>
      </c>
      <c r="D2780" s="3">
        <v>361.0</v>
      </c>
      <c r="E2780" s="3">
        <v>3.86</v>
      </c>
      <c r="F2780" s="3">
        <v>6.93</v>
      </c>
      <c r="G2780" s="3">
        <v>76.85</v>
      </c>
    </row>
    <row r="2781">
      <c r="A2781" s="3">
        <v>170291.0</v>
      </c>
      <c r="B2781" s="3" t="s">
        <v>2806</v>
      </c>
      <c r="C2781" s="3" t="s">
        <v>2807</v>
      </c>
      <c r="D2781" s="3">
        <v>343.0</v>
      </c>
      <c r="E2781" s="3">
        <v>21.5</v>
      </c>
      <c r="F2781" s="3">
        <v>4.32</v>
      </c>
      <c r="G2781" s="3">
        <v>34.91</v>
      </c>
    </row>
    <row r="2782">
      <c r="A2782" s="3">
        <v>170292.0</v>
      </c>
      <c r="B2782" s="3" t="s">
        <v>2808</v>
      </c>
      <c r="C2782" s="3" t="s">
        <v>2807</v>
      </c>
      <c r="D2782" s="3">
        <v>219.0</v>
      </c>
      <c r="E2782" s="3">
        <v>12.48</v>
      </c>
      <c r="F2782" s="3">
        <v>6.21</v>
      </c>
      <c r="G2782" s="3">
        <v>21.39</v>
      </c>
    </row>
    <row r="2783">
      <c r="A2783" s="3">
        <v>170293.0</v>
      </c>
      <c r="B2783" s="3" t="s">
        <v>2809</v>
      </c>
      <c r="C2783" s="3" t="s">
        <v>2807</v>
      </c>
      <c r="D2783" s="3">
        <v>282.0</v>
      </c>
      <c r="E2783" s="3">
        <v>16.18</v>
      </c>
      <c r="F2783" s="3">
        <v>16.24</v>
      </c>
      <c r="G2783" s="3">
        <v>17.97</v>
      </c>
    </row>
    <row r="2784">
      <c r="A2784" s="3">
        <v>170294.0</v>
      </c>
      <c r="B2784" s="3" t="s">
        <v>2810</v>
      </c>
      <c r="C2784" s="3" t="s">
        <v>2807</v>
      </c>
      <c r="D2784" s="3">
        <v>310.0</v>
      </c>
      <c r="E2784" s="3">
        <v>15.97</v>
      </c>
      <c r="F2784" s="3">
        <v>17.29</v>
      </c>
      <c r="G2784" s="3">
        <v>24.07</v>
      </c>
    </row>
    <row r="2785">
      <c r="A2785" s="3">
        <v>170295.0</v>
      </c>
      <c r="B2785" s="3" t="s">
        <v>2811</v>
      </c>
      <c r="C2785" s="3" t="s">
        <v>2807</v>
      </c>
      <c r="D2785" s="3">
        <v>250.0</v>
      </c>
      <c r="E2785" s="3">
        <v>11.19</v>
      </c>
      <c r="F2785" s="3">
        <v>16.28</v>
      </c>
      <c r="G2785" s="3">
        <v>20.89</v>
      </c>
    </row>
    <row r="2786">
      <c r="A2786" s="3">
        <v>170296.0</v>
      </c>
      <c r="B2786" s="3" t="s">
        <v>2812</v>
      </c>
      <c r="C2786" s="3" t="s">
        <v>2807</v>
      </c>
      <c r="D2786" s="3">
        <v>257.0</v>
      </c>
      <c r="E2786" s="3">
        <v>12.45</v>
      </c>
      <c r="F2786" s="3">
        <v>10.29</v>
      </c>
      <c r="G2786" s="3">
        <v>26.69</v>
      </c>
    </row>
    <row r="2787">
      <c r="A2787" s="3">
        <v>170297.0</v>
      </c>
      <c r="B2787" s="3" t="s">
        <v>2813</v>
      </c>
      <c r="C2787" s="3" t="s">
        <v>2807</v>
      </c>
      <c r="D2787" s="3">
        <v>279.0</v>
      </c>
      <c r="E2787" s="3">
        <v>14.64</v>
      </c>
      <c r="F2787" s="3">
        <v>11.26</v>
      </c>
      <c r="G2787" s="3">
        <v>26.39</v>
      </c>
    </row>
    <row r="2788">
      <c r="A2788" s="3">
        <v>170298.0</v>
      </c>
      <c r="B2788" s="3" t="s">
        <v>2814</v>
      </c>
      <c r="C2788" s="3" t="s">
        <v>2807</v>
      </c>
      <c r="D2788" s="3">
        <v>156.0</v>
      </c>
      <c r="E2788" s="3">
        <v>2.73</v>
      </c>
      <c r="F2788" s="3">
        <v>12.17</v>
      </c>
      <c r="G2788" s="3">
        <v>20.34</v>
      </c>
    </row>
    <row r="2789">
      <c r="A2789" s="3">
        <v>170299.0</v>
      </c>
      <c r="B2789" s="3" t="s">
        <v>2815</v>
      </c>
      <c r="C2789" s="3" t="s">
        <v>2807</v>
      </c>
      <c r="D2789" s="3">
        <v>218.0</v>
      </c>
      <c r="E2789" s="3">
        <v>12.04</v>
      </c>
      <c r="F2789" s="3">
        <v>12.33</v>
      </c>
      <c r="G2789" s="3">
        <v>15.95</v>
      </c>
    </row>
    <row r="2790">
      <c r="A2790" s="3">
        <v>170300.0</v>
      </c>
      <c r="B2790" s="3" t="s">
        <v>2816</v>
      </c>
      <c r="C2790" s="3" t="s">
        <v>2807</v>
      </c>
      <c r="D2790" s="3">
        <v>153.0</v>
      </c>
      <c r="E2790" s="3">
        <v>9.91</v>
      </c>
      <c r="F2790" s="3">
        <v>0.95</v>
      </c>
      <c r="G2790" s="3">
        <v>14.89</v>
      </c>
    </row>
    <row r="2791">
      <c r="A2791" s="3">
        <v>170301.0</v>
      </c>
      <c r="B2791" s="3" t="s">
        <v>2817</v>
      </c>
      <c r="C2791" s="3" t="s">
        <v>2807</v>
      </c>
      <c r="D2791" s="3">
        <v>296.0</v>
      </c>
      <c r="E2791" s="3">
        <v>13.25</v>
      </c>
      <c r="F2791" s="3">
        <v>6.16</v>
      </c>
      <c r="G2791" s="3">
        <v>40.21</v>
      </c>
    </row>
    <row r="2792">
      <c r="A2792" s="3">
        <v>170302.0</v>
      </c>
      <c r="B2792" s="3" t="s">
        <v>2818</v>
      </c>
      <c r="C2792" s="3" t="s">
        <v>2807</v>
      </c>
      <c r="D2792" s="3">
        <v>370.0</v>
      </c>
      <c r="E2792" s="3">
        <v>18.92</v>
      </c>
      <c r="F2792" s="3">
        <v>7.08</v>
      </c>
      <c r="G2792" s="3">
        <v>42.82</v>
      </c>
    </row>
    <row r="2793">
      <c r="A2793" s="3">
        <v>170303.0</v>
      </c>
      <c r="B2793" s="3" t="s">
        <v>2819</v>
      </c>
      <c r="C2793" s="3" t="s">
        <v>2807</v>
      </c>
      <c r="D2793" s="3">
        <v>228.0</v>
      </c>
      <c r="E2793" s="3">
        <v>11.2</v>
      </c>
      <c r="F2793" s="3">
        <v>21.4</v>
      </c>
      <c r="G2793" s="3">
        <v>10.39</v>
      </c>
    </row>
    <row r="2794">
      <c r="A2794" s="3">
        <v>170304.0</v>
      </c>
      <c r="B2794" s="3" t="s">
        <v>2820</v>
      </c>
      <c r="C2794" s="3" t="s">
        <v>2807</v>
      </c>
      <c r="D2794" s="3">
        <v>301.0</v>
      </c>
      <c r="E2794" s="3">
        <v>18.5</v>
      </c>
      <c r="F2794" s="3">
        <v>3.0</v>
      </c>
      <c r="G2794" s="3">
        <v>30.51</v>
      </c>
    </row>
    <row r="2795">
      <c r="A2795" s="3">
        <v>170305.0</v>
      </c>
      <c r="B2795" s="3" t="s">
        <v>2821</v>
      </c>
      <c r="C2795" s="3" t="s">
        <v>2807</v>
      </c>
      <c r="D2795" s="3">
        <v>243.0</v>
      </c>
      <c r="E2795" s="3">
        <v>8.81</v>
      </c>
      <c r="F2795" s="3">
        <v>13.89</v>
      </c>
      <c r="G2795" s="3">
        <v>27.1</v>
      </c>
    </row>
    <row r="2796">
      <c r="A2796" s="3">
        <v>170306.0</v>
      </c>
      <c r="B2796" s="3" t="s">
        <v>2822</v>
      </c>
      <c r="C2796" s="3" t="s">
        <v>2807</v>
      </c>
      <c r="D2796" s="3">
        <v>155.0</v>
      </c>
      <c r="E2796" s="3">
        <v>2.37</v>
      </c>
      <c r="F2796" s="3">
        <v>10.91</v>
      </c>
      <c r="G2796" s="3">
        <v>22.54</v>
      </c>
    </row>
    <row r="2797">
      <c r="A2797" s="3">
        <v>170307.0</v>
      </c>
      <c r="B2797" s="3" t="s">
        <v>2823</v>
      </c>
      <c r="C2797" s="3" t="s">
        <v>2807</v>
      </c>
      <c r="D2797" s="3">
        <v>146.0</v>
      </c>
      <c r="E2797" s="3">
        <v>2.42</v>
      </c>
      <c r="F2797" s="3">
        <v>10.66</v>
      </c>
      <c r="G2797" s="3">
        <v>20.36</v>
      </c>
    </row>
    <row r="2798">
      <c r="A2798" s="3">
        <v>170308.0</v>
      </c>
      <c r="B2798" s="3" t="s">
        <v>2824</v>
      </c>
      <c r="C2798" s="3" t="s">
        <v>2807</v>
      </c>
      <c r="D2798" s="3">
        <v>146.0</v>
      </c>
      <c r="E2798" s="3">
        <v>2.42</v>
      </c>
      <c r="F2798" s="3">
        <v>10.66</v>
      </c>
      <c r="G2798" s="3">
        <v>20.36</v>
      </c>
    </row>
    <row r="2799">
      <c r="A2799" s="3">
        <v>170309.0</v>
      </c>
      <c r="B2799" s="3" t="s">
        <v>2825</v>
      </c>
      <c r="C2799" s="3" t="s">
        <v>2807</v>
      </c>
      <c r="D2799" s="3">
        <v>157.0</v>
      </c>
      <c r="E2799" s="3">
        <v>3.15</v>
      </c>
      <c r="F2799" s="3">
        <v>10.84</v>
      </c>
      <c r="G2799" s="3">
        <v>21.35</v>
      </c>
    </row>
    <row r="2800">
      <c r="A2800" s="3">
        <v>170310.0</v>
      </c>
      <c r="B2800" s="3" t="s">
        <v>2826</v>
      </c>
      <c r="C2800" s="3" t="s">
        <v>2807</v>
      </c>
      <c r="D2800" s="3">
        <v>183.0</v>
      </c>
      <c r="E2800" s="3">
        <v>5.34</v>
      </c>
      <c r="F2800" s="3">
        <v>12.29</v>
      </c>
      <c r="G2800" s="3">
        <v>21.49</v>
      </c>
    </row>
    <row r="2801">
      <c r="A2801" s="3">
        <v>170311.0</v>
      </c>
      <c r="B2801" s="3" t="s">
        <v>2827</v>
      </c>
      <c r="C2801" s="3" t="s">
        <v>2807</v>
      </c>
      <c r="D2801" s="3">
        <v>183.0</v>
      </c>
      <c r="E2801" s="3">
        <v>5.34</v>
      </c>
      <c r="F2801" s="3">
        <v>12.29</v>
      </c>
      <c r="G2801" s="3">
        <v>21.49</v>
      </c>
    </row>
    <row r="2802">
      <c r="A2802" s="3">
        <v>170312.0</v>
      </c>
      <c r="B2802" s="3" t="s">
        <v>2828</v>
      </c>
      <c r="C2802" s="3" t="s">
        <v>2807</v>
      </c>
      <c r="D2802" s="3">
        <v>205.0</v>
      </c>
      <c r="E2802" s="3">
        <v>6.41</v>
      </c>
      <c r="F2802" s="3">
        <v>10.06</v>
      </c>
      <c r="G2802" s="3">
        <v>26.66</v>
      </c>
    </row>
    <row r="2803">
      <c r="A2803" s="3">
        <v>170313.0</v>
      </c>
      <c r="B2803" s="3" t="s">
        <v>2829</v>
      </c>
      <c r="C2803" s="3" t="s">
        <v>2807</v>
      </c>
      <c r="D2803" s="3">
        <v>205.0</v>
      </c>
      <c r="E2803" s="3">
        <v>6.41</v>
      </c>
      <c r="F2803" s="3">
        <v>10.06</v>
      </c>
      <c r="G2803" s="3">
        <v>26.66</v>
      </c>
    </row>
    <row r="2804">
      <c r="A2804" s="3">
        <v>170314.0</v>
      </c>
      <c r="B2804" s="3" t="s">
        <v>2830</v>
      </c>
      <c r="C2804" s="3" t="s">
        <v>2807</v>
      </c>
      <c r="D2804" s="3">
        <v>157.0</v>
      </c>
      <c r="E2804" s="3">
        <v>3.15</v>
      </c>
      <c r="F2804" s="3">
        <v>10.84</v>
      </c>
      <c r="G2804" s="3">
        <v>21.35</v>
      </c>
    </row>
    <row r="2805">
      <c r="A2805" s="3">
        <v>170315.0</v>
      </c>
      <c r="B2805" s="3" t="s">
        <v>2831</v>
      </c>
      <c r="C2805" s="3" t="s">
        <v>2807</v>
      </c>
      <c r="D2805" s="3">
        <v>214.0</v>
      </c>
      <c r="E2805" s="3">
        <v>10.04</v>
      </c>
      <c r="F2805" s="3">
        <v>10.52</v>
      </c>
      <c r="G2805" s="3">
        <v>20.43</v>
      </c>
    </row>
    <row r="2806">
      <c r="A2806" s="3">
        <v>170316.0</v>
      </c>
      <c r="B2806" s="3" t="s">
        <v>2832</v>
      </c>
      <c r="C2806" s="3" t="s">
        <v>2807</v>
      </c>
      <c r="D2806" s="3">
        <v>221.0</v>
      </c>
      <c r="E2806" s="3">
        <v>12.04</v>
      </c>
      <c r="F2806" s="3">
        <v>12.33</v>
      </c>
      <c r="G2806" s="3">
        <v>15.95</v>
      </c>
    </row>
    <row r="2807">
      <c r="A2807" s="3">
        <v>170317.0</v>
      </c>
      <c r="B2807" s="3" t="s">
        <v>2833</v>
      </c>
      <c r="C2807" s="3" t="s">
        <v>2807</v>
      </c>
      <c r="D2807" s="3">
        <v>268.0</v>
      </c>
      <c r="E2807" s="3">
        <v>12.28</v>
      </c>
      <c r="F2807" s="3">
        <v>10.36</v>
      </c>
      <c r="G2807" s="3">
        <v>29.02</v>
      </c>
    </row>
    <row r="2808">
      <c r="A2808" s="3">
        <v>170318.0</v>
      </c>
      <c r="B2808" s="3" t="s">
        <v>2834</v>
      </c>
      <c r="C2808" s="3" t="s">
        <v>2807</v>
      </c>
      <c r="D2808" s="3">
        <v>276.0</v>
      </c>
      <c r="E2808" s="3">
        <v>13.59</v>
      </c>
      <c r="F2808" s="3">
        <v>10.94</v>
      </c>
      <c r="G2808" s="3">
        <v>27.4</v>
      </c>
    </row>
    <row r="2809">
      <c r="A2809" s="3">
        <v>170319.0</v>
      </c>
      <c r="B2809" s="3" t="s">
        <v>2835</v>
      </c>
      <c r="C2809" s="3" t="s">
        <v>2807</v>
      </c>
      <c r="D2809" s="3">
        <v>282.0</v>
      </c>
      <c r="E2809" s="3">
        <v>14.64</v>
      </c>
      <c r="F2809" s="3">
        <v>11.26</v>
      </c>
      <c r="G2809" s="3">
        <v>26.39</v>
      </c>
    </row>
    <row r="2810">
      <c r="A2810" s="3">
        <v>170320.0</v>
      </c>
      <c r="B2810" s="3" t="s">
        <v>2836</v>
      </c>
      <c r="C2810" s="3" t="s">
        <v>2807</v>
      </c>
      <c r="D2810" s="3">
        <v>263.0</v>
      </c>
      <c r="E2810" s="3">
        <v>11.79</v>
      </c>
      <c r="F2810" s="3">
        <v>12.97</v>
      </c>
      <c r="G2810" s="3">
        <v>27.81</v>
      </c>
    </row>
    <row r="2811">
      <c r="A2811" s="3">
        <v>170321.0</v>
      </c>
      <c r="B2811" s="3" t="s">
        <v>2837</v>
      </c>
      <c r="C2811" s="3" t="s">
        <v>2807</v>
      </c>
      <c r="D2811" s="3">
        <v>244.0</v>
      </c>
      <c r="E2811" s="3">
        <v>11.55</v>
      </c>
      <c r="F2811" s="3">
        <v>14.1</v>
      </c>
      <c r="G2811" s="3">
        <v>22.17</v>
      </c>
    </row>
    <row r="2812">
      <c r="A2812" s="3">
        <v>170322.0</v>
      </c>
      <c r="B2812" s="3" t="s">
        <v>2838</v>
      </c>
      <c r="C2812" s="3" t="s">
        <v>2807</v>
      </c>
      <c r="D2812" s="3">
        <v>221.0</v>
      </c>
      <c r="E2812" s="3">
        <v>11.6</v>
      </c>
      <c r="F2812" s="3">
        <v>14.87</v>
      </c>
      <c r="G2812" s="3">
        <v>14.2</v>
      </c>
    </row>
    <row r="2813">
      <c r="A2813" s="3">
        <v>170323.0</v>
      </c>
      <c r="B2813" s="3" t="s">
        <v>2839</v>
      </c>
      <c r="C2813" s="3" t="s">
        <v>2807</v>
      </c>
      <c r="D2813" s="3">
        <v>243.0</v>
      </c>
      <c r="E2813" s="3">
        <v>8.75</v>
      </c>
      <c r="F2813" s="3">
        <v>12.62</v>
      </c>
      <c r="G2813" s="3">
        <v>28.45</v>
      </c>
    </row>
    <row r="2814">
      <c r="A2814" s="3">
        <v>170324.0</v>
      </c>
      <c r="B2814" s="3" t="s">
        <v>2840</v>
      </c>
      <c r="C2814" s="3" t="s">
        <v>2807</v>
      </c>
      <c r="D2814" s="3">
        <v>256.0</v>
      </c>
      <c r="E2814" s="3">
        <v>11.5</v>
      </c>
      <c r="F2814" s="3">
        <v>13.06</v>
      </c>
      <c r="G2814" s="3">
        <v>24.97</v>
      </c>
    </row>
    <row r="2815">
      <c r="A2815" s="3">
        <v>170325.0</v>
      </c>
      <c r="B2815" s="3" t="s">
        <v>2841</v>
      </c>
      <c r="C2815" s="3" t="s">
        <v>2807</v>
      </c>
      <c r="D2815" s="3">
        <v>241.0</v>
      </c>
      <c r="E2815" s="3">
        <v>14.2</v>
      </c>
      <c r="F2815" s="3">
        <v>16.52</v>
      </c>
      <c r="G2815" s="3">
        <v>11.71</v>
      </c>
    </row>
    <row r="2816">
      <c r="A2816" s="3">
        <v>170326.0</v>
      </c>
      <c r="B2816" s="3" t="s">
        <v>2842</v>
      </c>
      <c r="C2816" s="3" t="s">
        <v>2807</v>
      </c>
      <c r="D2816" s="3">
        <v>132.0</v>
      </c>
      <c r="E2816" s="3">
        <v>2.6</v>
      </c>
      <c r="F2816" s="3">
        <v>3.49</v>
      </c>
      <c r="G2816" s="3">
        <v>23.62</v>
      </c>
    </row>
    <row r="2817">
      <c r="A2817" s="3">
        <v>170327.0</v>
      </c>
      <c r="B2817" s="3" t="s">
        <v>2843</v>
      </c>
      <c r="C2817" s="3" t="s">
        <v>2807</v>
      </c>
      <c r="D2817" s="3">
        <v>280.0</v>
      </c>
      <c r="E2817" s="3">
        <v>12.48</v>
      </c>
      <c r="F2817" s="3">
        <v>3.23</v>
      </c>
      <c r="G2817" s="3">
        <v>38.7</v>
      </c>
    </row>
    <row r="2818">
      <c r="A2818" s="3">
        <v>170328.0</v>
      </c>
      <c r="B2818" s="3" t="s">
        <v>2844</v>
      </c>
      <c r="C2818" s="3" t="s">
        <v>2807</v>
      </c>
      <c r="D2818" s="3">
        <v>261.0</v>
      </c>
      <c r="E2818" s="3">
        <v>10.55</v>
      </c>
      <c r="F2818" s="3">
        <v>14.85</v>
      </c>
      <c r="G2818" s="3">
        <v>26.76</v>
      </c>
    </row>
    <row r="2819">
      <c r="A2819" s="3">
        <v>170329.0</v>
      </c>
      <c r="B2819" s="3" t="s">
        <v>2845</v>
      </c>
      <c r="C2819" s="3" t="s">
        <v>2807</v>
      </c>
      <c r="D2819" s="3">
        <v>286.0</v>
      </c>
      <c r="E2819" s="3">
        <v>14.81</v>
      </c>
      <c r="F2819" s="3">
        <v>14.57</v>
      </c>
      <c r="G2819" s="3">
        <v>23.71</v>
      </c>
    </row>
    <row r="2820">
      <c r="A2820" s="3">
        <v>170330.0</v>
      </c>
      <c r="B2820" s="3" t="s">
        <v>2846</v>
      </c>
      <c r="C2820" s="3" t="s">
        <v>2807</v>
      </c>
      <c r="D2820" s="3">
        <v>260.0</v>
      </c>
      <c r="E2820" s="3">
        <v>12.45</v>
      </c>
      <c r="F2820" s="3">
        <v>10.29</v>
      </c>
      <c r="G2820" s="3">
        <v>26.69</v>
      </c>
    </row>
    <row r="2821">
      <c r="A2821" s="3">
        <v>170331.0</v>
      </c>
      <c r="B2821" s="3" t="s">
        <v>2847</v>
      </c>
      <c r="C2821" s="3" t="s">
        <v>2807</v>
      </c>
      <c r="D2821" s="3">
        <v>286.0</v>
      </c>
      <c r="E2821" s="3">
        <v>14.69</v>
      </c>
      <c r="F2821" s="3">
        <v>12.14</v>
      </c>
      <c r="G2821" s="3">
        <v>26.22</v>
      </c>
    </row>
    <row r="2822">
      <c r="A2822" s="3">
        <v>170332.0</v>
      </c>
      <c r="B2822" s="3" t="s">
        <v>2848</v>
      </c>
      <c r="C2822" s="3" t="s">
        <v>2807</v>
      </c>
      <c r="D2822" s="3">
        <v>229.0</v>
      </c>
      <c r="E2822" s="3">
        <v>12.7</v>
      </c>
      <c r="F2822" s="3">
        <v>8.86</v>
      </c>
      <c r="G2822" s="3">
        <v>19.85</v>
      </c>
    </row>
    <row r="2823">
      <c r="A2823" s="3">
        <v>170333.0</v>
      </c>
      <c r="B2823" s="3" t="s">
        <v>2849</v>
      </c>
      <c r="C2823" s="3" t="s">
        <v>2807</v>
      </c>
      <c r="D2823" s="3">
        <v>206.0</v>
      </c>
      <c r="E2823" s="3">
        <v>9.75</v>
      </c>
      <c r="F2823" s="3">
        <v>9.25</v>
      </c>
      <c r="G2823" s="3">
        <v>20.23</v>
      </c>
    </row>
    <row r="2824">
      <c r="A2824" s="3">
        <v>170334.0</v>
      </c>
      <c r="B2824" s="3" t="s">
        <v>2850</v>
      </c>
      <c r="C2824" s="3" t="s">
        <v>2807</v>
      </c>
      <c r="D2824" s="3">
        <v>179.0</v>
      </c>
      <c r="E2824" s="3">
        <v>6.42</v>
      </c>
      <c r="F2824" s="3">
        <v>9.84</v>
      </c>
      <c r="G2824" s="3">
        <v>20.51</v>
      </c>
    </row>
    <row r="2825">
      <c r="A2825" s="3">
        <v>170335.0</v>
      </c>
      <c r="B2825" s="3" t="s">
        <v>2851</v>
      </c>
      <c r="C2825" s="3" t="s">
        <v>2807</v>
      </c>
      <c r="D2825" s="3">
        <v>183.0</v>
      </c>
      <c r="E2825" s="3">
        <v>7.27</v>
      </c>
      <c r="F2825" s="3">
        <v>9.13</v>
      </c>
      <c r="G2825" s="3">
        <v>20.32</v>
      </c>
    </row>
    <row r="2826">
      <c r="A2826" s="3">
        <v>170336.0</v>
      </c>
      <c r="B2826" s="3" t="s">
        <v>2852</v>
      </c>
      <c r="C2826" s="3" t="s">
        <v>2807</v>
      </c>
      <c r="D2826" s="3">
        <v>350.0</v>
      </c>
      <c r="E2826" s="3">
        <v>21.5</v>
      </c>
      <c r="F2826" s="3">
        <v>4.32</v>
      </c>
      <c r="G2826" s="3">
        <v>34.91</v>
      </c>
    </row>
    <row r="2827">
      <c r="A2827" s="3">
        <v>170337.0</v>
      </c>
      <c r="B2827" s="3" t="s">
        <v>2853</v>
      </c>
      <c r="C2827" s="3" t="s">
        <v>2807</v>
      </c>
      <c r="D2827" s="3">
        <v>223.0</v>
      </c>
      <c r="E2827" s="3">
        <v>12.48</v>
      </c>
      <c r="F2827" s="3">
        <v>6.21</v>
      </c>
      <c r="G2827" s="3">
        <v>21.39</v>
      </c>
    </row>
    <row r="2828">
      <c r="A2828" s="3">
        <v>170338.0</v>
      </c>
      <c r="B2828" s="3" t="s">
        <v>2854</v>
      </c>
      <c r="C2828" s="3" t="s">
        <v>2807</v>
      </c>
      <c r="D2828" s="3">
        <v>253.0</v>
      </c>
      <c r="E2828" s="3">
        <v>11.2</v>
      </c>
      <c r="F2828" s="3">
        <v>19.61</v>
      </c>
      <c r="G2828" s="3">
        <v>18.52</v>
      </c>
    </row>
    <row r="2829">
      <c r="A2829" s="3">
        <v>170339.0</v>
      </c>
      <c r="B2829" s="3" t="s">
        <v>2855</v>
      </c>
      <c r="C2829" s="3" t="s">
        <v>2807</v>
      </c>
      <c r="D2829" s="3">
        <v>358.0</v>
      </c>
      <c r="E2829" s="3">
        <v>17.05</v>
      </c>
      <c r="F2829" s="3">
        <v>7.5</v>
      </c>
      <c r="G2829" s="3">
        <v>43.55</v>
      </c>
    </row>
    <row r="2830">
      <c r="A2830" s="3">
        <v>170340.0</v>
      </c>
      <c r="B2830" s="3" t="s">
        <v>2856</v>
      </c>
      <c r="C2830" s="3" t="s">
        <v>2807</v>
      </c>
      <c r="D2830" s="3">
        <v>144.0</v>
      </c>
      <c r="E2830" s="3">
        <v>8.64</v>
      </c>
      <c r="F2830" s="3">
        <v>0.91</v>
      </c>
      <c r="G2830" s="3">
        <v>15.65</v>
      </c>
    </row>
    <row r="2831">
      <c r="A2831" s="3">
        <v>170341.0</v>
      </c>
      <c r="B2831" s="3" t="s">
        <v>2857</v>
      </c>
      <c r="C2831" s="3" t="s">
        <v>2807</v>
      </c>
      <c r="D2831" s="3">
        <v>274.0</v>
      </c>
      <c r="E2831" s="3">
        <v>15.42</v>
      </c>
      <c r="F2831" s="3">
        <v>20.25</v>
      </c>
      <c r="G2831" s="3">
        <v>13.66</v>
      </c>
    </row>
    <row r="2832">
      <c r="A2832" s="3">
        <v>170342.0</v>
      </c>
      <c r="B2832" s="3" t="s">
        <v>2858</v>
      </c>
      <c r="C2832" s="3" t="s">
        <v>2807</v>
      </c>
      <c r="D2832" s="3">
        <v>216.0</v>
      </c>
      <c r="E2832" s="3">
        <v>10.49</v>
      </c>
      <c r="F2832" s="3">
        <v>28.65</v>
      </c>
      <c r="G2832" s="3">
        <v>1.76</v>
      </c>
    </row>
    <row r="2833">
      <c r="A2833" s="3">
        <v>170343.0</v>
      </c>
      <c r="B2833" s="3" t="s">
        <v>2859</v>
      </c>
      <c r="C2833" s="3" t="s">
        <v>2807</v>
      </c>
      <c r="D2833" s="3">
        <v>464.0</v>
      </c>
      <c r="E2833" s="3">
        <v>36.61</v>
      </c>
      <c r="F2833" s="3">
        <v>10.96</v>
      </c>
      <c r="G2833" s="3">
        <v>22.54</v>
      </c>
    </row>
    <row r="2834">
      <c r="A2834" s="3">
        <v>170344.0</v>
      </c>
      <c r="B2834" s="3" t="s">
        <v>2860</v>
      </c>
      <c r="C2834" s="3" t="s">
        <v>2807</v>
      </c>
      <c r="D2834" s="3">
        <v>153.0</v>
      </c>
      <c r="E2834" s="3">
        <v>4.82</v>
      </c>
      <c r="F2834" s="3">
        <v>27.25</v>
      </c>
      <c r="G2834" s="3">
        <v>0.25</v>
      </c>
    </row>
    <row r="2835">
      <c r="A2835" s="3">
        <v>170345.0</v>
      </c>
      <c r="B2835" s="3" t="s">
        <v>2861</v>
      </c>
      <c r="C2835" s="3" t="s">
        <v>2807</v>
      </c>
      <c r="D2835" s="3">
        <v>170.0</v>
      </c>
      <c r="E2835" s="3">
        <v>7.43</v>
      </c>
      <c r="F2835" s="3">
        <v>25.9</v>
      </c>
      <c r="G2835" s="3">
        <v>0.0</v>
      </c>
    </row>
    <row r="2836">
      <c r="A2836" s="3">
        <v>170346.0</v>
      </c>
      <c r="B2836" s="3" t="s">
        <v>2862</v>
      </c>
      <c r="C2836" s="3" t="s">
        <v>2807</v>
      </c>
      <c r="D2836" s="3">
        <v>269.0</v>
      </c>
      <c r="E2836" s="3">
        <v>17.73</v>
      </c>
      <c r="F2836" s="3">
        <v>18.9</v>
      </c>
      <c r="G2836" s="3">
        <v>8.46</v>
      </c>
    </row>
    <row r="2837">
      <c r="A2837" s="3">
        <v>170347.0</v>
      </c>
      <c r="B2837" s="3" t="s">
        <v>2863</v>
      </c>
      <c r="C2837" s="3" t="s">
        <v>2807</v>
      </c>
      <c r="D2837" s="3">
        <v>297.0</v>
      </c>
      <c r="E2837" s="3">
        <v>18.9</v>
      </c>
      <c r="F2837" s="3">
        <v>21.7</v>
      </c>
      <c r="G2837" s="3">
        <v>9.93</v>
      </c>
    </row>
    <row r="2838">
      <c r="A2838" s="3">
        <v>170348.0</v>
      </c>
      <c r="B2838" s="3" t="s">
        <v>2864</v>
      </c>
      <c r="C2838" s="3" t="s">
        <v>2807</v>
      </c>
      <c r="D2838" s="3">
        <v>268.0</v>
      </c>
      <c r="E2838" s="3">
        <v>16.55</v>
      </c>
      <c r="F2838" s="3">
        <v>21.24</v>
      </c>
      <c r="G2838" s="3">
        <v>8.47</v>
      </c>
    </row>
    <row r="2839">
      <c r="A2839" s="3">
        <v>170349.0</v>
      </c>
      <c r="B2839" s="3" t="s">
        <v>2865</v>
      </c>
      <c r="C2839" s="3" t="s">
        <v>2807</v>
      </c>
      <c r="D2839" s="3">
        <v>274.0</v>
      </c>
      <c r="E2839" s="3">
        <v>17.73</v>
      </c>
      <c r="F2839" s="3">
        <v>20.62</v>
      </c>
      <c r="G2839" s="3">
        <v>7.96</v>
      </c>
    </row>
    <row r="2840">
      <c r="A2840" s="3">
        <v>170350.0</v>
      </c>
      <c r="B2840" s="3" t="s">
        <v>2866</v>
      </c>
      <c r="C2840" s="3" t="s">
        <v>2807</v>
      </c>
      <c r="D2840" s="3">
        <v>433.0</v>
      </c>
      <c r="E2840" s="3">
        <v>32.32</v>
      </c>
      <c r="F2840" s="3">
        <v>13.96</v>
      </c>
      <c r="G2840" s="3">
        <v>21.54</v>
      </c>
    </row>
    <row r="2841">
      <c r="A2841" s="3">
        <v>170351.0</v>
      </c>
      <c r="B2841" s="3" t="s">
        <v>2867</v>
      </c>
      <c r="C2841" s="3" t="s">
        <v>2807</v>
      </c>
      <c r="D2841" s="3">
        <v>188.0</v>
      </c>
      <c r="E2841" s="3">
        <v>9.66</v>
      </c>
      <c r="F2841" s="3">
        <v>24.31</v>
      </c>
      <c r="G2841" s="3">
        <v>0.85</v>
      </c>
    </row>
    <row r="2842">
      <c r="A2842" s="3">
        <v>170352.0</v>
      </c>
      <c r="B2842" s="3" t="s">
        <v>2868</v>
      </c>
      <c r="C2842" s="3" t="s">
        <v>2807</v>
      </c>
      <c r="D2842" s="3">
        <v>212.0</v>
      </c>
      <c r="E2842" s="3">
        <v>9.42</v>
      </c>
      <c r="F2842" s="3">
        <v>28.94</v>
      </c>
      <c r="G2842" s="3">
        <v>2.9</v>
      </c>
    </row>
    <row r="2843">
      <c r="A2843" s="3">
        <v>170353.0</v>
      </c>
      <c r="B2843" s="3" t="s">
        <v>2869</v>
      </c>
      <c r="C2843" s="3" t="s">
        <v>2807</v>
      </c>
      <c r="D2843" s="3">
        <v>274.0</v>
      </c>
      <c r="E2843" s="3">
        <v>16.47</v>
      </c>
      <c r="F2843" s="3">
        <v>21.67</v>
      </c>
      <c r="G2843" s="3">
        <v>9.83</v>
      </c>
    </row>
    <row r="2844">
      <c r="A2844" s="3">
        <v>170354.0</v>
      </c>
      <c r="B2844" s="3" t="s">
        <v>2870</v>
      </c>
      <c r="C2844" s="3" t="s">
        <v>2807</v>
      </c>
      <c r="D2844" s="3">
        <v>293.0</v>
      </c>
      <c r="E2844" s="3">
        <v>19.14</v>
      </c>
      <c r="F2844" s="3">
        <v>20.44</v>
      </c>
      <c r="G2844" s="3">
        <v>9.84</v>
      </c>
    </row>
    <row r="2845">
      <c r="A2845" s="3">
        <v>170355.0</v>
      </c>
      <c r="B2845" s="3" t="s">
        <v>2871</v>
      </c>
      <c r="C2845" s="3" t="s">
        <v>2807</v>
      </c>
      <c r="D2845" s="3">
        <v>84.0</v>
      </c>
      <c r="E2845" s="3">
        <v>1.01</v>
      </c>
      <c r="F2845" s="3">
        <v>3.36</v>
      </c>
      <c r="G2845" s="3">
        <v>15.86</v>
      </c>
    </row>
    <row r="2846">
      <c r="A2846" s="3">
        <v>170356.0</v>
      </c>
      <c r="B2846" s="3" t="s">
        <v>2872</v>
      </c>
      <c r="C2846" s="3" t="s">
        <v>2807</v>
      </c>
      <c r="D2846" s="3">
        <v>153.0</v>
      </c>
      <c r="E2846" s="3">
        <v>4.54</v>
      </c>
      <c r="F2846" s="3">
        <v>27.93</v>
      </c>
      <c r="G2846" s="3">
        <v>0.0</v>
      </c>
    </row>
    <row r="2847">
      <c r="A2847" s="3">
        <v>170357.0</v>
      </c>
      <c r="B2847" s="3" t="s">
        <v>2873</v>
      </c>
      <c r="C2847" s="3" t="s">
        <v>2807</v>
      </c>
      <c r="D2847" s="3">
        <v>172.0</v>
      </c>
      <c r="E2847" s="3">
        <v>7.41</v>
      </c>
      <c r="F2847" s="3">
        <v>26.24</v>
      </c>
      <c r="G2847" s="3">
        <v>0.0</v>
      </c>
    </row>
    <row r="2848">
      <c r="A2848" s="3">
        <v>170358.0</v>
      </c>
      <c r="B2848" s="3" t="s">
        <v>2874</v>
      </c>
      <c r="C2848" s="3" t="s">
        <v>2807</v>
      </c>
      <c r="D2848" s="3">
        <v>178.0</v>
      </c>
      <c r="E2848" s="3">
        <v>9.41</v>
      </c>
      <c r="F2848" s="3">
        <v>23.21</v>
      </c>
      <c r="G2848" s="3">
        <v>0.24</v>
      </c>
    </row>
    <row r="2849">
      <c r="A2849" s="3">
        <v>170359.0</v>
      </c>
      <c r="B2849" s="3" t="s">
        <v>2875</v>
      </c>
      <c r="C2849" s="3" t="s">
        <v>2807</v>
      </c>
      <c r="D2849" s="3">
        <v>274.0</v>
      </c>
      <c r="E2849" s="3">
        <v>18.07</v>
      </c>
      <c r="F2849" s="3">
        <v>19.23</v>
      </c>
      <c r="G2849" s="3">
        <v>8.68</v>
      </c>
    </row>
    <row r="2850">
      <c r="A2850" s="3">
        <v>170360.0</v>
      </c>
      <c r="B2850" s="3" t="s">
        <v>2876</v>
      </c>
      <c r="C2850" s="3" t="s">
        <v>2807</v>
      </c>
      <c r="D2850" s="3">
        <v>310.0</v>
      </c>
      <c r="E2850" s="3">
        <v>20.09</v>
      </c>
      <c r="F2850" s="3">
        <v>21.14</v>
      </c>
      <c r="G2850" s="3">
        <v>11.19</v>
      </c>
    </row>
    <row r="2851">
      <c r="A2851" s="3">
        <v>170361.0</v>
      </c>
      <c r="B2851" s="3" t="s">
        <v>2877</v>
      </c>
      <c r="C2851" s="3" t="s">
        <v>2807</v>
      </c>
      <c r="D2851" s="3">
        <v>279.0</v>
      </c>
      <c r="E2851" s="3">
        <v>11.68</v>
      </c>
      <c r="F2851" s="3">
        <v>13.48</v>
      </c>
      <c r="G2851" s="3">
        <v>29.86</v>
      </c>
    </row>
    <row r="2852">
      <c r="A2852" s="3">
        <v>170362.0</v>
      </c>
      <c r="B2852" s="3" t="s">
        <v>2878</v>
      </c>
      <c r="C2852" s="3" t="s">
        <v>2807</v>
      </c>
      <c r="D2852" s="3">
        <v>256.0</v>
      </c>
      <c r="E2852" s="3">
        <v>8.6</v>
      </c>
      <c r="F2852" s="3">
        <v>12.8</v>
      </c>
      <c r="G2852" s="3">
        <v>31.78</v>
      </c>
    </row>
    <row r="2853">
      <c r="A2853" s="3">
        <v>170363.0</v>
      </c>
      <c r="B2853" s="3" t="s">
        <v>2879</v>
      </c>
      <c r="C2853" s="3" t="s">
        <v>2807</v>
      </c>
      <c r="D2853" s="3">
        <v>255.0</v>
      </c>
      <c r="E2853" s="3">
        <v>10.68</v>
      </c>
      <c r="F2853" s="3">
        <v>11.74</v>
      </c>
      <c r="G2853" s="3">
        <v>27.93</v>
      </c>
    </row>
    <row r="2854">
      <c r="A2854" s="3">
        <v>170364.0</v>
      </c>
      <c r="B2854" s="3" t="s">
        <v>2880</v>
      </c>
      <c r="C2854" s="3" t="s">
        <v>2807</v>
      </c>
      <c r="D2854" s="3">
        <v>255.0</v>
      </c>
      <c r="E2854" s="3">
        <v>10.8</v>
      </c>
      <c r="F2854" s="3">
        <v>11.41</v>
      </c>
      <c r="G2854" s="3">
        <v>28.05</v>
      </c>
    </row>
    <row r="2855">
      <c r="A2855" s="3">
        <v>170365.0</v>
      </c>
      <c r="B2855" s="3" t="s">
        <v>2881</v>
      </c>
      <c r="C2855" s="3" t="s">
        <v>2807</v>
      </c>
      <c r="D2855" s="3">
        <v>282.0</v>
      </c>
      <c r="E2855" s="3">
        <v>12.94</v>
      </c>
      <c r="F2855" s="3">
        <v>11.06</v>
      </c>
      <c r="G2855" s="3">
        <v>30.36</v>
      </c>
    </row>
    <row r="2856">
      <c r="A2856" s="3">
        <v>170366.0</v>
      </c>
      <c r="B2856" s="3" t="s">
        <v>2882</v>
      </c>
      <c r="C2856" s="3" t="s">
        <v>2807</v>
      </c>
      <c r="D2856" s="3">
        <v>321.0</v>
      </c>
      <c r="E2856" s="3">
        <v>17.71</v>
      </c>
      <c r="F2856" s="3">
        <v>13.36</v>
      </c>
      <c r="G2856" s="3">
        <v>27.0</v>
      </c>
    </row>
    <row r="2857">
      <c r="A2857" s="3">
        <v>170367.0</v>
      </c>
      <c r="B2857" s="3" t="s">
        <v>2883</v>
      </c>
      <c r="C2857" s="3" t="s">
        <v>2807</v>
      </c>
      <c r="D2857" s="3">
        <v>280.0</v>
      </c>
      <c r="E2857" s="3">
        <v>12.35</v>
      </c>
      <c r="F2857" s="3">
        <v>11.5</v>
      </c>
      <c r="G2857" s="3">
        <v>30.62</v>
      </c>
    </row>
    <row r="2858">
      <c r="A2858" s="3">
        <v>170368.0</v>
      </c>
      <c r="B2858" s="3" t="s">
        <v>2884</v>
      </c>
      <c r="C2858" s="3" t="s">
        <v>2807</v>
      </c>
      <c r="D2858" s="3">
        <v>182.0</v>
      </c>
      <c r="E2858" s="3">
        <v>4.57</v>
      </c>
      <c r="F2858" s="3">
        <v>17.34</v>
      </c>
      <c r="G2858" s="3">
        <v>16.78</v>
      </c>
    </row>
    <row r="2859">
      <c r="A2859" s="3">
        <v>170369.0</v>
      </c>
      <c r="B2859" s="3" t="s">
        <v>2885</v>
      </c>
      <c r="C2859" s="3" t="s">
        <v>2807</v>
      </c>
      <c r="D2859" s="3">
        <v>333.0</v>
      </c>
      <c r="E2859" s="3">
        <v>16.17</v>
      </c>
      <c r="F2859" s="3">
        <v>14.13</v>
      </c>
      <c r="G2859" s="3">
        <v>32.66</v>
      </c>
    </row>
    <row r="2860">
      <c r="A2860" s="3">
        <v>170370.0</v>
      </c>
      <c r="B2860" s="3" t="s">
        <v>2886</v>
      </c>
      <c r="C2860" s="3" t="s">
        <v>2807</v>
      </c>
      <c r="D2860" s="3">
        <v>328.0</v>
      </c>
      <c r="E2860" s="3">
        <v>19.05</v>
      </c>
      <c r="F2860" s="3">
        <v>13.88</v>
      </c>
      <c r="G2860" s="3">
        <v>25.35</v>
      </c>
    </row>
    <row r="2861">
      <c r="A2861" s="3">
        <v>170371.0</v>
      </c>
      <c r="B2861" s="3" t="s">
        <v>2887</v>
      </c>
      <c r="C2861" s="3" t="s">
        <v>2807</v>
      </c>
      <c r="D2861" s="3">
        <v>319.0</v>
      </c>
      <c r="E2861" s="3">
        <v>18.52</v>
      </c>
      <c r="F2861" s="3">
        <v>12.77</v>
      </c>
      <c r="G2861" s="3">
        <v>25.3</v>
      </c>
    </row>
    <row r="2862">
      <c r="A2862" s="3">
        <v>170372.0</v>
      </c>
      <c r="B2862" s="3" t="s">
        <v>2888</v>
      </c>
      <c r="C2862" s="3" t="s">
        <v>2807</v>
      </c>
      <c r="D2862" s="3">
        <v>287.0</v>
      </c>
      <c r="E2862" s="3">
        <v>13.85</v>
      </c>
      <c r="F2862" s="3">
        <v>11.08</v>
      </c>
      <c r="G2862" s="3">
        <v>29.56</v>
      </c>
    </row>
    <row r="2863">
      <c r="A2863" s="3">
        <v>170373.0</v>
      </c>
      <c r="B2863" s="3" t="s">
        <v>2889</v>
      </c>
      <c r="C2863" s="3" t="s">
        <v>2807</v>
      </c>
      <c r="D2863" s="3">
        <v>263.0</v>
      </c>
      <c r="E2863" s="3">
        <v>11.07</v>
      </c>
      <c r="F2863" s="3">
        <v>11.91</v>
      </c>
      <c r="G2863" s="3">
        <v>28.8</v>
      </c>
    </row>
    <row r="2864">
      <c r="A2864" s="3">
        <v>170374.0</v>
      </c>
      <c r="B2864" s="3" t="s">
        <v>2890</v>
      </c>
      <c r="C2864" s="3" t="s">
        <v>2807</v>
      </c>
      <c r="D2864" s="3">
        <v>282.0</v>
      </c>
      <c r="E2864" s="3">
        <v>16.13</v>
      </c>
      <c r="F2864" s="3">
        <v>16.83</v>
      </c>
      <c r="G2864" s="3">
        <v>17.43</v>
      </c>
    </row>
    <row r="2865">
      <c r="A2865" s="3">
        <v>170375.0</v>
      </c>
      <c r="B2865" s="3" t="s">
        <v>2891</v>
      </c>
      <c r="C2865" s="3" t="s">
        <v>101</v>
      </c>
      <c r="D2865" s="3">
        <v>22.0</v>
      </c>
      <c r="E2865" s="3">
        <v>0.13</v>
      </c>
      <c r="F2865" s="3">
        <v>2.2</v>
      </c>
      <c r="G2865" s="3">
        <v>4.33</v>
      </c>
    </row>
    <row r="2866">
      <c r="A2866" s="3">
        <v>170376.0</v>
      </c>
      <c r="B2866" s="3" t="s">
        <v>2892</v>
      </c>
      <c r="C2866" s="3" t="s">
        <v>101</v>
      </c>
      <c r="D2866" s="3">
        <v>27.0</v>
      </c>
      <c r="E2866" s="3">
        <v>0.2</v>
      </c>
      <c r="F2866" s="3">
        <v>2.57</v>
      </c>
      <c r="G2866" s="3">
        <v>5.46</v>
      </c>
    </row>
    <row r="2867">
      <c r="A2867" s="3">
        <v>170377.0</v>
      </c>
      <c r="B2867" s="3" t="s">
        <v>2893</v>
      </c>
      <c r="C2867" s="3" t="s">
        <v>101</v>
      </c>
      <c r="D2867" s="3">
        <v>72.0</v>
      </c>
      <c r="E2867" s="3">
        <v>0.6</v>
      </c>
      <c r="F2867" s="3">
        <v>5.6</v>
      </c>
      <c r="G2867" s="3">
        <v>11.7</v>
      </c>
    </row>
    <row r="2868">
      <c r="A2868" s="3">
        <v>170378.0</v>
      </c>
      <c r="B2868" s="3" t="s">
        <v>2894</v>
      </c>
      <c r="C2868" s="3" t="s">
        <v>228</v>
      </c>
      <c r="D2868" s="3">
        <v>62.0</v>
      </c>
      <c r="E2868" s="3">
        <v>0.5</v>
      </c>
      <c r="F2868" s="3">
        <v>4.8</v>
      </c>
      <c r="G2868" s="3">
        <v>10.1</v>
      </c>
    </row>
    <row r="2869">
      <c r="A2869" s="3">
        <v>170379.0</v>
      </c>
      <c r="B2869" s="3" t="s">
        <v>2895</v>
      </c>
      <c r="C2869" s="3" t="s">
        <v>101</v>
      </c>
      <c r="D2869" s="3">
        <v>34.0</v>
      </c>
      <c r="E2869" s="3">
        <v>0.37</v>
      </c>
      <c r="F2869" s="3">
        <v>2.82</v>
      </c>
      <c r="G2869" s="3">
        <v>6.64</v>
      </c>
    </row>
    <row r="2870">
      <c r="A2870" s="3">
        <v>170380.0</v>
      </c>
      <c r="B2870" s="3" t="s">
        <v>2896</v>
      </c>
      <c r="C2870" s="3" t="s">
        <v>101</v>
      </c>
      <c r="D2870" s="3">
        <v>28.0</v>
      </c>
      <c r="E2870" s="3">
        <v>0.11</v>
      </c>
      <c r="F2870" s="3">
        <v>3.1</v>
      </c>
      <c r="G2870" s="3">
        <v>5.36</v>
      </c>
    </row>
    <row r="2871">
      <c r="A2871" s="3">
        <v>170381.0</v>
      </c>
      <c r="B2871" s="3" t="s">
        <v>2897</v>
      </c>
      <c r="C2871" s="3" t="s">
        <v>101</v>
      </c>
      <c r="D2871" s="3">
        <v>22.0</v>
      </c>
      <c r="E2871" s="3">
        <v>0.49</v>
      </c>
      <c r="F2871" s="3">
        <v>3.17</v>
      </c>
      <c r="G2871" s="3">
        <v>2.85</v>
      </c>
    </row>
    <row r="2872">
      <c r="A2872" s="3">
        <v>170382.0</v>
      </c>
      <c r="B2872" s="3" t="s">
        <v>2898</v>
      </c>
      <c r="C2872" s="3" t="s">
        <v>101</v>
      </c>
      <c r="D2872" s="3">
        <v>25.0</v>
      </c>
      <c r="E2872" s="3">
        <v>0.52</v>
      </c>
      <c r="F2872" s="3">
        <v>3.83</v>
      </c>
      <c r="G2872" s="3">
        <v>3.12</v>
      </c>
    </row>
    <row r="2873">
      <c r="A2873" s="3">
        <v>170383.0</v>
      </c>
      <c r="B2873" s="3" t="s">
        <v>2899</v>
      </c>
      <c r="C2873" s="3" t="s">
        <v>101</v>
      </c>
      <c r="D2873" s="3">
        <v>43.0</v>
      </c>
      <c r="E2873" s="3">
        <v>0.3</v>
      </c>
      <c r="F2873" s="3">
        <v>3.38</v>
      </c>
      <c r="G2873" s="3">
        <v>8.95</v>
      </c>
    </row>
    <row r="2874">
      <c r="A2874" s="3">
        <v>170384.0</v>
      </c>
      <c r="B2874" s="3" t="s">
        <v>2900</v>
      </c>
      <c r="C2874" s="3" t="s">
        <v>101</v>
      </c>
      <c r="D2874" s="3">
        <v>88.0</v>
      </c>
      <c r="E2874" s="3">
        <v>0.14</v>
      </c>
      <c r="F2874" s="3">
        <v>2.09</v>
      </c>
      <c r="G2874" s="3">
        <v>21.15</v>
      </c>
    </row>
    <row r="2875">
      <c r="A2875" s="3">
        <v>170385.0</v>
      </c>
      <c r="B2875" s="3" t="s">
        <v>2901</v>
      </c>
      <c r="C2875" s="3" t="s">
        <v>101</v>
      </c>
      <c r="D2875" s="3">
        <v>14.0</v>
      </c>
      <c r="E2875" s="3">
        <v>0.04</v>
      </c>
      <c r="F2875" s="3">
        <v>0.39</v>
      </c>
      <c r="G2875" s="3">
        <v>3.61</v>
      </c>
    </row>
    <row r="2876">
      <c r="A2876" s="3">
        <v>170386.0</v>
      </c>
      <c r="B2876" s="3" t="s">
        <v>2902</v>
      </c>
      <c r="C2876" s="3" t="s">
        <v>101</v>
      </c>
      <c r="D2876" s="3">
        <v>8.0</v>
      </c>
      <c r="E2876" s="3">
        <v>0.02</v>
      </c>
      <c r="F2876" s="3">
        <v>0.23</v>
      </c>
      <c r="G2876" s="3">
        <v>2.16</v>
      </c>
    </row>
    <row r="2877">
      <c r="A2877" s="3">
        <v>170387.0</v>
      </c>
      <c r="B2877" s="3" t="s">
        <v>2903</v>
      </c>
      <c r="C2877" s="3" t="s">
        <v>101</v>
      </c>
      <c r="D2877" s="3">
        <v>3.0</v>
      </c>
      <c r="E2877" s="3">
        <v>0.13</v>
      </c>
      <c r="F2877" s="3">
        <v>0.11</v>
      </c>
      <c r="G2877" s="3">
        <v>0.38</v>
      </c>
    </row>
    <row r="2878">
      <c r="A2878" s="3">
        <v>170388.0</v>
      </c>
      <c r="B2878" s="3" t="s">
        <v>2904</v>
      </c>
      <c r="C2878" s="3" t="s">
        <v>101</v>
      </c>
      <c r="D2878" s="3">
        <v>27.0</v>
      </c>
      <c r="E2878" s="3">
        <v>0.1</v>
      </c>
      <c r="F2878" s="3">
        <v>2.0</v>
      </c>
      <c r="G2878" s="3">
        <v>6.1</v>
      </c>
    </row>
    <row r="2879">
      <c r="A2879" s="3">
        <v>170389.0</v>
      </c>
      <c r="B2879" s="3" t="s">
        <v>2905</v>
      </c>
      <c r="C2879" s="3" t="s">
        <v>101</v>
      </c>
      <c r="D2879" s="3">
        <v>24.0</v>
      </c>
      <c r="E2879" s="3">
        <v>0.09</v>
      </c>
      <c r="F2879" s="3">
        <v>1.8</v>
      </c>
      <c r="G2879" s="3">
        <v>5.41</v>
      </c>
    </row>
    <row r="2880">
      <c r="A2880" s="3">
        <v>170390.0</v>
      </c>
      <c r="B2880" s="3" t="s">
        <v>2906</v>
      </c>
      <c r="C2880" s="3" t="s">
        <v>101</v>
      </c>
      <c r="D2880" s="3">
        <v>13.0</v>
      </c>
      <c r="E2880" s="3">
        <v>0.2</v>
      </c>
      <c r="F2880" s="3">
        <v>1.5</v>
      </c>
      <c r="G2880" s="3">
        <v>2.18</v>
      </c>
    </row>
    <row r="2881">
      <c r="A2881" s="3">
        <v>170391.0</v>
      </c>
      <c r="B2881" s="3" t="s">
        <v>2907</v>
      </c>
      <c r="C2881" s="3" t="s">
        <v>101</v>
      </c>
      <c r="D2881" s="3">
        <v>12.0</v>
      </c>
      <c r="E2881" s="3">
        <v>0.16</v>
      </c>
      <c r="F2881" s="3">
        <v>1.56</v>
      </c>
      <c r="G2881" s="3">
        <v>1.78</v>
      </c>
    </row>
    <row r="2882">
      <c r="A2882" s="3">
        <v>170392.0</v>
      </c>
      <c r="B2882" s="3" t="s">
        <v>2908</v>
      </c>
      <c r="C2882" s="3" t="s">
        <v>101</v>
      </c>
      <c r="D2882" s="3">
        <v>15.0</v>
      </c>
      <c r="E2882" s="3">
        <v>0.5</v>
      </c>
      <c r="F2882" s="3">
        <v>1.1</v>
      </c>
      <c r="G2882" s="3">
        <v>2.4</v>
      </c>
    </row>
    <row r="2883">
      <c r="A2883" s="3">
        <v>170393.0</v>
      </c>
      <c r="B2883" s="3" t="s">
        <v>2909</v>
      </c>
      <c r="C2883" s="3" t="s">
        <v>101</v>
      </c>
      <c r="D2883" s="3">
        <v>41.0</v>
      </c>
      <c r="E2883" s="3">
        <v>0.24</v>
      </c>
      <c r="F2883" s="3">
        <v>0.93</v>
      </c>
      <c r="G2883" s="3">
        <v>9.58</v>
      </c>
    </row>
    <row r="2884">
      <c r="A2884" s="3">
        <v>170394.0</v>
      </c>
      <c r="B2884" s="3" t="s">
        <v>2910</v>
      </c>
      <c r="C2884" s="3" t="s">
        <v>101</v>
      </c>
      <c r="D2884" s="3">
        <v>35.0</v>
      </c>
      <c r="E2884" s="3">
        <v>0.18</v>
      </c>
      <c r="F2884" s="3">
        <v>0.76</v>
      </c>
      <c r="G2884" s="3">
        <v>8.22</v>
      </c>
    </row>
    <row r="2885">
      <c r="A2885" s="3">
        <v>170395.0</v>
      </c>
      <c r="B2885" s="3" t="s">
        <v>2911</v>
      </c>
      <c r="C2885" s="3" t="s">
        <v>101</v>
      </c>
      <c r="D2885" s="3">
        <v>23.0</v>
      </c>
      <c r="E2885" s="3">
        <v>0.14</v>
      </c>
      <c r="F2885" s="3">
        <v>0.58</v>
      </c>
      <c r="G2885" s="3">
        <v>5.37</v>
      </c>
    </row>
    <row r="2886">
      <c r="A2886" s="3">
        <v>170396.0</v>
      </c>
      <c r="B2886" s="3" t="s">
        <v>2912</v>
      </c>
      <c r="C2886" s="3" t="s">
        <v>101</v>
      </c>
      <c r="D2886" s="3">
        <v>25.0</v>
      </c>
      <c r="E2886" s="3">
        <v>0.19</v>
      </c>
      <c r="F2886" s="3">
        <v>0.64</v>
      </c>
      <c r="G2886" s="3">
        <v>5.54</v>
      </c>
    </row>
    <row r="2887">
      <c r="A2887" s="3">
        <v>170397.0</v>
      </c>
      <c r="B2887" s="3" t="s">
        <v>2913</v>
      </c>
      <c r="C2887" s="3" t="s">
        <v>101</v>
      </c>
      <c r="D2887" s="3">
        <v>23.0</v>
      </c>
      <c r="E2887" s="3">
        <v>0.45</v>
      </c>
      <c r="F2887" s="3">
        <v>1.84</v>
      </c>
      <c r="G2887" s="3">
        <v>4.11</v>
      </c>
    </row>
    <row r="2888">
      <c r="A2888" s="3">
        <v>170398.0</v>
      </c>
      <c r="B2888" s="3" t="s">
        <v>2914</v>
      </c>
      <c r="C2888" s="3" t="s">
        <v>101</v>
      </c>
      <c r="D2888" s="3">
        <v>24.0</v>
      </c>
      <c r="E2888" s="3">
        <v>0.27</v>
      </c>
      <c r="F2888" s="3">
        <v>2.01</v>
      </c>
      <c r="G2888" s="3">
        <v>4.68</v>
      </c>
    </row>
    <row r="2889">
      <c r="A2889" s="3">
        <v>170399.0</v>
      </c>
      <c r="B2889" s="3" t="s">
        <v>2915</v>
      </c>
      <c r="C2889" s="3" t="s">
        <v>101</v>
      </c>
      <c r="D2889" s="3">
        <v>19.0</v>
      </c>
      <c r="E2889" s="3">
        <v>0.22</v>
      </c>
      <c r="F2889" s="3">
        <v>1.61</v>
      </c>
      <c r="G2889" s="3">
        <v>3.75</v>
      </c>
    </row>
    <row r="2890">
      <c r="A2890" s="3">
        <v>170400.0</v>
      </c>
      <c r="B2890" s="3" t="s">
        <v>2916</v>
      </c>
      <c r="C2890" s="3" t="s">
        <v>101</v>
      </c>
      <c r="D2890" s="3">
        <v>42.0</v>
      </c>
      <c r="E2890" s="3">
        <v>0.3</v>
      </c>
      <c r="F2890" s="3">
        <v>1.5</v>
      </c>
      <c r="G2890" s="3">
        <v>9.2</v>
      </c>
    </row>
    <row r="2891">
      <c r="A2891" s="3">
        <v>170401.0</v>
      </c>
      <c r="B2891" s="3" t="s">
        <v>2917</v>
      </c>
      <c r="C2891" s="3" t="s">
        <v>101</v>
      </c>
      <c r="D2891" s="3">
        <v>20.0</v>
      </c>
      <c r="E2891" s="3">
        <v>0.08</v>
      </c>
      <c r="F2891" s="3">
        <v>1.88</v>
      </c>
      <c r="G2891" s="3">
        <v>4.13</v>
      </c>
    </row>
    <row r="2892">
      <c r="A2892" s="3">
        <v>170402.0</v>
      </c>
      <c r="B2892" s="3" t="s">
        <v>2918</v>
      </c>
      <c r="C2892" s="3" t="s">
        <v>101</v>
      </c>
      <c r="D2892" s="3">
        <v>19.0</v>
      </c>
      <c r="E2892" s="3">
        <v>0.13</v>
      </c>
      <c r="F2892" s="3">
        <v>0.82</v>
      </c>
      <c r="G2892" s="3">
        <v>4.51</v>
      </c>
    </row>
    <row r="2893">
      <c r="A2893" s="3">
        <v>170403.0</v>
      </c>
      <c r="B2893" s="3" t="s">
        <v>2919</v>
      </c>
      <c r="C2893" s="3" t="s">
        <v>101</v>
      </c>
      <c r="D2893" s="3">
        <v>24.0</v>
      </c>
      <c r="E2893" s="3">
        <v>0.48</v>
      </c>
      <c r="F2893" s="3">
        <v>0.62</v>
      </c>
      <c r="G2893" s="3">
        <v>5.09</v>
      </c>
    </row>
    <row r="2894">
      <c r="A2894" s="3">
        <v>170404.0</v>
      </c>
      <c r="B2894" s="3" t="s">
        <v>2920</v>
      </c>
      <c r="C2894" s="3" t="s">
        <v>101</v>
      </c>
      <c r="D2894" s="3">
        <v>17.0</v>
      </c>
      <c r="E2894" s="3">
        <v>0.1</v>
      </c>
      <c r="F2894" s="3">
        <v>0.9</v>
      </c>
      <c r="G2894" s="3">
        <v>4.0</v>
      </c>
    </row>
    <row r="2895">
      <c r="A2895" s="3">
        <v>170405.0</v>
      </c>
      <c r="B2895" s="3" t="s">
        <v>2921</v>
      </c>
      <c r="C2895" s="3" t="s">
        <v>101</v>
      </c>
      <c r="D2895" s="3">
        <v>20.0</v>
      </c>
      <c r="E2895" s="3">
        <v>0.09</v>
      </c>
      <c r="F2895" s="3">
        <v>1.64</v>
      </c>
      <c r="G2895" s="3">
        <v>4.31</v>
      </c>
    </row>
    <row r="2896">
      <c r="A2896" s="3">
        <v>170406.0</v>
      </c>
      <c r="B2896" s="3" t="s">
        <v>2922</v>
      </c>
      <c r="C2896" s="3" t="s">
        <v>101</v>
      </c>
      <c r="D2896" s="3">
        <v>32.0</v>
      </c>
      <c r="E2896" s="3">
        <v>0.61</v>
      </c>
      <c r="F2896" s="3">
        <v>3.02</v>
      </c>
      <c r="G2896" s="3">
        <v>5.42</v>
      </c>
    </row>
    <row r="2897">
      <c r="A2897" s="3">
        <v>170407.0</v>
      </c>
      <c r="B2897" s="3" t="s">
        <v>2923</v>
      </c>
      <c r="C2897" s="3" t="s">
        <v>101</v>
      </c>
      <c r="D2897" s="3">
        <v>33.0</v>
      </c>
      <c r="E2897" s="3">
        <v>0.72</v>
      </c>
      <c r="F2897" s="3">
        <v>2.71</v>
      </c>
      <c r="G2897" s="3">
        <v>5.65</v>
      </c>
    </row>
    <row r="2898">
      <c r="A2898" s="3">
        <v>170408.0</v>
      </c>
      <c r="B2898" s="3" t="s">
        <v>2924</v>
      </c>
      <c r="C2898" s="3" t="s">
        <v>101</v>
      </c>
      <c r="D2898" s="3">
        <v>33.0</v>
      </c>
      <c r="E2898" s="3">
        <v>0.37</v>
      </c>
      <c r="F2898" s="3">
        <v>2.69</v>
      </c>
      <c r="G2898" s="3">
        <v>6.46</v>
      </c>
    </row>
    <row r="2899">
      <c r="A2899" s="3">
        <v>170409.0</v>
      </c>
      <c r="B2899" s="3" t="s">
        <v>2925</v>
      </c>
      <c r="C2899" s="3" t="s">
        <v>101</v>
      </c>
      <c r="D2899" s="3">
        <v>61.0</v>
      </c>
      <c r="E2899" s="3">
        <v>0.77</v>
      </c>
      <c r="F2899" s="3">
        <v>1.95</v>
      </c>
      <c r="G2899" s="3">
        <v>13.86</v>
      </c>
    </row>
    <row r="2900">
      <c r="A2900" s="3">
        <v>170410.0</v>
      </c>
      <c r="B2900" s="3" t="s">
        <v>2926</v>
      </c>
      <c r="C2900" s="3" t="s">
        <v>101</v>
      </c>
      <c r="D2900" s="3">
        <v>29.0</v>
      </c>
      <c r="E2900" s="3">
        <v>0.1</v>
      </c>
      <c r="F2900" s="3">
        <v>0.79</v>
      </c>
      <c r="G2900" s="3">
        <v>6.82</v>
      </c>
    </row>
    <row r="2901">
      <c r="A2901" s="3">
        <v>170411.0</v>
      </c>
      <c r="B2901" s="3" t="s">
        <v>2927</v>
      </c>
      <c r="C2901" s="3" t="s">
        <v>101</v>
      </c>
      <c r="D2901" s="3">
        <v>28.0</v>
      </c>
      <c r="E2901" s="3">
        <v>0.1</v>
      </c>
      <c r="F2901" s="3">
        <v>0.77</v>
      </c>
      <c r="G2901" s="3">
        <v>6.59</v>
      </c>
    </row>
    <row r="2902">
      <c r="A2902" s="3">
        <v>170412.0</v>
      </c>
      <c r="B2902" s="3" t="s">
        <v>2928</v>
      </c>
      <c r="C2902" s="3" t="s">
        <v>101</v>
      </c>
      <c r="D2902" s="3">
        <v>35.0</v>
      </c>
      <c r="E2902" s="3">
        <v>0.06</v>
      </c>
      <c r="F2902" s="3">
        <v>0.89</v>
      </c>
      <c r="G2902" s="3">
        <v>8.45</v>
      </c>
    </row>
    <row r="2903">
      <c r="A2903" s="3">
        <v>170413.0</v>
      </c>
      <c r="B2903" s="3" t="s">
        <v>2929</v>
      </c>
      <c r="C2903" s="3" t="s">
        <v>101</v>
      </c>
      <c r="D2903" s="3">
        <v>28.0</v>
      </c>
      <c r="E2903" s="3">
        <v>0.05</v>
      </c>
      <c r="F2903" s="3">
        <v>0.71</v>
      </c>
      <c r="G2903" s="3">
        <v>6.7</v>
      </c>
    </row>
    <row r="2904">
      <c r="A2904" s="3">
        <v>170414.0</v>
      </c>
      <c r="B2904" s="3" t="s">
        <v>2930</v>
      </c>
      <c r="C2904" s="3" t="s">
        <v>101</v>
      </c>
      <c r="D2904" s="3">
        <v>258.0</v>
      </c>
      <c r="E2904" s="3">
        <v>14.1</v>
      </c>
      <c r="F2904" s="3">
        <v>3.15</v>
      </c>
      <c r="G2904" s="3">
        <v>30.53</v>
      </c>
    </row>
    <row r="2905">
      <c r="A2905" s="3">
        <v>170415.0</v>
      </c>
      <c r="B2905" s="3" t="s">
        <v>2931</v>
      </c>
      <c r="C2905" s="3" t="s">
        <v>158</v>
      </c>
      <c r="D2905" s="3">
        <v>276.0</v>
      </c>
      <c r="E2905" s="3">
        <v>14.3</v>
      </c>
      <c r="F2905" s="3">
        <v>4.14</v>
      </c>
      <c r="G2905" s="3">
        <v>33.79</v>
      </c>
    </row>
    <row r="2906">
      <c r="A2906" s="3">
        <v>170416.0</v>
      </c>
      <c r="B2906" s="3" t="s">
        <v>2932</v>
      </c>
      <c r="C2906" s="3" t="s">
        <v>101</v>
      </c>
      <c r="D2906" s="3">
        <v>36.0</v>
      </c>
      <c r="E2906" s="3">
        <v>0.79</v>
      </c>
      <c r="F2906" s="3">
        <v>2.97</v>
      </c>
      <c r="G2906" s="3">
        <v>6.33</v>
      </c>
    </row>
    <row r="2907">
      <c r="A2907" s="3">
        <v>170417.0</v>
      </c>
      <c r="B2907" s="3" t="s">
        <v>2933</v>
      </c>
      <c r="C2907" s="3" t="s">
        <v>101</v>
      </c>
      <c r="D2907" s="3">
        <v>75.0</v>
      </c>
      <c r="E2907" s="3">
        <v>0.3</v>
      </c>
      <c r="F2907" s="3">
        <v>1.2</v>
      </c>
      <c r="G2907" s="3">
        <v>17.99</v>
      </c>
    </row>
    <row r="2908">
      <c r="A2908" s="3">
        <v>170418.0</v>
      </c>
      <c r="B2908" s="3" t="s">
        <v>2934</v>
      </c>
      <c r="C2908" s="3" t="s">
        <v>101</v>
      </c>
      <c r="D2908" s="3">
        <v>52.0</v>
      </c>
      <c r="E2908" s="3">
        <v>0.38</v>
      </c>
      <c r="F2908" s="3">
        <v>3.5</v>
      </c>
      <c r="G2908" s="3">
        <v>9.02</v>
      </c>
    </row>
    <row r="2909">
      <c r="A2909" s="3">
        <v>170419.0</v>
      </c>
      <c r="B2909" s="3" t="s">
        <v>2935</v>
      </c>
      <c r="C2909" s="3" t="s">
        <v>101</v>
      </c>
      <c r="D2909" s="3">
        <v>81.0</v>
      </c>
      <c r="E2909" s="3">
        <v>0.4</v>
      </c>
      <c r="F2909" s="3">
        <v>5.42</v>
      </c>
      <c r="G2909" s="3">
        <v>14.45</v>
      </c>
    </row>
    <row r="2910">
      <c r="A2910" s="3">
        <v>170420.0</v>
      </c>
      <c r="B2910" s="3" t="s">
        <v>2936</v>
      </c>
      <c r="C2910" s="3" t="s">
        <v>101</v>
      </c>
      <c r="D2910" s="3">
        <v>84.0</v>
      </c>
      <c r="E2910" s="3">
        <v>0.22</v>
      </c>
      <c r="F2910" s="3">
        <v>5.36</v>
      </c>
      <c r="G2910" s="3">
        <v>15.63</v>
      </c>
    </row>
    <row r="2911">
      <c r="A2911" s="3">
        <v>170421.0</v>
      </c>
      <c r="B2911" s="3" t="s">
        <v>2937</v>
      </c>
      <c r="C2911" s="3" t="s">
        <v>101</v>
      </c>
      <c r="D2911" s="3">
        <v>58.0</v>
      </c>
      <c r="E2911" s="3">
        <v>0.48</v>
      </c>
      <c r="F2911" s="3">
        <v>3.01</v>
      </c>
      <c r="G2911" s="3">
        <v>10.6</v>
      </c>
    </row>
    <row r="2912">
      <c r="A2912" s="3">
        <v>170422.0</v>
      </c>
      <c r="B2912" s="3" t="s">
        <v>2938</v>
      </c>
      <c r="C2912" s="3" t="s">
        <v>101</v>
      </c>
      <c r="D2912" s="3">
        <v>124.0</v>
      </c>
      <c r="E2912" s="3">
        <v>0.68</v>
      </c>
      <c r="F2912" s="3">
        <v>8.8</v>
      </c>
      <c r="G2912" s="3">
        <v>27.11</v>
      </c>
    </row>
    <row r="2913">
      <c r="A2913" s="3">
        <v>170423.0</v>
      </c>
      <c r="B2913" s="3" t="s">
        <v>2939</v>
      </c>
      <c r="C2913" s="3" t="s">
        <v>101</v>
      </c>
      <c r="D2913" s="3">
        <v>98.0</v>
      </c>
      <c r="E2913" s="3">
        <v>0.51</v>
      </c>
      <c r="F2913" s="3">
        <v>7.05</v>
      </c>
      <c r="G2913" s="3">
        <v>17.08</v>
      </c>
    </row>
    <row r="2914">
      <c r="A2914" s="3">
        <v>170424.0</v>
      </c>
      <c r="B2914" s="3" t="s">
        <v>2940</v>
      </c>
      <c r="C2914" s="3" t="s">
        <v>101</v>
      </c>
      <c r="D2914" s="3">
        <v>38.0</v>
      </c>
      <c r="E2914" s="3">
        <v>0.27</v>
      </c>
      <c r="F2914" s="3">
        <v>2.17</v>
      </c>
      <c r="G2914" s="3">
        <v>8.48</v>
      </c>
    </row>
    <row r="2915">
      <c r="A2915" s="3">
        <v>170425.0</v>
      </c>
      <c r="B2915" s="3" t="s">
        <v>2941</v>
      </c>
      <c r="C2915" s="3" t="s">
        <v>101</v>
      </c>
      <c r="D2915" s="3">
        <v>53.0</v>
      </c>
      <c r="E2915" s="3">
        <v>0.47</v>
      </c>
      <c r="F2915" s="3">
        <v>3.4</v>
      </c>
      <c r="G2915" s="3">
        <v>11.15</v>
      </c>
    </row>
    <row r="2916">
      <c r="A2916" s="3">
        <v>170426.0</v>
      </c>
      <c r="B2916" s="3" t="s">
        <v>2942</v>
      </c>
      <c r="C2916" s="3" t="s">
        <v>101</v>
      </c>
      <c r="D2916" s="3">
        <v>21.0</v>
      </c>
      <c r="E2916" s="3">
        <v>0.1</v>
      </c>
      <c r="F2916" s="3">
        <v>0.9</v>
      </c>
      <c r="G2916" s="3">
        <v>5.1</v>
      </c>
    </row>
    <row r="2917">
      <c r="A2917" s="3">
        <v>170427.0</v>
      </c>
      <c r="B2917" s="3" t="s">
        <v>2943</v>
      </c>
      <c r="C2917" s="3" t="s">
        <v>101</v>
      </c>
      <c r="D2917" s="3">
        <v>20.0</v>
      </c>
      <c r="E2917" s="3">
        <v>0.17</v>
      </c>
      <c r="F2917" s="3">
        <v>0.86</v>
      </c>
      <c r="G2917" s="3">
        <v>4.64</v>
      </c>
    </row>
    <row r="2918">
      <c r="A2918" s="3">
        <v>170428.0</v>
      </c>
      <c r="B2918" s="3" t="s">
        <v>2944</v>
      </c>
      <c r="C2918" s="3" t="s">
        <v>101</v>
      </c>
      <c r="D2918" s="3">
        <v>28.0</v>
      </c>
      <c r="E2918" s="3">
        <v>0.2</v>
      </c>
      <c r="F2918" s="3">
        <v>0.92</v>
      </c>
      <c r="G2918" s="3">
        <v>6.7</v>
      </c>
    </row>
    <row r="2919">
      <c r="A2919" s="3">
        <v>170429.0</v>
      </c>
      <c r="B2919" s="3" t="s">
        <v>2945</v>
      </c>
      <c r="C2919" s="3" t="s">
        <v>101</v>
      </c>
      <c r="D2919" s="3">
        <v>18.0</v>
      </c>
      <c r="E2919" s="3">
        <v>0.3</v>
      </c>
      <c r="F2919" s="3">
        <v>0.8</v>
      </c>
      <c r="G2919" s="3">
        <v>3.9</v>
      </c>
    </row>
    <row r="2920">
      <c r="A2920" s="3">
        <v>170430.0</v>
      </c>
      <c r="B2920" s="3" t="s">
        <v>2946</v>
      </c>
      <c r="C2920" s="3" t="s">
        <v>101</v>
      </c>
      <c r="D2920" s="3">
        <v>111.0</v>
      </c>
      <c r="E2920" s="3">
        <v>1.36</v>
      </c>
      <c r="F2920" s="3">
        <v>5.96</v>
      </c>
      <c r="G2920" s="3">
        <v>19.49</v>
      </c>
    </row>
    <row r="2921">
      <c r="A2921" s="3">
        <v>170431.0</v>
      </c>
      <c r="B2921" s="3" t="s">
        <v>2947</v>
      </c>
      <c r="C2921" s="3" t="s">
        <v>101</v>
      </c>
      <c r="D2921" s="3">
        <v>112.0</v>
      </c>
      <c r="E2921" s="3">
        <v>0.14</v>
      </c>
      <c r="F2921" s="3">
        <v>0.38</v>
      </c>
      <c r="G2921" s="3">
        <v>27.23</v>
      </c>
    </row>
    <row r="2922">
      <c r="A2922" s="3">
        <v>170432.0</v>
      </c>
      <c r="B2922" s="3" t="s">
        <v>2948</v>
      </c>
      <c r="C2922" s="3" t="s">
        <v>101</v>
      </c>
      <c r="D2922" s="3">
        <v>23.0</v>
      </c>
      <c r="E2922" s="3">
        <v>0.4</v>
      </c>
      <c r="F2922" s="3">
        <v>2.6</v>
      </c>
      <c r="G2922" s="3">
        <v>3.7</v>
      </c>
    </row>
    <row r="2923">
      <c r="A2923" s="3">
        <v>170433.0</v>
      </c>
      <c r="B2923" s="3" t="s">
        <v>2949</v>
      </c>
      <c r="C2923" s="3" t="s">
        <v>101</v>
      </c>
      <c r="D2923" s="3">
        <v>20.0</v>
      </c>
      <c r="E2923" s="3">
        <v>0.4</v>
      </c>
      <c r="F2923" s="3">
        <v>2.3</v>
      </c>
      <c r="G2923" s="3">
        <v>3.1</v>
      </c>
    </row>
    <row r="2924">
      <c r="A2924" s="3">
        <v>170434.0</v>
      </c>
      <c r="B2924" s="3" t="s">
        <v>2950</v>
      </c>
      <c r="C2924" s="3" t="s">
        <v>101</v>
      </c>
      <c r="D2924" s="3">
        <v>92.0</v>
      </c>
      <c r="E2924" s="3">
        <v>0.15</v>
      </c>
      <c r="F2924" s="3">
        <v>2.1</v>
      </c>
      <c r="G2924" s="3">
        <v>21.08</v>
      </c>
    </row>
    <row r="2925">
      <c r="A2925" s="3">
        <v>170435.0</v>
      </c>
      <c r="B2925" s="3" t="s">
        <v>2951</v>
      </c>
      <c r="C2925" s="3" t="s">
        <v>101</v>
      </c>
      <c r="D2925" s="3">
        <v>87.0</v>
      </c>
      <c r="E2925" s="3">
        <v>0.15</v>
      </c>
      <c r="F2925" s="3">
        <v>2.3</v>
      </c>
      <c r="G2925" s="3">
        <v>19.59</v>
      </c>
    </row>
    <row r="2926">
      <c r="A2926" s="3">
        <v>170436.0</v>
      </c>
      <c r="B2926" s="3" t="s">
        <v>2952</v>
      </c>
      <c r="C2926" s="3" t="s">
        <v>101</v>
      </c>
      <c r="D2926" s="3">
        <v>146.0</v>
      </c>
      <c r="E2926" s="3">
        <v>4.99</v>
      </c>
      <c r="F2926" s="3">
        <v>2.34</v>
      </c>
      <c r="G2926" s="3">
        <v>23.96</v>
      </c>
    </row>
    <row r="2927">
      <c r="A2927" s="3">
        <v>170437.0</v>
      </c>
      <c r="B2927" s="3" t="s">
        <v>2953</v>
      </c>
      <c r="C2927" s="3" t="s">
        <v>158</v>
      </c>
      <c r="D2927" s="3">
        <v>161.0</v>
      </c>
      <c r="E2927" s="3">
        <v>5.13</v>
      </c>
      <c r="F2927" s="3">
        <v>2.51</v>
      </c>
      <c r="G2927" s="3">
        <v>27.5</v>
      </c>
    </row>
    <row r="2928">
      <c r="A2928" s="3">
        <v>170438.0</v>
      </c>
      <c r="B2928" s="3" t="s">
        <v>2954</v>
      </c>
      <c r="C2928" s="3" t="s">
        <v>101</v>
      </c>
      <c r="D2928" s="3">
        <v>87.0</v>
      </c>
      <c r="E2928" s="3">
        <v>0.1</v>
      </c>
      <c r="F2928" s="3">
        <v>1.87</v>
      </c>
      <c r="G2928" s="3">
        <v>20.13</v>
      </c>
    </row>
    <row r="2929">
      <c r="A2929" s="3">
        <v>170439.0</v>
      </c>
      <c r="B2929" s="3" t="s">
        <v>2955</v>
      </c>
      <c r="C2929" s="3" t="s">
        <v>101</v>
      </c>
      <c r="D2929" s="3">
        <v>78.0</v>
      </c>
      <c r="E2929" s="3">
        <v>0.1</v>
      </c>
      <c r="F2929" s="3">
        <v>2.86</v>
      </c>
      <c r="G2929" s="3">
        <v>17.21</v>
      </c>
    </row>
    <row r="2930">
      <c r="A2930" s="3">
        <v>170440.0</v>
      </c>
      <c r="B2930" s="3" t="s">
        <v>2956</v>
      </c>
      <c r="C2930" s="3" t="s">
        <v>101</v>
      </c>
      <c r="D2930" s="3">
        <v>86.0</v>
      </c>
      <c r="E2930" s="3">
        <v>0.1</v>
      </c>
      <c r="F2930" s="3">
        <v>1.71</v>
      </c>
      <c r="G2930" s="3">
        <v>20.01</v>
      </c>
    </row>
    <row r="2931">
      <c r="A2931" s="3">
        <v>170441.0</v>
      </c>
      <c r="B2931" s="3" t="s">
        <v>2957</v>
      </c>
      <c r="C2931" s="3" t="s">
        <v>101</v>
      </c>
      <c r="D2931" s="3">
        <v>100.0</v>
      </c>
      <c r="E2931" s="3">
        <v>0.1</v>
      </c>
      <c r="F2931" s="3">
        <v>2.1</v>
      </c>
      <c r="G2931" s="3">
        <v>23.28</v>
      </c>
    </row>
    <row r="2932">
      <c r="A2932" s="3">
        <v>170442.0</v>
      </c>
      <c r="B2932" s="3" t="s">
        <v>2958</v>
      </c>
      <c r="C2932" s="3" t="s">
        <v>101</v>
      </c>
      <c r="D2932" s="3">
        <v>134.0</v>
      </c>
      <c r="E2932" s="3">
        <v>7.59</v>
      </c>
      <c r="F2932" s="3">
        <v>5.06</v>
      </c>
      <c r="G2932" s="3">
        <v>11.26</v>
      </c>
    </row>
    <row r="2933">
      <c r="A2933" s="3">
        <v>170443.0</v>
      </c>
      <c r="B2933" s="3" t="s">
        <v>2959</v>
      </c>
      <c r="C2933" s="3" t="s">
        <v>101</v>
      </c>
      <c r="D2933" s="3">
        <v>44.0</v>
      </c>
      <c r="E2933" s="3">
        <v>0.11</v>
      </c>
      <c r="F2933" s="3">
        <v>1.2</v>
      </c>
      <c r="G2933" s="3">
        <v>9.89</v>
      </c>
    </row>
    <row r="2934">
      <c r="A2934" s="3">
        <v>170444.0</v>
      </c>
      <c r="B2934" s="3" t="s">
        <v>2960</v>
      </c>
      <c r="C2934" s="3" t="s">
        <v>101</v>
      </c>
      <c r="D2934" s="3">
        <v>60.0</v>
      </c>
      <c r="E2934" s="3">
        <v>0.21</v>
      </c>
      <c r="F2934" s="3">
        <v>1.41</v>
      </c>
      <c r="G2934" s="3">
        <v>13.61</v>
      </c>
    </row>
    <row r="2935">
      <c r="A2935" s="3">
        <v>170445.0</v>
      </c>
      <c r="B2935" s="3" t="s">
        <v>2961</v>
      </c>
      <c r="C2935" s="3" t="s">
        <v>101</v>
      </c>
      <c r="D2935" s="3">
        <v>354.0</v>
      </c>
      <c r="E2935" s="3">
        <v>0.41</v>
      </c>
      <c r="F2935" s="3">
        <v>8.34</v>
      </c>
      <c r="G2935" s="3">
        <v>81.17</v>
      </c>
    </row>
    <row r="2936">
      <c r="A2936" s="3">
        <v>170446.0</v>
      </c>
      <c r="B2936" s="3" t="s">
        <v>2962</v>
      </c>
      <c r="C2936" s="3" t="s">
        <v>101</v>
      </c>
      <c r="D2936" s="3">
        <v>97.0</v>
      </c>
      <c r="E2936" s="3">
        <v>5.13</v>
      </c>
      <c r="F2936" s="3">
        <v>1.77</v>
      </c>
      <c r="G2936" s="3">
        <v>10.87</v>
      </c>
    </row>
    <row r="2937">
      <c r="A2937" s="3">
        <v>170447.0</v>
      </c>
      <c r="B2937" s="3" t="s">
        <v>2963</v>
      </c>
      <c r="C2937" s="3" t="s">
        <v>101</v>
      </c>
      <c r="D2937" s="3">
        <v>314.0</v>
      </c>
      <c r="E2937" s="3">
        <v>3.7</v>
      </c>
      <c r="F2937" s="3">
        <v>8.9</v>
      </c>
      <c r="G2937" s="3">
        <v>74.31</v>
      </c>
    </row>
    <row r="2938">
      <c r="A2938" s="3">
        <v>170448.0</v>
      </c>
      <c r="B2938" s="3" t="s">
        <v>2964</v>
      </c>
      <c r="C2938" s="3" t="s">
        <v>101</v>
      </c>
      <c r="D2938" s="3">
        <v>93.0</v>
      </c>
      <c r="E2938" s="3">
        <v>4.12</v>
      </c>
      <c r="F2938" s="3">
        <v>2.3</v>
      </c>
      <c r="G2938" s="3">
        <v>12.84</v>
      </c>
    </row>
    <row r="2939">
      <c r="A2939" s="3">
        <v>170449.0</v>
      </c>
      <c r="B2939" s="3" t="s">
        <v>2965</v>
      </c>
      <c r="C2939" s="3" t="s">
        <v>101</v>
      </c>
      <c r="D2939" s="3">
        <v>358.0</v>
      </c>
      <c r="E2939" s="3">
        <v>4.59</v>
      </c>
      <c r="F2939" s="3">
        <v>7.77</v>
      </c>
      <c r="G2939" s="3">
        <v>73.93</v>
      </c>
    </row>
    <row r="2940">
      <c r="A2940" s="3">
        <v>170450.0</v>
      </c>
      <c r="B2940" s="3" t="s">
        <v>2966</v>
      </c>
      <c r="C2940" s="3" t="s">
        <v>101</v>
      </c>
      <c r="D2940" s="3">
        <v>93.0</v>
      </c>
      <c r="E2940" s="3">
        <v>4.3</v>
      </c>
      <c r="F2940" s="3">
        <v>2.12</v>
      </c>
      <c r="G2940" s="3">
        <v>12.77</v>
      </c>
    </row>
    <row r="2941">
      <c r="A2941" s="3">
        <v>170451.0</v>
      </c>
      <c r="B2941" s="3" t="s">
        <v>2967</v>
      </c>
      <c r="C2941" s="3" t="s">
        <v>101</v>
      </c>
      <c r="D2941" s="3">
        <v>163.0</v>
      </c>
      <c r="E2941" s="3">
        <v>6.24</v>
      </c>
      <c r="F2941" s="3">
        <v>2.16</v>
      </c>
      <c r="G2941" s="3">
        <v>25.59</v>
      </c>
    </row>
    <row r="2942">
      <c r="A2942" s="3">
        <v>170452.0</v>
      </c>
      <c r="B2942" s="3" t="s">
        <v>2968</v>
      </c>
      <c r="C2942" s="3" t="s">
        <v>101</v>
      </c>
      <c r="D2942" s="3">
        <v>194.0</v>
      </c>
      <c r="E2942" s="3">
        <v>6.76</v>
      </c>
      <c r="F2942" s="3">
        <v>2.9</v>
      </c>
      <c r="G2942" s="3">
        <v>31.66</v>
      </c>
    </row>
    <row r="2943">
      <c r="A2943" s="3">
        <v>170453.0</v>
      </c>
      <c r="B2943" s="3" t="s">
        <v>2969</v>
      </c>
      <c r="C2943" s="3" t="s">
        <v>101</v>
      </c>
      <c r="D2943" s="3">
        <v>76.0</v>
      </c>
      <c r="E2943" s="3">
        <v>0.14</v>
      </c>
      <c r="F2943" s="3">
        <v>1.83</v>
      </c>
      <c r="G2943" s="3">
        <v>17.47</v>
      </c>
    </row>
    <row r="2944">
      <c r="A2944" s="3">
        <v>170454.0</v>
      </c>
      <c r="B2944" s="3" t="s">
        <v>2970</v>
      </c>
      <c r="C2944" s="3" t="s">
        <v>101</v>
      </c>
      <c r="D2944" s="3">
        <v>204.0</v>
      </c>
      <c r="E2944" s="3">
        <v>13.21</v>
      </c>
      <c r="F2944" s="3">
        <v>2.22</v>
      </c>
      <c r="G2944" s="3">
        <v>21.86</v>
      </c>
    </row>
    <row r="2945">
      <c r="A2945" s="3">
        <v>170455.0</v>
      </c>
      <c r="B2945" s="3" t="s">
        <v>2971</v>
      </c>
      <c r="C2945" s="3" t="s">
        <v>101</v>
      </c>
      <c r="D2945" s="3">
        <v>44.0</v>
      </c>
      <c r="E2945" s="3">
        <v>0.68</v>
      </c>
      <c r="F2945" s="3">
        <v>4.16</v>
      </c>
      <c r="G2945" s="3">
        <v>6.85</v>
      </c>
    </row>
    <row r="2946">
      <c r="A2946" s="3">
        <v>170456.0</v>
      </c>
      <c r="B2946" s="3" t="s">
        <v>2972</v>
      </c>
      <c r="C2946" s="3" t="s">
        <v>101</v>
      </c>
      <c r="D2946" s="3">
        <v>23.0</v>
      </c>
      <c r="E2946" s="3">
        <v>0.2</v>
      </c>
      <c r="F2946" s="3">
        <v>1.2</v>
      </c>
      <c r="G2946" s="3">
        <v>5.1</v>
      </c>
    </row>
    <row r="2947">
      <c r="A2947" s="3">
        <v>170457.0</v>
      </c>
      <c r="B2947" s="3" t="s">
        <v>2973</v>
      </c>
      <c r="C2947" s="3" t="s">
        <v>101</v>
      </c>
      <c r="D2947" s="3">
        <v>18.0</v>
      </c>
      <c r="E2947" s="3">
        <v>0.2</v>
      </c>
      <c r="F2947" s="3">
        <v>0.88</v>
      </c>
      <c r="G2947" s="3">
        <v>3.89</v>
      </c>
    </row>
    <row r="2948">
      <c r="A2948" s="3">
        <v>170458.0</v>
      </c>
      <c r="B2948" s="3" t="s">
        <v>2974</v>
      </c>
      <c r="C2948" s="3" t="s">
        <v>101</v>
      </c>
      <c r="D2948" s="3">
        <v>17.0</v>
      </c>
      <c r="E2948" s="3">
        <v>0.29</v>
      </c>
      <c r="F2948" s="3">
        <v>0.85</v>
      </c>
      <c r="G2948" s="3">
        <v>3.53</v>
      </c>
    </row>
    <row r="2949">
      <c r="A2949" s="3">
        <v>170459.0</v>
      </c>
      <c r="B2949" s="3" t="s">
        <v>2975</v>
      </c>
      <c r="C2949" s="3" t="s">
        <v>101</v>
      </c>
      <c r="D2949" s="3">
        <v>82.0</v>
      </c>
      <c r="E2949" s="3">
        <v>0.47</v>
      </c>
      <c r="F2949" s="3">
        <v>4.32</v>
      </c>
      <c r="G2949" s="3">
        <v>18.91</v>
      </c>
    </row>
    <row r="2950">
      <c r="A2950" s="3">
        <v>170460.0</v>
      </c>
      <c r="B2950" s="3" t="s">
        <v>2976</v>
      </c>
      <c r="C2950" s="3" t="s">
        <v>101</v>
      </c>
      <c r="D2950" s="3">
        <v>38.0</v>
      </c>
      <c r="E2950" s="3">
        <v>0.21</v>
      </c>
      <c r="F2950" s="3">
        <v>1.65</v>
      </c>
      <c r="G2950" s="3">
        <v>8.98</v>
      </c>
    </row>
    <row r="2951">
      <c r="A2951" s="3">
        <v>170461.0</v>
      </c>
      <c r="B2951" s="3" t="s">
        <v>2977</v>
      </c>
      <c r="C2951" s="3" t="s">
        <v>101</v>
      </c>
      <c r="D2951" s="3">
        <v>302.0</v>
      </c>
      <c r="E2951" s="3">
        <v>0.44</v>
      </c>
      <c r="F2951" s="3">
        <v>12.91</v>
      </c>
      <c r="G2951" s="3">
        <v>74.68</v>
      </c>
    </row>
    <row r="2952">
      <c r="A2952" s="3">
        <v>170462.0</v>
      </c>
      <c r="B2952" s="3" t="s">
        <v>2978</v>
      </c>
      <c r="C2952" s="3" t="s">
        <v>101</v>
      </c>
      <c r="D2952" s="3">
        <v>41.0</v>
      </c>
      <c r="E2952" s="3">
        <v>0.74</v>
      </c>
      <c r="F2952" s="3">
        <v>0.94</v>
      </c>
      <c r="G2952" s="3">
        <v>8.77</v>
      </c>
    </row>
    <row r="2953">
      <c r="A2953" s="3">
        <v>170463.0</v>
      </c>
      <c r="B2953" s="3" t="s">
        <v>2979</v>
      </c>
      <c r="C2953" s="3" t="s">
        <v>101</v>
      </c>
      <c r="D2953" s="3">
        <v>32.0</v>
      </c>
      <c r="E2953" s="3">
        <v>0.39</v>
      </c>
      <c r="F2953" s="3">
        <v>1.32</v>
      </c>
      <c r="G2953" s="3">
        <v>7.09</v>
      </c>
    </row>
    <row r="2954">
      <c r="A2954" s="3">
        <v>170464.0</v>
      </c>
      <c r="B2954" s="3" t="s">
        <v>2980</v>
      </c>
      <c r="C2954" s="3" t="s">
        <v>101</v>
      </c>
      <c r="D2954" s="3">
        <v>40.0</v>
      </c>
      <c r="E2954" s="3">
        <v>0.07</v>
      </c>
      <c r="F2954" s="3">
        <v>0.29</v>
      </c>
      <c r="G2954" s="3">
        <v>10.98</v>
      </c>
    </row>
    <row r="2955">
      <c r="A2955" s="3">
        <v>170465.0</v>
      </c>
      <c r="B2955" s="3" t="s">
        <v>2981</v>
      </c>
      <c r="C2955" s="3" t="s">
        <v>101</v>
      </c>
      <c r="D2955" s="3">
        <v>28.0</v>
      </c>
      <c r="E2955" s="3">
        <v>0.1</v>
      </c>
      <c r="F2955" s="3">
        <v>0.9</v>
      </c>
      <c r="G2955" s="3">
        <v>6.43</v>
      </c>
    </row>
    <row r="2956">
      <c r="A2956" s="3">
        <v>170466.0</v>
      </c>
      <c r="B2956" s="3" t="s">
        <v>2982</v>
      </c>
      <c r="C2956" s="3" t="s">
        <v>101</v>
      </c>
      <c r="D2956" s="3">
        <v>20.0</v>
      </c>
      <c r="E2956" s="3">
        <v>0.23</v>
      </c>
      <c r="F2956" s="3">
        <v>1.14</v>
      </c>
      <c r="G2956" s="3">
        <v>4.36</v>
      </c>
    </row>
    <row r="2957">
      <c r="A2957" s="3">
        <v>170467.0</v>
      </c>
      <c r="B2957" s="3" t="s">
        <v>2983</v>
      </c>
      <c r="C2957" s="3" t="s">
        <v>101</v>
      </c>
      <c r="D2957" s="3">
        <v>14.0</v>
      </c>
      <c r="E2957" s="3">
        <v>0.3</v>
      </c>
      <c r="F2957" s="3">
        <v>1.36</v>
      </c>
      <c r="G2957" s="3">
        <v>2.42</v>
      </c>
    </row>
    <row r="2958">
      <c r="A2958" s="3">
        <v>170468.0</v>
      </c>
      <c r="B2958" s="3" t="s">
        <v>2984</v>
      </c>
      <c r="C2958" s="3" t="s">
        <v>101</v>
      </c>
      <c r="D2958" s="3">
        <v>22.0</v>
      </c>
      <c r="E2958" s="3">
        <v>0.31</v>
      </c>
      <c r="F2958" s="3">
        <v>2.47</v>
      </c>
      <c r="G2958" s="3">
        <v>3.67</v>
      </c>
    </row>
    <row r="2959">
      <c r="A2959" s="3">
        <v>170469.0</v>
      </c>
      <c r="B2959" s="3" t="s">
        <v>2985</v>
      </c>
      <c r="C2959" s="3" t="s">
        <v>101</v>
      </c>
      <c r="D2959" s="3">
        <v>29.0</v>
      </c>
      <c r="E2959" s="3">
        <v>0.42</v>
      </c>
      <c r="F2959" s="3">
        <v>3.35</v>
      </c>
      <c r="G2959" s="3">
        <v>4.98</v>
      </c>
    </row>
    <row r="2960">
      <c r="A2960" s="3">
        <v>170470.0</v>
      </c>
      <c r="B2960" s="3" t="s">
        <v>2986</v>
      </c>
      <c r="C2960" s="3" t="s">
        <v>101</v>
      </c>
      <c r="D2960" s="3">
        <v>21.0</v>
      </c>
      <c r="E2960" s="3">
        <v>0.19</v>
      </c>
      <c r="F2960" s="3">
        <v>2.46</v>
      </c>
      <c r="G2960" s="3">
        <v>3.39</v>
      </c>
    </row>
    <row r="2961">
      <c r="A2961" s="3">
        <v>170471.0</v>
      </c>
      <c r="B2961" s="3" t="s">
        <v>2987</v>
      </c>
      <c r="C2961" s="3" t="s">
        <v>101</v>
      </c>
      <c r="D2961" s="3">
        <v>72.0</v>
      </c>
      <c r="E2961" s="3">
        <v>0.52</v>
      </c>
      <c r="F2961" s="3">
        <v>3.33</v>
      </c>
      <c r="G2961" s="3">
        <v>13.47</v>
      </c>
    </row>
    <row r="2962">
      <c r="A2962" s="3">
        <v>170472.0</v>
      </c>
      <c r="B2962" s="3" t="s">
        <v>2988</v>
      </c>
      <c r="C2962" s="3" t="s">
        <v>101</v>
      </c>
      <c r="D2962" s="3">
        <v>65.0</v>
      </c>
      <c r="E2962" s="3">
        <v>0.15</v>
      </c>
      <c r="F2962" s="3">
        <v>2.86</v>
      </c>
      <c r="G2962" s="3">
        <v>13.09</v>
      </c>
    </row>
    <row r="2963">
      <c r="A2963" s="3">
        <v>170473.0</v>
      </c>
      <c r="B2963" s="3" t="s">
        <v>2989</v>
      </c>
      <c r="C2963" s="3" t="s">
        <v>101</v>
      </c>
      <c r="D2963" s="3">
        <v>19.0</v>
      </c>
      <c r="E2963" s="3">
        <v>0.32</v>
      </c>
      <c r="F2963" s="3">
        <v>0.91</v>
      </c>
      <c r="G2963" s="3">
        <v>3.83</v>
      </c>
    </row>
    <row r="2964">
      <c r="A2964" s="3">
        <v>170474.0</v>
      </c>
      <c r="B2964" s="3" t="s">
        <v>2990</v>
      </c>
      <c r="C2964" s="3" t="s">
        <v>101</v>
      </c>
      <c r="D2964" s="3">
        <v>19.0</v>
      </c>
      <c r="E2964" s="3">
        <v>0.3</v>
      </c>
      <c r="F2964" s="3">
        <v>1.8</v>
      </c>
      <c r="G2964" s="3">
        <v>3.4</v>
      </c>
    </row>
    <row r="2965">
      <c r="A2965" s="3">
        <v>170475.0</v>
      </c>
      <c r="B2965" s="3" t="s">
        <v>2991</v>
      </c>
      <c r="C2965" s="3" t="s">
        <v>101</v>
      </c>
      <c r="D2965" s="3">
        <v>14.0</v>
      </c>
      <c r="E2965" s="3">
        <v>0.2</v>
      </c>
      <c r="F2965" s="3">
        <v>0.4</v>
      </c>
      <c r="G2965" s="3">
        <v>3.04</v>
      </c>
    </row>
    <row r="2966">
      <c r="A2966" s="3">
        <v>170476.0</v>
      </c>
      <c r="B2966" s="3" t="s">
        <v>2992</v>
      </c>
      <c r="C2966" s="3" t="s">
        <v>101</v>
      </c>
      <c r="D2966" s="3">
        <v>49.0</v>
      </c>
      <c r="E2966" s="3">
        <v>0.87</v>
      </c>
      <c r="F2966" s="3">
        <v>6.95</v>
      </c>
      <c r="G2966" s="3">
        <v>4.31</v>
      </c>
    </row>
    <row r="2967">
      <c r="A2967" s="3">
        <v>170477.0</v>
      </c>
      <c r="B2967" s="3" t="s">
        <v>2993</v>
      </c>
      <c r="C2967" s="3" t="s">
        <v>101</v>
      </c>
      <c r="D2967" s="3">
        <v>38.0</v>
      </c>
      <c r="E2967" s="3">
        <v>0.66</v>
      </c>
      <c r="F2967" s="3">
        <v>5.31</v>
      </c>
      <c r="G2967" s="3">
        <v>3.21</v>
      </c>
    </row>
    <row r="2968">
      <c r="A2968" s="3">
        <v>170478.0</v>
      </c>
      <c r="B2968" s="3" t="s">
        <v>2994</v>
      </c>
      <c r="C2968" s="3" t="s">
        <v>101</v>
      </c>
      <c r="D2968" s="3">
        <v>74.0</v>
      </c>
      <c r="E2968" s="3">
        <v>1.1</v>
      </c>
      <c r="F2968" s="3">
        <v>5.85</v>
      </c>
      <c r="G2968" s="3">
        <v>14.1</v>
      </c>
    </row>
    <row r="2969">
      <c r="A2969" s="3">
        <v>170479.0</v>
      </c>
      <c r="B2969" s="3" t="s">
        <v>2995</v>
      </c>
      <c r="C2969" s="3" t="s">
        <v>101</v>
      </c>
      <c r="D2969" s="3">
        <v>73.0</v>
      </c>
      <c r="E2969" s="3">
        <v>0.06</v>
      </c>
      <c r="F2969" s="3">
        <v>0.84</v>
      </c>
      <c r="G2969" s="3">
        <v>18.18</v>
      </c>
    </row>
    <row r="2970">
      <c r="A2970" s="3">
        <v>170480.0</v>
      </c>
      <c r="B2970" s="3" t="s">
        <v>2996</v>
      </c>
      <c r="C2970" s="3" t="s">
        <v>101</v>
      </c>
      <c r="D2970" s="3">
        <v>65.0</v>
      </c>
      <c r="E2970" s="3">
        <v>0.08</v>
      </c>
      <c r="F2970" s="3">
        <v>0.8</v>
      </c>
      <c r="G2970" s="3">
        <v>16.28</v>
      </c>
    </row>
    <row r="2971">
      <c r="A2971" s="3">
        <v>170481.0</v>
      </c>
      <c r="B2971" s="3" t="s">
        <v>2997</v>
      </c>
      <c r="C2971" s="3" t="s">
        <v>101</v>
      </c>
      <c r="D2971" s="3">
        <v>21.0</v>
      </c>
      <c r="E2971" s="3">
        <v>0.7</v>
      </c>
      <c r="F2971" s="3">
        <v>1.8</v>
      </c>
      <c r="G2971" s="3">
        <v>3.06</v>
      </c>
    </row>
    <row r="2972">
      <c r="A2972" s="3">
        <v>170482.0</v>
      </c>
      <c r="B2972" s="3" t="s">
        <v>2998</v>
      </c>
      <c r="C2972" s="3" t="s">
        <v>101</v>
      </c>
      <c r="D2972" s="3">
        <v>25.0</v>
      </c>
      <c r="E2972" s="3">
        <v>0.81</v>
      </c>
      <c r="F2972" s="3">
        <v>2.09</v>
      </c>
      <c r="G2972" s="3">
        <v>3.55</v>
      </c>
    </row>
    <row r="2973">
      <c r="A2973" s="3">
        <v>170483.0</v>
      </c>
      <c r="B2973" s="3" t="s">
        <v>2999</v>
      </c>
      <c r="C2973" s="3" t="s">
        <v>101</v>
      </c>
      <c r="D2973" s="3">
        <v>37.0</v>
      </c>
      <c r="E2973" s="3">
        <v>0.2</v>
      </c>
      <c r="F2973" s="3">
        <v>2.1</v>
      </c>
      <c r="G2973" s="3">
        <v>8.53</v>
      </c>
    </row>
    <row r="2974">
      <c r="A2974" s="3">
        <v>170484.0</v>
      </c>
      <c r="B2974" s="3" t="s">
        <v>3000</v>
      </c>
      <c r="C2974" s="3" t="s">
        <v>101</v>
      </c>
      <c r="D2974" s="3">
        <v>36.0</v>
      </c>
      <c r="E2974" s="3">
        <v>0.19</v>
      </c>
      <c r="F2974" s="3">
        <v>2.09</v>
      </c>
      <c r="G2974" s="3">
        <v>8.18</v>
      </c>
    </row>
    <row r="2975">
      <c r="A2975" s="3">
        <v>170485.0</v>
      </c>
      <c r="B2975" s="3" t="s">
        <v>3001</v>
      </c>
      <c r="C2975" s="3" t="s">
        <v>101</v>
      </c>
      <c r="D2975" s="3">
        <v>321.0</v>
      </c>
      <c r="E2975" s="3">
        <v>2.1</v>
      </c>
      <c r="F2975" s="3">
        <v>15.2</v>
      </c>
      <c r="G2975" s="3">
        <v>74.65</v>
      </c>
    </row>
    <row r="2976">
      <c r="A2976" s="3">
        <v>170486.0</v>
      </c>
      <c r="B2976" s="3" t="s">
        <v>3002</v>
      </c>
      <c r="C2976" s="3" t="s">
        <v>101</v>
      </c>
      <c r="D2976" s="3">
        <v>271.0</v>
      </c>
      <c r="E2976" s="3">
        <v>5.2</v>
      </c>
      <c r="F2976" s="3">
        <v>31.3</v>
      </c>
      <c r="G2976" s="3">
        <v>42.38</v>
      </c>
    </row>
    <row r="2977">
      <c r="A2977" s="3">
        <v>170487.0</v>
      </c>
      <c r="B2977" s="3" t="s">
        <v>3003</v>
      </c>
      <c r="C2977" s="3" t="s">
        <v>101</v>
      </c>
      <c r="D2977" s="3">
        <v>16.0</v>
      </c>
      <c r="E2977" s="3">
        <v>0.18</v>
      </c>
      <c r="F2977" s="3">
        <v>1.21</v>
      </c>
      <c r="G2977" s="3">
        <v>3.35</v>
      </c>
    </row>
    <row r="2978">
      <c r="A2978" s="3">
        <v>170488.0</v>
      </c>
      <c r="B2978" s="3" t="s">
        <v>3004</v>
      </c>
      <c r="C2978" s="3" t="s">
        <v>101</v>
      </c>
      <c r="D2978" s="3">
        <v>20.0</v>
      </c>
      <c r="E2978" s="3">
        <v>0.31</v>
      </c>
      <c r="F2978" s="3">
        <v>0.91</v>
      </c>
      <c r="G2978" s="3">
        <v>4.31</v>
      </c>
    </row>
    <row r="2979">
      <c r="A2979" s="3">
        <v>170489.0</v>
      </c>
      <c r="B2979" s="3" t="s">
        <v>3005</v>
      </c>
      <c r="C2979" s="3" t="s">
        <v>101</v>
      </c>
      <c r="D2979" s="3">
        <v>34.0</v>
      </c>
      <c r="E2979" s="3">
        <v>0.13</v>
      </c>
      <c r="F2979" s="3">
        <v>0.95</v>
      </c>
      <c r="G2979" s="3">
        <v>8.59</v>
      </c>
    </row>
    <row r="2980">
      <c r="A2980" s="3">
        <v>170490.0</v>
      </c>
      <c r="B2980" s="3" t="s">
        <v>3006</v>
      </c>
      <c r="C2980" s="3" t="s">
        <v>101</v>
      </c>
      <c r="D2980" s="3">
        <v>37.0</v>
      </c>
      <c r="E2980" s="3">
        <v>0.35</v>
      </c>
      <c r="F2980" s="3">
        <v>0.89</v>
      </c>
      <c r="G2980" s="3">
        <v>8.85</v>
      </c>
    </row>
    <row r="2981">
      <c r="A2981" s="3">
        <v>170491.0</v>
      </c>
      <c r="B2981" s="3" t="s">
        <v>3007</v>
      </c>
      <c r="C2981" s="3" t="s">
        <v>101</v>
      </c>
      <c r="D2981" s="3">
        <v>40.0</v>
      </c>
      <c r="E2981" s="3">
        <v>0.15</v>
      </c>
      <c r="F2981" s="3">
        <v>0.95</v>
      </c>
      <c r="G2981" s="3">
        <v>9.28</v>
      </c>
    </row>
    <row r="2982">
      <c r="A2982" s="3">
        <v>170492.0</v>
      </c>
      <c r="B2982" s="3" t="s">
        <v>3008</v>
      </c>
      <c r="C2982" s="3" t="s">
        <v>101</v>
      </c>
      <c r="D2982" s="3">
        <v>131.0</v>
      </c>
      <c r="E2982" s="3">
        <v>5.04</v>
      </c>
      <c r="F2982" s="3">
        <v>4.42</v>
      </c>
      <c r="G2982" s="3">
        <v>16.97</v>
      </c>
    </row>
    <row r="2983">
      <c r="A2983" s="3">
        <v>170493.0</v>
      </c>
      <c r="B2983" s="3" t="s">
        <v>3009</v>
      </c>
      <c r="C2983" s="3" t="s">
        <v>101</v>
      </c>
      <c r="D2983" s="3">
        <v>83.0</v>
      </c>
      <c r="E2983" s="3">
        <v>0.57</v>
      </c>
      <c r="F2983" s="3">
        <v>1.91</v>
      </c>
      <c r="G2983" s="3">
        <v>17.57</v>
      </c>
    </row>
    <row r="2984">
      <c r="A2984" s="3">
        <v>170494.0</v>
      </c>
      <c r="B2984" s="3" t="s">
        <v>3010</v>
      </c>
      <c r="C2984" s="3" t="s">
        <v>101</v>
      </c>
      <c r="D2984" s="3">
        <v>172.0</v>
      </c>
      <c r="E2984" s="3">
        <v>12.95</v>
      </c>
      <c r="F2984" s="3">
        <v>7.89</v>
      </c>
      <c r="G2984" s="3">
        <v>5.9</v>
      </c>
    </row>
    <row r="2985">
      <c r="A2985" s="3">
        <v>170495.0</v>
      </c>
      <c r="B2985" s="3" t="s">
        <v>3011</v>
      </c>
      <c r="C2985" s="3" t="s">
        <v>101</v>
      </c>
      <c r="D2985" s="3">
        <v>290.0</v>
      </c>
      <c r="E2985" s="3">
        <v>7.72</v>
      </c>
      <c r="F2985" s="3">
        <v>57.47</v>
      </c>
      <c r="G2985" s="3">
        <v>23.9</v>
      </c>
    </row>
    <row r="2986">
      <c r="A2986" s="3">
        <v>170496.0</v>
      </c>
      <c r="B2986" s="3" t="s">
        <v>3012</v>
      </c>
      <c r="C2986" s="3" t="s">
        <v>101</v>
      </c>
      <c r="D2986" s="3">
        <v>45.0</v>
      </c>
      <c r="E2986" s="3">
        <v>0.64</v>
      </c>
      <c r="F2986" s="3">
        <v>3.03</v>
      </c>
      <c r="G2986" s="3">
        <v>9.14</v>
      </c>
    </row>
    <row r="2987">
      <c r="A2987" s="3">
        <v>170497.0</v>
      </c>
      <c r="B2987" s="3" t="s">
        <v>3013</v>
      </c>
      <c r="C2987" s="3" t="s">
        <v>101</v>
      </c>
      <c r="D2987" s="3">
        <v>40.0</v>
      </c>
      <c r="E2987" s="3">
        <v>0.2</v>
      </c>
      <c r="F2987" s="3">
        <v>2.0</v>
      </c>
      <c r="G2987" s="3">
        <v>9.46</v>
      </c>
    </row>
    <row r="2988">
      <c r="A2988" s="3">
        <v>170498.0</v>
      </c>
      <c r="B2988" s="3" t="s">
        <v>3014</v>
      </c>
      <c r="C2988" s="3" t="s">
        <v>101</v>
      </c>
      <c r="D2988" s="3">
        <v>81.0</v>
      </c>
      <c r="E2988" s="3">
        <v>1.28</v>
      </c>
      <c r="F2988" s="3">
        <v>2.35</v>
      </c>
      <c r="G2988" s="3">
        <v>15.47</v>
      </c>
    </row>
    <row r="2989">
      <c r="A2989" s="3">
        <v>170499.0</v>
      </c>
      <c r="B2989" s="3" t="s">
        <v>3015</v>
      </c>
      <c r="C2989" s="3" t="s">
        <v>101</v>
      </c>
      <c r="D2989" s="3">
        <v>72.0</v>
      </c>
      <c r="E2989" s="3">
        <v>0.1</v>
      </c>
      <c r="F2989" s="3">
        <v>2.5</v>
      </c>
      <c r="G2989" s="3">
        <v>16.8</v>
      </c>
    </row>
    <row r="2990">
      <c r="A2990" s="3">
        <v>170500.0</v>
      </c>
      <c r="B2990" s="3" t="s">
        <v>3016</v>
      </c>
      <c r="C2990" s="3" t="s">
        <v>101</v>
      </c>
      <c r="D2990" s="3">
        <v>341.0</v>
      </c>
      <c r="E2990" s="3">
        <v>1.49</v>
      </c>
      <c r="F2990" s="3">
        <v>8.1</v>
      </c>
      <c r="G2990" s="3">
        <v>79.57</v>
      </c>
    </row>
    <row r="2991">
      <c r="A2991" s="3">
        <v>170501.0</v>
      </c>
      <c r="B2991" s="3" t="s">
        <v>3017</v>
      </c>
      <c r="C2991" s="3" t="s">
        <v>101</v>
      </c>
      <c r="D2991" s="3">
        <v>32.0</v>
      </c>
      <c r="E2991" s="3">
        <v>0.28</v>
      </c>
      <c r="F2991" s="3">
        <v>1.64</v>
      </c>
      <c r="G2991" s="3">
        <v>7.29</v>
      </c>
    </row>
    <row r="2992">
      <c r="A2992" s="3">
        <v>170502.0</v>
      </c>
      <c r="B2992" s="3" t="s">
        <v>3018</v>
      </c>
      <c r="C2992" s="3" t="s">
        <v>101</v>
      </c>
      <c r="D2992" s="3">
        <v>16.0</v>
      </c>
      <c r="E2992" s="3">
        <v>0.19</v>
      </c>
      <c r="F2992" s="3">
        <v>1.16</v>
      </c>
      <c r="G2992" s="3">
        <v>3.18</v>
      </c>
    </row>
    <row r="2993">
      <c r="A2993" s="3">
        <v>170503.0</v>
      </c>
      <c r="B2993" s="3" t="s">
        <v>3019</v>
      </c>
      <c r="C2993" s="3" t="s">
        <v>101</v>
      </c>
      <c r="D2993" s="3">
        <v>26.0</v>
      </c>
      <c r="E2993" s="3">
        <v>0.47</v>
      </c>
      <c r="F2993" s="3">
        <v>2.56</v>
      </c>
      <c r="G2993" s="3">
        <v>4.51</v>
      </c>
    </row>
    <row r="2994">
      <c r="A2994" s="3">
        <v>170504.0</v>
      </c>
      <c r="B2994" s="3" t="s">
        <v>3020</v>
      </c>
      <c r="C2994" s="3" t="s">
        <v>101</v>
      </c>
      <c r="D2994" s="3">
        <v>19.0</v>
      </c>
      <c r="E2994" s="3">
        <v>0.25</v>
      </c>
      <c r="F2994" s="3">
        <v>2.27</v>
      </c>
      <c r="G2994" s="3">
        <v>3.11</v>
      </c>
    </row>
    <row r="2995">
      <c r="A2995" s="3">
        <v>170505.0</v>
      </c>
      <c r="B2995" s="3" t="s">
        <v>3021</v>
      </c>
      <c r="C2995" s="3" t="s">
        <v>101</v>
      </c>
      <c r="D2995" s="3">
        <v>16.0</v>
      </c>
      <c r="E2995" s="3">
        <v>0.2</v>
      </c>
      <c r="F2995" s="3">
        <v>1.7</v>
      </c>
      <c r="G2995" s="3">
        <v>2.8</v>
      </c>
    </row>
    <row r="2996">
      <c r="A2996" s="3">
        <v>170506.0</v>
      </c>
      <c r="B2996" s="3" t="s">
        <v>3022</v>
      </c>
      <c r="C2996" s="3" t="s">
        <v>101</v>
      </c>
      <c r="D2996" s="3">
        <v>12.0</v>
      </c>
      <c r="E2996" s="3">
        <v>0.17</v>
      </c>
      <c r="F2996" s="3">
        <v>1.3</v>
      </c>
      <c r="G2996" s="3">
        <v>2.13</v>
      </c>
    </row>
    <row r="2997">
      <c r="A2997" s="3">
        <v>170507.0</v>
      </c>
      <c r="B2997" s="3" t="s">
        <v>3023</v>
      </c>
      <c r="C2997" s="3" t="s">
        <v>101</v>
      </c>
      <c r="D2997" s="3">
        <v>26.0</v>
      </c>
      <c r="E2997" s="3">
        <v>0.05</v>
      </c>
      <c r="F2997" s="3">
        <v>0.71</v>
      </c>
      <c r="G2997" s="3">
        <v>6.11</v>
      </c>
    </row>
    <row r="2998">
      <c r="A2998" s="3">
        <v>170508.0</v>
      </c>
      <c r="B2998" s="3" t="s">
        <v>3024</v>
      </c>
      <c r="C2998" s="3" t="s">
        <v>101</v>
      </c>
      <c r="D2998" s="3">
        <v>71.0</v>
      </c>
      <c r="E2998" s="3">
        <v>0.3</v>
      </c>
      <c r="F2998" s="3">
        <v>1.32</v>
      </c>
      <c r="G2998" s="3">
        <v>17.01</v>
      </c>
    </row>
    <row r="2999">
      <c r="A2999" s="3">
        <v>170509.0</v>
      </c>
      <c r="B2999" s="3" t="s">
        <v>3025</v>
      </c>
      <c r="C2999" s="3" t="s">
        <v>101</v>
      </c>
      <c r="D2999" s="3">
        <v>40.0</v>
      </c>
      <c r="E2999" s="3">
        <v>0.23</v>
      </c>
      <c r="F2999" s="3">
        <v>3.27</v>
      </c>
      <c r="G2999" s="3">
        <v>6.46</v>
      </c>
    </row>
    <row r="3000">
      <c r="A3000" s="3">
        <v>170510.0</v>
      </c>
      <c r="B3000" s="3" t="s">
        <v>3026</v>
      </c>
      <c r="C3000" s="3" t="s">
        <v>101</v>
      </c>
      <c r="D3000" s="3">
        <v>50.0</v>
      </c>
      <c r="E3000" s="3">
        <v>0.38</v>
      </c>
      <c r="F3000" s="3">
        <v>3.5</v>
      </c>
      <c r="G3000" s="3">
        <v>8.43</v>
      </c>
    </row>
    <row r="3001">
      <c r="A3001" s="3">
        <v>170511.0</v>
      </c>
      <c r="B3001" s="3" t="s">
        <v>3027</v>
      </c>
      <c r="C3001" s="3" t="s">
        <v>101</v>
      </c>
      <c r="D3001" s="3">
        <v>98.0</v>
      </c>
      <c r="E3001" s="3">
        <v>0.51</v>
      </c>
      <c r="F3001" s="3">
        <v>7.05</v>
      </c>
      <c r="G3001" s="3">
        <v>17.08</v>
      </c>
    </row>
    <row r="3002">
      <c r="A3002" s="3">
        <v>170512.0</v>
      </c>
      <c r="B3002" s="3" t="s">
        <v>3028</v>
      </c>
      <c r="C3002" s="3" t="s">
        <v>101</v>
      </c>
      <c r="D3002" s="3">
        <v>38.0</v>
      </c>
      <c r="E3002" s="3">
        <v>0.27</v>
      </c>
      <c r="F3002" s="3">
        <v>2.17</v>
      </c>
      <c r="G3002" s="3">
        <v>8.48</v>
      </c>
    </row>
    <row r="3003">
      <c r="A3003" s="3">
        <v>170513.0</v>
      </c>
      <c r="B3003" s="3" t="s">
        <v>3029</v>
      </c>
      <c r="C3003" s="3" t="s">
        <v>101</v>
      </c>
      <c r="D3003" s="3">
        <v>48.0</v>
      </c>
      <c r="E3003" s="3">
        <v>0.42</v>
      </c>
      <c r="F3003" s="3">
        <v>3.09</v>
      </c>
      <c r="G3003" s="3">
        <v>10.12</v>
      </c>
    </row>
    <row r="3004">
      <c r="A3004" s="3">
        <v>170514.0</v>
      </c>
      <c r="B3004" s="3" t="s">
        <v>3030</v>
      </c>
      <c r="C3004" s="3" t="s">
        <v>101</v>
      </c>
      <c r="D3004" s="3">
        <v>45.0</v>
      </c>
      <c r="E3004" s="3">
        <v>0.2</v>
      </c>
      <c r="F3004" s="3">
        <v>2.54</v>
      </c>
      <c r="G3004" s="3">
        <v>8.63</v>
      </c>
    </row>
    <row r="3005">
      <c r="A3005" s="3">
        <v>170515.0</v>
      </c>
      <c r="B3005" s="3" t="s">
        <v>3031</v>
      </c>
      <c r="C3005" s="3" t="s">
        <v>101</v>
      </c>
      <c r="D3005" s="3">
        <v>26.0</v>
      </c>
      <c r="E3005" s="3">
        <v>0.2</v>
      </c>
      <c r="F3005" s="3">
        <v>0.92</v>
      </c>
      <c r="G3005" s="3">
        <v>6.11</v>
      </c>
    </row>
    <row r="3006">
      <c r="A3006" s="3">
        <v>170516.0</v>
      </c>
      <c r="B3006" s="3" t="s">
        <v>3032</v>
      </c>
      <c r="C3006" s="3" t="s">
        <v>101</v>
      </c>
      <c r="D3006" s="3">
        <v>16.0</v>
      </c>
      <c r="E3006" s="3">
        <v>0.18</v>
      </c>
      <c r="F3006" s="3">
        <v>0.95</v>
      </c>
      <c r="G3006" s="3">
        <v>3.31</v>
      </c>
    </row>
    <row r="3007">
      <c r="A3007" s="3">
        <v>170517.0</v>
      </c>
      <c r="B3007" s="3" t="s">
        <v>3033</v>
      </c>
      <c r="C3007" s="3" t="s">
        <v>101</v>
      </c>
      <c r="D3007" s="3">
        <v>111.0</v>
      </c>
      <c r="E3007" s="3">
        <v>1.36</v>
      </c>
      <c r="F3007" s="3">
        <v>5.96</v>
      </c>
      <c r="G3007" s="3">
        <v>19.49</v>
      </c>
    </row>
    <row r="3008">
      <c r="A3008" s="3">
        <v>170518.0</v>
      </c>
      <c r="B3008" s="3" t="s">
        <v>3034</v>
      </c>
      <c r="C3008" s="3" t="s">
        <v>101</v>
      </c>
      <c r="D3008" s="3">
        <v>20.0</v>
      </c>
      <c r="E3008" s="3">
        <v>0.4</v>
      </c>
      <c r="F3008" s="3">
        <v>2.3</v>
      </c>
      <c r="G3008" s="3">
        <v>3.1</v>
      </c>
    </row>
    <row r="3009">
      <c r="A3009" s="3">
        <v>170519.0</v>
      </c>
      <c r="B3009" s="3" t="s">
        <v>3035</v>
      </c>
      <c r="C3009" s="3" t="s">
        <v>101</v>
      </c>
      <c r="D3009" s="3">
        <v>78.0</v>
      </c>
      <c r="E3009" s="3">
        <v>0.1</v>
      </c>
      <c r="F3009" s="3">
        <v>2.86</v>
      </c>
      <c r="G3009" s="3">
        <v>17.2</v>
      </c>
    </row>
    <row r="3010">
      <c r="A3010" s="3">
        <v>170520.0</v>
      </c>
      <c r="B3010" s="3" t="s">
        <v>3036</v>
      </c>
      <c r="C3010" s="3" t="s">
        <v>101</v>
      </c>
      <c r="D3010" s="3">
        <v>86.0</v>
      </c>
      <c r="E3010" s="3">
        <v>0.1</v>
      </c>
      <c r="F3010" s="3">
        <v>1.71</v>
      </c>
      <c r="G3010" s="3">
        <v>20.01</v>
      </c>
    </row>
    <row r="3011">
      <c r="A3011" s="3">
        <v>170521.0</v>
      </c>
      <c r="B3011" s="3" t="s">
        <v>3037</v>
      </c>
      <c r="C3011" s="3" t="s">
        <v>101</v>
      </c>
      <c r="D3011" s="3">
        <v>105.0</v>
      </c>
      <c r="E3011" s="3">
        <v>0.1</v>
      </c>
      <c r="F3011" s="3">
        <v>2.44</v>
      </c>
      <c r="G3011" s="3">
        <v>24.24</v>
      </c>
    </row>
    <row r="3012">
      <c r="A3012" s="3">
        <v>170522.0</v>
      </c>
      <c r="B3012" s="3" t="s">
        <v>3038</v>
      </c>
      <c r="C3012" s="3" t="s">
        <v>101</v>
      </c>
      <c r="D3012" s="3">
        <v>100.0</v>
      </c>
      <c r="E3012" s="3">
        <v>0.1</v>
      </c>
      <c r="F3012" s="3">
        <v>2.1</v>
      </c>
      <c r="G3012" s="3">
        <v>23.28</v>
      </c>
    </row>
    <row r="3013">
      <c r="A3013" s="3">
        <v>170523.0</v>
      </c>
      <c r="B3013" s="3" t="s">
        <v>3039</v>
      </c>
      <c r="C3013" s="3" t="s">
        <v>101</v>
      </c>
      <c r="D3013" s="3">
        <v>147.0</v>
      </c>
      <c r="E3013" s="3">
        <v>4.66</v>
      </c>
      <c r="F3013" s="3">
        <v>2.24</v>
      </c>
      <c r="G3013" s="3">
        <v>24.81</v>
      </c>
    </row>
    <row r="3014">
      <c r="A3014" s="3">
        <v>170524.0</v>
      </c>
      <c r="B3014" s="3" t="s">
        <v>3040</v>
      </c>
      <c r="C3014" s="3" t="s">
        <v>101</v>
      </c>
      <c r="D3014" s="3">
        <v>132.0</v>
      </c>
      <c r="E3014" s="3">
        <v>7.59</v>
      </c>
      <c r="F3014" s="3">
        <v>5.06</v>
      </c>
      <c r="G3014" s="3">
        <v>11.27</v>
      </c>
    </row>
    <row r="3015">
      <c r="A3015" s="3">
        <v>170525.0</v>
      </c>
      <c r="B3015" s="3" t="s">
        <v>3041</v>
      </c>
      <c r="C3015" s="3" t="s">
        <v>101</v>
      </c>
      <c r="D3015" s="3">
        <v>88.0</v>
      </c>
      <c r="E3015" s="3">
        <v>3.68</v>
      </c>
      <c r="F3015" s="3">
        <v>2.87</v>
      </c>
      <c r="G3015" s="3">
        <v>10.78</v>
      </c>
    </row>
    <row r="3016">
      <c r="A3016" s="3">
        <v>170526.0</v>
      </c>
      <c r="B3016" s="3" t="s">
        <v>3042</v>
      </c>
      <c r="C3016" s="3" t="s">
        <v>101</v>
      </c>
      <c r="D3016" s="3">
        <v>18.0</v>
      </c>
      <c r="E3016" s="3">
        <v>0.07</v>
      </c>
      <c r="F3016" s="3">
        <v>0.72</v>
      </c>
      <c r="G3016" s="3">
        <v>4.31</v>
      </c>
    </row>
    <row r="3017">
      <c r="A3017" s="3">
        <v>170527.0</v>
      </c>
      <c r="B3017" s="3" t="s">
        <v>3043</v>
      </c>
      <c r="C3017" s="3" t="s">
        <v>101</v>
      </c>
      <c r="D3017" s="3">
        <v>34.0</v>
      </c>
      <c r="E3017" s="3">
        <v>0.28</v>
      </c>
      <c r="F3017" s="3">
        <v>1.1</v>
      </c>
      <c r="G3017" s="3">
        <v>8.09</v>
      </c>
    </row>
    <row r="3018">
      <c r="A3018" s="3">
        <v>170528.0</v>
      </c>
      <c r="B3018" s="3" t="s">
        <v>3044</v>
      </c>
      <c r="C3018" s="3" t="s">
        <v>101</v>
      </c>
      <c r="D3018" s="3">
        <v>30.0</v>
      </c>
      <c r="E3018" s="3">
        <v>0.18</v>
      </c>
      <c r="F3018" s="3">
        <v>0.93</v>
      </c>
      <c r="G3018" s="3">
        <v>6.84</v>
      </c>
    </row>
    <row r="3019">
      <c r="A3019" s="3">
        <v>170529.0</v>
      </c>
      <c r="B3019" s="3" t="s">
        <v>3045</v>
      </c>
      <c r="C3019" s="3" t="s">
        <v>101</v>
      </c>
      <c r="D3019" s="3">
        <v>68.0</v>
      </c>
      <c r="E3019" s="3">
        <v>0.17</v>
      </c>
      <c r="F3019" s="3">
        <v>2.73</v>
      </c>
      <c r="G3019" s="3">
        <v>15.36</v>
      </c>
    </row>
    <row r="3020">
      <c r="A3020" s="3">
        <v>170530.0</v>
      </c>
      <c r="B3020" s="3" t="s">
        <v>3046</v>
      </c>
      <c r="C3020" s="3" t="s">
        <v>101</v>
      </c>
      <c r="D3020" s="3">
        <v>141.0</v>
      </c>
      <c r="E3020" s="3">
        <v>6.4</v>
      </c>
      <c r="F3020" s="3">
        <v>12.35</v>
      </c>
      <c r="G3020" s="3">
        <v>11.05</v>
      </c>
    </row>
    <row r="3021">
      <c r="A3021" s="3">
        <v>170531.0</v>
      </c>
      <c r="B3021" s="3" t="s">
        <v>3047</v>
      </c>
      <c r="C3021" s="3" t="s">
        <v>101</v>
      </c>
      <c r="D3021" s="3">
        <v>23.0</v>
      </c>
      <c r="E3021" s="3">
        <v>0.26</v>
      </c>
      <c r="F3021" s="3">
        <v>2.97</v>
      </c>
      <c r="G3021" s="3">
        <v>3.75</v>
      </c>
    </row>
    <row r="3022">
      <c r="A3022" s="3">
        <v>170532.0</v>
      </c>
      <c r="B3022" s="3" t="s">
        <v>3048</v>
      </c>
      <c r="C3022" s="3" t="s">
        <v>101</v>
      </c>
      <c r="D3022" s="3">
        <v>25.0</v>
      </c>
      <c r="E3022" s="3">
        <v>0.2</v>
      </c>
      <c r="F3022" s="3">
        <v>1.28</v>
      </c>
      <c r="G3022" s="3">
        <v>5.54</v>
      </c>
    </row>
    <row r="3023">
      <c r="A3023" s="3">
        <v>170533.0</v>
      </c>
      <c r="B3023" s="3" t="s">
        <v>3049</v>
      </c>
      <c r="C3023" s="3" t="s">
        <v>101</v>
      </c>
      <c r="D3023" s="3">
        <v>16.0</v>
      </c>
      <c r="E3023" s="3">
        <v>0.17</v>
      </c>
      <c r="F3023" s="3">
        <v>1.03</v>
      </c>
      <c r="G3023" s="3">
        <v>3.3</v>
      </c>
    </row>
    <row r="3024">
      <c r="A3024" s="3">
        <v>170534.0</v>
      </c>
      <c r="B3024" s="3" t="s">
        <v>3050</v>
      </c>
      <c r="C3024" s="3" t="s">
        <v>101</v>
      </c>
      <c r="D3024" s="3">
        <v>15.0</v>
      </c>
      <c r="E3024" s="3">
        <v>0.36</v>
      </c>
      <c r="F3024" s="3">
        <v>1.14</v>
      </c>
      <c r="G3024" s="3">
        <v>2.69</v>
      </c>
    </row>
    <row r="3025">
      <c r="A3025" s="3">
        <v>170535.0</v>
      </c>
      <c r="B3025" s="3" t="s">
        <v>3051</v>
      </c>
      <c r="C3025" s="3" t="s">
        <v>101</v>
      </c>
      <c r="D3025" s="3">
        <v>14.0</v>
      </c>
      <c r="E3025" s="3">
        <v>0.13</v>
      </c>
      <c r="F3025" s="3">
        <v>1.15</v>
      </c>
      <c r="G3025" s="3">
        <v>2.97</v>
      </c>
    </row>
    <row r="3026">
      <c r="A3026" s="3">
        <v>170536.0</v>
      </c>
      <c r="B3026" s="3" t="s">
        <v>3052</v>
      </c>
      <c r="C3026" s="3" t="s">
        <v>101</v>
      </c>
      <c r="D3026" s="3">
        <v>39.0</v>
      </c>
      <c r="E3026" s="3">
        <v>0.07</v>
      </c>
      <c r="F3026" s="3">
        <v>1.23</v>
      </c>
      <c r="G3026" s="3">
        <v>10.04</v>
      </c>
    </row>
    <row r="3027">
      <c r="A3027" s="3">
        <v>170537.0</v>
      </c>
      <c r="B3027" s="3" t="s">
        <v>3053</v>
      </c>
      <c r="C3027" s="3" t="s">
        <v>101</v>
      </c>
      <c r="D3027" s="3">
        <v>50.0</v>
      </c>
      <c r="E3027" s="3">
        <v>0.62</v>
      </c>
      <c r="F3027" s="3">
        <v>2.48</v>
      </c>
      <c r="G3027" s="3">
        <v>10.81</v>
      </c>
    </row>
    <row r="3028">
      <c r="A3028" s="3">
        <v>170538.0</v>
      </c>
      <c r="B3028" s="3" t="s">
        <v>3054</v>
      </c>
      <c r="C3028" s="3" t="s">
        <v>101</v>
      </c>
      <c r="D3028" s="3">
        <v>30.0</v>
      </c>
      <c r="E3028" s="3">
        <v>0.37</v>
      </c>
      <c r="F3028" s="3">
        <v>1.48</v>
      </c>
      <c r="G3028" s="3">
        <v>6.46</v>
      </c>
    </row>
    <row r="3029">
      <c r="A3029" s="3">
        <v>170539.0</v>
      </c>
      <c r="B3029" s="3" t="s">
        <v>3055</v>
      </c>
      <c r="C3029" s="3" t="s">
        <v>101</v>
      </c>
      <c r="D3029" s="3">
        <v>27.0</v>
      </c>
      <c r="E3029" s="3">
        <v>0.26</v>
      </c>
      <c r="F3029" s="3">
        <v>0.66</v>
      </c>
      <c r="G3029" s="3">
        <v>6.46</v>
      </c>
    </row>
    <row r="3030">
      <c r="A3030" s="3">
        <v>170540.0</v>
      </c>
      <c r="B3030" s="3" t="s">
        <v>3056</v>
      </c>
      <c r="C3030" s="3" t="s">
        <v>101</v>
      </c>
      <c r="D3030" s="3">
        <v>111.0</v>
      </c>
      <c r="E3030" s="3">
        <v>0.8</v>
      </c>
      <c r="F3030" s="3">
        <v>5.07</v>
      </c>
      <c r="G3030" s="3">
        <v>24.37</v>
      </c>
    </row>
    <row r="3031">
      <c r="A3031" s="3">
        <v>170541.0</v>
      </c>
      <c r="B3031" s="3" t="s">
        <v>3057</v>
      </c>
      <c r="C3031" s="3" t="s">
        <v>101</v>
      </c>
      <c r="D3031" s="3">
        <v>76.0</v>
      </c>
      <c r="E3031" s="3">
        <v>0.14</v>
      </c>
      <c r="F3031" s="3">
        <v>1.37</v>
      </c>
      <c r="G3031" s="3">
        <v>17.72</v>
      </c>
    </row>
    <row r="3032">
      <c r="A3032" s="3">
        <v>170542.0</v>
      </c>
      <c r="B3032" s="3" t="s">
        <v>3058</v>
      </c>
      <c r="C3032" s="3" t="s">
        <v>101</v>
      </c>
      <c r="D3032" s="3">
        <v>100.0</v>
      </c>
      <c r="E3032" s="3">
        <v>0.12</v>
      </c>
      <c r="F3032" s="3">
        <v>1.71</v>
      </c>
      <c r="G3032" s="3">
        <v>23.4</v>
      </c>
    </row>
    <row r="3033">
      <c r="A3033" s="3">
        <v>170543.0</v>
      </c>
      <c r="B3033" s="3" t="s">
        <v>3059</v>
      </c>
      <c r="C3033" s="3" t="s">
        <v>101</v>
      </c>
      <c r="D3033" s="3">
        <v>142.0</v>
      </c>
      <c r="E3033" s="3">
        <v>0.11</v>
      </c>
      <c r="F3033" s="3">
        <v>0.52</v>
      </c>
      <c r="G3033" s="3">
        <v>34.6</v>
      </c>
    </row>
    <row r="3034">
      <c r="A3034" s="3">
        <v>170544.0</v>
      </c>
      <c r="B3034" s="3" t="s">
        <v>3060</v>
      </c>
      <c r="C3034" s="3" t="s">
        <v>101</v>
      </c>
      <c r="D3034" s="3">
        <v>24.0</v>
      </c>
      <c r="E3034" s="3">
        <v>0.41</v>
      </c>
      <c r="F3034" s="3">
        <v>2.72</v>
      </c>
      <c r="G3034" s="3">
        <v>3.89</v>
      </c>
    </row>
    <row r="3035">
      <c r="A3035" s="3">
        <v>170545.0</v>
      </c>
      <c r="B3035" s="3" t="s">
        <v>3061</v>
      </c>
      <c r="C3035" s="3" t="s">
        <v>101</v>
      </c>
      <c r="D3035" s="3">
        <v>17.0</v>
      </c>
      <c r="E3035" s="3">
        <v>0.29</v>
      </c>
      <c r="F3035" s="3">
        <v>0.85</v>
      </c>
      <c r="G3035" s="3">
        <v>3.53</v>
      </c>
    </row>
    <row r="3036">
      <c r="A3036" s="3">
        <v>170546.0</v>
      </c>
      <c r="B3036" s="3" t="s">
        <v>3062</v>
      </c>
      <c r="C3036" s="3" t="s">
        <v>101</v>
      </c>
      <c r="D3036" s="3">
        <v>38.0</v>
      </c>
      <c r="E3036" s="3">
        <v>0.21</v>
      </c>
      <c r="F3036" s="3">
        <v>1.65</v>
      </c>
      <c r="G3036" s="3">
        <v>8.98</v>
      </c>
    </row>
    <row r="3037">
      <c r="A3037" s="3">
        <v>170547.0</v>
      </c>
      <c r="B3037" s="3" t="s">
        <v>3063</v>
      </c>
      <c r="C3037" s="3" t="s">
        <v>101</v>
      </c>
      <c r="D3037" s="3">
        <v>22.0</v>
      </c>
      <c r="E3037" s="3">
        <v>0.08</v>
      </c>
      <c r="F3037" s="3">
        <v>0.71</v>
      </c>
      <c r="G3037" s="3">
        <v>5.06</v>
      </c>
    </row>
    <row r="3038">
      <c r="A3038" s="3">
        <v>170548.0</v>
      </c>
      <c r="B3038" s="3" t="s">
        <v>3064</v>
      </c>
      <c r="C3038" s="3" t="s">
        <v>101</v>
      </c>
      <c r="D3038" s="3">
        <v>21.0</v>
      </c>
      <c r="E3038" s="3">
        <v>0.24</v>
      </c>
      <c r="F3038" s="3">
        <v>1.53</v>
      </c>
      <c r="G3038" s="3">
        <v>3.73</v>
      </c>
    </row>
    <row r="3039">
      <c r="A3039" s="3">
        <v>170549.0</v>
      </c>
      <c r="B3039" s="3" t="s">
        <v>3065</v>
      </c>
      <c r="C3039" s="3" t="s">
        <v>101</v>
      </c>
      <c r="D3039" s="3">
        <v>11.0</v>
      </c>
      <c r="E3039" s="3">
        <v>0.2</v>
      </c>
      <c r="F3039" s="3">
        <v>0.4</v>
      </c>
      <c r="G3039" s="3">
        <v>2.45</v>
      </c>
    </row>
    <row r="3040">
      <c r="A3040" s="3">
        <v>170550.0</v>
      </c>
      <c r="B3040" s="3" t="s">
        <v>3066</v>
      </c>
      <c r="C3040" s="3" t="s">
        <v>101</v>
      </c>
      <c r="D3040" s="3">
        <v>37.0</v>
      </c>
      <c r="E3040" s="3">
        <v>0.66</v>
      </c>
      <c r="F3040" s="3">
        <v>5.31</v>
      </c>
      <c r="G3040" s="3">
        <v>3.21</v>
      </c>
    </row>
    <row r="3041">
      <c r="A3041" s="3">
        <v>170551.0</v>
      </c>
      <c r="B3041" s="3" t="s">
        <v>3067</v>
      </c>
      <c r="C3041" s="3" t="s">
        <v>101</v>
      </c>
      <c r="D3041" s="3">
        <v>114.0</v>
      </c>
      <c r="E3041" s="3">
        <v>0.14</v>
      </c>
      <c r="F3041" s="3">
        <v>1.49</v>
      </c>
      <c r="G3041" s="3">
        <v>26.99</v>
      </c>
    </row>
    <row r="3042">
      <c r="A3042" s="3">
        <v>170552.0</v>
      </c>
      <c r="B3042" s="3" t="s">
        <v>3068</v>
      </c>
      <c r="C3042" s="3" t="s">
        <v>1099</v>
      </c>
      <c r="D3042" s="3">
        <v>217.0</v>
      </c>
      <c r="E3042" s="3">
        <v>0.99</v>
      </c>
      <c r="F3042" s="3">
        <v>5.97</v>
      </c>
      <c r="G3042" s="3">
        <v>46.28</v>
      </c>
    </row>
    <row r="3043">
      <c r="A3043" s="3">
        <v>170553.0</v>
      </c>
      <c r="B3043" s="3" t="s">
        <v>3069</v>
      </c>
      <c r="C3043" s="3" t="s">
        <v>1099</v>
      </c>
      <c r="D3043" s="3">
        <v>367.0</v>
      </c>
      <c r="E3043" s="3">
        <v>1.68</v>
      </c>
      <c r="F3043" s="3">
        <v>8.62</v>
      </c>
      <c r="G3043" s="3">
        <v>79.39</v>
      </c>
    </row>
    <row r="3044">
      <c r="A3044" s="3">
        <v>170554.0</v>
      </c>
      <c r="B3044" s="3" t="s">
        <v>3070</v>
      </c>
      <c r="C3044" s="3" t="s">
        <v>1099</v>
      </c>
      <c r="D3044" s="3">
        <v>486.0</v>
      </c>
      <c r="E3044" s="3">
        <v>30.74</v>
      </c>
      <c r="F3044" s="3">
        <v>16.54</v>
      </c>
      <c r="G3044" s="3">
        <v>42.12</v>
      </c>
    </row>
    <row r="3045">
      <c r="A3045" s="3">
        <v>170555.0</v>
      </c>
      <c r="B3045" s="3" t="s">
        <v>3071</v>
      </c>
      <c r="C3045" s="3" t="s">
        <v>1099</v>
      </c>
      <c r="D3045" s="3">
        <v>359.0</v>
      </c>
      <c r="E3045" s="3">
        <v>6.2</v>
      </c>
      <c r="F3045" s="3">
        <v>40.96</v>
      </c>
      <c r="G3045" s="3">
        <v>40.54</v>
      </c>
    </row>
    <row r="3046">
      <c r="A3046" s="3">
        <v>170556.0</v>
      </c>
      <c r="B3046" s="3" t="s">
        <v>3072</v>
      </c>
      <c r="C3046" s="3" t="s">
        <v>1099</v>
      </c>
      <c r="D3046" s="3">
        <v>559.0</v>
      </c>
      <c r="E3046" s="3">
        <v>49.05</v>
      </c>
      <c r="F3046" s="3">
        <v>30.23</v>
      </c>
      <c r="G3046" s="3">
        <v>10.71</v>
      </c>
    </row>
    <row r="3047">
      <c r="A3047" s="3">
        <v>170557.0</v>
      </c>
      <c r="B3047" s="3" t="s">
        <v>3073</v>
      </c>
      <c r="C3047" s="3" t="s">
        <v>1099</v>
      </c>
      <c r="D3047" s="3">
        <v>574.0</v>
      </c>
      <c r="E3047" s="3">
        <v>49.05</v>
      </c>
      <c r="F3047" s="3">
        <v>29.84</v>
      </c>
      <c r="G3047" s="3">
        <v>14.71</v>
      </c>
    </row>
    <row r="3048">
      <c r="A3048" s="3">
        <v>170558.0</v>
      </c>
      <c r="B3048" s="3" t="s">
        <v>3074</v>
      </c>
      <c r="C3048" s="3" t="s">
        <v>1099</v>
      </c>
      <c r="D3048" s="3">
        <v>517.0</v>
      </c>
      <c r="E3048" s="3">
        <v>38.45</v>
      </c>
      <c r="F3048" s="3">
        <v>16.18</v>
      </c>
      <c r="G3048" s="3">
        <v>34.29</v>
      </c>
    </row>
    <row r="3049">
      <c r="A3049" s="3">
        <v>170559.0</v>
      </c>
      <c r="B3049" s="3" t="s">
        <v>3075</v>
      </c>
      <c r="C3049" s="3" t="s">
        <v>1099</v>
      </c>
      <c r="D3049" s="3">
        <v>342.0</v>
      </c>
      <c r="E3049" s="3">
        <v>2.39</v>
      </c>
      <c r="F3049" s="3">
        <v>35.62</v>
      </c>
      <c r="G3049" s="3">
        <v>48.73</v>
      </c>
    </row>
    <row r="3050">
      <c r="A3050" s="3">
        <v>170560.0</v>
      </c>
      <c r="B3050" s="3" t="s">
        <v>3076</v>
      </c>
      <c r="C3050" s="3" t="s">
        <v>1099</v>
      </c>
      <c r="D3050" s="3">
        <v>333.0</v>
      </c>
      <c r="E3050" s="3">
        <v>1.75</v>
      </c>
      <c r="F3050" s="3">
        <v>50.14</v>
      </c>
      <c r="G3050" s="3">
        <v>35.51</v>
      </c>
    </row>
    <row r="3051">
      <c r="A3051" s="3">
        <v>170561.0</v>
      </c>
      <c r="B3051" s="3" t="s">
        <v>3077</v>
      </c>
      <c r="C3051" s="3" t="s">
        <v>1099</v>
      </c>
      <c r="D3051" s="3">
        <v>567.0</v>
      </c>
      <c r="E3051" s="3">
        <v>48.0</v>
      </c>
      <c r="F3051" s="3">
        <v>16.96</v>
      </c>
      <c r="G3051" s="3">
        <v>26.04</v>
      </c>
    </row>
    <row r="3052">
      <c r="A3052" s="3">
        <v>170562.0</v>
      </c>
      <c r="B3052" s="3" t="s">
        <v>3078</v>
      </c>
      <c r="C3052" s="3" t="s">
        <v>1099</v>
      </c>
      <c r="D3052" s="3">
        <v>584.0</v>
      </c>
      <c r="E3052" s="3">
        <v>51.46</v>
      </c>
      <c r="F3052" s="3">
        <v>20.78</v>
      </c>
      <c r="G3052" s="3">
        <v>20.0</v>
      </c>
    </row>
    <row r="3053">
      <c r="A3053" s="3">
        <v>170563.0</v>
      </c>
      <c r="B3053" s="3" t="s">
        <v>3079</v>
      </c>
      <c r="C3053" s="3" t="s">
        <v>1099</v>
      </c>
      <c r="D3053" s="3">
        <v>582.0</v>
      </c>
      <c r="E3053" s="3">
        <v>49.8</v>
      </c>
      <c r="F3053" s="3">
        <v>19.33</v>
      </c>
      <c r="G3053" s="3">
        <v>24.07</v>
      </c>
    </row>
    <row r="3054">
      <c r="A3054" s="3">
        <v>170564.0</v>
      </c>
      <c r="B3054" s="3" t="s">
        <v>3080</v>
      </c>
      <c r="C3054" s="3" t="s">
        <v>1099</v>
      </c>
      <c r="D3054" s="3">
        <v>592.0</v>
      </c>
      <c r="E3054" s="3">
        <v>51.3</v>
      </c>
      <c r="F3054" s="3">
        <v>20.06</v>
      </c>
      <c r="G3054" s="3">
        <v>22.89</v>
      </c>
    </row>
    <row r="3055">
      <c r="A3055" s="3">
        <v>170565.0</v>
      </c>
      <c r="B3055" s="3" t="s">
        <v>3081</v>
      </c>
      <c r="C3055" s="3" t="s">
        <v>1099</v>
      </c>
      <c r="D3055" s="3">
        <v>509.0</v>
      </c>
      <c r="E3055" s="3">
        <v>31.41</v>
      </c>
      <c r="F3055" s="3">
        <v>8.1</v>
      </c>
      <c r="G3055" s="3">
        <v>53.66</v>
      </c>
    </row>
    <row r="3056">
      <c r="A3056" s="3">
        <v>170566.0</v>
      </c>
      <c r="B3056" s="3" t="s">
        <v>3082</v>
      </c>
      <c r="C3056" s="3" t="s">
        <v>1099</v>
      </c>
      <c r="D3056" s="3">
        <v>501.0</v>
      </c>
      <c r="E3056" s="3">
        <v>30.17</v>
      </c>
      <c r="F3056" s="3">
        <v>7.49</v>
      </c>
      <c r="G3056" s="3">
        <v>54.65</v>
      </c>
    </row>
    <row r="3057">
      <c r="A3057" s="3">
        <v>170567.0</v>
      </c>
      <c r="B3057" s="3" t="s">
        <v>3083</v>
      </c>
      <c r="C3057" s="3" t="s">
        <v>1099</v>
      </c>
      <c r="D3057" s="3">
        <v>579.0</v>
      </c>
      <c r="E3057" s="3">
        <v>49.93</v>
      </c>
      <c r="F3057" s="3">
        <v>21.15</v>
      </c>
      <c r="G3057" s="3">
        <v>21.55</v>
      </c>
    </row>
    <row r="3058">
      <c r="A3058" s="3">
        <v>170568.0</v>
      </c>
      <c r="B3058" s="3" t="s">
        <v>3084</v>
      </c>
      <c r="C3058" s="3" t="s">
        <v>1099</v>
      </c>
      <c r="D3058" s="3">
        <v>590.0</v>
      </c>
      <c r="E3058" s="3">
        <v>52.52</v>
      </c>
      <c r="F3058" s="3">
        <v>21.4</v>
      </c>
      <c r="G3058" s="3">
        <v>18.67</v>
      </c>
    </row>
    <row r="3059">
      <c r="A3059" s="3">
        <v>170569.0</v>
      </c>
      <c r="B3059" s="3" t="s">
        <v>3085</v>
      </c>
      <c r="C3059" s="3" t="s">
        <v>1099</v>
      </c>
      <c r="D3059" s="3">
        <v>659.0</v>
      </c>
      <c r="E3059" s="3">
        <v>67.1</v>
      </c>
      <c r="F3059" s="3">
        <v>14.32</v>
      </c>
      <c r="G3059" s="3">
        <v>11.74</v>
      </c>
    </row>
    <row r="3060">
      <c r="A3060" s="3">
        <v>170570.0</v>
      </c>
      <c r="B3060" s="3" t="s">
        <v>3086</v>
      </c>
      <c r="C3060" s="3" t="s">
        <v>1099</v>
      </c>
      <c r="D3060" s="3">
        <v>612.0</v>
      </c>
      <c r="E3060" s="3">
        <v>56.98</v>
      </c>
      <c r="F3060" s="3">
        <v>24.9</v>
      </c>
      <c r="G3060" s="3">
        <v>12.05</v>
      </c>
    </row>
    <row r="3061">
      <c r="A3061" s="3">
        <v>170571.0</v>
      </c>
      <c r="B3061" s="3" t="s">
        <v>3087</v>
      </c>
      <c r="C3061" s="3" t="s">
        <v>1099</v>
      </c>
      <c r="D3061" s="3">
        <v>574.0</v>
      </c>
      <c r="E3061" s="3">
        <v>46.35</v>
      </c>
      <c r="F3061" s="3">
        <v>15.31</v>
      </c>
      <c r="G3061" s="3">
        <v>32.69</v>
      </c>
    </row>
    <row r="3062">
      <c r="A3062" s="3">
        <v>170572.0</v>
      </c>
      <c r="B3062" s="3" t="s">
        <v>3088</v>
      </c>
      <c r="C3062" s="3" t="s">
        <v>1099</v>
      </c>
      <c r="D3062" s="3">
        <v>580.0</v>
      </c>
      <c r="E3062" s="3">
        <v>47.77</v>
      </c>
      <c r="F3062" s="3">
        <v>16.84</v>
      </c>
      <c r="G3062" s="3">
        <v>29.87</v>
      </c>
    </row>
    <row r="3063">
      <c r="A3063" s="3">
        <v>170573.0</v>
      </c>
      <c r="B3063" s="3" t="s">
        <v>3089</v>
      </c>
      <c r="C3063" s="3" t="s">
        <v>1099</v>
      </c>
      <c r="D3063" s="3">
        <v>239.0</v>
      </c>
      <c r="E3063" s="3">
        <v>1.19</v>
      </c>
      <c r="F3063" s="3">
        <v>4.48</v>
      </c>
      <c r="G3063" s="3">
        <v>52.36</v>
      </c>
    </row>
    <row r="3064">
      <c r="A3064" s="3">
        <v>170574.0</v>
      </c>
      <c r="B3064" s="3" t="s">
        <v>3090</v>
      </c>
      <c r="C3064" s="3" t="s">
        <v>1099</v>
      </c>
      <c r="D3064" s="3">
        <v>213.0</v>
      </c>
      <c r="E3064" s="3">
        <v>2.26</v>
      </c>
      <c r="F3064" s="3">
        <v>2.42</v>
      </c>
      <c r="G3064" s="3">
        <v>45.54</v>
      </c>
    </row>
    <row r="3065">
      <c r="A3065" s="3">
        <v>170575.0</v>
      </c>
      <c r="B3065" s="3" t="s">
        <v>3091</v>
      </c>
      <c r="C3065" s="3" t="s">
        <v>1099</v>
      </c>
      <c r="D3065" s="3">
        <v>196.0</v>
      </c>
      <c r="E3065" s="3">
        <v>1.25</v>
      </c>
      <c r="F3065" s="3">
        <v>1.63</v>
      </c>
      <c r="G3065" s="3">
        <v>44.17</v>
      </c>
    </row>
    <row r="3066">
      <c r="A3066" s="3">
        <v>170576.0</v>
      </c>
      <c r="B3066" s="3" t="s">
        <v>3092</v>
      </c>
      <c r="C3066" s="3" t="s">
        <v>1099</v>
      </c>
      <c r="D3066" s="3">
        <v>374.0</v>
      </c>
      <c r="E3066" s="3">
        <v>4.45</v>
      </c>
      <c r="F3066" s="3">
        <v>6.39</v>
      </c>
      <c r="G3066" s="3">
        <v>77.31</v>
      </c>
    </row>
    <row r="3067">
      <c r="A3067" s="3">
        <v>170577.0</v>
      </c>
      <c r="B3067" s="3" t="s">
        <v>3093</v>
      </c>
      <c r="C3067" s="3" t="s">
        <v>1099</v>
      </c>
      <c r="D3067" s="3">
        <v>456.0</v>
      </c>
      <c r="E3067" s="3">
        <v>27.99</v>
      </c>
      <c r="F3067" s="3">
        <v>3.13</v>
      </c>
      <c r="G3067" s="3">
        <v>51.85</v>
      </c>
    </row>
    <row r="3068">
      <c r="A3068" s="3">
        <v>170578.0</v>
      </c>
      <c r="B3068" s="3" t="s">
        <v>3094</v>
      </c>
      <c r="C3068" s="3" t="s">
        <v>1099</v>
      </c>
      <c r="D3068" s="3">
        <v>443.0</v>
      </c>
      <c r="E3068" s="3">
        <v>31.69</v>
      </c>
      <c r="F3068" s="3">
        <v>3.35</v>
      </c>
      <c r="G3068" s="3">
        <v>40.91</v>
      </c>
    </row>
    <row r="3069">
      <c r="A3069" s="3">
        <v>170579.0</v>
      </c>
      <c r="B3069" s="3" t="s">
        <v>3095</v>
      </c>
      <c r="C3069" s="3" t="s">
        <v>1099</v>
      </c>
      <c r="D3069" s="3">
        <v>592.0</v>
      </c>
      <c r="E3069" s="3">
        <v>47.0</v>
      </c>
      <c r="F3069" s="3">
        <v>5.3</v>
      </c>
      <c r="G3069" s="3">
        <v>44.4</v>
      </c>
    </row>
    <row r="3070">
      <c r="A3070" s="3">
        <v>170580.0</v>
      </c>
      <c r="B3070" s="3" t="s">
        <v>3096</v>
      </c>
      <c r="C3070" s="3" t="s">
        <v>1099</v>
      </c>
      <c r="D3070" s="3">
        <v>330.0</v>
      </c>
      <c r="E3070" s="3">
        <v>34.68</v>
      </c>
      <c r="F3070" s="3">
        <v>3.63</v>
      </c>
      <c r="G3070" s="3">
        <v>6.65</v>
      </c>
    </row>
    <row r="3071">
      <c r="A3071" s="3">
        <v>170581.0</v>
      </c>
      <c r="B3071" s="3" t="s">
        <v>3097</v>
      </c>
      <c r="C3071" s="3" t="s">
        <v>1099</v>
      </c>
      <c r="D3071" s="3">
        <v>628.0</v>
      </c>
      <c r="E3071" s="3">
        <v>60.75</v>
      </c>
      <c r="F3071" s="3">
        <v>14.95</v>
      </c>
      <c r="G3071" s="3">
        <v>16.7</v>
      </c>
    </row>
    <row r="3072">
      <c r="A3072" s="3">
        <v>170582.0</v>
      </c>
      <c r="B3072" s="3" t="s">
        <v>3098</v>
      </c>
      <c r="C3072" s="3" t="s">
        <v>1099</v>
      </c>
      <c r="D3072" s="3">
        <v>629.0</v>
      </c>
      <c r="E3072" s="3">
        <v>61.15</v>
      </c>
      <c r="F3072" s="3">
        <v>13.7</v>
      </c>
      <c r="G3072" s="3">
        <v>17.0</v>
      </c>
    </row>
    <row r="3073">
      <c r="A3073" s="3">
        <v>170583.0</v>
      </c>
      <c r="B3073" s="3" t="s">
        <v>3099</v>
      </c>
      <c r="C3073" s="3" t="s">
        <v>1099</v>
      </c>
      <c r="D3073" s="3">
        <v>646.0</v>
      </c>
      <c r="E3073" s="3">
        <v>62.4</v>
      </c>
      <c r="F3073" s="3">
        <v>15.03</v>
      </c>
      <c r="G3073" s="3">
        <v>17.6</v>
      </c>
    </row>
    <row r="3074">
      <c r="A3074" s="3">
        <v>170584.0</v>
      </c>
      <c r="B3074" s="3" t="s">
        <v>3100</v>
      </c>
      <c r="C3074" s="3" t="s">
        <v>1099</v>
      </c>
      <c r="D3074" s="3">
        <v>182.0</v>
      </c>
      <c r="E3074" s="3">
        <v>1.68</v>
      </c>
      <c r="F3074" s="3">
        <v>4.32</v>
      </c>
      <c r="G3074" s="3">
        <v>37.6</v>
      </c>
    </row>
    <row r="3075">
      <c r="A3075" s="3">
        <v>170585.0</v>
      </c>
      <c r="B3075" s="3" t="s">
        <v>3101</v>
      </c>
      <c r="C3075" s="3" t="s">
        <v>1099</v>
      </c>
      <c r="D3075" s="3">
        <v>607.0</v>
      </c>
      <c r="E3075" s="3">
        <v>53.5</v>
      </c>
      <c r="F3075" s="3">
        <v>19.5</v>
      </c>
      <c r="G3075" s="3">
        <v>22.42</v>
      </c>
    </row>
    <row r="3076">
      <c r="A3076" s="3">
        <v>170586.0</v>
      </c>
      <c r="B3076" s="3" t="s">
        <v>3102</v>
      </c>
      <c r="C3076" s="3" t="s">
        <v>1099</v>
      </c>
      <c r="D3076" s="3">
        <v>572.0</v>
      </c>
      <c r="E3076" s="3">
        <v>47.52</v>
      </c>
      <c r="F3076" s="3">
        <v>23.28</v>
      </c>
      <c r="G3076" s="3">
        <v>23.07</v>
      </c>
    </row>
    <row r="3077">
      <c r="A3077" s="3">
        <v>170587.0</v>
      </c>
      <c r="B3077" s="3" t="s">
        <v>3103</v>
      </c>
      <c r="C3077" s="3" t="s">
        <v>1099</v>
      </c>
      <c r="D3077" s="3">
        <v>607.0</v>
      </c>
      <c r="E3077" s="3">
        <v>53.95</v>
      </c>
      <c r="F3077" s="3">
        <v>20.04</v>
      </c>
      <c r="G3077" s="3">
        <v>21.05</v>
      </c>
    </row>
    <row r="3078">
      <c r="A3078" s="3">
        <v>170588.0</v>
      </c>
      <c r="B3078" s="3" t="s">
        <v>3104</v>
      </c>
      <c r="C3078" s="3" t="s">
        <v>1099</v>
      </c>
      <c r="D3078" s="3">
        <v>615.0</v>
      </c>
      <c r="E3078" s="3">
        <v>56.17</v>
      </c>
      <c r="F3078" s="3">
        <v>15.52</v>
      </c>
      <c r="G3078" s="3">
        <v>22.27</v>
      </c>
    </row>
    <row r="3079">
      <c r="A3079" s="3">
        <v>170589.0</v>
      </c>
      <c r="B3079" s="3" t="s">
        <v>3105</v>
      </c>
      <c r="C3079" s="3" t="s">
        <v>1099</v>
      </c>
      <c r="D3079" s="3">
        <v>715.0</v>
      </c>
      <c r="E3079" s="3">
        <v>75.23</v>
      </c>
      <c r="F3079" s="3">
        <v>9.2</v>
      </c>
      <c r="G3079" s="3">
        <v>13.01</v>
      </c>
    </row>
    <row r="3080">
      <c r="A3080" s="3">
        <v>170590.0</v>
      </c>
      <c r="B3080" s="3" t="s">
        <v>3106</v>
      </c>
      <c r="C3080" s="3" t="s">
        <v>1099</v>
      </c>
      <c r="D3080" s="3">
        <v>719.0</v>
      </c>
      <c r="E3080" s="3">
        <v>79.55</v>
      </c>
      <c r="F3080" s="3">
        <v>10.8</v>
      </c>
      <c r="G3080" s="3">
        <v>3.98</v>
      </c>
    </row>
    <row r="3081">
      <c r="A3081" s="3">
        <v>170591.0</v>
      </c>
      <c r="B3081" s="3" t="s">
        <v>3107</v>
      </c>
      <c r="C3081" s="3" t="s">
        <v>1099</v>
      </c>
      <c r="D3081" s="3">
        <v>673.0</v>
      </c>
      <c r="E3081" s="3">
        <v>68.37</v>
      </c>
      <c r="F3081" s="3">
        <v>13.69</v>
      </c>
      <c r="G3081" s="3">
        <v>13.08</v>
      </c>
    </row>
    <row r="3082">
      <c r="A3082" s="3">
        <v>170592.0</v>
      </c>
      <c r="B3082" s="3" t="s">
        <v>3108</v>
      </c>
      <c r="C3082" s="3" t="s">
        <v>1099</v>
      </c>
      <c r="D3082" s="3">
        <v>629.0</v>
      </c>
      <c r="E3082" s="3">
        <v>60.98</v>
      </c>
      <c r="F3082" s="3">
        <v>11.57</v>
      </c>
      <c r="G3082" s="3">
        <v>19.3</v>
      </c>
    </row>
    <row r="3083">
      <c r="A3083" s="3">
        <v>170593.0</v>
      </c>
      <c r="B3083" s="3" t="s">
        <v>3109</v>
      </c>
      <c r="C3083" s="3" t="s">
        <v>1099</v>
      </c>
      <c r="D3083" s="3">
        <v>500.0</v>
      </c>
      <c r="E3083" s="3">
        <v>35.71</v>
      </c>
      <c r="F3083" s="3">
        <v>8.28</v>
      </c>
      <c r="G3083" s="3">
        <v>47.59</v>
      </c>
    </row>
    <row r="3084">
      <c r="A3084" s="3">
        <v>170594.0</v>
      </c>
      <c r="B3084" s="3" t="s">
        <v>3110</v>
      </c>
      <c r="C3084" s="3" t="s">
        <v>1099</v>
      </c>
      <c r="D3084" s="3">
        <v>643.0</v>
      </c>
      <c r="E3084" s="3">
        <v>60.71</v>
      </c>
      <c r="F3084" s="3">
        <v>14.29</v>
      </c>
      <c r="G3084" s="3">
        <v>17.86</v>
      </c>
    </row>
    <row r="3085">
      <c r="A3085" s="3">
        <v>170595.0</v>
      </c>
      <c r="B3085" s="3" t="s">
        <v>3111</v>
      </c>
      <c r="C3085" s="3" t="s">
        <v>1099</v>
      </c>
      <c r="D3085" s="3">
        <v>207.0</v>
      </c>
      <c r="E3085" s="3">
        <v>2.7</v>
      </c>
      <c r="F3085" s="3">
        <v>6.2</v>
      </c>
      <c r="G3085" s="3">
        <v>40.1</v>
      </c>
    </row>
    <row r="3086">
      <c r="A3086" s="3">
        <v>170596.0</v>
      </c>
      <c r="B3086" s="3" t="s">
        <v>3112</v>
      </c>
      <c r="C3086" s="3" t="s">
        <v>1099</v>
      </c>
      <c r="D3086" s="3">
        <v>506.0</v>
      </c>
      <c r="E3086" s="3">
        <v>36.29</v>
      </c>
      <c r="F3086" s="3">
        <v>32.59</v>
      </c>
      <c r="G3086" s="3">
        <v>21.9</v>
      </c>
    </row>
    <row r="3087">
      <c r="A3087" s="3">
        <v>170597.0</v>
      </c>
      <c r="B3087" s="3" t="s">
        <v>3113</v>
      </c>
      <c r="C3087" s="3" t="s">
        <v>189</v>
      </c>
      <c r="D3087" s="3">
        <v>145.0</v>
      </c>
      <c r="E3087" s="3">
        <v>4.2</v>
      </c>
      <c r="F3087" s="3">
        <v>25.1</v>
      </c>
      <c r="G3087" s="3">
        <v>0.0</v>
      </c>
    </row>
    <row r="3088">
      <c r="A3088" s="3">
        <v>170598.0</v>
      </c>
      <c r="B3088" s="3" t="s">
        <v>3114</v>
      </c>
      <c r="C3088" s="3" t="s">
        <v>189</v>
      </c>
      <c r="D3088" s="3">
        <v>284.0</v>
      </c>
      <c r="E3088" s="3">
        <v>22.3</v>
      </c>
      <c r="F3088" s="3">
        <v>19.29</v>
      </c>
      <c r="G3088" s="3">
        <v>0.0</v>
      </c>
    </row>
    <row r="3089">
      <c r="A3089" s="3">
        <v>170599.0</v>
      </c>
      <c r="B3089" s="3" t="s">
        <v>3115</v>
      </c>
      <c r="C3089" s="3" t="s">
        <v>189</v>
      </c>
      <c r="D3089" s="3">
        <v>85.0</v>
      </c>
      <c r="E3089" s="3">
        <v>3.69</v>
      </c>
      <c r="F3089" s="3">
        <v>12.07</v>
      </c>
      <c r="G3089" s="3">
        <v>0.0</v>
      </c>
    </row>
    <row r="3090">
      <c r="A3090" s="3">
        <v>170600.0</v>
      </c>
      <c r="B3090" s="3" t="s">
        <v>3116</v>
      </c>
      <c r="C3090" s="3" t="s">
        <v>189</v>
      </c>
      <c r="D3090" s="3">
        <v>309.0</v>
      </c>
      <c r="E3090" s="3">
        <v>27.0</v>
      </c>
      <c r="F3090" s="3">
        <v>16.5</v>
      </c>
      <c r="G3090" s="3">
        <v>0.0</v>
      </c>
    </row>
    <row r="3091">
      <c r="A3091" s="3">
        <v>170601.0</v>
      </c>
      <c r="B3091" s="3" t="s">
        <v>3117</v>
      </c>
      <c r="C3091" s="3" t="s">
        <v>189</v>
      </c>
      <c r="D3091" s="3">
        <v>212.0</v>
      </c>
      <c r="E3091" s="3">
        <v>8.07</v>
      </c>
      <c r="F3091" s="3">
        <v>32.62</v>
      </c>
      <c r="G3091" s="3">
        <v>0.0</v>
      </c>
    </row>
    <row r="3092">
      <c r="A3092" s="3">
        <v>170602.0</v>
      </c>
      <c r="B3092" s="3" t="s">
        <v>3118</v>
      </c>
      <c r="C3092" s="3" t="s">
        <v>189</v>
      </c>
      <c r="D3092" s="3">
        <v>250.0</v>
      </c>
      <c r="E3092" s="3">
        <v>14.93</v>
      </c>
      <c r="F3092" s="3">
        <v>27.1</v>
      </c>
      <c r="G3092" s="3">
        <v>0.0</v>
      </c>
    </row>
    <row r="3093">
      <c r="A3093" s="3">
        <v>170603.0</v>
      </c>
      <c r="B3093" s="3" t="s">
        <v>3119</v>
      </c>
      <c r="C3093" s="3" t="s">
        <v>189</v>
      </c>
      <c r="D3093" s="3">
        <v>134.0</v>
      </c>
      <c r="E3093" s="3">
        <v>5.41</v>
      </c>
      <c r="F3093" s="3">
        <v>21.03</v>
      </c>
      <c r="G3093" s="3">
        <v>0.19</v>
      </c>
    </row>
    <row r="3094">
      <c r="A3094" s="3">
        <v>170604.0</v>
      </c>
      <c r="B3094" s="3" t="s">
        <v>3120</v>
      </c>
      <c r="C3094" s="3" t="s">
        <v>189</v>
      </c>
      <c r="D3094" s="3">
        <v>153.0</v>
      </c>
      <c r="E3094" s="3">
        <v>1.94</v>
      </c>
      <c r="F3094" s="3">
        <v>31.1</v>
      </c>
      <c r="G3094" s="3">
        <v>2.76</v>
      </c>
    </row>
    <row r="3095">
      <c r="A3095" s="3">
        <v>170605.0</v>
      </c>
      <c r="B3095" s="3" t="s">
        <v>3121</v>
      </c>
      <c r="C3095" s="3" t="s">
        <v>189</v>
      </c>
      <c r="D3095" s="3">
        <v>220.0</v>
      </c>
      <c r="E3095" s="3">
        <v>12.64</v>
      </c>
      <c r="F3095" s="3">
        <v>26.5</v>
      </c>
      <c r="G3095" s="3">
        <v>0.14</v>
      </c>
    </row>
    <row r="3096">
      <c r="A3096" s="3">
        <v>170606.0</v>
      </c>
      <c r="B3096" s="3" t="s">
        <v>3122</v>
      </c>
      <c r="C3096" s="3" t="s">
        <v>189</v>
      </c>
      <c r="D3096" s="3">
        <v>312.0</v>
      </c>
      <c r="E3096" s="3">
        <v>26.91</v>
      </c>
      <c r="F3096" s="3">
        <v>14.11</v>
      </c>
      <c r="G3096" s="3">
        <v>2.42</v>
      </c>
    </row>
    <row r="3097">
      <c r="A3097" s="3">
        <v>170607.0</v>
      </c>
      <c r="B3097" s="3" t="s">
        <v>3123</v>
      </c>
      <c r="C3097" s="3" t="s">
        <v>189</v>
      </c>
      <c r="D3097" s="3">
        <v>133.0</v>
      </c>
      <c r="E3097" s="3">
        <v>4.42</v>
      </c>
      <c r="F3097" s="3">
        <v>20.19</v>
      </c>
      <c r="G3097" s="3">
        <v>1.86</v>
      </c>
    </row>
    <row r="3098">
      <c r="A3098" s="3">
        <v>170608.0</v>
      </c>
      <c r="B3098" s="3" t="s">
        <v>3124</v>
      </c>
      <c r="C3098" s="3" t="s">
        <v>189</v>
      </c>
      <c r="D3098" s="3">
        <v>178.0</v>
      </c>
      <c r="E3098" s="3">
        <v>10.96</v>
      </c>
      <c r="F3098" s="3">
        <v>19.23</v>
      </c>
      <c r="G3098" s="3">
        <v>0.67</v>
      </c>
    </row>
    <row r="3099">
      <c r="A3099" s="3">
        <v>170609.0</v>
      </c>
      <c r="B3099" s="3" t="s">
        <v>3125</v>
      </c>
      <c r="C3099" s="3" t="s">
        <v>189</v>
      </c>
      <c r="D3099" s="3">
        <v>230.0</v>
      </c>
      <c r="E3099" s="3">
        <v>12.42</v>
      </c>
      <c r="F3099" s="3">
        <v>28.4</v>
      </c>
      <c r="G3099" s="3">
        <v>0.0</v>
      </c>
    </row>
    <row r="3100">
      <c r="A3100" s="3">
        <v>170610.0</v>
      </c>
      <c r="B3100" s="3" t="s">
        <v>3126</v>
      </c>
      <c r="C3100" s="3" t="s">
        <v>189</v>
      </c>
      <c r="D3100" s="3">
        <v>188.0</v>
      </c>
      <c r="E3100" s="3">
        <v>7.12</v>
      </c>
      <c r="F3100" s="3">
        <v>29.88</v>
      </c>
      <c r="G3100" s="3">
        <v>0.0</v>
      </c>
    </row>
    <row r="3101">
      <c r="A3101" s="3">
        <v>170611.0</v>
      </c>
      <c r="B3101" s="3" t="s">
        <v>3127</v>
      </c>
      <c r="C3101" s="3" t="s">
        <v>189</v>
      </c>
      <c r="D3101" s="3">
        <v>291.0</v>
      </c>
      <c r="E3101" s="3">
        <v>19.52</v>
      </c>
      <c r="F3101" s="3">
        <v>26.79</v>
      </c>
      <c r="G3101" s="3">
        <v>0.0</v>
      </c>
    </row>
    <row r="3102">
      <c r="A3102" s="3">
        <v>170612.0</v>
      </c>
      <c r="B3102" s="3" t="s">
        <v>3128</v>
      </c>
      <c r="C3102" s="3" t="s">
        <v>189</v>
      </c>
      <c r="D3102" s="3">
        <v>218.0</v>
      </c>
      <c r="E3102" s="3">
        <v>10.08</v>
      </c>
      <c r="F3102" s="3">
        <v>29.75</v>
      </c>
      <c r="G3102" s="3">
        <v>0.0</v>
      </c>
    </row>
    <row r="3103">
      <c r="A3103" s="3">
        <v>170613.0</v>
      </c>
      <c r="B3103" s="3" t="s">
        <v>3129</v>
      </c>
      <c r="C3103" s="3" t="s">
        <v>189</v>
      </c>
      <c r="D3103" s="3">
        <v>213.0</v>
      </c>
      <c r="E3103" s="3">
        <v>8.01</v>
      </c>
      <c r="F3103" s="3">
        <v>32.9</v>
      </c>
      <c r="G3103" s="3">
        <v>0.0</v>
      </c>
    </row>
    <row r="3104">
      <c r="A3104" s="3">
        <v>170614.0</v>
      </c>
      <c r="B3104" s="3" t="s">
        <v>3130</v>
      </c>
      <c r="C3104" s="3" t="s">
        <v>189</v>
      </c>
      <c r="D3104" s="3">
        <v>283.0</v>
      </c>
      <c r="E3104" s="3">
        <v>17.56</v>
      </c>
      <c r="F3104" s="3">
        <v>29.23</v>
      </c>
      <c r="G3104" s="3">
        <v>0.0</v>
      </c>
    </row>
    <row r="3105">
      <c r="A3105" s="3">
        <v>170615.0</v>
      </c>
      <c r="B3105" s="3" t="s">
        <v>3131</v>
      </c>
      <c r="C3105" s="3" t="s">
        <v>189</v>
      </c>
      <c r="D3105" s="3">
        <v>212.0</v>
      </c>
      <c r="E3105" s="3">
        <v>7.67</v>
      </c>
      <c r="F3105" s="3">
        <v>33.36</v>
      </c>
      <c r="G3105" s="3">
        <v>0.0</v>
      </c>
    </row>
    <row r="3106">
      <c r="A3106" s="3">
        <v>170616.0</v>
      </c>
      <c r="B3106" s="3" t="s">
        <v>3132</v>
      </c>
      <c r="C3106" s="3" t="s">
        <v>189</v>
      </c>
      <c r="D3106" s="3">
        <v>195.0</v>
      </c>
      <c r="E3106" s="3">
        <v>5.8</v>
      </c>
      <c r="F3106" s="3">
        <v>33.37</v>
      </c>
      <c r="G3106" s="3">
        <v>0.0</v>
      </c>
    </row>
    <row r="3107">
      <c r="A3107" s="3">
        <v>170617.0</v>
      </c>
      <c r="B3107" s="3" t="s">
        <v>3133</v>
      </c>
      <c r="C3107" s="3" t="s">
        <v>189</v>
      </c>
      <c r="D3107" s="3">
        <v>334.0</v>
      </c>
      <c r="E3107" s="3">
        <v>24.14</v>
      </c>
      <c r="F3107" s="3">
        <v>27.18</v>
      </c>
      <c r="G3107" s="3">
        <v>0.0</v>
      </c>
    </row>
    <row r="3108">
      <c r="A3108" s="3">
        <v>170618.0</v>
      </c>
      <c r="B3108" s="3" t="s">
        <v>3134</v>
      </c>
      <c r="C3108" s="3" t="s">
        <v>189</v>
      </c>
      <c r="D3108" s="3">
        <v>306.0</v>
      </c>
      <c r="E3108" s="3">
        <v>21.48</v>
      </c>
      <c r="F3108" s="3">
        <v>26.39</v>
      </c>
      <c r="G3108" s="3">
        <v>0.0</v>
      </c>
    </row>
    <row r="3109">
      <c r="A3109" s="3">
        <v>170619.0</v>
      </c>
      <c r="B3109" s="3" t="s">
        <v>3135</v>
      </c>
      <c r="C3109" s="3" t="s">
        <v>189</v>
      </c>
      <c r="D3109" s="3">
        <v>372.0</v>
      </c>
      <c r="E3109" s="3">
        <v>30.49</v>
      </c>
      <c r="F3109" s="3">
        <v>22.8</v>
      </c>
      <c r="G3109" s="3">
        <v>0.0</v>
      </c>
    </row>
    <row r="3110">
      <c r="A3110" s="3">
        <v>170620.0</v>
      </c>
      <c r="B3110" s="3" t="s">
        <v>3136</v>
      </c>
      <c r="C3110" s="3" t="s">
        <v>189</v>
      </c>
      <c r="D3110" s="3">
        <v>331.0</v>
      </c>
      <c r="E3110" s="3">
        <v>25.54</v>
      </c>
      <c r="F3110" s="3">
        <v>23.48</v>
      </c>
      <c r="G3110" s="3">
        <v>0.0</v>
      </c>
    </row>
    <row r="3111">
      <c r="A3111" s="3">
        <v>170621.0</v>
      </c>
      <c r="B3111" s="3" t="s">
        <v>3137</v>
      </c>
      <c r="C3111" s="3" t="s">
        <v>189</v>
      </c>
      <c r="D3111" s="3">
        <v>238.0</v>
      </c>
      <c r="E3111" s="3">
        <v>13.4</v>
      </c>
      <c r="F3111" s="3">
        <v>27.53</v>
      </c>
      <c r="G3111" s="3">
        <v>0.0</v>
      </c>
    </row>
    <row r="3112">
      <c r="A3112" s="3">
        <v>170622.0</v>
      </c>
      <c r="B3112" s="3" t="s">
        <v>3138</v>
      </c>
      <c r="C3112" s="3" t="s">
        <v>189</v>
      </c>
      <c r="D3112" s="3">
        <v>253.0</v>
      </c>
      <c r="E3112" s="3">
        <v>15.0</v>
      </c>
      <c r="F3112" s="3">
        <v>27.53</v>
      </c>
      <c r="G3112" s="3">
        <v>0.0</v>
      </c>
    </row>
    <row r="3113">
      <c r="A3113" s="3">
        <v>170623.0</v>
      </c>
      <c r="B3113" s="3" t="s">
        <v>3139</v>
      </c>
      <c r="C3113" s="3" t="s">
        <v>189</v>
      </c>
      <c r="D3113" s="3">
        <v>193.0</v>
      </c>
      <c r="E3113" s="3">
        <v>7.53</v>
      </c>
      <c r="F3113" s="3">
        <v>29.41</v>
      </c>
      <c r="G3113" s="3">
        <v>0.0</v>
      </c>
    </row>
    <row r="3114">
      <c r="A3114" s="3">
        <v>170624.0</v>
      </c>
      <c r="B3114" s="3" t="s">
        <v>3140</v>
      </c>
      <c r="C3114" s="3" t="s">
        <v>189</v>
      </c>
      <c r="D3114" s="3">
        <v>225.0</v>
      </c>
      <c r="E3114" s="3">
        <v>11.7</v>
      </c>
      <c r="F3114" s="3">
        <v>28.04</v>
      </c>
      <c r="G3114" s="3">
        <v>0.0</v>
      </c>
    </row>
    <row r="3115">
      <c r="A3115" s="3">
        <v>170625.0</v>
      </c>
      <c r="B3115" s="3" t="s">
        <v>3141</v>
      </c>
      <c r="C3115" s="3" t="s">
        <v>189</v>
      </c>
      <c r="D3115" s="3">
        <v>198.0</v>
      </c>
      <c r="E3115" s="3">
        <v>8.7</v>
      </c>
      <c r="F3115" s="3">
        <v>28.04</v>
      </c>
      <c r="G3115" s="3">
        <v>0.0</v>
      </c>
    </row>
    <row r="3116">
      <c r="A3116" s="3">
        <v>170626.0</v>
      </c>
      <c r="B3116" s="3" t="s">
        <v>3142</v>
      </c>
      <c r="C3116" s="3" t="s">
        <v>189</v>
      </c>
      <c r="D3116" s="3">
        <v>223.0</v>
      </c>
      <c r="E3116" s="3">
        <v>8.86</v>
      </c>
      <c r="F3116" s="3">
        <v>33.56</v>
      </c>
      <c r="G3116" s="3">
        <v>0.0</v>
      </c>
    </row>
    <row r="3117">
      <c r="A3117" s="3">
        <v>170627.0</v>
      </c>
      <c r="B3117" s="3" t="s">
        <v>3143</v>
      </c>
      <c r="C3117" s="3" t="s">
        <v>189</v>
      </c>
      <c r="D3117" s="3">
        <v>175.0</v>
      </c>
      <c r="E3117" s="3">
        <v>6.06</v>
      </c>
      <c r="F3117" s="3">
        <v>28.08</v>
      </c>
      <c r="G3117" s="3">
        <v>0.0</v>
      </c>
    </row>
    <row r="3118">
      <c r="A3118" s="3">
        <v>170628.0</v>
      </c>
      <c r="B3118" s="3" t="s">
        <v>3144</v>
      </c>
      <c r="C3118" s="3" t="s">
        <v>189</v>
      </c>
      <c r="D3118" s="3">
        <v>214.0</v>
      </c>
      <c r="E3118" s="3">
        <v>7.67</v>
      </c>
      <c r="F3118" s="3">
        <v>34.0</v>
      </c>
      <c r="G3118" s="3">
        <v>0.0</v>
      </c>
    </row>
    <row r="3119">
      <c r="A3119" s="3">
        <v>170629.0</v>
      </c>
      <c r="B3119" s="3" t="s">
        <v>3145</v>
      </c>
      <c r="C3119" s="3" t="s">
        <v>189</v>
      </c>
      <c r="D3119" s="3">
        <v>177.0</v>
      </c>
      <c r="E3119" s="3">
        <v>6.48</v>
      </c>
      <c r="F3119" s="3">
        <v>27.76</v>
      </c>
      <c r="G3119" s="3">
        <v>0.0</v>
      </c>
    </row>
    <row r="3120">
      <c r="A3120" s="3">
        <v>170630.0</v>
      </c>
      <c r="B3120" s="3" t="s">
        <v>3146</v>
      </c>
      <c r="C3120" s="3" t="s">
        <v>189</v>
      </c>
      <c r="D3120" s="3">
        <v>223.0</v>
      </c>
      <c r="E3120" s="3">
        <v>9.03</v>
      </c>
      <c r="F3120" s="3">
        <v>33.08</v>
      </c>
      <c r="G3120" s="3">
        <v>0.0</v>
      </c>
    </row>
    <row r="3121">
      <c r="A3121" s="3">
        <v>170631.0</v>
      </c>
      <c r="B3121" s="3" t="s">
        <v>3147</v>
      </c>
      <c r="C3121" s="3" t="s">
        <v>189</v>
      </c>
      <c r="D3121" s="3">
        <v>185.0</v>
      </c>
      <c r="E3121" s="3">
        <v>7.63</v>
      </c>
      <c r="F3121" s="3">
        <v>27.23</v>
      </c>
      <c r="G3121" s="3">
        <v>0.0</v>
      </c>
    </row>
    <row r="3122">
      <c r="A3122" s="3">
        <v>170632.0</v>
      </c>
      <c r="B3122" s="3" t="s">
        <v>3148</v>
      </c>
      <c r="C3122" s="3" t="s">
        <v>189</v>
      </c>
      <c r="D3122" s="3">
        <v>162.0</v>
      </c>
      <c r="E3122" s="3">
        <v>3.97</v>
      </c>
      <c r="F3122" s="3">
        <v>29.45</v>
      </c>
      <c r="G3122" s="3">
        <v>0.0</v>
      </c>
    </row>
    <row r="3123">
      <c r="A3123" s="3">
        <v>170633.0</v>
      </c>
      <c r="B3123" s="3" t="s">
        <v>3149</v>
      </c>
      <c r="C3123" s="3" t="s">
        <v>189</v>
      </c>
      <c r="D3123" s="3">
        <v>163.0</v>
      </c>
      <c r="E3123" s="3">
        <v>3.9</v>
      </c>
      <c r="F3123" s="3">
        <v>29.85</v>
      </c>
      <c r="G3123" s="3">
        <v>0.0</v>
      </c>
    </row>
    <row r="3124">
      <c r="A3124" s="3">
        <v>170634.0</v>
      </c>
      <c r="B3124" s="3" t="s">
        <v>3150</v>
      </c>
      <c r="C3124" s="3" t="s">
        <v>189</v>
      </c>
      <c r="D3124" s="3">
        <v>166.0</v>
      </c>
      <c r="E3124" s="3">
        <v>4.26</v>
      </c>
      <c r="F3124" s="3">
        <v>29.94</v>
      </c>
      <c r="G3124" s="3">
        <v>0.0</v>
      </c>
    </row>
    <row r="3125">
      <c r="A3125" s="3">
        <v>170635.0</v>
      </c>
      <c r="B3125" s="3" t="s">
        <v>3151</v>
      </c>
      <c r="C3125" s="3" t="s">
        <v>189</v>
      </c>
      <c r="D3125" s="3">
        <v>157.0</v>
      </c>
      <c r="E3125" s="3">
        <v>3.43</v>
      </c>
      <c r="F3125" s="3">
        <v>29.52</v>
      </c>
      <c r="G3125" s="3">
        <v>0.0</v>
      </c>
    </row>
    <row r="3126">
      <c r="A3126" s="3">
        <v>170636.0</v>
      </c>
      <c r="B3126" s="3" t="s">
        <v>3152</v>
      </c>
      <c r="C3126" s="3" t="s">
        <v>189</v>
      </c>
      <c r="D3126" s="3">
        <v>176.0</v>
      </c>
      <c r="E3126" s="3">
        <v>6.42</v>
      </c>
      <c r="F3126" s="3">
        <v>27.68</v>
      </c>
      <c r="G3126" s="3">
        <v>0.0</v>
      </c>
    </row>
    <row r="3127">
      <c r="A3127" s="3">
        <v>170637.0</v>
      </c>
      <c r="B3127" s="3" t="s">
        <v>3153</v>
      </c>
      <c r="C3127" s="3" t="s">
        <v>189</v>
      </c>
      <c r="D3127" s="3">
        <v>149.0</v>
      </c>
      <c r="E3127" s="3">
        <v>4.38</v>
      </c>
      <c r="F3127" s="3">
        <v>27.37</v>
      </c>
      <c r="G3127" s="3">
        <v>0.0</v>
      </c>
    </row>
    <row r="3128">
      <c r="A3128" s="3">
        <v>170638.0</v>
      </c>
      <c r="B3128" s="3" t="s">
        <v>3154</v>
      </c>
      <c r="C3128" s="3" t="s">
        <v>189</v>
      </c>
      <c r="D3128" s="3">
        <v>209.0</v>
      </c>
      <c r="E3128" s="3">
        <v>6.31</v>
      </c>
      <c r="F3128" s="3">
        <v>35.62</v>
      </c>
      <c r="G3128" s="3">
        <v>0.0</v>
      </c>
    </row>
    <row r="3129">
      <c r="A3129" s="3">
        <v>170639.0</v>
      </c>
      <c r="B3129" s="3" t="s">
        <v>3155</v>
      </c>
      <c r="C3129" s="3" t="s">
        <v>189</v>
      </c>
      <c r="D3129" s="3">
        <v>216.0</v>
      </c>
      <c r="E3129" s="3">
        <v>7.09</v>
      </c>
      <c r="F3129" s="3">
        <v>35.62</v>
      </c>
      <c r="G3129" s="3">
        <v>0.0</v>
      </c>
    </row>
    <row r="3130">
      <c r="A3130" s="3">
        <v>170640.0</v>
      </c>
      <c r="B3130" s="3" t="s">
        <v>3156</v>
      </c>
      <c r="C3130" s="3" t="s">
        <v>189</v>
      </c>
      <c r="D3130" s="3">
        <v>202.0</v>
      </c>
      <c r="E3130" s="3">
        <v>7.7</v>
      </c>
      <c r="F3130" s="3">
        <v>30.93</v>
      </c>
      <c r="G3130" s="3">
        <v>0.0</v>
      </c>
    </row>
    <row r="3131">
      <c r="A3131" s="3">
        <v>170641.0</v>
      </c>
      <c r="B3131" s="3" t="s">
        <v>3157</v>
      </c>
      <c r="C3131" s="3" t="s">
        <v>189</v>
      </c>
      <c r="D3131" s="3">
        <v>198.0</v>
      </c>
      <c r="E3131" s="3">
        <v>8.32</v>
      </c>
      <c r="F3131" s="3">
        <v>30.7</v>
      </c>
      <c r="G3131" s="3">
        <v>0.0</v>
      </c>
    </row>
    <row r="3132">
      <c r="A3132" s="3">
        <v>170642.0</v>
      </c>
      <c r="B3132" s="3" t="s">
        <v>3158</v>
      </c>
      <c r="C3132" s="3" t="s">
        <v>189</v>
      </c>
      <c r="D3132" s="3">
        <v>211.0</v>
      </c>
      <c r="E3132" s="3">
        <v>9.03</v>
      </c>
      <c r="F3132" s="3">
        <v>30.45</v>
      </c>
      <c r="G3132" s="3">
        <v>0.0</v>
      </c>
    </row>
    <row r="3133">
      <c r="A3133" s="3">
        <v>170643.0</v>
      </c>
      <c r="B3133" s="3" t="s">
        <v>3159</v>
      </c>
      <c r="C3133" s="3" t="s">
        <v>189</v>
      </c>
      <c r="D3133" s="3">
        <v>198.0</v>
      </c>
      <c r="E3133" s="3">
        <v>7.25</v>
      </c>
      <c r="F3133" s="3">
        <v>31.09</v>
      </c>
      <c r="G3133" s="3">
        <v>0.0</v>
      </c>
    </row>
    <row r="3134">
      <c r="A3134" s="3">
        <v>170644.0</v>
      </c>
      <c r="B3134" s="3" t="s">
        <v>3160</v>
      </c>
      <c r="C3134" s="3" t="s">
        <v>38</v>
      </c>
      <c r="D3134" s="3">
        <v>369.0</v>
      </c>
      <c r="E3134" s="3">
        <v>1.1</v>
      </c>
      <c r="F3134" s="3">
        <v>0.3</v>
      </c>
      <c r="G3134" s="3">
        <v>92.4</v>
      </c>
    </row>
    <row r="3135">
      <c r="A3135" s="3">
        <v>170645.0</v>
      </c>
      <c r="B3135" s="3" t="s">
        <v>3161</v>
      </c>
      <c r="C3135" s="3" t="s">
        <v>38</v>
      </c>
      <c r="D3135" s="3">
        <v>242.0</v>
      </c>
      <c r="E3135" s="3">
        <v>0.2</v>
      </c>
      <c r="F3135" s="3">
        <v>0.7</v>
      </c>
      <c r="G3135" s="3">
        <v>64.4</v>
      </c>
    </row>
    <row r="3136">
      <c r="A3136" s="3">
        <v>170646.0</v>
      </c>
      <c r="B3136" s="3" t="s">
        <v>3162</v>
      </c>
      <c r="C3136" s="3" t="s">
        <v>38</v>
      </c>
      <c r="D3136" s="3">
        <v>265.0</v>
      </c>
      <c r="E3136" s="3">
        <v>0.1</v>
      </c>
      <c r="F3136" s="3">
        <v>0.0</v>
      </c>
      <c r="G3136" s="3">
        <v>69.6</v>
      </c>
    </row>
    <row r="3137">
      <c r="A3137" s="3">
        <v>170647.0</v>
      </c>
      <c r="B3137" s="3" t="s">
        <v>3163</v>
      </c>
      <c r="C3137" s="3" t="s">
        <v>33</v>
      </c>
      <c r="D3137" s="3">
        <v>387.0</v>
      </c>
      <c r="E3137" s="3">
        <v>2.4</v>
      </c>
      <c r="F3137" s="3">
        <v>8.1</v>
      </c>
      <c r="G3137" s="3">
        <v>83.4</v>
      </c>
    </row>
    <row r="3138">
      <c r="A3138" s="3">
        <v>170648.0</v>
      </c>
      <c r="B3138" s="3" t="s">
        <v>3164</v>
      </c>
      <c r="C3138" s="3" t="s">
        <v>33</v>
      </c>
      <c r="D3138" s="3">
        <v>536.0</v>
      </c>
      <c r="E3138" s="3">
        <v>34.6</v>
      </c>
      <c r="F3138" s="3">
        <v>7.0</v>
      </c>
      <c r="G3138" s="3">
        <v>52.9</v>
      </c>
    </row>
    <row r="3139">
      <c r="A3139" s="3">
        <v>170649.0</v>
      </c>
      <c r="B3139" s="3" t="s">
        <v>3165</v>
      </c>
      <c r="C3139" s="3" t="s">
        <v>33</v>
      </c>
      <c r="D3139" s="3">
        <v>536.0</v>
      </c>
      <c r="E3139" s="3">
        <v>34.6</v>
      </c>
      <c r="F3139" s="3">
        <v>7.0</v>
      </c>
      <c r="G3139" s="3">
        <v>52.9</v>
      </c>
    </row>
    <row r="3140">
      <c r="A3140" s="3">
        <v>170650.0</v>
      </c>
      <c r="B3140" s="3" t="s">
        <v>3166</v>
      </c>
      <c r="C3140" s="3" t="s">
        <v>33</v>
      </c>
      <c r="D3140" s="3">
        <v>381.0</v>
      </c>
      <c r="E3140" s="3">
        <v>3.5</v>
      </c>
      <c r="F3140" s="3">
        <v>9.1</v>
      </c>
      <c r="G3140" s="3">
        <v>79.2</v>
      </c>
    </row>
    <row r="3141">
      <c r="A3141" s="3">
        <v>170651.0</v>
      </c>
      <c r="B3141" s="3" t="s">
        <v>3167</v>
      </c>
      <c r="C3141" s="3" t="s">
        <v>33</v>
      </c>
      <c r="D3141" s="3">
        <v>381.0</v>
      </c>
      <c r="E3141" s="3">
        <v>3.5</v>
      </c>
      <c r="F3141" s="3">
        <v>9.1</v>
      </c>
      <c r="G3141" s="3">
        <v>79.2</v>
      </c>
    </row>
    <row r="3142">
      <c r="A3142" s="3">
        <v>170652.0</v>
      </c>
      <c r="B3142" s="3" t="s">
        <v>3168</v>
      </c>
      <c r="C3142" s="3" t="s">
        <v>33</v>
      </c>
      <c r="D3142" s="3">
        <v>392.0</v>
      </c>
      <c r="E3142" s="3">
        <v>3.8</v>
      </c>
      <c r="F3142" s="3">
        <v>7.6</v>
      </c>
      <c r="G3142" s="3">
        <v>81.5</v>
      </c>
    </row>
    <row r="3143">
      <c r="A3143" s="3">
        <v>170653.0</v>
      </c>
      <c r="B3143" s="3" t="s">
        <v>3169</v>
      </c>
      <c r="C3143" s="3" t="s">
        <v>33</v>
      </c>
      <c r="D3143" s="3">
        <v>541.0</v>
      </c>
      <c r="E3143" s="3">
        <v>36.7</v>
      </c>
      <c r="F3143" s="3">
        <v>10.9</v>
      </c>
      <c r="G3143" s="3">
        <v>46.5</v>
      </c>
    </row>
    <row r="3144">
      <c r="A3144" s="3">
        <v>170654.0</v>
      </c>
      <c r="B3144" s="3" t="s">
        <v>3170</v>
      </c>
      <c r="C3144" s="3" t="s">
        <v>33</v>
      </c>
      <c r="D3144" s="3">
        <v>462.0</v>
      </c>
      <c r="E3144" s="3">
        <v>29.4</v>
      </c>
      <c r="F3144" s="3">
        <v>13.8</v>
      </c>
      <c r="G3144" s="3">
        <v>44.9</v>
      </c>
    </row>
    <row r="3145">
      <c r="A3145" s="3">
        <v>170655.0</v>
      </c>
      <c r="B3145" s="3" t="s">
        <v>3171</v>
      </c>
      <c r="C3145" s="3" t="s">
        <v>33</v>
      </c>
      <c r="D3145" s="3">
        <v>484.0</v>
      </c>
      <c r="E3145" s="3">
        <v>31.9</v>
      </c>
      <c r="F3145" s="3">
        <v>14.2</v>
      </c>
      <c r="G3145" s="3">
        <v>44.9</v>
      </c>
    </row>
    <row r="3146">
      <c r="A3146" s="3">
        <v>170656.0</v>
      </c>
      <c r="B3146" s="3" t="s">
        <v>3172</v>
      </c>
      <c r="C3146" s="3" t="s">
        <v>38</v>
      </c>
      <c r="D3146" s="3">
        <v>465.0</v>
      </c>
      <c r="E3146" s="3">
        <v>17.93</v>
      </c>
      <c r="F3146" s="3">
        <v>10.0</v>
      </c>
      <c r="G3146" s="3">
        <v>68.26</v>
      </c>
    </row>
    <row r="3147">
      <c r="A3147" s="3">
        <v>170657.0</v>
      </c>
      <c r="B3147" s="3" t="s">
        <v>3173</v>
      </c>
      <c r="C3147" s="3" t="s">
        <v>38</v>
      </c>
      <c r="D3147" s="3">
        <v>479.0</v>
      </c>
      <c r="E3147" s="3">
        <v>23.71</v>
      </c>
      <c r="F3147" s="3">
        <v>16.8</v>
      </c>
      <c r="G3147" s="3">
        <v>49.71</v>
      </c>
    </row>
    <row r="3148">
      <c r="A3148" s="3">
        <v>170658.0</v>
      </c>
      <c r="B3148" s="3" t="s">
        <v>3174</v>
      </c>
      <c r="C3148" s="3" t="s">
        <v>38</v>
      </c>
      <c r="D3148" s="3">
        <v>390.0</v>
      </c>
      <c r="E3148" s="3">
        <v>9.52</v>
      </c>
      <c r="F3148" s="3">
        <v>2.31</v>
      </c>
      <c r="G3148" s="3">
        <v>73.81</v>
      </c>
    </row>
    <row r="3149">
      <c r="A3149" s="3">
        <v>170659.0</v>
      </c>
      <c r="B3149" s="3" t="s">
        <v>3175</v>
      </c>
      <c r="C3149" s="3" t="s">
        <v>38</v>
      </c>
      <c r="D3149" s="3">
        <v>138.0</v>
      </c>
      <c r="E3149" s="3">
        <v>0.0</v>
      </c>
      <c r="F3149" s="3">
        <v>4.48</v>
      </c>
      <c r="G3149" s="3">
        <v>30.06</v>
      </c>
    </row>
    <row r="3150">
      <c r="A3150" s="3">
        <v>170660.0</v>
      </c>
      <c r="B3150" s="3" t="s">
        <v>3176</v>
      </c>
      <c r="C3150" s="3" t="s">
        <v>38</v>
      </c>
      <c r="D3150" s="3">
        <v>173.0</v>
      </c>
      <c r="E3150" s="3">
        <v>5.56</v>
      </c>
      <c r="F3150" s="3">
        <v>4.82</v>
      </c>
      <c r="G3150" s="3">
        <v>26.03</v>
      </c>
    </row>
    <row r="3151">
      <c r="A3151" s="3">
        <v>170661.0</v>
      </c>
      <c r="B3151" s="3" t="s">
        <v>3177</v>
      </c>
      <c r="C3151" s="3" t="s">
        <v>38</v>
      </c>
      <c r="D3151" s="3">
        <v>137.0</v>
      </c>
      <c r="E3151" s="3">
        <v>2.2</v>
      </c>
      <c r="F3151" s="3">
        <v>3.3</v>
      </c>
      <c r="G3151" s="3">
        <v>30.51</v>
      </c>
    </row>
    <row r="3152">
      <c r="A3152" s="3">
        <v>170662.0</v>
      </c>
      <c r="B3152" s="3" t="s">
        <v>3178</v>
      </c>
      <c r="C3152" s="3" t="s">
        <v>38</v>
      </c>
      <c r="D3152" s="3">
        <v>161.0</v>
      </c>
      <c r="E3152" s="3">
        <v>4.35</v>
      </c>
      <c r="F3152" s="3">
        <v>4.69</v>
      </c>
      <c r="G3152" s="3">
        <v>26.06</v>
      </c>
    </row>
    <row r="3153">
      <c r="A3153" s="3">
        <v>170663.0</v>
      </c>
      <c r="B3153" s="3" t="s">
        <v>3179</v>
      </c>
      <c r="C3153" s="3" t="s">
        <v>38</v>
      </c>
      <c r="D3153" s="3">
        <v>196.0</v>
      </c>
      <c r="E3153" s="3">
        <v>7.09</v>
      </c>
      <c r="F3153" s="3">
        <v>4.69</v>
      </c>
      <c r="G3153" s="3">
        <v>28.39</v>
      </c>
    </row>
    <row r="3154">
      <c r="A3154" s="3">
        <v>170664.0</v>
      </c>
      <c r="B3154" s="3" t="s">
        <v>3180</v>
      </c>
      <c r="C3154" s="3" t="s">
        <v>38</v>
      </c>
      <c r="D3154" s="3">
        <v>143.0</v>
      </c>
      <c r="E3154" s="3">
        <v>6.26</v>
      </c>
      <c r="F3154" s="3">
        <v>3.71</v>
      </c>
      <c r="G3154" s="3">
        <v>21.7</v>
      </c>
    </row>
    <row r="3155">
      <c r="A3155" s="3">
        <v>170665.0</v>
      </c>
      <c r="B3155" s="3" t="s">
        <v>3181</v>
      </c>
      <c r="C3155" s="3" t="s">
        <v>38</v>
      </c>
      <c r="D3155" s="3">
        <v>224.0</v>
      </c>
      <c r="E3155" s="3">
        <v>4.1</v>
      </c>
      <c r="F3155" s="3">
        <v>4.09</v>
      </c>
      <c r="G3155" s="3">
        <v>45.32</v>
      </c>
    </row>
    <row r="3156">
      <c r="A3156" s="3">
        <v>170666.0</v>
      </c>
      <c r="B3156" s="3" t="s">
        <v>3182</v>
      </c>
      <c r="C3156" s="3" t="s">
        <v>38</v>
      </c>
      <c r="D3156" s="3">
        <v>239.0</v>
      </c>
      <c r="E3156" s="3">
        <v>5.85</v>
      </c>
      <c r="F3156" s="3">
        <v>3.9</v>
      </c>
      <c r="G3156" s="3">
        <v>42.75</v>
      </c>
    </row>
    <row r="3157">
      <c r="A3157" s="3">
        <v>170667.0</v>
      </c>
      <c r="B3157" s="3" t="s">
        <v>3183</v>
      </c>
      <c r="C3157" s="3" t="s">
        <v>38</v>
      </c>
      <c r="D3157" s="3">
        <v>242.0</v>
      </c>
      <c r="E3157" s="3">
        <v>13.0</v>
      </c>
      <c r="F3157" s="3">
        <v>5.2</v>
      </c>
      <c r="G3157" s="3">
        <v>25.98</v>
      </c>
    </row>
    <row r="3158">
      <c r="A3158" s="3">
        <v>170668.0</v>
      </c>
      <c r="B3158" s="3" t="s">
        <v>3184</v>
      </c>
      <c r="C3158" s="3" t="s">
        <v>38</v>
      </c>
      <c r="D3158" s="3">
        <v>151.0</v>
      </c>
      <c r="E3158" s="3">
        <v>5.8</v>
      </c>
      <c r="F3158" s="3">
        <v>3.54</v>
      </c>
      <c r="G3158" s="3">
        <v>25.17</v>
      </c>
    </row>
    <row r="3159">
      <c r="A3159" s="3">
        <v>170669.0</v>
      </c>
      <c r="B3159" s="3" t="s">
        <v>3185</v>
      </c>
      <c r="C3159" s="3" t="s">
        <v>38</v>
      </c>
      <c r="D3159" s="3">
        <v>495.0</v>
      </c>
      <c r="E3159" s="3">
        <v>23.21</v>
      </c>
      <c r="F3159" s="3">
        <v>8.93</v>
      </c>
      <c r="G3159" s="3">
        <v>63.9</v>
      </c>
    </row>
    <row r="3160">
      <c r="A3160" s="3">
        <v>170670.0</v>
      </c>
      <c r="B3160" s="3" t="s">
        <v>3186</v>
      </c>
      <c r="C3160" s="3" t="s">
        <v>38</v>
      </c>
      <c r="D3160" s="3">
        <v>573.0</v>
      </c>
      <c r="E3160" s="3">
        <v>37.07</v>
      </c>
      <c r="F3160" s="3">
        <v>9.51</v>
      </c>
      <c r="G3160" s="3">
        <v>50.22</v>
      </c>
    </row>
    <row r="3161">
      <c r="A3161" s="3">
        <v>170671.0</v>
      </c>
      <c r="B3161" s="3" t="s">
        <v>3187</v>
      </c>
      <c r="C3161" s="3" t="s">
        <v>38</v>
      </c>
      <c r="D3161" s="3">
        <v>216.0</v>
      </c>
      <c r="E3161" s="3">
        <v>12.7</v>
      </c>
      <c r="F3161" s="3">
        <v>3.17</v>
      </c>
      <c r="G3161" s="3">
        <v>22.23</v>
      </c>
    </row>
    <row r="3162">
      <c r="A3162" s="3">
        <v>170672.0</v>
      </c>
      <c r="B3162" s="3" t="s">
        <v>3188</v>
      </c>
      <c r="C3162" s="3" t="s">
        <v>38</v>
      </c>
      <c r="D3162" s="3">
        <v>388.0</v>
      </c>
      <c r="E3162" s="3">
        <v>0.0</v>
      </c>
      <c r="F3162" s="3">
        <v>0.0</v>
      </c>
      <c r="G3162" s="3">
        <v>97.11</v>
      </c>
    </row>
    <row r="3163">
      <c r="A3163" s="3">
        <v>170673.0</v>
      </c>
      <c r="B3163" s="3" t="s">
        <v>3189</v>
      </c>
      <c r="C3163" s="3" t="s">
        <v>38</v>
      </c>
      <c r="D3163" s="3">
        <v>398.0</v>
      </c>
      <c r="E3163" s="3">
        <v>0.0</v>
      </c>
      <c r="F3163" s="3">
        <v>0.0</v>
      </c>
      <c r="G3163" s="3">
        <v>99.53</v>
      </c>
    </row>
    <row r="3164">
      <c r="A3164" s="3">
        <v>170674.0</v>
      </c>
      <c r="B3164" s="3" t="s">
        <v>3190</v>
      </c>
      <c r="C3164" s="3" t="s">
        <v>38</v>
      </c>
      <c r="D3164" s="3">
        <v>399.0</v>
      </c>
      <c r="E3164" s="3">
        <v>0.0</v>
      </c>
      <c r="F3164" s="3">
        <v>0.0</v>
      </c>
      <c r="G3164" s="3">
        <v>99.8</v>
      </c>
    </row>
    <row r="3165">
      <c r="A3165" s="3">
        <v>170675.0</v>
      </c>
      <c r="B3165" s="3" t="s">
        <v>3191</v>
      </c>
      <c r="C3165" s="3" t="s">
        <v>38</v>
      </c>
      <c r="D3165" s="3">
        <v>347.0</v>
      </c>
      <c r="E3165" s="3">
        <v>0.0</v>
      </c>
      <c r="F3165" s="3">
        <v>2.06</v>
      </c>
      <c r="G3165" s="3">
        <v>84.77</v>
      </c>
    </row>
    <row r="3166">
      <c r="A3166" s="3">
        <v>170676.0</v>
      </c>
      <c r="B3166" s="3" t="s">
        <v>3192</v>
      </c>
      <c r="C3166" s="3" t="s">
        <v>38</v>
      </c>
      <c r="D3166" s="3">
        <v>538.0</v>
      </c>
      <c r="E3166" s="3">
        <v>28.85</v>
      </c>
      <c r="F3166" s="3">
        <v>6.41</v>
      </c>
      <c r="G3166" s="3">
        <v>63.15</v>
      </c>
    </row>
    <row r="3167">
      <c r="A3167" s="3">
        <v>170677.0</v>
      </c>
      <c r="B3167" s="3" t="s">
        <v>3193</v>
      </c>
      <c r="C3167" s="3" t="s">
        <v>38</v>
      </c>
      <c r="D3167" s="3">
        <v>43.0</v>
      </c>
      <c r="E3167" s="3">
        <v>2.03</v>
      </c>
      <c r="F3167" s="3">
        <v>2.87</v>
      </c>
      <c r="G3167" s="3">
        <v>14.2</v>
      </c>
    </row>
    <row r="3168">
      <c r="A3168" s="3">
        <v>170678.0</v>
      </c>
      <c r="B3168" s="3" t="s">
        <v>3194</v>
      </c>
      <c r="C3168" s="3" t="s">
        <v>38</v>
      </c>
      <c r="D3168" s="3">
        <v>447.0</v>
      </c>
      <c r="E3168" s="3">
        <v>15.0</v>
      </c>
      <c r="F3168" s="3">
        <v>5.0</v>
      </c>
      <c r="G3168" s="3">
        <v>72.94</v>
      </c>
    </row>
    <row r="3169">
      <c r="A3169" s="3">
        <v>170679.0</v>
      </c>
      <c r="B3169" s="3" t="s">
        <v>3195</v>
      </c>
      <c r="C3169" s="3" t="s">
        <v>38</v>
      </c>
      <c r="D3169" s="3">
        <v>0.0</v>
      </c>
      <c r="E3169" s="3">
        <v>0.0</v>
      </c>
      <c r="F3169" s="3">
        <v>0.0</v>
      </c>
      <c r="G3169" s="3">
        <v>100.0</v>
      </c>
    </row>
    <row r="3170">
      <c r="A3170" s="3">
        <v>170680.0</v>
      </c>
      <c r="B3170" s="3" t="s">
        <v>3196</v>
      </c>
      <c r="C3170" s="3" t="s">
        <v>38</v>
      </c>
      <c r="D3170" s="3">
        <v>490.0</v>
      </c>
      <c r="E3170" s="3">
        <v>25.0</v>
      </c>
      <c r="F3170" s="3">
        <v>13.44</v>
      </c>
      <c r="G3170" s="3">
        <v>52.88</v>
      </c>
    </row>
    <row r="3171">
      <c r="A3171" s="3">
        <v>170681.0</v>
      </c>
      <c r="B3171" s="3" t="s">
        <v>3197</v>
      </c>
      <c r="C3171" s="3" t="s">
        <v>38</v>
      </c>
      <c r="D3171" s="3">
        <v>269.0</v>
      </c>
      <c r="E3171" s="3">
        <v>0.0</v>
      </c>
      <c r="F3171" s="3">
        <v>0.0</v>
      </c>
      <c r="G3171" s="3">
        <v>67.21</v>
      </c>
    </row>
    <row r="3172">
      <c r="A3172" s="3">
        <v>170682.0</v>
      </c>
      <c r="B3172" s="3" t="s">
        <v>3198</v>
      </c>
      <c r="C3172" s="3" t="s">
        <v>660</v>
      </c>
      <c r="D3172" s="3">
        <v>371.0</v>
      </c>
      <c r="E3172" s="3">
        <v>7.02</v>
      </c>
      <c r="F3172" s="3">
        <v>13.56</v>
      </c>
      <c r="G3172" s="3">
        <v>65.25</v>
      </c>
    </row>
    <row r="3173">
      <c r="A3173" s="3">
        <v>170683.0</v>
      </c>
      <c r="B3173" s="3" t="s">
        <v>3199</v>
      </c>
      <c r="C3173" s="3" t="s">
        <v>660</v>
      </c>
      <c r="D3173" s="3">
        <v>102.0</v>
      </c>
      <c r="E3173" s="3">
        <v>1.58</v>
      </c>
      <c r="F3173" s="3">
        <v>3.8</v>
      </c>
      <c r="G3173" s="3">
        <v>18.69</v>
      </c>
    </row>
    <row r="3174">
      <c r="A3174" s="3">
        <v>170684.0</v>
      </c>
      <c r="B3174" s="3" t="s">
        <v>3200</v>
      </c>
      <c r="C3174" s="3" t="s">
        <v>660</v>
      </c>
      <c r="D3174" s="3">
        <v>357.0</v>
      </c>
      <c r="E3174" s="3">
        <v>0.1</v>
      </c>
      <c r="F3174" s="3">
        <v>0.3</v>
      </c>
      <c r="G3174" s="3">
        <v>88.15</v>
      </c>
    </row>
    <row r="3175">
      <c r="A3175" s="3">
        <v>170685.0</v>
      </c>
      <c r="B3175" s="3" t="s">
        <v>3201</v>
      </c>
      <c r="C3175" s="3" t="s">
        <v>660</v>
      </c>
      <c r="D3175" s="3">
        <v>346.0</v>
      </c>
      <c r="E3175" s="3">
        <v>2.71</v>
      </c>
      <c r="F3175" s="3">
        <v>11.73</v>
      </c>
      <c r="G3175" s="3">
        <v>74.95</v>
      </c>
    </row>
    <row r="3176">
      <c r="A3176" s="3">
        <v>170686.0</v>
      </c>
      <c r="B3176" s="3" t="s">
        <v>3202</v>
      </c>
      <c r="C3176" s="3" t="s">
        <v>660</v>
      </c>
      <c r="D3176" s="3">
        <v>92.0</v>
      </c>
      <c r="E3176" s="3">
        <v>0.62</v>
      </c>
      <c r="F3176" s="3">
        <v>3.38</v>
      </c>
      <c r="G3176" s="3">
        <v>19.94</v>
      </c>
    </row>
    <row r="3177">
      <c r="A3177" s="3">
        <v>170687.0</v>
      </c>
      <c r="B3177" s="3" t="s">
        <v>3203</v>
      </c>
      <c r="C3177" s="3" t="s">
        <v>660</v>
      </c>
      <c r="D3177" s="3">
        <v>335.0</v>
      </c>
      <c r="E3177" s="3">
        <v>3.1</v>
      </c>
      <c r="F3177" s="3">
        <v>12.62</v>
      </c>
      <c r="G3177" s="3">
        <v>70.59</v>
      </c>
    </row>
    <row r="3178">
      <c r="A3178" s="3">
        <v>170688.0</v>
      </c>
      <c r="B3178" s="3" t="s">
        <v>3204</v>
      </c>
      <c r="C3178" s="3" t="s">
        <v>660</v>
      </c>
      <c r="D3178" s="3">
        <v>342.0</v>
      </c>
      <c r="E3178" s="3">
        <v>1.33</v>
      </c>
      <c r="F3178" s="3">
        <v>12.29</v>
      </c>
      <c r="G3178" s="3">
        <v>75.87</v>
      </c>
    </row>
    <row r="3179">
      <c r="A3179" s="3">
        <v>170689.0</v>
      </c>
      <c r="B3179" s="3" t="s">
        <v>3205</v>
      </c>
      <c r="C3179" s="3" t="s">
        <v>2807</v>
      </c>
      <c r="D3179" s="3">
        <v>226.0</v>
      </c>
      <c r="E3179" s="3">
        <v>12.7</v>
      </c>
      <c r="F3179" s="3">
        <v>8.86</v>
      </c>
      <c r="G3179" s="3">
        <v>19.85</v>
      </c>
    </row>
    <row r="3180">
      <c r="A3180" s="3">
        <v>170690.0</v>
      </c>
      <c r="B3180" s="3" t="s">
        <v>3206</v>
      </c>
      <c r="C3180" s="3" t="s">
        <v>2807</v>
      </c>
      <c r="D3180" s="3">
        <v>308.0</v>
      </c>
      <c r="E3180" s="3">
        <v>14.72</v>
      </c>
      <c r="F3180" s="3">
        <v>16.51</v>
      </c>
      <c r="G3180" s="3">
        <v>28.03</v>
      </c>
    </row>
    <row r="3181">
      <c r="A3181" s="3">
        <v>170691.0</v>
      </c>
      <c r="B3181" s="3" t="s">
        <v>3207</v>
      </c>
      <c r="C3181" s="3" t="s">
        <v>2807</v>
      </c>
      <c r="D3181" s="3">
        <v>270.0</v>
      </c>
      <c r="E3181" s="3">
        <v>12.9</v>
      </c>
      <c r="F3181" s="3">
        <v>13.49</v>
      </c>
      <c r="G3181" s="3">
        <v>25.46</v>
      </c>
    </row>
    <row r="3182">
      <c r="A3182" s="3">
        <v>170692.0</v>
      </c>
      <c r="B3182" s="3" t="s">
        <v>3208</v>
      </c>
      <c r="C3182" s="3" t="s">
        <v>2807</v>
      </c>
      <c r="D3182" s="3">
        <v>254.0</v>
      </c>
      <c r="E3182" s="3">
        <v>11.5</v>
      </c>
      <c r="F3182" s="3">
        <v>13.06</v>
      </c>
      <c r="G3182" s="3">
        <v>24.97</v>
      </c>
    </row>
    <row r="3183">
      <c r="A3183" s="3">
        <v>170693.0</v>
      </c>
      <c r="B3183" s="3" t="s">
        <v>3209</v>
      </c>
      <c r="C3183" s="3" t="s">
        <v>2807</v>
      </c>
      <c r="D3183" s="3">
        <v>297.0</v>
      </c>
      <c r="E3183" s="3">
        <v>12.01</v>
      </c>
      <c r="F3183" s="3">
        <v>16.52</v>
      </c>
      <c r="G3183" s="3">
        <v>31.5</v>
      </c>
    </row>
    <row r="3184">
      <c r="A3184" s="3">
        <v>170694.0</v>
      </c>
      <c r="B3184" s="3" t="s">
        <v>3210</v>
      </c>
      <c r="C3184" s="3" t="s">
        <v>2807</v>
      </c>
      <c r="D3184" s="3">
        <v>263.0</v>
      </c>
      <c r="E3184" s="3">
        <v>10.18</v>
      </c>
      <c r="F3184" s="3">
        <v>13.3</v>
      </c>
      <c r="G3184" s="3">
        <v>29.57</v>
      </c>
    </row>
    <row r="3185">
      <c r="A3185" s="3">
        <v>170695.0</v>
      </c>
      <c r="B3185" s="3" t="s">
        <v>3211</v>
      </c>
      <c r="C3185" s="3" t="s">
        <v>2807</v>
      </c>
      <c r="D3185" s="3">
        <v>244.0</v>
      </c>
      <c r="E3185" s="3">
        <v>10.3</v>
      </c>
      <c r="F3185" s="3">
        <v>15.17</v>
      </c>
      <c r="G3185" s="3">
        <v>22.21</v>
      </c>
    </row>
    <row r="3186">
      <c r="A3186" s="3">
        <v>170696.0</v>
      </c>
      <c r="B3186" s="3" t="s">
        <v>3212</v>
      </c>
      <c r="C3186" s="3" t="s">
        <v>2807</v>
      </c>
      <c r="D3186" s="3">
        <v>213.0</v>
      </c>
      <c r="E3186" s="3">
        <v>10.04</v>
      </c>
      <c r="F3186" s="3">
        <v>10.52</v>
      </c>
      <c r="G3186" s="3">
        <v>20.43</v>
      </c>
    </row>
    <row r="3187">
      <c r="A3187" s="3">
        <v>170697.0</v>
      </c>
      <c r="B3187" s="3" t="s">
        <v>3213</v>
      </c>
      <c r="C3187" s="3" t="s">
        <v>2807</v>
      </c>
      <c r="D3187" s="3">
        <v>411.0</v>
      </c>
      <c r="E3187" s="3">
        <v>25.23</v>
      </c>
      <c r="F3187" s="3">
        <v>3.86</v>
      </c>
      <c r="G3187" s="3">
        <v>43.58</v>
      </c>
    </row>
    <row r="3188">
      <c r="A3188" s="3">
        <v>170698.0</v>
      </c>
      <c r="B3188" s="3" t="s">
        <v>3214</v>
      </c>
      <c r="C3188" s="3" t="s">
        <v>2807</v>
      </c>
      <c r="D3188" s="3">
        <v>312.0</v>
      </c>
      <c r="E3188" s="3">
        <v>14.73</v>
      </c>
      <c r="F3188" s="3">
        <v>3.43</v>
      </c>
      <c r="G3188" s="3">
        <v>41.44</v>
      </c>
    </row>
    <row r="3189">
      <c r="A3189" s="3">
        <v>170699.0</v>
      </c>
      <c r="B3189" s="3" t="s">
        <v>3215</v>
      </c>
      <c r="C3189" s="3" t="s">
        <v>2807</v>
      </c>
      <c r="D3189" s="3">
        <v>89.0</v>
      </c>
      <c r="E3189" s="3">
        <v>2.82</v>
      </c>
      <c r="F3189" s="3">
        <v>1.65</v>
      </c>
      <c r="G3189" s="3">
        <v>14.65</v>
      </c>
    </row>
    <row r="3190">
      <c r="A3190" s="3">
        <v>170700.0</v>
      </c>
      <c r="B3190" s="3" t="s">
        <v>3216</v>
      </c>
      <c r="C3190" s="3" t="s">
        <v>2807</v>
      </c>
      <c r="D3190" s="3">
        <v>168.0</v>
      </c>
      <c r="E3190" s="3">
        <v>8.74</v>
      </c>
      <c r="F3190" s="3">
        <v>3.19</v>
      </c>
      <c r="G3190" s="3">
        <v>19.03</v>
      </c>
    </row>
    <row r="3191">
      <c r="A3191" s="3">
        <v>170701.0</v>
      </c>
      <c r="B3191" s="3" t="s">
        <v>3217</v>
      </c>
      <c r="C3191" s="3" t="s">
        <v>2807</v>
      </c>
      <c r="D3191" s="3">
        <v>248.0</v>
      </c>
      <c r="E3191" s="3">
        <v>9.33</v>
      </c>
      <c r="F3191" s="3">
        <v>13.63</v>
      </c>
      <c r="G3191" s="3">
        <v>27.35</v>
      </c>
    </row>
    <row r="3192">
      <c r="A3192" s="3">
        <v>170702.0</v>
      </c>
      <c r="B3192" s="3" t="s">
        <v>3218</v>
      </c>
      <c r="C3192" s="3" t="s">
        <v>2807</v>
      </c>
      <c r="D3192" s="3">
        <v>233.0</v>
      </c>
      <c r="E3192" s="3">
        <v>7.51</v>
      </c>
      <c r="F3192" s="3">
        <v>12.08</v>
      </c>
      <c r="G3192" s="3">
        <v>29.27</v>
      </c>
    </row>
    <row r="3193">
      <c r="A3193" s="3">
        <v>170703.0</v>
      </c>
      <c r="B3193" s="3" t="s">
        <v>3219</v>
      </c>
      <c r="C3193" s="3" t="s">
        <v>2807</v>
      </c>
      <c r="D3193" s="3">
        <v>238.0</v>
      </c>
      <c r="E3193" s="3">
        <v>8.19</v>
      </c>
      <c r="F3193" s="3">
        <v>12.14</v>
      </c>
      <c r="G3193" s="3">
        <v>28.84</v>
      </c>
    </row>
    <row r="3194">
      <c r="A3194" s="3">
        <v>170704.0</v>
      </c>
      <c r="B3194" s="3" t="s">
        <v>3220</v>
      </c>
      <c r="C3194" s="3" t="s">
        <v>2807</v>
      </c>
      <c r="D3194" s="3">
        <v>240.0</v>
      </c>
      <c r="E3194" s="3">
        <v>10.04</v>
      </c>
      <c r="F3194" s="3">
        <v>10.39</v>
      </c>
      <c r="G3194" s="3">
        <v>26.99</v>
      </c>
    </row>
    <row r="3195">
      <c r="A3195" s="3">
        <v>170705.0</v>
      </c>
      <c r="B3195" s="3" t="s">
        <v>3221</v>
      </c>
      <c r="C3195" s="3" t="s">
        <v>2807</v>
      </c>
      <c r="D3195" s="3">
        <v>155.0</v>
      </c>
      <c r="E3195" s="3">
        <v>2.37</v>
      </c>
      <c r="F3195" s="3">
        <v>10.91</v>
      </c>
      <c r="G3195" s="3">
        <v>22.54</v>
      </c>
    </row>
    <row r="3196">
      <c r="A3196" s="3">
        <v>170706.0</v>
      </c>
      <c r="B3196" s="3" t="s">
        <v>3222</v>
      </c>
      <c r="C3196" s="3" t="s">
        <v>2807</v>
      </c>
      <c r="D3196" s="3">
        <v>147.0</v>
      </c>
      <c r="E3196" s="3">
        <v>2.31</v>
      </c>
      <c r="F3196" s="3">
        <v>9.12</v>
      </c>
      <c r="G3196" s="3">
        <v>22.42</v>
      </c>
    </row>
    <row r="3197">
      <c r="A3197" s="3">
        <v>170707.0</v>
      </c>
      <c r="B3197" s="3" t="s">
        <v>3223</v>
      </c>
      <c r="C3197" s="3" t="s">
        <v>2807</v>
      </c>
      <c r="D3197" s="3">
        <v>151.0</v>
      </c>
      <c r="E3197" s="3">
        <v>2.53</v>
      </c>
      <c r="F3197" s="3">
        <v>9.12</v>
      </c>
      <c r="G3197" s="3">
        <v>22.91</v>
      </c>
    </row>
    <row r="3198">
      <c r="A3198" s="3">
        <v>170708.0</v>
      </c>
      <c r="B3198" s="3" t="s">
        <v>3224</v>
      </c>
      <c r="C3198" s="3" t="s">
        <v>2807</v>
      </c>
      <c r="D3198" s="3">
        <v>219.0</v>
      </c>
      <c r="E3198" s="3">
        <v>8.45</v>
      </c>
      <c r="F3198" s="3">
        <v>9.77</v>
      </c>
      <c r="G3198" s="3">
        <v>26.01</v>
      </c>
    </row>
    <row r="3199">
      <c r="A3199" s="3">
        <v>170709.0</v>
      </c>
      <c r="B3199" s="3" t="s">
        <v>3225</v>
      </c>
      <c r="C3199" s="3" t="s">
        <v>2807</v>
      </c>
      <c r="D3199" s="3">
        <v>219.0</v>
      </c>
      <c r="E3199" s="3">
        <v>8.45</v>
      </c>
      <c r="F3199" s="3">
        <v>9.77</v>
      </c>
      <c r="G3199" s="3">
        <v>26.01</v>
      </c>
    </row>
    <row r="3200">
      <c r="A3200" s="3">
        <v>170710.0</v>
      </c>
      <c r="B3200" s="3" t="s">
        <v>3226</v>
      </c>
      <c r="C3200" s="3" t="s">
        <v>2807</v>
      </c>
      <c r="D3200" s="3">
        <v>256.0</v>
      </c>
      <c r="E3200" s="3">
        <v>11.6</v>
      </c>
      <c r="F3200" s="3">
        <v>15.68</v>
      </c>
      <c r="G3200" s="3">
        <v>22.14</v>
      </c>
    </row>
    <row r="3201">
      <c r="A3201" s="3">
        <v>170711.0</v>
      </c>
      <c r="B3201" s="3" t="s">
        <v>3227</v>
      </c>
      <c r="C3201" s="3" t="s">
        <v>2807</v>
      </c>
      <c r="D3201" s="3">
        <v>147.0</v>
      </c>
      <c r="E3201" s="3">
        <v>2.31</v>
      </c>
      <c r="F3201" s="3">
        <v>9.12</v>
      </c>
      <c r="G3201" s="3">
        <v>22.42</v>
      </c>
    </row>
    <row r="3202">
      <c r="A3202" s="3">
        <v>170712.0</v>
      </c>
      <c r="B3202" s="3" t="s">
        <v>3228</v>
      </c>
      <c r="C3202" s="3" t="s">
        <v>2807</v>
      </c>
      <c r="D3202" s="3">
        <v>151.0</v>
      </c>
      <c r="E3202" s="3">
        <v>2.53</v>
      </c>
      <c r="F3202" s="3">
        <v>9.12</v>
      </c>
      <c r="G3202" s="3">
        <v>22.91</v>
      </c>
    </row>
    <row r="3203">
      <c r="A3203" s="3">
        <v>170713.0</v>
      </c>
      <c r="B3203" s="3" t="s">
        <v>3229</v>
      </c>
      <c r="C3203" s="3" t="s">
        <v>2807</v>
      </c>
      <c r="D3203" s="3">
        <v>155.0</v>
      </c>
      <c r="E3203" s="3">
        <v>2.73</v>
      </c>
      <c r="F3203" s="3">
        <v>12.17</v>
      </c>
      <c r="G3203" s="3">
        <v>20.34</v>
      </c>
    </row>
    <row r="3204">
      <c r="A3204" s="3">
        <v>170714.0</v>
      </c>
      <c r="B3204" s="3" t="s">
        <v>3230</v>
      </c>
      <c r="C3204" s="3" t="s">
        <v>2807</v>
      </c>
      <c r="D3204" s="3">
        <v>260.0</v>
      </c>
      <c r="E3204" s="3">
        <v>8.78</v>
      </c>
      <c r="F3204" s="3">
        <v>12.37</v>
      </c>
      <c r="G3204" s="3">
        <v>32.91</v>
      </c>
    </row>
    <row r="3205">
      <c r="A3205" s="3">
        <v>170715.0</v>
      </c>
      <c r="B3205" s="3" t="s">
        <v>3231</v>
      </c>
      <c r="C3205" s="3" t="s">
        <v>2807</v>
      </c>
      <c r="D3205" s="3">
        <v>276.0</v>
      </c>
      <c r="E3205" s="3">
        <v>14.43</v>
      </c>
      <c r="F3205" s="3">
        <v>11.28</v>
      </c>
      <c r="G3205" s="3">
        <v>25.14</v>
      </c>
    </row>
    <row r="3206">
      <c r="A3206" s="3">
        <v>170716.0</v>
      </c>
      <c r="B3206" s="3" t="s">
        <v>3232</v>
      </c>
      <c r="C3206" s="3" t="s">
        <v>2807</v>
      </c>
      <c r="D3206" s="3">
        <v>271.0</v>
      </c>
      <c r="E3206" s="3">
        <v>11.75</v>
      </c>
      <c r="F3206" s="3">
        <v>12.63</v>
      </c>
      <c r="G3206" s="3">
        <v>28.78</v>
      </c>
    </row>
    <row r="3207">
      <c r="A3207" s="3">
        <v>170717.0</v>
      </c>
      <c r="B3207" s="3" t="s">
        <v>3233</v>
      </c>
      <c r="C3207" s="3" t="s">
        <v>2807</v>
      </c>
      <c r="D3207" s="3">
        <v>264.0</v>
      </c>
      <c r="E3207" s="3">
        <v>10.09</v>
      </c>
      <c r="F3207" s="3">
        <v>12.92</v>
      </c>
      <c r="G3207" s="3">
        <v>30.28</v>
      </c>
    </row>
    <row r="3208">
      <c r="A3208" s="3">
        <v>170718.0</v>
      </c>
      <c r="B3208" s="3" t="s">
        <v>3234</v>
      </c>
      <c r="C3208" s="3" t="s">
        <v>2807</v>
      </c>
      <c r="D3208" s="3">
        <v>307.0</v>
      </c>
      <c r="E3208" s="3">
        <v>20.36</v>
      </c>
      <c r="F3208" s="3">
        <v>15.92</v>
      </c>
      <c r="G3208" s="3">
        <v>14.93</v>
      </c>
    </row>
    <row r="3209">
      <c r="A3209" s="3">
        <v>170719.0</v>
      </c>
      <c r="B3209" s="3" t="s">
        <v>3235</v>
      </c>
      <c r="C3209" s="3" t="s">
        <v>2807</v>
      </c>
      <c r="D3209" s="3">
        <v>258.0</v>
      </c>
      <c r="E3209" s="3">
        <v>14.22</v>
      </c>
      <c r="F3209" s="3">
        <v>14.59</v>
      </c>
      <c r="G3209" s="3">
        <v>19.95</v>
      </c>
    </row>
    <row r="3210">
      <c r="A3210" s="3">
        <v>170720.0</v>
      </c>
      <c r="B3210" s="3" t="s">
        <v>3236</v>
      </c>
      <c r="C3210" s="3" t="s">
        <v>2807</v>
      </c>
      <c r="D3210" s="3">
        <v>257.0</v>
      </c>
      <c r="E3210" s="3">
        <v>14.96</v>
      </c>
      <c r="F3210" s="3">
        <v>11.82</v>
      </c>
      <c r="G3210" s="3">
        <v>20.08</v>
      </c>
    </row>
    <row r="3211">
      <c r="A3211" s="3">
        <v>170721.0</v>
      </c>
      <c r="B3211" s="3" t="s">
        <v>3237</v>
      </c>
      <c r="C3211" s="3" t="s">
        <v>2807</v>
      </c>
      <c r="D3211" s="3">
        <v>323.0</v>
      </c>
      <c r="E3211" s="3">
        <v>15.47</v>
      </c>
      <c r="F3211" s="3">
        <v>3.41</v>
      </c>
      <c r="G3211" s="3">
        <v>42.58</v>
      </c>
    </row>
    <row r="3212">
      <c r="A3212" s="3">
        <v>170722.0</v>
      </c>
      <c r="B3212" s="3" t="s">
        <v>3238</v>
      </c>
      <c r="C3212" s="3" t="s">
        <v>2807</v>
      </c>
      <c r="D3212" s="3">
        <v>213.0</v>
      </c>
      <c r="E3212" s="3">
        <v>10.6</v>
      </c>
      <c r="F3212" s="3">
        <v>12.63</v>
      </c>
      <c r="G3212" s="3">
        <v>16.82</v>
      </c>
    </row>
    <row r="3213">
      <c r="A3213" s="3">
        <v>170723.0</v>
      </c>
      <c r="B3213" s="3" t="s">
        <v>3239</v>
      </c>
      <c r="C3213" s="3" t="s">
        <v>2807</v>
      </c>
      <c r="D3213" s="3">
        <v>214.0</v>
      </c>
      <c r="E3213" s="3">
        <v>8.1</v>
      </c>
      <c r="F3213" s="3">
        <v>13.78</v>
      </c>
      <c r="G3213" s="3">
        <v>21.55</v>
      </c>
    </row>
    <row r="3214">
      <c r="A3214" s="3">
        <v>170724.0</v>
      </c>
      <c r="B3214" s="3" t="s">
        <v>3240</v>
      </c>
      <c r="C3214" s="3" t="s">
        <v>2807</v>
      </c>
      <c r="D3214" s="3">
        <v>179.0</v>
      </c>
      <c r="E3214" s="3">
        <v>5.0</v>
      </c>
      <c r="F3214" s="3">
        <v>14.73</v>
      </c>
      <c r="G3214" s="3">
        <v>18.88</v>
      </c>
    </row>
    <row r="3215">
      <c r="A3215" s="3">
        <v>170725.0</v>
      </c>
      <c r="B3215" s="3" t="s">
        <v>3241</v>
      </c>
      <c r="C3215" s="3" t="s">
        <v>2807</v>
      </c>
      <c r="D3215" s="3">
        <v>326.0</v>
      </c>
      <c r="E3215" s="3">
        <v>22.55</v>
      </c>
      <c r="F3215" s="3">
        <v>16.46</v>
      </c>
      <c r="G3215" s="3">
        <v>14.31</v>
      </c>
    </row>
    <row r="3216">
      <c r="A3216" s="3">
        <v>170726.0</v>
      </c>
      <c r="B3216" s="3" t="s">
        <v>3242</v>
      </c>
      <c r="C3216" s="3" t="s">
        <v>2807</v>
      </c>
      <c r="D3216" s="3">
        <v>301.0</v>
      </c>
      <c r="E3216" s="3">
        <v>14.1</v>
      </c>
      <c r="F3216" s="3">
        <v>3.73</v>
      </c>
      <c r="G3216" s="3">
        <v>39.73</v>
      </c>
    </row>
    <row r="3217">
      <c r="A3217" s="3">
        <v>170727.0</v>
      </c>
      <c r="B3217" s="3" t="s">
        <v>3243</v>
      </c>
      <c r="C3217" s="3" t="s">
        <v>2807</v>
      </c>
      <c r="D3217" s="3">
        <v>233.0</v>
      </c>
      <c r="E3217" s="3">
        <v>12.84</v>
      </c>
      <c r="F3217" s="3">
        <v>10.74</v>
      </c>
      <c r="G3217" s="3">
        <v>18.55</v>
      </c>
    </row>
    <row r="3218">
      <c r="A3218" s="3">
        <v>170728.0</v>
      </c>
      <c r="B3218" s="3" t="s">
        <v>3244</v>
      </c>
      <c r="C3218" s="3" t="s">
        <v>2807</v>
      </c>
      <c r="D3218" s="3">
        <v>250.0</v>
      </c>
      <c r="E3218" s="3">
        <v>15.33</v>
      </c>
      <c r="F3218" s="3">
        <v>11.19</v>
      </c>
      <c r="G3218" s="3">
        <v>16.7</v>
      </c>
    </row>
    <row r="3219">
      <c r="A3219" s="3">
        <v>170729.0</v>
      </c>
      <c r="B3219" s="3" t="s">
        <v>3245</v>
      </c>
      <c r="C3219" s="3" t="s">
        <v>2807</v>
      </c>
      <c r="D3219" s="3">
        <v>252.0</v>
      </c>
      <c r="E3219" s="3">
        <v>15.66</v>
      </c>
      <c r="F3219" s="3">
        <v>13.94</v>
      </c>
      <c r="G3219" s="3">
        <v>13.74</v>
      </c>
    </row>
    <row r="3220">
      <c r="A3220" s="3">
        <v>170730.0</v>
      </c>
      <c r="B3220" s="3" t="s">
        <v>3246</v>
      </c>
      <c r="C3220" s="3" t="s">
        <v>2807</v>
      </c>
      <c r="D3220" s="3">
        <v>266.0</v>
      </c>
      <c r="E3220" s="3">
        <v>17.06</v>
      </c>
      <c r="F3220" s="3">
        <v>14.47</v>
      </c>
      <c r="G3220" s="3">
        <v>13.52</v>
      </c>
    </row>
    <row r="3221">
      <c r="A3221" s="3">
        <v>170731.0</v>
      </c>
      <c r="B3221" s="3" t="s">
        <v>3247</v>
      </c>
      <c r="C3221" s="3" t="s">
        <v>2807</v>
      </c>
      <c r="D3221" s="3">
        <v>292.0</v>
      </c>
      <c r="E3221" s="3">
        <v>15.25</v>
      </c>
      <c r="F3221" s="3">
        <v>18.2</v>
      </c>
      <c r="G3221" s="3">
        <v>20.49</v>
      </c>
    </row>
    <row r="3222">
      <c r="A3222" s="3">
        <v>170732.0</v>
      </c>
      <c r="B3222" s="3" t="s">
        <v>3248</v>
      </c>
      <c r="C3222" s="3" t="s">
        <v>2807</v>
      </c>
      <c r="D3222" s="3">
        <v>189.0</v>
      </c>
      <c r="E3222" s="3">
        <v>6.35</v>
      </c>
      <c r="F3222" s="3">
        <v>13.3</v>
      </c>
      <c r="G3222" s="3">
        <v>19.69</v>
      </c>
    </row>
    <row r="3223">
      <c r="A3223" s="3">
        <v>170733.0</v>
      </c>
      <c r="B3223" s="3" t="s">
        <v>3249</v>
      </c>
      <c r="C3223" s="3" t="s">
        <v>2807</v>
      </c>
      <c r="D3223" s="3">
        <v>225.0</v>
      </c>
      <c r="E3223" s="3">
        <v>12.1</v>
      </c>
      <c r="F3223" s="3">
        <v>11.81</v>
      </c>
      <c r="G3223" s="3">
        <v>17.22</v>
      </c>
    </row>
    <row r="3224">
      <c r="A3224" s="3">
        <v>170734.0</v>
      </c>
      <c r="B3224" s="3" t="s">
        <v>3250</v>
      </c>
      <c r="C3224" s="3" t="s">
        <v>2807</v>
      </c>
      <c r="D3224" s="3">
        <v>209.0</v>
      </c>
      <c r="E3224" s="3">
        <v>6.05</v>
      </c>
      <c r="F3224" s="3">
        <v>7.35</v>
      </c>
      <c r="G3224" s="3">
        <v>31.23</v>
      </c>
    </row>
    <row r="3225">
      <c r="A3225" s="3">
        <v>170735.0</v>
      </c>
      <c r="B3225" s="3" t="s">
        <v>3251</v>
      </c>
      <c r="C3225" s="3" t="s">
        <v>2807</v>
      </c>
      <c r="D3225" s="3">
        <v>183.0</v>
      </c>
      <c r="E3225" s="3">
        <v>6.8</v>
      </c>
      <c r="F3225" s="3">
        <v>7.03</v>
      </c>
      <c r="G3225" s="3">
        <v>23.37</v>
      </c>
    </row>
    <row r="3226">
      <c r="A3226" s="3">
        <v>170736.0</v>
      </c>
      <c r="B3226" s="3" t="s">
        <v>3252</v>
      </c>
      <c r="C3226" s="3" t="s">
        <v>2807</v>
      </c>
      <c r="D3226" s="3">
        <v>170.0</v>
      </c>
      <c r="E3226" s="3">
        <v>9.17</v>
      </c>
      <c r="F3226" s="3">
        <v>6.69</v>
      </c>
      <c r="G3226" s="3">
        <v>15.1</v>
      </c>
    </row>
    <row r="3227">
      <c r="A3227" s="3">
        <v>170737.0</v>
      </c>
      <c r="B3227" s="3" t="s">
        <v>3253</v>
      </c>
      <c r="C3227" s="3" t="s">
        <v>2807</v>
      </c>
      <c r="D3227" s="3">
        <v>351.0</v>
      </c>
      <c r="E3227" s="3">
        <v>21.74</v>
      </c>
      <c r="F3227" s="3">
        <v>17.67</v>
      </c>
      <c r="G3227" s="3">
        <v>21.18</v>
      </c>
    </row>
    <row r="3228">
      <c r="A3228" s="3">
        <v>170738.0</v>
      </c>
      <c r="B3228" s="3" t="s">
        <v>3254</v>
      </c>
      <c r="C3228" s="3" t="s">
        <v>2807</v>
      </c>
      <c r="D3228" s="3">
        <v>384.0</v>
      </c>
      <c r="E3228" s="3">
        <v>28.01</v>
      </c>
      <c r="F3228" s="3">
        <v>14.17</v>
      </c>
      <c r="G3228" s="3">
        <v>18.79</v>
      </c>
    </row>
    <row r="3229">
      <c r="A3229" s="3">
        <v>170739.0</v>
      </c>
      <c r="B3229" s="3" t="s">
        <v>3255</v>
      </c>
      <c r="C3229" s="3" t="s">
        <v>2807</v>
      </c>
      <c r="D3229" s="3">
        <v>149.0</v>
      </c>
      <c r="E3229" s="3">
        <v>4.56</v>
      </c>
      <c r="F3229" s="3">
        <v>26.89</v>
      </c>
      <c r="G3229" s="3">
        <v>0.0</v>
      </c>
    </row>
    <row r="3230">
      <c r="A3230" s="3">
        <v>170740.0</v>
      </c>
      <c r="B3230" s="3" t="s">
        <v>3256</v>
      </c>
      <c r="C3230" s="3" t="s">
        <v>2807</v>
      </c>
      <c r="D3230" s="3">
        <v>175.0</v>
      </c>
      <c r="E3230" s="3">
        <v>7.66</v>
      </c>
      <c r="F3230" s="3">
        <v>26.3</v>
      </c>
      <c r="G3230" s="3">
        <v>0.11</v>
      </c>
    </row>
    <row r="3231">
      <c r="A3231" s="3">
        <v>170741.0</v>
      </c>
      <c r="B3231" s="3" t="s">
        <v>3257</v>
      </c>
      <c r="C3231" s="3" t="s">
        <v>2807</v>
      </c>
      <c r="D3231" s="3">
        <v>175.0</v>
      </c>
      <c r="E3231" s="3">
        <v>9.31</v>
      </c>
      <c r="F3231" s="3">
        <v>22.78</v>
      </c>
      <c r="G3231" s="3">
        <v>0.01</v>
      </c>
    </row>
    <row r="3232">
      <c r="A3232" s="3">
        <v>170742.0</v>
      </c>
      <c r="B3232" s="3" t="s">
        <v>3258</v>
      </c>
      <c r="C3232" s="3" t="s">
        <v>2807</v>
      </c>
      <c r="D3232" s="3">
        <v>179.0</v>
      </c>
      <c r="E3232" s="3">
        <v>9.96</v>
      </c>
      <c r="F3232" s="3">
        <v>22.41</v>
      </c>
      <c r="G3232" s="3">
        <v>0.0</v>
      </c>
    </row>
    <row r="3233">
      <c r="A3233" s="3">
        <v>170743.0</v>
      </c>
      <c r="B3233" s="3" t="s">
        <v>3259</v>
      </c>
      <c r="C3233" s="3" t="s">
        <v>2807</v>
      </c>
      <c r="D3233" s="3">
        <v>236.0</v>
      </c>
      <c r="E3233" s="3">
        <v>12.13</v>
      </c>
      <c r="F3233" s="3">
        <v>28.67</v>
      </c>
      <c r="G3233" s="3">
        <v>2.97</v>
      </c>
    </row>
    <row r="3234">
      <c r="A3234" s="3">
        <v>170744.0</v>
      </c>
      <c r="B3234" s="3" t="s">
        <v>3260</v>
      </c>
      <c r="C3234" s="3" t="s">
        <v>2807</v>
      </c>
      <c r="D3234" s="3">
        <v>231.0</v>
      </c>
      <c r="E3234" s="3">
        <v>13.11</v>
      </c>
      <c r="F3234" s="3">
        <v>21.94</v>
      </c>
      <c r="G3234" s="3">
        <v>6.28</v>
      </c>
    </row>
    <row r="3235">
      <c r="A3235" s="3">
        <v>170745.0</v>
      </c>
      <c r="B3235" s="3" t="s">
        <v>3261</v>
      </c>
      <c r="C3235" s="3" t="s">
        <v>2807</v>
      </c>
      <c r="D3235" s="3">
        <v>239.0</v>
      </c>
      <c r="E3235" s="3">
        <v>14.22</v>
      </c>
      <c r="F3235" s="3">
        <v>22.3</v>
      </c>
      <c r="G3235" s="3">
        <v>5.39</v>
      </c>
    </row>
    <row r="3236">
      <c r="A3236" s="3">
        <v>170746.0</v>
      </c>
      <c r="B3236" s="3" t="s">
        <v>3262</v>
      </c>
      <c r="C3236" s="3" t="s">
        <v>2807</v>
      </c>
      <c r="D3236" s="3">
        <v>309.0</v>
      </c>
      <c r="E3236" s="3">
        <v>22.14</v>
      </c>
      <c r="F3236" s="3">
        <v>17.17</v>
      </c>
      <c r="G3236" s="3">
        <v>10.3</v>
      </c>
    </row>
    <row r="3237">
      <c r="A3237" s="3">
        <v>170747.0</v>
      </c>
      <c r="B3237" s="3" t="s">
        <v>3263</v>
      </c>
      <c r="C3237" s="3" t="s">
        <v>2807</v>
      </c>
      <c r="D3237" s="3">
        <v>337.0</v>
      </c>
      <c r="E3237" s="3">
        <v>23.0</v>
      </c>
      <c r="F3237" s="3">
        <v>20.8</v>
      </c>
      <c r="G3237" s="3">
        <v>11.66</v>
      </c>
    </row>
    <row r="3238">
      <c r="A3238" s="3">
        <v>170748.0</v>
      </c>
      <c r="B3238" s="3" t="s">
        <v>3264</v>
      </c>
      <c r="C3238" s="3" t="s">
        <v>2807</v>
      </c>
      <c r="D3238" s="3">
        <v>157.0</v>
      </c>
      <c r="E3238" s="3">
        <v>4.52</v>
      </c>
      <c r="F3238" s="3">
        <v>28.98</v>
      </c>
      <c r="G3238" s="3">
        <v>0.0</v>
      </c>
    </row>
    <row r="3239">
      <c r="A3239" s="3">
        <v>170749.0</v>
      </c>
      <c r="B3239" s="3" t="s">
        <v>3265</v>
      </c>
      <c r="C3239" s="3" t="s">
        <v>2807</v>
      </c>
      <c r="D3239" s="3">
        <v>170.0</v>
      </c>
      <c r="E3239" s="3">
        <v>7.14</v>
      </c>
      <c r="F3239" s="3">
        <v>26.51</v>
      </c>
      <c r="G3239" s="3">
        <v>0.04</v>
      </c>
    </row>
    <row r="3240">
      <c r="A3240" s="3">
        <v>170750.0</v>
      </c>
      <c r="B3240" s="3" t="s">
        <v>3266</v>
      </c>
      <c r="C3240" s="3" t="s">
        <v>2807</v>
      </c>
      <c r="D3240" s="3">
        <v>310.0</v>
      </c>
      <c r="E3240" s="3">
        <v>20.99</v>
      </c>
      <c r="F3240" s="3">
        <v>19.14</v>
      </c>
      <c r="G3240" s="3">
        <v>11.2</v>
      </c>
    </row>
    <row r="3241">
      <c r="A3241" s="3">
        <v>170751.0</v>
      </c>
      <c r="B3241" s="3" t="s">
        <v>3267</v>
      </c>
      <c r="C3241" s="3" t="s">
        <v>2807</v>
      </c>
      <c r="D3241" s="3">
        <v>338.0</v>
      </c>
      <c r="E3241" s="3">
        <v>22.48</v>
      </c>
      <c r="F3241" s="3">
        <v>20.4</v>
      </c>
      <c r="G3241" s="3">
        <v>13.52</v>
      </c>
    </row>
    <row r="3242">
      <c r="A3242" s="3">
        <v>170752.0</v>
      </c>
      <c r="B3242" s="3" t="s">
        <v>3268</v>
      </c>
      <c r="C3242" s="3" t="s">
        <v>2807</v>
      </c>
      <c r="D3242" s="3">
        <v>220.0</v>
      </c>
      <c r="E3242" s="3">
        <v>8.05</v>
      </c>
      <c r="F3242" s="3">
        <v>17.19</v>
      </c>
      <c r="G3242" s="3">
        <v>19.87</v>
      </c>
    </row>
    <row r="3243">
      <c r="A3243" s="3">
        <v>170753.0</v>
      </c>
      <c r="B3243" s="3" t="s">
        <v>3269</v>
      </c>
      <c r="C3243" s="3" t="s">
        <v>2807</v>
      </c>
      <c r="D3243" s="3">
        <v>257.0</v>
      </c>
      <c r="E3243" s="3">
        <v>11.76</v>
      </c>
      <c r="F3243" s="3">
        <v>15.38</v>
      </c>
      <c r="G3243" s="3">
        <v>22.61</v>
      </c>
    </row>
    <row r="3244">
      <c r="A3244" s="3">
        <v>170754.0</v>
      </c>
      <c r="B3244" s="3" t="s">
        <v>3270</v>
      </c>
      <c r="C3244" s="3" t="s">
        <v>2807</v>
      </c>
      <c r="D3244" s="3">
        <v>215.0</v>
      </c>
      <c r="E3244" s="3">
        <v>10.2</v>
      </c>
      <c r="F3244" s="3">
        <v>28.77</v>
      </c>
      <c r="G3244" s="3">
        <v>2.13</v>
      </c>
    </row>
    <row r="3245">
      <c r="A3245" s="3">
        <v>170755.0</v>
      </c>
      <c r="B3245" s="3" t="s">
        <v>3271</v>
      </c>
      <c r="C3245" s="3" t="s">
        <v>2807</v>
      </c>
      <c r="D3245" s="3">
        <v>398.0</v>
      </c>
      <c r="E3245" s="3">
        <v>29.22</v>
      </c>
      <c r="F3245" s="3">
        <v>14.11</v>
      </c>
      <c r="G3245" s="3">
        <v>19.56</v>
      </c>
    </row>
    <row r="3246">
      <c r="A3246" s="3">
        <v>170756.0</v>
      </c>
      <c r="B3246" s="3" t="s">
        <v>3272</v>
      </c>
      <c r="C3246" s="3" t="s">
        <v>2807</v>
      </c>
      <c r="D3246" s="3">
        <v>230.0</v>
      </c>
      <c r="E3246" s="3">
        <v>12.44</v>
      </c>
      <c r="F3246" s="3">
        <v>23.51</v>
      </c>
      <c r="G3246" s="3">
        <v>6.03</v>
      </c>
    </row>
    <row r="3247">
      <c r="A3247" s="3">
        <v>170757.0</v>
      </c>
      <c r="B3247" s="3" t="s">
        <v>3273</v>
      </c>
      <c r="C3247" s="3" t="s">
        <v>2807</v>
      </c>
      <c r="D3247" s="3">
        <v>267.0</v>
      </c>
      <c r="E3247" s="3">
        <v>16.92</v>
      </c>
      <c r="F3247" s="3">
        <v>21.13</v>
      </c>
      <c r="G3247" s="3">
        <v>7.59</v>
      </c>
    </row>
    <row r="3248">
      <c r="A3248" s="3">
        <v>170758.0</v>
      </c>
      <c r="B3248" s="3" t="s">
        <v>3274</v>
      </c>
      <c r="C3248" s="3" t="s">
        <v>2807</v>
      </c>
      <c r="D3248" s="3">
        <v>247.0</v>
      </c>
      <c r="E3248" s="3">
        <v>9.91</v>
      </c>
      <c r="F3248" s="3">
        <v>12.96</v>
      </c>
      <c r="G3248" s="3">
        <v>26.47</v>
      </c>
    </row>
    <row r="3249">
      <c r="A3249" s="3">
        <v>170759.0</v>
      </c>
      <c r="B3249" s="3" t="s">
        <v>3275</v>
      </c>
      <c r="C3249" s="3" t="s">
        <v>2807</v>
      </c>
      <c r="D3249" s="3">
        <v>279.0</v>
      </c>
      <c r="E3249" s="3">
        <v>11.71</v>
      </c>
      <c r="F3249" s="3">
        <v>13.92</v>
      </c>
      <c r="G3249" s="3">
        <v>29.46</v>
      </c>
    </row>
    <row r="3250">
      <c r="A3250" s="3">
        <v>170760.0</v>
      </c>
      <c r="B3250" s="3" t="s">
        <v>3276</v>
      </c>
      <c r="C3250" s="3" t="s">
        <v>2807</v>
      </c>
      <c r="D3250" s="3">
        <v>265.0</v>
      </c>
      <c r="E3250" s="3">
        <v>10.11</v>
      </c>
      <c r="F3250" s="3">
        <v>12.46</v>
      </c>
      <c r="G3250" s="3">
        <v>31.15</v>
      </c>
    </row>
    <row r="3251">
      <c r="A3251" s="3">
        <v>170761.0</v>
      </c>
      <c r="B3251" s="3" t="s">
        <v>3277</v>
      </c>
      <c r="C3251" s="3" t="s">
        <v>2807</v>
      </c>
      <c r="D3251" s="3">
        <v>283.0</v>
      </c>
      <c r="E3251" s="3">
        <v>12.86</v>
      </c>
      <c r="F3251" s="3">
        <v>13.22</v>
      </c>
      <c r="G3251" s="3">
        <v>28.67</v>
      </c>
    </row>
    <row r="3252">
      <c r="A3252" s="3">
        <v>170762.0</v>
      </c>
      <c r="B3252" s="3" t="s">
        <v>3278</v>
      </c>
      <c r="C3252" s="3" t="s">
        <v>2807</v>
      </c>
      <c r="D3252" s="3">
        <v>331.0</v>
      </c>
      <c r="E3252" s="3">
        <v>17.61</v>
      </c>
      <c r="F3252" s="3">
        <v>14.01</v>
      </c>
      <c r="G3252" s="3">
        <v>29.0</v>
      </c>
    </row>
    <row r="3253">
      <c r="A3253" s="3">
        <v>170763.0</v>
      </c>
      <c r="B3253" s="3" t="s">
        <v>3279</v>
      </c>
      <c r="C3253" s="3" t="s">
        <v>2807</v>
      </c>
      <c r="D3253" s="3">
        <v>206.0</v>
      </c>
      <c r="E3253" s="3">
        <v>9.75</v>
      </c>
      <c r="F3253" s="3">
        <v>9.25</v>
      </c>
      <c r="G3253" s="3">
        <v>20.23</v>
      </c>
    </row>
    <row r="3254">
      <c r="A3254" s="3">
        <v>170764.0</v>
      </c>
      <c r="B3254" s="3" t="s">
        <v>3280</v>
      </c>
      <c r="C3254" s="3" t="s">
        <v>2807</v>
      </c>
      <c r="D3254" s="3">
        <v>189.0</v>
      </c>
      <c r="E3254" s="3">
        <v>6.35</v>
      </c>
      <c r="F3254" s="3">
        <v>13.3</v>
      </c>
      <c r="G3254" s="3">
        <v>19.69</v>
      </c>
    </row>
    <row r="3255">
      <c r="A3255" s="3">
        <v>170765.0</v>
      </c>
      <c r="B3255" s="3" t="s">
        <v>3281</v>
      </c>
      <c r="C3255" s="3" t="s">
        <v>2807</v>
      </c>
      <c r="D3255" s="3">
        <v>294.0</v>
      </c>
      <c r="E3255" s="3">
        <v>15.25</v>
      </c>
      <c r="F3255" s="3">
        <v>15.05</v>
      </c>
      <c r="G3255" s="3">
        <v>24.04</v>
      </c>
    </row>
    <row r="3256">
      <c r="A3256" s="3">
        <v>170766.0</v>
      </c>
      <c r="B3256" s="3" t="s">
        <v>3282</v>
      </c>
      <c r="C3256" s="3" t="s">
        <v>2807</v>
      </c>
      <c r="D3256" s="3">
        <v>273.0</v>
      </c>
      <c r="E3256" s="3">
        <v>11.2</v>
      </c>
      <c r="F3256" s="3">
        <v>11.08</v>
      </c>
      <c r="G3256" s="3">
        <v>31.84</v>
      </c>
    </row>
    <row r="3257">
      <c r="A3257" s="3">
        <v>170767.0</v>
      </c>
      <c r="B3257" s="3" t="s">
        <v>3283</v>
      </c>
      <c r="C3257" s="3" t="s">
        <v>2807</v>
      </c>
      <c r="D3257" s="3">
        <v>277.0</v>
      </c>
      <c r="E3257" s="3">
        <v>12.03</v>
      </c>
      <c r="F3257" s="3">
        <v>11.03</v>
      </c>
      <c r="G3257" s="3">
        <v>31.17</v>
      </c>
    </row>
    <row r="3258">
      <c r="A3258" s="3">
        <v>170768.0</v>
      </c>
      <c r="B3258" s="3" t="s">
        <v>3284</v>
      </c>
      <c r="C3258" s="3" t="s">
        <v>2807</v>
      </c>
      <c r="D3258" s="3">
        <v>323.0</v>
      </c>
      <c r="E3258" s="3">
        <v>16.9</v>
      </c>
      <c r="F3258" s="3">
        <v>13.95</v>
      </c>
      <c r="G3258" s="3">
        <v>28.7</v>
      </c>
    </row>
    <row r="3259">
      <c r="A3259" s="3">
        <v>170769.0</v>
      </c>
      <c r="B3259" s="3" t="s">
        <v>3285</v>
      </c>
      <c r="C3259" s="3" t="s">
        <v>2807</v>
      </c>
      <c r="D3259" s="3">
        <v>287.0</v>
      </c>
      <c r="E3259" s="3">
        <v>13.5</v>
      </c>
      <c r="F3259" s="3">
        <v>11.92</v>
      </c>
      <c r="G3259" s="3">
        <v>29.39</v>
      </c>
    </row>
    <row r="3260">
      <c r="A3260" s="3">
        <v>170770.0</v>
      </c>
      <c r="B3260" s="3" t="s">
        <v>3286</v>
      </c>
      <c r="C3260" s="3" t="s">
        <v>2807</v>
      </c>
      <c r="D3260" s="3">
        <v>278.0</v>
      </c>
      <c r="E3260" s="3">
        <v>13.93</v>
      </c>
      <c r="F3260" s="3">
        <v>11.72</v>
      </c>
      <c r="G3260" s="3">
        <v>26.36</v>
      </c>
    </row>
    <row r="3261">
      <c r="A3261" s="3">
        <v>170771.0</v>
      </c>
      <c r="B3261" s="3" t="s">
        <v>3287</v>
      </c>
      <c r="C3261" s="3" t="s">
        <v>2807</v>
      </c>
      <c r="D3261" s="3">
        <v>417.0</v>
      </c>
      <c r="E3261" s="3">
        <v>25.23</v>
      </c>
      <c r="F3261" s="3">
        <v>3.86</v>
      </c>
      <c r="G3261" s="3">
        <v>43.58</v>
      </c>
    </row>
    <row r="3262">
      <c r="A3262" s="3">
        <v>170772.0</v>
      </c>
      <c r="B3262" s="3" t="s">
        <v>3288</v>
      </c>
      <c r="C3262" s="3" t="s">
        <v>2807</v>
      </c>
      <c r="D3262" s="3">
        <v>268.0</v>
      </c>
      <c r="E3262" s="3">
        <v>15.8</v>
      </c>
      <c r="F3262" s="3">
        <v>13.69</v>
      </c>
      <c r="G3262" s="3">
        <v>17.73</v>
      </c>
    </row>
    <row r="3263">
      <c r="A3263" s="3">
        <v>170773.0</v>
      </c>
      <c r="B3263" s="3" t="s">
        <v>3289</v>
      </c>
      <c r="C3263" s="3" t="s">
        <v>2807</v>
      </c>
      <c r="D3263" s="3">
        <v>274.0</v>
      </c>
      <c r="E3263" s="3">
        <v>11.63</v>
      </c>
      <c r="F3263" s="3">
        <v>12.23</v>
      </c>
      <c r="G3263" s="3">
        <v>30.0</v>
      </c>
    </row>
    <row r="3264">
      <c r="A3264" s="3">
        <v>170774.0</v>
      </c>
      <c r="B3264" s="3" t="s">
        <v>3290</v>
      </c>
      <c r="C3264" s="3" t="s">
        <v>2807</v>
      </c>
      <c r="D3264" s="3">
        <v>274.0</v>
      </c>
      <c r="E3264" s="3">
        <v>11.63</v>
      </c>
      <c r="F3264" s="3">
        <v>12.23</v>
      </c>
      <c r="G3264" s="3">
        <v>30.0</v>
      </c>
    </row>
    <row r="3265">
      <c r="A3265" s="3">
        <v>170775.0</v>
      </c>
      <c r="B3265" s="3" t="s">
        <v>3291</v>
      </c>
      <c r="C3265" s="3" t="s">
        <v>2807</v>
      </c>
      <c r="D3265" s="3">
        <v>65.0</v>
      </c>
      <c r="E3265" s="3">
        <v>0.14</v>
      </c>
      <c r="F3265" s="3">
        <v>0.86</v>
      </c>
      <c r="G3265" s="3">
        <v>15.05</v>
      </c>
    </row>
    <row r="3266">
      <c r="A3266" s="3">
        <v>170776.0</v>
      </c>
      <c r="B3266" s="3" t="s">
        <v>3292</v>
      </c>
      <c r="C3266" s="3" t="s">
        <v>2807</v>
      </c>
      <c r="D3266" s="3">
        <v>304.0</v>
      </c>
      <c r="E3266" s="3">
        <v>14.93</v>
      </c>
      <c r="F3266" s="3">
        <v>11.93</v>
      </c>
      <c r="G3266" s="3">
        <v>30.56</v>
      </c>
    </row>
    <row r="3267">
      <c r="A3267" s="3">
        <v>170777.0</v>
      </c>
      <c r="B3267" s="3" t="s">
        <v>3293</v>
      </c>
      <c r="C3267" s="3" t="s">
        <v>2807</v>
      </c>
      <c r="D3267" s="3">
        <v>275.0</v>
      </c>
      <c r="E3267" s="3">
        <v>15.1</v>
      </c>
      <c r="F3267" s="3">
        <v>11.48</v>
      </c>
      <c r="G3267" s="3">
        <v>23.22</v>
      </c>
    </row>
    <row r="3268">
      <c r="A3268" s="3">
        <v>170778.0</v>
      </c>
      <c r="B3268" s="3" t="s">
        <v>3294</v>
      </c>
      <c r="C3268" s="3" t="s">
        <v>2807</v>
      </c>
      <c r="D3268" s="3">
        <v>222.0</v>
      </c>
      <c r="E3268" s="3">
        <v>10.31</v>
      </c>
      <c r="F3268" s="3">
        <v>13.77</v>
      </c>
      <c r="G3268" s="3">
        <v>18.43</v>
      </c>
    </row>
    <row r="3269">
      <c r="A3269" s="3">
        <v>170779.0</v>
      </c>
      <c r="B3269" s="3" t="s">
        <v>3295</v>
      </c>
      <c r="C3269" s="3" t="s">
        <v>2807</v>
      </c>
      <c r="D3269" s="3">
        <v>254.0</v>
      </c>
      <c r="E3269" s="3">
        <v>9.27</v>
      </c>
      <c r="F3269" s="3">
        <v>14.62</v>
      </c>
      <c r="G3269" s="3">
        <v>28.08</v>
      </c>
    </row>
    <row r="3270">
      <c r="A3270" s="3">
        <v>170780.0</v>
      </c>
      <c r="B3270" s="3" t="s">
        <v>3296</v>
      </c>
      <c r="C3270" s="3" t="s">
        <v>2807</v>
      </c>
      <c r="D3270" s="3">
        <v>254.0</v>
      </c>
      <c r="E3270" s="3">
        <v>8.62</v>
      </c>
      <c r="F3270" s="3">
        <v>12.78</v>
      </c>
      <c r="G3270" s="3">
        <v>31.24</v>
      </c>
    </row>
    <row r="3271">
      <c r="A3271" s="3">
        <v>170781.0</v>
      </c>
      <c r="B3271" s="3" t="s">
        <v>3297</v>
      </c>
      <c r="C3271" s="3" t="s">
        <v>2807</v>
      </c>
      <c r="D3271" s="3">
        <v>259.0</v>
      </c>
      <c r="E3271" s="3">
        <v>9.82</v>
      </c>
      <c r="F3271" s="3">
        <v>14.35</v>
      </c>
      <c r="G3271" s="3">
        <v>28.3</v>
      </c>
    </row>
    <row r="3272">
      <c r="A3272" s="3">
        <v>170782.0</v>
      </c>
      <c r="B3272" s="3" t="s">
        <v>3298</v>
      </c>
      <c r="C3272" s="3" t="s">
        <v>2807</v>
      </c>
      <c r="D3272" s="3">
        <v>250.0</v>
      </c>
      <c r="E3272" s="3">
        <v>7.83</v>
      </c>
      <c r="F3272" s="3">
        <v>12.63</v>
      </c>
      <c r="G3272" s="3">
        <v>32.24</v>
      </c>
    </row>
    <row r="3273">
      <c r="A3273" s="3">
        <v>170783.0</v>
      </c>
      <c r="B3273" s="3" t="s">
        <v>3299</v>
      </c>
      <c r="C3273" s="3" t="s">
        <v>189</v>
      </c>
      <c r="D3273" s="3">
        <v>175.0</v>
      </c>
      <c r="E3273" s="3">
        <v>10.7</v>
      </c>
      <c r="F3273" s="3">
        <v>19.38</v>
      </c>
      <c r="G3273" s="3">
        <v>0.29</v>
      </c>
    </row>
    <row r="3274">
      <c r="A3274" s="3">
        <v>170784.0</v>
      </c>
      <c r="B3274" s="3" t="s">
        <v>3300</v>
      </c>
      <c r="C3274" s="3" t="s">
        <v>2807</v>
      </c>
      <c r="D3274" s="3">
        <v>285.0</v>
      </c>
      <c r="E3274" s="3">
        <v>16.6</v>
      </c>
      <c r="F3274" s="3">
        <v>18.53</v>
      </c>
      <c r="G3274" s="3">
        <v>15.35</v>
      </c>
    </row>
    <row r="3275">
      <c r="A3275" s="3">
        <v>170785.0</v>
      </c>
      <c r="B3275" s="3" t="s">
        <v>3301</v>
      </c>
      <c r="C3275" s="3" t="s">
        <v>2807</v>
      </c>
      <c r="D3275" s="3">
        <v>275.0</v>
      </c>
      <c r="E3275" s="3">
        <v>15.1</v>
      </c>
      <c r="F3275" s="3">
        <v>11.48</v>
      </c>
      <c r="G3275" s="3">
        <v>23.22</v>
      </c>
    </row>
    <row r="3276">
      <c r="A3276" s="3">
        <v>170786.0</v>
      </c>
      <c r="B3276" s="3" t="s">
        <v>3302</v>
      </c>
      <c r="C3276" s="3" t="s">
        <v>2807</v>
      </c>
      <c r="D3276" s="3">
        <v>222.0</v>
      </c>
      <c r="E3276" s="3">
        <v>10.31</v>
      </c>
      <c r="F3276" s="3">
        <v>13.77</v>
      </c>
      <c r="G3276" s="3">
        <v>18.43</v>
      </c>
    </row>
    <row r="3277">
      <c r="A3277" s="3">
        <v>170787.0</v>
      </c>
      <c r="B3277" s="3" t="s">
        <v>3303</v>
      </c>
      <c r="C3277" s="3" t="s">
        <v>2807</v>
      </c>
      <c r="D3277" s="3">
        <v>277.0</v>
      </c>
      <c r="E3277" s="3">
        <v>15.63</v>
      </c>
      <c r="F3277" s="3">
        <v>11.1</v>
      </c>
      <c r="G3277" s="3">
        <v>22.97</v>
      </c>
    </row>
    <row r="3278">
      <c r="A3278" s="3">
        <v>170788.0</v>
      </c>
      <c r="B3278" s="3" t="s">
        <v>3304</v>
      </c>
      <c r="C3278" s="3" t="s">
        <v>2807</v>
      </c>
      <c r="D3278" s="3">
        <v>343.0</v>
      </c>
      <c r="E3278" s="3">
        <v>12.88</v>
      </c>
      <c r="F3278" s="3">
        <v>12.2</v>
      </c>
      <c r="G3278" s="3">
        <v>44.48</v>
      </c>
    </row>
    <row r="3279">
      <c r="A3279" s="3">
        <v>170789.0</v>
      </c>
      <c r="B3279" s="3" t="s">
        <v>3305</v>
      </c>
      <c r="C3279" s="3" t="s">
        <v>2807</v>
      </c>
      <c r="D3279" s="3">
        <v>343.0</v>
      </c>
      <c r="E3279" s="3">
        <v>12.88</v>
      </c>
      <c r="F3279" s="3">
        <v>12.2</v>
      </c>
      <c r="G3279" s="3">
        <v>44.48</v>
      </c>
    </row>
    <row r="3280">
      <c r="A3280" s="3">
        <v>170790.0</v>
      </c>
      <c r="B3280" s="3" t="s">
        <v>3306</v>
      </c>
      <c r="C3280" s="3" t="s">
        <v>2807</v>
      </c>
      <c r="D3280" s="3">
        <v>249.0</v>
      </c>
      <c r="E3280" s="3">
        <v>11.19</v>
      </c>
      <c r="F3280" s="3">
        <v>16.28</v>
      </c>
      <c r="G3280" s="3">
        <v>20.89</v>
      </c>
    </row>
    <row r="3281">
      <c r="A3281" s="3">
        <v>170791.0</v>
      </c>
      <c r="B3281" s="3" t="s">
        <v>3307</v>
      </c>
      <c r="C3281" s="3" t="s">
        <v>2807</v>
      </c>
      <c r="D3281" s="3">
        <v>242.0</v>
      </c>
      <c r="E3281" s="3">
        <v>10.3</v>
      </c>
      <c r="F3281" s="3">
        <v>15.17</v>
      </c>
      <c r="G3281" s="3">
        <v>22.21</v>
      </c>
    </row>
    <row r="3282">
      <c r="A3282" s="3">
        <v>170792.0</v>
      </c>
      <c r="B3282" s="3" t="s">
        <v>3308</v>
      </c>
      <c r="C3282" s="3" t="s">
        <v>2807</v>
      </c>
      <c r="D3282" s="3">
        <v>247.0</v>
      </c>
      <c r="E3282" s="3">
        <v>7.91</v>
      </c>
      <c r="F3282" s="3">
        <v>12.72</v>
      </c>
      <c r="G3282" s="3">
        <v>31.31</v>
      </c>
    </row>
    <row r="3283">
      <c r="A3283" s="3">
        <v>170793.0</v>
      </c>
      <c r="B3283" s="3" t="s">
        <v>3309</v>
      </c>
      <c r="C3283" s="3" t="s">
        <v>2807</v>
      </c>
      <c r="D3283" s="3">
        <v>257.0</v>
      </c>
      <c r="E3283" s="3">
        <v>9.07</v>
      </c>
      <c r="F3283" s="3">
        <v>13.26</v>
      </c>
      <c r="G3283" s="3">
        <v>30.58</v>
      </c>
    </row>
    <row r="3284">
      <c r="A3284" s="3">
        <v>170794.0</v>
      </c>
      <c r="B3284" s="3" t="s">
        <v>3310</v>
      </c>
      <c r="C3284" s="3" t="s">
        <v>2807</v>
      </c>
      <c r="D3284" s="3">
        <v>246.0</v>
      </c>
      <c r="E3284" s="3">
        <v>13.93</v>
      </c>
      <c r="F3284" s="3">
        <v>17.64</v>
      </c>
      <c r="G3284" s="3">
        <v>12.5</v>
      </c>
    </row>
    <row r="3285">
      <c r="A3285" s="3">
        <v>170795.0</v>
      </c>
      <c r="B3285" s="3" t="s">
        <v>3311</v>
      </c>
      <c r="C3285" s="3" t="s">
        <v>2807</v>
      </c>
      <c r="D3285" s="3">
        <v>270.0</v>
      </c>
      <c r="E3285" s="3">
        <v>12.9</v>
      </c>
      <c r="F3285" s="3">
        <v>15.67</v>
      </c>
      <c r="G3285" s="3">
        <v>22.86</v>
      </c>
    </row>
    <row r="3286">
      <c r="A3286" s="3">
        <v>170796.0</v>
      </c>
      <c r="B3286" s="3" t="s">
        <v>3312</v>
      </c>
      <c r="C3286" s="3" t="s">
        <v>189</v>
      </c>
      <c r="D3286" s="3">
        <v>169.0</v>
      </c>
      <c r="E3286" s="3">
        <v>10.02</v>
      </c>
      <c r="F3286" s="3">
        <v>19.68</v>
      </c>
      <c r="G3286" s="3">
        <v>0.05</v>
      </c>
    </row>
    <row r="3287">
      <c r="A3287" s="3">
        <v>170797.0</v>
      </c>
      <c r="B3287" s="3" t="s">
        <v>3313</v>
      </c>
      <c r="C3287" s="3" t="s">
        <v>189</v>
      </c>
      <c r="D3287" s="3">
        <v>234.0</v>
      </c>
      <c r="E3287" s="3">
        <v>12.22</v>
      </c>
      <c r="F3287" s="3">
        <v>30.95</v>
      </c>
      <c r="G3287" s="3">
        <v>0.0</v>
      </c>
    </row>
    <row r="3288">
      <c r="A3288" s="3">
        <v>170798.0</v>
      </c>
      <c r="B3288" s="3" t="s">
        <v>3314</v>
      </c>
      <c r="C3288" s="3" t="s">
        <v>189</v>
      </c>
      <c r="D3288" s="3">
        <v>221.0</v>
      </c>
      <c r="E3288" s="3">
        <v>10.24</v>
      </c>
      <c r="F3288" s="3">
        <v>32.1</v>
      </c>
      <c r="G3288" s="3">
        <v>0.0</v>
      </c>
    </row>
    <row r="3289">
      <c r="A3289" s="3">
        <v>170799.0</v>
      </c>
      <c r="B3289" s="3" t="s">
        <v>3315</v>
      </c>
      <c r="C3289" s="3" t="s">
        <v>189</v>
      </c>
      <c r="D3289" s="3">
        <v>228.0</v>
      </c>
      <c r="E3289" s="3">
        <v>11.43</v>
      </c>
      <c r="F3289" s="3">
        <v>31.41</v>
      </c>
      <c r="G3289" s="3">
        <v>0.0</v>
      </c>
    </row>
    <row r="3290">
      <c r="A3290" s="3">
        <v>170800.0</v>
      </c>
      <c r="B3290" s="3" t="s">
        <v>3316</v>
      </c>
      <c r="C3290" s="3" t="s">
        <v>189</v>
      </c>
      <c r="D3290" s="3">
        <v>152.0</v>
      </c>
      <c r="E3290" s="3">
        <v>7.67</v>
      </c>
      <c r="F3290" s="3">
        <v>20.87</v>
      </c>
      <c r="G3290" s="3">
        <v>0.0</v>
      </c>
    </row>
    <row r="3291">
      <c r="A3291" s="3">
        <v>170801.0</v>
      </c>
      <c r="B3291" s="3" t="s">
        <v>3317</v>
      </c>
      <c r="C3291" s="3" t="s">
        <v>189</v>
      </c>
      <c r="D3291" s="3">
        <v>209.0</v>
      </c>
      <c r="E3291" s="3">
        <v>10.79</v>
      </c>
      <c r="F3291" s="3">
        <v>27.94</v>
      </c>
      <c r="G3291" s="3">
        <v>0.0</v>
      </c>
    </row>
    <row r="3292">
      <c r="A3292" s="3">
        <v>170802.0</v>
      </c>
      <c r="B3292" s="3" t="s">
        <v>3318</v>
      </c>
      <c r="C3292" s="3" t="s">
        <v>189</v>
      </c>
      <c r="D3292" s="3">
        <v>160.0</v>
      </c>
      <c r="E3292" s="3">
        <v>8.29</v>
      </c>
      <c r="F3292" s="3">
        <v>21.31</v>
      </c>
      <c r="G3292" s="3">
        <v>0.0</v>
      </c>
    </row>
    <row r="3293">
      <c r="A3293" s="3">
        <v>170803.0</v>
      </c>
      <c r="B3293" s="3" t="s">
        <v>3319</v>
      </c>
      <c r="C3293" s="3" t="s">
        <v>189</v>
      </c>
      <c r="D3293" s="3">
        <v>143.0</v>
      </c>
      <c r="E3293" s="3">
        <v>6.47</v>
      </c>
      <c r="F3293" s="3">
        <v>21.28</v>
      </c>
      <c r="G3293" s="3">
        <v>0.0</v>
      </c>
    </row>
    <row r="3294">
      <c r="A3294" s="3">
        <v>170804.0</v>
      </c>
      <c r="B3294" s="3" t="s">
        <v>3320</v>
      </c>
      <c r="C3294" s="3" t="s">
        <v>189</v>
      </c>
      <c r="D3294" s="3">
        <v>153.0</v>
      </c>
      <c r="E3294" s="3">
        <v>7.56</v>
      </c>
      <c r="F3294" s="3">
        <v>21.29</v>
      </c>
      <c r="G3294" s="3">
        <v>0.0</v>
      </c>
    </row>
    <row r="3295">
      <c r="A3295" s="3">
        <v>170805.0</v>
      </c>
      <c r="B3295" s="3" t="s">
        <v>3321</v>
      </c>
      <c r="C3295" s="3" t="s">
        <v>189</v>
      </c>
      <c r="D3295" s="3">
        <v>181.0</v>
      </c>
      <c r="E3295" s="3">
        <v>5.44</v>
      </c>
      <c r="F3295" s="3">
        <v>32.96</v>
      </c>
      <c r="G3295" s="3">
        <v>0.0</v>
      </c>
    </row>
    <row r="3296">
      <c r="A3296" s="3">
        <v>170806.0</v>
      </c>
      <c r="B3296" s="3" t="s">
        <v>3322</v>
      </c>
      <c r="C3296" s="3" t="s">
        <v>189</v>
      </c>
      <c r="D3296" s="3">
        <v>190.0</v>
      </c>
      <c r="E3296" s="3">
        <v>6.34</v>
      </c>
      <c r="F3296" s="3">
        <v>33.31</v>
      </c>
      <c r="G3296" s="3">
        <v>0.0</v>
      </c>
    </row>
    <row r="3297">
      <c r="A3297" s="3">
        <v>170807.0</v>
      </c>
      <c r="B3297" s="3" t="s">
        <v>3323</v>
      </c>
      <c r="C3297" s="3" t="s">
        <v>189</v>
      </c>
      <c r="D3297" s="3">
        <v>127.0</v>
      </c>
      <c r="E3297" s="3">
        <v>4.6</v>
      </c>
      <c r="F3297" s="3">
        <v>21.36</v>
      </c>
      <c r="G3297" s="3">
        <v>0.0</v>
      </c>
    </row>
    <row r="3298">
      <c r="A3298" s="3">
        <v>170808.0</v>
      </c>
      <c r="B3298" s="3" t="s">
        <v>3324</v>
      </c>
      <c r="C3298" s="3" t="s">
        <v>189</v>
      </c>
      <c r="D3298" s="3">
        <v>117.0</v>
      </c>
      <c r="E3298" s="3">
        <v>3.53</v>
      </c>
      <c r="F3298" s="3">
        <v>21.22</v>
      </c>
      <c r="G3298" s="3">
        <v>0.0</v>
      </c>
    </row>
    <row r="3299">
      <c r="A3299" s="3">
        <v>170809.0</v>
      </c>
      <c r="B3299" s="3" t="s">
        <v>3325</v>
      </c>
      <c r="C3299" s="3" t="s">
        <v>189</v>
      </c>
      <c r="D3299" s="3">
        <v>124.0</v>
      </c>
      <c r="E3299" s="3">
        <v>3.99</v>
      </c>
      <c r="F3299" s="3">
        <v>21.9</v>
      </c>
      <c r="G3299" s="3">
        <v>0.21</v>
      </c>
    </row>
    <row r="3300">
      <c r="A3300" s="3">
        <v>170810.0</v>
      </c>
      <c r="B3300" s="3" t="s">
        <v>3326</v>
      </c>
      <c r="C3300" s="3" t="s">
        <v>189</v>
      </c>
      <c r="D3300" s="3">
        <v>130.0</v>
      </c>
      <c r="E3300" s="3">
        <v>4.81</v>
      </c>
      <c r="F3300" s="3">
        <v>21.64</v>
      </c>
      <c r="G3300" s="3">
        <v>0.12</v>
      </c>
    </row>
    <row r="3301">
      <c r="A3301" s="3">
        <v>170811.0</v>
      </c>
      <c r="B3301" s="3" t="s">
        <v>3327</v>
      </c>
      <c r="C3301" s="3" t="s">
        <v>189</v>
      </c>
      <c r="D3301" s="3">
        <v>222.0</v>
      </c>
      <c r="E3301" s="3">
        <v>10.91</v>
      </c>
      <c r="F3301" s="3">
        <v>30.91</v>
      </c>
      <c r="G3301" s="3">
        <v>0.0</v>
      </c>
    </row>
    <row r="3302">
      <c r="A3302" s="3">
        <v>170812.0</v>
      </c>
      <c r="B3302" s="3" t="s">
        <v>3328</v>
      </c>
      <c r="C3302" s="3" t="s">
        <v>189</v>
      </c>
      <c r="D3302" s="3">
        <v>215.0</v>
      </c>
      <c r="E3302" s="3">
        <v>9.66</v>
      </c>
      <c r="F3302" s="3">
        <v>32.01</v>
      </c>
      <c r="G3302" s="3">
        <v>0.0</v>
      </c>
    </row>
    <row r="3303">
      <c r="A3303" s="3">
        <v>170813.0</v>
      </c>
      <c r="B3303" s="3" t="s">
        <v>3329</v>
      </c>
      <c r="C3303" s="3" t="s">
        <v>189</v>
      </c>
      <c r="D3303" s="3">
        <v>196.0</v>
      </c>
      <c r="E3303" s="3">
        <v>13.26</v>
      </c>
      <c r="F3303" s="3">
        <v>19.17</v>
      </c>
      <c r="G3303" s="3">
        <v>0.0</v>
      </c>
    </row>
    <row r="3304">
      <c r="A3304" s="3">
        <v>170814.0</v>
      </c>
      <c r="B3304" s="3" t="s">
        <v>3330</v>
      </c>
      <c r="C3304" s="3" t="s">
        <v>189</v>
      </c>
      <c r="D3304" s="3">
        <v>202.0</v>
      </c>
      <c r="E3304" s="3">
        <v>13.93</v>
      </c>
      <c r="F3304" s="3">
        <v>19.15</v>
      </c>
      <c r="G3304" s="3">
        <v>0.0</v>
      </c>
    </row>
    <row r="3305">
      <c r="A3305" s="3">
        <v>170815.0</v>
      </c>
      <c r="B3305" s="3" t="s">
        <v>3331</v>
      </c>
      <c r="C3305" s="3" t="s">
        <v>189</v>
      </c>
      <c r="D3305" s="3">
        <v>187.0</v>
      </c>
      <c r="E3305" s="3">
        <v>12.27</v>
      </c>
      <c r="F3305" s="3">
        <v>19.2</v>
      </c>
      <c r="G3305" s="3">
        <v>0.0</v>
      </c>
    </row>
    <row r="3306">
      <c r="A3306" s="3">
        <v>170816.0</v>
      </c>
      <c r="B3306" s="3" t="s">
        <v>3332</v>
      </c>
      <c r="C3306" s="3" t="s">
        <v>189</v>
      </c>
      <c r="D3306" s="3">
        <v>227.0</v>
      </c>
      <c r="E3306" s="3">
        <v>13.54</v>
      </c>
      <c r="F3306" s="3">
        <v>26.18</v>
      </c>
      <c r="G3306" s="3">
        <v>0.21</v>
      </c>
    </row>
    <row r="3307">
      <c r="A3307" s="3">
        <v>170817.0</v>
      </c>
      <c r="B3307" s="3" t="s">
        <v>3333</v>
      </c>
      <c r="C3307" s="3" t="s">
        <v>189</v>
      </c>
      <c r="D3307" s="3">
        <v>172.0</v>
      </c>
      <c r="E3307" s="3">
        <v>10.5</v>
      </c>
      <c r="F3307" s="3">
        <v>19.2</v>
      </c>
      <c r="G3307" s="3">
        <v>0.09</v>
      </c>
    </row>
    <row r="3308">
      <c r="A3308" s="3">
        <v>170818.0</v>
      </c>
      <c r="B3308" s="3" t="s">
        <v>3334</v>
      </c>
      <c r="C3308" s="3" t="s">
        <v>189</v>
      </c>
      <c r="D3308" s="3">
        <v>133.0</v>
      </c>
      <c r="E3308" s="3">
        <v>5.33</v>
      </c>
      <c r="F3308" s="3">
        <v>21.17</v>
      </c>
      <c r="G3308" s="3">
        <v>0.07</v>
      </c>
    </row>
    <row r="3309">
      <c r="A3309" s="3">
        <v>170819.0</v>
      </c>
      <c r="B3309" s="3" t="s">
        <v>3335</v>
      </c>
      <c r="C3309" s="3" t="s">
        <v>189</v>
      </c>
      <c r="D3309" s="3">
        <v>127.0</v>
      </c>
      <c r="E3309" s="3">
        <v>4.44</v>
      </c>
      <c r="F3309" s="3">
        <v>21.72</v>
      </c>
      <c r="G3309" s="3">
        <v>0.0</v>
      </c>
    </row>
    <row r="3310">
      <c r="A3310" s="3">
        <v>170820.0</v>
      </c>
      <c r="B3310" s="3" t="s">
        <v>3336</v>
      </c>
      <c r="C3310" s="3" t="s">
        <v>189</v>
      </c>
      <c r="D3310" s="3">
        <v>236.0</v>
      </c>
      <c r="E3310" s="3">
        <v>15.29</v>
      </c>
      <c r="F3310" s="3">
        <v>24.63</v>
      </c>
      <c r="G3310" s="3">
        <v>0.0</v>
      </c>
    </row>
    <row r="3311">
      <c r="A3311" s="3">
        <v>170821.0</v>
      </c>
      <c r="B3311" s="3" t="s">
        <v>3337</v>
      </c>
      <c r="C3311" s="3" t="s">
        <v>189</v>
      </c>
      <c r="D3311" s="3">
        <v>220.0</v>
      </c>
      <c r="E3311" s="3">
        <v>10.18</v>
      </c>
      <c r="F3311" s="3">
        <v>32.07</v>
      </c>
      <c r="G3311" s="3">
        <v>0.0</v>
      </c>
    </row>
    <row r="3312">
      <c r="A3312" s="3">
        <v>170822.0</v>
      </c>
      <c r="B3312" s="3" t="s">
        <v>3338</v>
      </c>
      <c r="C3312" s="3" t="s">
        <v>189</v>
      </c>
      <c r="D3312" s="3">
        <v>225.0</v>
      </c>
      <c r="E3312" s="3">
        <v>10.74</v>
      </c>
      <c r="F3312" s="3">
        <v>32.21</v>
      </c>
      <c r="G3312" s="3">
        <v>0.0</v>
      </c>
    </row>
    <row r="3313">
      <c r="A3313" s="3">
        <v>170823.0</v>
      </c>
      <c r="B3313" s="3" t="s">
        <v>3339</v>
      </c>
      <c r="C3313" s="3" t="s">
        <v>189</v>
      </c>
      <c r="D3313" s="3">
        <v>211.0</v>
      </c>
      <c r="E3313" s="3">
        <v>9.34</v>
      </c>
      <c r="F3313" s="3">
        <v>31.86</v>
      </c>
      <c r="G3313" s="3">
        <v>0.0</v>
      </c>
    </row>
    <row r="3314">
      <c r="A3314" s="3">
        <v>170824.0</v>
      </c>
      <c r="B3314" s="3" t="s">
        <v>3340</v>
      </c>
      <c r="C3314" s="3" t="s">
        <v>189</v>
      </c>
      <c r="D3314" s="3">
        <v>128.0</v>
      </c>
      <c r="E3314" s="3">
        <v>4.79</v>
      </c>
      <c r="F3314" s="3">
        <v>21.13</v>
      </c>
      <c r="G3314" s="3">
        <v>0.0</v>
      </c>
    </row>
    <row r="3315">
      <c r="A3315" s="3">
        <v>170825.0</v>
      </c>
      <c r="B3315" s="3" t="s">
        <v>3341</v>
      </c>
      <c r="C3315" s="3" t="s">
        <v>189</v>
      </c>
      <c r="D3315" s="3">
        <v>287.0</v>
      </c>
      <c r="E3315" s="3">
        <v>20.38</v>
      </c>
      <c r="F3315" s="3">
        <v>25.81</v>
      </c>
      <c r="G3315" s="3">
        <v>0.0</v>
      </c>
    </row>
    <row r="3316">
      <c r="A3316" s="3">
        <v>170826.0</v>
      </c>
      <c r="B3316" s="3" t="s">
        <v>3342</v>
      </c>
      <c r="C3316" s="3" t="s">
        <v>189</v>
      </c>
      <c r="D3316" s="3">
        <v>235.0</v>
      </c>
      <c r="E3316" s="3">
        <v>18.33</v>
      </c>
      <c r="F3316" s="3">
        <v>17.48</v>
      </c>
      <c r="G3316" s="3">
        <v>0.0</v>
      </c>
    </row>
    <row r="3317">
      <c r="A3317" s="3">
        <v>170827.0</v>
      </c>
      <c r="B3317" s="3" t="s">
        <v>3343</v>
      </c>
      <c r="C3317" s="3" t="s">
        <v>189</v>
      </c>
      <c r="D3317" s="3">
        <v>240.0</v>
      </c>
      <c r="E3317" s="3">
        <v>19.03</v>
      </c>
      <c r="F3317" s="3">
        <v>17.22</v>
      </c>
      <c r="G3317" s="3">
        <v>0.0</v>
      </c>
    </row>
    <row r="3318">
      <c r="A3318" s="3">
        <v>170828.0</v>
      </c>
      <c r="B3318" s="3" t="s">
        <v>3344</v>
      </c>
      <c r="C3318" s="3" t="s">
        <v>189</v>
      </c>
      <c r="D3318" s="3">
        <v>227.0</v>
      </c>
      <c r="E3318" s="3">
        <v>17.28</v>
      </c>
      <c r="F3318" s="3">
        <v>17.87</v>
      </c>
      <c r="G3318" s="3">
        <v>0.0</v>
      </c>
    </row>
    <row r="3319">
      <c r="A3319" s="3">
        <v>170829.0</v>
      </c>
      <c r="B3319" s="3" t="s">
        <v>3345</v>
      </c>
      <c r="C3319" s="3" t="s">
        <v>189</v>
      </c>
      <c r="D3319" s="3">
        <v>303.0</v>
      </c>
      <c r="E3319" s="3">
        <v>21.56</v>
      </c>
      <c r="F3319" s="3">
        <v>27.16</v>
      </c>
      <c r="G3319" s="3">
        <v>0.0</v>
      </c>
    </row>
    <row r="3320">
      <c r="A3320" s="3">
        <v>170830.0</v>
      </c>
      <c r="B3320" s="3" t="s">
        <v>3346</v>
      </c>
      <c r="C3320" s="3" t="s">
        <v>189</v>
      </c>
      <c r="D3320" s="3">
        <v>285.0</v>
      </c>
      <c r="E3320" s="3">
        <v>19.03</v>
      </c>
      <c r="F3320" s="3">
        <v>28.47</v>
      </c>
      <c r="G3320" s="3">
        <v>0.0</v>
      </c>
    </row>
    <row r="3321">
      <c r="A3321" s="3">
        <v>170831.0</v>
      </c>
      <c r="B3321" s="3" t="s">
        <v>3347</v>
      </c>
      <c r="C3321" s="3" t="s">
        <v>189</v>
      </c>
      <c r="D3321" s="3">
        <v>205.0</v>
      </c>
      <c r="E3321" s="3">
        <v>14.32</v>
      </c>
      <c r="F3321" s="3">
        <v>18.97</v>
      </c>
      <c r="G3321" s="3">
        <v>0.0</v>
      </c>
    </row>
    <row r="3322">
      <c r="A3322" s="3">
        <v>170832.0</v>
      </c>
      <c r="B3322" s="3" t="s">
        <v>3348</v>
      </c>
      <c r="C3322" s="3" t="s">
        <v>189</v>
      </c>
      <c r="D3322" s="3">
        <v>210.0</v>
      </c>
      <c r="E3322" s="3">
        <v>14.99</v>
      </c>
      <c r="F3322" s="3">
        <v>18.87</v>
      </c>
      <c r="G3322" s="3">
        <v>0.0</v>
      </c>
    </row>
    <row r="3323">
      <c r="A3323" s="3">
        <v>170833.0</v>
      </c>
      <c r="B3323" s="3" t="s">
        <v>3349</v>
      </c>
      <c r="C3323" s="3" t="s">
        <v>189</v>
      </c>
      <c r="D3323" s="3">
        <v>196.0</v>
      </c>
      <c r="E3323" s="3">
        <v>13.33</v>
      </c>
      <c r="F3323" s="3">
        <v>19.1</v>
      </c>
      <c r="G3323" s="3">
        <v>0.0</v>
      </c>
    </row>
    <row r="3324">
      <c r="A3324" s="3">
        <v>170834.0</v>
      </c>
      <c r="B3324" s="3" t="s">
        <v>3350</v>
      </c>
      <c r="C3324" s="3" t="s">
        <v>189</v>
      </c>
      <c r="D3324" s="3">
        <v>227.0</v>
      </c>
      <c r="E3324" s="3">
        <v>16.85</v>
      </c>
      <c r="F3324" s="3">
        <v>18.86</v>
      </c>
      <c r="G3324" s="3">
        <v>0.0</v>
      </c>
    </row>
    <row r="3325">
      <c r="A3325" s="3">
        <v>170835.0</v>
      </c>
      <c r="B3325" s="3" t="s">
        <v>3351</v>
      </c>
      <c r="C3325" s="3" t="s">
        <v>189</v>
      </c>
      <c r="D3325" s="3">
        <v>216.0</v>
      </c>
      <c r="E3325" s="3">
        <v>15.6</v>
      </c>
      <c r="F3325" s="3">
        <v>18.86</v>
      </c>
      <c r="G3325" s="3">
        <v>0.0</v>
      </c>
    </row>
    <row r="3326">
      <c r="A3326" s="3">
        <v>170836.0</v>
      </c>
      <c r="B3326" s="3" t="s">
        <v>3352</v>
      </c>
      <c r="C3326" s="3" t="s">
        <v>189</v>
      </c>
      <c r="D3326" s="3">
        <v>231.0</v>
      </c>
      <c r="E3326" s="3">
        <v>13.64</v>
      </c>
      <c r="F3326" s="3">
        <v>27.12</v>
      </c>
      <c r="G3326" s="3">
        <v>0.0</v>
      </c>
    </row>
    <row r="3327">
      <c r="A3327" s="3">
        <v>170837.0</v>
      </c>
      <c r="B3327" s="3" t="s">
        <v>3353</v>
      </c>
      <c r="C3327" s="3" t="s">
        <v>189</v>
      </c>
      <c r="D3327" s="3">
        <v>219.0</v>
      </c>
      <c r="E3327" s="3">
        <v>12.29</v>
      </c>
      <c r="F3327" s="3">
        <v>27.03</v>
      </c>
      <c r="G3327" s="3">
        <v>0.0</v>
      </c>
    </row>
    <row r="3328">
      <c r="A3328" s="3">
        <v>170838.0</v>
      </c>
      <c r="B3328" s="3" t="s">
        <v>3354</v>
      </c>
      <c r="C3328" s="3" t="s">
        <v>189</v>
      </c>
      <c r="D3328" s="3">
        <v>155.0</v>
      </c>
      <c r="E3328" s="3">
        <v>7.64</v>
      </c>
      <c r="F3328" s="3">
        <v>21.65</v>
      </c>
      <c r="G3328" s="3">
        <v>0.0</v>
      </c>
    </row>
    <row r="3329">
      <c r="A3329" s="3">
        <v>170839.0</v>
      </c>
      <c r="B3329" s="3" t="s">
        <v>3355</v>
      </c>
      <c r="C3329" s="3" t="s">
        <v>189</v>
      </c>
      <c r="D3329" s="3">
        <v>156.0</v>
      </c>
      <c r="E3329" s="3">
        <v>7.54</v>
      </c>
      <c r="F3329" s="3">
        <v>21.99</v>
      </c>
      <c r="G3329" s="3">
        <v>0.0</v>
      </c>
    </row>
    <row r="3330">
      <c r="A3330" s="3">
        <v>170840.0</v>
      </c>
      <c r="B3330" s="3" t="s">
        <v>3356</v>
      </c>
      <c r="C3330" s="3" t="s">
        <v>189</v>
      </c>
      <c r="D3330" s="3">
        <v>161.0</v>
      </c>
      <c r="E3330" s="3">
        <v>8.29</v>
      </c>
      <c r="F3330" s="3">
        <v>21.62</v>
      </c>
      <c r="G3330" s="3">
        <v>0.0</v>
      </c>
    </row>
    <row r="3331">
      <c r="A3331" s="3">
        <v>170841.0</v>
      </c>
      <c r="B3331" s="3" t="s">
        <v>3357</v>
      </c>
      <c r="C3331" s="3" t="s">
        <v>189</v>
      </c>
      <c r="D3331" s="3">
        <v>148.0</v>
      </c>
      <c r="E3331" s="3">
        <v>6.41</v>
      </c>
      <c r="F3331" s="3">
        <v>22.55</v>
      </c>
      <c r="G3331" s="3">
        <v>0.0</v>
      </c>
    </row>
    <row r="3332">
      <c r="A3332" s="3">
        <v>170842.0</v>
      </c>
      <c r="B3332" s="3" t="s">
        <v>3358</v>
      </c>
      <c r="C3332" s="3" t="s">
        <v>189</v>
      </c>
      <c r="D3332" s="3">
        <v>229.0</v>
      </c>
      <c r="E3332" s="3">
        <v>13.01</v>
      </c>
      <c r="F3332" s="3">
        <v>27.87</v>
      </c>
      <c r="G3332" s="3">
        <v>0.0</v>
      </c>
    </row>
    <row r="3333">
      <c r="A3333" s="3">
        <v>170843.0</v>
      </c>
      <c r="B3333" s="3" t="s">
        <v>3359</v>
      </c>
      <c r="C3333" s="3" t="s">
        <v>192</v>
      </c>
      <c r="D3333" s="3">
        <v>389.0</v>
      </c>
      <c r="E3333" s="3">
        <v>31.14</v>
      </c>
      <c r="F3333" s="3">
        <v>25.6</v>
      </c>
      <c r="G3333" s="3">
        <v>1.55</v>
      </c>
    </row>
    <row r="3334">
      <c r="A3334" s="3">
        <v>170844.0</v>
      </c>
      <c r="B3334" s="3" t="s">
        <v>3360</v>
      </c>
      <c r="C3334" s="3" t="s">
        <v>192</v>
      </c>
      <c r="D3334" s="3">
        <v>373.0</v>
      </c>
      <c r="E3334" s="3">
        <v>30.28</v>
      </c>
      <c r="F3334" s="3">
        <v>24.48</v>
      </c>
      <c r="G3334" s="3">
        <v>0.68</v>
      </c>
    </row>
    <row r="3335">
      <c r="A3335" s="3">
        <v>170845.0</v>
      </c>
      <c r="B3335" s="3" t="s">
        <v>3361</v>
      </c>
      <c r="C3335" s="3" t="s">
        <v>192</v>
      </c>
      <c r="D3335" s="3">
        <v>299.0</v>
      </c>
      <c r="E3335" s="3">
        <v>22.14</v>
      </c>
      <c r="F3335" s="3">
        <v>22.17</v>
      </c>
      <c r="G3335" s="3">
        <v>2.4</v>
      </c>
    </row>
    <row r="3336">
      <c r="A3336" s="3">
        <v>170846.0</v>
      </c>
      <c r="B3336" s="3" t="s">
        <v>3362</v>
      </c>
      <c r="C3336" s="3" t="s">
        <v>192</v>
      </c>
      <c r="D3336" s="3">
        <v>318.0</v>
      </c>
      <c r="E3336" s="3">
        <v>24.64</v>
      </c>
      <c r="F3336" s="3">
        <v>21.6</v>
      </c>
      <c r="G3336" s="3">
        <v>2.47</v>
      </c>
    </row>
    <row r="3337">
      <c r="A3337" s="3">
        <v>170847.0</v>
      </c>
      <c r="B3337" s="3" t="s">
        <v>3363</v>
      </c>
      <c r="C3337" s="3" t="s">
        <v>192</v>
      </c>
      <c r="D3337" s="3">
        <v>254.0</v>
      </c>
      <c r="E3337" s="3">
        <v>15.92</v>
      </c>
      <c r="F3337" s="3">
        <v>24.26</v>
      </c>
      <c r="G3337" s="3">
        <v>2.77</v>
      </c>
    </row>
    <row r="3338">
      <c r="A3338" s="3">
        <v>170848.0</v>
      </c>
      <c r="B3338" s="3" t="s">
        <v>3364</v>
      </c>
      <c r="C3338" s="3" t="s">
        <v>192</v>
      </c>
      <c r="D3338" s="3">
        <v>392.0</v>
      </c>
      <c r="E3338" s="3">
        <v>25.0</v>
      </c>
      <c r="F3338" s="3">
        <v>35.75</v>
      </c>
      <c r="G3338" s="3">
        <v>3.22</v>
      </c>
    </row>
    <row r="3339">
      <c r="A3339" s="3">
        <v>170849.0</v>
      </c>
      <c r="B3339" s="3" t="s">
        <v>3365</v>
      </c>
      <c r="C3339" s="3" t="s">
        <v>192</v>
      </c>
      <c r="D3339" s="3">
        <v>352.0</v>
      </c>
      <c r="E3339" s="3">
        <v>28.2</v>
      </c>
      <c r="F3339" s="3">
        <v>23.78</v>
      </c>
      <c r="G3339" s="3">
        <v>0.57</v>
      </c>
    </row>
    <row r="3340">
      <c r="A3340" s="3">
        <v>170850.0</v>
      </c>
      <c r="B3340" s="3" t="s">
        <v>3366</v>
      </c>
      <c r="C3340" s="3" t="s">
        <v>192</v>
      </c>
      <c r="D3340" s="3">
        <v>351.0</v>
      </c>
      <c r="E3340" s="3">
        <v>26.62</v>
      </c>
      <c r="F3340" s="3">
        <v>25.58</v>
      </c>
      <c r="G3340" s="3">
        <v>2.14</v>
      </c>
    </row>
    <row r="3341">
      <c r="A3341" s="3">
        <v>170851.0</v>
      </c>
      <c r="B3341" s="3" t="s">
        <v>3367</v>
      </c>
      <c r="C3341" s="3" t="s">
        <v>192</v>
      </c>
      <c r="D3341" s="3">
        <v>150.0</v>
      </c>
      <c r="E3341" s="3">
        <v>10.18</v>
      </c>
      <c r="F3341" s="3">
        <v>7.54</v>
      </c>
      <c r="G3341" s="3">
        <v>7.27</v>
      </c>
    </row>
    <row r="3342">
      <c r="A3342" s="3">
        <v>170852.0</v>
      </c>
      <c r="B3342" s="3" t="s">
        <v>3368</v>
      </c>
      <c r="C3342" s="3" t="s">
        <v>192</v>
      </c>
      <c r="D3342" s="3">
        <v>340.0</v>
      </c>
      <c r="E3342" s="3">
        <v>25.98</v>
      </c>
      <c r="F3342" s="3">
        <v>24.41</v>
      </c>
      <c r="G3342" s="3">
        <v>1.88</v>
      </c>
    </row>
    <row r="3343">
      <c r="A3343" s="3">
        <v>170853.0</v>
      </c>
      <c r="B3343" s="3" t="s">
        <v>3369</v>
      </c>
      <c r="C3343" s="3" t="s">
        <v>192</v>
      </c>
      <c r="D3343" s="3">
        <v>366.0</v>
      </c>
      <c r="E3343" s="3">
        <v>30.71</v>
      </c>
      <c r="F3343" s="3">
        <v>18.13</v>
      </c>
      <c r="G3343" s="3">
        <v>4.78</v>
      </c>
    </row>
    <row r="3344">
      <c r="A3344" s="3">
        <v>170854.0</v>
      </c>
      <c r="B3344" s="3" t="s">
        <v>3370</v>
      </c>
      <c r="C3344" s="3" t="s">
        <v>192</v>
      </c>
      <c r="D3344" s="3">
        <v>375.0</v>
      </c>
      <c r="E3344" s="3">
        <v>31.2</v>
      </c>
      <c r="F3344" s="3">
        <v>22.13</v>
      </c>
      <c r="G3344" s="3">
        <v>1.73</v>
      </c>
    </row>
    <row r="3345">
      <c r="A3345" s="3">
        <v>170855.0</v>
      </c>
      <c r="B3345" s="3" t="s">
        <v>3371</v>
      </c>
      <c r="C3345" s="3" t="s">
        <v>192</v>
      </c>
      <c r="D3345" s="3">
        <v>334.0</v>
      </c>
      <c r="E3345" s="3">
        <v>25.01</v>
      </c>
      <c r="F3345" s="3">
        <v>24.73</v>
      </c>
      <c r="G3345" s="3">
        <v>2.1</v>
      </c>
    </row>
    <row r="3346">
      <c r="A3346" s="3">
        <v>170856.0</v>
      </c>
      <c r="B3346" s="3" t="s">
        <v>3372</v>
      </c>
      <c r="C3346" s="3" t="s">
        <v>192</v>
      </c>
      <c r="D3346" s="3">
        <v>331.0</v>
      </c>
      <c r="E3346" s="3">
        <v>24.46</v>
      </c>
      <c r="F3346" s="3">
        <v>19.66</v>
      </c>
      <c r="G3346" s="3">
        <v>8.32</v>
      </c>
    </row>
    <row r="3347">
      <c r="A3347" s="3">
        <v>170857.0</v>
      </c>
      <c r="B3347" s="3" t="s">
        <v>3373</v>
      </c>
      <c r="C3347" s="3" t="s">
        <v>192</v>
      </c>
      <c r="D3347" s="3">
        <v>195.0</v>
      </c>
      <c r="E3347" s="3">
        <v>19.1</v>
      </c>
      <c r="F3347" s="3">
        <v>2.96</v>
      </c>
      <c r="G3347" s="3">
        <v>3.66</v>
      </c>
    </row>
    <row r="3348">
      <c r="A3348" s="3">
        <v>170858.0</v>
      </c>
      <c r="B3348" s="3" t="s">
        <v>3374</v>
      </c>
      <c r="C3348" s="3" t="s">
        <v>192</v>
      </c>
      <c r="D3348" s="3">
        <v>292.0</v>
      </c>
      <c r="E3348" s="3">
        <v>30.91</v>
      </c>
      <c r="F3348" s="3">
        <v>2.17</v>
      </c>
      <c r="G3348" s="3">
        <v>2.96</v>
      </c>
    </row>
    <row r="3349">
      <c r="A3349" s="3">
        <v>170859.0</v>
      </c>
      <c r="B3349" s="3" t="s">
        <v>3375</v>
      </c>
      <c r="C3349" s="3" t="s">
        <v>192</v>
      </c>
      <c r="D3349" s="3">
        <v>340.0</v>
      </c>
      <c r="E3349" s="3">
        <v>36.08</v>
      </c>
      <c r="F3349" s="3">
        <v>2.84</v>
      </c>
      <c r="G3349" s="3">
        <v>2.84</v>
      </c>
    </row>
    <row r="3350">
      <c r="A3350" s="3">
        <v>170860.0</v>
      </c>
      <c r="B3350" s="3" t="s">
        <v>3376</v>
      </c>
      <c r="C3350" s="3" t="s">
        <v>192</v>
      </c>
      <c r="D3350" s="3">
        <v>257.0</v>
      </c>
      <c r="E3350" s="3">
        <v>22.22</v>
      </c>
      <c r="F3350" s="3">
        <v>3.2</v>
      </c>
      <c r="G3350" s="3">
        <v>12.49</v>
      </c>
    </row>
    <row r="3351">
      <c r="A3351" s="3">
        <v>170861.0</v>
      </c>
      <c r="B3351" s="3" t="s">
        <v>3377</v>
      </c>
      <c r="C3351" s="3" t="s">
        <v>192</v>
      </c>
      <c r="D3351" s="3">
        <v>63.0</v>
      </c>
      <c r="E3351" s="3">
        <v>3.46</v>
      </c>
      <c r="F3351" s="3">
        <v>3.33</v>
      </c>
      <c r="G3351" s="3">
        <v>4.74</v>
      </c>
    </row>
    <row r="3352">
      <c r="A3352" s="3">
        <v>170862.0</v>
      </c>
      <c r="B3352" s="3" t="s">
        <v>3378</v>
      </c>
      <c r="C3352" s="3" t="s">
        <v>192</v>
      </c>
      <c r="D3352" s="3">
        <v>63.0</v>
      </c>
      <c r="E3352" s="3">
        <v>3.4</v>
      </c>
      <c r="F3352" s="3">
        <v>3.33</v>
      </c>
      <c r="G3352" s="3">
        <v>4.74</v>
      </c>
    </row>
    <row r="3353">
      <c r="A3353" s="3">
        <v>170863.0</v>
      </c>
      <c r="B3353" s="3" t="s">
        <v>3379</v>
      </c>
      <c r="C3353" s="3" t="s">
        <v>192</v>
      </c>
      <c r="D3353" s="3">
        <v>126.0</v>
      </c>
      <c r="E3353" s="3">
        <v>0.0</v>
      </c>
      <c r="F3353" s="3">
        <v>21.05</v>
      </c>
      <c r="G3353" s="3">
        <v>10.53</v>
      </c>
    </row>
    <row r="3354">
      <c r="A3354" s="3">
        <v>170864.0</v>
      </c>
      <c r="B3354" s="3" t="s">
        <v>3380</v>
      </c>
      <c r="C3354" s="3" t="s">
        <v>318</v>
      </c>
      <c r="D3354" s="3">
        <v>93.0</v>
      </c>
      <c r="E3354" s="3">
        <v>1.71</v>
      </c>
      <c r="F3354" s="3">
        <v>7.22</v>
      </c>
      <c r="G3354" s="3">
        <v>12.15</v>
      </c>
    </row>
    <row r="3355">
      <c r="A3355" s="3">
        <v>170865.0</v>
      </c>
      <c r="B3355" s="3" t="s">
        <v>3381</v>
      </c>
      <c r="C3355" s="3" t="s">
        <v>192</v>
      </c>
      <c r="D3355" s="3">
        <v>577.0</v>
      </c>
      <c r="E3355" s="3">
        <v>39.92</v>
      </c>
      <c r="F3355" s="3">
        <v>4.9</v>
      </c>
      <c r="G3355" s="3">
        <v>52.54</v>
      </c>
    </row>
    <row r="3356">
      <c r="A3356" s="3">
        <v>170866.0</v>
      </c>
      <c r="B3356" s="3" t="s">
        <v>3382</v>
      </c>
      <c r="C3356" s="3" t="s">
        <v>192</v>
      </c>
      <c r="D3356" s="3">
        <v>194.0</v>
      </c>
      <c r="E3356" s="3">
        <v>12.72</v>
      </c>
      <c r="F3356" s="3">
        <v>3.61</v>
      </c>
      <c r="G3356" s="3">
        <v>17.13</v>
      </c>
    </row>
    <row r="3357">
      <c r="A3357" s="3">
        <v>170867.0</v>
      </c>
      <c r="B3357" s="3" t="s">
        <v>3383</v>
      </c>
      <c r="C3357" s="3" t="s">
        <v>192</v>
      </c>
      <c r="D3357" s="3">
        <v>264.0</v>
      </c>
      <c r="E3357" s="3">
        <v>22.3</v>
      </c>
      <c r="F3357" s="3">
        <v>0.98</v>
      </c>
      <c r="G3357" s="3">
        <v>16.07</v>
      </c>
    </row>
    <row r="3358">
      <c r="A3358" s="3">
        <v>170868.0</v>
      </c>
      <c r="B3358" s="3" t="s">
        <v>3384</v>
      </c>
      <c r="C3358" s="3" t="s">
        <v>192</v>
      </c>
      <c r="D3358" s="3">
        <v>318.0</v>
      </c>
      <c r="E3358" s="3">
        <v>25.31</v>
      </c>
      <c r="F3358" s="3">
        <v>1.25</v>
      </c>
      <c r="G3358" s="3">
        <v>23.05</v>
      </c>
    </row>
    <row r="3359">
      <c r="A3359" s="3">
        <v>170869.0</v>
      </c>
      <c r="B3359" s="3" t="s">
        <v>3385</v>
      </c>
      <c r="C3359" s="3" t="s">
        <v>192</v>
      </c>
      <c r="D3359" s="3">
        <v>208.0</v>
      </c>
      <c r="E3359" s="3">
        <v>19.52</v>
      </c>
      <c r="F3359" s="3">
        <v>2.4</v>
      </c>
      <c r="G3359" s="3">
        <v>6.63</v>
      </c>
    </row>
    <row r="3360">
      <c r="A3360" s="3">
        <v>170870.0</v>
      </c>
      <c r="B3360" s="3" t="s">
        <v>3386</v>
      </c>
      <c r="C3360" s="3" t="s">
        <v>192</v>
      </c>
      <c r="D3360" s="3">
        <v>51.0</v>
      </c>
      <c r="E3360" s="3">
        <v>1.92</v>
      </c>
      <c r="F3360" s="3">
        <v>3.48</v>
      </c>
      <c r="G3360" s="3">
        <v>4.97</v>
      </c>
    </row>
    <row r="3361">
      <c r="A3361" s="3">
        <v>170871.0</v>
      </c>
      <c r="B3361" s="3" t="s">
        <v>3387</v>
      </c>
      <c r="C3361" s="3" t="s">
        <v>192</v>
      </c>
      <c r="D3361" s="3">
        <v>56.0</v>
      </c>
      <c r="E3361" s="3">
        <v>1.98</v>
      </c>
      <c r="F3361" s="3">
        <v>3.95</v>
      </c>
      <c r="G3361" s="3">
        <v>5.49</v>
      </c>
    </row>
    <row r="3362">
      <c r="A3362" s="3">
        <v>170872.0</v>
      </c>
      <c r="B3362" s="3" t="s">
        <v>3388</v>
      </c>
      <c r="C3362" s="3" t="s">
        <v>192</v>
      </c>
      <c r="D3362" s="3">
        <v>42.0</v>
      </c>
      <c r="E3362" s="3">
        <v>0.97</v>
      </c>
      <c r="F3362" s="3">
        <v>3.37</v>
      </c>
      <c r="G3362" s="3">
        <v>4.99</v>
      </c>
    </row>
    <row r="3363">
      <c r="A3363" s="3">
        <v>170873.0</v>
      </c>
      <c r="B3363" s="3" t="s">
        <v>3389</v>
      </c>
      <c r="C3363" s="3" t="s">
        <v>192</v>
      </c>
      <c r="D3363" s="3">
        <v>43.0</v>
      </c>
      <c r="E3363" s="3">
        <v>0.97</v>
      </c>
      <c r="F3363" s="3">
        <v>3.48</v>
      </c>
      <c r="G3363" s="3">
        <v>4.97</v>
      </c>
    </row>
    <row r="3364">
      <c r="A3364" s="3">
        <v>170874.0</v>
      </c>
      <c r="B3364" s="3" t="s">
        <v>3390</v>
      </c>
      <c r="C3364" s="3" t="s">
        <v>192</v>
      </c>
      <c r="D3364" s="3">
        <v>40.0</v>
      </c>
      <c r="E3364" s="3">
        <v>1.07</v>
      </c>
      <c r="F3364" s="3">
        <v>3.31</v>
      </c>
      <c r="G3364" s="3">
        <v>4.79</v>
      </c>
    </row>
    <row r="3365">
      <c r="A3365" s="3">
        <v>170875.0</v>
      </c>
      <c r="B3365" s="3" t="s">
        <v>3391</v>
      </c>
      <c r="C3365" s="3" t="s">
        <v>192</v>
      </c>
      <c r="D3365" s="3">
        <v>61.0</v>
      </c>
      <c r="E3365" s="3">
        <v>3.46</v>
      </c>
      <c r="F3365" s="3">
        <v>3.1</v>
      </c>
      <c r="G3365" s="3">
        <v>4.46</v>
      </c>
    </row>
    <row r="3366">
      <c r="A3366" s="3">
        <v>170876.0</v>
      </c>
      <c r="B3366" s="3" t="s">
        <v>3392</v>
      </c>
      <c r="C3366" s="3" t="s">
        <v>192</v>
      </c>
      <c r="D3366" s="3">
        <v>496.0</v>
      </c>
      <c r="E3366" s="3">
        <v>26.71</v>
      </c>
      <c r="F3366" s="3">
        <v>26.32</v>
      </c>
      <c r="G3366" s="3">
        <v>38.42</v>
      </c>
    </row>
    <row r="3367">
      <c r="A3367" s="3">
        <v>170877.0</v>
      </c>
      <c r="B3367" s="3" t="s">
        <v>3393</v>
      </c>
      <c r="C3367" s="3" t="s">
        <v>192</v>
      </c>
      <c r="D3367" s="3">
        <v>362.0</v>
      </c>
      <c r="E3367" s="3">
        <v>0.77</v>
      </c>
      <c r="F3367" s="3">
        <v>36.16</v>
      </c>
      <c r="G3367" s="3">
        <v>51.98</v>
      </c>
    </row>
    <row r="3368">
      <c r="A3368" s="3">
        <v>170878.0</v>
      </c>
      <c r="B3368" s="3" t="s">
        <v>3394</v>
      </c>
      <c r="C3368" s="3" t="s">
        <v>192</v>
      </c>
      <c r="D3368" s="3">
        <v>78.0</v>
      </c>
      <c r="E3368" s="3">
        <v>0.2</v>
      </c>
      <c r="F3368" s="3">
        <v>7.55</v>
      </c>
      <c r="G3368" s="3">
        <v>11.35</v>
      </c>
    </row>
    <row r="3369">
      <c r="A3369" s="3">
        <v>170879.0</v>
      </c>
      <c r="B3369" s="3" t="s">
        <v>3395</v>
      </c>
      <c r="C3369" s="3" t="s">
        <v>192</v>
      </c>
      <c r="D3369" s="3">
        <v>83.0</v>
      </c>
      <c r="E3369" s="3">
        <v>3.39</v>
      </c>
      <c r="F3369" s="3">
        <v>3.17</v>
      </c>
      <c r="G3369" s="3">
        <v>10.34</v>
      </c>
    </row>
    <row r="3370">
      <c r="A3370" s="3">
        <v>170880.0</v>
      </c>
      <c r="B3370" s="3" t="s">
        <v>3396</v>
      </c>
      <c r="C3370" s="3" t="s">
        <v>192</v>
      </c>
      <c r="D3370" s="3">
        <v>76.0</v>
      </c>
      <c r="E3370" s="3">
        <v>1.9</v>
      </c>
      <c r="F3370" s="3">
        <v>2.99</v>
      </c>
      <c r="G3370" s="3">
        <v>12.13</v>
      </c>
    </row>
    <row r="3371">
      <c r="A3371" s="3">
        <v>170881.0</v>
      </c>
      <c r="B3371" s="3" t="s">
        <v>3397</v>
      </c>
      <c r="C3371" s="3" t="s">
        <v>192</v>
      </c>
      <c r="D3371" s="3">
        <v>64.0</v>
      </c>
      <c r="E3371" s="3">
        <v>1.11</v>
      </c>
      <c r="F3371" s="3">
        <v>3.46</v>
      </c>
      <c r="G3371" s="3">
        <v>10.15</v>
      </c>
    </row>
    <row r="3372">
      <c r="A3372" s="3">
        <v>170882.0</v>
      </c>
      <c r="B3372" s="3" t="s">
        <v>3398</v>
      </c>
      <c r="C3372" s="3" t="s">
        <v>192</v>
      </c>
      <c r="D3372" s="3">
        <v>108.0</v>
      </c>
      <c r="E3372" s="3">
        <v>7.0</v>
      </c>
      <c r="F3372" s="3">
        <v>5.98</v>
      </c>
      <c r="G3372" s="3">
        <v>5.36</v>
      </c>
    </row>
    <row r="3373">
      <c r="A3373" s="3">
        <v>170883.0</v>
      </c>
      <c r="B3373" s="3" t="s">
        <v>3399</v>
      </c>
      <c r="C3373" s="3" t="s">
        <v>192</v>
      </c>
      <c r="D3373" s="3">
        <v>119.0</v>
      </c>
      <c r="E3373" s="3">
        <v>2.7</v>
      </c>
      <c r="F3373" s="3">
        <v>3.05</v>
      </c>
      <c r="G3373" s="3">
        <v>21.15</v>
      </c>
    </row>
    <row r="3374">
      <c r="A3374" s="3">
        <v>170884.0</v>
      </c>
      <c r="B3374" s="3" t="s">
        <v>3400</v>
      </c>
      <c r="C3374" s="3" t="s">
        <v>192</v>
      </c>
      <c r="D3374" s="3">
        <v>112.0</v>
      </c>
      <c r="E3374" s="3">
        <v>3.03</v>
      </c>
      <c r="F3374" s="3">
        <v>3.86</v>
      </c>
      <c r="G3374" s="3">
        <v>17.75</v>
      </c>
    </row>
    <row r="3375">
      <c r="A3375" s="3">
        <v>170885.0</v>
      </c>
      <c r="B3375" s="3" t="s">
        <v>3401</v>
      </c>
      <c r="C3375" s="3" t="s">
        <v>192</v>
      </c>
      <c r="D3375" s="3">
        <v>24.0</v>
      </c>
      <c r="E3375" s="3">
        <v>0.09</v>
      </c>
      <c r="F3375" s="3">
        <v>0.76</v>
      </c>
      <c r="G3375" s="3">
        <v>5.12</v>
      </c>
    </row>
    <row r="3376">
      <c r="A3376" s="3">
        <v>170886.0</v>
      </c>
      <c r="B3376" s="3" t="s">
        <v>3402</v>
      </c>
      <c r="C3376" s="3" t="s">
        <v>192</v>
      </c>
      <c r="D3376" s="3">
        <v>63.0</v>
      </c>
      <c r="E3376" s="3">
        <v>1.55</v>
      </c>
      <c r="F3376" s="3">
        <v>5.25</v>
      </c>
      <c r="G3376" s="3">
        <v>7.04</v>
      </c>
    </row>
    <row r="3377">
      <c r="A3377" s="3">
        <v>170887.0</v>
      </c>
      <c r="B3377" s="3" t="s">
        <v>3403</v>
      </c>
      <c r="C3377" s="3" t="s">
        <v>192</v>
      </c>
      <c r="D3377" s="3">
        <v>56.0</v>
      </c>
      <c r="E3377" s="3">
        <v>0.18</v>
      </c>
      <c r="F3377" s="3">
        <v>5.73</v>
      </c>
      <c r="G3377" s="3">
        <v>7.68</v>
      </c>
    </row>
    <row r="3378">
      <c r="A3378" s="3">
        <v>170888.0</v>
      </c>
      <c r="B3378" s="3" t="s">
        <v>3404</v>
      </c>
      <c r="C3378" s="3" t="s">
        <v>192</v>
      </c>
      <c r="D3378" s="3">
        <v>85.0</v>
      </c>
      <c r="E3378" s="3">
        <v>1.25</v>
      </c>
      <c r="F3378" s="3">
        <v>4.93</v>
      </c>
      <c r="G3378" s="3">
        <v>13.8</v>
      </c>
    </row>
    <row r="3379">
      <c r="A3379" s="3">
        <v>170889.0</v>
      </c>
      <c r="B3379" s="3" t="s">
        <v>3405</v>
      </c>
      <c r="C3379" s="3" t="s">
        <v>192</v>
      </c>
      <c r="D3379" s="3">
        <v>99.0</v>
      </c>
      <c r="E3379" s="3">
        <v>1.15</v>
      </c>
      <c r="F3379" s="3">
        <v>3.98</v>
      </c>
      <c r="G3379" s="3">
        <v>18.64</v>
      </c>
    </row>
    <row r="3380">
      <c r="A3380" s="3">
        <v>170890.0</v>
      </c>
      <c r="B3380" s="3" t="s">
        <v>3406</v>
      </c>
      <c r="C3380" s="3" t="s">
        <v>192</v>
      </c>
      <c r="D3380" s="3">
        <v>147.0</v>
      </c>
      <c r="E3380" s="3">
        <v>1.47</v>
      </c>
      <c r="F3380" s="3">
        <v>4.41</v>
      </c>
      <c r="G3380" s="3">
        <v>32.0</v>
      </c>
    </row>
    <row r="3381">
      <c r="A3381" s="3">
        <v>170891.0</v>
      </c>
      <c r="B3381" s="3" t="s">
        <v>3407</v>
      </c>
      <c r="C3381" s="3" t="s">
        <v>318</v>
      </c>
      <c r="D3381" s="3">
        <v>93.0</v>
      </c>
      <c r="E3381" s="3">
        <v>1.83</v>
      </c>
      <c r="F3381" s="3">
        <v>8.26</v>
      </c>
      <c r="G3381" s="3">
        <v>10.94</v>
      </c>
    </row>
    <row r="3382">
      <c r="A3382" s="3">
        <v>170892.0</v>
      </c>
      <c r="B3382" s="3" t="s">
        <v>3408</v>
      </c>
      <c r="C3382" s="3" t="s">
        <v>192</v>
      </c>
      <c r="D3382" s="3">
        <v>88.0</v>
      </c>
      <c r="E3382" s="3">
        <v>3.08</v>
      </c>
      <c r="F3382" s="3">
        <v>4.4</v>
      </c>
      <c r="G3382" s="3">
        <v>11.88</v>
      </c>
    </row>
    <row r="3383">
      <c r="A3383" s="3">
        <v>170893.0</v>
      </c>
      <c r="B3383" s="3" t="s">
        <v>3409</v>
      </c>
      <c r="C3383" s="3" t="s">
        <v>192</v>
      </c>
      <c r="D3383" s="3">
        <v>138.0</v>
      </c>
      <c r="E3383" s="3">
        <v>10.07</v>
      </c>
      <c r="F3383" s="3">
        <v>10.97</v>
      </c>
      <c r="G3383" s="3">
        <v>0.83</v>
      </c>
    </row>
    <row r="3384">
      <c r="A3384" s="3">
        <v>170894.0</v>
      </c>
      <c r="B3384" s="3" t="s">
        <v>3410</v>
      </c>
      <c r="C3384" s="3" t="s">
        <v>192</v>
      </c>
      <c r="D3384" s="3">
        <v>59.0</v>
      </c>
      <c r="E3384" s="3">
        <v>0.39</v>
      </c>
      <c r="F3384" s="3">
        <v>10.19</v>
      </c>
      <c r="G3384" s="3">
        <v>3.6</v>
      </c>
    </row>
    <row r="3385">
      <c r="A3385" s="3">
        <v>170895.0</v>
      </c>
      <c r="B3385" s="3" t="s">
        <v>3411</v>
      </c>
      <c r="C3385" s="3" t="s">
        <v>192</v>
      </c>
      <c r="D3385" s="3">
        <v>357.0</v>
      </c>
      <c r="E3385" s="3">
        <v>0.32</v>
      </c>
      <c r="F3385" s="3">
        <v>84.08</v>
      </c>
      <c r="G3385" s="3">
        <v>4.51</v>
      </c>
    </row>
    <row r="3386">
      <c r="A3386" s="3">
        <v>170896.0</v>
      </c>
      <c r="B3386" s="3" t="s">
        <v>3412</v>
      </c>
      <c r="C3386" s="3" t="s">
        <v>192</v>
      </c>
      <c r="D3386" s="3">
        <v>176.0</v>
      </c>
      <c r="E3386" s="3">
        <v>8.88</v>
      </c>
      <c r="F3386" s="3">
        <v>13.41</v>
      </c>
      <c r="G3386" s="3">
        <v>10.71</v>
      </c>
    </row>
    <row r="3387">
      <c r="A3387" s="3">
        <v>170897.0</v>
      </c>
      <c r="B3387" s="3" t="s">
        <v>3413</v>
      </c>
      <c r="C3387" s="3" t="s">
        <v>192</v>
      </c>
      <c r="D3387" s="3">
        <v>127.0</v>
      </c>
      <c r="E3387" s="3">
        <v>0.0</v>
      </c>
      <c r="F3387" s="3">
        <v>28.4</v>
      </c>
      <c r="G3387" s="3">
        <v>3.4</v>
      </c>
    </row>
    <row r="3388">
      <c r="A3388" s="3">
        <v>170898.0</v>
      </c>
      <c r="B3388" s="3" t="s">
        <v>3414</v>
      </c>
      <c r="C3388" s="3" t="s">
        <v>192</v>
      </c>
      <c r="D3388" s="3">
        <v>366.0</v>
      </c>
      <c r="E3388" s="3">
        <v>30.0</v>
      </c>
      <c r="F3388" s="3">
        <v>20.0</v>
      </c>
      <c r="G3388" s="3">
        <v>3.97</v>
      </c>
    </row>
    <row r="3389">
      <c r="A3389" s="3">
        <v>170899.0</v>
      </c>
      <c r="B3389" s="3" t="s">
        <v>3415</v>
      </c>
      <c r="C3389" s="3" t="s">
        <v>192</v>
      </c>
      <c r="D3389" s="3">
        <v>410.0</v>
      </c>
      <c r="E3389" s="3">
        <v>33.82</v>
      </c>
      <c r="F3389" s="3">
        <v>24.25</v>
      </c>
      <c r="G3389" s="3">
        <v>2.13</v>
      </c>
    </row>
    <row r="3390">
      <c r="A3390" s="3">
        <v>170900.0</v>
      </c>
      <c r="B3390" s="3" t="s">
        <v>3416</v>
      </c>
      <c r="C3390" s="3" t="s">
        <v>192</v>
      </c>
      <c r="D3390" s="3">
        <v>304.0</v>
      </c>
      <c r="E3390" s="3">
        <v>19.72</v>
      </c>
      <c r="F3390" s="3">
        <v>23.63</v>
      </c>
      <c r="G3390" s="3">
        <v>8.06</v>
      </c>
    </row>
    <row r="3391">
      <c r="A3391" s="3">
        <v>170901.0</v>
      </c>
      <c r="B3391" s="3" t="s">
        <v>3417</v>
      </c>
      <c r="C3391" s="3" t="s">
        <v>192</v>
      </c>
      <c r="D3391" s="3">
        <v>82.0</v>
      </c>
      <c r="E3391" s="3">
        <v>0.15</v>
      </c>
      <c r="F3391" s="3">
        <v>8.05</v>
      </c>
      <c r="G3391" s="3">
        <v>12.07</v>
      </c>
    </row>
    <row r="3392">
      <c r="A3392" s="3">
        <v>170902.0</v>
      </c>
      <c r="B3392" s="3" t="s">
        <v>3418</v>
      </c>
      <c r="C3392" s="3" t="s">
        <v>192</v>
      </c>
      <c r="D3392" s="3">
        <v>78.0</v>
      </c>
      <c r="E3392" s="3">
        <v>0.18</v>
      </c>
      <c r="F3392" s="3">
        <v>8.64</v>
      </c>
      <c r="G3392" s="3">
        <v>10.37</v>
      </c>
    </row>
    <row r="3393">
      <c r="A3393" s="3">
        <v>170903.0</v>
      </c>
      <c r="B3393" s="3" t="s">
        <v>3419</v>
      </c>
      <c r="C3393" s="3" t="s">
        <v>192</v>
      </c>
      <c r="D3393" s="3">
        <v>73.0</v>
      </c>
      <c r="E3393" s="3">
        <v>1.92</v>
      </c>
      <c r="F3393" s="3">
        <v>9.95</v>
      </c>
      <c r="G3393" s="3">
        <v>3.94</v>
      </c>
    </row>
    <row r="3394">
      <c r="A3394" s="3">
        <v>170904.0</v>
      </c>
      <c r="B3394" s="3" t="s">
        <v>3420</v>
      </c>
      <c r="C3394" s="3" t="s">
        <v>192</v>
      </c>
      <c r="D3394" s="3">
        <v>43.0</v>
      </c>
      <c r="E3394" s="3">
        <v>1.02</v>
      </c>
      <c r="F3394" s="3">
        <v>3.79</v>
      </c>
      <c r="G3394" s="3">
        <v>4.77</v>
      </c>
    </row>
    <row r="3395">
      <c r="A3395" s="3">
        <v>170905.0</v>
      </c>
      <c r="B3395" s="3" t="s">
        <v>3421</v>
      </c>
      <c r="C3395" s="3" t="s">
        <v>192</v>
      </c>
      <c r="D3395" s="3">
        <v>106.0</v>
      </c>
      <c r="E3395" s="3">
        <v>3.0</v>
      </c>
      <c r="F3395" s="3">
        <v>7.33</v>
      </c>
      <c r="G3395" s="3">
        <v>12.29</v>
      </c>
    </row>
    <row r="3396">
      <c r="A3396" s="3">
        <v>170906.0</v>
      </c>
      <c r="B3396" s="3" t="s">
        <v>3422</v>
      </c>
      <c r="C3396" s="3" t="s">
        <v>192</v>
      </c>
      <c r="D3396" s="3">
        <v>78.0</v>
      </c>
      <c r="E3396" s="3">
        <v>0.0</v>
      </c>
      <c r="F3396" s="3">
        <v>2.94</v>
      </c>
      <c r="G3396" s="3">
        <v>17.04</v>
      </c>
    </row>
    <row r="3397">
      <c r="A3397" s="3">
        <v>170907.0</v>
      </c>
      <c r="B3397" s="3" t="s">
        <v>3423</v>
      </c>
      <c r="C3397" s="3" t="s">
        <v>192</v>
      </c>
      <c r="D3397" s="3">
        <v>95.0</v>
      </c>
      <c r="E3397" s="3">
        <v>2.5</v>
      </c>
      <c r="F3397" s="3">
        <v>8.64</v>
      </c>
      <c r="G3397" s="3">
        <v>9.54</v>
      </c>
    </row>
    <row r="3398">
      <c r="A3398" s="3">
        <v>170908.0</v>
      </c>
      <c r="B3398" s="3" t="s">
        <v>3424</v>
      </c>
      <c r="C3398" s="3" t="s">
        <v>192</v>
      </c>
      <c r="D3398" s="3">
        <v>139.0</v>
      </c>
      <c r="E3398" s="3">
        <v>2.5</v>
      </c>
      <c r="F3398" s="3">
        <v>8.0</v>
      </c>
      <c r="G3398" s="3">
        <v>21.0</v>
      </c>
    </row>
    <row r="3399">
      <c r="A3399" s="3">
        <v>170909.0</v>
      </c>
      <c r="B3399" s="3" t="s">
        <v>3425</v>
      </c>
      <c r="C3399" s="3" t="s">
        <v>318</v>
      </c>
      <c r="D3399" s="3">
        <v>94.0</v>
      </c>
      <c r="E3399" s="3">
        <v>1.82</v>
      </c>
      <c r="F3399" s="3">
        <v>7.05</v>
      </c>
      <c r="G3399" s="3">
        <v>12.27</v>
      </c>
    </row>
    <row r="3400">
      <c r="A3400" s="3">
        <v>170910.0</v>
      </c>
      <c r="B3400" s="3" t="s">
        <v>3426</v>
      </c>
      <c r="C3400" s="3" t="s">
        <v>192</v>
      </c>
      <c r="D3400" s="3">
        <v>57.0</v>
      </c>
      <c r="E3400" s="3">
        <v>1.04</v>
      </c>
      <c r="F3400" s="3">
        <v>3.43</v>
      </c>
      <c r="G3400" s="3">
        <v>7.68</v>
      </c>
    </row>
    <row r="3401">
      <c r="A3401" s="3">
        <v>170911.0</v>
      </c>
      <c r="B3401" s="3" t="s">
        <v>3427</v>
      </c>
      <c r="C3401" s="3" t="s">
        <v>192</v>
      </c>
      <c r="D3401" s="3">
        <v>265.0</v>
      </c>
      <c r="E3401" s="3">
        <v>9.33</v>
      </c>
      <c r="F3401" s="3">
        <v>5.33</v>
      </c>
      <c r="G3401" s="3">
        <v>40.01</v>
      </c>
    </row>
    <row r="3402">
      <c r="A3402" s="3">
        <v>170912.0</v>
      </c>
      <c r="B3402" s="3" t="s">
        <v>3428</v>
      </c>
      <c r="C3402" s="3" t="s">
        <v>318</v>
      </c>
      <c r="D3402" s="3">
        <v>88.0</v>
      </c>
      <c r="E3402" s="3">
        <v>1.71</v>
      </c>
      <c r="F3402" s="3">
        <v>8.0</v>
      </c>
      <c r="G3402" s="3">
        <v>10.24</v>
      </c>
    </row>
    <row r="3403">
      <c r="A3403" s="3">
        <v>170913.0</v>
      </c>
      <c r="B3403" s="3" t="s">
        <v>3429</v>
      </c>
      <c r="C3403" s="3" t="s">
        <v>318</v>
      </c>
      <c r="D3403" s="3">
        <v>80.0</v>
      </c>
      <c r="E3403" s="3">
        <v>0.18</v>
      </c>
      <c r="F3403" s="3">
        <v>7.45</v>
      </c>
      <c r="G3403" s="3">
        <v>12.13</v>
      </c>
    </row>
    <row r="3404">
      <c r="A3404" s="3">
        <v>170914.0</v>
      </c>
      <c r="B3404" s="3" t="s">
        <v>3430</v>
      </c>
      <c r="C3404" s="3" t="s">
        <v>318</v>
      </c>
      <c r="D3404" s="3">
        <v>82.0</v>
      </c>
      <c r="E3404" s="3">
        <v>0.24</v>
      </c>
      <c r="F3404" s="3">
        <v>7.23</v>
      </c>
      <c r="G3404" s="3">
        <v>12.78</v>
      </c>
    </row>
    <row r="3405">
      <c r="A3405" s="3">
        <v>170915.0</v>
      </c>
      <c r="B3405" s="3" t="s">
        <v>3431</v>
      </c>
      <c r="C3405" s="3" t="s">
        <v>318</v>
      </c>
      <c r="D3405" s="3">
        <v>79.0</v>
      </c>
      <c r="E3405" s="3">
        <v>0.23</v>
      </c>
      <c r="F3405" s="3">
        <v>7.28</v>
      </c>
      <c r="G3405" s="3">
        <v>11.86</v>
      </c>
    </row>
    <row r="3406">
      <c r="A3406" s="3">
        <v>170916.0</v>
      </c>
      <c r="B3406" s="3" t="s">
        <v>3432</v>
      </c>
      <c r="C3406" s="3" t="s">
        <v>318</v>
      </c>
      <c r="D3406" s="3">
        <v>95.0</v>
      </c>
      <c r="E3406" s="3">
        <v>0.37</v>
      </c>
      <c r="F3406" s="3">
        <v>7.54</v>
      </c>
      <c r="G3406" s="3">
        <v>15.43</v>
      </c>
    </row>
    <row r="3407">
      <c r="A3407" s="3">
        <v>170917.0</v>
      </c>
      <c r="B3407" s="3" t="s">
        <v>3433</v>
      </c>
      <c r="C3407" s="3" t="s">
        <v>3434</v>
      </c>
      <c r="D3407" s="3">
        <v>313.0</v>
      </c>
      <c r="E3407" s="3">
        <v>8.36</v>
      </c>
      <c r="F3407" s="3">
        <v>7.61</v>
      </c>
      <c r="G3407" s="3">
        <v>74.97</v>
      </c>
    </row>
    <row r="3408">
      <c r="A3408" s="3">
        <v>170918.0</v>
      </c>
      <c r="B3408" s="3" t="s">
        <v>3435</v>
      </c>
      <c r="C3408" s="3" t="s">
        <v>3434</v>
      </c>
      <c r="D3408" s="3">
        <v>333.0</v>
      </c>
      <c r="E3408" s="3">
        <v>14.59</v>
      </c>
      <c r="F3408" s="3">
        <v>19.77</v>
      </c>
      <c r="G3408" s="3">
        <v>49.9</v>
      </c>
    </row>
    <row r="3409">
      <c r="A3409" s="3">
        <v>170919.0</v>
      </c>
      <c r="B3409" s="3" t="s">
        <v>3436</v>
      </c>
      <c r="C3409" s="3" t="s">
        <v>3434</v>
      </c>
      <c r="D3409" s="3">
        <v>311.0</v>
      </c>
      <c r="E3409" s="3">
        <v>6.7</v>
      </c>
      <c r="F3409" s="3">
        <v>10.76</v>
      </c>
      <c r="G3409" s="3">
        <v>68.47</v>
      </c>
    </row>
    <row r="3410">
      <c r="A3410" s="3">
        <v>170920.0</v>
      </c>
      <c r="B3410" s="3" t="s">
        <v>3437</v>
      </c>
      <c r="C3410" s="3" t="s">
        <v>3434</v>
      </c>
      <c r="D3410" s="3">
        <v>392.0</v>
      </c>
      <c r="E3410" s="3">
        <v>25.27</v>
      </c>
      <c r="F3410" s="3">
        <v>18.07</v>
      </c>
      <c r="G3410" s="3">
        <v>41.35</v>
      </c>
    </row>
    <row r="3411">
      <c r="A3411" s="3">
        <v>170921.0</v>
      </c>
      <c r="B3411" s="3" t="s">
        <v>3438</v>
      </c>
      <c r="C3411" s="3" t="s">
        <v>3434</v>
      </c>
      <c r="D3411" s="3">
        <v>279.0</v>
      </c>
      <c r="E3411" s="3">
        <v>4.78</v>
      </c>
      <c r="F3411" s="3">
        <v>21.93</v>
      </c>
      <c r="G3411" s="3">
        <v>52.1</v>
      </c>
    </row>
    <row r="3412">
      <c r="A3412" s="3">
        <v>170922.0</v>
      </c>
      <c r="B3412" s="3" t="s">
        <v>3439</v>
      </c>
      <c r="C3412" s="3" t="s">
        <v>3434</v>
      </c>
      <c r="D3412" s="3">
        <v>298.0</v>
      </c>
      <c r="E3412" s="3">
        <v>17.77</v>
      </c>
      <c r="F3412" s="3">
        <v>12.37</v>
      </c>
      <c r="G3412" s="3">
        <v>54.99</v>
      </c>
    </row>
    <row r="3413">
      <c r="A3413" s="3">
        <v>170923.0</v>
      </c>
      <c r="B3413" s="3" t="s">
        <v>3440</v>
      </c>
      <c r="C3413" s="3" t="s">
        <v>3434</v>
      </c>
      <c r="D3413" s="3">
        <v>375.0</v>
      </c>
      <c r="E3413" s="3">
        <v>22.27</v>
      </c>
      <c r="F3413" s="3">
        <v>17.81</v>
      </c>
      <c r="G3413" s="3">
        <v>44.24</v>
      </c>
    </row>
    <row r="3414">
      <c r="A3414" s="3">
        <v>170924.0</v>
      </c>
      <c r="B3414" s="3" t="s">
        <v>3441</v>
      </c>
      <c r="C3414" s="3" t="s">
        <v>3434</v>
      </c>
      <c r="D3414" s="3">
        <v>325.0</v>
      </c>
      <c r="E3414" s="3">
        <v>14.01</v>
      </c>
      <c r="F3414" s="3">
        <v>14.29</v>
      </c>
      <c r="G3414" s="3">
        <v>55.83</v>
      </c>
    </row>
    <row r="3415">
      <c r="A3415" s="3">
        <v>170925.0</v>
      </c>
      <c r="B3415" s="3" t="s">
        <v>3442</v>
      </c>
      <c r="C3415" s="3" t="s">
        <v>3434</v>
      </c>
      <c r="D3415" s="3">
        <v>305.0</v>
      </c>
      <c r="E3415" s="3">
        <v>14.54</v>
      </c>
      <c r="F3415" s="3">
        <v>15.98</v>
      </c>
      <c r="G3415" s="3">
        <v>55.17</v>
      </c>
    </row>
    <row r="3416">
      <c r="A3416" s="3">
        <v>170926.0</v>
      </c>
      <c r="B3416" s="3" t="s">
        <v>3443</v>
      </c>
      <c r="C3416" s="3" t="s">
        <v>3434</v>
      </c>
      <c r="D3416" s="3">
        <v>335.0</v>
      </c>
      <c r="E3416" s="3">
        <v>4.24</v>
      </c>
      <c r="F3416" s="3">
        <v>8.98</v>
      </c>
      <c r="G3416" s="3">
        <v>71.62</v>
      </c>
    </row>
    <row r="3417">
      <c r="A3417" s="3">
        <v>170927.0</v>
      </c>
      <c r="B3417" s="3" t="s">
        <v>3444</v>
      </c>
      <c r="C3417" s="3" t="s">
        <v>3434</v>
      </c>
      <c r="D3417" s="3">
        <v>475.0</v>
      </c>
      <c r="E3417" s="3">
        <v>32.38</v>
      </c>
      <c r="F3417" s="3">
        <v>6.71</v>
      </c>
      <c r="G3417" s="3">
        <v>50.5</v>
      </c>
    </row>
    <row r="3418">
      <c r="A3418" s="3">
        <v>170928.0</v>
      </c>
      <c r="B3418" s="3" t="s">
        <v>3445</v>
      </c>
      <c r="C3418" s="3" t="s">
        <v>3434</v>
      </c>
      <c r="D3418" s="3">
        <v>271.0</v>
      </c>
      <c r="E3418" s="3">
        <v>7.04</v>
      </c>
      <c r="F3418" s="3">
        <v>12.66</v>
      </c>
      <c r="G3418" s="3">
        <v>60.56</v>
      </c>
    </row>
    <row r="3419">
      <c r="A3419" s="3">
        <v>170929.0</v>
      </c>
      <c r="B3419" s="3" t="s">
        <v>3446</v>
      </c>
      <c r="C3419" s="3" t="s">
        <v>3434</v>
      </c>
      <c r="D3419" s="3">
        <v>508.0</v>
      </c>
      <c r="E3419" s="3">
        <v>36.24</v>
      </c>
      <c r="F3419" s="3">
        <v>26.08</v>
      </c>
      <c r="G3419" s="3">
        <v>28.09</v>
      </c>
    </row>
    <row r="3420">
      <c r="A3420" s="3">
        <v>170930.0</v>
      </c>
      <c r="B3420" s="3" t="s">
        <v>3447</v>
      </c>
      <c r="C3420" s="3" t="s">
        <v>3434</v>
      </c>
      <c r="D3420" s="3">
        <v>292.0</v>
      </c>
      <c r="E3420" s="3">
        <v>5.48</v>
      </c>
      <c r="F3420" s="3">
        <v>26.63</v>
      </c>
      <c r="G3420" s="3">
        <v>50.64</v>
      </c>
    </row>
    <row r="3421">
      <c r="A3421" s="3">
        <v>170931.0</v>
      </c>
      <c r="B3421" s="3" t="s">
        <v>3448</v>
      </c>
      <c r="C3421" s="3" t="s">
        <v>3434</v>
      </c>
      <c r="D3421" s="3">
        <v>251.0</v>
      </c>
      <c r="E3421" s="3">
        <v>3.26</v>
      </c>
      <c r="F3421" s="3">
        <v>10.39</v>
      </c>
      <c r="G3421" s="3">
        <v>63.95</v>
      </c>
    </row>
    <row r="3422">
      <c r="A3422" s="3">
        <v>170932.0</v>
      </c>
      <c r="B3422" s="3" t="s">
        <v>3449</v>
      </c>
      <c r="C3422" s="3" t="s">
        <v>3434</v>
      </c>
      <c r="D3422" s="3">
        <v>318.0</v>
      </c>
      <c r="E3422" s="3">
        <v>17.27</v>
      </c>
      <c r="F3422" s="3">
        <v>12.01</v>
      </c>
      <c r="G3422" s="3">
        <v>56.63</v>
      </c>
    </row>
    <row r="3423">
      <c r="A3423" s="3">
        <v>170933.0</v>
      </c>
      <c r="B3423" s="3" t="s">
        <v>3450</v>
      </c>
      <c r="C3423" s="3" t="s">
        <v>3434</v>
      </c>
      <c r="D3423" s="3">
        <v>296.0</v>
      </c>
      <c r="E3423" s="3">
        <v>2.12</v>
      </c>
      <c r="F3423" s="3">
        <v>10.4</v>
      </c>
      <c r="G3423" s="3">
        <v>68.61</v>
      </c>
    </row>
    <row r="3424">
      <c r="A3424" s="3">
        <v>170934.0</v>
      </c>
      <c r="B3424" s="3" t="s">
        <v>3451</v>
      </c>
      <c r="C3424" s="3" t="s">
        <v>3434</v>
      </c>
      <c r="D3424" s="3">
        <v>310.0</v>
      </c>
      <c r="E3424" s="3">
        <v>5.85</v>
      </c>
      <c r="F3424" s="3">
        <v>11.43</v>
      </c>
      <c r="G3424" s="3">
        <v>65.37</v>
      </c>
    </row>
    <row r="3425">
      <c r="A3425" s="3">
        <v>170935.0</v>
      </c>
      <c r="B3425" s="3" t="s">
        <v>3452</v>
      </c>
      <c r="C3425" s="3" t="s">
        <v>3434</v>
      </c>
      <c r="D3425" s="3">
        <v>315.0</v>
      </c>
      <c r="E3425" s="3">
        <v>12.75</v>
      </c>
      <c r="F3425" s="3">
        <v>10.63</v>
      </c>
      <c r="G3425" s="3">
        <v>60.73</v>
      </c>
    </row>
    <row r="3426">
      <c r="A3426" s="3">
        <v>170936.0</v>
      </c>
      <c r="B3426" s="3" t="s">
        <v>3453</v>
      </c>
      <c r="C3426" s="3" t="s">
        <v>3434</v>
      </c>
      <c r="D3426" s="3">
        <v>272.0</v>
      </c>
      <c r="E3426" s="3">
        <v>5.91</v>
      </c>
      <c r="F3426" s="3">
        <v>6.73</v>
      </c>
      <c r="G3426" s="3">
        <v>68.73</v>
      </c>
    </row>
    <row r="3427">
      <c r="A3427" s="3">
        <v>170937.0</v>
      </c>
      <c r="B3427" s="3" t="s">
        <v>3454</v>
      </c>
      <c r="C3427" s="3" t="s">
        <v>3434</v>
      </c>
      <c r="D3427" s="3">
        <v>295.0</v>
      </c>
      <c r="E3427" s="3">
        <v>7.24</v>
      </c>
      <c r="F3427" s="3">
        <v>22.77</v>
      </c>
      <c r="G3427" s="3">
        <v>50.22</v>
      </c>
    </row>
    <row r="3428">
      <c r="A3428" s="3">
        <v>170938.0</v>
      </c>
      <c r="B3428" s="3" t="s">
        <v>3455</v>
      </c>
      <c r="C3428" s="3" t="s">
        <v>3434</v>
      </c>
      <c r="D3428" s="3">
        <v>276.0</v>
      </c>
      <c r="E3428" s="3">
        <v>7.43</v>
      </c>
      <c r="F3428" s="3">
        <v>9.11</v>
      </c>
      <c r="G3428" s="3">
        <v>63.94</v>
      </c>
    </row>
    <row r="3429">
      <c r="A3429" s="3">
        <v>170939.0</v>
      </c>
      <c r="B3429" s="3" t="s">
        <v>3456</v>
      </c>
      <c r="C3429" s="3" t="s">
        <v>196</v>
      </c>
      <c r="D3429" s="3">
        <v>50.0</v>
      </c>
      <c r="E3429" s="3">
        <v>0.43</v>
      </c>
      <c r="F3429" s="3">
        <v>3.27</v>
      </c>
      <c r="G3429" s="3">
        <v>8.36</v>
      </c>
    </row>
    <row r="3430">
      <c r="A3430" s="3">
        <v>170940.0</v>
      </c>
      <c r="B3430" s="3" t="s">
        <v>3457</v>
      </c>
      <c r="C3430" s="3" t="s">
        <v>196</v>
      </c>
      <c r="D3430" s="3">
        <v>64.0</v>
      </c>
      <c r="E3430" s="3">
        <v>0.8</v>
      </c>
      <c r="F3430" s="3">
        <v>3.9</v>
      </c>
      <c r="G3430" s="3">
        <v>10.3</v>
      </c>
    </row>
    <row r="3431">
      <c r="A3431" s="3">
        <v>170941.0</v>
      </c>
      <c r="B3431" s="3" t="s">
        <v>3458</v>
      </c>
      <c r="C3431" s="3" t="s">
        <v>196</v>
      </c>
      <c r="D3431" s="3">
        <v>37.0</v>
      </c>
      <c r="E3431" s="3">
        <v>1.3</v>
      </c>
      <c r="F3431" s="3">
        <v>2.5</v>
      </c>
      <c r="G3431" s="3">
        <v>5.7</v>
      </c>
    </row>
    <row r="3432">
      <c r="A3432" s="3">
        <v>170942.0</v>
      </c>
      <c r="B3432" s="3" t="s">
        <v>3459</v>
      </c>
      <c r="C3432" s="3" t="s">
        <v>196</v>
      </c>
      <c r="D3432" s="3">
        <v>63.0</v>
      </c>
      <c r="E3432" s="3">
        <v>0.0</v>
      </c>
      <c r="F3432" s="3">
        <v>0.3</v>
      </c>
      <c r="G3432" s="3">
        <v>17.3</v>
      </c>
    </row>
    <row r="3433">
      <c r="A3433" s="3">
        <v>170943.0</v>
      </c>
      <c r="B3433" s="3" t="s">
        <v>3460</v>
      </c>
      <c r="C3433" s="3" t="s">
        <v>196</v>
      </c>
      <c r="D3433" s="3">
        <v>44.0</v>
      </c>
      <c r="E3433" s="3">
        <v>0.1</v>
      </c>
      <c r="F3433" s="3">
        <v>0.3</v>
      </c>
      <c r="G3433" s="3">
        <v>11.6</v>
      </c>
    </row>
    <row r="3434">
      <c r="A3434" s="3">
        <v>170944.0</v>
      </c>
      <c r="B3434" s="3" t="s">
        <v>3461</v>
      </c>
      <c r="C3434" s="3" t="s">
        <v>196</v>
      </c>
      <c r="D3434" s="3">
        <v>71.0</v>
      </c>
      <c r="E3434" s="3">
        <v>0.0</v>
      </c>
      <c r="F3434" s="3">
        <v>0.1</v>
      </c>
      <c r="G3434" s="3">
        <v>19.7</v>
      </c>
    </row>
    <row r="3435">
      <c r="A3435" s="3">
        <v>170945.0</v>
      </c>
      <c r="B3435" s="3" t="s">
        <v>3462</v>
      </c>
      <c r="C3435" s="3" t="s">
        <v>196</v>
      </c>
      <c r="D3435" s="3">
        <v>74.0</v>
      </c>
      <c r="E3435" s="3">
        <v>0.0</v>
      </c>
      <c r="F3435" s="3">
        <v>0.1</v>
      </c>
      <c r="G3435" s="3">
        <v>20.5</v>
      </c>
    </row>
    <row r="3436">
      <c r="A3436" s="3">
        <v>170946.0</v>
      </c>
      <c r="B3436" s="3" t="s">
        <v>3463</v>
      </c>
      <c r="C3436" s="3" t="s">
        <v>196</v>
      </c>
      <c r="D3436" s="3">
        <v>69.0</v>
      </c>
      <c r="E3436" s="3">
        <v>0.1</v>
      </c>
      <c r="F3436" s="3">
        <v>0.6</v>
      </c>
      <c r="G3436" s="3">
        <v>18.5</v>
      </c>
    </row>
    <row r="3437">
      <c r="A3437" s="3">
        <v>170947.0</v>
      </c>
      <c r="B3437" s="3" t="s">
        <v>3464</v>
      </c>
      <c r="C3437" s="3" t="s">
        <v>196</v>
      </c>
      <c r="D3437" s="3">
        <v>44.0</v>
      </c>
      <c r="E3437" s="3">
        <v>0.2</v>
      </c>
      <c r="F3437" s="3">
        <v>0.2</v>
      </c>
      <c r="G3437" s="3">
        <v>11.64</v>
      </c>
    </row>
    <row r="3438">
      <c r="A3438" s="3">
        <v>170948.0</v>
      </c>
      <c r="B3438" s="3" t="s">
        <v>3465</v>
      </c>
      <c r="C3438" s="3" t="s">
        <v>196</v>
      </c>
      <c r="D3438" s="3">
        <v>47.0</v>
      </c>
      <c r="E3438" s="3">
        <v>0.2</v>
      </c>
      <c r="F3438" s="3">
        <v>0.2</v>
      </c>
      <c r="G3438" s="3">
        <v>12.4</v>
      </c>
    </row>
    <row r="3439">
      <c r="A3439" s="3">
        <v>170949.0</v>
      </c>
      <c r="B3439" s="3" t="s">
        <v>3466</v>
      </c>
      <c r="C3439" s="3" t="s">
        <v>196</v>
      </c>
      <c r="D3439" s="3">
        <v>51.0</v>
      </c>
      <c r="E3439" s="3">
        <v>0.0</v>
      </c>
      <c r="F3439" s="3">
        <v>0.0</v>
      </c>
      <c r="G3439" s="3">
        <v>14.1</v>
      </c>
    </row>
    <row r="3440">
      <c r="A3440" s="3">
        <v>170950.0</v>
      </c>
      <c r="B3440" s="3" t="s">
        <v>3467</v>
      </c>
      <c r="C3440" s="3" t="s">
        <v>196</v>
      </c>
      <c r="D3440" s="3">
        <v>51.0</v>
      </c>
      <c r="E3440" s="3">
        <v>0.0</v>
      </c>
      <c r="F3440" s="3">
        <v>0.0</v>
      </c>
      <c r="G3440" s="3">
        <v>14.1</v>
      </c>
    </row>
    <row r="3441">
      <c r="A3441" s="3">
        <v>170951.0</v>
      </c>
      <c r="B3441" s="3" t="s">
        <v>3468</v>
      </c>
      <c r="C3441" s="3" t="s">
        <v>196</v>
      </c>
      <c r="D3441" s="3">
        <v>66.0</v>
      </c>
      <c r="E3441" s="3">
        <v>0.1</v>
      </c>
      <c r="F3441" s="3">
        <v>0.37</v>
      </c>
      <c r="G3441" s="3">
        <v>16.16</v>
      </c>
    </row>
    <row r="3442">
      <c r="A3442" s="3">
        <v>170952.0</v>
      </c>
      <c r="B3442" s="3" t="s">
        <v>3469</v>
      </c>
      <c r="C3442" s="3" t="s">
        <v>196</v>
      </c>
      <c r="D3442" s="3">
        <v>64.0</v>
      </c>
      <c r="E3442" s="3">
        <v>0.22</v>
      </c>
      <c r="F3442" s="3">
        <v>0.3</v>
      </c>
      <c r="G3442" s="3">
        <v>15.3</v>
      </c>
    </row>
    <row r="3443">
      <c r="A3443" s="3">
        <v>170953.0</v>
      </c>
      <c r="B3443" s="3" t="s">
        <v>3470</v>
      </c>
      <c r="C3443" s="3" t="s">
        <v>196</v>
      </c>
      <c r="D3443" s="3">
        <v>68.0</v>
      </c>
      <c r="E3443" s="3">
        <v>0.1</v>
      </c>
      <c r="F3443" s="3">
        <v>0.2</v>
      </c>
      <c r="G3443" s="3">
        <v>18.4</v>
      </c>
    </row>
    <row r="3444">
      <c r="A3444" s="3">
        <v>170954.0</v>
      </c>
      <c r="B3444" s="3" t="s">
        <v>3471</v>
      </c>
      <c r="C3444" s="3" t="s">
        <v>196</v>
      </c>
      <c r="D3444" s="3">
        <v>65.0</v>
      </c>
      <c r="E3444" s="3">
        <v>0.0</v>
      </c>
      <c r="F3444" s="3">
        <v>0.2</v>
      </c>
      <c r="G3444" s="3">
        <v>17.8</v>
      </c>
    </row>
    <row r="3445">
      <c r="A3445" s="3">
        <v>170955.0</v>
      </c>
      <c r="B3445" s="3" t="s">
        <v>3472</v>
      </c>
      <c r="C3445" s="3" t="s">
        <v>196</v>
      </c>
      <c r="D3445" s="3">
        <v>41.0</v>
      </c>
      <c r="E3445" s="3">
        <v>0.1</v>
      </c>
      <c r="F3445" s="3">
        <v>0.3</v>
      </c>
      <c r="G3445" s="3">
        <v>10.9</v>
      </c>
    </row>
    <row r="3446">
      <c r="A3446" s="3">
        <v>170956.0</v>
      </c>
      <c r="B3446" s="3" t="s">
        <v>3473</v>
      </c>
      <c r="C3446" s="3" t="s">
        <v>196</v>
      </c>
      <c r="D3446" s="3">
        <v>83.0</v>
      </c>
      <c r="E3446" s="3">
        <v>0.22</v>
      </c>
      <c r="F3446" s="3">
        <v>0.9</v>
      </c>
      <c r="G3446" s="3">
        <v>19.31</v>
      </c>
    </row>
    <row r="3447">
      <c r="A3447" s="3">
        <v>170957.0</v>
      </c>
      <c r="B3447" s="3" t="s">
        <v>3474</v>
      </c>
      <c r="C3447" s="3" t="s">
        <v>196</v>
      </c>
      <c r="D3447" s="3">
        <v>61.0</v>
      </c>
      <c r="E3447" s="3">
        <v>0.2</v>
      </c>
      <c r="F3447" s="3">
        <v>0.2</v>
      </c>
      <c r="G3447" s="3">
        <v>16.3</v>
      </c>
    </row>
    <row r="3448">
      <c r="A3448" s="3">
        <v>170958.0</v>
      </c>
      <c r="B3448" s="3" t="s">
        <v>3475</v>
      </c>
      <c r="C3448" s="3" t="s">
        <v>196</v>
      </c>
      <c r="D3448" s="3">
        <v>62.0</v>
      </c>
      <c r="E3448" s="3">
        <v>0.2</v>
      </c>
      <c r="F3448" s="3">
        <v>0.2</v>
      </c>
      <c r="G3448" s="3">
        <v>16.6</v>
      </c>
    </row>
    <row r="3449">
      <c r="A3449" s="3">
        <v>170959.0</v>
      </c>
      <c r="B3449" s="3" t="s">
        <v>3476</v>
      </c>
      <c r="C3449" s="3" t="s">
        <v>196</v>
      </c>
      <c r="D3449" s="3">
        <v>47.0</v>
      </c>
      <c r="E3449" s="3">
        <v>0.1</v>
      </c>
      <c r="F3449" s="3">
        <v>0.0</v>
      </c>
      <c r="G3449" s="3">
        <v>11.7</v>
      </c>
    </row>
    <row r="3450">
      <c r="A3450" s="3">
        <v>170960.0</v>
      </c>
      <c r="B3450" s="3" t="s">
        <v>3477</v>
      </c>
      <c r="C3450" s="3" t="s">
        <v>196</v>
      </c>
      <c r="D3450" s="3">
        <v>47.0</v>
      </c>
      <c r="E3450" s="3">
        <v>0.1</v>
      </c>
      <c r="F3450" s="3">
        <v>0.4</v>
      </c>
      <c r="G3450" s="3">
        <v>11.5</v>
      </c>
    </row>
    <row r="3451">
      <c r="A3451" s="3">
        <v>170961.0</v>
      </c>
      <c r="B3451" s="3" t="s">
        <v>3478</v>
      </c>
      <c r="C3451" s="3" t="s">
        <v>196</v>
      </c>
      <c r="D3451" s="3">
        <v>46.0</v>
      </c>
      <c r="E3451" s="3">
        <v>0.1</v>
      </c>
      <c r="F3451" s="3">
        <v>0.8</v>
      </c>
      <c r="G3451" s="3">
        <v>10.9</v>
      </c>
    </row>
    <row r="3452">
      <c r="A3452" s="3">
        <v>170962.0</v>
      </c>
      <c r="B3452" s="3" t="s">
        <v>3479</v>
      </c>
      <c r="C3452" s="3" t="s">
        <v>196</v>
      </c>
      <c r="D3452" s="3">
        <v>50.0</v>
      </c>
      <c r="E3452" s="3">
        <v>0.1</v>
      </c>
      <c r="F3452" s="3">
        <v>0.7</v>
      </c>
      <c r="G3452" s="3">
        <v>11.9</v>
      </c>
    </row>
    <row r="3453">
      <c r="A3453" s="3">
        <v>170963.0</v>
      </c>
      <c r="B3453" s="3" t="s">
        <v>3480</v>
      </c>
      <c r="C3453" s="3" t="s">
        <v>196</v>
      </c>
      <c r="D3453" s="3">
        <v>48.0</v>
      </c>
      <c r="E3453" s="3">
        <v>0.1</v>
      </c>
      <c r="F3453" s="3">
        <v>0.5</v>
      </c>
      <c r="G3453" s="3">
        <v>11.7</v>
      </c>
    </row>
    <row r="3454">
      <c r="A3454" s="3">
        <v>170964.0</v>
      </c>
      <c r="B3454" s="3" t="s">
        <v>3481</v>
      </c>
      <c r="C3454" s="3" t="s">
        <v>196</v>
      </c>
      <c r="D3454" s="3">
        <v>399.0</v>
      </c>
      <c r="E3454" s="3">
        <v>6.66</v>
      </c>
      <c r="F3454" s="3">
        <v>6.66</v>
      </c>
      <c r="G3454" s="3">
        <v>78.21</v>
      </c>
    </row>
    <row r="3455">
      <c r="A3455" s="3">
        <v>170965.0</v>
      </c>
      <c r="B3455" s="3" t="s">
        <v>3482</v>
      </c>
      <c r="C3455" s="3" t="s">
        <v>196</v>
      </c>
      <c r="D3455" s="3">
        <v>391.0</v>
      </c>
      <c r="E3455" s="3">
        <v>4.6</v>
      </c>
      <c r="F3455" s="3">
        <v>10.7</v>
      </c>
      <c r="G3455" s="3">
        <v>77.1</v>
      </c>
    </row>
    <row r="3456">
      <c r="A3456" s="3">
        <v>170966.0</v>
      </c>
      <c r="B3456" s="3" t="s">
        <v>3483</v>
      </c>
      <c r="C3456" s="3" t="s">
        <v>196</v>
      </c>
      <c r="D3456" s="3">
        <v>82.0</v>
      </c>
      <c r="E3456" s="3">
        <v>0.51</v>
      </c>
      <c r="F3456" s="3">
        <v>0.71</v>
      </c>
      <c r="G3456" s="3">
        <v>18.38</v>
      </c>
    </row>
    <row r="3457">
      <c r="A3457" s="3">
        <v>170967.0</v>
      </c>
      <c r="B3457" s="3" t="s">
        <v>3484</v>
      </c>
      <c r="C3457" s="3" t="s">
        <v>196</v>
      </c>
      <c r="D3457" s="3">
        <v>84.0</v>
      </c>
      <c r="E3457" s="3">
        <v>0.51</v>
      </c>
      <c r="F3457" s="3">
        <v>0.71</v>
      </c>
      <c r="G3457" s="3">
        <v>18.79</v>
      </c>
    </row>
    <row r="3458">
      <c r="A3458" s="3">
        <v>170968.0</v>
      </c>
      <c r="B3458" s="3" t="s">
        <v>3485</v>
      </c>
      <c r="C3458" s="3" t="s">
        <v>196</v>
      </c>
      <c r="D3458" s="3">
        <v>391.0</v>
      </c>
      <c r="E3458" s="3">
        <v>7.0</v>
      </c>
      <c r="F3458" s="3">
        <v>13.5</v>
      </c>
      <c r="G3458" s="3">
        <v>69.3</v>
      </c>
    </row>
    <row r="3459">
      <c r="A3459" s="3">
        <v>170969.0</v>
      </c>
      <c r="B3459" s="3" t="s">
        <v>3486</v>
      </c>
      <c r="C3459" s="3" t="s">
        <v>196</v>
      </c>
      <c r="D3459" s="3">
        <v>390.0</v>
      </c>
      <c r="E3459" s="3">
        <v>2.19</v>
      </c>
      <c r="F3459" s="3">
        <v>6.65</v>
      </c>
      <c r="G3459" s="3">
        <v>83.14</v>
      </c>
    </row>
    <row r="3460">
      <c r="A3460" s="3">
        <v>170970.0</v>
      </c>
      <c r="B3460" s="3" t="s">
        <v>3487</v>
      </c>
      <c r="C3460" s="3" t="s">
        <v>196</v>
      </c>
      <c r="D3460" s="3">
        <v>80.0</v>
      </c>
      <c r="E3460" s="3">
        <v>0.4</v>
      </c>
      <c r="F3460" s="3">
        <v>1.2</v>
      </c>
      <c r="G3460" s="3">
        <v>17.1</v>
      </c>
    </row>
    <row r="3461">
      <c r="A3461" s="3">
        <v>170971.0</v>
      </c>
      <c r="B3461" s="3" t="s">
        <v>3488</v>
      </c>
      <c r="C3461" s="3" t="s">
        <v>196</v>
      </c>
      <c r="D3461" s="3">
        <v>51.0</v>
      </c>
      <c r="E3461" s="3">
        <v>1.8</v>
      </c>
      <c r="F3461" s="3">
        <v>1.9</v>
      </c>
      <c r="G3461" s="3">
        <v>7.0</v>
      </c>
    </row>
    <row r="3462">
      <c r="A3462" s="3">
        <v>170972.0</v>
      </c>
      <c r="B3462" s="3" t="s">
        <v>3489</v>
      </c>
      <c r="C3462" s="3" t="s">
        <v>196</v>
      </c>
      <c r="D3462" s="3">
        <v>477.0</v>
      </c>
      <c r="E3462" s="3">
        <v>19.6</v>
      </c>
      <c r="F3462" s="3">
        <v>8.4</v>
      </c>
      <c r="G3462" s="3">
        <v>66.85</v>
      </c>
    </row>
    <row r="3463">
      <c r="A3463" s="3">
        <v>170973.0</v>
      </c>
      <c r="B3463" s="3" t="s">
        <v>3490</v>
      </c>
      <c r="C3463" s="3" t="s">
        <v>196</v>
      </c>
      <c r="D3463" s="3">
        <v>374.0</v>
      </c>
      <c r="E3463" s="3">
        <v>6.5</v>
      </c>
      <c r="F3463" s="3">
        <v>25.4</v>
      </c>
      <c r="G3463" s="3">
        <v>57.6</v>
      </c>
    </row>
    <row r="3464">
      <c r="A3464" s="3">
        <v>170974.0</v>
      </c>
      <c r="B3464" s="3" t="s">
        <v>3491</v>
      </c>
      <c r="C3464" s="3" t="s">
        <v>196</v>
      </c>
      <c r="D3464" s="3">
        <v>404.0</v>
      </c>
      <c r="E3464" s="3">
        <v>4.2</v>
      </c>
      <c r="F3464" s="3">
        <v>8.7</v>
      </c>
      <c r="G3464" s="3">
        <v>79.9</v>
      </c>
    </row>
    <row r="3465">
      <c r="A3465" s="3">
        <v>170975.0</v>
      </c>
      <c r="B3465" s="3" t="s">
        <v>3492</v>
      </c>
      <c r="C3465" s="3" t="s">
        <v>196</v>
      </c>
      <c r="D3465" s="3">
        <v>433.0</v>
      </c>
      <c r="E3465" s="3">
        <v>13.2</v>
      </c>
      <c r="F3465" s="3">
        <v>11.8</v>
      </c>
      <c r="G3465" s="3">
        <v>67.1</v>
      </c>
    </row>
    <row r="3466">
      <c r="A3466" s="3">
        <v>170976.0</v>
      </c>
      <c r="B3466" s="3" t="s">
        <v>3493</v>
      </c>
      <c r="C3466" s="3" t="s">
        <v>196</v>
      </c>
      <c r="D3466" s="3">
        <v>75.0</v>
      </c>
      <c r="E3466" s="3">
        <v>0.4</v>
      </c>
      <c r="F3466" s="3">
        <v>0.2</v>
      </c>
      <c r="G3466" s="3">
        <v>19.74</v>
      </c>
    </row>
    <row r="3467">
      <c r="A3467" s="3">
        <v>170977.0</v>
      </c>
      <c r="B3467" s="3" t="s">
        <v>3494</v>
      </c>
      <c r="C3467" s="3" t="s">
        <v>196</v>
      </c>
      <c r="D3467" s="3">
        <v>79.0</v>
      </c>
      <c r="E3467" s="3">
        <v>0.16</v>
      </c>
      <c r="F3467" s="3">
        <v>0.2</v>
      </c>
      <c r="G3467" s="3">
        <v>19.18</v>
      </c>
    </row>
    <row r="3468">
      <c r="A3468" s="3">
        <v>170978.0</v>
      </c>
      <c r="B3468" s="3" t="s">
        <v>3495</v>
      </c>
      <c r="C3468" s="3" t="s">
        <v>196</v>
      </c>
      <c r="D3468" s="3">
        <v>78.0</v>
      </c>
      <c r="E3468" s="3">
        <v>0.1</v>
      </c>
      <c r="F3468" s="3">
        <v>0.3</v>
      </c>
      <c r="G3468" s="3">
        <v>19.2</v>
      </c>
    </row>
    <row r="3469">
      <c r="A3469" s="3">
        <v>170979.0</v>
      </c>
      <c r="B3469" s="3" t="s">
        <v>3496</v>
      </c>
      <c r="C3469" s="3" t="s">
        <v>196</v>
      </c>
      <c r="D3469" s="3">
        <v>68.0</v>
      </c>
      <c r="E3469" s="3">
        <v>0.3</v>
      </c>
      <c r="F3469" s="3">
        <v>0.2</v>
      </c>
      <c r="G3469" s="3">
        <v>17.8</v>
      </c>
    </row>
    <row r="3470">
      <c r="A3470" s="3">
        <v>170980.0</v>
      </c>
      <c r="B3470" s="3" t="s">
        <v>3497</v>
      </c>
      <c r="C3470" s="3" t="s">
        <v>196</v>
      </c>
      <c r="D3470" s="3">
        <v>60.0</v>
      </c>
      <c r="E3470" s="3">
        <v>0.0</v>
      </c>
      <c r="F3470" s="3">
        <v>0.2</v>
      </c>
      <c r="G3470" s="3">
        <v>16.5</v>
      </c>
    </row>
    <row r="3471">
      <c r="A3471" s="3">
        <v>170981.0</v>
      </c>
      <c r="B3471" s="3" t="s">
        <v>3498</v>
      </c>
      <c r="C3471" s="3" t="s">
        <v>196</v>
      </c>
      <c r="D3471" s="3">
        <v>60.0</v>
      </c>
      <c r="E3471" s="3">
        <v>0.0</v>
      </c>
      <c r="F3471" s="3">
        <v>0.3</v>
      </c>
      <c r="G3471" s="3">
        <v>16.4</v>
      </c>
    </row>
    <row r="3472">
      <c r="A3472" s="3">
        <v>170982.0</v>
      </c>
      <c r="B3472" s="3" t="s">
        <v>3499</v>
      </c>
      <c r="C3472" s="3" t="s">
        <v>196</v>
      </c>
      <c r="D3472" s="3">
        <v>81.0</v>
      </c>
      <c r="E3472" s="3">
        <v>0.3</v>
      </c>
      <c r="F3472" s="3">
        <v>1.3</v>
      </c>
      <c r="G3472" s="3">
        <v>20.3</v>
      </c>
    </row>
    <row r="3473">
      <c r="A3473" s="3">
        <v>170983.0</v>
      </c>
      <c r="B3473" s="3" t="s">
        <v>3500</v>
      </c>
      <c r="C3473" s="3" t="s">
        <v>196</v>
      </c>
      <c r="D3473" s="3">
        <v>59.0</v>
      </c>
      <c r="E3473" s="3">
        <v>0.0</v>
      </c>
      <c r="F3473" s="3">
        <v>0.3</v>
      </c>
      <c r="G3473" s="3">
        <v>16.0</v>
      </c>
    </row>
    <row r="3474">
      <c r="A3474" s="3">
        <v>170984.0</v>
      </c>
      <c r="B3474" s="3" t="s">
        <v>3501</v>
      </c>
      <c r="C3474" s="3" t="s">
        <v>196</v>
      </c>
      <c r="D3474" s="3">
        <v>52.0</v>
      </c>
      <c r="E3474" s="3">
        <v>0.1</v>
      </c>
      <c r="F3474" s="3">
        <v>0.2</v>
      </c>
      <c r="G3474" s="3">
        <v>12.7</v>
      </c>
    </row>
    <row r="3475">
      <c r="A3475" s="3">
        <v>170985.0</v>
      </c>
      <c r="B3475" s="3" t="s">
        <v>3502</v>
      </c>
      <c r="C3475" s="3" t="s">
        <v>196</v>
      </c>
      <c r="D3475" s="3">
        <v>46.0</v>
      </c>
      <c r="E3475" s="3">
        <v>0.1</v>
      </c>
      <c r="F3475" s="3">
        <v>0.06</v>
      </c>
      <c r="G3475" s="3">
        <v>11.1</v>
      </c>
    </row>
    <row r="3476">
      <c r="A3476" s="3">
        <v>170986.0</v>
      </c>
      <c r="B3476" s="3" t="s">
        <v>3503</v>
      </c>
      <c r="C3476" s="3" t="s">
        <v>196</v>
      </c>
      <c r="D3476" s="3">
        <v>73.0</v>
      </c>
      <c r="E3476" s="3">
        <v>3.8</v>
      </c>
      <c r="F3476" s="3">
        <v>2.0</v>
      </c>
      <c r="G3476" s="3">
        <v>7.73</v>
      </c>
    </row>
    <row r="3477">
      <c r="A3477" s="3">
        <v>170987.0</v>
      </c>
      <c r="B3477" s="3" t="s">
        <v>3504</v>
      </c>
      <c r="C3477" s="3" t="s">
        <v>196</v>
      </c>
      <c r="D3477" s="3">
        <v>98.0</v>
      </c>
      <c r="E3477" s="3">
        <v>3.53</v>
      </c>
      <c r="F3477" s="3">
        <v>3.4</v>
      </c>
      <c r="G3477" s="3">
        <v>13.22</v>
      </c>
    </row>
    <row r="3478">
      <c r="A3478" s="3">
        <v>170988.0</v>
      </c>
      <c r="B3478" s="3" t="s">
        <v>3505</v>
      </c>
      <c r="C3478" s="3" t="s">
        <v>196</v>
      </c>
      <c r="D3478" s="3">
        <v>517.0</v>
      </c>
      <c r="E3478" s="3">
        <v>28.19</v>
      </c>
      <c r="F3478" s="3">
        <v>13.99</v>
      </c>
      <c r="G3478" s="3">
        <v>51.91</v>
      </c>
    </row>
    <row r="3479">
      <c r="A3479" s="3">
        <v>170989.0</v>
      </c>
      <c r="B3479" s="3" t="s">
        <v>3506</v>
      </c>
      <c r="C3479" s="3" t="s">
        <v>196</v>
      </c>
      <c r="D3479" s="3">
        <v>48.0</v>
      </c>
      <c r="E3479" s="3">
        <v>1.47</v>
      </c>
      <c r="F3479" s="3">
        <v>1.11</v>
      </c>
      <c r="G3479" s="3">
        <v>7.47</v>
      </c>
    </row>
    <row r="3480">
      <c r="A3480" s="3">
        <v>170990.0</v>
      </c>
      <c r="B3480" s="3" t="s">
        <v>3507</v>
      </c>
      <c r="C3480" s="3" t="s">
        <v>196</v>
      </c>
      <c r="D3480" s="3">
        <v>92.0</v>
      </c>
      <c r="E3480" s="3">
        <v>3.08</v>
      </c>
      <c r="F3480" s="3">
        <v>3.05</v>
      </c>
      <c r="G3480" s="3">
        <v>13.0</v>
      </c>
    </row>
    <row r="3481">
      <c r="A3481" s="3">
        <v>170991.0</v>
      </c>
      <c r="B3481" s="3" t="s">
        <v>3508</v>
      </c>
      <c r="C3481" s="3" t="s">
        <v>196</v>
      </c>
      <c r="D3481" s="3">
        <v>132.0</v>
      </c>
      <c r="E3481" s="3">
        <v>6.67</v>
      </c>
      <c r="F3481" s="3">
        <v>3.31</v>
      </c>
      <c r="G3481" s="3">
        <v>14.71</v>
      </c>
    </row>
    <row r="3482">
      <c r="A3482" s="3">
        <v>170992.0</v>
      </c>
      <c r="B3482" s="3" t="s">
        <v>3509</v>
      </c>
      <c r="C3482" s="3" t="s">
        <v>196</v>
      </c>
      <c r="D3482" s="3">
        <v>505.0</v>
      </c>
      <c r="E3482" s="3">
        <v>26.9</v>
      </c>
      <c r="F3482" s="3">
        <v>12.9</v>
      </c>
      <c r="G3482" s="3">
        <v>52.8</v>
      </c>
    </row>
    <row r="3483">
      <c r="A3483" s="3">
        <v>170993.0</v>
      </c>
      <c r="B3483" s="3" t="s">
        <v>3510</v>
      </c>
      <c r="C3483" s="3" t="s">
        <v>196</v>
      </c>
      <c r="D3483" s="3">
        <v>64.0</v>
      </c>
      <c r="E3483" s="3">
        <v>3.63</v>
      </c>
      <c r="F3483" s="3">
        <v>1.78</v>
      </c>
      <c r="G3483" s="3">
        <v>7.18</v>
      </c>
    </row>
    <row r="3484">
      <c r="A3484" s="3">
        <v>170994.0</v>
      </c>
      <c r="B3484" s="3" t="s">
        <v>3511</v>
      </c>
      <c r="C3484" s="3" t="s">
        <v>196</v>
      </c>
      <c r="D3484" s="3">
        <v>68.0</v>
      </c>
      <c r="E3484" s="3">
        <v>3.48</v>
      </c>
      <c r="F3484" s="3">
        <v>1.38</v>
      </c>
      <c r="G3484" s="3">
        <v>7.81</v>
      </c>
    </row>
    <row r="3485">
      <c r="A3485" s="3">
        <v>170995.0</v>
      </c>
      <c r="B3485" s="3" t="s">
        <v>3512</v>
      </c>
      <c r="C3485" s="3" t="s">
        <v>196</v>
      </c>
      <c r="D3485" s="3">
        <v>65.0</v>
      </c>
      <c r="E3485" s="3">
        <v>3.28</v>
      </c>
      <c r="F3485" s="3">
        <v>1.84</v>
      </c>
      <c r="G3485" s="3">
        <v>7.15</v>
      </c>
    </row>
    <row r="3486">
      <c r="A3486" s="3">
        <v>170996.0</v>
      </c>
      <c r="B3486" s="3" t="s">
        <v>3513</v>
      </c>
      <c r="C3486" s="3" t="s">
        <v>196</v>
      </c>
      <c r="D3486" s="3">
        <v>65.0</v>
      </c>
      <c r="E3486" s="3">
        <v>3.36</v>
      </c>
      <c r="F3486" s="3">
        <v>1.44</v>
      </c>
      <c r="G3486" s="3">
        <v>7.17</v>
      </c>
    </row>
    <row r="3487">
      <c r="A3487" s="3">
        <v>170997.0</v>
      </c>
      <c r="B3487" s="3" t="s">
        <v>3514</v>
      </c>
      <c r="C3487" s="3" t="s">
        <v>196</v>
      </c>
      <c r="D3487" s="3">
        <v>66.0</v>
      </c>
      <c r="E3487" s="3">
        <v>3.34</v>
      </c>
      <c r="F3487" s="3">
        <v>1.44</v>
      </c>
      <c r="G3487" s="3">
        <v>7.61</v>
      </c>
    </row>
    <row r="3488">
      <c r="A3488" s="3">
        <v>170998.0</v>
      </c>
      <c r="B3488" s="3" t="s">
        <v>3515</v>
      </c>
      <c r="C3488" s="3" t="s">
        <v>196</v>
      </c>
      <c r="D3488" s="3">
        <v>109.0</v>
      </c>
      <c r="E3488" s="3">
        <v>0.37</v>
      </c>
      <c r="F3488" s="3">
        <v>0.71</v>
      </c>
      <c r="G3488" s="3">
        <v>25.78</v>
      </c>
    </row>
    <row r="3489">
      <c r="A3489" s="3">
        <v>170999.0</v>
      </c>
      <c r="B3489" s="3" t="s">
        <v>3516</v>
      </c>
      <c r="C3489" s="3" t="s">
        <v>196</v>
      </c>
      <c r="D3489" s="3">
        <v>92.0</v>
      </c>
      <c r="E3489" s="3">
        <v>0.36</v>
      </c>
      <c r="F3489" s="3">
        <v>1.01</v>
      </c>
      <c r="G3489" s="3">
        <v>21.31</v>
      </c>
    </row>
    <row r="3490">
      <c r="A3490" s="3">
        <v>171000.0</v>
      </c>
      <c r="B3490" s="3" t="s">
        <v>3517</v>
      </c>
      <c r="C3490" s="3" t="s">
        <v>196</v>
      </c>
      <c r="D3490" s="3">
        <v>407.0</v>
      </c>
      <c r="E3490" s="3">
        <v>6.67</v>
      </c>
      <c r="F3490" s="3">
        <v>6.67</v>
      </c>
      <c r="G3490" s="3">
        <v>80.06</v>
      </c>
    </row>
    <row r="3491">
      <c r="A3491" s="3">
        <v>171001.0</v>
      </c>
      <c r="B3491" s="3" t="s">
        <v>3518</v>
      </c>
      <c r="C3491" s="3" t="s">
        <v>196</v>
      </c>
      <c r="D3491" s="3">
        <v>391.0</v>
      </c>
      <c r="E3491" s="3">
        <v>0.87</v>
      </c>
      <c r="F3491" s="3">
        <v>12.5</v>
      </c>
      <c r="G3491" s="3">
        <v>83.21</v>
      </c>
    </row>
    <row r="3492">
      <c r="A3492" s="3">
        <v>171002.0</v>
      </c>
      <c r="B3492" s="3" t="s">
        <v>3519</v>
      </c>
      <c r="C3492" s="3" t="s">
        <v>187</v>
      </c>
      <c r="D3492" s="3">
        <v>334.0</v>
      </c>
      <c r="E3492" s="3">
        <v>32.9</v>
      </c>
      <c r="F3492" s="3">
        <v>0.6</v>
      </c>
      <c r="G3492" s="3">
        <v>8.5</v>
      </c>
    </row>
    <row r="3493">
      <c r="A3493" s="3">
        <v>171003.0</v>
      </c>
      <c r="B3493" s="3" t="s">
        <v>3520</v>
      </c>
      <c r="C3493" s="3" t="s">
        <v>187</v>
      </c>
      <c r="D3493" s="3">
        <v>64.0</v>
      </c>
      <c r="E3493" s="3">
        <v>0.0</v>
      </c>
      <c r="F3493" s="3">
        <v>0.2</v>
      </c>
      <c r="G3493" s="3">
        <v>15.8</v>
      </c>
    </row>
    <row r="3494">
      <c r="A3494" s="3">
        <v>171004.0</v>
      </c>
      <c r="B3494" s="3" t="s">
        <v>3521</v>
      </c>
      <c r="C3494" s="3" t="s">
        <v>187</v>
      </c>
      <c r="D3494" s="3">
        <v>84.0</v>
      </c>
      <c r="E3494" s="3">
        <v>2.7</v>
      </c>
      <c r="F3494" s="3">
        <v>0.2</v>
      </c>
      <c r="G3494" s="3">
        <v>15.5</v>
      </c>
    </row>
    <row r="3495">
      <c r="A3495" s="3">
        <v>171005.0</v>
      </c>
      <c r="B3495" s="3" t="s">
        <v>3522</v>
      </c>
      <c r="C3495" s="3" t="s">
        <v>187</v>
      </c>
      <c r="D3495" s="3">
        <v>355.0</v>
      </c>
      <c r="E3495" s="3">
        <v>26.18</v>
      </c>
      <c r="F3495" s="3">
        <v>0.69</v>
      </c>
      <c r="G3495" s="3">
        <v>31.9</v>
      </c>
    </row>
    <row r="3496">
      <c r="A3496" s="3">
        <v>171006.0</v>
      </c>
      <c r="B3496" s="3" t="s">
        <v>3523</v>
      </c>
      <c r="C3496" s="3" t="s">
        <v>187</v>
      </c>
      <c r="D3496" s="3">
        <v>443.0</v>
      </c>
      <c r="E3496" s="3">
        <v>45.2</v>
      </c>
      <c r="F3496" s="3">
        <v>3.1</v>
      </c>
      <c r="G3496" s="3">
        <v>8.6</v>
      </c>
    </row>
    <row r="3497">
      <c r="A3497" s="3">
        <v>171007.0</v>
      </c>
      <c r="B3497" s="3" t="s">
        <v>3524</v>
      </c>
      <c r="C3497" s="3" t="s">
        <v>187</v>
      </c>
      <c r="D3497" s="3">
        <v>141.0</v>
      </c>
      <c r="E3497" s="3">
        <v>4.0</v>
      </c>
      <c r="F3497" s="3">
        <v>0.5</v>
      </c>
      <c r="G3497" s="3">
        <v>27.6</v>
      </c>
    </row>
    <row r="3498">
      <c r="A3498" s="3">
        <v>171008.0</v>
      </c>
      <c r="B3498" s="3" t="s">
        <v>3525</v>
      </c>
      <c r="C3498" s="3" t="s">
        <v>187</v>
      </c>
      <c r="D3498" s="3">
        <v>195.0</v>
      </c>
      <c r="E3498" s="3">
        <v>11.32</v>
      </c>
      <c r="F3498" s="3">
        <v>0.83</v>
      </c>
      <c r="G3498" s="3">
        <v>24.06</v>
      </c>
    </row>
    <row r="3499">
      <c r="A3499" s="3">
        <v>171009.0</v>
      </c>
      <c r="B3499" s="3" t="s">
        <v>3526</v>
      </c>
      <c r="C3499" s="3" t="s">
        <v>187</v>
      </c>
      <c r="D3499" s="3">
        <v>680.0</v>
      </c>
      <c r="E3499" s="3">
        <v>74.85</v>
      </c>
      <c r="F3499" s="3">
        <v>0.96</v>
      </c>
      <c r="G3499" s="3">
        <v>0.57</v>
      </c>
    </row>
    <row r="3500">
      <c r="A3500" s="3">
        <v>171010.0</v>
      </c>
      <c r="B3500" s="3" t="s">
        <v>3527</v>
      </c>
      <c r="C3500" s="3" t="s">
        <v>187</v>
      </c>
      <c r="D3500" s="3">
        <v>717.0</v>
      </c>
      <c r="E3500" s="3">
        <v>79.4</v>
      </c>
      <c r="F3500" s="3">
        <v>1.1</v>
      </c>
      <c r="G3500" s="3">
        <v>2.7</v>
      </c>
    </row>
    <row r="3501">
      <c r="A3501" s="3">
        <v>171011.0</v>
      </c>
      <c r="B3501" s="3" t="s">
        <v>3528</v>
      </c>
      <c r="C3501" s="3" t="s">
        <v>187</v>
      </c>
      <c r="D3501" s="3">
        <v>884.0</v>
      </c>
      <c r="E3501" s="3">
        <v>100.0</v>
      </c>
      <c r="F3501" s="3">
        <v>0.0</v>
      </c>
      <c r="G3501" s="3">
        <v>0.0</v>
      </c>
    </row>
    <row r="3502">
      <c r="A3502" s="3">
        <v>171012.0</v>
      </c>
      <c r="B3502" s="3" t="s">
        <v>3529</v>
      </c>
      <c r="C3502" s="3" t="s">
        <v>187</v>
      </c>
      <c r="D3502" s="3">
        <v>884.0</v>
      </c>
      <c r="E3502" s="3">
        <v>100.0</v>
      </c>
      <c r="F3502" s="3">
        <v>0.0</v>
      </c>
      <c r="G3502" s="3">
        <v>0.0</v>
      </c>
    </row>
    <row r="3503">
      <c r="A3503" s="3">
        <v>171013.0</v>
      </c>
      <c r="B3503" s="3" t="s">
        <v>3530</v>
      </c>
      <c r="C3503" s="3" t="s">
        <v>187</v>
      </c>
      <c r="D3503" s="3">
        <v>884.0</v>
      </c>
      <c r="E3503" s="3">
        <v>100.0</v>
      </c>
      <c r="F3503" s="3">
        <v>0.0</v>
      </c>
      <c r="G3503" s="3">
        <v>0.0</v>
      </c>
    </row>
    <row r="3504">
      <c r="A3504" s="3">
        <v>171014.0</v>
      </c>
      <c r="B3504" s="3" t="s">
        <v>3531</v>
      </c>
      <c r="C3504" s="3" t="s">
        <v>187</v>
      </c>
      <c r="D3504" s="3">
        <v>884.0</v>
      </c>
      <c r="E3504" s="3">
        <v>100.0</v>
      </c>
      <c r="F3504" s="3">
        <v>0.0</v>
      </c>
      <c r="G3504" s="3">
        <v>0.0</v>
      </c>
    </row>
    <row r="3505">
      <c r="A3505" s="3">
        <v>171015.0</v>
      </c>
      <c r="B3505" s="3" t="s">
        <v>3532</v>
      </c>
      <c r="C3505" s="3" t="s">
        <v>187</v>
      </c>
      <c r="D3505" s="3">
        <v>884.0</v>
      </c>
      <c r="E3505" s="3">
        <v>100.0</v>
      </c>
      <c r="F3505" s="3">
        <v>0.0</v>
      </c>
      <c r="G3505" s="3">
        <v>0.0</v>
      </c>
    </row>
    <row r="3506">
      <c r="A3506" s="3">
        <v>171016.0</v>
      </c>
      <c r="B3506" s="3" t="s">
        <v>3533</v>
      </c>
      <c r="C3506" s="3" t="s">
        <v>187</v>
      </c>
      <c r="D3506" s="3">
        <v>884.0</v>
      </c>
      <c r="E3506" s="3">
        <v>100.0</v>
      </c>
      <c r="F3506" s="3">
        <v>0.0</v>
      </c>
      <c r="G3506" s="3">
        <v>0.0</v>
      </c>
    </row>
    <row r="3507">
      <c r="A3507" s="3">
        <v>171017.0</v>
      </c>
      <c r="B3507" s="3" t="s">
        <v>3534</v>
      </c>
      <c r="C3507" s="3" t="s">
        <v>187</v>
      </c>
      <c r="D3507" s="3">
        <v>884.0</v>
      </c>
      <c r="E3507" s="3">
        <v>100.0</v>
      </c>
      <c r="F3507" s="3">
        <v>0.0</v>
      </c>
      <c r="G3507" s="3">
        <v>0.0</v>
      </c>
    </row>
    <row r="3508">
      <c r="A3508" s="3">
        <v>171018.0</v>
      </c>
      <c r="B3508" s="3" t="s">
        <v>3535</v>
      </c>
      <c r="C3508" s="3" t="s">
        <v>187</v>
      </c>
      <c r="D3508" s="3">
        <v>719.0</v>
      </c>
      <c r="E3508" s="3">
        <v>80.5</v>
      </c>
      <c r="F3508" s="3">
        <v>0.9</v>
      </c>
      <c r="G3508" s="3">
        <v>0.9</v>
      </c>
    </row>
    <row r="3509">
      <c r="A3509" s="3">
        <v>171019.0</v>
      </c>
      <c r="B3509" s="3" t="s">
        <v>3536</v>
      </c>
      <c r="C3509" s="3" t="s">
        <v>187</v>
      </c>
      <c r="D3509" s="3">
        <v>240.0</v>
      </c>
      <c r="E3509" s="3">
        <v>21.12</v>
      </c>
      <c r="F3509" s="3">
        <v>0.41</v>
      </c>
      <c r="G3509" s="3">
        <v>12.12</v>
      </c>
    </row>
    <row r="3510">
      <c r="A3510" s="3">
        <v>171020.0</v>
      </c>
      <c r="B3510" s="3" t="s">
        <v>3537</v>
      </c>
      <c r="C3510" s="3" t="s">
        <v>187</v>
      </c>
      <c r="D3510" s="3">
        <v>459.0</v>
      </c>
      <c r="E3510" s="3">
        <v>44.81</v>
      </c>
      <c r="F3510" s="3">
        <v>0.77</v>
      </c>
      <c r="G3510" s="3">
        <v>15.58</v>
      </c>
    </row>
    <row r="3511">
      <c r="A3511" s="3">
        <v>171021.0</v>
      </c>
      <c r="B3511" s="3" t="s">
        <v>3538</v>
      </c>
      <c r="C3511" s="3" t="s">
        <v>187</v>
      </c>
      <c r="D3511" s="3">
        <v>233.0</v>
      </c>
      <c r="E3511" s="3">
        <v>13.46</v>
      </c>
      <c r="F3511" s="3">
        <v>0.58</v>
      </c>
      <c r="G3511" s="3">
        <v>29.28</v>
      </c>
    </row>
    <row r="3512">
      <c r="A3512" s="3">
        <v>171022.0</v>
      </c>
      <c r="B3512" s="3" t="s">
        <v>3539</v>
      </c>
      <c r="C3512" s="3" t="s">
        <v>187</v>
      </c>
      <c r="D3512" s="3">
        <v>292.0</v>
      </c>
      <c r="E3512" s="3">
        <v>28.37</v>
      </c>
      <c r="F3512" s="3">
        <v>0.38</v>
      </c>
      <c r="G3512" s="3">
        <v>10.43</v>
      </c>
    </row>
    <row r="3513">
      <c r="A3513" s="3">
        <v>171023.0</v>
      </c>
      <c r="B3513" s="3" t="s">
        <v>3540</v>
      </c>
      <c r="C3513" s="3" t="s">
        <v>187</v>
      </c>
      <c r="D3513" s="3">
        <v>76.0</v>
      </c>
      <c r="E3513" s="3">
        <v>6.38</v>
      </c>
      <c r="F3513" s="3">
        <v>0.47</v>
      </c>
      <c r="G3513" s="3">
        <v>4.57</v>
      </c>
    </row>
    <row r="3514">
      <c r="A3514" s="3">
        <v>171024.0</v>
      </c>
      <c r="B3514" s="3" t="s">
        <v>3541</v>
      </c>
      <c r="C3514" s="3" t="s">
        <v>187</v>
      </c>
      <c r="D3514" s="3">
        <v>884.0</v>
      </c>
      <c r="E3514" s="3">
        <v>100.0</v>
      </c>
      <c r="F3514" s="3">
        <v>0.0</v>
      </c>
      <c r="G3514" s="3">
        <v>0.0</v>
      </c>
    </row>
    <row r="3515">
      <c r="A3515" s="3">
        <v>171025.0</v>
      </c>
      <c r="B3515" s="3" t="s">
        <v>3542</v>
      </c>
      <c r="C3515" s="3" t="s">
        <v>187</v>
      </c>
      <c r="D3515" s="3">
        <v>884.0</v>
      </c>
      <c r="E3515" s="3">
        <v>100.0</v>
      </c>
      <c r="F3515" s="3">
        <v>0.0</v>
      </c>
      <c r="G3515" s="3">
        <v>0.0</v>
      </c>
    </row>
    <row r="3516">
      <c r="A3516" s="3">
        <v>171026.0</v>
      </c>
      <c r="B3516" s="3" t="s">
        <v>3543</v>
      </c>
      <c r="C3516" s="3" t="s">
        <v>187</v>
      </c>
      <c r="D3516" s="3">
        <v>884.0</v>
      </c>
      <c r="E3516" s="3">
        <v>100.0</v>
      </c>
      <c r="F3516" s="3">
        <v>0.0</v>
      </c>
      <c r="G3516" s="3">
        <v>0.0</v>
      </c>
    </row>
    <row r="3517">
      <c r="A3517" s="3">
        <v>171027.0</v>
      </c>
      <c r="B3517" s="3" t="s">
        <v>3544</v>
      </c>
      <c r="C3517" s="3" t="s">
        <v>187</v>
      </c>
      <c r="D3517" s="3">
        <v>884.0</v>
      </c>
      <c r="E3517" s="3">
        <v>100.0</v>
      </c>
      <c r="F3517" s="3">
        <v>0.0</v>
      </c>
      <c r="G3517" s="3">
        <v>0.0</v>
      </c>
    </row>
    <row r="3518">
      <c r="A3518" s="3">
        <v>171028.0</v>
      </c>
      <c r="B3518" s="3" t="s">
        <v>3545</v>
      </c>
      <c r="C3518" s="3" t="s">
        <v>187</v>
      </c>
      <c r="D3518" s="3">
        <v>884.0</v>
      </c>
      <c r="E3518" s="3">
        <v>100.0</v>
      </c>
      <c r="F3518" s="3">
        <v>0.0</v>
      </c>
      <c r="G3518" s="3">
        <v>0.0</v>
      </c>
    </row>
    <row r="3519">
      <c r="A3519" s="3">
        <v>171029.0</v>
      </c>
      <c r="B3519" s="3" t="s">
        <v>3546</v>
      </c>
      <c r="C3519" s="3" t="s">
        <v>187</v>
      </c>
      <c r="D3519" s="3">
        <v>900.0</v>
      </c>
      <c r="E3519" s="3">
        <v>100.0</v>
      </c>
      <c r="F3519" s="3">
        <v>0.0</v>
      </c>
      <c r="G3519" s="3">
        <v>0.0</v>
      </c>
    </row>
    <row r="3520">
      <c r="A3520" s="3">
        <v>171030.0</v>
      </c>
      <c r="B3520" s="3" t="s">
        <v>3547</v>
      </c>
      <c r="C3520" s="3" t="s">
        <v>187</v>
      </c>
      <c r="D3520" s="3">
        <v>884.0</v>
      </c>
      <c r="E3520" s="3">
        <v>100.0</v>
      </c>
      <c r="F3520" s="3">
        <v>0.0</v>
      </c>
      <c r="G3520" s="3">
        <v>0.0</v>
      </c>
    </row>
    <row r="3521">
      <c r="A3521" s="3">
        <v>171031.0</v>
      </c>
      <c r="B3521" s="3" t="s">
        <v>3548</v>
      </c>
      <c r="C3521" s="3" t="s">
        <v>187</v>
      </c>
      <c r="D3521" s="3">
        <v>884.0</v>
      </c>
      <c r="E3521" s="3">
        <v>100.0</v>
      </c>
      <c r="F3521" s="3">
        <v>0.0</v>
      </c>
      <c r="G3521" s="3">
        <v>0.0</v>
      </c>
    </row>
    <row r="3522">
      <c r="A3522" s="3">
        <v>171032.0</v>
      </c>
      <c r="B3522" s="3" t="s">
        <v>3549</v>
      </c>
      <c r="C3522" s="3" t="s">
        <v>187</v>
      </c>
      <c r="D3522" s="3">
        <v>884.0</v>
      </c>
      <c r="E3522" s="3">
        <v>100.0</v>
      </c>
      <c r="F3522" s="3">
        <v>0.0</v>
      </c>
      <c r="G3522" s="3">
        <v>0.0</v>
      </c>
    </row>
    <row r="3523">
      <c r="A3523" s="3">
        <v>171033.0</v>
      </c>
      <c r="B3523" s="3" t="s">
        <v>3550</v>
      </c>
      <c r="C3523" s="3" t="s">
        <v>187</v>
      </c>
      <c r="D3523" s="3">
        <v>884.0</v>
      </c>
      <c r="E3523" s="3">
        <v>100.0</v>
      </c>
      <c r="F3523" s="3">
        <v>0.0</v>
      </c>
      <c r="G3523" s="3">
        <v>0.0</v>
      </c>
    </row>
    <row r="3524">
      <c r="A3524" s="3">
        <v>171034.0</v>
      </c>
      <c r="B3524" s="3" t="s">
        <v>3551</v>
      </c>
      <c r="C3524" s="3" t="s">
        <v>187</v>
      </c>
      <c r="D3524" s="3">
        <v>207.0</v>
      </c>
      <c r="E3524" s="3">
        <v>10.0</v>
      </c>
      <c r="F3524" s="3">
        <v>0.98</v>
      </c>
      <c r="G3524" s="3">
        <v>28.26</v>
      </c>
    </row>
    <row r="3525">
      <c r="A3525" s="3">
        <v>171035.0</v>
      </c>
      <c r="B3525" s="3" t="s">
        <v>3552</v>
      </c>
      <c r="C3525" s="3" t="s">
        <v>187</v>
      </c>
      <c r="D3525" s="3">
        <v>357.0</v>
      </c>
      <c r="E3525" s="3">
        <v>38.71</v>
      </c>
      <c r="F3525" s="3">
        <v>0.0</v>
      </c>
      <c r="G3525" s="3">
        <v>5.71</v>
      </c>
    </row>
    <row r="3526">
      <c r="A3526" s="3">
        <v>171036.0</v>
      </c>
      <c r="B3526" s="3" t="s">
        <v>3553</v>
      </c>
      <c r="C3526" s="3" t="s">
        <v>187</v>
      </c>
      <c r="D3526" s="3">
        <v>165.0</v>
      </c>
      <c r="E3526" s="3">
        <v>10.75</v>
      </c>
      <c r="F3526" s="3">
        <v>0.16</v>
      </c>
      <c r="G3526" s="3">
        <v>16.6</v>
      </c>
    </row>
    <row r="3527">
      <c r="A3527" s="3">
        <v>171037.0</v>
      </c>
      <c r="B3527" s="3" t="s">
        <v>3554</v>
      </c>
      <c r="C3527" s="3" t="s">
        <v>187</v>
      </c>
      <c r="D3527" s="3">
        <v>333.0</v>
      </c>
      <c r="E3527" s="3">
        <v>34.18</v>
      </c>
      <c r="F3527" s="3">
        <v>1.53</v>
      </c>
      <c r="G3527" s="3">
        <v>9.39</v>
      </c>
    </row>
    <row r="3528">
      <c r="A3528" s="3">
        <v>171038.0</v>
      </c>
      <c r="B3528" s="3" t="s">
        <v>3555</v>
      </c>
      <c r="C3528" s="3" t="s">
        <v>187</v>
      </c>
      <c r="D3528" s="3">
        <v>533.0</v>
      </c>
      <c r="E3528" s="3">
        <v>59.81</v>
      </c>
      <c r="F3528" s="3">
        <v>0.17</v>
      </c>
      <c r="G3528" s="3">
        <v>0.86</v>
      </c>
    </row>
    <row r="3529">
      <c r="A3529" s="3">
        <v>171039.0</v>
      </c>
      <c r="B3529" s="3" t="s">
        <v>3556</v>
      </c>
      <c r="C3529" s="3" t="s">
        <v>187</v>
      </c>
      <c r="D3529" s="3">
        <v>535.0</v>
      </c>
      <c r="E3529" s="3">
        <v>59.17</v>
      </c>
      <c r="F3529" s="3">
        <v>0.6</v>
      </c>
      <c r="G3529" s="3">
        <v>0.0</v>
      </c>
    </row>
    <row r="3530">
      <c r="A3530" s="3">
        <v>171040.0</v>
      </c>
      <c r="B3530" s="3" t="s">
        <v>3557</v>
      </c>
      <c r="C3530" s="3" t="s">
        <v>187</v>
      </c>
      <c r="D3530" s="3">
        <v>717.0</v>
      </c>
      <c r="E3530" s="3">
        <v>80.71</v>
      </c>
      <c r="F3530" s="3">
        <v>0.16</v>
      </c>
      <c r="G3530" s="3">
        <v>0.7</v>
      </c>
    </row>
    <row r="3531">
      <c r="A3531" s="3">
        <v>171041.0</v>
      </c>
      <c r="B3531" s="3" t="s">
        <v>3558</v>
      </c>
      <c r="C3531" s="3" t="s">
        <v>187</v>
      </c>
      <c r="D3531" s="3">
        <v>542.0</v>
      </c>
      <c r="E3531" s="3">
        <v>59.81</v>
      </c>
      <c r="F3531" s="3">
        <v>0.17</v>
      </c>
      <c r="G3531" s="3">
        <v>0.86</v>
      </c>
    </row>
    <row r="3532">
      <c r="A3532" s="3">
        <v>171042.0</v>
      </c>
      <c r="B3532" s="3" t="s">
        <v>3559</v>
      </c>
      <c r="C3532" s="3" t="s">
        <v>187</v>
      </c>
      <c r="D3532" s="3">
        <v>900.0</v>
      </c>
      <c r="E3532" s="3">
        <v>100.0</v>
      </c>
      <c r="F3532" s="3">
        <v>0.0</v>
      </c>
      <c r="G3532" s="3">
        <v>0.0</v>
      </c>
    </row>
    <row r="3533">
      <c r="A3533" s="3">
        <v>171043.0</v>
      </c>
      <c r="B3533" s="3" t="s">
        <v>3560</v>
      </c>
      <c r="C3533" s="3" t="s">
        <v>187</v>
      </c>
      <c r="D3533" s="3">
        <v>464.0</v>
      </c>
      <c r="E3533" s="3">
        <v>40.83</v>
      </c>
      <c r="F3533" s="3">
        <v>0.87</v>
      </c>
      <c r="G3533" s="3">
        <v>23.33</v>
      </c>
    </row>
    <row r="3534">
      <c r="A3534" s="3">
        <v>171044.0</v>
      </c>
      <c r="B3534" s="3" t="s">
        <v>3561</v>
      </c>
      <c r="C3534" s="3" t="s">
        <v>187</v>
      </c>
      <c r="D3534" s="3">
        <v>399.0</v>
      </c>
      <c r="E3534" s="3">
        <v>33.33</v>
      </c>
      <c r="F3534" s="3">
        <v>0.92</v>
      </c>
      <c r="G3534" s="3">
        <v>23.73</v>
      </c>
    </row>
    <row r="3535">
      <c r="A3535" s="3">
        <v>171045.0</v>
      </c>
      <c r="B3535" s="3" t="s">
        <v>3562</v>
      </c>
      <c r="C3535" s="3" t="s">
        <v>187</v>
      </c>
      <c r="D3535" s="3">
        <v>131.0</v>
      </c>
      <c r="E3535" s="3">
        <v>0.23</v>
      </c>
      <c r="F3535" s="3">
        <v>1.47</v>
      </c>
      <c r="G3535" s="3">
        <v>30.73</v>
      </c>
    </row>
    <row r="3536">
      <c r="A3536" s="3">
        <v>171046.0</v>
      </c>
      <c r="B3536" s="3" t="s">
        <v>3563</v>
      </c>
      <c r="C3536" s="3" t="s">
        <v>187</v>
      </c>
      <c r="D3536" s="3">
        <v>169.0</v>
      </c>
      <c r="E3536" s="3">
        <v>1.47</v>
      </c>
      <c r="F3536" s="3">
        <v>1.07</v>
      </c>
      <c r="G3536" s="3">
        <v>38.43</v>
      </c>
    </row>
    <row r="3537">
      <c r="A3537" s="3">
        <v>171047.0</v>
      </c>
      <c r="B3537" s="3" t="s">
        <v>3564</v>
      </c>
      <c r="C3537" s="3" t="s">
        <v>189</v>
      </c>
      <c r="D3537" s="3">
        <v>213.0</v>
      </c>
      <c r="E3537" s="3">
        <v>14.83</v>
      </c>
      <c r="F3537" s="3">
        <v>18.33</v>
      </c>
      <c r="G3537" s="3">
        <v>0.13</v>
      </c>
    </row>
    <row r="3538">
      <c r="A3538" s="3">
        <v>171048.0</v>
      </c>
      <c r="B3538" s="3" t="s">
        <v>3565</v>
      </c>
      <c r="C3538" s="3" t="s">
        <v>189</v>
      </c>
      <c r="D3538" s="3">
        <v>291.0</v>
      </c>
      <c r="E3538" s="3">
        <v>17.53</v>
      </c>
      <c r="F3538" s="3">
        <v>22.84</v>
      </c>
      <c r="G3538" s="3">
        <v>9.03</v>
      </c>
    </row>
    <row r="3539">
      <c r="A3539" s="3">
        <v>171049.0</v>
      </c>
      <c r="B3539" s="3" t="s">
        <v>3566</v>
      </c>
      <c r="C3539" s="3" t="s">
        <v>189</v>
      </c>
      <c r="D3539" s="3">
        <v>272.0</v>
      </c>
      <c r="E3539" s="3">
        <v>15.27</v>
      </c>
      <c r="F3539" s="3">
        <v>28.57</v>
      </c>
      <c r="G3539" s="3">
        <v>3.27</v>
      </c>
    </row>
    <row r="3540">
      <c r="A3540" s="3">
        <v>171050.0</v>
      </c>
      <c r="B3540" s="3" t="s">
        <v>3567</v>
      </c>
      <c r="C3540" s="3" t="s">
        <v>189</v>
      </c>
      <c r="D3540" s="3">
        <v>234.0</v>
      </c>
      <c r="E3540" s="3">
        <v>13.27</v>
      </c>
      <c r="F3540" s="3">
        <v>26.78</v>
      </c>
      <c r="G3540" s="3">
        <v>0.06</v>
      </c>
    </row>
    <row r="3541">
      <c r="A3541" s="3">
        <v>171051.0</v>
      </c>
      <c r="B3541" s="3" t="s">
        <v>3568</v>
      </c>
      <c r="C3541" s="3" t="s">
        <v>189</v>
      </c>
      <c r="D3541" s="3">
        <v>219.0</v>
      </c>
      <c r="E3541" s="3">
        <v>12.56</v>
      </c>
      <c r="F3541" s="3">
        <v>24.68</v>
      </c>
      <c r="G3541" s="3">
        <v>0.0</v>
      </c>
    </row>
    <row r="3542">
      <c r="A3542" s="3">
        <v>171052.0</v>
      </c>
      <c r="B3542" s="3" t="s">
        <v>3569</v>
      </c>
      <c r="C3542" s="3" t="s">
        <v>189</v>
      </c>
      <c r="D3542" s="3">
        <v>119.0</v>
      </c>
      <c r="E3542" s="3">
        <v>3.08</v>
      </c>
      <c r="F3542" s="3">
        <v>21.39</v>
      </c>
      <c r="G3542" s="3">
        <v>0.0</v>
      </c>
    </row>
    <row r="3543">
      <c r="A3543" s="3">
        <v>171053.0</v>
      </c>
      <c r="B3543" s="3" t="s">
        <v>3570</v>
      </c>
      <c r="C3543" s="3" t="s">
        <v>189</v>
      </c>
      <c r="D3543" s="3">
        <v>219.0</v>
      </c>
      <c r="E3543" s="3">
        <v>9.12</v>
      </c>
      <c r="F3543" s="3">
        <v>30.57</v>
      </c>
      <c r="G3543" s="3">
        <v>1.69</v>
      </c>
    </row>
    <row r="3544">
      <c r="A3544" s="3">
        <v>171054.0</v>
      </c>
      <c r="B3544" s="3" t="s">
        <v>3571</v>
      </c>
      <c r="C3544" s="3" t="s">
        <v>189</v>
      </c>
      <c r="D3544" s="3">
        <v>190.0</v>
      </c>
      <c r="E3544" s="3">
        <v>7.41</v>
      </c>
      <c r="F3544" s="3">
        <v>28.93</v>
      </c>
      <c r="G3544" s="3">
        <v>0.0</v>
      </c>
    </row>
    <row r="3545">
      <c r="A3545" s="3">
        <v>171055.0</v>
      </c>
      <c r="B3545" s="3" t="s">
        <v>3572</v>
      </c>
      <c r="C3545" s="3" t="s">
        <v>189</v>
      </c>
      <c r="D3545" s="3">
        <v>454.0</v>
      </c>
      <c r="E3545" s="3">
        <v>40.68</v>
      </c>
      <c r="F3545" s="3">
        <v>20.36</v>
      </c>
      <c r="G3545" s="3">
        <v>0.0</v>
      </c>
    </row>
    <row r="3546">
      <c r="A3546" s="3">
        <v>171056.0</v>
      </c>
      <c r="B3546" s="3" t="s">
        <v>3573</v>
      </c>
      <c r="C3546" s="3" t="s">
        <v>189</v>
      </c>
      <c r="D3546" s="3">
        <v>363.0</v>
      </c>
      <c r="E3546" s="3">
        <v>33.04</v>
      </c>
      <c r="F3546" s="3">
        <v>15.22</v>
      </c>
      <c r="G3546" s="3">
        <v>0.0</v>
      </c>
    </row>
    <row r="3547">
      <c r="A3547" s="3">
        <v>171057.0</v>
      </c>
      <c r="B3547" s="3" t="s">
        <v>3574</v>
      </c>
      <c r="C3547" s="3" t="s">
        <v>189</v>
      </c>
      <c r="D3547" s="3">
        <v>124.0</v>
      </c>
      <c r="E3547" s="3">
        <v>4.47</v>
      </c>
      <c r="F3547" s="3">
        <v>17.88</v>
      </c>
      <c r="G3547" s="3">
        <v>1.8</v>
      </c>
    </row>
    <row r="3548">
      <c r="A3548" s="3">
        <v>171058.0</v>
      </c>
      <c r="B3548" s="3" t="s">
        <v>3575</v>
      </c>
      <c r="C3548" s="3" t="s">
        <v>189</v>
      </c>
      <c r="D3548" s="3">
        <v>277.0</v>
      </c>
      <c r="E3548" s="3">
        <v>13.46</v>
      </c>
      <c r="F3548" s="3">
        <v>32.54</v>
      </c>
      <c r="G3548" s="3">
        <v>4.35</v>
      </c>
    </row>
    <row r="3549">
      <c r="A3549" s="3">
        <v>171059.0</v>
      </c>
      <c r="B3549" s="3" t="s">
        <v>3576</v>
      </c>
      <c r="C3549" s="3" t="s">
        <v>189</v>
      </c>
      <c r="D3549" s="3">
        <v>185.0</v>
      </c>
      <c r="E3549" s="3">
        <v>7.92</v>
      </c>
      <c r="F3549" s="3">
        <v>26.41</v>
      </c>
      <c r="G3549" s="3">
        <v>0.1</v>
      </c>
    </row>
    <row r="3550">
      <c r="A3550" s="3">
        <v>171060.0</v>
      </c>
      <c r="B3550" s="3" t="s">
        <v>3577</v>
      </c>
      <c r="C3550" s="3" t="s">
        <v>189</v>
      </c>
      <c r="D3550" s="3">
        <v>119.0</v>
      </c>
      <c r="E3550" s="3">
        <v>4.83</v>
      </c>
      <c r="F3550" s="3">
        <v>16.92</v>
      </c>
      <c r="G3550" s="3">
        <v>0.73</v>
      </c>
    </row>
    <row r="3551">
      <c r="A3551" s="3">
        <v>171061.0</v>
      </c>
      <c r="B3551" s="3" t="s">
        <v>3578</v>
      </c>
      <c r="C3551" s="3" t="s">
        <v>189</v>
      </c>
      <c r="D3551" s="3">
        <v>167.0</v>
      </c>
      <c r="E3551" s="3">
        <v>6.51</v>
      </c>
      <c r="F3551" s="3">
        <v>24.46</v>
      </c>
      <c r="G3551" s="3">
        <v>0.87</v>
      </c>
    </row>
    <row r="3552">
      <c r="A3552" s="3">
        <v>171062.0</v>
      </c>
      <c r="B3552" s="3" t="s">
        <v>3579</v>
      </c>
      <c r="C3552" s="3" t="s">
        <v>189</v>
      </c>
      <c r="D3552" s="3">
        <v>186.0</v>
      </c>
      <c r="E3552" s="3">
        <v>11.07</v>
      </c>
      <c r="F3552" s="3">
        <v>20.27</v>
      </c>
      <c r="G3552" s="3">
        <v>0.0</v>
      </c>
    </row>
    <row r="3553">
      <c r="A3553" s="3">
        <v>171063.0</v>
      </c>
      <c r="B3553" s="3" t="s">
        <v>3580</v>
      </c>
      <c r="C3553" s="3" t="s">
        <v>189</v>
      </c>
      <c r="D3553" s="3">
        <v>298.0</v>
      </c>
      <c r="E3553" s="3">
        <v>18.64</v>
      </c>
      <c r="F3553" s="3">
        <v>21.85</v>
      </c>
      <c r="G3553" s="3">
        <v>9.38</v>
      </c>
    </row>
    <row r="3554">
      <c r="A3554" s="3">
        <v>171064.0</v>
      </c>
      <c r="B3554" s="3" t="s">
        <v>3581</v>
      </c>
      <c r="C3554" s="3" t="s">
        <v>189</v>
      </c>
      <c r="D3554" s="3">
        <v>285.0</v>
      </c>
      <c r="E3554" s="3">
        <v>16.91</v>
      </c>
      <c r="F3554" s="3">
        <v>27.22</v>
      </c>
      <c r="G3554" s="3">
        <v>4.08</v>
      </c>
    </row>
    <row r="3555">
      <c r="A3555" s="3">
        <v>171065.0</v>
      </c>
      <c r="B3555" s="3" t="s">
        <v>3582</v>
      </c>
      <c r="C3555" s="3" t="s">
        <v>189</v>
      </c>
      <c r="D3555" s="3">
        <v>253.0</v>
      </c>
      <c r="E3555" s="3">
        <v>15.78</v>
      </c>
      <c r="F3555" s="3">
        <v>25.97</v>
      </c>
      <c r="G3555" s="3">
        <v>0.0</v>
      </c>
    </row>
    <row r="3556">
      <c r="A3556" s="3">
        <v>171066.0</v>
      </c>
      <c r="B3556" s="3" t="s">
        <v>3583</v>
      </c>
      <c r="C3556" s="3" t="s">
        <v>189</v>
      </c>
      <c r="D3556" s="3">
        <v>233.0</v>
      </c>
      <c r="E3556" s="3">
        <v>14.66</v>
      </c>
      <c r="F3556" s="3">
        <v>23.5</v>
      </c>
      <c r="G3556" s="3">
        <v>0.0</v>
      </c>
    </row>
    <row r="3557">
      <c r="A3557" s="3">
        <v>171067.0</v>
      </c>
      <c r="B3557" s="3" t="s">
        <v>3584</v>
      </c>
      <c r="C3557" s="3" t="s">
        <v>189</v>
      </c>
      <c r="D3557" s="3">
        <v>125.0</v>
      </c>
      <c r="E3557" s="3">
        <v>4.31</v>
      </c>
      <c r="F3557" s="3">
        <v>20.08</v>
      </c>
      <c r="G3557" s="3">
        <v>0.0</v>
      </c>
    </row>
    <row r="3558">
      <c r="A3558" s="3">
        <v>171068.0</v>
      </c>
      <c r="B3558" s="3" t="s">
        <v>3585</v>
      </c>
      <c r="C3558" s="3" t="s">
        <v>189</v>
      </c>
      <c r="D3558" s="3">
        <v>239.0</v>
      </c>
      <c r="E3558" s="3">
        <v>11.62</v>
      </c>
      <c r="F3558" s="3">
        <v>28.99</v>
      </c>
      <c r="G3558" s="3">
        <v>2.59</v>
      </c>
    </row>
    <row r="3559">
      <c r="A3559" s="3">
        <v>171069.0</v>
      </c>
      <c r="B3559" s="3" t="s">
        <v>3586</v>
      </c>
      <c r="C3559" s="3" t="s">
        <v>189</v>
      </c>
      <c r="D3559" s="3">
        <v>205.0</v>
      </c>
      <c r="E3559" s="3">
        <v>9.73</v>
      </c>
      <c r="F3559" s="3">
        <v>27.37</v>
      </c>
      <c r="G3559" s="3">
        <v>0.0</v>
      </c>
    </row>
    <row r="3560">
      <c r="A3560" s="3">
        <v>171070.0</v>
      </c>
      <c r="B3560" s="3" t="s">
        <v>3587</v>
      </c>
      <c r="C3560" s="3" t="s">
        <v>189</v>
      </c>
      <c r="D3560" s="3">
        <v>192.0</v>
      </c>
      <c r="E3560" s="3">
        <v>8.98</v>
      </c>
      <c r="F3560" s="3">
        <v>25.97</v>
      </c>
      <c r="G3560" s="3">
        <v>0.0</v>
      </c>
    </row>
    <row r="3561">
      <c r="A3561" s="3">
        <v>171071.0</v>
      </c>
      <c r="B3561" s="3" t="s">
        <v>3588</v>
      </c>
      <c r="C3561" s="3" t="s">
        <v>189</v>
      </c>
      <c r="D3561" s="3">
        <v>300.0</v>
      </c>
      <c r="E3561" s="3">
        <v>20.97</v>
      </c>
      <c r="F3561" s="3">
        <v>25.95</v>
      </c>
      <c r="G3561" s="3">
        <v>0.0</v>
      </c>
    </row>
    <row r="3562">
      <c r="A3562" s="3">
        <v>171072.0</v>
      </c>
      <c r="B3562" s="3" t="s">
        <v>3589</v>
      </c>
      <c r="C3562" s="3" t="s">
        <v>189</v>
      </c>
      <c r="D3562" s="3">
        <v>258.0</v>
      </c>
      <c r="E3562" s="3">
        <v>18.14</v>
      </c>
      <c r="F3562" s="3">
        <v>22.18</v>
      </c>
      <c r="G3562" s="3">
        <v>0.0</v>
      </c>
    </row>
    <row r="3563">
      <c r="A3563" s="3">
        <v>171073.0</v>
      </c>
      <c r="B3563" s="3" t="s">
        <v>3590</v>
      </c>
      <c r="C3563" s="3" t="s">
        <v>189</v>
      </c>
      <c r="D3563" s="3">
        <v>137.0</v>
      </c>
      <c r="E3563" s="3">
        <v>5.92</v>
      </c>
      <c r="F3563" s="3">
        <v>19.56</v>
      </c>
      <c r="G3563" s="3">
        <v>0.0</v>
      </c>
    </row>
    <row r="3564">
      <c r="A3564" s="3">
        <v>171074.0</v>
      </c>
      <c r="B3564" s="3" t="s">
        <v>3591</v>
      </c>
      <c r="C3564" s="3" t="s">
        <v>189</v>
      </c>
      <c r="D3564" s="3">
        <v>288.0</v>
      </c>
      <c r="E3564" s="3">
        <v>15.32</v>
      </c>
      <c r="F3564" s="3">
        <v>29.99</v>
      </c>
      <c r="G3564" s="3">
        <v>5.68</v>
      </c>
    </row>
    <row r="3565">
      <c r="A3565" s="3">
        <v>171075.0</v>
      </c>
      <c r="B3565" s="3" t="s">
        <v>3592</v>
      </c>
      <c r="C3565" s="3" t="s">
        <v>189</v>
      </c>
      <c r="D3565" s="3">
        <v>197.0</v>
      </c>
      <c r="E3565" s="3">
        <v>7.78</v>
      </c>
      <c r="F3565" s="3">
        <v>29.8</v>
      </c>
      <c r="G3565" s="3">
        <v>0.0</v>
      </c>
    </row>
    <row r="3566">
      <c r="A3566" s="3">
        <v>171076.0</v>
      </c>
      <c r="B3566" s="3" t="s">
        <v>3593</v>
      </c>
      <c r="C3566" s="3" t="s">
        <v>189</v>
      </c>
      <c r="D3566" s="3">
        <v>184.0</v>
      </c>
      <c r="E3566" s="3">
        <v>7.42</v>
      </c>
      <c r="F3566" s="3">
        <v>27.39</v>
      </c>
      <c r="G3566" s="3">
        <v>0.0</v>
      </c>
    </row>
    <row r="3567">
      <c r="A3567" s="3">
        <v>171077.0</v>
      </c>
      <c r="B3567" s="3" t="s">
        <v>3594</v>
      </c>
      <c r="C3567" s="3" t="s">
        <v>189</v>
      </c>
      <c r="D3567" s="3">
        <v>120.0</v>
      </c>
      <c r="E3567" s="3">
        <v>2.62</v>
      </c>
      <c r="F3567" s="3">
        <v>22.5</v>
      </c>
      <c r="G3567" s="3">
        <v>0.0</v>
      </c>
    </row>
    <row r="3568">
      <c r="A3568" s="3">
        <v>171078.0</v>
      </c>
      <c r="B3568" s="3" t="s">
        <v>3595</v>
      </c>
      <c r="C3568" s="3" t="s">
        <v>189</v>
      </c>
      <c r="D3568" s="3">
        <v>187.0</v>
      </c>
      <c r="E3568" s="3">
        <v>4.71</v>
      </c>
      <c r="F3568" s="3">
        <v>33.44</v>
      </c>
      <c r="G3568" s="3">
        <v>0.51</v>
      </c>
    </row>
    <row r="3569">
      <c r="A3569" s="3">
        <v>171079.0</v>
      </c>
      <c r="B3569" s="3" t="s">
        <v>3596</v>
      </c>
      <c r="C3569" s="3" t="s">
        <v>189</v>
      </c>
      <c r="D3569" s="3">
        <v>142.0</v>
      </c>
      <c r="E3569" s="3">
        <v>7.5</v>
      </c>
      <c r="F3569" s="3">
        <v>17.5</v>
      </c>
      <c r="G3569" s="3">
        <v>0.0</v>
      </c>
    </row>
    <row r="3570">
      <c r="A3570" s="3">
        <v>171080.0</v>
      </c>
      <c r="B3570" s="3" t="s">
        <v>3597</v>
      </c>
      <c r="C3570" s="3" t="s">
        <v>189</v>
      </c>
      <c r="D3570" s="3">
        <v>134.0</v>
      </c>
      <c r="E3570" s="3">
        <v>4.52</v>
      </c>
      <c r="F3570" s="3">
        <v>21.76</v>
      </c>
      <c r="G3570" s="3">
        <v>0.0</v>
      </c>
    </row>
    <row r="3571">
      <c r="A3571" s="3">
        <v>171081.0</v>
      </c>
      <c r="B3571" s="3" t="s">
        <v>3598</v>
      </c>
      <c r="C3571" s="3" t="s">
        <v>189</v>
      </c>
      <c r="D3571" s="3">
        <v>144.0</v>
      </c>
      <c r="E3571" s="3">
        <v>5.64</v>
      </c>
      <c r="F3571" s="3">
        <v>21.64</v>
      </c>
      <c r="G3571" s="3">
        <v>0.14</v>
      </c>
    </row>
    <row r="3572">
      <c r="A3572" s="3">
        <v>171082.0</v>
      </c>
      <c r="B3572" s="3" t="s">
        <v>3599</v>
      </c>
      <c r="C3572" s="3" t="s">
        <v>189</v>
      </c>
      <c r="D3572" s="3">
        <v>459.0</v>
      </c>
      <c r="E3572" s="3">
        <v>39.31</v>
      </c>
      <c r="F3572" s="3">
        <v>23.94</v>
      </c>
      <c r="G3572" s="3">
        <v>0.57</v>
      </c>
    </row>
    <row r="3573">
      <c r="A3573" s="3">
        <v>171083.0</v>
      </c>
      <c r="B3573" s="3" t="s">
        <v>3600</v>
      </c>
      <c r="C3573" s="3" t="s">
        <v>189</v>
      </c>
      <c r="D3573" s="3">
        <v>124.0</v>
      </c>
      <c r="E3573" s="3">
        <v>5.09</v>
      </c>
      <c r="F3573" s="3">
        <v>18.18</v>
      </c>
      <c r="G3573" s="3">
        <v>0.07</v>
      </c>
    </row>
    <row r="3574">
      <c r="A3574" s="3">
        <v>171084.0</v>
      </c>
      <c r="B3574" s="3" t="s">
        <v>3601</v>
      </c>
      <c r="C3574" s="3" t="s">
        <v>189</v>
      </c>
      <c r="D3574" s="3">
        <v>173.0</v>
      </c>
      <c r="E3574" s="3">
        <v>6.61</v>
      </c>
      <c r="F3574" s="3">
        <v>26.44</v>
      </c>
      <c r="G3574" s="3">
        <v>0.0</v>
      </c>
    </row>
    <row r="3575">
      <c r="A3575" s="3">
        <v>171085.0</v>
      </c>
      <c r="B3575" s="3" t="s">
        <v>3602</v>
      </c>
      <c r="C3575" s="3" t="s">
        <v>189</v>
      </c>
      <c r="D3575" s="3">
        <v>111.0</v>
      </c>
      <c r="E3575" s="3">
        <v>3.37</v>
      </c>
      <c r="F3575" s="3">
        <v>18.8</v>
      </c>
      <c r="G3575" s="3">
        <v>0.0</v>
      </c>
    </row>
    <row r="3576">
      <c r="A3576" s="3">
        <v>171086.0</v>
      </c>
      <c r="B3576" s="3" t="s">
        <v>3603</v>
      </c>
      <c r="C3576" s="3" t="s">
        <v>189</v>
      </c>
      <c r="D3576" s="3">
        <v>125.0</v>
      </c>
      <c r="E3576" s="3">
        <v>6.04</v>
      </c>
      <c r="F3576" s="3">
        <v>16.51</v>
      </c>
      <c r="G3576" s="3">
        <v>0.0</v>
      </c>
    </row>
    <row r="3577">
      <c r="A3577" s="3">
        <v>171087.0</v>
      </c>
      <c r="B3577" s="3" t="s">
        <v>3604</v>
      </c>
      <c r="C3577" s="3" t="s">
        <v>189</v>
      </c>
      <c r="D3577" s="3">
        <v>162.0</v>
      </c>
      <c r="E3577" s="3">
        <v>7.36</v>
      </c>
      <c r="F3577" s="3">
        <v>22.48</v>
      </c>
      <c r="G3577" s="3">
        <v>0.0</v>
      </c>
    </row>
    <row r="3578">
      <c r="A3578" s="3">
        <v>171088.0</v>
      </c>
      <c r="B3578" s="3" t="s">
        <v>3605</v>
      </c>
      <c r="C3578" s="3" t="s">
        <v>189</v>
      </c>
      <c r="D3578" s="3">
        <v>161.0</v>
      </c>
      <c r="E3578" s="3">
        <v>7.43</v>
      </c>
      <c r="F3578" s="3">
        <v>21.96</v>
      </c>
      <c r="G3578" s="3">
        <v>0.15</v>
      </c>
    </row>
    <row r="3579">
      <c r="A3579" s="3">
        <v>171089.0</v>
      </c>
      <c r="B3579" s="3" t="s">
        <v>3606</v>
      </c>
      <c r="C3579" s="3" t="s">
        <v>189</v>
      </c>
      <c r="D3579" s="3">
        <v>177.0</v>
      </c>
      <c r="E3579" s="3">
        <v>5.57</v>
      </c>
      <c r="F3579" s="3">
        <v>29.55</v>
      </c>
      <c r="G3579" s="3">
        <v>0.05</v>
      </c>
    </row>
    <row r="3580">
      <c r="A3580" s="3">
        <v>171090.0</v>
      </c>
      <c r="B3580" s="3" t="s">
        <v>3607</v>
      </c>
      <c r="C3580" s="3" t="s">
        <v>189</v>
      </c>
      <c r="D3580" s="3">
        <v>108.0</v>
      </c>
      <c r="E3580" s="3">
        <v>2.5</v>
      </c>
      <c r="F3580" s="3">
        <v>21.28</v>
      </c>
      <c r="G3580" s="3">
        <v>0.15</v>
      </c>
    </row>
    <row r="3581">
      <c r="A3581" s="3">
        <v>171091.0</v>
      </c>
      <c r="B3581" s="3" t="s">
        <v>3608</v>
      </c>
      <c r="C3581" s="3" t="s">
        <v>189</v>
      </c>
      <c r="D3581" s="3">
        <v>173.0</v>
      </c>
      <c r="E3581" s="3">
        <v>6.04</v>
      </c>
      <c r="F3581" s="3">
        <v>27.71</v>
      </c>
      <c r="G3581" s="3">
        <v>0.0</v>
      </c>
    </row>
    <row r="3582">
      <c r="A3582" s="3">
        <v>171092.0</v>
      </c>
      <c r="B3582" s="3" t="s">
        <v>3609</v>
      </c>
      <c r="C3582" s="3" t="s">
        <v>189</v>
      </c>
      <c r="D3582" s="3">
        <v>244.0</v>
      </c>
      <c r="E3582" s="3">
        <v>14.38</v>
      </c>
      <c r="F3582" s="3">
        <v>26.59</v>
      </c>
      <c r="G3582" s="3">
        <v>0.16</v>
      </c>
    </row>
    <row r="3583">
      <c r="A3583" s="3">
        <v>171093.0</v>
      </c>
      <c r="B3583" s="3" t="s">
        <v>3610</v>
      </c>
      <c r="C3583" s="3" t="s">
        <v>189</v>
      </c>
      <c r="D3583" s="3">
        <v>157.0</v>
      </c>
      <c r="E3583" s="3">
        <v>7.02</v>
      </c>
      <c r="F3583" s="3">
        <v>21.89</v>
      </c>
      <c r="G3583" s="3">
        <v>0.0</v>
      </c>
    </row>
    <row r="3584">
      <c r="A3584" s="3">
        <v>171094.0</v>
      </c>
      <c r="B3584" s="3" t="s">
        <v>3611</v>
      </c>
      <c r="C3584" s="3" t="s">
        <v>189</v>
      </c>
      <c r="D3584" s="3">
        <v>229.0</v>
      </c>
      <c r="E3584" s="3">
        <v>12.43</v>
      </c>
      <c r="F3584" s="3">
        <v>27.38</v>
      </c>
      <c r="G3584" s="3">
        <v>0.0</v>
      </c>
    </row>
    <row r="3585">
      <c r="A3585" s="3">
        <v>171095.0</v>
      </c>
      <c r="B3585" s="3" t="s">
        <v>3612</v>
      </c>
      <c r="C3585" s="3" t="s">
        <v>189</v>
      </c>
      <c r="D3585" s="3">
        <v>172.0</v>
      </c>
      <c r="E3585" s="3">
        <v>5.72</v>
      </c>
      <c r="F3585" s="3">
        <v>28.26</v>
      </c>
      <c r="G3585" s="3">
        <v>0.0</v>
      </c>
    </row>
    <row r="3586">
      <c r="A3586" s="3">
        <v>171096.0</v>
      </c>
      <c r="B3586" s="3" t="s">
        <v>3613</v>
      </c>
      <c r="C3586" s="3" t="s">
        <v>189</v>
      </c>
      <c r="D3586" s="3">
        <v>113.0</v>
      </c>
      <c r="E3586" s="3">
        <v>2.5</v>
      </c>
      <c r="F3586" s="3">
        <v>21.28</v>
      </c>
      <c r="G3586" s="3">
        <v>0.15</v>
      </c>
    </row>
    <row r="3587">
      <c r="A3587" s="3">
        <v>171097.0</v>
      </c>
      <c r="B3587" s="3" t="s">
        <v>3614</v>
      </c>
      <c r="C3587" s="3" t="s">
        <v>189</v>
      </c>
      <c r="D3587" s="3">
        <v>173.0</v>
      </c>
      <c r="E3587" s="3">
        <v>6.04</v>
      </c>
      <c r="F3587" s="3">
        <v>27.71</v>
      </c>
      <c r="G3587" s="3">
        <v>0.0</v>
      </c>
    </row>
    <row r="3588">
      <c r="A3588" s="3">
        <v>171098.0</v>
      </c>
      <c r="B3588" s="3" t="s">
        <v>3615</v>
      </c>
      <c r="C3588" s="3" t="s">
        <v>189</v>
      </c>
      <c r="D3588" s="3">
        <v>114.0</v>
      </c>
      <c r="E3588" s="3">
        <v>1.48</v>
      </c>
      <c r="F3588" s="3">
        <v>23.66</v>
      </c>
      <c r="G3588" s="3">
        <v>0.14</v>
      </c>
    </row>
    <row r="3589">
      <c r="A3589" s="3">
        <v>171099.0</v>
      </c>
      <c r="B3589" s="3" t="s">
        <v>3616</v>
      </c>
      <c r="C3589" s="3" t="s">
        <v>189</v>
      </c>
      <c r="D3589" s="3">
        <v>165.0</v>
      </c>
      <c r="E3589" s="3">
        <v>7.95</v>
      </c>
      <c r="F3589" s="3">
        <v>21.77</v>
      </c>
      <c r="G3589" s="3">
        <v>0.0</v>
      </c>
    </row>
    <row r="3590">
      <c r="A3590" s="3">
        <v>171100.0</v>
      </c>
      <c r="B3590" s="3" t="s">
        <v>3617</v>
      </c>
      <c r="C3590" s="3" t="s">
        <v>189</v>
      </c>
      <c r="D3590" s="3">
        <v>462.0</v>
      </c>
      <c r="E3590" s="3">
        <v>43.84</v>
      </c>
      <c r="F3590" s="3">
        <v>11.4</v>
      </c>
      <c r="G3590" s="3">
        <v>4.67</v>
      </c>
    </row>
    <row r="3591">
      <c r="A3591" s="3">
        <v>171101.0</v>
      </c>
      <c r="B3591" s="3" t="s">
        <v>3618</v>
      </c>
      <c r="C3591" s="3" t="s">
        <v>189</v>
      </c>
      <c r="D3591" s="3">
        <v>169.0</v>
      </c>
      <c r="E3591" s="3">
        <v>6.86</v>
      </c>
      <c r="F3591" s="3">
        <v>23.68</v>
      </c>
      <c r="G3591" s="3">
        <v>1.47</v>
      </c>
    </row>
    <row r="3592">
      <c r="A3592" s="3">
        <v>171102.0</v>
      </c>
      <c r="B3592" s="3" t="s">
        <v>3619</v>
      </c>
      <c r="C3592" s="3" t="s">
        <v>189</v>
      </c>
      <c r="D3592" s="3">
        <v>138.0</v>
      </c>
      <c r="E3592" s="3">
        <v>6.0</v>
      </c>
      <c r="F3592" s="3">
        <v>18.7</v>
      </c>
      <c r="G3592" s="3">
        <v>1.0</v>
      </c>
    </row>
    <row r="3593">
      <c r="A3593" s="3">
        <v>171103.0</v>
      </c>
      <c r="B3593" s="3" t="s">
        <v>3620</v>
      </c>
      <c r="C3593" s="3" t="s">
        <v>189</v>
      </c>
      <c r="D3593" s="3">
        <v>279.0</v>
      </c>
      <c r="E3593" s="3">
        <v>16.9</v>
      </c>
      <c r="F3593" s="3">
        <v>14.2</v>
      </c>
      <c r="G3593" s="3">
        <v>17.0</v>
      </c>
    </row>
    <row r="3594">
      <c r="A3594" s="3">
        <v>171104.0</v>
      </c>
      <c r="B3594" s="3" t="s">
        <v>3621</v>
      </c>
      <c r="C3594" s="3" t="s">
        <v>189</v>
      </c>
      <c r="D3594" s="3">
        <v>272.0</v>
      </c>
      <c r="E3594" s="3">
        <v>24.73</v>
      </c>
      <c r="F3594" s="3">
        <v>11.39</v>
      </c>
      <c r="G3594" s="3">
        <v>0.0</v>
      </c>
    </row>
    <row r="3595">
      <c r="A3595" s="3">
        <v>171105.0</v>
      </c>
      <c r="B3595" s="3" t="s">
        <v>3622</v>
      </c>
      <c r="C3595" s="3" t="s">
        <v>189</v>
      </c>
      <c r="D3595" s="3">
        <v>199.0</v>
      </c>
      <c r="E3595" s="3">
        <v>15.48</v>
      </c>
      <c r="F3595" s="3">
        <v>13.79</v>
      </c>
      <c r="G3595" s="3">
        <v>0.0</v>
      </c>
    </row>
    <row r="3596">
      <c r="A3596" s="3">
        <v>171106.0</v>
      </c>
      <c r="B3596" s="3" t="s">
        <v>3623</v>
      </c>
      <c r="C3596" s="3" t="s">
        <v>189</v>
      </c>
      <c r="D3596" s="3">
        <v>243.0</v>
      </c>
      <c r="E3596" s="3">
        <v>19.98</v>
      </c>
      <c r="F3596" s="3">
        <v>14.72</v>
      </c>
      <c r="G3596" s="3">
        <v>0.0</v>
      </c>
    </row>
    <row r="3597">
      <c r="A3597" s="3">
        <v>171107.0</v>
      </c>
      <c r="B3597" s="3" t="s">
        <v>3624</v>
      </c>
      <c r="C3597" s="3" t="s">
        <v>189</v>
      </c>
      <c r="D3597" s="3">
        <v>259.0</v>
      </c>
      <c r="E3597" s="3">
        <v>18.21</v>
      </c>
      <c r="F3597" s="3">
        <v>22.27</v>
      </c>
      <c r="G3597" s="3">
        <v>0.0</v>
      </c>
    </row>
    <row r="3598">
      <c r="A3598" s="3">
        <v>171108.0</v>
      </c>
      <c r="B3598" s="3" t="s">
        <v>3625</v>
      </c>
      <c r="C3598" s="3" t="s">
        <v>189</v>
      </c>
      <c r="D3598" s="3">
        <v>116.0</v>
      </c>
      <c r="E3598" s="3">
        <v>3.33</v>
      </c>
      <c r="F3598" s="3">
        <v>20.04</v>
      </c>
      <c r="G3598" s="3">
        <v>0.0</v>
      </c>
    </row>
    <row r="3599">
      <c r="A3599" s="3">
        <v>171109.0</v>
      </c>
      <c r="B3599" s="3" t="s">
        <v>3626</v>
      </c>
      <c r="C3599" s="3" t="s">
        <v>189</v>
      </c>
      <c r="D3599" s="3">
        <v>134.0</v>
      </c>
      <c r="E3599" s="3">
        <v>3.87</v>
      </c>
      <c r="F3599" s="3">
        <v>23.3</v>
      </c>
      <c r="G3599" s="3">
        <v>0.0</v>
      </c>
    </row>
    <row r="3600">
      <c r="A3600" s="3">
        <v>171110.0</v>
      </c>
      <c r="B3600" s="3" t="s">
        <v>3627</v>
      </c>
      <c r="C3600" s="3" t="s">
        <v>189</v>
      </c>
      <c r="D3600" s="3">
        <v>185.0</v>
      </c>
      <c r="E3600" s="3">
        <v>8.1</v>
      </c>
      <c r="F3600" s="3">
        <v>25.3</v>
      </c>
      <c r="G3600" s="3">
        <v>0.9</v>
      </c>
    </row>
    <row r="3601">
      <c r="A3601" s="3">
        <v>171111.0</v>
      </c>
      <c r="B3601" s="3" t="s">
        <v>3628</v>
      </c>
      <c r="C3601" s="3" t="s">
        <v>189</v>
      </c>
      <c r="D3601" s="3">
        <v>211.0</v>
      </c>
      <c r="E3601" s="3">
        <v>12.67</v>
      </c>
      <c r="F3601" s="3">
        <v>19.67</v>
      </c>
      <c r="G3601" s="3">
        <v>3.34</v>
      </c>
    </row>
    <row r="3602">
      <c r="A3602" s="3">
        <v>171112.0</v>
      </c>
      <c r="B3602" s="3" t="s">
        <v>3629</v>
      </c>
      <c r="C3602" s="3" t="s">
        <v>189</v>
      </c>
      <c r="D3602" s="3">
        <v>217.0</v>
      </c>
      <c r="E3602" s="3">
        <v>11.4</v>
      </c>
      <c r="F3602" s="3">
        <v>26.75</v>
      </c>
      <c r="G3602" s="3">
        <v>0.0</v>
      </c>
    </row>
    <row r="3603">
      <c r="A3603" s="3">
        <v>171113.0</v>
      </c>
      <c r="B3603" s="3" t="s">
        <v>3630</v>
      </c>
      <c r="C3603" s="3" t="s">
        <v>189</v>
      </c>
      <c r="D3603" s="3">
        <v>178.0</v>
      </c>
      <c r="E3603" s="3">
        <v>5.96</v>
      </c>
      <c r="F3603" s="3">
        <v>29.1</v>
      </c>
      <c r="G3603" s="3">
        <v>0.0</v>
      </c>
    </row>
    <row r="3604">
      <c r="A3604" s="3">
        <v>171114.0</v>
      </c>
      <c r="B3604" s="3" t="s">
        <v>3631</v>
      </c>
      <c r="C3604" s="3" t="s">
        <v>189</v>
      </c>
      <c r="D3604" s="3">
        <v>172.0</v>
      </c>
      <c r="E3604" s="3">
        <v>6.76</v>
      </c>
      <c r="F3604" s="3">
        <v>27.71</v>
      </c>
      <c r="G3604" s="3">
        <v>0.0</v>
      </c>
    </row>
    <row r="3605">
      <c r="A3605" s="3">
        <v>171115.0</v>
      </c>
      <c r="B3605" s="3" t="s">
        <v>3632</v>
      </c>
      <c r="C3605" s="3" t="s">
        <v>189</v>
      </c>
      <c r="D3605" s="3">
        <v>242.0</v>
      </c>
      <c r="E3605" s="3">
        <v>14.87</v>
      </c>
      <c r="F3605" s="3">
        <v>22.24</v>
      </c>
      <c r="G3605" s="3">
        <v>3.36</v>
      </c>
    </row>
    <row r="3606">
      <c r="A3606" s="3">
        <v>171116.0</v>
      </c>
      <c r="B3606" s="3" t="s">
        <v>3633</v>
      </c>
      <c r="C3606" s="3" t="s">
        <v>189</v>
      </c>
      <c r="D3606" s="3">
        <v>143.0</v>
      </c>
      <c r="E3606" s="3">
        <v>8.1</v>
      </c>
      <c r="F3606" s="3">
        <v>17.44</v>
      </c>
      <c r="G3606" s="3">
        <v>0.04</v>
      </c>
    </row>
    <row r="3607">
      <c r="A3607" s="3">
        <v>171117.0</v>
      </c>
      <c r="B3607" s="3" t="s">
        <v>3634</v>
      </c>
      <c r="C3607" s="3" t="s">
        <v>189</v>
      </c>
      <c r="D3607" s="3">
        <v>189.0</v>
      </c>
      <c r="E3607" s="3">
        <v>10.92</v>
      </c>
      <c r="F3607" s="3">
        <v>23.28</v>
      </c>
      <c r="G3607" s="3">
        <v>0.0</v>
      </c>
    </row>
    <row r="3608">
      <c r="A3608" s="3">
        <v>171118.0</v>
      </c>
      <c r="B3608" s="3" t="s">
        <v>3635</v>
      </c>
      <c r="C3608" s="3" t="s">
        <v>189</v>
      </c>
      <c r="D3608" s="3">
        <v>193.0</v>
      </c>
      <c r="E3608" s="3">
        <v>10.74</v>
      </c>
      <c r="F3608" s="3">
        <v>24.09</v>
      </c>
      <c r="G3608" s="3">
        <v>0.0</v>
      </c>
    </row>
    <row r="3609">
      <c r="A3609" s="3">
        <v>171119.0</v>
      </c>
      <c r="B3609" s="3" t="s">
        <v>3636</v>
      </c>
      <c r="C3609" s="3" t="s">
        <v>189</v>
      </c>
      <c r="D3609" s="3">
        <v>215.0</v>
      </c>
      <c r="E3609" s="3">
        <v>14.6</v>
      </c>
      <c r="F3609" s="3">
        <v>19.4</v>
      </c>
      <c r="G3609" s="3">
        <v>0.2</v>
      </c>
    </row>
    <row r="3610">
      <c r="A3610" s="3">
        <v>171120.0</v>
      </c>
      <c r="B3610" s="3" t="s">
        <v>3637</v>
      </c>
      <c r="C3610" s="3" t="s">
        <v>189</v>
      </c>
      <c r="D3610" s="3">
        <v>196.0</v>
      </c>
      <c r="E3610" s="3">
        <v>11.09</v>
      </c>
      <c r="F3610" s="3">
        <v>24.06</v>
      </c>
      <c r="G3610" s="3">
        <v>0.0</v>
      </c>
    </row>
    <row r="3611">
      <c r="A3611" s="3">
        <v>171121.0</v>
      </c>
      <c r="B3611" s="3" t="s">
        <v>3638</v>
      </c>
      <c r="C3611" s="3" t="s">
        <v>189</v>
      </c>
      <c r="D3611" s="3">
        <v>197.0</v>
      </c>
      <c r="E3611" s="3">
        <v>9.53</v>
      </c>
      <c r="F3611" s="3">
        <v>27.69</v>
      </c>
      <c r="G3611" s="3">
        <v>0.0</v>
      </c>
    </row>
    <row r="3612">
      <c r="A3612" s="3">
        <v>171122.0</v>
      </c>
      <c r="B3612" s="3" t="s">
        <v>3639</v>
      </c>
      <c r="C3612" s="3" t="s">
        <v>189</v>
      </c>
      <c r="D3612" s="3">
        <v>260.0</v>
      </c>
      <c r="E3612" s="3">
        <v>18.59</v>
      </c>
      <c r="F3612" s="3">
        <v>23.23</v>
      </c>
      <c r="G3612" s="3">
        <v>0.03</v>
      </c>
    </row>
    <row r="3613">
      <c r="A3613" s="3">
        <v>171123.0</v>
      </c>
      <c r="B3613" s="3" t="s">
        <v>3640</v>
      </c>
      <c r="C3613" s="3" t="s">
        <v>189</v>
      </c>
      <c r="D3613" s="3">
        <v>184.0</v>
      </c>
      <c r="E3613" s="3">
        <v>8.18</v>
      </c>
      <c r="F3613" s="3">
        <v>27.48</v>
      </c>
      <c r="G3613" s="3">
        <v>0.02</v>
      </c>
    </row>
    <row r="3614">
      <c r="A3614" s="3">
        <v>171124.0</v>
      </c>
      <c r="B3614" s="3" t="s">
        <v>3641</v>
      </c>
      <c r="C3614" s="3" t="s">
        <v>189</v>
      </c>
      <c r="D3614" s="3">
        <v>251.0</v>
      </c>
      <c r="E3614" s="3">
        <v>18.86</v>
      </c>
      <c r="F3614" s="3">
        <v>20.29</v>
      </c>
      <c r="G3614" s="3">
        <v>0.4</v>
      </c>
    </row>
    <row r="3615">
      <c r="A3615" s="3">
        <v>171125.0</v>
      </c>
      <c r="B3615" s="3" t="s">
        <v>3642</v>
      </c>
      <c r="C3615" s="3" t="s">
        <v>189</v>
      </c>
      <c r="D3615" s="3">
        <v>175.0</v>
      </c>
      <c r="E3615" s="3">
        <v>7.67</v>
      </c>
      <c r="F3615" s="3">
        <v>26.37</v>
      </c>
      <c r="G3615" s="3">
        <v>0.09</v>
      </c>
    </row>
    <row r="3616">
      <c r="A3616" s="3">
        <v>171126.0</v>
      </c>
      <c r="B3616" s="3" t="s">
        <v>3643</v>
      </c>
      <c r="C3616" s="3" t="s">
        <v>189</v>
      </c>
      <c r="D3616" s="3">
        <v>206.0</v>
      </c>
      <c r="E3616" s="3">
        <v>11.46</v>
      </c>
      <c r="F3616" s="3">
        <v>25.65</v>
      </c>
      <c r="G3616" s="3">
        <v>0.12</v>
      </c>
    </row>
    <row r="3617">
      <c r="A3617" s="3">
        <v>171127.0</v>
      </c>
      <c r="B3617" s="3" t="s">
        <v>3644</v>
      </c>
      <c r="C3617" s="3" t="s">
        <v>189</v>
      </c>
      <c r="D3617" s="3">
        <v>226.0</v>
      </c>
      <c r="E3617" s="3">
        <v>15.08</v>
      </c>
      <c r="F3617" s="3">
        <v>22.51</v>
      </c>
      <c r="G3617" s="3">
        <v>0.12</v>
      </c>
    </row>
    <row r="3618">
      <c r="A3618" s="3">
        <v>171128.0</v>
      </c>
      <c r="B3618" s="3" t="s">
        <v>3645</v>
      </c>
      <c r="C3618" s="3" t="s">
        <v>189</v>
      </c>
      <c r="D3618" s="3">
        <v>158.0</v>
      </c>
      <c r="E3618" s="3">
        <v>6.0</v>
      </c>
      <c r="F3618" s="3">
        <v>26.1</v>
      </c>
      <c r="G3618" s="3">
        <v>0.0</v>
      </c>
    </row>
    <row r="3619">
      <c r="A3619" s="3">
        <v>171129.0</v>
      </c>
      <c r="B3619" s="3" t="s">
        <v>3646</v>
      </c>
      <c r="C3619" s="3" t="s">
        <v>189</v>
      </c>
      <c r="D3619" s="3">
        <v>115.0</v>
      </c>
      <c r="E3619" s="3">
        <v>4.12</v>
      </c>
      <c r="F3619" s="3">
        <v>19.27</v>
      </c>
      <c r="G3619" s="3">
        <v>0.15</v>
      </c>
    </row>
    <row r="3620">
      <c r="A3620" s="3">
        <v>171130.0</v>
      </c>
      <c r="B3620" s="3" t="s">
        <v>3647</v>
      </c>
      <c r="C3620" s="3" t="s">
        <v>189</v>
      </c>
      <c r="D3620" s="3">
        <v>144.0</v>
      </c>
      <c r="E3620" s="3">
        <v>6.75</v>
      </c>
      <c r="F3620" s="3">
        <v>20.79</v>
      </c>
      <c r="G3620" s="3">
        <v>0.03</v>
      </c>
    </row>
    <row r="3621">
      <c r="A3621" s="3">
        <v>171131.0</v>
      </c>
      <c r="B3621" s="3" t="s">
        <v>3648</v>
      </c>
      <c r="C3621" s="3" t="s">
        <v>189</v>
      </c>
      <c r="D3621" s="3">
        <v>158.0</v>
      </c>
      <c r="E3621" s="3">
        <v>6.0</v>
      </c>
      <c r="F3621" s="3">
        <v>26.1</v>
      </c>
      <c r="G3621" s="3">
        <v>0.0</v>
      </c>
    </row>
    <row r="3622">
      <c r="A3622" s="3">
        <v>171132.0</v>
      </c>
      <c r="B3622" s="3" t="s">
        <v>3649</v>
      </c>
      <c r="C3622" s="3" t="s">
        <v>189</v>
      </c>
      <c r="D3622" s="3">
        <v>202.0</v>
      </c>
      <c r="E3622" s="3">
        <v>13.79</v>
      </c>
      <c r="F3622" s="3">
        <v>19.53</v>
      </c>
      <c r="G3622" s="3">
        <v>0.05</v>
      </c>
    </row>
    <row r="3623">
      <c r="A3623" s="3">
        <v>171133.0</v>
      </c>
      <c r="B3623" s="3" t="s">
        <v>3650</v>
      </c>
      <c r="C3623" s="3" t="s">
        <v>189</v>
      </c>
      <c r="D3623" s="3">
        <v>235.0</v>
      </c>
      <c r="E3623" s="3">
        <v>13.29</v>
      </c>
      <c r="F3623" s="3">
        <v>28.74</v>
      </c>
      <c r="G3623" s="3">
        <v>0.13</v>
      </c>
    </row>
    <row r="3624">
      <c r="A3624" s="3">
        <v>171134.0</v>
      </c>
      <c r="B3624" s="3" t="s">
        <v>3651</v>
      </c>
      <c r="C3624" s="3" t="s">
        <v>189</v>
      </c>
      <c r="D3624" s="3">
        <v>141.0</v>
      </c>
      <c r="E3624" s="3">
        <v>6.84</v>
      </c>
      <c r="F3624" s="3">
        <v>19.96</v>
      </c>
      <c r="G3624" s="3">
        <v>0.0</v>
      </c>
    </row>
    <row r="3625">
      <c r="A3625" s="3">
        <v>171135.0</v>
      </c>
      <c r="B3625" s="3" t="s">
        <v>3652</v>
      </c>
      <c r="C3625" s="3" t="s">
        <v>189</v>
      </c>
      <c r="D3625" s="3">
        <v>197.0</v>
      </c>
      <c r="E3625" s="3">
        <v>9.37</v>
      </c>
      <c r="F3625" s="3">
        <v>28.21</v>
      </c>
      <c r="G3625" s="3">
        <v>0.0</v>
      </c>
    </row>
    <row r="3626">
      <c r="A3626" s="3">
        <v>171136.0</v>
      </c>
      <c r="B3626" s="3" t="s">
        <v>3653</v>
      </c>
      <c r="C3626" s="3" t="s">
        <v>189</v>
      </c>
      <c r="D3626" s="3">
        <v>109.0</v>
      </c>
      <c r="E3626" s="3">
        <v>1.48</v>
      </c>
      <c r="F3626" s="3">
        <v>23.66</v>
      </c>
      <c r="G3626" s="3">
        <v>0.14</v>
      </c>
    </row>
    <row r="3627">
      <c r="A3627" s="3">
        <v>171137.0</v>
      </c>
      <c r="B3627" s="3" t="s">
        <v>3654</v>
      </c>
      <c r="C3627" s="3" t="s">
        <v>189</v>
      </c>
      <c r="D3627" s="3">
        <v>183.0</v>
      </c>
      <c r="E3627" s="3">
        <v>9.5</v>
      </c>
      <c r="F3627" s="3">
        <v>23.95</v>
      </c>
      <c r="G3627" s="3">
        <v>0.41</v>
      </c>
    </row>
    <row r="3628">
      <c r="A3628" s="3">
        <v>171138.0</v>
      </c>
      <c r="B3628" s="3" t="s">
        <v>3655</v>
      </c>
      <c r="C3628" s="3" t="s">
        <v>189</v>
      </c>
      <c r="D3628" s="3">
        <v>206.0</v>
      </c>
      <c r="E3628" s="3">
        <v>15.41</v>
      </c>
      <c r="F3628" s="3">
        <v>16.86</v>
      </c>
      <c r="G3628" s="3">
        <v>0.15</v>
      </c>
    </row>
    <row r="3629">
      <c r="A3629" s="3">
        <v>171139.0</v>
      </c>
      <c r="B3629" s="3" t="s">
        <v>3656</v>
      </c>
      <c r="C3629" s="3" t="s">
        <v>189</v>
      </c>
      <c r="D3629" s="3">
        <v>205.0</v>
      </c>
      <c r="E3629" s="3">
        <v>11.36</v>
      </c>
      <c r="F3629" s="3">
        <v>25.8</v>
      </c>
      <c r="G3629" s="3">
        <v>0.0</v>
      </c>
    </row>
    <row r="3630">
      <c r="A3630" s="3">
        <v>171140.0</v>
      </c>
      <c r="B3630" s="3" t="s">
        <v>3657</v>
      </c>
      <c r="C3630" s="3" t="s">
        <v>189</v>
      </c>
      <c r="D3630" s="3">
        <v>157.0</v>
      </c>
      <c r="E3630" s="3">
        <v>3.24</v>
      </c>
      <c r="F3630" s="3">
        <v>32.06</v>
      </c>
      <c r="G3630" s="3">
        <v>0.0</v>
      </c>
    </row>
    <row r="3631">
      <c r="A3631" s="3">
        <v>171141.0</v>
      </c>
      <c r="B3631" s="3" t="s">
        <v>3658</v>
      </c>
      <c r="C3631" s="3" t="s">
        <v>225</v>
      </c>
      <c r="D3631" s="3">
        <v>91.0</v>
      </c>
      <c r="E3631" s="3">
        <v>1.32</v>
      </c>
      <c r="F3631" s="3">
        <v>4.83</v>
      </c>
      <c r="G3631" s="3">
        <v>15.42</v>
      </c>
    </row>
    <row r="3632">
      <c r="A3632" s="3">
        <v>171142.0</v>
      </c>
      <c r="B3632" s="3" t="s">
        <v>3659</v>
      </c>
      <c r="C3632" s="3" t="s">
        <v>225</v>
      </c>
      <c r="D3632" s="3">
        <v>129.0</v>
      </c>
      <c r="E3632" s="3">
        <v>4.42</v>
      </c>
      <c r="F3632" s="3">
        <v>5.88</v>
      </c>
      <c r="G3632" s="3">
        <v>16.97</v>
      </c>
    </row>
    <row r="3633">
      <c r="A3633" s="3">
        <v>171143.0</v>
      </c>
      <c r="B3633" s="3" t="s">
        <v>3660</v>
      </c>
      <c r="C3633" s="3" t="s">
        <v>225</v>
      </c>
      <c r="D3633" s="3">
        <v>142.0</v>
      </c>
      <c r="E3633" s="3">
        <v>5.31</v>
      </c>
      <c r="F3633" s="3">
        <v>7.6</v>
      </c>
      <c r="G3633" s="3">
        <v>16.75</v>
      </c>
    </row>
    <row r="3634">
      <c r="A3634" s="3">
        <v>171144.0</v>
      </c>
      <c r="B3634" s="3" t="s">
        <v>3661</v>
      </c>
      <c r="C3634" s="3" t="s">
        <v>225</v>
      </c>
      <c r="D3634" s="3">
        <v>95.0</v>
      </c>
      <c r="E3634" s="3">
        <v>3.5</v>
      </c>
      <c r="F3634" s="3">
        <v>5.19</v>
      </c>
      <c r="G3634" s="3">
        <v>11.16</v>
      </c>
    </row>
    <row r="3635">
      <c r="A3635" s="3">
        <v>171145.0</v>
      </c>
      <c r="B3635" s="3" t="s">
        <v>3662</v>
      </c>
      <c r="C3635" s="3" t="s">
        <v>225</v>
      </c>
      <c r="D3635" s="3">
        <v>71.0</v>
      </c>
      <c r="E3635" s="3">
        <v>2.64</v>
      </c>
      <c r="F3635" s="3">
        <v>5.06</v>
      </c>
      <c r="G3635" s="3">
        <v>6.88</v>
      </c>
    </row>
    <row r="3636">
      <c r="A3636" s="3">
        <v>171146.0</v>
      </c>
      <c r="B3636" s="3" t="s">
        <v>3663</v>
      </c>
      <c r="C3636" s="3" t="s">
        <v>225</v>
      </c>
      <c r="D3636" s="3">
        <v>90.0</v>
      </c>
      <c r="E3636" s="3">
        <v>5.77</v>
      </c>
      <c r="F3636" s="3">
        <v>2.38</v>
      </c>
      <c r="G3636" s="3">
        <v>7.16</v>
      </c>
    </row>
    <row r="3637">
      <c r="A3637" s="3">
        <v>171147.0</v>
      </c>
      <c r="B3637" s="3" t="s">
        <v>3664</v>
      </c>
      <c r="C3637" s="3" t="s">
        <v>225</v>
      </c>
      <c r="D3637" s="3">
        <v>45.0</v>
      </c>
      <c r="E3637" s="3">
        <v>1.14</v>
      </c>
      <c r="F3637" s="3">
        <v>2.1</v>
      </c>
      <c r="G3637" s="3">
        <v>6.67</v>
      </c>
    </row>
    <row r="3638">
      <c r="A3638" s="3">
        <v>171148.0</v>
      </c>
      <c r="B3638" s="3" t="s">
        <v>3665</v>
      </c>
      <c r="C3638" s="3" t="s">
        <v>225</v>
      </c>
      <c r="D3638" s="3">
        <v>41.0</v>
      </c>
      <c r="E3638" s="3">
        <v>1.16</v>
      </c>
      <c r="F3638" s="3">
        <v>3.09</v>
      </c>
      <c r="G3638" s="3">
        <v>4.46</v>
      </c>
    </row>
    <row r="3639">
      <c r="A3639" s="3">
        <v>171149.0</v>
      </c>
      <c r="B3639" s="3" t="s">
        <v>3666</v>
      </c>
      <c r="C3639" s="3" t="s">
        <v>225</v>
      </c>
      <c r="D3639" s="3">
        <v>61.0</v>
      </c>
      <c r="E3639" s="3">
        <v>2.32</v>
      </c>
      <c r="F3639" s="3">
        <v>2.94</v>
      </c>
      <c r="G3639" s="3">
        <v>7.01</v>
      </c>
    </row>
    <row r="3640">
      <c r="A3640" s="3">
        <v>171150.0</v>
      </c>
      <c r="B3640" s="3" t="s">
        <v>3667</v>
      </c>
      <c r="C3640" s="3" t="s">
        <v>225</v>
      </c>
      <c r="D3640" s="3">
        <v>117.0</v>
      </c>
      <c r="E3640" s="3">
        <v>2.53</v>
      </c>
      <c r="F3640" s="3">
        <v>5.09</v>
      </c>
      <c r="G3640" s="3">
        <v>18.86</v>
      </c>
    </row>
    <row r="3641">
      <c r="A3641" s="3">
        <v>171151.0</v>
      </c>
      <c r="B3641" s="3" t="s">
        <v>3668</v>
      </c>
      <c r="C3641" s="3" t="s">
        <v>225</v>
      </c>
      <c r="D3641" s="3">
        <v>56.0</v>
      </c>
      <c r="E3641" s="3">
        <v>1.41</v>
      </c>
      <c r="F3641" s="3">
        <v>3.02</v>
      </c>
      <c r="G3641" s="3">
        <v>7.84</v>
      </c>
    </row>
    <row r="3642">
      <c r="A3642" s="3">
        <v>171152.0</v>
      </c>
      <c r="B3642" s="3" t="s">
        <v>3669</v>
      </c>
      <c r="C3642" s="3" t="s">
        <v>225</v>
      </c>
      <c r="D3642" s="3">
        <v>61.0</v>
      </c>
      <c r="E3642" s="3">
        <v>1.76</v>
      </c>
      <c r="F3642" s="3">
        <v>1.74</v>
      </c>
      <c r="G3642" s="3">
        <v>9.74</v>
      </c>
    </row>
    <row r="3643">
      <c r="A3643" s="3">
        <v>171153.0</v>
      </c>
      <c r="B3643" s="3" t="s">
        <v>3670</v>
      </c>
      <c r="C3643" s="3" t="s">
        <v>225</v>
      </c>
      <c r="D3643" s="3">
        <v>68.0</v>
      </c>
      <c r="E3643" s="3">
        <v>2.05</v>
      </c>
      <c r="F3643" s="3">
        <v>3.48</v>
      </c>
      <c r="G3643" s="3">
        <v>9.17</v>
      </c>
    </row>
    <row r="3644">
      <c r="A3644" s="3">
        <v>171154.0</v>
      </c>
      <c r="B3644" s="3" t="s">
        <v>3671</v>
      </c>
      <c r="C3644" s="3" t="s">
        <v>225</v>
      </c>
      <c r="D3644" s="3">
        <v>61.0</v>
      </c>
      <c r="E3644" s="3">
        <v>1.8</v>
      </c>
      <c r="F3644" s="3">
        <v>1.5</v>
      </c>
      <c r="G3644" s="3">
        <v>9.6</v>
      </c>
    </row>
    <row r="3645">
      <c r="A3645" s="3">
        <v>171155.0</v>
      </c>
      <c r="B3645" s="3" t="s">
        <v>3672</v>
      </c>
      <c r="C3645" s="3" t="s">
        <v>225</v>
      </c>
      <c r="D3645" s="3">
        <v>79.0</v>
      </c>
      <c r="E3645" s="3">
        <v>5.3</v>
      </c>
      <c r="F3645" s="3">
        <v>1.35</v>
      </c>
      <c r="G3645" s="3">
        <v>6.8</v>
      </c>
    </row>
    <row r="3646">
      <c r="A3646" s="3">
        <v>171156.0</v>
      </c>
      <c r="B3646" s="3" t="s">
        <v>3673</v>
      </c>
      <c r="C3646" s="3" t="s">
        <v>225</v>
      </c>
      <c r="D3646" s="3">
        <v>68.0</v>
      </c>
      <c r="E3646" s="3">
        <v>3.21</v>
      </c>
      <c r="F3646" s="3">
        <v>2.51</v>
      </c>
      <c r="G3646" s="3">
        <v>7.41</v>
      </c>
    </row>
    <row r="3647">
      <c r="A3647" s="3">
        <v>171157.0</v>
      </c>
      <c r="B3647" s="3" t="s">
        <v>3674</v>
      </c>
      <c r="C3647" s="3" t="s">
        <v>225</v>
      </c>
      <c r="D3647" s="3">
        <v>141.0</v>
      </c>
      <c r="E3647" s="3">
        <v>3.28</v>
      </c>
      <c r="F3647" s="3">
        <v>7.68</v>
      </c>
      <c r="G3647" s="3">
        <v>20.81</v>
      </c>
    </row>
    <row r="3648">
      <c r="A3648" s="3">
        <v>171158.0</v>
      </c>
      <c r="B3648" s="3" t="s">
        <v>3675</v>
      </c>
      <c r="C3648" s="3" t="s">
        <v>225</v>
      </c>
      <c r="D3648" s="3">
        <v>74.0</v>
      </c>
      <c r="E3648" s="3">
        <v>1.88</v>
      </c>
      <c r="F3648" s="3">
        <v>1.51</v>
      </c>
      <c r="G3648" s="3">
        <v>12.79</v>
      </c>
    </row>
    <row r="3649">
      <c r="A3649" s="3">
        <v>171159.0</v>
      </c>
      <c r="B3649" s="3" t="s">
        <v>3676</v>
      </c>
      <c r="C3649" s="3" t="s">
        <v>225</v>
      </c>
      <c r="D3649" s="3">
        <v>72.0</v>
      </c>
      <c r="E3649" s="3">
        <v>4.14</v>
      </c>
      <c r="F3649" s="3">
        <v>2.22</v>
      </c>
      <c r="G3649" s="3">
        <v>6.53</v>
      </c>
    </row>
    <row r="3650">
      <c r="A3650" s="3">
        <v>171160.0</v>
      </c>
      <c r="B3650" s="3" t="s">
        <v>3677</v>
      </c>
      <c r="C3650" s="3" t="s">
        <v>225</v>
      </c>
      <c r="D3650" s="3">
        <v>112.0</v>
      </c>
      <c r="E3650" s="3">
        <v>3.42</v>
      </c>
      <c r="F3650" s="3">
        <v>3.55</v>
      </c>
      <c r="G3650" s="3">
        <v>16.87</v>
      </c>
    </row>
    <row r="3651">
      <c r="A3651" s="3">
        <v>171161.0</v>
      </c>
      <c r="B3651" s="3" t="s">
        <v>3678</v>
      </c>
      <c r="C3651" s="3" t="s">
        <v>225</v>
      </c>
      <c r="D3651" s="3">
        <v>59.0</v>
      </c>
      <c r="E3651" s="3">
        <v>1.58</v>
      </c>
      <c r="F3651" s="3">
        <v>1.72</v>
      </c>
      <c r="G3651" s="3">
        <v>9.78</v>
      </c>
    </row>
    <row r="3652">
      <c r="A3652" s="3">
        <v>171162.0</v>
      </c>
      <c r="B3652" s="3" t="s">
        <v>3679</v>
      </c>
      <c r="C3652" s="3" t="s">
        <v>225</v>
      </c>
      <c r="D3652" s="3">
        <v>66.0</v>
      </c>
      <c r="E3652" s="3">
        <v>1.11</v>
      </c>
      <c r="F3652" s="3">
        <v>3.97</v>
      </c>
      <c r="G3652" s="3">
        <v>10.08</v>
      </c>
    </row>
    <row r="3653">
      <c r="A3653" s="3">
        <v>171163.0</v>
      </c>
      <c r="B3653" s="3" t="s">
        <v>3680</v>
      </c>
      <c r="C3653" s="3" t="s">
        <v>225</v>
      </c>
      <c r="D3653" s="3">
        <v>63.0</v>
      </c>
      <c r="E3653" s="3">
        <v>1.51</v>
      </c>
      <c r="F3653" s="3">
        <v>4.45</v>
      </c>
      <c r="G3653" s="3">
        <v>8.11</v>
      </c>
    </row>
    <row r="3654">
      <c r="A3654" s="3">
        <v>171164.0</v>
      </c>
      <c r="B3654" s="3" t="s">
        <v>3681</v>
      </c>
      <c r="C3654" s="3" t="s">
        <v>225</v>
      </c>
      <c r="D3654" s="3">
        <v>66.0</v>
      </c>
      <c r="E3654" s="3">
        <v>1.56</v>
      </c>
      <c r="F3654" s="3">
        <v>2.42</v>
      </c>
      <c r="G3654" s="3">
        <v>10.7</v>
      </c>
    </row>
    <row r="3655">
      <c r="A3655" s="3">
        <v>171165.0</v>
      </c>
      <c r="B3655" s="3" t="s">
        <v>3682</v>
      </c>
      <c r="C3655" s="3" t="s">
        <v>225</v>
      </c>
      <c r="D3655" s="3">
        <v>293.0</v>
      </c>
      <c r="E3655" s="3">
        <v>0.34</v>
      </c>
      <c r="F3655" s="3">
        <v>7.48</v>
      </c>
      <c r="G3655" s="3">
        <v>65.07</v>
      </c>
    </row>
    <row r="3656">
      <c r="A3656" s="3">
        <v>171166.0</v>
      </c>
      <c r="B3656" s="3" t="s">
        <v>3683</v>
      </c>
      <c r="C3656" s="3" t="s">
        <v>225</v>
      </c>
      <c r="D3656" s="3">
        <v>446.0</v>
      </c>
      <c r="E3656" s="3">
        <v>24.1</v>
      </c>
      <c r="F3656" s="3">
        <v>8.0</v>
      </c>
      <c r="G3656" s="3">
        <v>52.1</v>
      </c>
    </row>
    <row r="3657">
      <c r="A3657" s="3">
        <v>171167.0</v>
      </c>
      <c r="B3657" s="3" t="s">
        <v>3684</v>
      </c>
      <c r="C3657" s="3" t="s">
        <v>225</v>
      </c>
      <c r="D3657" s="3">
        <v>89.0</v>
      </c>
      <c r="E3657" s="3">
        <v>0.02</v>
      </c>
      <c r="F3657" s="3">
        <v>5.93</v>
      </c>
      <c r="G3657" s="3">
        <v>15.56</v>
      </c>
    </row>
    <row r="3658">
      <c r="A3658" s="3">
        <v>171168.0</v>
      </c>
      <c r="B3658" s="3" t="s">
        <v>3685</v>
      </c>
      <c r="C3658" s="3" t="s">
        <v>225</v>
      </c>
      <c r="D3658" s="3">
        <v>16.0</v>
      </c>
      <c r="E3658" s="3">
        <v>0.2</v>
      </c>
      <c r="F3658" s="3">
        <v>1.2</v>
      </c>
      <c r="G3658" s="3">
        <v>2.5</v>
      </c>
    </row>
    <row r="3659">
      <c r="A3659" s="3">
        <v>171169.0</v>
      </c>
      <c r="B3659" s="3" t="s">
        <v>3686</v>
      </c>
      <c r="C3659" s="3" t="s">
        <v>225</v>
      </c>
      <c r="D3659" s="3">
        <v>313.0</v>
      </c>
      <c r="E3659" s="3">
        <v>9.63</v>
      </c>
      <c r="F3659" s="3">
        <v>9.2</v>
      </c>
      <c r="G3659" s="3">
        <v>47.49</v>
      </c>
    </row>
    <row r="3660">
      <c r="A3660" s="3">
        <v>171170.0</v>
      </c>
      <c r="B3660" s="3" t="s">
        <v>3687</v>
      </c>
      <c r="C3660" s="3" t="s">
        <v>225</v>
      </c>
      <c r="D3660" s="3">
        <v>50.0</v>
      </c>
      <c r="E3660" s="3">
        <v>2.71</v>
      </c>
      <c r="F3660" s="3">
        <v>1.26</v>
      </c>
      <c r="G3660" s="3">
        <v>5.47</v>
      </c>
    </row>
    <row r="3661">
      <c r="A3661" s="3">
        <v>171171.0</v>
      </c>
      <c r="B3661" s="3" t="s">
        <v>3688</v>
      </c>
      <c r="C3661" s="3" t="s">
        <v>225</v>
      </c>
      <c r="D3661" s="3">
        <v>328.0</v>
      </c>
      <c r="E3661" s="3">
        <v>4.0</v>
      </c>
      <c r="F3661" s="3">
        <v>10.0</v>
      </c>
      <c r="G3661" s="3">
        <v>64.66</v>
      </c>
    </row>
    <row r="3662">
      <c r="A3662" s="3">
        <v>171172.0</v>
      </c>
      <c r="B3662" s="3" t="s">
        <v>3689</v>
      </c>
      <c r="C3662" s="3" t="s">
        <v>225</v>
      </c>
      <c r="D3662" s="3">
        <v>322.0</v>
      </c>
      <c r="E3662" s="3">
        <v>3.0</v>
      </c>
      <c r="F3662" s="3">
        <v>9.0</v>
      </c>
      <c r="G3662" s="3">
        <v>67.64</v>
      </c>
    </row>
    <row r="3663">
      <c r="A3663" s="3">
        <v>171173.0</v>
      </c>
      <c r="B3663" s="3" t="s">
        <v>3690</v>
      </c>
      <c r="C3663" s="3" t="s">
        <v>225</v>
      </c>
      <c r="D3663" s="3">
        <v>367.0</v>
      </c>
      <c r="E3663" s="3">
        <v>8.63</v>
      </c>
      <c r="F3663" s="3">
        <v>8.78</v>
      </c>
      <c r="G3663" s="3">
        <v>63.57</v>
      </c>
    </row>
    <row r="3664">
      <c r="A3664" s="3">
        <v>171174.0</v>
      </c>
      <c r="B3664" s="3" t="s">
        <v>3691</v>
      </c>
      <c r="C3664" s="3" t="s">
        <v>225</v>
      </c>
      <c r="D3664" s="3">
        <v>237.0</v>
      </c>
      <c r="E3664" s="3">
        <v>18.2</v>
      </c>
      <c r="F3664" s="3">
        <v>12.8</v>
      </c>
      <c r="G3664" s="3">
        <v>5.46</v>
      </c>
    </row>
    <row r="3665">
      <c r="A3665" s="3">
        <v>171175.0</v>
      </c>
      <c r="B3665" s="3" t="s">
        <v>3692</v>
      </c>
      <c r="C3665" s="3" t="s">
        <v>225</v>
      </c>
      <c r="D3665" s="3">
        <v>61.0</v>
      </c>
      <c r="E3665" s="3">
        <v>2.4</v>
      </c>
      <c r="F3665" s="3">
        <v>4.6</v>
      </c>
      <c r="G3665" s="3">
        <v>5.2</v>
      </c>
    </row>
    <row r="3666">
      <c r="A3666" s="3">
        <v>171176.0</v>
      </c>
      <c r="B3666" s="3" t="s">
        <v>3693</v>
      </c>
      <c r="C3666" s="3" t="s">
        <v>225</v>
      </c>
      <c r="D3666" s="3">
        <v>32.0</v>
      </c>
      <c r="E3666" s="3">
        <v>0.21</v>
      </c>
      <c r="F3666" s="3">
        <v>0.71</v>
      </c>
      <c r="G3666" s="3">
        <v>7.45</v>
      </c>
    </row>
    <row r="3667">
      <c r="A3667" s="3">
        <v>171177.0</v>
      </c>
      <c r="B3667" s="3" t="s">
        <v>3694</v>
      </c>
      <c r="C3667" s="3" t="s">
        <v>225</v>
      </c>
      <c r="D3667" s="3">
        <v>440.0</v>
      </c>
      <c r="E3667" s="3">
        <v>17.59</v>
      </c>
      <c r="F3667" s="3">
        <v>10.17</v>
      </c>
      <c r="G3667" s="3">
        <v>60.26</v>
      </c>
    </row>
    <row r="3668">
      <c r="A3668" s="3">
        <v>171178.0</v>
      </c>
      <c r="B3668" s="3" t="s">
        <v>3695</v>
      </c>
      <c r="C3668" s="3" t="s">
        <v>225</v>
      </c>
      <c r="D3668" s="3">
        <v>87.0</v>
      </c>
      <c r="E3668" s="3">
        <v>5.3</v>
      </c>
      <c r="F3668" s="3">
        <v>2.1</v>
      </c>
      <c r="G3668" s="3">
        <v>7.7</v>
      </c>
    </row>
    <row r="3669">
      <c r="A3669" s="3">
        <v>171179.0</v>
      </c>
      <c r="B3669" s="3" t="s">
        <v>3696</v>
      </c>
      <c r="C3669" s="3" t="s">
        <v>225</v>
      </c>
      <c r="D3669" s="3">
        <v>6.0</v>
      </c>
      <c r="E3669" s="3">
        <v>0.08</v>
      </c>
      <c r="F3669" s="3">
        <v>1.2</v>
      </c>
      <c r="G3669" s="3">
        <v>0.21</v>
      </c>
    </row>
    <row r="3670">
      <c r="A3670" s="3">
        <v>171180.0</v>
      </c>
      <c r="B3670" s="3" t="s">
        <v>3697</v>
      </c>
      <c r="C3670" s="3" t="s">
        <v>225</v>
      </c>
      <c r="D3670" s="3">
        <v>6.0</v>
      </c>
      <c r="E3670" s="3">
        <v>0.07</v>
      </c>
      <c r="F3670" s="3">
        <v>0.23</v>
      </c>
      <c r="G3670" s="3">
        <v>1.02</v>
      </c>
    </row>
    <row r="3671">
      <c r="A3671" s="3">
        <v>171181.0</v>
      </c>
      <c r="B3671" s="3" t="s">
        <v>3698</v>
      </c>
      <c r="C3671" s="3" t="s">
        <v>225</v>
      </c>
      <c r="D3671" s="3">
        <v>57.0</v>
      </c>
      <c r="E3671" s="3">
        <v>0.88</v>
      </c>
      <c r="F3671" s="3">
        <v>3.3</v>
      </c>
      <c r="G3671" s="3">
        <v>10.5</v>
      </c>
    </row>
    <row r="3672">
      <c r="A3672" s="3">
        <v>171182.0</v>
      </c>
      <c r="B3672" s="3" t="s">
        <v>3699</v>
      </c>
      <c r="C3672" s="3" t="s">
        <v>225</v>
      </c>
      <c r="D3672" s="3">
        <v>51.0</v>
      </c>
      <c r="E3672" s="3">
        <v>1.06</v>
      </c>
      <c r="F3672" s="3">
        <v>2.0</v>
      </c>
      <c r="G3672" s="3">
        <v>9.7</v>
      </c>
    </row>
    <row r="3673">
      <c r="A3673" s="3">
        <v>171183.0</v>
      </c>
      <c r="B3673" s="3" t="s">
        <v>3700</v>
      </c>
      <c r="C3673" s="3" t="s">
        <v>225</v>
      </c>
      <c r="D3673" s="3">
        <v>36.0</v>
      </c>
      <c r="E3673" s="3">
        <v>1.06</v>
      </c>
      <c r="F3673" s="3">
        <v>0.8</v>
      </c>
      <c r="G3673" s="3">
        <v>6.5</v>
      </c>
    </row>
    <row r="3674">
      <c r="A3674" s="3">
        <v>171184.0</v>
      </c>
      <c r="B3674" s="3" t="s">
        <v>3701</v>
      </c>
      <c r="C3674" s="3" t="s">
        <v>225</v>
      </c>
      <c r="D3674" s="3">
        <v>44.0</v>
      </c>
      <c r="E3674" s="3">
        <v>1.06</v>
      </c>
      <c r="F3674" s="3">
        <v>1.3</v>
      </c>
      <c r="G3674" s="3">
        <v>8.2</v>
      </c>
    </row>
    <row r="3675">
      <c r="A3675" s="3">
        <v>171185.0</v>
      </c>
      <c r="B3675" s="3" t="s">
        <v>3702</v>
      </c>
      <c r="C3675" s="3" t="s">
        <v>225</v>
      </c>
      <c r="D3675" s="3">
        <v>496.0</v>
      </c>
      <c r="E3675" s="3">
        <v>49.88</v>
      </c>
      <c r="F3675" s="3">
        <v>6.69</v>
      </c>
      <c r="G3675" s="3">
        <v>5.12</v>
      </c>
    </row>
    <row r="3676">
      <c r="A3676" s="3">
        <v>171186.0</v>
      </c>
      <c r="B3676" s="3" t="s">
        <v>3703</v>
      </c>
      <c r="C3676" s="3" t="s">
        <v>225</v>
      </c>
      <c r="D3676" s="3">
        <v>93.0</v>
      </c>
      <c r="E3676" s="3">
        <v>0.93</v>
      </c>
      <c r="F3676" s="3">
        <v>1.93</v>
      </c>
      <c r="G3676" s="3">
        <v>19.16</v>
      </c>
    </row>
    <row r="3677">
      <c r="A3677" s="3">
        <v>171187.0</v>
      </c>
      <c r="B3677" s="3" t="s">
        <v>3704</v>
      </c>
      <c r="C3677" s="3" t="s">
        <v>225</v>
      </c>
      <c r="D3677" s="3">
        <v>108.0</v>
      </c>
      <c r="E3677" s="3">
        <v>0.98</v>
      </c>
      <c r="F3677" s="3">
        <v>2.02</v>
      </c>
      <c r="G3677" s="3">
        <v>22.73</v>
      </c>
    </row>
    <row r="3678">
      <c r="A3678" s="3">
        <v>171188.0</v>
      </c>
      <c r="B3678" s="3" t="s">
        <v>3705</v>
      </c>
      <c r="C3678" s="3" t="s">
        <v>225</v>
      </c>
      <c r="D3678" s="3">
        <v>79.0</v>
      </c>
      <c r="E3678" s="3">
        <v>0.9</v>
      </c>
      <c r="F3678" s="3">
        <v>1.86</v>
      </c>
      <c r="G3678" s="3">
        <v>15.87</v>
      </c>
    </row>
    <row r="3679">
      <c r="A3679" s="3">
        <v>171189.0</v>
      </c>
      <c r="B3679" s="3" t="s">
        <v>3706</v>
      </c>
      <c r="C3679" s="3" t="s">
        <v>225</v>
      </c>
      <c r="D3679" s="3">
        <v>44.0</v>
      </c>
      <c r="E3679" s="3">
        <v>0.7</v>
      </c>
      <c r="F3679" s="3">
        <v>6.2</v>
      </c>
      <c r="G3679" s="3">
        <v>3.3</v>
      </c>
    </row>
    <row r="3680">
      <c r="A3680" s="3">
        <v>171190.0</v>
      </c>
      <c r="B3680" s="3" t="s">
        <v>3707</v>
      </c>
      <c r="C3680" s="3" t="s">
        <v>225</v>
      </c>
      <c r="D3680" s="3">
        <v>48.0</v>
      </c>
      <c r="E3680" s="3">
        <v>1.16</v>
      </c>
      <c r="F3680" s="3">
        <v>3.18</v>
      </c>
      <c r="G3680" s="3">
        <v>6.16</v>
      </c>
    </row>
    <row r="3681">
      <c r="A3681" s="3">
        <v>171191.0</v>
      </c>
      <c r="B3681" s="3" t="s">
        <v>3708</v>
      </c>
      <c r="C3681" s="3" t="s">
        <v>225</v>
      </c>
      <c r="D3681" s="3">
        <v>174.0</v>
      </c>
      <c r="E3681" s="3">
        <v>13.29</v>
      </c>
      <c r="F3681" s="3">
        <v>6.71</v>
      </c>
      <c r="G3681" s="3">
        <v>6.83</v>
      </c>
    </row>
    <row r="3682">
      <c r="A3682" s="3">
        <v>171192.0</v>
      </c>
      <c r="B3682" s="3" t="s">
        <v>3709</v>
      </c>
      <c r="C3682" s="3" t="s">
        <v>225</v>
      </c>
      <c r="D3682" s="3">
        <v>50.0</v>
      </c>
      <c r="E3682" s="3">
        <v>1.61</v>
      </c>
      <c r="F3682" s="3">
        <v>1.39</v>
      </c>
      <c r="G3682" s="3">
        <v>7.43</v>
      </c>
    </row>
    <row r="3683">
      <c r="A3683" s="3">
        <v>171193.0</v>
      </c>
      <c r="B3683" s="3" t="s">
        <v>3710</v>
      </c>
      <c r="C3683" s="3" t="s">
        <v>189</v>
      </c>
      <c r="D3683" s="3">
        <v>161.0</v>
      </c>
      <c r="E3683" s="3">
        <v>8.99</v>
      </c>
      <c r="F3683" s="3">
        <v>20.14</v>
      </c>
      <c r="G3683" s="3">
        <v>0.0</v>
      </c>
    </row>
    <row r="3684">
      <c r="A3684" s="3">
        <v>171194.0</v>
      </c>
      <c r="B3684" s="3" t="s">
        <v>3711</v>
      </c>
      <c r="C3684" s="3" t="s">
        <v>189</v>
      </c>
      <c r="D3684" s="3">
        <v>137.0</v>
      </c>
      <c r="E3684" s="3">
        <v>5.89</v>
      </c>
      <c r="F3684" s="3">
        <v>21.1</v>
      </c>
      <c r="G3684" s="3">
        <v>0.0</v>
      </c>
    </row>
    <row r="3685">
      <c r="A3685" s="3">
        <v>171195.0</v>
      </c>
      <c r="B3685" s="3" t="s">
        <v>3712</v>
      </c>
      <c r="C3685" s="3" t="s">
        <v>189</v>
      </c>
      <c r="D3685" s="3">
        <v>146.0</v>
      </c>
      <c r="E3685" s="3">
        <v>6.95</v>
      </c>
      <c r="F3685" s="3">
        <v>20.96</v>
      </c>
      <c r="G3685" s="3">
        <v>0.0</v>
      </c>
    </row>
    <row r="3686">
      <c r="A3686" s="3">
        <v>171196.0</v>
      </c>
      <c r="B3686" s="3" t="s">
        <v>3713</v>
      </c>
      <c r="C3686" s="3" t="s">
        <v>189</v>
      </c>
      <c r="D3686" s="3">
        <v>215.0</v>
      </c>
      <c r="E3686" s="3">
        <v>11.47</v>
      </c>
      <c r="F3686" s="3">
        <v>27.97</v>
      </c>
      <c r="G3686" s="3">
        <v>0.0</v>
      </c>
    </row>
    <row r="3687">
      <c r="A3687" s="3">
        <v>171197.0</v>
      </c>
      <c r="B3687" s="3" t="s">
        <v>3714</v>
      </c>
      <c r="C3687" s="3" t="s">
        <v>189</v>
      </c>
      <c r="D3687" s="3">
        <v>199.0</v>
      </c>
      <c r="E3687" s="3">
        <v>9.77</v>
      </c>
      <c r="F3687" s="3">
        <v>27.88</v>
      </c>
      <c r="G3687" s="3">
        <v>0.0</v>
      </c>
    </row>
    <row r="3688">
      <c r="A3688" s="3">
        <v>171198.0</v>
      </c>
      <c r="B3688" s="3" t="s">
        <v>3715</v>
      </c>
      <c r="C3688" s="3" t="s">
        <v>189</v>
      </c>
      <c r="D3688" s="3">
        <v>200.0</v>
      </c>
      <c r="E3688" s="3">
        <v>8.3</v>
      </c>
      <c r="F3688" s="3">
        <v>31.32</v>
      </c>
      <c r="G3688" s="3">
        <v>0.0</v>
      </c>
    </row>
    <row r="3689">
      <c r="A3689" s="3">
        <v>171199.0</v>
      </c>
      <c r="B3689" s="3" t="s">
        <v>3716</v>
      </c>
      <c r="C3689" s="3" t="s">
        <v>189</v>
      </c>
      <c r="D3689" s="3">
        <v>190.0</v>
      </c>
      <c r="E3689" s="3">
        <v>7.02</v>
      </c>
      <c r="F3689" s="3">
        <v>31.71</v>
      </c>
      <c r="G3689" s="3">
        <v>0.0</v>
      </c>
    </row>
    <row r="3690">
      <c r="A3690" s="3">
        <v>171200.0</v>
      </c>
      <c r="B3690" s="3" t="s">
        <v>3717</v>
      </c>
      <c r="C3690" s="3" t="s">
        <v>189</v>
      </c>
      <c r="D3690" s="3">
        <v>196.0</v>
      </c>
      <c r="E3690" s="3">
        <v>7.78</v>
      </c>
      <c r="F3690" s="3">
        <v>31.48</v>
      </c>
      <c r="G3690" s="3">
        <v>0.0</v>
      </c>
    </row>
    <row r="3691">
      <c r="A3691" s="3">
        <v>171201.0</v>
      </c>
      <c r="B3691" s="3" t="s">
        <v>3718</v>
      </c>
      <c r="C3691" s="3" t="s">
        <v>189</v>
      </c>
      <c r="D3691" s="3">
        <v>197.0</v>
      </c>
      <c r="E3691" s="3">
        <v>6.94</v>
      </c>
      <c r="F3691" s="3">
        <v>33.55</v>
      </c>
      <c r="G3691" s="3">
        <v>0.0</v>
      </c>
    </row>
    <row r="3692">
      <c r="A3692" s="3">
        <v>171202.0</v>
      </c>
      <c r="B3692" s="3" t="s">
        <v>3719</v>
      </c>
      <c r="C3692" s="3" t="s">
        <v>189</v>
      </c>
      <c r="D3692" s="3">
        <v>123.0</v>
      </c>
      <c r="E3692" s="3">
        <v>4.17</v>
      </c>
      <c r="F3692" s="3">
        <v>21.3</v>
      </c>
      <c r="G3692" s="3">
        <v>0.0</v>
      </c>
    </row>
    <row r="3693">
      <c r="A3693" s="3">
        <v>171203.0</v>
      </c>
      <c r="B3693" s="3" t="s">
        <v>3720</v>
      </c>
      <c r="C3693" s="3" t="s">
        <v>189</v>
      </c>
      <c r="D3693" s="3">
        <v>191.0</v>
      </c>
      <c r="E3693" s="3">
        <v>6.82</v>
      </c>
      <c r="F3693" s="3">
        <v>32.41</v>
      </c>
      <c r="G3693" s="3">
        <v>0.0</v>
      </c>
    </row>
    <row r="3694">
      <c r="A3694" s="3">
        <v>171204.0</v>
      </c>
      <c r="B3694" s="3" t="s">
        <v>3721</v>
      </c>
      <c r="C3694" s="3" t="s">
        <v>189</v>
      </c>
      <c r="D3694" s="3">
        <v>186.0</v>
      </c>
      <c r="E3694" s="3">
        <v>6.34</v>
      </c>
      <c r="F3694" s="3">
        <v>32.29</v>
      </c>
      <c r="G3694" s="3">
        <v>0.0</v>
      </c>
    </row>
    <row r="3695">
      <c r="A3695" s="3">
        <v>171205.0</v>
      </c>
      <c r="B3695" s="3" t="s">
        <v>3722</v>
      </c>
      <c r="C3695" s="3" t="s">
        <v>189</v>
      </c>
      <c r="D3695" s="3">
        <v>194.0</v>
      </c>
      <c r="E3695" s="3">
        <v>7.14</v>
      </c>
      <c r="F3695" s="3">
        <v>32.49</v>
      </c>
      <c r="G3695" s="3">
        <v>0.0</v>
      </c>
    </row>
    <row r="3696">
      <c r="A3696" s="3">
        <v>171206.0</v>
      </c>
      <c r="B3696" s="3" t="s">
        <v>3723</v>
      </c>
      <c r="C3696" s="3" t="s">
        <v>189</v>
      </c>
      <c r="D3696" s="3">
        <v>128.0</v>
      </c>
      <c r="E3696" s="3">
        <v>4.48</v>
      </c>
      <c r="F3696" s="3">
        <v>21.75</v>
      </c>
      <c r="G3696" s="3">
        <v>0.16</v>
      </c>
    </row>
    <row r="3697">
      <c r="A3697" s="3">
        <v>171207.0</v>
      </c>
      <c r="B3697" s="3" t="s">
        <v>3724</v>
      </c>
      <c r="C3697" s="3" t="s">
        <v>189</v>
      </c>
      <c r="D3697" s="3">
        <v>219.0</v>
      </c>
      <c r="E3697" s="3">
        <v>10.41</v>
      </c>
      <c r="F3697" s="3">
        <v>31.35</v>
      </c>
      <c r="G3697" s="3">
        <v>0.0</v>
      </c>
    </row>
    <row r="3698">
      <c r="A3698" s="3">
        <v>171208.0</v>
      </c>
      <c r="B3698" s="3" t="s">
        <v>3725</v>
      </c>
      <c r="C3698" s="3" t="s">
        <v>189</v>
      </c>
      <c r="D3698" s="3">
        <v>291.0</v>
      </c>
      <c r="E3698" s="3">
        <v>20.49</v>
      </c>
      <c r="F3698" s="3">
        <v>26.7</v>
      </c>
      <c r="G3698" s="3">
        <v>0.0</v>
      </c>
    </row>
    <row r="3699">
      <c r="A3699" s="3">
        <v>171209.0</v>
      </c>
      <c r="B3699" s="3" t="s">
        <v>3726</v>
      </c>
      <c r="C3699" s="3" t="s">
        <v>189</v>
      </c>
      <c r="D3699" s="3">
        <v>207.0</v>
      </c>
      <c r="E3699" s="3">
        <v>10.57</v>
      </c>
      <c r="F3699" s="3">
        <v>27.97</v>
      </c>
      <c r="G3699" s="3">
        <v>0.0</v>
      </c>
    </row>
    <row r="3700">
      <c r="A3700" s="3">
        <v>171210.0</v>
      </c>
      <c r="B3700" s="3" t="s">
        <v>3727</v>
      </c>
      <c r="C3700" s="3" t="s">
        <v>189</v>
      </c>
      <c r="D3700" s="3">
        <v>240.0</v>
      </c>
      <c r="E3700" s="3">
        <v>14.55</v>
      </c>
      <c r="F3700" s="3">
        <v>27.18</v>
      </c>
      <c r="G3700" s="3">
        <v>0.0</v>
      </c>
    </row>
    <row r="3701">
      <c r="A3701" s="3">
        <v>171211.0</v>
      </c>
      <c r="B3701" s="3" t="s">
        <v>3728</v>
      </c>
      <c r="C3701" s="3" t="s">
        <v>189</v>
      </c>
      <c r="D3701" s="3">
        <v>236.0</v>
      </c>
      <c r="E3701" s="3">
        <v>14.41</v>
      </c>
      <c r="F3701" s="3">
        <v>26.1</v>
      </c>
      <c r="G3701" s="3">
        <v>0.4</v>
      </c>
    </row>
    <row r="3702">
      <c r="A3702" s="3">
        <v>171212.0</v>
      </c>
      <c r="B3702" s="3" t="s">
        <v>3729</v>
      </c>
      <c r="C3702" s="3" t="s">
        <v>189</v>
      </c>
      <c r="D3702" s="3">
        <v>215.0</v>
      </c>
      <c r="E3702" s="3">
        <v>12.25</v>
      </c>
      <c r="F3702" s="3">
        <v>26.3</v>
      </c>
      <c r="G3702" s="3">
        <v>0.0</v>
      </c>
    </row>
    <row r="3703">
      <c r="A3703" s="3">
        <v>171213.0</v>
      </c>
      <c r="B3703" s="3" t="s">
        <v>3730</v>
      </c>
      <c r="C3703" s="3" t="s">
        <v>189</v>
      </c>
      <c r="D3703" s="3">
        <v>182.0</v>
      </c>
      <c r="E3703" s="3">
        <v>11.64</v>
      </c>
      <c r="F3703" s="3">
        <v>18.99</v>
      </c>
      <c r="G3703" s="3">
        <v>0.36</v>
      </c>
    </row>
    <row r="3704">
      <c r="A3704" s="3">
        <v>171214.0</v>
      </c>
      <c r="B3704" s="3" t="s">
        <v>3731</v>
      </c>
      <c r="C3704" s="3" t="s">
        <v>189</v>
      </c>
      <c r="D3704" s="3">
        <v>189.0</v>
      </c>
      <c r="E3704" s="3">
        <v>12.4</v>
      </c>
      <c r="F3704" s="3">
        <v>18.85</v>
      </c>
      <c r="G3704" s="3">
        <v>0.53</v>
      </c>
    </row>
    <row r="3705">
      <c r="A3705" s="3">
        <v>171215.0</v>
      </c>
      <c r="B3705" s="3" t="s">
        <v>3732</v>
      </c>
      <c r="C3705" s="3" t="s">
        <v>189</v>
      </c>
      <c r="D3705" s="3">
        <v>241.0</v>
      </c>
      <c r="E3705" s="3">
        <v>15.87</v>
      </c>
      <c r="F3705" s="3">
        <v>24.47</v>
      </c>
      <c r="G3705" s="3">
        <v>0.0</v>
      </c>
    </row>
    <row r="3706">
      <c r="A3706" s="3">
        <v>171216.0</v>
      </c>
      <c r="B3706" s="3" t="s">
        <v>3733</v>
      </c>
      <c r="C3706" s="3" t="s">
        <v>189</v>
      </c>
      <c r="D3706" s="3">
        <v>229.0</v>
      </c>
      <c r="E3706" s="3">
        <v>14.41</v>
      </c>
      <c r="F3706" s="3">
        <v>24.86</v>
      </c>
      <c r="G3706" s="3">
        <v>0.0</v>
      </c>
    </row>
    <row r="3707">
      <c r="A3707" s="3">
        <v>171217.0</v>
      </c>
      <c r="B3707" s="3" t="s">
        <v>3734</v>
      </c>
      <c r="C3707" s="3" t="s">
        <v>189</v>
      </c>
      <c r="D3707" s="3">
        <v>275.0</v>
      </c>
      <c r="E3707" s="3">
        <v>18.0</v>
      </c>
      <c r="F3707" s="3">
        <v>28.23</v>
      </c>
      <c r="G3707" s="3">
        <v>0.0</v>
      </c>
    </row>
    <row r="3708">
      <c r="A3708" s="3">
        <v>171218.0</v>
      </c>
      <c r="B3708" s="3" t="s">
        <v>3735</v>
      </c>
      <c r="C3708" s="3" t="s">
        <v>189</v>
      </c>
      <c r="D3708" s="3">
        <v>284.0</v>
      </c>
      <c r="E3708" s="3">
        <v>19.3</v>
      </c>
      <c r="F3708" s="3">
        <v>27.6</v>
      </c>
      <c r="G3708" s="3">
        <v>0.0</v>
      </c>
    </row>
    <row r="3709">
      <c r="A3709" s="3">
        <v>171219.0</v>
      </c>
      <c r="B3709" s="3" t="s">
        <v>3736</v>
      </c>
      <c r="C3709" s="3" t="s">
        <v>189</v>
      </c>
      <c r="D3709" s="3">
        <v>261.0</v>
      </c>
      <c r="E3709" s="3">
        <v>16.05</v>
      </c>
      <c r="F3709" s="3">
        <v>29.18</v>
      </c>
      <c r="G3709" s="3">
        <v>0.0</v>
      </c>
    </row>
    <row r="3710">
      <c r="A3710" s="3">
        <v>171220.0</v>
      </c>
      <c r="B3710" s="3" t="s">
        <v>3737</v>
      </c>
      <c r="C3710" s="3" t="s">
        <v>189</v>
      </c>
      <c r="D3710" s="3">
        <v>131.0</v>
      </c>
      <c r="E3710" s="3">
        <v>5.18</v>
      </c>
      <c r="F3710" s="3">
        <v>21.19</v>
      </c>
      <c r="G3710" s="3">
        <v>0.0</v>
      </c>
    </row>
    <row r="3711">
      <c r="A3711" s="3">
        <v>171221.0</v>
      </c>
      <c r="B3711" s="3" t="s">
        <v>3738</v>
      </c>
      <c r="C3711" s="3" t="s">
        <v>189</v>
      </c>
      <c r="D3711" s="3">
        <v>122.0</v>
      </c>
      <c r="E3711" s="3">
        <v>4.2</v>
      </c>
      <c r="F3711" s="3">
        <v>21.05</v>
      </c>
      <c r="G3711" s="3">
        <v>0.0</v>
      </c>
    </row>
    <row r="3712">
      <c r="A3712" s="3">
        <v>171222.0</v>
      </c>
      <c r="B3712" s="3" t="s">
        <v>3739</v>
      </c>
      <c r="C3712" s="3" t="s">
        <v>189</v>
      </c>
      <c r="D3712" s="3">
        <v>305.0</v>
      </c>
      <c r="E3712" s="3">
        <v>22.58</v>
      </c>
      <c r="F3712" s="3">
        <v>25.48</v>
      </c>
      <c r="G3712" s="3">
        <v>0.0</v>
      </c>
    </row>
    <row r="3713">
      <c r="A3713" s="3">
        <v>171223.0</v>
      </c>
      <c r="B3713" s="3" t="s">
        <v>3740</v>
      </c>
      <c r="C3713" s="3" t="s">
        <v>189</v>
      </c>
      <c r="D3713" s="3">
        <v>317.0</v>
      </c>
      <c r="E3713" s="3">
        <v>24.05</v>
      </c>
      <c r="F3713" s="3">
        <v>25.26</v>
      </c>
      <c r="G3713" s="3">
        <v>0.0</v>
      </c>
    </row>
    <row r="3714">
      <c r="A3714" s="3">
        <v>171224.0</v>
      </c>
      <c r="B3714" s="3" t="s">
        <v>3741</v>
      </c>
      <c r="C3714" s="3" t="s">
        <v>189</v>
      </c>
      <c r="D3714" s="3">
        <v>204.0</v>
      </c>
      <c r="E3714" s="3">
        <v>8.92</v>
      </c>
      <c r="F3714" s="3">
        <v>31.03</v>
      </c>
      <c r="G3714" s="3">
        <v>0.0</v>
      </c>
    </row>
    <row r="3715">
      <c r="A3715" s="3">
        <v>171225.0</v>
      </c>
      <c r="B3715" s="3" t="s">
        <v>3742</v>
      </c>
      <c r="C3715" s="3" t="s">
        <v>189</v>
      </c>
      <c r="D3715" s="3">
        <v>207.0</v>
      </c>
      <c r="E3715" s="3">
        <v>9.25</v>
      </c>
      <c r="F3715" s="3">
        <v>30.93</v>
      </c>
      <c r="G3715" s="3">
        <v>0.0</v>
      </c>
    </row>
    <row r="3716">
      <c r="A3716" s="3">
        <v>171226.0</v>
      </c>
      <c r="B3716" s="3" t="s">
        <v>3743</v>
      </c>
      <c r="C3716" s="3" t="s">
        <v>189</v>
      </c>
      <c r="D3716" s="3">
        <v>200.0</v>
      </c>
      <c r="E3716" s="3">
        <v>8.41</v>
      </c>
      <c r="F3716" s="3">
        <v>31.18</v>
      </c>
      <c r="G3716" s="3">
        <v>0.0</v>
      </c>
    </row>
    <row r="3717">
      <c r="A3717" s="3">
        <v>171227.0</v>
      </c>
      <c r="B3717" s="3" t="s">
        <v>3744</v>
      </c>
      <c r="C3717" s="3" t="s">
        <v>189</v>
      </c>
      <c r="D3717" s="3">
        <v>296.0</v>
      </c>
      <c r="E3717" s="3">
        <v>20.55</v>
      </c>
      <c r="F3717" s="3">
        <v>27.69</v>
      </c>
      <c r="G3717" s="3">
        <v>0.0</v>
      </c>
    </row>
    <row r="3718">
      <c r="A3718" s="3">
        <v>171228.0</v>
      </c>
      <c r="B3718" s="3" t="s">
        <v>3745</v>
      </c>
      <c r="C3718" s="3" t="s">
        <v>189</v>
      </c>
      <c r="D3718" s="3">
        <v>277.0</v>
      </c>
      <c r="E3718" s="3">
        <v>19.64</v>
      </c>
      <c r="F3718" s="3">
        <v>24.98</v>
      </c>
      <c r="G3718" s="3">
        <v>0.0</v>
      </c>
    </row>
    <row r="3719">
      <c r="A3719" s="3">
        <v>171229.0</v>
      </c>
      <c r="B3719" s="3" t="s">
        <v>3746</v>
      </c>
      <c r="C3719" s="3" t="s">
        <v>189</v>
      </c>
      <c r="D3719" s="3">
        <v>283.0</v>
      </c>
      <c r="E3719" s="3">
        <v>20.35</v>
      </c>
      <c r="F3719" s="3">
        <v>24.95</v>
      </c>
      <c r="G3719" s="3">
        <v>0.0</v>
      </c>
    </row>
    <row r="3720">
      <c r="A3720" s="3">
        <v>171230.0</v>
      </c>
      <c r="B3720" s="3" t="s">
        <v>3747</v>
      </c>
      <c r="C3720" s="3" t="s">
        <v>189</v>
      </c>
      <c r="D3720" s="3">
        <v>267.0</v>
      </c>
      <c r="E3720" s="3">
        <v>18.57</v>
      </c>
      <c r="F3720" s="3">
        <v>25.03</v>
      </c>
      <c r="G3720" s="3">
        <v>0.0</v>
      </c>
    </row>
    <row r="3721">
      <c r="A3721" s="3">
        <v>171231.0</v>
      </c>
      <c r="B3721" s="3" t="s">
        <v>3748</v>
      </c>
      <c r="C3721" s="3" t="s">
        <v>189</v>
      </c>
      <c r="D3721" s="3">
        <v>223.0</v>
      </c>
      <c r="E3721" s="3">
        <v>16.35</v>
      </c>
      <c r="F3721" s="3">
        <v>18.86</v>
      </c>
      <c r="G3721" s="3">
        <v>0.0</v>
      </c>
    </row>
    <row r="3722">
      <c r="A3722" s="3">
        <v>171232.0</v>
      </c>
      <c r="B3722" s="3" t="s">
        <v>3749</v>
      </c>
      <c r="C3722" s="3" t="s">
        <v>189</v>
      </c>
      <c r="D3722" s="3">
        <v>217.0</v>
      </c>
      <c r="E3722" s="3">
        <v>11.97</v>
      </c>
      <c r="F3722" s="3">
        <v>27.3</v>
      </c>
      <c r="G3722" s="3">
        <v>0.0</v>
      </c>
    </row>
    <row r="3723">
      <c r="A3723" s="3">
        <v>171233.0</v>
      </c>
      <c r="B3723" s="3" t="s">
        <v>3750</v>
      </c>
      <c r="C3723" s="3" t="s">
        <v>189</v>
      </c>
      <c r="D3723" s="3">
        <v>192.0</v>
      </c>
      <c r="E3723" s="3">
        <v>8.48</v>
      </c>
      <c r="F3723" s="3">
        <v>28.98</v>
      </c>
      <c r="G3723" s="3">
        <v>0.0</v>
      </c>
    </row>
    <row r="3724">
      <c r="A3724" s="3">
        <v>171234.0</v>
      </c>
      <c r="B3724" s="3" t="s">
        <v>3751</v>
      </c>
      <c r="C3724" s="3" t="s">
        <v>189</v>
      </c>
      <c r="D3724" s="3">
        <v>166.0</v>
      </c>
      <c r="E3724" s="3">
        <v>9.04</v>
      </c>
      <c r="F3724" s="3">
        <v>21.22</v>
      </c>
      <c r="G3724" s="3">
        <v>0.0</v>
      </c>
    </row>
    <row r="3725">
      <c r="A3725" s="3">
        <v>171235.0</v>
      </c>
      <c r="B3725" s="3" t="s">
        <v>3752</v>
      </c>
      <c r="C3725" s="3" t="s">
        <v>189</v>
      </c>
      <c r="D3725" s="3">
        <v>173.0</v>
      </c>
      <c r="E3725" s="3">
        <v>9.97</v>
      </c>
      <c r="F3725" s="3">
        <v>20.93</v>
      </c>
      <c r="G3725" s="3">
        <v>0.0</v>
      </c>
    </row>
    <row r="3726">
      <c r="A3726" s="3">
        <v>171236.0</v>
      </c>
      <c r="B3726" s="3" t="s">
        <v>3753</v>
      </c>
      <c r="C3726" s="3" t="s">
        <v>189</v>
      </c>
      <c r="D3726" s="3">
        <v>221.0</v>
      </c>
      <c r="E3726" s="3">
        <v>12.43</v>
      </c>
      <c r="F3726" s="3">
        <v>27.4</v>
      </c>
      <c r="G3726" s="3">
        <v>0.0</v>
      </c>
    </row>
    <row r="3727">
      <c r="A3727" s="3">
        <v>171237.0</v>
      </c>
      <c r="B3727" s="3" t="s">
        <v>3754</v>
      </c>
      <c r="C3727" s="3" t="s">
        <v>189</v>
      </c>
      <c r="D3727" s="3">
        <v>229.0</v>
      </c>
      <c r="E3727" s="3">
        <v>13.44</v>
      </c>
      <c r="F3727" s="3">
        <v>27.03</v>
      </c>
      <c r="G3727" s="3">
        <v>0.0</v>
      </c>
    </row>
    <row r="3728">
      <c r="A3728" s="3">
        <v>171238.0</v>
      </c>
      <c r="B3728" s="3" t="s">
        <v>3755</v>
      </c>
      <c r="C3728" s="3" t="s">
        <v>189</v>
      </c>
      <c r="D3728" s="3">
        <v>210.0</v>
      </c>
      <c r="E3728" s="3">
        <v>10.91</v>
      </c>
      <c r="F3728" s="3">
        <v>27.96</v>
      </c>
      <c r="G3728" s="3">
        <v>0.0</v>
      </c>
    </row>
    <row r="3729">
      <c r="A3729" s="3">
        <v>171239.0</v>
      </c>
      <c r="B3729" s="3" t="s">
        <v>3756</v>
      </c>
      <c r="C3729" s="3" t="s">
        <v>189</v>
      </c>
      <c r="D3729" s="3">
        <v>218.0</v>
      </c>
      <c r="E3729" s="3">
        <v>11.68</v>
      </c>
      <c r="F3729" s="3">
        <v>28.21</v>
      </c>
      <c r="G3729" s="3">
        <v>0.0</v>
      </c>
    </row>
    <row r="3730">
      <c r="A3730" s="3">
        <v>171240.0</v>
      </c>
      <c r="B3730" s="3" t="s">
        <v>3757</v>
      </c>
      <c r="C3730" s="3" t="s">
        <v>192</v>
      </c>
      <c r="D3730" s="3">
        <v>466.0</v>
      </c>
      <c r="E3730" s="3">
        <v>29.51</v>
      </c>
      <c r="F3730" s="3">
        <v>9.65</v>
      </c>
      <c r="G3730" s="3">
        <v>42.65</v>
      </c>
    </row>
    <row r="3731">
      <c r="A3731" s="3">
        <v>171241.0</v>
      </c>
      <c r="B3731" s="3" t="s">
        <v>3758</v>
      </c>
      <c r="C3731" s="3" t="s">
        <v>192</v>
      </c>
      <c r="D3731" s="3">
        <v>356.0</v>
      </c>
      <c r="E3731" s="3">
        <v>27.44</v>
      </c>
      <c r="F3731" s="3">
        <v>24.94</v>
      </c>
      <c r="G3731" s="3">
        <v>2.22</v>
      </c>
    </row>
    <row r="3732">
      <c r="A3732" s="3">
        <v>171242.0</v>
      </c>
      <c r="B3732" s="3" t="s">
        <v>3759</v>
      </c>
      <c r="C3732" s="3" t="s">
        <v>192</v>
      </c>
      <c r="D3732" s="3">
        <v>413.0</v>
      </c>
      <c r="E3732" s="3">
        <v>32.34</v>
      </c>
      <c r="F3732" s="3">
        <v>29.81</v>
      </c>
      <c r="G3732" s="3">
        <v>0.36</v>
      </c>
    </row>
    <row r="3733">
      <c r="A3733" s="3">
        <v>171243.0</v>
      </c>
      <c r="B3733" s="3" t="s">
        <v>3760</v>
      </c>
      <c r="C3733" s="3" t="s">
        <v>192</v>
      </c>
      <c r="D3733" s="3">
        <v>327.0</v>
      </c>
      <c r="E3733" s="3">
        <v>27.25</v>
      </c>
      <c r="F3733" s="3">
        <v>20.05</v>
      </c>
      <c r="G3733" s="3">
        <v>0.49</v>
      </c>
    </row>
    <row r="3734">
      <c r="A3734" s="3">
        <v>171244.0</v>
      </c>
      <c r="B3734" s="3" t="s">
        <v>3761</v>
      </c>
      <c r="C3734" s="3" t="s">
        <v>192</v>
      </c>
      <c r="D3734" s="3">
        <v>295.0</v>
      </c>
      <c r="E3734" s="3">
        <v>19.78</v>
      </c>
      <c r="F3734" s="3">
        <v>23.75</v>
      </c>
      <c r="G3734" s="3">
        <v>5.58</v>
      </c>
    </row>
    <row r="3735">
      <c r="A3735" s="3">
        <v>171245.0</v>
      </c>
      <c r="B3735" s="3" t="s">
        <v>3762</v>
      </c>
      <c r="C3735" s="3" t="s">
        <v>192</v>
      </c>
      <c r="D3735" s="3">
        <v>368.0</v>
      </c>
      <c r="E3735" s="3">
        <v>30.04</v>
      </c>
      <c r="F3735" s="3">
        <v>23.41</v>
      </c>
      <c r="G3735" s="3">
        <v>1.12</v>
      </c>
    </row>
    <row r="3736">
      <c r="A3736" s="3">
        <v>171246.0</v>
      </c>
      <c r="B3736" s="3" t="s">
        <v>3763</v>
      </c>
      <c r="C3736" s="3" t="s">
        <v>192</v>
      </c>
      <c r="D3736" s="3">
        <v>253.0</v>
      </c>
      <c r="E3736" s="3">
        <v>22.78</v>
      </c>
      <c r="F3736" s="3">
        <v>9.15</v>
      </c>
      <c r="G3736" s="3">
        <v>3.59</v>
      </c>
    </row>
    <row r="3737">
      <c r="A3737" s="3">
        <v>171247.0</v>
      </c>
      <c r="B3737" s="3" t="s">
        <v>3764</v>
      </c>
      <c r="C3737" s="3" t="s">
        <v>192</v>
      </c>
      <c r="D3737" s="3">
        <v>420.0</v>
      </c>
      <c r="E3737" s="3">
        <v>27.84</v>
      </c>
      <c r="F3737" s="3">
        <v>28.42</v>
      </c>
      <c r="G3737" s="3">
        <v>13.91</v>
      </c>
    </row>
    <row r="3738">
      <c r="A3738" s="3">
        <v>171248.0</v>
      </c>
      <c r="B3738" s="3" t="s">
        <v>3765</v>
      </c>
      <c r="C3738" s="3" t="s">
        <v>192</v>
      </c>
      <c r="D3738" s="3">
        <v>138.0</v>
      </c>
      <c r="E3738" s="3">
        <v>7.91</v>
      </c>
      <c r="F3738" s="3">
        <v>11.39</v>
      </c>
      <c r="G3738" s="3">
        <v>5.14</v>
      </c>
    </row>
    <row r="3739">
      <c r="A3739" s="3">
        <v>171249.0</v>
      </c>
      <c r="B3739" s="3" t="s">
        <v>3766</v>
      </c>
      <c r="C3739" s="3" t="s">
        <v>192</v>
      </c>
      <c r="D3739" s="3">
        <v>387.0</v>
      </c>
      <c r="E3739" s="3">
        <v>26.94</v>
      </c>
      <c r="F3739" s="3">
        <v>31.8</v>
      </c>
      <c r="G3739" s="3">
        <v>3.63</v>
      </c>
    </row>
    <row r="3740">
      <c r="A3740" s="3">
        <v>171250.0</v>
      </c>
      <c r="B3740" s="3" t="s">
        <v>3767</v>
      </c>
      <c r="C3740" s="3" t="s">
        <v>192</v>
      </c>
      <c r="D3740" s="3">
        <v>369.0</v>
      </c>
      <c r="E3740" s="3">
        <v>30.64</v>
      </c>
      <c r="F3740" s="3">
        <v>21.54</v>
      </c>
      <c r="G3740" s="3">
        <v>2.0</v>
      </c>
    </row>
    <row r="3741">
      <c r="A3741" s="3">
        <v>171251.0</v>
      </c>
      <c r="B3741" s="3" t="s">
        <v>3768</v>
      </c>
      <c r="C3741" s="3" t="s">
        <v>192</v>
      </c>
      <c r="D3741" s="3">
        <v>393.0</v>
      </c>
      <c r="E3741" s="3">
        <v>30.99</v>
      </c>
      <c r="F3741" s="3">
        <v>26.96</v>
      </c>
      <c r="G3741" s="3">
        <v>1.44</v>
      </c>
    </row>
    <row r="3742">
      <c r="A3742" s="3">
        <v>171252.0</v>
      </c>
      <c r="B3742" s="3" t="s">
        <v>3769</v>
      </c>
      <c r="C3742" s="3" t="s">
        <v>192</v>
      </c>
      <c r="D3742" s="3">
        <v>330.0</v>
      </c>
      <c r="E3742" s="3">
        <v>25.63</v>
      </c>
      <c r="F3742" s="3">
        <v>16.86</v>
      </c>
      <c r="G3742" s="3">
        <v>8.56</v>
      </c>
    </row>
    <row r="3743">
      <c r="A3743" s="3">
        <v>171253.0</v>
      </c>
      <c r="B3743" s="3" t="s">
        <v>3770</v>
      </c>
      <c r="C3743" s="3" t="s">
        <v>192</v>
      </c>
      <c r="D3743" s="3">
        <v>323.0</v>
      </c>
      <c r="E3743" s="3">
        <v>24.14</v>
      </c>
      <c r="F3743" s="3">
        <v>21.92</v>
      </c>
      <c r="G3743" s="3">
        <v>4.5</v>
      </c>
    </row>
    <row r="3744">
      <c r="A3744" s="3">
        <v>171254.0</v>
      </c>
      <c r="B3744" s="3" t="s">
        <v>3771</v>
      </c>
      <c r="C3744" s="3" t="s">
        <v>192</v>
      </c>
      <c r="D3744" s="3">
        <v>290.0</v>
      </c>
      <c r="E3744" s="3">
        <v>21.23</v>
      </c>
      <c r="F3744" s="3">
        <v>16.41</v>
      </c>
      <c r="G3744" s="3">
        <v>8.73</v>
      </c>
    </row>
    <row r="3745">
      <c r="A3745" s="3">
        <v>171255.0</v>
      </c>
      <c r="B3745" s="3" t="s">
        <v>3772</v>
      </c>
      <c r="C3745" s="3" t="s">
        <v>192</v>
      </c>
      <c r="D3745" s="3">
        <v>131.0</v>
      </c>
      <c r="E3745" s="3">
        <v>11.5</v>
      </c>
      <c r="F3745" s="3">
        <v>3.13</v>
      </c>
      <c r="G3745" s="3">
        <v>4.3</v>
      </c>
    </row>
    <row r="3746">
      <c r="A3746" s="3">
        <v>171256.0</v>
      </c>
      <c r="B3746" s="3" t="s">
        <v>3773</v>
      </c>
      <c r="C3746" s="3" t="s">
        <v>192</v>
      </c>
      <c r="D3746" s="3">
        <v>135.0</v>
      </c>
      <c r="E3746" s="3">
        <v>12.0</v>
      </c>
      <c r="F3746" s="3">
        <v>2.94</v>
      </c>
      <c r="G3746" s="3">
        <v>4.26</v>
      </c>
    </row>
    <row r="3747">
      <c r="A3747" s="3">
        <v>171257.0</v>
      </c>
      <c r="B3747" s="3" t="s">
        <v>3774</v>
      </c>
      <c r="C3747" s="3" t="s">
        <v>192</v>
      </c>
      <c r="D3747" s="3">
        <v>198.0</v>
      </c>
      <c r="E3747" s="3">
        <v>19.35</v>
      </c>
      <c r="F3747" s="3">
        <v>2.44</v>
      </c>
      <c r="G3747" s="3">
        <v>4.63</v>
      </c>
    </row>
    <row r="3748">
      <c r="A3748" s="3">
        <v>171258.0</v>
      </c>
      <c r="B3748" s="3" t="s">
        <v>3775</v>
      </c>
      <c r="C3748" s="3" t="s">
        <v>192</v>
      </c>
      <c r="D3748" s="3">
        <v>88.0</v>
      </c>
      <c r="E3748" s="3">
        <v>4.19</v>
      </c>
      <c r="F3748" s="3">
        <v>4.55</v>
      </c>
      <c r="G3748" s="3">
        <v>8.05</v>
      </c>
    </row>
    <row r="3749">
      <c r="A3749" s="3">
        <v>171259.0</v>
      </c>
      <c r="B3749" s="3" t="s">
        <v>3776</v>
      </c>
      <c r="C3749" s="3" t="s">
        <v>192</v>
      </c>
      <c r="D3749" s="3">
        <v>178.0</v>
      </c>
      <c r="E3749" s="3">
        <v>16.57</v>
      </c>
      <c r="F3749" s="3">
        <v>3.25</v>
      </c>
      <c r="G3749" s="3">
        <v>4.68</v>
      </c>
    </row>
    <row r="3750">
      <c r="A3750" s="3">
        <v>171260.0</v>
      </c>
      <c r="B3750" s="3" t="s">
        <v>3777</v>
      </c>
      <c r="C3750" s="3" t="s">
        <v>318</v>
      </c>
      <c r="D3750" s="3">
        <v>92.0</v>
      </c>
      <c r="E3750" s="3">
        <v>1.71</v>
      </c>
      <c r="F3750" s="3">
        <v>8.11</v>
      </c>
      <c r="G3750" s="3">
        <v>11.04</v>
      </c>
    </row>
    <row r="3751">
      <c r="A3751" s="3">
        <v>171261.0</v>
      </c>
      <c r="B3751" s="3" t="s">
        <v>3778</v>
      </c>
      <c r="C3751" s="3" t="s">
        <v>192</v>
      </c>
      <c r="D3751" s="3">
        <v>136.0</v>
      </c>
      <c r="E3751" s="3">
        <v>9.97</v>
      </c>
      <c r="F3751" s="3">
        <v>1.0</v>
      </c>
      <c r="G3751" s="3">
        <v>11.38</v>
      </c>
    </row>
    <row r="3752">
      <c r="A3752" s="3">
        <v>171262.0</v>
      </c>
      <c r="B3752" s="3" t="s">
        <v>3779</v>
      </c>
      <c r="C3752" s="3" t="s">
        <v>192</v>
      </c>
      <c r="D3752" s="3">
        <v>136.0</v>
      </c>
      <c r="E3752" s="3">
        <v>9.97</v>
      </c>
      <c r="F3752" s="3">
        <v>1.0</v>
      </c>
      <c r="G3752" s="3">
        <v>11.38</v>
      </c>
    </row>
    <row r="3753">
      <c r="A3753" s="3">
        <v>171263.0</v>
      </c>
      <c r="B3753" s="3" t="s">
        <v>3780</v>
      </c>
      <c r="C3753" s="3" t="s">
        <v>192</v>
      </c>
      <c r="D3753" s="3">
        <v>529.0</v>
      </c>
      <c r="E3753" s="3">
        <v>32.92</v>
      </c>
      <c r="F3753" s="3">
        <v>2.48</v>
      </c>
      <c r="G3753" s="3">
        <v>59.29</v>
      </c>
    </row>
    <row r="3754">
      <c r="A3754" s="3">
        <v>171264.0</v>
      </c>
      <c r="B3754" s="3" t="s">
        <v>3781</v>
      </c>
      <c r="C3754" s="3" t="s">
        <v>192</v>
      </c>
      <c r="D3754" s="3">
        <v>61.0</v>
      </c>
      <c r="E3754" s="3">
        <v>3.41</v>
      </c>
      <c r="F3754" s="3">
        <v>1.75</v>
      </c>
      <c r="G3754" s="3">
        <v>6.16</v>
      </c>
    </row>
    <row r="3755">
      <c r="A3755" s="3">
        <v>171265.0</v>
      </c>
      <c r="B3755" s="3" t="s">
        <v>3782</v>
      </c>
      <c r="C3755" s="3" t="s">
        <v>192</v>
      </c>
      <c r="D3755" s="3">
        <v>61.0</v>
      </c>
      <c r="E3755" s="3">
        <v>3.25</v>
      </c>
      <c r="F3755" s="3">
        <v>3.15</v>
      </c>
      <c r="G3755" s="3">
        <v>4.8</v>
      </c>
    </row>
    <row r="3756">
      <c r="A3756" s="3">
        <v>171266.0</v>
      </c>
      <c r="B3756" s="3" t="s">
        <v>3783</v>
      </c>
      <c r="C3756" s="3" t="s">
        <v>192</v>
      </c>
      <c r="D3756" s="3">
        <v>64.0</v>
      </c>
      <c r="E3756" s="3">
        <v>3.66</v>
      </c>
      <c r="F3756" s="3">
        <v>3.28</v>
      </c>
      <c r="G3756" s="3">
        <v>4.65</v>
      </c>
    </row>
    <row r="3757">
      <c r="A3757" s="3">
        <v>171267.0</v>
      </c>
      <c r="B3757" s="3" t="s">
        <v>3784</v>
      </c>
      <c r="C3757" s="3" t="s">
        <v>192</v>
      </c>
      <c r="D3757" s="3">
        <v>50.0</v>
      </c>
      <c r="E3757" s="3">
        <v>1.98</v>
      </c>
      <c r="F3757" s="3">
        <v>3.3</v>
      </c>
      <c r="G3757" s="3">
        <v>4.8</v>
      </c>
    </row>
    <row r="3758">
      <c r="A3758" s="3">
        <v>171268.0</v>
      </c>
      <c r="B3758" s="3" t="s">
        <v>3785</v>
      </c>
      <c r="C3758" s="3" t="s">
        <v>192</v>
      </c>
      <c r="D3758" s="3">
        <v>48.0</v>
      </c>
      <c r="E3758" s="3">
        <v>1.17</v>
      </c>
      <c r="F3758" s="3">
        <v>3.93</v>
      </c>
      <c r="G3758" s="3">
        <v>5.52</v>
      </c>
    </row>
    <row r="3759">
      <c r="A3759" s="3">
        <v>171269.0</v>
      </c>
      <c r="B3759" s="3" t="s">
        <v>3786</v>
      </c>
      <c r="C3759" s="3" t="s">
        <v>192</v>
      </c>
      <c r="D3759" s="3">
        <v>34.0</v>
      </c>
      <c r="E3759" s="3">
        <v>0.08</v>
      </c>
      <c r="F3759" s="3">
        <v>3.37</v>
      </c>
      <c r="G3759" s="3">
        <v>4.96</v>
      </c>
    </row>
    <row r="3760">
      <c r="A3760" s="3">
        <v>171270.0</v>
      </c>
      <c r="B3760" s="3" t="s">
        <v>3787</v>
      </c>
      <c r="C3760" s="3" t="s">
        <v>192</v>
      </c>
      <c r="D3760" s="3">
        <v>37.0</v>
      </c>
      <c r="E3760" s="3">
        <v>0.25</v>
      </c>
      <c r="F3760" s="3">
        <v>3.57</v>
      </c>
      <c r="G3760" s="3">
        <v>5.02</v>
      </c>
    </row>
    <row r="3761">
      <c r="A3761" s="3">
        <v>171271.0</v>
      </c>
      <c r="B3761" s="3" t="s">
        <v>3788</v>
      </c>
      <c r="C3761" s="3" t="s">
        <v>192</v>
      </c>
      <c r="D3761" s="3">
        <v>41.0</v>
      </c>
      <c r="E3761" s="3">
        <v>0.25</v>
      </c>
      <c r="F3761" s="3">
        <v>3.96</v>
      </c>
      <c r="G3761" s="3">
        <v>5.56</v>
      </c>
    </row>
    <row r="3762">
      <c r="A3762" s="3">
        <v>171272.0</v>
      </c>
      <c r="B3762" s="3" t="s">
        <v>3789</v>
      </c>
      <c r="C3762" s="3" t="s">
        <v>192</v>
      </c>
      <c r="D3762" s="3">
        <v>358.0</v>
      </c>
      <c r="E3762" s="3">
        <v>0.72</v>
      </c>
      <c r="F3762" s="3">
        <v>35.1</v>
      </c>
      <c r="G3762" s="3">
        <v>52.19</v>
      </c>
    </row>
    <row r="3763">
      <c r="A3763" s="3">
        <v>171273.0</v>
      </c>
      <c r="B3763" s="3" t="s">
        <v>3790</v>
      </c>
      <c r="C3763" s="3" t="s">
        <v>192</v>
      </c>
      <c r="D3763" s="3">
        <v>354.0</v>
      </c>
      <c r="E3763" s="3">
        <v>0.2</v>
      </c>
      <c r="F3763" s="3">
        <v>35.5</v>
      </c>
      <c r="G3763" s="3">
        <v>51.8</v>
      </c>
    </row>
    <row r="3764">
      <c r="A3764" s="3">
        <v>171274.0</v>
      </c>
      <c r="B3764" s="3" t="s">
        <v>3791</v>
      </c>
      <c r="C3764" s="3" t="s">
        <v>192</v>
      </c>
      <c r="D3764" s="3">
        <v>387.0</v>
      </c>
      <c r="E3764" s="3">
        <v>5.78</v>
      </c>
      <c r="F3764" s="3">
        <v>34.3</v>
      </c>
      <c r="G3764" s="3">
        <v>49.0</v>
      </c>
    </row>
    <row r="3765">
      <c r="A3765" s="3">
        <v>171275.0</v>
      </c>
      <c r="B3765" s="3" t="s">
        <v>3792</v>
      </c>
      <c r="C3765" s="3" t="s">
        <v>192</v>
      </c>
      <c r="D3765" s="3">
        <v>321.0</v>
      </c>
      <c r="E3765" s="3">
        <v>8.7</v>
      </c>
      <c r="F3765" s="3">
        <v>7.91</v>
      </c>
      <c r="G3765" s="3">
        <v>54.4</v>
      </c>
    </row>
    <row r="3766">
      <c r="A3766" s="3">
        <v>171276.0</v>
      </c>
      <c r="B3766" s="3" t="s">
        <v>3793</v>
      </c>
      <c r="C3766" s="3" t="s">
        <v>192</v>
      </c>
      <c r="D3766" s="3">
        <v>134.0</v>
      </c>
      <c r="E3766" s="3">
        <v>7.56</v>
      </c>
      <c r="F3766" s="3">
        <v>6.81</v>
      </c>
      <c r="G3766" s="3">
        <v>10.04</v>
      </c>
    </row>
    <row r="3767">
      <c r="A3767" s="3">
        <v>171277.0</v>
      </c>
      <c r="B3767" s="3" t="s">
        <v>3794</v>
      </c>
      <c r="C3767" s="3" t="s">
        <v>192</v>
      </c>
      <c r="D3767" s="3">
        <v>77.0</v>
      </c>
      <c r="E3767" s="3">
        <v>2.34</v>
      </c>
      <c r="F3767" s="3">
        <v>3.52</v>
      </c>
      <c r="G3767" s="3">
        <v>10.74</v>
      </c>
    </row>
    <row r="3768">
      <c r="A3768" s="3">
        <v>171278.0</v>
      </c>
      <c r="B3768" s="3" t="s">
        <v>3795</v>
      </c>
      <c r="C3768" s="3" t="s">
        <v>192</v>
      </c>
      <c r="D3768" s="3">
        <v>69.0</v>
      </c>
      <c r="E3768" s="3">
        <v>4.14</v>
      </c>
      <c r="F3768" s="3">
        <v>3.56</v>
      </c>
      <c r="G3768" s="3">
        <v>4.45</v>
      </c>
    </row>
    <row r="3769">
      <c r="A3769" s="3">
        <v>171279.0</v>
      </c>
      <c r="B3769" s="3" t="s">
        <v>3796</v>
      </c>
      <c r="C3769" s="3" t="s">
        <v>192</v>
      </c>
      <c r="D3769" s="3">
        <v>70.0</v>
      </c>
      <c r="E3769" s="3">
        <v>4.38</v>
      </c>
      <c r="F3769" s="3">
        <v>1.03</v>
      </c>
      <c r="G3769" s="3">
        <v>6.89</v>
      </c>
    </row>
    <row r="3770">
      <c r="A3770" s="3">
        <v>171280.0</v>
      </c>
      <c r="B3770" s="3" t="s">
        <v>3797</v>
      </c>
      <c r="C3770" s="3" t="s">
        <v>192</v>
      </c>
      <c r="D3770" s="3">
        <v>97.0</v>
      </c>
      <c r="E3770" s="3">
        <v>6.89</v>
      </c>
      <c r="F3770" s="3">
        <v>3.75</v>
      </c>
      <c r="G3770" s="3">
        <v>5.18</v>
      </c>
    </row>
    <row r="3771">
      <c r="A3771" s="3">
        <v>171281.0</v>
      </c>
      <c r="B3771" s="3" t="s">
        <v>3798</v>
      </c>
      <c r="C3771" s="3" t="s">
        <v>192</v>
      </c>
      <c r="D3771" s="3">
        <v>339.0</v>
      </c>
      <c r="E3771" s="3">
        <v>0.54</v>
      </c>
      <c r="F3771" s="3">
        <v>11.73</v>
      </c>
      <c r="G3771" s="3">
        <v>73.45</v>
      </c>
    </row>
    <row r="3772">
      <c r="A3772" s="3">
        <v>171282.0</v>
      </c>
      <c r="B3772" s="3" t="s">
        <v>3799</v>
      </c>
      <c r="C3772" s="3" t="s">
        <v>192</v>
      </c>
      <c r="D3772" s="3">
        <v>27.0</v>
      </c>
      <c r="E3772" s="3">
        <v>0.36</v>
      </c>
      <c r="F3772" s="3">
        <v>0.85</v>
      </c>
      <c r="G3772" s="3">
        <v>5.14</v>
      </c>
    </row>
    <row r="3773">
      <c r="A3773" s="3">
        <v>171283.0</v>
      </c>
      <c r="B3773" s="3" t="s">
        <v>3800</v>
      </c>
      <c r="C3773" s="3" t="s">
        <v>192</v>
      </c>
      <c r="D3773" s="3">
        <v>353.0</v>
      </c>
      <c r="E3773" s="3">
        <v>1.07</v>
      </c>
      <c r="F3773" s="3">
        <v>12.93</v>
      </c>
      <c r="G3773" s="3">
        <v>74.46</v>
      </c>
    </row>
    <row r="3774">
      <c r="A3774" s="3">
        <v>171284.0</v>
      </c>
      <c r="B3774" s="3" t="s">
        <v>3801</v>
      </c>
      <c r="C3774" s="3" t="s">
        <v>192</v>
      </c>
      <c r="D3774" s="3">
        <v>61.0</v>
      </c>
      <c r="E3774" s="3">
        <v>3.25</v>
      </c>
      <c r="F3774" s="3">
        <v>3.47</v>
      </c>
      <c r="G3774" s="3">
        <v>4.66</v>
      </c>
    </row>
    <row r="3775">
      <c r="A3775" s="3">
        <v>171285.0</v>
      </c>
      <c r="B3775" s="3" t="s">
        <v>3802</v>
      </c>
      <c r="C3775" s="3" t="s">
        <v>192</v>
      </c>
      <c r="D3775" s="3">
        <v>102.0</v>
      </c>
      <c r="E3775" s="3">
        <v>1.08</v>
      </c>
      <c r="F3775" s="3">
        <v>4.37</v>
      </c>
      <c r="G3775" s="3">
        <v>19.05</v>
      </c>
    </row>
    <row r="3776">
      <c r="A3776" s="3">
        <v>171286.0</v>
      </c>
      <c r="B3776" s="3" t="s">
        <v>3803</v>
      </c>
      <c r="C3776" s="3" t="s">
        <v>192</v>
      </c>
      <c r="D3776" s="3">
        <v>105.0</v>
      </c>
      <c r="E3776" s="3">
        <v>1.41</v>
      </c>
      <c r="F3776" s="3">
        <v>4.86</v>
      </c>
      <c r="G3776" s="3">
        <v>18.6</v>
      </c>
    </row>
    <row r="3777">
      <c r="A3777" s="3">
        <v>171287.0</v>
      </c>
      <c r="B3777" s="3" t="s">
        <v>3804</v>
      </c>
      <c r="C3777" s="3" t="s">
        <v>192</v>
      </c>
      <c r="D3777" s="3">
        <v>143.0</v>
      </c>
      <c r="E3777" s="3">
        <v>9.51</v>
      </c>
      <c r="F3777" s="3">
        <v>12.56</v>
      </c>
      <c r="G3777" s="3">
        <v>0.72</v>
      </c>
    </row>
    <row r="3778">
      <c r="A3778" s="3">
        <v>171288.0</v>
      </c>
      <c r="B3778" s="3" t="s">
        <v>3805</v>
      </c>
      <c r="C3778" s="3" t="s">
        <v>192</v>
      </c>
      <c r="D3778" s="3">
        <v>384.0</v>
      </c>
      <c r="E3778" s="3">
        <v>32.14</v>
      </c>
      <c r="F3778" s="3">
        <v>23.54</v>
      </c>
      <c r="G3778" s="3">
        <v>0.13</v>
      </c>
    </row>
    <row r="3779">
      <c r="A3779" s="3">
        <v>171289.0</v>
      </c>
      <c r="B3779" s="3" t="s">
        <v>3806</v>
      </c>
      <c r="C3779" s="3" t="s">
        <v>192</v>
      </c>
      <c r="D3779" s="3">
        <v>307.0</v>
      </c>
      <c r="E3779" s="3">
        <v>23.06</v>
      </c>
      <c r="F3779" s="3">
        <v>16.09</v>
      </c>
      <c r="G3779" s="3">
        <v>8.85</v>
      </c>
    </row>
    <row r="3780">
      <c r="A3780" s="3">
        <v>171290.0</v>
      </c>
      <c r="B3780" s="3" t="s">
        <v>3807</v>
      </c>
      <c r="C3780" s="3" t="s">
        <v>192</v>
      </c>
      <c r="D3780" s="3">
        <v>371.0</v>
      </c>
      <c r="E3780" s="3">
        <v>31.79</v>
      </c>
      <c r="F3780" s="3">
        <v>18.13</v>
      </c>
      <c r="G3780" s="3">
        <v>3.7</v>
      </c>
    </row>
    <row r="3781">
      <c r="A3781" s="3">
        <v>171291.0</v>
      </c>
      <c r="B3781" s="3" t="s">
        <v>3808</v>
      </c>
      <c r="C3781" s="3" t="s">
        <v>192</v>
      </c>
      <c r="D3781" s="3">
        <v>330.0</v>
      </c>
      <c r="E3781" s="3">
        <v>25.63</v>
      </c>
      <c r="F3781" s="3">
        <v>16.86</v>
      </c>
      <c r="G3781" s="3">
        <v>8.56</v>
      </c>
    </row>
    <row r="3782">
      <c r="A3782" s="3">
        <v>171292.0</v>
      </c>
      <c r="B3782" s="3" t="s">
        <v>3809</v>
      </c>
      <c r="C3782" s="3" t="s">
        <v>192</v>
      </c>
      <c r="D3782" s="3">
        <v>316.0</v>
      </c>
      <c r="E3782" s="3">
        <v>20.41</v>
      </c>
      <c r="F3782" s="3">
        <v>27.35</v>
      </c>
      <c r="G3782" s="3">
        <v>2.67</v>
      </c>
    </row>
    <row r="3783">
      <c r="A3783" s="3">
        <v>171293.0</v>
      </c>
      <c r="B3783" s="3" t="s">
        <v>3810</v>
      </c>
      <c r="C3783" s="3" t="s">
        <v>192</v>
      </c>
      <c r="D3783" s="3">
        <v>141.0</v>
      </c>
      <c r="E3783" s="3">
        <v>3.69</v>
      </c>
      <c r="F3783" s="3">
        <v>3.36</v>
      </c>
      <c r="G3783" s="3">
        <v>23.15</v>
      </c>
    </row>
    <row r="3784">
      <c r="A3784" s="3">
        <v>171294.0</v>
      </c>
      <c r="B3784" s="3" t="s">
        <v>3811</v>
      </c>
      <c r="C3784" s="3" t="s">
        <v>192</v>
      </c>
      <c r="D3784" s="3">
        <v>358.0</v>
      </c>
      <c r="E3784" s="3">
        <v>25.26</v>
      </c>
      <c r="F3784" s="3">
        <v>2.11</v>
      </c>
      <c r="G3784" s="3">
        <v>37.12</v>
      </c>
    </row>
    <row r="3785">
      <c r="A3785" s="3">
        <v>171295.0</v>
      </c>
      <c r="B3785" s="3" t="s">
        <v>3812</v>
      </c>
      <c r="C3785" s="3" t="s">
        <v>192</v>
      </c>
      <c r="D3785" s="3">
        <v>157.0</v>
      </c>
      <c r="E3785" s="3">
        <v>0.0</v>
      </c>
      <c r="F3785" s="3">
        <v>32.14</v>
      </c>
      <c r="G3785" s="3">
        <v>7.14</v>
      </c>
    </row>
    <row r="3786">
      <c r="A3786" s="3">
        <v>171296.0</v>
      </c>
      <c r="B3786" s="3" t="s">
        <v>3813</v>
      </c>
      <c r="C3786" s="3" t="s">
        <v>192</v>
      </c>
      <c r="D3786" s="3">
        <v>71.0</v>
      </c>
      <c r="E3786" s="3">
        <v>0.22</v>
      </c>
      <c r="F3786" s="3">
        <v>9.07</v>
      </c>
      <c r="G3786" s="3">
        <v>8.09</v>
      </c>
    </row>
    <row r="3787">
      <c r="A3787" s="3">
        <v>171297.0</v>
      </c>
      <c r="B3787" s="3" t="s">
        <v>3814</v>
      </c>
      <c r="C3787" s="3" t="s">
        <v>192</v>
      </c>
      <c r="D3787" s="3">
        <v>106.0</v>
      </c>
      <c r="E3787" s="3">
        <v>2.92</v>
      </c>
      <c r="F3787" s="3">
        <v>8.25</v>
      </c>
      <c r="G3787" s="3">
        <v>11.67</v>
      </c>
    </row>
    <row r="3788">
      <c r="A3788" s="3">
        <v>171298.0</v>
      </c>
      <c r="B3788" s="3" t="s">
        <v>3815</v>
      </c>
      <c r="C3788" s="3" t="s">
        <v>192</v>
      </c>
      <c r="D3788" s="3">
        <v>85.0</v>
      </c>
      <c r="E3788" s="3">
        <v>0.14</v>
      </c>
      <c r="F3788" s="3">
        <v>8.12</v>
      </c>
      <c r="G3788" s="3">
        <v>12.72</v>
      </c>
    </row>
    <row r="3789">
      <c r="A3789" s="3">
        <v>171299.0</v>
      </c>
      <c r="B3789" s="3" t="s">
        <v>3816</v>
      </c>
      <c r="C3789" s="3" t="s">
        <v>192</v>
      </c>
      <c r="D3789" s="3">
        <v>84.0</v>
      </c>
      <c r="E3789" s="3">
        <v>0.22</v>
      </c>
      <c r="F3789" s="3">
        <v>8.03</v>
      </c>
      <c r="G3789" s="3">
        <v>12.53</v>
      </c>
    </row>
    <row r="3790">
      <c r="A3790" s="3">
        <v>171300.0</v>
      </c>
      <c r="B3790" s="3" t="s">
        <v>3817</v>
      </c>
      <c r="C3790" s="3" t="s">
        <v>192</v>
      </c>
      <c r="D3790" s="3">
        <v>105.0</v>
      </c>
      <c r="E3790" s="3">
        <v>2.57</v>
      </c>
      <c r="F3790" s="3">
        <v>8.17</v>
      </c>
      <c r="G3790" s="3">
        <v>12.29</v>
      </c>
    </row>
    <row r="3791">
      <c r="A3791" s="3">
        <v>171301.0</v>
      </c>
      <c r="B3791" s="3" t="s">
        <v>3818</v>
      </c>
      <c r="C3791" s="3" t="s">
        <v>192</v>
      </c>
      <c r="D3791" s="3">
        <v>62.0</v>
      </c>
      <c r="E3791" s="3">
        <v>0.9</v>
      </c>
      <c r="F3791" s="3">
        <v>3.39</v>
      </c>
      <c r="G3791" s="3">
        <v>10.2</v>
      </c>
    </row>
    <row r="3792">
      <c r="A3792" s="3">
        <v>171302.0</v>
      </c>
      <c r="B3792" s="3" t="s">
        <v>3819</v>
      </c>
      <c r="C3792" s="3" t="s">
        <v>192</v>
      </c>
      <c r="D3792" s="3">
        <v>107.0</v>
      </c>
      <c r="E3792" s="3">
        <v>2.0</v>
      </c>
      <c r="F3792" s="3">
        <v>6.67</v>
      </c>
      <c r="G3792" s="3">
        <v>15.74</v>
      </c>
    </row>
    <row r="3793">
      <c r="A3793" s="3">
        <v>171303.0</v>
      </c>
      <c r="B3793" s="3" t="s">
        <v>3820</v>
      </c>
      <c r="C3793" s="3" t="s">
        <v>192</v>
      </c>
      <c r="D3793" s="3">
        <v>67.0</v>
      </c>
      <c r="E3793" s="3">
        <v>0.0</v>
      </c>
      <c r="F3793" s="3">
        <v>3.39</v>
      </c>
      <c r="G3793" s="3">
        <v>13.46</v>
      </c>
    </row>
    <row r="3794">
      <c r="A3794" s="3">
        <v>171304.0</v>
      </c>
      <c r="B3794" s="3" t="s">
        <v>3821</v>
      </c>
      <c r="C3794" s="3" t="s">
        <v>192</v>
      </c>
      <c r="D3794" s="3">
        <v>97.0</v>
      </c>
      <c r="E3794" s="3">
        <v>5.0</v>
      </c>
      <c r="F3794" s="3">
        <v>9.0</v>
      </c>
      <c r="G3794" s="3">
        <v>3.98</v>
      </c>
    </row>
    <row r="3795">
      <c r="A3795" s="3">
        <v>171305.0</v>
      </c>
      <c r="B3795" s="3" t="s">
        <v>3822</v>
      </c>
      <c r="C3795" s="3" t="s">
        <v>192</v>
      </c>
      <c r="D3795" s="3">
        <v>303.0</v>
      </c>
      <c r="E3795" s="3">
        <v>25.84</v>
      </c>
      <c r="F3795" s="3">
        <v>5.62</v>
      </c>
      <c r="G3795" s="3">
        <v>11.89</v>
      </c>
    </row>
    <row r="3796">
      <c r="A3796" s="3">
        <v>171306.0</v>
      </c>
      <c r="B3796" s="3" t="s">
        <v>3823</v>
      </c>
      <c r="C3796" s="3" t="s">
        <v>192</v>
      </c>
      <c r="D3796" s="3">
        <v>254.0</v>
      </c>
      <c r="E3796" s="3">
        <v>14.0</v>
      </c>
      <c r="F3796" s="3">
        <v>3.0</v>
      </c>
      <c r="G3796" s="3">
        <v>28.89</v>
      </c>
    </row>
    <row r="3797">
      <c r="A3797" s="3">
        <v>171307.0</v>
      </c>
      <c r="B3797" s="3" t="s">
        <v>3824</v>
      </c>
      <c r="C3797" s="3" t="s">
        <v>192</v>
      </c>
      <c r="D3797" s="3">
        <v>165.0</v>
      </c>
      <c r="E3797" s="3">
        <v>3.08</v>
      </c>
      <c r="F3797" s="3">
        <v>1.54</v>
      </c>
      <c r="G3797" s="3">
        <v>32.75</v>
      </c>
    </row>
    <row r="3798">
      <c r="A3798" s="3">
        <v>171308.0</v>
      </c>
      <c r="B3798" s="3" t="s">
        <v>3825</v>
      </c>
      <c r="C3798" s="3" t="s">
        <v>192</v>
      </c>
      <c r="D3798" s="3">
        <v>72.0</v>
      </c>
      <c r="E3798" s="3">
        <v>5.0</v>
      </c>
      <c r="F3798" s="3">
        <v>3.33</v>
      </c>
      <c r="G3798" s="3">
        <v>3.33</v>
      </c>
    </row>
    <row r="3799">
      <c r="A3799" s="3">
        <v>171309.0</v>
      </c>
      <c r="B3799" s="3" t="s">
        <v>3826</v>
      </c>
      <c r="C3799" s="3" t="s">
        <v>318</v>
      </c>
      <c r="D3799" s="3">
        <v>82.0</v>
      </c>
      <c r="E3799" s="3">
        <v>4.01</v>
      </c>
      <c r="F3799" s="3">
        <v>8.24</v>
      </c>
      <c r="G3799" s="3">
        <v>3.24</v>
      </c>
    </row>
    <row r="3800">
      <c r="A3800" s="3">
        <v>171310.0</v>
      </c>
      <c r="B3800" s="3" t="s">
        <v>3827</v>
      </c>
      <c r="C3800" s="3" t="s">
        <v>318</v>
      </c>
      <c r="D3800" s="3">
        <v>78.0</v>
      </c>
      <c r="E3800" s="3">
        <v>0.15</v>
      </c>
      <c r="F3800" s="3">
        <v>8.62</v>
      </c>
      <c r="G3800" s="3">
        <v>10.66</v>
      </c>
    </row>
    <row r="3801">
      <c r="A3801" s="3">
        <v>171311.0</v>
      </c>
      <c r="B3801" s="3" t="s">
        <v>3828</v>
      </c>
      <c r="C3801" s="3" t="s">
        <v>318</v>
      </c>
      <c r="D3801" s="3">
        <v>80.0</v>
      </c>
      <c r="E3801" s="3">
        <v>0.11</v>
      </c>
      <c r="F3801" s="3">
        <v>7.76</v>
      </c>
      <c r="G3801" s="3">
        <v>11.9</v>
      </c>
    </row>
    <row r="3802">
      <c r="A3802" s="3">
        <v>171312.0</v>
      </c>
      <c r="B3802" s="3" t="s">
        <v>3829</v>
      </c>
      <c r="C3802" s="3" t="s">
        <v>318</v>
      </c>
      <c r="D3802" s="3">
        <v>54.0</v>
      </c>
      <c r="E3802" s="3">
        <v>0.24</v>
      </c>
      <c r="F3802" s="3">
        <v>9.53</v>
      </c>
      <c r="G3802" s="3">
        <v>3.43</v>
      </c>
    </row>
    <row r="3803">
      <c r="A3803" s="3">
        <v>171313.0</v>
      </c>
      <c r="B3803" s="3" t="s">
        <v>3830</v>
      </c>
      <c r="C3803" s="3" t="s">
        <v>318</v>
      </c>
      <c r="D3803" s="3">
        <v>81.0</v>
      </c>
      <c r="E3803" s="3">
        <v>0.22</v>
      </c>
      <c r="F3803" s="3">
        <v>7.65</v>
      </c>
      <c r="G3803" s="3">
        <v>11.98</v>
      </c>
    </row>
    <row r="3804">
      <c r="A3804" s="3">
        <v>171314.0</v>
      </c>
      <c r="B3804" s="3" t="s">
        <v>3831</v>
      </c>
      <c r="C3804" s="3" t="s">
        <v>318</v>
      </c>
      <c r="D3804" s="3">
        <v>900.0</v>
      </c>
      <c r="E3804" s="3">
        <v>100.0</v>
      </c>
      <c r="F3804" s="3">
        <v>0.0</v>
      </c>
      <c r="G3804" s="3">
        <v>0.0</v>
      </c>
    </row>
    <row r="3805">
      <c r="A3805" s="3">
        <v>171315.0</v>
      </c>
      <c r="B3805" s="3" t="s">
        <v>3832</v>
      </c>
      <c r="C3805" s="3" t="s">
        <v>3434</v>
      </c>
      <c r="D3805" s="3">
        <v>263.0</v>
      </c>
      <c r="E3805" s="3">
        <v>8.69</v>
      </c>
      <c r="F3805" s="3">
        <v>6.09</v>
      </c>
      <c r="G3805" s="3">
        <v>72.12</v>
      </c>
    </row>
    <row r="3806">
      <c r="A3806" s="3">
        <v>171316.0</v>
      </c>
      <c r="B3806" s="3" t="s">
        <v>3833</v>
      </c>
      <c r="C3806" s="3" t="s">
        <v>3434</v>
      </c>
      <c r="D3806" s="3">
        <v>337.0</v>
      </c>
      <c r="E3806" s="3">
        <v>15.9</v>
      </c>
      <c r="F3806" s="3">
        <v>17.6</v>
      </c>
      <c r="G3806" s="3">
        <v>50.02</v>
      </c>
    </row>
    <row r="3807">
      <c r="A3807" s="3">
        <v>171317.0</v>
      </c>
      <c r="B3807" s="3" t="s">
        <v>3834</v>
      </c>
      <c r="C3807" s="3" t="s">
        <v>3434</v>
      </c>
      <c r="D3807" s="3">
        <v>233.0</v>
      </c>
      <c r="E3807" s="3">
        <v>4.07</v>
      </c>
      <c r="F3807" s="3">
        <v>22.98</v>
      </c>
      <c r="G3807" s="3">
        <v>47.75</v>
      </c>
    </row>
    <row r="3808">
      <c r="A3808" s="3">
        <v>171318.0</v>
      </c>
      <c r="B3808" s="3" t="s">
        <v>3835</v>
      </c>
      <c r="C3808" s="3" t="s">
        <v>3434</v>
      </c>
      <c r="D3808" s="3">
        <v>237.0</v>
      </c>
      <c r="E3808" s="3">
        <v>3.9</v>
      </c>
      <c r="F3808" s="3">
        <v>23.2</v>
      </c>
      <c r="G3808" s="3">
        <v>49.1</v>
      </c>
    </row>
    <row r="3809">
      <c r="A3809" s="3">
        <v>171319.0</v>
      </c>
      <c r="B3809" s="3" t="s">
        <v>3836</v>
      </c>
      <c r="C3809" s="3" t="s">
        <v>3434</v>
      </c>
      <c r="D3809" s="3">
        <v>282.0</v>
      </c>
      <c r="E3809" s="3">
        <v>14.28</v>
      </c>
      <c r="F3809" s="3">
        <v>13.46</v>
      </c>
      <c r="G3809" s="3">
        <v>49.7</v>
      </c>
    </row>
    <row r="3810">
      <c r="A3810" s="3">
        <v>171320.0</v>
      </c>
      <c r="B3810" s="3" t="s">
        <v>3837</v>
      </c>
      <c r="C3810" s="3" t="s">
        <v>3434</v>
      </c>
      <c r="D3810" s="3">
        <v>247.0</v>
      </c>
      <c r="E3810" s="3">
        <v>1.24</v>
      </c>
      <c r="F3810" s="3">
        <v>3.99</v>
      </c>
      <c r="G3810" s="3">
        <v>80.59</v>
      </c>
    </row>
    <row r="3811">
      <c r="A3811" s="3">
        <v>171321.0</v>
      </c>
      <c r="B3811" s="3" t="s">
        <v>3838</v>
      </c>
      <c r="C3811" s="3" t="s">
        <v>3434</v>
      </c>
      <c r="D3811" s="3">
        <v>274.0</v>
      </c>
      <c r="E3811" s="3">
        <v>13.0</v>
      </c>
      <c r="F3811" s="3">
        <v>5.97</v>
      </c>
      <c r="G3811" s="3">
        <v>65.53</v>
      </c>
    </row>
    <row r="3812">
      <c r="A3812" s="3">
        <v>171322.0</v>
      </c>
      <c r="B3812" s="3" t="s">
        <v>3839</v>
      </c>
      <c r="C3812" s="3" t="s">
        <v>3434</v>
      </c>
      <c r="D3812" s="3">
        <v>253.0</v>
      </c>
      <c r="E3812" s="3">
        <v>4.36</v>
      </c>
      <c r="F3812" s="3">
        <v>19.96</v>
      </c>
      <c r="G3812" s="3">
        <v>55.82</v>
      </c>
    </row>
    <row r="3813">
      <c r="A3813" s="3">
        <v>171323.0</v>
      </c>
      <c r="B3813" s="3" t="s">
        <v>3840</v>
      </c>
      <c r="C3813" s="3" t="s">
        <v>3434</v>
      </c>
      <c r="D3813" s="3">
        <v>345.0</v>
      </c>
      <c r="E3813" s="3">
        <v>14.87</v>
      </c>
      <c r="F3813" s="3">
        <v>15.8</v>
      </c>
      <c r="G3813" s="3">
        <v>52.29</v>
      </c>
    </row>
    <row r="3814">
      <c r="A3814" s="3">
        <v>171324.0</v>
      </c>
      <c r="B3814" s="3" t="s">
        <v>3841</v>
      </c>
      <c r="C3814" s="3" t="s">
        <v>3434</v>
      </c>
      <c r="D3814" s="3">
        <v>323.0</v>
      </c>
      <c r="E3814" s="3">
        <v>6.41</v>
      </c>
      <c r="F3814" s="3">
        <v>23.0</v>
      </c>
      <c r="G3814" s="3">
        <v>58.35</v>
      </c>
    </row>
    <row r="3815">
      <c r="A3815" s="3">
        <v>171325.0</v>
      </c>
      <c r="B3815" s="3" t="s">
        <v>3842</v>
      </c>
      <c r="C3815" s="3" t="s">
        <v>3434</v>
      </c>
      <c r="D3815" s="3">
        <v>331.0</v>
      </c>
      <c r="E3815" s="3">
        <v>0.73</v>
      </c>
      <c r="F3815" s="3">
        <v>16.55</v>
      </c>
      <c r="G3815" s="3">
        <v>72.73</v>
      </c>
    </row>
    <row r="3816">
      <c r="A3816" s="3">
        <v>171326.0</v>
      </c>
      <c r="B3816" s="3" t="s">
        <v>3843</v>
      </c>
      <c r="C3816" s="3" t="s">
        <v>3434</v>
      </c>
      <c r="D3816" s="3">
        <v>525.0</v>
      </c>
      <c r="E3816" s="3">
        <v>36.31</v>
      </c>
      <c r="F3816" s="3">
        <v>5.84</v>
      </c>
      <c r="G3816" s="3">
        <v>49.29</v>
      </c>
    </row>
    <row r="3817">
      <c r="A3817" s="3">
        <v>171327.0</v>
      </c>
      <c r="B3817" s="3" t="s">
        <v>3844</v>
      </c>
      <c r="C3817" s="3" t="s">
        <v>3434</v>
      </c>
      <c r="D3817" s="3">
        <v>341.0</v>
      </c>
      <c r="E3817" s="3">
        <v>1.04</v>
      </c>
      <c r="F3817" s="3">
        <v>10.41</v>
      </c>
      <c r="G3817" s="3">
        <v>79.12</v>
      </c>
    </row>
    <row r="3818">
      <c r="A3818" s="3">
        <v>171328.0</v>
      </c>
      <c r="B3818" s="3" t="s">
        <v>3845</v>
      </c>
      <c r="C3818" s="3" t="s">
        <v>3434</v>
      </c>
      <c r="D3818" s="3">
        <v>265.0</v>
      </c>
      <c r="E3818" s="3">
        <v>4.28</v>
      </c>
      <c r="F3818" s="3">
        <v>9.0</v>
      </c>
      <c r="G3818" s="3">
        <v>68.92</v>
      </c>
    </row>
    <row r="3819">
      <c r="A3819" s="3">
        <v>171329.0</v>
      </c>
      <c r="B3819" s="3" t="s">
        <v>3846</v>
      </c>
      <c r="C3819" s="3" t="s">
        <v>3434</v>
      </c>
      <c r="D3819" s="3">
        <v>282.0</v>
      </c>
      <c r="E3819" s="3">
        <v>12.89</v>
      </c>
      <c r="F3819" s="3">
        <v>14.14</v>
      </c>
      <c r="G3819" s="3">
        <v>53.99</v>
      </c>
    </row>
    <row r="3820">
      <c r="A3820" s="3">
        <v>171330.0</v>
      </c>
      <c r="B3820" s="3" t="s">
        <v>3847</v>
      </c>
      <c r="C3820" s="3" t="s">
        <v>3434</v>
      </c>
      <c r="D3820" s="3">
        <v>525.0</v>
      </c>
      <c r="E3820" s="3">
        <v>41.56</v>
      </c>
      <c r="F3820" s="3">
        <v>17.99</v>
      </c>
      <c r="G3820" s="3">
        <v>28.13</v>
      </c>
    </row>
    <row r="3821">
      <c r="A3821" s="3">
        <v>171331.0</v>
      </c>
      <c r="B3821" s="3" t="s">
        <v>3848</v>
      </c>
      <c r="C3821" s="3" t="s">
        <v>3434</v>
      </c>
      <c r="D3821" s="3">
        <v>307.0</v>
      </c>
      <c r="E3821" s="3">
        <v>7.53</v>
      </c>
      <c r="F3821" s="3">
        <v>9.59</v>
      </c>
      <c r="G3821" s="3">
        <v>65.59</v>
      </c>
    </row>
    <row r="3822">
      <c r="A3822" s="3">
        <v>171332.0</v>
      </c>
      <c r="B3822" s="3" t="s">
        <v>3849</v>
      </c>
      <c r="C3822" s="3" t="s">
        <v>3434</v>
      </c>
      <c r="D3822" s="3">
        <v>342.0</v>
      </c>
      <c r="E3822" s="3">
        <v>12.6</v>
      </c>
      <c r="F3822" s="3">
        <v>5.76</v>
      </c>
      <c r="G3822" s="3">
        <v>69.28</v>
      </c>
    </row>
    <row r="3823">
      <c r="A3823" s="3">
        <v>171333.0</v>
      </c>
      <c r="B3823" s="3" t="s">
        <v>3850</v>
      </c>
      <c r="C3823" s="3" t="s">
        <v>3434</v>
      </c>
      <c r="D3823" s="3">
        <v>331.0</v>
      </c>
      <c r="E3823" s="3">
        <v>15.22</v>
      </c>
      <c r="F3823" s="3">
        <v>4.88</v>
      </c>
      <c r="G3823" s="3">
        <v>64.06</v>
      </c>
    </row>
    <row r="3824">
      <c r="A3824" s="3">
        <v>171334.0</v>
      </c>
      <c r="B3824" s="3" t="s">
        <v>3851</v>
      </c>
      <c r="C3824" s="3" t="s">
        <v>196</v>
      </c>
      <c r="D3824" s="3">
        <v>65.0</v>
      </c>
      <c r="E3824" s="3">
        <v>0.4</v>
      </c>
      <c r="F3824" s="3">
        <v>1.4</v>
      </c>
      <c r="G3824" s="3">
        <v>16.25</v>
      </c>
    </row>
    <row r="3825">
      <c r="A3825" s="3">
        <v>171335.0</v>
      </c>
      <c r="B3825" s="3" t="s">
        <v>3852</v>
      </c>
      <c r="C3825" s="3" t="s">
        <v>196</v>
      </c>
      <c r="D3825" s="3">
        <v>56.0</v>
      </c>
      <c r="E3825" s="3">
        <v>0.1</v>
      </c>
      <c r="F3825" s="3">
        <v>0.4</v>
      </c>
      <c r="G3825" s="3">
        <v>15.3</v>
      </c>
    </row>
    <row r="3826">
      <c r="A3826" s="3">
        <v>171336.0</v>
      </c>
      <c r="B3826" s="3" t="s">
        <v>3853</v>
      </c>
      <c r="C3826" s="3" t="s">
        <v>196</v>
      </c>
      <c r="D3826" s="3">
        <v>65.0</v>
      </c>
      <c r="E3826" s="3">
        <v>0.33</v>
      </c>
      <c r="F3826" s="3">
        <v>0.94</v>
      </c>
      <c r="G3826" s="3">
        <v>14.48</v>
      </c>
    </row>
    <row r="3827">
      <c r="A3827" s="3">
        <v>171337.0</v>
      </c>
      <c r="B3827" s="3" t="s">
        <v>3854</v>
      </c>
      <c r="C3827" s="3" t="s">
        <v>196</v>
      </c>
      <c r="D3827" s="3">
        <v>65.0</v>
      </c>
      <c r="E3827" s="3">
        <v>0.33</v>
      </c>
      <c r="F3827" s="3">
        <v>0.94</v>
      </c>
      <c r="G3827" s="3">
        <v>14.48</v>
      </c>
    </row>
    <row r="3828">
      <c r="A3828" s="3">
        <v>171338.0</v>
      </c>
      <c r="B3828" s="3" t="s">
        <v>3855</v>
      </c>
      <c r="C3828" s="3" t="s">
        <v>196</v>
      </c>
      <c r="D3828" s="3">
        <v>42.0</v>
      </c>
      <c r="E3828" s="3">
        <v>0.2</v>
      </c>
      <c r="F3828" s="3">
        <v>0.3</v>
      </c>
      <c r="G3828" s="3">
        <v>10.8</v>
      </c>
    </row>
    <row r="3829">
      <c r="A3829" s="3">
        <v>171339.0</v>
      </c>
      <c r="B3829" s="3" t="s">
        <v>3856</v>
      </c>
      <c r="C3829" s="3" t="s">
        <v>196</v>
      </c>
      <c r="D3829" s="3">
        <v>70.0</v>
      </c>
      <c r="E3829" s="3">
        <v>0.1</v>
      </c>
      <c r="F3829" s="3">
        <v>0.6</v>
      </c>
      <c r="G3829" s="3">
        <v>18.7</v>
      </c>
    </row>
    <row r="3830">
      <c r="A3830" s="3">
        <v>171340.0</v>
      </c>
      <c r="B3830" s="3" t="s">
        <v>3857</v>
      </c>
      <c r="C3830" s="3" t="s">
        <v>196</v>
      </c>
      <c r="D3830" s="3">
        <v>100.0</v>
      </c>
      <c r="E3830" s="3">
        <v>0.2</v>
      </c>
      <c r="F3830" s="3">
        <v>1.0</v>
      </c>
      <c r="G3830" s="3">
        <v>23.52</v>
      </c>
    </row>
    <row r="3831">
      <c r="A3831" s="3">
        <v>171341.0</v>
      </c>
      <c r="B3831" s="3" t="s">
        <v>3858</v>
      </c>
      <c r="C3831" s="3" t="s">
        <v>196</v>
      </c>
      <c r="D3831" s="3">
        <v>70.0</v>
      </c>
      <c r="E3831" s="3">
        <v>0.2</v>
      </c>
      <c r="F3831" s="3">
        <v>0.3</v>
      </c>
      <c r="G3831" s="3">
        <v>19.0</v>
      </c>
    </row>
    <row r="3832">
      <c r="A3832" s="3">
        <v>171342.0</v>
      </c>
      <c r="B3832" s="3" t="s">
        <v>3859</v>
      </c>
      <c r="C3832" s="3" t="s">
        <v>196</v>
      </c>
      <c r="D3832" s="3">
        <v>57.0</v>
      </c>
      <c r="E3832" s="3">
        <v>0.1</v>
      </c>
      <c r="F3832" s="3">
        <v>0.3</v>
      </c>
      <c r="G3832" s="3">
        <v>13.6</v>
      </c>
    </row>
    <row r="3833">
      <c r="A3833" s="3">
        <v>171343.0</v>
      </c>
      <c r="B3833" s="3" t="s">
        <v>3860</v>
      </c>
      <c r="C3833" s="3" t="s">
        <v>196</v>
      </c>
      <c r="D3833" s="3">
        <v>37.0</v>
      </c>
      <c r="E3833" s="3">
        <v>0.1</v>
      </c>
      <c r="F3833" s="3">
        <v>0.1</v>
      </c>
      <c r="G3833" s="3">
        <v>10.1</v>
      </c>
    </row>
    <row r="3834">
      <c r="A3834" s="3">
        <v>171344.0</v>
      </c>
      <c r="B3834" s="3" t="s">
        <v>3861</v>
      </c>
      <c r="C3834" s="3" t="s">
        <v>196</v>
      </c>
      <c r="D3834" s="3">
        <v>39.0</v>
      </c>
      <c r="E3834" s="3">
        <v>0.1</v>
      </c>
      <c r="F3834" s="3">
        <v>0.1</v>
      </c>
      <c r="G3834" s="3">
        <v>10.5</v>
      </c>
    </row>
    <row r="3835">
      <c r="A3835" s="3">
        <v>171345.0</v>
      </c>
      <c r="B3835" s="3" t="s">
        <v>3862</v>
      </c>
      <c r="C3835" s="3" t="s">
        <v>196</v>
      </c>
      <c r="D3835" s="3">
        <v>58.0</v>
      </c>
      <c r="E3835" s="3">
        <v>0.2</v>
      </c>
      <c r="F3835" s="3">
        <v>0.2</v>
      </c>
      <c r="G3835" s="3">
        <v>15.6</v>
      </c>
    </row>
    <row r="3836">
      <c r="A3836" s="3">
        <v>171346.0</v>
      </c>
      <c r="B3836" s="3" t="s">
        <v>3863</v>
      </c>
      <c r="C3836" s="3" t="s">
        <v>196</v>
      </c>
      <c r="D3836" s="3">
        <v>58.0</v>
      </c>
      <c r="E3836" s="3">
        <v>0.2</v>
      </c>
      <c r="F3836" s="3">
        <v>0.2</v>
      </c>
      <c r="G3836" s="3">
        <v>15.4</v>
      </c>
    </row>
    <row r="3837">
      <c r="A3837" s="3">
        <v>171347.0</v>
      </c>
      <c r="B3837" s="3" t="s">
        <v>3864</v>
      </c>
      <c r="C3837" s="3" t="s">
        <v>196</v>
      </c>
      <c r="D3837" s="3">
        <v>44.0</v>
      </c>
      <c r="E3837" s="3">
        <v>0.2</v>
      </c>
      <c r="F3837" s="3">
        <v>0.3</v>
      </c>
      <c r="G3837" s="3">
        <v>11.4</v>
      </c>
    </row>
    <row r="3838">
      <c r="A3838" s="3">
        <v>171348.0</v>
      </c>
      <c r="B3838" s="3" t="s">
        <v>3865</v>
      </c>
      <c r="C3838" s="3" t="s">
        <v>196</v>
      </c>
      <c r="D3838" s="3">
        <v>63.0</v>
      </c>
      <c r="E3838" s="3">
        <v>0.1</v>
      </c>
      <c r="F3838" s="3">
        <v>0.2</v>
      </c>
      <c r="G3838" s="3">
        <v>17.0</v>
      </c>
    </row>
    <row r="3839">
      <c r="A3839" s="3">
        <v>171349.0</v>
      </c>
      <c r="B3839" s="3" t="s">
        <v>3866</v>
      </c>
      <c r="C3839" s="3" t="s">
        <v>196</v>
      </c>
      <c r="D3839" s="3">
        <v>51.0</v>
      </c>
      <c r="E3839" s="3">
        <v>0.2</v>
      </c>
      <c r="F3839" s="3">
        <v>0.5</v>
      </c>
      <c r="G3839" s="3">
        <v>11.8</v>
      </c>
    </row>
    <row r="3840">
      <c r="A3840" s="3">
        <v>171350.0</v>
      </c>
      <c r="B3840" s="3" t="s">
        <v>3867</v>
      </c>
      <c r="C3840" s="3" t="s">
        <v>196</v>
      </c>
      <c r="D3840" s="3">
        <v>70.0</v>
      </c>
      <c r="E3840" s="3">
        <v>0.1</v>
      </c>
      <c r="F3840" s="3">
        <v>0.2</v>
      </c>
      <c r="G3840" s="3">
        <v>18.9</v>
      </c>
    </row>
    <row r="3841">
      <c r="A3841" s="3">
        <v>171351.0</v>
      </c>
      <c r="B3841" s="3" t="s">
        <v>3868</v>
      </c>
      <c r="C3841" s="3" t="s">
        <v>196</v>
      </c>
      <c r="D3841" s="3">
        <v>51.0</v>
      </c>
      <c r="E3841" s="3">
        <v>0.1</v>
      </c>
      <c r="F3841" s="3">
        <v>0.2</v>
      </c>
      <c r="G3841" s="3">
        <v>12.3</v>
      </c>
    </row>
    <row r="3842">
      <c r="A3842" s="3">
        <v>171352.0</v>
      </c>
      <c r="B3842" s="3" t="s">
        <v>3869</v>
      </c>
      <c r="C3842" s="3" t="s">
        <v>196</v>
      </c>
      <c r="D3842" s="3">
        <v>43.0</v>
      </c>
      <c r="E3842" s="3">
        <v>0.1</v>
      </c>
      <c r="F3842" s="3">
        <v>0.2</v>
      </c>
      <c r="G3842" s="3">
        <v>10.5</v>
      </c>
    </row>
    <row r="3843">
      <c r="A3843" s="3">
        <v>171353.0</v>
      </c>
      <c r="B3843" s="3" t="s">
        <v>3870</v>
      </c>
      <c r="C3843" s="3" t="s">
        <v>196</v>
      </c>
      <c r="D3843" s="3">
        <v>72.0</v>
      </c>
      <c r="E3843" s="3">
        <v>0.1</v>
      </c>
      <c r="F3843" s="3">
        <v>0.2</v>
      </c>
      <c r="G3843" s="3">
        <v>18.1</v>
      </c>
    </row>
    <row r="3844">
      <c r="A3844" s="3">
        <v>171354.0</v>
      </c>
      <c r="B3844" s="3" t="s">
        <v>3871</v>
      </c>
      <c r="C3844" s="3" t="s">
        <v>196</v>
      </c>
      <c r="D3844" s="3">
        <v>45.0</v>
      </c>
      <c r="E3844" s="3">
        <v>0.3</v>
      </c>
      <c r="F3844" s="3">
        <v>0.6</v>
      </c>
      <c r="G3844" s="3">
        <v>10.2</v>
      </c>
    </row>
    <row r="3845">
      <c r="A3845" s="3">
        <v>171355.0</v>
      </c>
      <c r="B3845" s="3" t="s">
        <v>3872</v>
      </c>
      <c r="C3845" s="3" t="s">
        <v>196</v>
      </c>
      <c r="D3845" s="3">
        <v>43.0</v>
      </c>
      <c r="E3845" s="3">
        <v>0.2</v>
      </c>
      <c r="F3845" s="3">
        <v>0.4</v>
      </c>
      <c r="G3845" s="3">
        <v>10.1</v>
      </c>
    </row>
    <row r="3846">
      <c r="A3846" s="3">
        <v>171356.0</v>
      </c>
      <c r="B3846" s="3" t="s">
        <v>3873</v>
      </c>
      <c r="C3846" s="3" t="s">
        <v>196</v>
      </c>
      <c r="D3846" s="3">
        <v>70.0</v>
      </c>
      <c r="E3846" s="3">
        <v>0.3</v>
      </c>
      <c r="F3846" s="3">
        <v>0.6</v>
      </c>
      <c r="G3846" s="3">
        <v>16.8</v>
      </c>
    </row>
    <row r="3847">
      <c r="A3847" s="3">
        <v>171357.0</v>
      </c>
      <c r="B3847" s="3" t="s">
        <v>3874</v>
      </c>
      <c r="C3847" s="3" t="s">
        <v>196</v>
      </c>
      <c r="D3847" s="3">
        <v>47.0</v>
      </c>
      <c r="E3847" s="3">
        <v>0.1</v>
      </c>
      <c r="F3847" s="3">
        <v>0.1</v>
      </c>
      <c r="G3847" s="3">
        <v>11.7</v>
      </c>
    </row>
    <row r="3848">
      <c r="A3848" s="3">
        <v>171358.0</v>
      </c>
      <c r="B3848" s="3" t="s">
        <v>3875</v>
      </c>
      <c r="C3848" s="3" t="s">
        <v>196</v>
      </c>
      <c r="D3848" s="3">
        <v>376.0</v>
      </c>
      <c r="E3848" s="3">
        <v>6.6</v>
      </c>
      <c r="F3848" s="3">
        <v>13.2</v>
      </c>
      <c r="G3848" s="3">
        <v>69.4</v>
      </c>
    </row>
    <row r="3849">
      <c r="A3849" s="3">
        <v>171359.0</v>
      </c>
      <c r="B3849" s="3" t="s">
        <v>3876</v>
      </c>
      <c r="C3849" s="3" t="s">
        <v>196</v>
      </c>
      <c r="D3849" s="3">
        <v>402.0</v>
      </c>
      <c r="E3849" s="3">
        <v>4.8</v>
      </c>
      <c r="F3849" s="3">
        <v>6.6</v>
      </c>
      <c r="G3849" s="3">
        <v>83.2</v>
      </c>
    </row>
    <row r="3850">
      <c r="A3850" s="3">
        <v>171360.0</v>
      </c>
      <c r="B3850" s="3" t="s">
        <v>3877</v>
      </c>
      <c r="C3850" s="3" t="s">
        <v>196</v>
      </c>
      <c r="D3850" s="3">
        <v>394.0</v>
      </c>
      <c r="E3850" s="3">
        <v>6.36</v>
      </c>
      <c r="F3850" s="3">
        <v>10.99</v>
      </c>
      <c r="G3850" s="3">
        <v>73.48</v>
      </c>
    </row>
    <row r="3851">
      <c r="A3851" s="3">
        <v>171361.0</v>
      </c>
      <c r="B3851" s="3" t="s">
        <v>3878</v>
      </c>
      <c r="C3851" s="3" t="s">
        <v>196</v>
      </c>
      <c r="D3851" s="3">
        <v>399.0</v>
      </c>
      <c r="E3851" s="3">
        <v>6.67</v>
      </c>
      <c r="F3851" s="3">
        <v>6.67</v>
      </c>
      <c r="G3851" s="3">
        <v>78.07</v>
      </c>
    </row>
    <row r="3852">
      <c r="A3852" s="3">
        <v>171362.0</v>
      </c>
      <c r="B3852" s="3" t="s">
        <v>3879</v>
      </c>
      <c r="C3852" s="3" t="s">
        <v>196</v>
      </c>
      <c r="D3852" s="3">
        <v>75.0</v>
      </c>
      <c r="E3852" s="3">
        <v>0.89</v>
      </c>
      <c r="F3852" s="3">
        <v>0.89</v>
      </c>
      <c r="G3852" s="3">
        <v>15.62</v>
      </c>
    </row>
    <row r="3853">
      <c r="A3853" s="3">
        <v>171363.0</v>
      </c>
      <c r="B3853" s="3" t="s">
        <v>3880</v>
      </c>
      <c r="C3853" s="3" t="s">
        <v>196</v>
      </c>
      <c r="D3853" s="3">
        <v>76.0</v>
      </c>
      <c r="E3853" s="3">
        <v>0.89</v>
      </c>
      <c r="F3853" s="3">
        <v>0.89</v>
      </c>
      <c r="G3853" s="3">
        <v>16.03</v>
      </c>
    </row>
    <row r="3854">
      <c r="A3854" s="3">
        <v>171364.0</v>
      </c>
      <c r="B3854" s="3" t="s">
        <v>3881</v>
      </c>
      <c r="C3854" s="3" t="s">
        <v>196</v>
      </c>
      <c r="D3854" s="3">
        <v>52.0</v>
      </c>
      <c r="E3854" s="3">
        <v>1.8</v>
      </c>
      <c r="F3854" s="3">
        <v>1.9</v>
      </c>
      <c r="G3854" s="3">
        <v>7.1</v>
      </c>
    </row>
    <row r="3855">
      <c r="A3855" s="3">
        <v>171365.0</v>
      </c>
      <c r="B3855" s="3" t="s">
        <v>3882</v>
      </c>
      <c r="C3855" s="3" t="s">
        <v>196</v>
      </c>
      <c r="D3855" s="3">
        <v>58.0</v>
      </c>
      <c r="E3855" s="3">
        <v>1.5</v>
      </c>
      <c r="F3855" s="3">
        <v>2.2</v>
      </c>
      <c r="G3855" s="3">
        <v>8.0</v>
      </c>
    </row>
    <row r="3856">
      <c r="A3856" s="3">
        <v>171366.0</v>
      </c>
      <c r="B3856" s="3" t="s">
        <v>3883</v>
      </c>
      <c r="C3856" s="3" t="s">
        <v>196</v>
      </c>
      <c r="D3856" s="3">
        <v>79.0</v>
      </c>
      <c r="E3856" s="3">
        <v>5.0</v>
      </c>
      <c r="F3856" s="3">
        <v>2.5</v>
      </c>
      <c r="G3856" s="3">
        <v>6.2</v>
      </c>
    </row>
    <row r="3857">
      <c r="A3857" s="3">
        <v>171367.0</v>
      </c>
      <c r="B3857" s="3" t="s">
        <v>3884</v>
      </c>
      <c r="C3857" s="3" t="s">
        <v>196</v>
      </c>
      <c r="D3857" s="3">
        <v>402.0</v>
      </c>
      <c r="E3857" s="3">
        <v>7.05</v>
      </c>
      <c r="F3857" s="3">
        <v>10.5</v>
      </c>
      <c r="G3857" s="3">
        <v>74.1</v>
      </c>
    </row>
    <row r="3858">
      <c r="A3858" s="3">
        <v>171368.0</v>
      </c>
      <c r="B3858" s="3" t="s">
        <v>3885</v>
      </c>
      <c r="C3858" s="3" t="s">
        <v>196</v>
      </c>
      <c r="D3858" s="3">
        <v>435.0</v>
      </c>
      <c r="E3858" s="3">
        <v>12.6</v>
      </c>
      <c r="F3858" s="3">
        <v>6.8</v>
      </c>
      <c r="G3858" s="3">
        <v>73.7</v>
      </c>
    </row>
    <row r="3859">
      <c r="A3859" s="3">
        <v>171369.0</v>
      </c>
      <c r="B3859" s="3" t="s">
        <v>3886</v>
      </c>
      <c r="C3859" s="3" t="s">
        <v>196</v>
      </c>
      <c r="D3859" s="3">
        <v>424.0</v>
      </c>
      <c r="E3859" s="3">
        <v>10.0</v>
      </c>
      <c r="F3859" s="3">
        <v>7.6</v>
      </c>
      <c r="G3859" s="3">
        <v>75.4</v>
      </c>
    </row>
    <row r="3860">
      <c r="A3860" s="3">
        <v>171370.0</v>
      </c>
      <c r="B3860" s="3" t="s">
        <v>3887</v>
      </c>
      <c r="C3860" s="3" t="s">
        <v>196</v>
      </c>
      <c r="D3860" s="3">
        <v>397.0</v>
      </c>
      <c r="E3860" s="3">
        <v>2.0</v>
      </c>
      <c r="F3860" s="3">
        <v>10.8</v>
      </c>
      <c r="G3860" s="3">
        <v>82.2</v>
      </c>
    </row>
    <row r="3861">
      <c r="A3861" s="3">
        <v>171371.0</v>
      </c>
      <c r="B3861" s="3" t="s">
        <v>3888</v>
      </c>
      <c r="C3861" s="3" t="s">
        <v>196</v>
      </c>
      <c r="D3861" s="3">
        <v>407.0</v>
      </c>
      <c r="E3861" s="3">
        <v>9.27</v>
      </c>
      <c r="F3861" s="3">
        <v>7.97</v>
      </c>
      <c r="G3861" s="3">
        <v>72.48</v>
      </c>
    </row>
    <row r="3862">
      <c r="A3862" s="3">
        <v>171372.0</v>
      </c>
      <c r="B3862" s="3" t="s">
        <v>3889</v>
      </c>
      <c r="C3862" s="3" t="s">
        <v>196</v>
      </c>
      <c r="D3862" s="3">
        <v>426.0</v>
      </c>
      <c r="E3862" s="3">
        <v>9.7</v>
      </c>
      <c r="F3862" s="3">
        <v>10.1</v>
      </c>
      <c r="G3862" s="3">
        <v>74.2</v>
      </c>
    </row>
    <row r="3863">
      <c r="A3863" s="3">
        <v>171373.0</v>
      </c>
      <c r="B3863" s="3" t="s">
        <v>3890</v>
      </c>
      <c r="C3863" s="3" t="s">
        <v>196</v>
      </c>
      <c r="D3863" s="3">
        <v>69.0</v>
      </c>
      <c r="E3863" s="3">
        <v>0.2</v>
      </c>
      <c r="F3863" s="3">
        <v>0.2</v>
      </c>
      <c r="G3863" s="3">
        <v>18.4</v>
      </c>
    </row>
    <row r="3864">
      <c r="A3864" s="3">
        <v>171374.0</v>
      </c>
      <c r="B3864" s="3" t="s">
        <v>3891</v>
      </c>
      <c r="C3864" s="3" t="s">
        <v>196</v>
      </c>
      <c r="D3864" s="3">
        <v>80.0</v>
      </c>
      <c r="E3864" s="3">
        <v>0.9</v>
      </c>
      <c r="F3864" s="3">
        <v>1.1</v>
      </c>
      <c r="G3864" s="3">
        <v>17.7</v>
      </c>
    </row>
    <row r="3865">
      <c r="A3865" s="3">
        <v>171375.0</v>
      </c>
      <c r="B3865" s="3" t="s">
        <v>3892</v>
      </c>
      <c r="C3865" s="3" t="s">
        <v>196</v>
      </c>
      <c r="D3865" s="3">
        <v>65.0</v>
      </c>
      <c r="E3865" s="3">
        <v>0.0</v>
      </c>
      <c r="F3865" s="3">
        <v>0.3</v>
      </c>
      <c r="G3865" s="3">
        <v>17.8</v>
      </c>
    </row>
    <row r="3866">
      <c r="A3866" s="3">
        <v>171376.0</v>
      </c>
      <c r="B3866" s="3" t="s">
        <v>3893</v>
      </c>
      <c r="C3866" s="3" t="s">
        <v>196</v>
      </c>
      <c r="D3866" s="3">
        <v>67.0</v>
      </c>
      <c r="E3866" s="3">
        <v>0.0</v>
      </c>
      <c r="F3866" s="3">
        <v>0.3</v>
      </c>
      <c r="G3866" s="3">
        <v>18.3</v>
      </c>
    </row>
    <row r="3867">
      <c r="A3867" s="3">
        <v>171377.0</v>
      </c>
      <c r="B3867" s="3" t="s">
        <v>3894</v>
      </c>
      <c r="C3867" s="3" t="s">
        <v>196</v>
      </c>
      <c r="D3867" s="3">
        <v>63.0</v>
      </c>
      <c r="E3867" s="3">
        <v>0.0</v>
      </c>
      <c r="F3867" s="3">
        <v>0.3</v>
      </c>
      <c r="G3867" s="3">
        <v>17.2</v>
      </c>
    </row>
    <row r="3868">
      <c r="A3868" s="3">
        <v>171378.0</v>
      </c>
      <c r="B3868" s="3" t="s">
        <v>3895</v>
      </c>
      <c r="C3868" s="3" t="s">
        <v>196</v>
      </c>
      <c r="D3868" s="3">
        <v>60.0</v>
      </c>
      <c r="E3868" s="3">
        <v>0.0</v>
      </c>
      <c r="F3868" s="3">
        <v>0.2</v>
      </c>
      <c r="G3868" s="3">
        <v>16.4</v>
      </c>
    </row>
    <row r="3869">
      <c r="A3869" s="3">
        <v>171379.0</v>
      </c>
      <c r="B3869" s="3" t="s">
        <v>3896</v>
      </c>
      <c r="C3869" s="3" t="s">
        <v>196</v>
      </c>
      <c r="D3869" s="3">
        <v>85.0</v>
      </c>
      <c r="E3869" s="3">
        <v>2.0</v>
      </c>
      <c r="F3869" s="3">
        <v>1.6</v>
      </c>
      <c r="G3869" s="3">
        <v>16.0</v>
      </c>
    </row>
    <row r="3870">
      <c r="A3870" s="3">
        <v>171380.0</v>
      </c>
      <c r="B3870" s="3" t="s">
        <v>3897</v>
      </c>
      <c r="C3870" s="3" t="s">
        <v>196</v>
      </c>
      <c r="D3870" s="3">
        <v>86.0</v>
      </c>
      <c r="E3870" s="3">
        <v>0.98</v>
      </c>
      <c r="F3870" s="3">
        <v>1.76</v>
      </c>
      <c r="G3870" s="3">
        <v>17.58</v>
      </c>
    </row>
    <row r="3871">
      <c r="A3871" s="3">
        <v>171381.0</v>
      </c>
      <c r="B3871" s="3" t="s">
        <v>3898</v>
      </c>
      <c r="C3871" s="3" t="s">
        <v>196</v>
      </c>
      <c r="D3871" s="3">
        <v>46.0</v>
      </c>
      <c r="E3871" s="3">
        <v>0.2</v>
      </c>
      <c r="F3871" s="3">
        <v>0.1</v>
      </c>
      <c r="G3871" s="3">
        <v>11.34</v>
      </c>
    </row>
    <row r="3872">
      <c r="A3872" s="3">
        <v>171382.0</v>
      </c>
      <c r="B3872" s="3" t="s">
        <v>3899</v>
      </c>
      <c r="C3872" s="3" t="s">
        <v>196</v>
      </c>
      <c r="D3872" s="3">
        <v>128.0</v>
      </c>
      <c r="E3872" s="3">
        <v>6.98</v>
      </c>
      <c r="F3872" s="3">
        <v>3.13</v>
      </c>
      <c r="G3872" s="3">
        <v>13.21</v>
      </c>
    </row>
    <row r="3873">
      <c r="A3873" s="3">
        <v>171383.0</v>
      </c>
      <c r="B3873" s="3" t="s">
        <v>3900</v>
      </c>
      <c r="C3873" s="3" t="s">
        <v>196</v>
      </c>
      <c r="D3873" s="3">
        <v>66.0</v>
      </c>
      <c r="E3873" s="3">
        <v>3.59</v>
      </c>
      <c r="F3873" s="3">
        <v>1.61</v>
      </c>
      <c r="G3873" s="3">
        <v>6.7</v>
      </c>
    </row>
    <row r="3874">
      <c r="A3874" s="3">
        <v>171384.0</v>
      </c>
      <c r="B3874" s="3" t="s">
        <v>3901</v>
      </c>
      <c r="C3874" s="3" t="s">
        <v>196</v>
      </c>
      <c r="D3874" s="3">
        <v>517.0</v>
      </c>
      <c r="E3874" s="3">
        <v>28.09</v>
      </c>
      <c r="F3874" s="3">
        <v>12.6</v>
      </c>
      <c r="G3874" s="3">
        <v>53.57</v>
      </c>
    </row>
    <row r="3875">
      <c r="A3875" s="3">
        <v>171385.0</v>
      </c>
      <c r="B3875" s="3" t="s">
        <v>3902</v>
      </c>
      <c r="C3875" s="3" t="s">
        <v>196</v>
      </c>
      <c r="D3875" s="3">
        <v>66.0</v>
      </c>
      <c r="E3875" s="3">
        <v>3.37</v>
      </c>
      <c r="F3875" s="3">
        <v>1.45</v>
      </c>
      <c r="G3875" s="3">
        <v>7.39</v>
      </c>
    </row>
    <row r="3876">
      <c r="A3876" s="3">
        <v>171386.0</v>
      </c>
      <c r="B3876" s="3" t="s">
        <v>3903</v>
      </c>
      <c r="C3876" s="3" t="s">
        <v>196</v>
      </c>
      <c r="D3876" s="3">
        <v>66.0</v>
      </c>
      <c r="E3876" s="3">
        <v>3.37</v>
      </c>
      <c r="F3876" s="3">
        <v>1.45</v>
      </c>
      <c r="G3876" s="3">
        <v>7.39</v>
      </c>
    </row>
    <row r="3877">
      <c r="A3877" s="3">
        <v>171387.0</v>
      </c>
      <c r="B3877" s="3" t="s">
        <v>3904</v>
      </c>
      <c r="C3877" s="3" t="s">
        <v>196</v>
      </c>
      <c r="D3877" s="3">
        <v>68.0</v>
      </c>
      <c r="E3877" s="3">
        <v>3.5</v>
      </c>
      <c r="F3877" s="3">
        <v>1.51</v>
      </c>
      <c r="G3877" s="3">
        <v>7.6</v>
      </c>
    </row>
    <row r="3878">
      <c r="A3878" s="3">
        <v>171388.0</v>
      </c>
      <c r="B3878" s="3" t="s">
        <v>3905</v>
      </c>
      <c r="C3878" s="3" t="s">
        <v>196</v>
      </c>
      <c r="D3878" s="3">
        <v>344.0</v>
      </c>
      <c r="E3878" s="3">
        <v>5.3</v>
      </c>
      <c r="F3878" s="3">
        <v>5.43</v>
      </c>
      <c r="G3878" s="3">
        <v>68.63</v>
      </c>
    </row>
    <row r="3879">
      <c r="A3879" s="3">
        <v>171389.0</v>
      </c>
      <c r="B3879" s="3" t="s">
        <v>3906</v>
      </c>
      <c r="C3879" s="3" t="s">
        <v>196</v>
      </c>
      <c r="D3879" s="3">
        <v>516.0</v>
      </c>
      <c r="E3879" s="3">
        <v>27.0</v>
      </c>
      <c r="F3879" s="3">
        <v>11.7</v>
      </c>
      <c r="G3879" s="3">
        <v>56.5</v>
      </c>
    </row>
    <row r="3880">
      <c r="A3880" s="3">
        <v>171390.0</v>
      </c>
      <c r="B3880" s="3" t="s">
        <v>3907</v>
      </c>
      <c r="C3880" s="3" t="s">
        <v>196</v>
      </c>
      <c r="D3880" s="3">
        <v>65.0</v>
      </c>
      <c r="E3880" s="3">
        <v>2.89</v>
      </c>
      <c r="F3880" s="3">
        <v>2.17</v>
      </c>
      <c r="G3880" s="3">
        <v>7.64</v>
      </c>
    </row>
    <row r="3881">
      <c r="A3881" s="3">
        <v>171391.0</v>
      </c>
      <c r="B3881" s="3" t="s">
        <v>3908</v>
      </c>
      <c r="C3881" s="3" t="s">
        <v>196</v>
      </c>
      <c r="D3881" s="3">
        <v>66.0</v>
      </c>
      <c r="E3881" s="3">
        <v>3.48</v>
      </c>
      <c r="F3881" s="3">
        <v>1.84</v>
      </c>
      <c r="G3881" s="3">
        <v>6.76</v>
      </c>
    </row>
    <row r="3882">
      <c r="A3882" s="3">
        <v>171392.0</v>
      </c>
      <c r="B3882" s="3" t="s">
        <v>3909</v>
      </c>
      <c r="C3882" s="3" t="s">
        <v>196</v>
      </c>
      <c r="D3882" s="3">
        <v>63.0</v>
      </c>
      <c r="E3882" s="3">
        <v>3.3</v>
      </c>
      <c r="F3882" s="3">
        <v>2.2</v>
      </c>
      <c r="G3882" s="3">
        <v>6.2</v>
      </c>
    </row>
    <row r="3883">
      <c r="A3883" s="3">
        <v>171393.0</v>
      </c>
      <c r="B3883" s="3" t="s">
        <v>3910</v>
      </c>
      <c r="C3883" s="3" t="s">
        <v>196</v>
      </c>
      <c r="D3883" s="3">
        <v>81.0</v>
      </c>
      <c r="E3883" s="3">
        <v>3.9</v>
      </c>
      <c r="F3883" s="3">
        <v>2.6</v>
      </c>
      <c r="G3883" s="3">
        <v>8.88</v>
      </c>
    </row>
    <row r="3884">
      <c r="A3884" s="3">
        <v>171394.0</v>
      </c>
      <c r="B3884" s="3" t="s">
        <v>3911</v>
      </c>
      <c r="C3884" s="3" t="s">
        <v>196</v>
      </c>
      <c r="D3884" s="3">
        <v>66.0</v>
      </c>
      <c r="E3884" s="3">
        <v>3.37</v>
      </c>
      <c r="F3884" s="3">
        <v>1.44</v>
      </c>
      <c r="G3884" s="3">
        <v>7.39</v>
      </c>
    </row>
    <row r="3885">
      <c r="A3885" s="3">
        <v>171395.0</v>
      </c>
      <c r="B3885" s="3" t="s">
        <v>3912</v>
      </c>
      <c r="C3885" s="3" t="s">
        <v>196</v>
      </c>
      <c r="D3885" s="3">
        <v>66.0</v>
      </c>
      <c r="E3885" s="3">
        <v>3.54</v>
      </c>
      <c r="F3885" s="3">
        <v>1.97</v>
      </c>
      <c r="G3885" s="3">
        <v>6.69</v>
      </c>
    </row>
    <row r="3886">
      <c r="A3886" s="3">
        <v>171396.0</v>
      </c>
      <c r="B3886" s="3" t="s">
        <v>3913</v>
      </c>
      <c r="C3886" s="3" t="s">
        <v>196</v>
      </c>
      <c r="D3886" s="3">
        <v>66.0</v>
      </c>
      <c r="E3886" s="3">
        <v>3.6</v>
      </c>
      <c r="F3886" s="3">
        <v>1.76</v>
      </c>
      <c r="G3886" s="3">
        <v>6.67</v>
      </c>
    </row>
    <row r="3887">
      <c r="A3887" s="3">
        <v>171397.0</v>
      </c>
      <c r="B3887" s="3" t="s">
        <v>3914</v>
      </c>
      <c r="C3887" s="3" t="s">
        <v>196</v>
      </c>
      <c r="D3887" s="3">
        <v>66.0</v>
      </c>
      <c r="E3887" s="3">
        <v>3.54</v>
      </c>
      <c r="F3887" s="3">
        <v>1.4</v>
      </c>
      <c r="G3887" s="3">
        <v>7.19</v>
      </c>
    </row>
    <row r="3888">
      <c r="A3888" s="3">
        <v>171398.0</v>
      </c>
      <c r="B3888" s="3" t="s">
        <v>3915</v>
      </c>
      <c r="C3888" s="3" t="s">
        <v>196</v>
      </c>
      <c r="D3888" s="3">
        <v>503.0</v>
      </c>
      <c r="E3888" s="3">
        <v>28.57</v>
      </c>
      <c r="F3888" s="3">
        <v>0.0</v>
      </c>
      <c r="G3888" s="3">
        <v>61.59</v>
      </c>
    </row>
    <row r="3889">
      <c r="A3889" s="3">
        <v>171399.0</v>
      </c>
      <c r="B3889" s="3" t="s">
        <v>3916</v>
      </c>
      <c r="C3889" s="3" t="s">
        <v>196</v>
      </c>
      <c r="D3889" s="3">
        <v>514.0</v>
      </c>
      <c r="E3889" s="3">
        <v>27.75</v>
      </c>
      <c r="F3889" s="3">
        <v>11.0</v>
      </c>
      <c r="G3889" s="3">
        <v>55.0</v>
      </c>
    </row>
    <row r="3890">
      <c r="A3890" s="3">
        <v>171400.0</v>
      </c>
      <c r="B3890" s="3" t="s">
        <v>3917</v>
      </c>
      <c r="C3890" s="3" t="s">
        <v>187</v>
      </c>
      <c r="D3890" s="3">
        <v>902.0</v>
      </c>
      <c r="E3890" s="3">
        <v>100.0</v>
      </c>
      <c r="F3890" s="3">
        <v>0.0</v>
      </c>
      <c r="G3890" s="3">
        <v>0.0</v>
      </c>
    </row>
    <row r="3891">
      <c r="A3891" s="3">
        <v>171401.0</v>
      </c>
      <c r="B3891" s="3" t="s">
        <v>3918</v>
      </c>
      <c r="C3891" s="3" t="s">
        <v>187</v>
      </c>
      <c r="D3891" s="3">
        <v>902.0</v>
      </c>
      <c r="E3891" s="3">
        <v>100.0</v>
      </c>
      <c r="F3891" s="3">
        <v>0.0</v>
      </c>
      <c r="G3891" s="3">
        <v>0.0</v>
      </c>
    </row>
    <row r="3892">
      <c r="A3892" s="3">
        <v>171402.0</v>
      </c>
      <c r="B3892" s="3" t="s">
        <v>3919</v>
      </c>
      <c r="C3892" s="3" t="s">
        <v>187</v>
      </c>
      <c r="D3892" s="3">
        <v>379.0</v>
      </c>
      <c r="E3892" s="3">
        <v>35.06</v>
      </c>
      <c r="F3892" s="3">
        <v>1.09</v>
      </c>
      <c r="G3892" s="3">
        <v>14.64</v>
      </c>
    </row>
    <row r="3893">
      <c r="A3893" s="3">
        <v>171403.0</v>
      </c>
      <c r="B3893" s="3" t="s">
        <v>3920</v>
      </c>
      <c r="C3893" s="3" t="s">
        <v>187</v>
      </c>
      <c r="D3893" s="3">
        <v>250.0</v>
      </c>
      <c r="E3893" s="3">
        <v>21.6</v>
      </c>
      <c r="F3893" s="3">
        <v>0.65</v>
      </c>
      <c r="G3893" s="3">
        <v>14.78</v>
      </c>
    </row>
    <row r="3894">
      <c r="A3894" s="3">
        <v>171404.0</v>
      </c>
      <c r="B3894" s="3" t="s">
        <v>3921</v>
      </c>
      <c r="C3894" s="3" t="s">
        <v>187</v>
      </c>
      <c r="D3894" s="3">
        <v>222.0</v>
      </c>
      <c r="E3894" s="3">
        <v>11.52</v>
      </c>
      <c r="F3894" s="3">
        <v>0.58</v>
      </c>
      <c r="G3894" s="3">
        <v>31.22</v>
      </c>
    </row>
    <row r="3895">
      <c r="A3895" s="3">
        <v>171405.0</v>
      </c>
      <c r="B3895" s="3" t="s">
        <v>3922</v>
      </c>
      <c r="C3895" s="3" t="s">
        <v>187</v>
      </c>
      <c r="D3895" s="3">
        <v>102.0</v>
      </c>
      <c r="E3895" s="3">
        <v>6.68</v>
      </c>
      <c r="F3895" s="3">
        <v>0.39</v>
      </c>
      <c r="G3895" s="3">
        <v>9.99</v>
      </c>
    </row>
    <row r="3896">
      <c r="A3896" s="3">
        <v>171406.0</v>
      </c>
      <c r="B3896" s="3" t="s">
        <v>3923</v>
      </c>
      <c r="C3896" s="3" t="s">
        <v>187</v>
      </c>
      <c r="D3896" s="3">
        <v>232.0</v>
      </c>
      <c r="E3896" s="3">
        <v>19.2</v>
      </c>
      <c r="F3896" s="3">
        <v>0.3</v>
      </c>
      <c r="G3896" s="3">
        <v>16.0</v>
      </c>
    </row>
    <row r="3897">
      <c r="A3897" s="3">
        <v>171407.0</v>
      </c>
      <c r="B3897" s="3" t="s">
        <v>3924</v>
      </c>
      <c r="C3897" s="3" t="s">
        <v>187</v>
      </c>
      <c r="D3897" s="3">
        <v>97.0</v>
      </c>
      <c r="E3897" s="3">
        <v>5.1</v>
      </c>
      <c r="F3897" s="3">
        <v>2.1</v>
      </c>
      <c r="G3897" s="3">
        <v>11.1</v>
      </c>
    </row>
    <row r="3898">
      <c r="A3898" s="3">
        <v>171408.0</v>
      </c>
      <c r="B3898" s="3" t="s">
        <v>3925</v>
      </c>
      <c r="C3898" s="3" t="s">
        <v>187</v>
      </c>
      <c r="D3898" s="3">
        <v>482.0</v>
      </c>
      <c r="E3898" s="3">
        <v>47.7</v>
      </c>
      <c r="F3898" s="3">
        <v>0.1</v>
      </c>
      <c r="G3898" s="3">
        <v>15.8</v>
      </c>
    </row>
    <row r="3899">
      <c r="A3899" s="3">
        <v>171409.0</v>
      </c>
      <c r="B3899" s="3" t="s">
        <v>3926</v>
      </c>
      <c r="C3899" s="3" t="s">
        <v>187</v>
      </c>
      <c r="D3899" s="3">
        <v>389.0</v>
      </c>
      <c r="E3899" s="3">
        <v>34.0</v>
      </c>
      <c r="F3899" s="3">
        <v>0.9</v>
      </c>
      <c r="G3899" s="3">
        <v>22.4</v>
      </c>
    </row>
    <row r="3900">
      <c r="A3900" s="3">
        <v>171410.0</v>
      </c>
      <c r="B3900" s="3" t="s">
        <v>3927</v>
      </c>
      <c r="C3900" s="3" t="s">
        <v>187</v>
      </c>
      <c r="D3900" s="3">
        <v>884.0</v>
      </c>
      <c r="E3900" s="3">
        <v>100.0</v>
      </c>
      <c r="F3900" s="3">
        <v>0.0</v>
      </c>
      <c r="G3900" s="3">
        <v>0.0</v>
      </c>
    </row>
    <row r="3901">
      <c r="A3901" s="3">
        <v>171411.0</v>
      </c>
      <c r="B3901" s="3" t="s">
        <v>3928</v>
      </c>
      <c r="C3901" s="3" t="s">
        <v>187</v>
      </c>
      <c r="D3901" s="3">
        <v>884.0</v>
      </c>
      <c r="E3901" s="3">
        <v>100.0</v>
      </c>
      <c r="F3901" s="3">
        <v>0.0</v>
      </c>
      <c r="G3901" s="3">
        <v>0.0</v>
      </c>
    </row>
    <row r="3902">
      <c r="A3902" s="3">
        <v>171412.0</v>
      </c>
      <c r="B3902" s="3" t="s">
        <v>3929</v>
      </c>
      <c r="C3902" s="3" t="s">
        <v>187</v>
      </c>
      <c r="D3902" s="3">
        <v>892.0</v>
      </c>
      <c r="E3902" s="3">
        <v>99.06</v>
      </c>
      <c r="F3902" s="3">
        <v>0.0</v>
      </c>
      <c r="G3902" s="3">
        <v>0.0</v>
      </c>
    </row>
    <row r="3903">
      <c r="A3903" s="3">
        <v>171413.0</v>
      </c>
      <c r="B3903" s="3" t="s">
        <v>3930</v>
      </c>
      <c r="C3903" s="3" t="s">
        <v>187</v>
      </c>
      <c r="D3903" s="3">
        <v>884.0</v>
      </c>
      <c r="E3903" s="3">
        <v>100.0</v>
      </c>
      <c r="F3903" s="3">
        <v>0.0</v>
      </c>
      <c r="G3903" s="3">
        <v>0.0</v>
      </c>
    </row>
    <row r="3904">
      <c r="A3904" s="3">
        <v>171414.0</v>
      </c>
      <c r="B3904" s="3" t="s">
        <v>3931</v>
      </c>
      <c r="C3904" s="3" t="s">
        <v>187</v>
      </c>
      <c r="D3904" s="3">
        <v>419.0</v>
      </c>
      <c r="E3904" s="3">
        <v>39.07</v>
      </c>
      <c r="F3904" s="3">
        <v>0.87</v>
      </c>
      <c r="G3904" s="3">
        <v>18.79</v>
      </c>
    </row>
    <row r="3905">
      <c r="A3905" s="3">
        <v>171415.0</v>
      </c>
      <c r="B3905" s="3" t="s">
        <v>3932</v>
      </c>
      <c r="C3905" s="3" t="s">
        <v>187</v>
      </c>
      <c r="D3905" s="3">
        <v>349.0</v>
      </c>
      <c r="E3905" s="3">
        <v>37.98</v>
      </c>
      <c r="F3905" s="3">
        <v>0.23</v>
      </c>
      <c r="G3905" s="3">
        <v>1.52</v>
      </c>
    </row>
    <row r="3906">
      <c r="A3906" s="3">
        <v>171416.0</v>
      </c>
      <c r="B3906" s="3" t="s">
        <v>3933</v>
      </c>
      <c r="C3906" s="3" t="s">
        <v>187</v>
      </c>
      <c r="D3906" s="3">
        <v>631.0</v>
      </c>
      <c r="E3906" s="3">
        <v>70.2</v>
      </c>
      <c r="F3906" s="3">
        <v>0.1</v>
      </c>
      <c r="G3906" s="3">
        <v>3.4</v>
      </c>
    </row>
    <row r="3907">
      <c r="A3907" s="3">
        <v>171417.0</v>
      </c>
      <c r="B3907" s="3" t="s">
        <v>3934</v>
      </c>
      <c r="C3907" s="3" t="s">
        <v>187</v>
      </c>
      <c r="D3907" s="3">
        <v>449.0</v>
      </c>
      <c r="E3907" s="3">
        <v>50.1</v>
      </c>
      <c r="F3907" s="3">
        <v>0.0</v>
      </c>
      <c r="G3907" s="3">
        <v>2.5</v>
      </c>
    </row>
    <row r="3908">
      <c r="A3908" s="3">
        <v>171418.0</v>
      </c>
      <c r="B3908" s="3" t="s">
        <v>3935</v>
      </c>
      <c r="C3908" s="3" t="s">
        <v>187</v>
      </c>
      <c r="D3908" s="3">
        <v>717.0</v>
      </c>
      <c r="E3908" s="3">
        <v>79.4</v>
      </c>
      <c r="F3908" s="3">
        <v>1.1</v>
      </c>
      <c r="G3908" s="3">
        <v>2.7</v>
      </c>
    </row>
    <row r="3909">
      <c r="A3909" s="3">
        <v>171419.0</v>
      </c>
      <c r="B3909" s="3" t="s">
        <v>3936</v>
      </c>
      <c r="C3909" s="3" t="s">
        <v>187</v>
      </c>
      <c r="D3909" s="3">
        <v>631.0</v>
      </c>
      <c r="E3909" s="3">
        <v>70.2</v>
      </c>
      <c r="F3909" s="3">
        <v>0.1</v>
      </c>
      <c r="G3909" s="3">
        <v>3.4</v>
      </c>
    </row>
    <row r="3910">
      <c r="A3910" s="3">
        <v>171420.0</v>
      </c>
      <c r="B3910" s="3" t="s">
        <v>3937</v>
      </c>
      <c r="C3910" s="3" t="s">
        <v>187</v>
      </c>
      <c r="D3910" s="3">
        <v>132.0</v>
      </c>
      <c r="E3910" s="3">
        <v>0.27</v>
      </c>
      <c r="F3910" s="3">
        <v>0.2</v>
      </c>
      <c r="G3910" s="3">
        <v>32.14</v>
      </c>
    </row>
    <row r="3911">
      <c r="A3911" s="3">
        <v>171421.0</v>
      </c>
      <c r="B3911" s="3" t="s">
        <v>3938</v>
      </c>
      <c r="C3911" s="3" t="s">
        <v>187</v>
      </c>
      <c r="D3911" s="3">
        <v>884.0</v>
      </c>
      <c r="E3911" s="3">
        <v>100.0</v>
      </c>
      <c r="F3911" s="3">
        <v>0.0</v>
      </c>
      <c r="G3911" s="3">
        <v>0.0</v>
      </c>
    </row>
    <row r="3912">
      <c r="A3912" s="3">
        <v>171422.0</v>
      </c>
      <c r="B3912" s="3" t="s">
        <v>3939</v>
      </c>
      <c r="C3912" s="3" t="s">
        <v>187</v>
      </c>
      <c r="D3912" s="3">
        <v>862.0</v>
      </c>
      <c r="E3912" s="3">
        <v>100.0</v>
      </c>
      <c r="F3912" s="3">
        <v>0.0</v>
      </c>
      <c r="G3912" s="3">
        <v>0.0</v>
      </c>
    </row>
    <row r="3913">
      <c r="A3913" s="3">
        <v>171423.0</v>
      </c>
      <c r="B3913" s="3" t="s">
        <v>3940</v>
      </c>
      <c r="C3913" s="3" t="s">
        <v>187</v>
      </c>
      <c r="D3913" s="3">
        <v>884.0</v>
      </c>
      <c r="E3913" s="3">
        <v>100.0</v>
      </c>
      <c r="F3913" s="3">
        <v>0.0</v>
      </c>
      <c r="G3913" s="3">
        <v>0.0</v>
      </c>
    </row>
    <row r="3914">
      <c r="A3914" s="3">
        <v>171424.0</v>
      </c>
      <c r="B3914" s="3" t="s">
        <v>3941</v>
      </c>
      <c r="C3914" s="3" t="s">
        <v>187</v>
      </c>
      <c r="D3914" s="3">
        <v>884.0</v>
      </c>
      <c r="E3914" s="3">
        <v>100.0</v>
      </c>
      <c r="F3914" s="3">
        <v>0.0</v>
      </c>
      <c r="G3914" s="3">
        <v>0.0</v>
      </c>
    </row>
    <row r="3915">
      <c r="A3915" s="3">
        <v>171425.0</v>
      </c>
      <c r="B3915" s="3" t="s">
        <v>3942</v>
      </c>
      <c r="C3915" s="3" t="s">
        <v>187</v>
      </c>
      <c r="D3915" s="3">
        <v>884.0</v>
      </c>
      <c r="E3915" s="3">
        <v>100.0</v>
      </c>
      <c r="F3915" s="3">
        <v>0.0</v>
      </c>
      <c r="G3915" s="3">
        <v>0.0</v>
      </c>
    </row>
    <row r="3916">
      <c r="A3916" s="3">
        <v>171426.0</v>
      </c>
      <c r="B3916" s="3" t="s">
        <v>3943</v>
      </c>
      <c r="C3916" s="3" t="s">
        <v>187</v>
      </c>
      <c r="D3916" s="3">
        <v>763.0</v>
      </c>
      <c r="E3916" s="3">
        <v>100.0</v>
      </c>
      <c r="F3916" s="3">
        <v>0.0</v>
      </c>
      <c r="G3916" s="3">
        <v>0.0</v>
      </c>
    </row>
    <row r="3917">
      <c r="A3917" s="3">
        <v>171427.0</v>
      </c>
      <c r="B3917" s="3" t="s">
        <v>3944</v>
      </c>
      <c r="C3917" s="3" t="s">
        <v>187</v>
      </c>
      <c r="D3917" s="3">
        <v>884.0</v>
      </c>
      <c r="E3917" s="3">
        <v>100.0</v>
      </c>
      <c r="F3917" s="3">
        <v>0.0</v>
      </c>
      <c r="G3917" s="3">
        <v>0.0</v>
      </c>
    </row>
    <row r="3918">
      <c r="A3918" s="3">
        <v>171428.0</v>
      </c>
      <c r="B3918" s="3" t="s">
        <v>3945</v>
      </c>
      <c r="C3918" s="3" t="s">
        <v>187</v>
      </c>
      <c r="D3918" s="3">
        <v>884.0</v>
      </c>
      <c r="E3918" s="3">
        <v>100.0</v>
      </c>
      <c r="F3918" s="3">
        <v>0.0</v>
      </c>
      <c r="G3918" s="3">
        <v>0.0</v>
      </c>
    </row>
    <row r="3919">
      <c r="A3919" s="3">
        <v>171429.0</v>
      </c>
      <c r="B3919" s="3" t="s">
        <v>3946</v>
      </c>
      <c r="C3919" s="3" t="s">
        <v>187</v>
      </c>
      <c r="D3919" s="3">
        <v>884.0</v>
      </c>
      <c r="E3919" s="3">
        <v>100.0</v>
      </c>
      <c r="F3919" s="3">
        <v>0.0</v>
      </c>
      <c r="G3919" s="3">
        <v>0.0</v>
      </c>
    </row>
    <row r="3920">
      <c r="A3920" s="3">
        <v>171430.0</v>
      </c>
      <c r="B3920" s="3" t="s">
        <v>3947</v>
      </c>
      <c r="C3920" s="3" t="s">
        <v>187</v>
      </c>
      <c r="D3920" s="3">
        <v>792.0</v>
      </c>
      <c r="E3920" s="3">
        <v>78.69</v>
      </c>
      <c r="F3920" s="3">
        <v>0.26</v>
      </c>
      <c r="G3920" s="3">
        <v>20.69</v>
      </c>
    </row>
    <row r="3921">
      <c r="A3921" s="3">
        <v>171431.0</v>
      </c>
      <c r="B3921" s="3" t="s">
        <v>3948</v>
      </c>
      <c r="C3921" s="3" t="s">
        <v>187</v>
      </c>
      <c r="D3921" s="3">
        <v>606.0</v>
      </c>
      <c r="E3921" s="3">
        <v>68.29</v>
      </c>
      <c r="F3921" s="3">
        <v>0.07</v>
      </c>
      <c r="G3921" s="3">
        <v>0.59</v>
      </c>
    </row>
    <row r="3922">
      <c r="A3922" s="3">
        <v>171432.0</v>
      </c>
      <c r="B3922" s="3" t="s">
        <v>3949</v>
      </c>
      <c r="C3922" s="3" t="s">
        <v>187</v>
      </c>
      <c r="D3922" s="3">
        <v>730.0</v>
      </c>
      <c r="E3922" s="3">
        <v>80.32</v>
      </c>
      <c r="F3922" s="3">
        <v>0.41</v>
      </c>
      <c r="G3922" s="3">
        <v>1.39</v>
      </c>
    </row>
    <row r="3923">
      <c r="A3923" s="3">
        <v>171433.0</v>
      </c>
      <c r="B3923" s="3" t="s">
        <v>3950</v>
      </c>
      <c r="C3923" s="3" t="s">
        <v>187</v>
      </c>
      <c r="D3923" s="3">
        <v>884.0</v>
      </c>
      <c r="E3923" s="3">
        <v>100.0</v>
      </c>
      <c r="F3923" s="3">
        <v>0.0</v>
      </c>
      <c r="G3923" s="3">
        <v>0.0</v>
      </c>
    </row>
    <row r="3924">
      <c r="A3924" s="3">
        <v>171434.0</v>
      </c>
      <c r="B3924" s="3" t="s">
        <v>3951</v>
      </c>
      <c r="C3924" s="3" t="s">
        <v>187</v>
      </c>
      <c r="D3924" s="3">
        <v>339.0</v>
      </c>
      <c r="E3924" s="3">
        <v>37.77</v>
      </c>
      <c r="F3924" s="3">
        <v>0.51</v>
      </c>
      <c r="G3924" s="3">
        <v>0.66</v>
      </c>
    </row>
    <row r="3925">
      <c r="A3925" s="3">
        <v>171435.0</v>
      </c>
      <c r="B3925" s="3" t="s">
        <v>3952</v>
      </c>
      <c r="C3925" s="3" t="s">
        <v>187</v>
      </c>
      <c r="D3925" s="3">
        <v>717.0</v>
      </c>
      <c r="E3925" s="3">
        <v>80.71</v>
      </c>
      <c r="F3925" s="3">
        <v>0.16</v>
      </c>
      <c r="G3925" s="3">
        <v>0.7</v>
      </c>
    </row>
    <row r="3926">
      <c r="A3926" s="3">
        <v>171436.0</v>
      </c>
      <c r="B3926" s="3" t="s">
        <v>3953</v>
      </c>
      <c r="C3926" s="3" t="s">
        <v>187</v>
      </c>
      <c r="D3926" s="3">
        <v>713.0</v>
      </c>
      <c r="E3926" s="3">
        <v>80.17</v>
      </c>
      <c r="F3926" s="3">
        <v>0.22</v>
      </c>
      <c r="G3926" s="3">
        <v>0.75</v>
      </c>
    </row>
    <row r="3927">
      <c r="A3927" s="3">
        <v>171437.0</v>
      </c>
      <c r="B3927" s="3" t="s">
        <v>3954</v>
      </c>
      <c r="C3927" s="3" t="s">
        <v>187</v>
      </c>
      <c r="D3927" s="3">
        <v>537.0</v>
      </c>
      <c r="E3927" s="3">
        <v>60.39</v>
      </c>
      <c r="F3927" s="3">
        <v>0.12</v>
      </c>
      <c r="G3927" s="3">
        <v>0.69</v>
      </c>
    </row>
    <row r="3928">
      <c r="A3928" s="3">
        <v>171438.0</v>
      </c>
      <c r="B3928" s="3" t="s">
        <v>3955</v>
      </c>
      <c r="C3928" s="3" t="s">
        <v>187</v>
      </c>
      <c r="D3928" s="3">
        <v>900.0</v>
      </c>
      <c r="E3928" s="3">
        <v>100.0</v>
      </c>
      <c r="F3928" s="3">
        <v>0.0</v>
      </c>
      <c r="G3928" s="3">
        <v>0.0</v>
      </c>
    </row>
    <row r="3929">
      <c r="A3929" s="3">
        <v>171439.0</v>
      </c>
      <c r="B3929" s="3" t="s">
        <v>3956</v>
      </c>
      <c r="C3929" s="3" t="s">
        <v>187</v>
      </c>
      <c r="D3929" s="3">
        <v>884.0</v>
      </c>
      <c r="E3929" s="3">
        <v>100.0</v>
      </c>
      <c r="F3929" s="3">
        <v>0.0</v>
      </c>
      <c r="G3929" s="3">
        <v>0.0</v>
      </c>
    </row>
    <row r="3930">
      <c r="A3930" s="3">
        <v>171440.0</v>
      </c>
      <c r="B3930" s="3" t="s">
        <v>3957</v>
      </c>
      <c r="C3930" s="3" t="s">
        <v>187</v>
      </c>
      <c r="D3930" s="3">
        <v>884.0</v>
      </c>
      <c r="E3930" s="3">
        <v>100.0</v>
      </c>
      <c r="F3930" s="3">
        <v>0.0</v>
      </c>
      <c r="G3930" s="3">
        <v>0.0</v>
      </c>
    </row>
    <row r="3931">
      <c r="A3931" s="3">
        <v>171441.0</v>
      </c>
      <c r="B3931" s="3" t="s">
        <v>3958</v>
      </c>
      <c r="C3931" s="3" t="s">
        <v>187</v>
      </c>
      <c r="D3931" s="3">
        <v>884.0</v>
      </c>
      <c r="E3931" s="3">
        <v>100.0</v>
      </c>
      <c r="F3931" s="3">
        <v>0.0</v>
      </c>
      <c r="G3931" s="3">
        <v>0.0</v>
      </c>
    </row>
    <row r="3932">
      <c r="A3932" s="3">
        <v>171442.0</v>
      </c>
      <c r="B3932" s="3" t="s">
        <v>3959</v>
      </c>
      <c r="C3932" s="3" t="s">
        <v>187</v>
      </c>
      <c r="D3932" s="3">
        <v>878.0</v>
      </c>
      <c r="E3932" s="3">
        <v>99.01</v>
      </c>
      <c r="F3932" s="3">
        <v>0.37</v>
      </c>
      <c r="G3932" s="3">
        <v>0.39</v>
      </c>
    </row>
    <row r="3933">
      <c r="A3933" s="3">
        <v>171443.0</v>
      </c>
      <c r="B3933" s="3" t="s">
        <v>3960</v>
      </c>
      <c r="C3933" s="3" t="s">
        <v>187</v>
      </c>
      <c r="D3933" s="3">
        <v>361.0</v>
      </c>
      <c r="E3933" s="3">
        <v>40.0</v>
      </c>
      <c r="F3933" s="3">
        <v>0.37</v>
      </c>
      <c r="G3933" s="3">
        <v>0.0</v>
      </c>
    </row>
    <row r="3934">
      <c r="A3934" s="3">
        <v>171444.0</v>
      </c>
      <c r="B3934" s="3" t="s">
        <v>3961</v>
      </c>
      <c r="C3934" s="3" t="s">
        <v>187</v>
      </c>
      <c r="D3934" s="3">
        <v>158.0</v>
      </c>
      <c r="E3934" s="3">
        <v>10.0</v>
      </c>
      <c r="F3934" s="3">
        <v>0.65</v>
      </c>
      <c r="G3934" s="3">
        <v>16.4</v>
      </c>
    </row>
    <row r="3935">
      <c r="A3935" s="3">
        <v>171445.0</v>
      </c>
      <c r="B3935" s="3" t="s">
        <v>3962</v>
      </c>
      <c r="C3935" s="3" t="s">
        <v>189</v>
      </c>
      <c r="D3935" s="3">
        <v>144.0</v>
      </c>
      <c r="E3935" s="3">
        <v>3.57</v>
      </c>
      <c r="F3935" s="3">
        <v>28.04</v>
      </c>
      <c r="G3935" s="3">
        <v>0.0</v>
      </c>
    </row>
    <row r="3936">
      <c r="A3936" s="3">
        <v>171446.0</v>
      </c>
      <c r="B3936" s="3" t="s">
        <v>3963</v>
      </c>
      <c r="C3936" s="3" t="s">
        <v>189</v>
      </c>
      <c r="D3936" s="3">
        <v>216.0</v>
      </c>
      <c r="E3936" s="3">
        <v>12.37</v>
      </c>
      <c r="F3936" s="3">
        <v>24.49</v>
      </c>
      <c r="G3936" s="3">
        <v>0.06</v>
      </c>
    </row>
    <row r="3937">
      <c r="A3937" s="3">
        <v>171447.0</v>
      </c>
      <c r="B3937" s="3" t="s">
        <v>3964</v>
      </c>
      <c r="C3937" s="3" t="s">
        <v>189</v>
      </c>
      <c r="D3937" s="3">
        <v>215.0</v>
      </c>
      <c r="E3937" s="3">
        <v>15.06</v>
      </c>
      <c r="F3937" s="3">
        <v>18.6</v>
      </c>
      <c r="G3937" s="3">
        <v>0.0</v>
      </c>
    </row>
    <row r="3938">
      <c r="A3938" s="3">
        <v>171448.0</v>
      </c>
      <c r="B3938" s="3" t="s">
        <v>3965</v>
      </c>
      <c r="C3938" s="3" t="s">
        <v>189</v>
      </c>
      <c r="D3938" s="3">
        <v>289.0</v>
      </c>
      <c r="E3938" s="3">
        <v>17.35</v>
      </c>
      <c r="F3938" s="3">
        <v>22.54</v>
      </c>
      <c r="G3938" s="3">
        <v>9.42</v>
      </c>
    </row>
    <row r="3939">
      <c r="A3939" s="3">
        <v>171449.0</v>
      </c>
      <c r="B3939" s="3" t="s">
        <v>3966</v>
      </c>
      <c r="C3939" s="3" t="s">
        <v>189</v>
      </c>
      <c r="D3939" s="3">
        <v>269.0</v>
      </c>
      <c r="E3939" s="3">
        <v>14.92</v>
      </c>
      <c r="F3939" s="3">
        <v>28.56</v>
      </c>
      <c r="G3939" s="3">
        <v>3.15</v>
      </c>
    </row>
    <row r="3940">
      <c r="A3940" s="3">
        <v>171450.0</v>
      </c>
      <c r="B3940" s="3" t="s">
        <v>3967</v>
      </c>
      <c r="C3940" s="3" t="s">
        <v>189</v>
      </c>
      <c r="D3940" s="3">
        <v>239.0</v>
      </c>
      <c r="E3940" s="3">
        <v>13.6</v>
      </c>
      <c r="F3940" s="3">
        <v>27.3</v>
      </c>
      <c r="G3940" s="3">
        <v>0.0</v>
      </c>
    </row>
    <row r="3941">
      <c r="A3941" s="3">
        <v>171451.0</v>
      </c>
      <c r="B3941" s="3" t="s">
        <v>3968</v>
      </c>
      <c r="C3941" s="3" t="s">
        <v>189</v>
      </c>
      <c r="D3941" s="3">
        <v>177.0</v>
      </c>
      <c r="E3941" s="3">
        <v>6.71</v>
      </c>
      <c r="F3941" s="3">
        <v>27.29</v>
      </c>
      <c r="G3941" s="3">
        <v>0.0</v>
      </c>
    </row>
    <row r="3942">
      <c r="A3942" s="3">
        <v>171452.0</v>
      </c>
      <c r="B3942" s="3" t="s">
        <v>3969</v>
      </c>
      <c r="C3942" s="3" t="s">
        <v>189</v>
      </c>
      <c r="D3942" s="3">
        <v>349.0</v>
      </c>
      <c r="E3942" s="3">
        <v>32.35</v>
      </c>
      <c r="F3942" s="3">
        <v>13.33</v>
      </c>
      <c r="G3942" s="3">
        <v>0.0</v>
      </c>
    </row>
    <row r="3943">
      <c r="A3943" s="3">
        <v>171453.0</v>
      </c>
      <c r="B3943" s="3" t="s">
        <v>3970</v>
      </c>
      <c r="C3943" s="3" t="s">
        <v>189</v>
      </c>
      <c r="D3943" s="3">
        <v>394.0</v>
      </c>
      <c r="E3943" s="3">
        <v>28.83</v>
      </c>
      <c r="F3943" s="3">
        <v>10.32</v>
      </c>
      <c r="G3943" s="3">
        <v>23.15</v>
      </c>
    </row>
    <row r="3944">
      <c r="A3944" s="3">
        <v>171454.0</v>
      </c>
      <c r="B3944" s="3" t="s">
        <v>3971</v>
      </c>
      <c r="C3944" s="3" t="s">
        <v>189</v>
      </c>
      <c r="D3944" s="3">
        <v>502.0</v>
      </c>
      <c r="E3944" s="3">
        <v>42.58</v>
      </c>
      <c r="F3944" s="3">
        <v>19.09</v>
      </c>
      <c r="G3944" s="3">
        <v>9.34</v>
      </c>
    </row>
    <row r="3945">
      <c r="A3945" s="3">
        <v>171455.0</v>
      </c>
      <c r="B3945" s="3" t="s">
        <v>3972</v>
      </c>
      <c r="C3945" s="3" t="s">
        <v>189</v>
      </c>
      <c r="D3945" s="3">
        <v>157.0</v>
      </c>
      <c r="E3945" s="3">
        <v>4.5</v>
      </c>
      <c r="F3945" s="3">
        <v>27.15</v>
      </c>
      <c r="G3945" s="3">
        <v>0.0</v>
      </c>
    </row>
    <row r="3946">
      <c r="A3946" s="3">
        <v>171456.0</v>
      </c>
      <c r="B3946" s="3" t="s">
        <v>3973</v>
      </c>
      <c r="C3946" s="3" t="s">
        <v>189</v>
      </c>
      <c r="D3946" s="3">
        <v>94.0</v>
      </c>
      <c r="E3946" s="3">
        <v>2.06</v>
      </c>
      <c r="F3946" s="3">
        <v>17.66</v>
      </c>
      <c r="G3946" s="3">
        <v>0.0</v>
      </c>
    </row>
    <row r="3947">
      <c r="A3947" s="3">
        <v>171457.0</v>
      </c>
      <c r="B3947" s="3" t="s">
        <v>3974</v>
      </c>
      <c r="C3947" s="3" t="s">
        <v>189</v>
      </c>
      <c r="D3947" s="3">
        <v>154.0</v>
      </c>
      <c r="E3947" s="3">
        <v>2.68</v>
      </c>
      <c r="F3947" s="3">
        <v>30.39</v>
      </c>
      <c r="G3947" s="3">
        <v>0.0</v>
      </c>
    </row>
    <row r="3948">
      <c r="A3948" s="3">
        <v>171458.0</v>
      </c>
      <c r="B3948" s="3" t="s">
        <v>3975</v>
      </c>
      <c r="C3948" s="3" t="s">
        <v>189</v>
      </c>
      <c r="D3948" s="3">
        <v>153.0</v>
      </c>
      <c r="E3948" s="3">
        <v>9.33</v>
      </c>
      <c r="F3948" s="3">
        <v>15.55</v>
      </c>
      <c r="G3948" s="3">
        <v>0.71</v>
      </c>
    </row>
    <row r="3949">
      <c r="A3949" s="3">
        <v>171459.0</v>
      </c>
      <c r="B3949" s="3" t="s">
        <v>3976</v>
      </c>
      <c r="C3949" s="3" t="s">
        <v>189</v>
      </c>
      <c r="D3949" s="3">
        <v>277.0</v>
      </c>
      <c r="E3949" s="3">
        <v>15.44</v>
      </c>
      <c r="F3949" s="3">
        <v>23.55</v>
      </c>
      <c r="G3949" s="3">
        <v>9.5</v>
      </c>
    </row>
    <row r="3950">
      <c r="A3950" s="3">
        <v>171460.0</v>
      </c>
      <c r="B3950" s="3" t="s">
        <v>3977</v>
      </c>
      <c r="C3950" s="3" t="s">
        <v>189</v>
      </c>
      <c r="D3950" s="3">
        <v>246.0</v>
      </c>
      <c r="E3950" s="3">
        <v>12.09</v>
      </c>
      <c r="F3950" s="3">
        <v>30.45</v>
      </c>
      <c r="G3950" s="3">
        <v>1.82</v>
      </c>
    </row>
    <row r="3951">
      <c r="A3951" s="3">
        <v>171461.0</v>
      </c>
      <c r="B3951" s="3" t="s">
        <v>3978</v>
      </c>
      <c r="C3951" s="3" t="s">
        <v>189</v>
      </c>
      <c r="D3951" s="3">
        <v>222.0</v>
      </c>
      <c r="E3951" s="3">
        <v>10.85</v>
      </c>
      <c r="F3951" s="3">
        <v>29.02</v>
      </c>
      <c r="G3951" s="3">
        <v>0.0</v>
      </c>
    </row>
    <row r="3952">
      <c r="A3952" s="3">
        <v>171462.0</v>
      </c>
      <c r="B3952" s="3" t="s">
        <v>3979</v>
      </c>
      <c r="C3952" s="3" t="s">
        <v>189</v>
      </c>
      <c r="D3952" s="3">
        <v>201.0</v>
      </c>
      <c r="E3952" s="3">
        <v>9.97</v>
      </c>
      <c r="F3952" s="3">
        <v>26.14</v>
      </c>
      <c r="G3952" s="3">
        <v>0.0</v>
      </c>
    </row>
    <row r="3953">
      <c r="A3953" s="3">
        <v>171463.0</v>
      </c>
      <c r="B3953" s="3" t="s">
        <v>3980</v>
      </c>
      <c r="C3953" s="3" t="s">
        <v>189</v>
      </c>
      <c r="D3953" s="3">
        <v>237.0</v>
      </c>
      <c r="E3953" s="3">
        <v>18.34</v>
      </c>
      <c r="F3953" s="3">
        <v>16.69</v>
      </c>
      <c r="G3953" s="3">
        <v>0.0</v>
      </c>
    </row>
    <row r="3954">
      <c r="A3954" s="3">
        <v>171464.0</v>
      </c>
      <c r="B3954" s="3" t="s">
        <v>3981</v>
      </c>
      <c r="C3954" s="3" t="s">
        <v>189</v>
      </c>
      <c r="D3954" s="3">
        <v>114.0</v>
      </c>
      <c r="E3954" s="3">
        <v>1.65</v>
      </c>
      <c r="F3954" s="3">
        <v>23.2</v>
      </c>
      <c r="G3954" s="3">
        <v>0.0</v>
      </c>
    </row>
    <row r="3955">
      <c r="A3955" s="3">
        <v>171465.0</v>
      </c>
      <c r="B3955" s="3" t="s">
        <v>3982</v>
      </c>
      <c r="C3955" s="3" t="s">
        <v>189</v>
      </c>
      <c r="D3955" s="3">
        <v>192.0</v>
      </c>
      <c r="E3955" s="3">
        <v>5.54</v>
      </c>
      <c r="F3955" s="3">
        <v>32.82</v>
      </c>
      <c r="G3955" s="3">
        <v>0.42</v>
      </c>
    </row>
    <row r="3956">
      <c r="A3956" s="3">
        <v>171466.0</v>
      </c>
      <c r="B3956" s="3" t="s">
        <v>3983</v>
      </c>
      <c r="C3956" s="3" t="s">
        <v>189</v>
      </c>
      <c r="D3956" s="3">
        <v>173.0</v>
      </c>
      <c r="E3956" s="3">
        <v>4.51</v>
      </c>
      <c r="F3956" s="3">
        <v>30.91</v>
      </c>
      <c r="G3956" s="3">
        <v>0.0</v>
      </c>
    </row>
    <row r="3957">
      <c r="A3957" s="3">
        <v>171467.0</v>
      </c>
      <c r="B3957" s="3" t="s">
        <v>3984</v>
      </c>
      <c r="C3957" s="3" t="s">
        <v>189</v>
      </c>
      <c r="D3957" s="3">
        <v>159.0</v>
      </c>
      <c r="E3957" s="3">
        <v>3.99</v>
      </c>
      <c r="F3957" s="3">
        <v>28.88</v>
      </c>
      <c r="G3957" s="3">
        <v>0.0</v>
      </c>
    </row>
    <row r="3958">
      <c r="A3958" s="3">
        <v>171468.0</v>
      </c>
      <c r="B3958" s="3" t="s">
        <v>3985</v>
      </c>
      <c r="C3958" s="3" t="s">
        <v>189</v>
      </c>
      <c r="D3958" s="3">
        <v>629.0</v>
      </c>
      <c r="E3958" s="3">
        <v>67.95</v>
      </c>
      <c r="F3958" s="3">
        <v>3.73</v>
      </c>
      <c r="G3958" s="3">
        <v>0.0</v>
      </c>
    </row>
    <row r="3959">
      <c r="A3959" s="3">
        <v>171469.0</v>
      </c>
      <c r="B3959" s="3" t="s">
        <v>3986</v>
      </c>
      <c r="C3959" s="3" t="s">
        <v>189</v>
      </c>
      <c r="D3959" s="3">
        <v>319.0</v>
      </c>
      <c r="E3959" s="3">
        <v>28.74</v>
      </c>
      <c r="F3959" s="3">
        <v>14.05</v>
      </c>
      <c r="G3959" s="3">
        <v>0.0</v>
      </c>
    </row>
    <row r="3960">
      <c r="A3960" s="3">
        <v>171470.0</v>
      </c>
      <c r="B3960" s="3" t="s">
        <v>3987</v>
      </c>
      <c r="C3960" s="3" t="s">
        <v>189</v>
      </c>
      <c r="D3960" s="3">
        <v>331.0</v>
      </c>
      <c r="E3960" s="3">
        <v>21.91</v>
      </c>
      <c r="F3960" s="3">
        <v>21.97</v>
      </c>
      <c r="G3960" s="3">
        <v>10.25</v>
      </c>
    </row>
    <row r="3961">
      <c r="A3961" s="3">
        <v>171471.0</v>
      </c>
      <c r="B3961" s="3" t="s">
        <v>3988</v>
      </c>
      <c r="C3961" s="3" t="s">
        <v>189</v>
      </c>
      <c r="D3961" s="3">
        <v>331.0</v>
      </c>
      <c r="E3961" s="3">
        <v>20.74</v>
      </c>
      <c r="F3961" s="3">
        <v>27.79</v>
      </c>
      <c r="G3961" s="3">
        <v>6.5</v>
      </c>
    </row>
    <row r="3962">
      <c r="A3962" s="3">
        <v>171472.0</v>
      </c>
      <c r="B3962" s="3" t="s">
        <v>3989</v>
      </c>
      <c r="C3962" s="3" t="s">
        <v>189</v>
      </c>
      <c r="D3962" s="3">
        <v>239.0</v>
      </c>
      <c r="E3962" s="3">
        <v>13.16</v>
      </c>
      <c r="F3962" s="3">
        <v>28.19</v>
      </c>
      <c r="G3962" s="3">
        <v>0.0</v>
      </c>
    </row>
    <row r="3963">
      <c r="A3963" s="3">
        <v>171473.0</v>
      </c>
      <c r="B3963" s="3" t="s">
        <v>3990</v>
      </c>
      <c r="C3963" s="3" t="s">
        <v>189</v>
      </c>
      <c r="D3963" s="3">
        <v>209.0</v>
      </c>
      <c r="E3963" s="3">
        <v>11.19</v>
      </c>
      <c r="F3963" s="3">
        <v>25.31</v>
      </c>
      <c r="G3963" s="3">
        <v>0.0</v>
      </c>
    </row>
    <row r="3964">
      <c r="A3964" s="3">
        <v>171474.0</v>
      </c>
      <c r="B3964" s="3" t="s">
        <v>3991</v>
      </c>
      <c r="C3964" s="3" t="s">
        <v>189</v>
      </c>
      <c r="D3964" s="3">
        <v>172.0</v>
      </c>
      <c r="E3964" s="3">
        <v>9.25</v>
      </c>
      <c r="F3964" s="3">
        <v>20.85</v>
      </c>
      <c r="G3964" s="3">
        <v>0.0</v>
      </c>
    </row>
    <row r="3965">
      <c r="A3965" s="3">
        <v>171475.0</v>
      </c>
      <c r="B3965" s="3" t="s">
        <v>3992</v>
      </c>
      <c r="C3965" s="3" t="s">
        <v>189</v>
      </c>
      <c r="D3965" s="3">
        <v>260.0</v>
      </c>
      <c r="E3965" s="3">
        <v>13.2</v>
      </c>
      <c r="F3965" s="3">
        <v>24.84</v>
      </c>
      <c r="G3965" s="3">
        <v>8.99</v>
      </c>
    </row>
    <row r="3966">
      <c r="A3966" s="3">
        <v>171476.0</v>
      </c>
      <c r="B3966" s="3" t="s">
        <v>3993</v>
      </c>
      <c r="C3966" s="3" t="s">
        <v>189</v>
      </c>
      <c r="D3966" s="3">
        <v>222.0</v>
      </c>
      <c r="E3966" s="3">
        <v>8.87</v>
      </c>
      <c r="F3966" s="3">
        <v>31.84</v>
      </c>
      <c r="G3966" s="3">
        <v>1.64</v>
      </c>
    </row>
    <row r="3967">
      <c r="A3967" s="3">
        <v>171477.0</v>
      </c>
      <c r="B3967" s="3" t="s">
        <v>3994</v>
      </c>
      <c r="C3967" s="3" t="s">
        <v>189</v>
      </c>
      <c r="D3967" s="3">
        <v>165.0</v>
      </c>
      <c r="E3967" s="3">
        <v>3.57</v>
      </c>
      <c r="F3967" s="3">
        <v>31.02</v>
      </c>
      <c r="G3967" s="3">
        <v>0.0</v>
      </c>
    </row>
    <row r="3968">
      <c r="A3968" s="3">
        <v>171478.0</v>
      </c>
      <c r="B3968" s="3" t="s">
        <v>3995</v>
      </c>
      <c r="C3968" s="3" t="s">
        <v>189</v>
      </c>
      <c r="D3968" s="3">
        <v>151.0</v>
      </c>
      <c r="E3968" s="3">
        <v>3.03</v>
      </c>
      <c r="F3968" s="3">
        <v>28.98</v>
      </c>
      <c r="G3968" s="3">
        <v>0.0</v>
      </c>
    </row>
    <row r="3969">
      <c r="A3969" s="3">
        <v>171479.0</v>
      </c>
      <c r="B3969" s="3" t="s">
        <v>3996</v>
      </c>
      <c r="C3969" s="3" t="s">
        <v>189</v>
      </c>
      <c r="D3969" s="3">
        <v>189.0</v>
      </c>
      <c r="E3969" s="3">
        <v>7.39</v>
      </c>
      <c r="F3969" s="3">
        <v>28.55</v>
      </c>
      <c r="G3969" s="3">
        <v>0.06</v>
      </c>
    </row>
    <row r="3970">
      <c r="A3970" s="3">
        <v>171480.0</v>
      </c>
      <c r="B3970" s="3" t="s">
        <v>3997</v>
      </c>
      <c r="C3970" s="3" t="s">
        <v>189</v>
      </c>
      <c r="D3970" s="3">
        <v>115.0</v>
      </c>
      <c r="E3970" s="3">
        <v>1.93</v>
      </c>
      <c r="F3970" s="3">
        <v>22.64</v>
      </c>
      <c r="G3970" s="3">
        <v>0.14</v>
      </c>
    </row>
    <row r="3971">
      <c r="A3971" s="3">
        <v>171481.0</v>
      </c>
      <c r="B3971" s="3" t="s">
        <v>3998</v>
      </c>
      <c r="C3971" s="3" t="s">
        <v>189</v>
      </c>
      <c r="D3971" s="3">
        <v>159.0</v>
      </c>
      <c r="E3971" s="3">
        <v>3.84</v>
      </c>
      <c r="F3971" s="3">
        <v>29.06</v>
      </c>
      <c r="G3971" s="3">
        <v>0.0</v>
      </c>
    </row>
    <row r="3972">
      <c r="A3972" s="3">
        <v>171482.0</v>
      </c>
      <c r="B3972" s="3" t="s">
        <v>3999</v>
      </c>
      <c r="C3972" s="3" t="s">
        <v>189</v>
      </c>
      <c r="D3972" s="3">
        <v>407.0</v>
      </c>
      <c r="E3972" s="3">
        <v>38.93</v>
      </c>
      <c r="F3972" s="3">
        <v>12.96</v>
      </c>
      <c r="G3972" s="3">
        <v>0.16</v>
      </c>
    </row>
    <row r="3973">
      <c r="A3973" s="3">
        <v>171483.0</v>
      </c>
      <c r="B3973" s="3" t="s">
        <v>4000</v>
      </c>
      <c r="C3973" s="3" t="s">
        <v>189</v>
      </c>
      <c r="D3973" s="3">
        <v>155.0</v>
      </c>
      <c r="E3973" s="3">
        <v>4.64</v>
      </c>
      <c r="F3973" s="3">
        <v>26.45</v>
      </c>
      <c r="G3973" s="3">
        <v>0.0</v>
      </c>
    </row>
    <row r="3974">
      <c r="A3974" s="3">
        <v>171484.0</v>
      </c>
      <c r="B3974" s="3" t="s">
        <v>4001</v>
      </c>
      <c r="C3974" s="3" t="s">
        <v>189</v>
      </c>
      <c r="D3974" s="3">
        <v>140.0</v>
      </c>
      <c r="E3974" s="3">
        <v>7.44</v>
      </c>
      <c r="F3974" s="3">
        <v>16.7</v>
      </c>
      <c r="G3974" s="3">
        <v>0.4</v>
      </c>
    </row>
    <row r="3975">
      <c r="A3975" s="3">
        <v>171485.0</v>
      </c>
      <c r="B3975" s="3" t="s">
        <v>4002</v>
      </c>
      <c r="C3975" s="3" t="s">
        <v>189</v>
      </c>
      <c r="D3975" s="3">
        <v>174.0</v>
      </c>
      <c r="E3975" s="3">
        <v>7.52</v>
      </c>
      <c r="F3975" s="3">
        <v>24.88</v>
      </c>
      <c r="G3975" s="3">
        <v>0.0</v>
      </c>
    </row>
    <row r="3976">
      <c r="A3976" s="3">
        <v>171486.0</v>
      </c>
      <c r="B3976" s="3" t="s">
        <v>4003</v>
      </c>
      <c r="C3976" s="3" t="s">
        <v>189</v>
      </c>
      <c r="D3976" s="3">
        <v>128.0</v>
      </c>
      <c r="E3976" s="3">
        <v>5.5</v>
      </c>
      <c r="F3976" s="3">
        <v>18.26</v>
      </c>
      <c r="G3976" s="3">
        <v>0.0</v>
      </c>
    </row>
    <row r="3977">
      <c r="A3977" s="3">
        <v>171487.0</v>
      </c>
      <c r="B3977" s="3" t="s">
        <v>4004</v>
      </c>
      <c r="C3977" s="3" t="s">
        <v>189</v>
      </c>
      <c r="D3977" s="3">
        <v>189.0</v>
      </c>
      <c r="E3977" s="3">
        <v>8.18</v>
      </c>
      <c r="F3977" s="3">
        <v>27.0</v>
      </c>
      <c r="G3977" s="3">
        <v>0.0</v>
      </c>
    </row>
    <row r="3978">
      <c r="A3978" s="3">
        <v>171488.0</v>
      </c>
      <c r="B3978" s="3" t="s">
        <v>4005</v>
      </c>
      <c r="C3978" s="3" t="s">
        <v>189</v>
      </c>
      <c r="D3978" s="3">
        <v>166.0</v>
      </c>
      <c r="E3978" s="3">
        <v>8.97</v>
      </c>
      <c r="F3978" s="3">
        <v>19.81</v>
      </c>
      <c r="G3978" s="3">
        <v>0.15</v>
      </c>
    </row>
    <row r="3979">
      <c r="A3979" s="3">
        <v>171489.0</v>
      </c>
      <c r="B3979" s="3" t="s">
        <v>4006</v>
      </c>
      <c r="C3979" s="3" t="s">
        <v>189</v>
      </c>
      <c r="D3979" s="3">
        <v>206.0</v>
      </c>
      <c r="E3979" s="3">
        <v>9.95</v>
      </c>
      <c r="F3979" s="3">
        <v>27.27</v>
      </c>
      <c r="G3979" s="3">
        <v>0.07</v>
      </c>
    </row>
    <row r="3980">
      <c r="A3980" s="3">
        <v>171490.0</v>
      </c>
      <c r="B3980" s="3" t="s">
        <v>4007</v>
      </c>
      <c r="C3980" s="3" t="s">
        <v>189</v>
      </c>
      <c r="D3980" s="3">
        <v>114.0</v>
      </c>
      <c r="E3980" s="3">
        <v>1.48</v>
      </c>
      <c r="F3980" s="3">
        <v>23.66</v>
      </c>
      <c r="G3980" s="3">
        <v>0.14</v>
      </c>
    </row>
    <row r="3981">
      <c r="A3981" s="3">
        <v>171491.0</v>
      </c>
      <c r="B3981" s="3" t="s">
        <v>4008</v>
      </c>
      <c r="C3981" s="3" t="s">
        <v>189</v>
      </c>
      <c r="D3981" s="3">
        <v>147.0</v>
      </c>
      <c r="E3981" s="3">
        <v>2.08</v>
      </c>
      <c r="F3981" s="3">
        <v>30.13</v>
      </c>
      <c r="G3981" s="3">
        <v>0.0</v>
      </c>
    </row>
    <row r="3982">
      <c r="A3982" s="3">
        <v>171492.0</v>
      </c>
      <c r="B3982" s="3" t="s">
        <v>4009</v>
      </c>
      <c r="C3982" s="3" t="s">
        <v>189</v>
      </c>
      <c r="D3982" s="3">
        <v>189.0</v>
      </c>
      <c r="E3982" s="3">
        <v>7.41</v>
      </c>
      <c r="F3982" s="3">
        <v>28.71</v>
      </c>
      <c r="G3982" s="3">
        <v>0.0</v>
      </c>
    </row>
    <row r="3983">
      <c r="A3983" s="3">
        <v>171493.0</v>
      </c>
      <c r="B3983" s="3" t="s">
        <v>4010</v>
      </c>
      <c r="C3983" s="3" t="s">
        <v>189</v>
      </c>
      <c r="D3983" s="3">
        <v>144.0</v>
      </c>
      <c r="E3983" s="3">
        <v>6.72</v>
      </c>
      <c r="F3983" s="3">
        <v>19.54</v>
      </c>
      <c r="G3983" s="3">
        <v>0.0</v>
      </c>
    </row>
    <row r="3984">
      <c r="A3984" s="3">
        <v>171494.0</v>
      </c>
      <c r="B3984" s="3" t="s">
        <v>4011</v>
      </c>
      <c r="C3984" s="3" t="s">
        <v>189</v>
      </c>
      <c r="D3984" s="3">
        <v>208.0</v>
      </c>
      <c r="E3984" s="3">
        <v>9.82</v>
      </c>
      <c r="F3984" s="3">
        <v>27.87</v>
      </c>
      <c r="G3984" s="3">
        <v>0.0</v>
      </c>
    </row>
    <row r="3985">
      <c r="A3985" s="3">
        <v>171495.0</v>
      </c>
      <c r="B3985" s="3" t="s">
        <v>4012</v>
      </c>
      <c r="C3985" s="3" t="s">
        <v>189</v>
      </c>
      <c r="D3985" s="3">
        <v>197.0</v>
      </c>
      <c r="E3985" s="3">
        <v>12.32</v>
      </c>
      <c r="F3985" s="3">
        <v>20.22</v>
      </c>
      <c r="G3985" s="3">
        <v>0.0</v>
      </c>
    </row>
    <row r="3986">
      <c r="A3986" s="3">
        <v>171496.0</v>
      </c>
      <c r="B3986" s="3" t="s">
        <v>4013</v>
      </c>
      <c r="C3986" s="3" t="s">
        <v>189</v>
      </c>
      <c r="D3986" s="3">
        <v>147.0</v>
      </c>
      <c r="E3986" s="3">
        <v>2.08</v>
      </c>
      <c r="F3986" s="3">
        <v>30.13</v>
      </c>
      <c r="G3986" s="3">
        <v>0.0</v>
      </c>
    </row>
    <row r="3987">
      <c r="A3987" s="3">
        <v>171497.0</v>
      </c>
      <c r="B3987" s="3" t="s">
        <v>4014</v>
      </c>
      <c r="C3987" s="3" t="s">
        <v>189</v>
      </c>
      <c r="D3987" s="3">
        <v>115.0</v>
      </c>
      <c r="E3987" s="3">
        <v>1.48</v>
      </c>
      <c r="F3987" s="3">
        <v>23.66</v>
      </c>
      <c r="G3987" s="3">
        <v>0.14</v>
      </c>
    </row>
    <row r="3988">
      <c r="A3988" s="3">
        <v>171498.0</v>
      </c>
      <c r="B3988" s="3" t="s">
        <v>4015</v>
      </c>
      <c r="C3988" s="3" t="s">
        <v>189</v>
      </c>
      <c r="D3988" s="3">
        <v>147.0</v>
      </c>
      <c r="E3988" s="3">
        <v>2.08</v>
      </c>
      <c r="F3988" s="3">
        <v>30.13</v>
      </c>
      <c r="G3988" s="3">
        <v>0.0</v>
      </c>
    </row>
    <row r="3989">
      <c r="A3989" s="3">
        <v>171499.0</v>
      </c>
      <c r="B3989" s="3" t="s">
        <v>4016</v>
      </c>
      <c r="C3989" s="3" t="s">
        <v>189</v>
      </c>
      <c r="D3989" s="3">
        <v>482.0</v>
      </c>
      <c r="E3989" s="3">
        <v>44.45</v>
      </c>
      <c r="F3989" s="3">
        <v>19.03</v>
      </c>
      <c r="G3989" s="3">
        <v>0.0</v>
      </c>
    </row>
    <row r="3990">
      <c r="A3990" s="3">
        <v>171500.0</v>
      </c>
      <c r="B3990" s="3" t="s">
        <v>4017</v>
      </c>
      <c r="C3990" s="3" t="s">
        <v>189</v>
      </c>
      <c r="D3990" s="3">
        <v>67.0</v>
      </c>
      <c r="E3990" s="3">
        <v>2.63</v>
      </c>
      <c r="F3990" s="3">
        <v>5.88</v>
      </c>
      <c r="G3990" s="3">
        <v>4.61</v>
      </c>
    </row>
    <row r="3991">
      <c r="A3991" s="3">
        <v>171501.0</v>
      </c>
      <c r="B3991" s="3" t="s">
        <v>4018</v>
      </c>
      <c r="C3991" s="3" t="s">
        <v>189</v>
      </c>
      <c r="D3991" s="3">
        <v>126.0</v>
      </c>
      <c r="E3991" s="3">
        <v>3.46</v>
      </c>
      <c r="F3991" s="3">
        <v>22.16</v>
      </c>
      <c r="G3991" s="3">
        <v>0.0</v>
      </c>
    </row>
    <row r="3992">
      <c r="A3992" s="3">
        <v>171502.0</v>
      </c>
      <c r="B3992" s="3" t="s">
        <v>4019</v>
      </c>
      <c r="C3992" s="3" t="s">
        <v>189</v>
      </c>
      <c r="D3992" s="3">
        <v>157.0</v>
      </c>
      <c r="E3992" s="3">
        <v>8.54</v>
      </c>
      <c r="F3992" s="3">
        <v>18.8</v>
      </c>
      <c r="G3992" s="3">
        <v>0.0</v>
      </c>
    </row>
    <row r="3993">
      <c r="A3993" s="3">
        <v>171503.0</v>
      </c>
      <c r="B3993" s="3" t="s">
        <v>4020</v>
      </c>
      <c r="C3993" s="3" t="s">
        <v>189</v>
      </c>
      <c r="D3993" s="3">
        <v>120.0</v>
      </c>
      <c r="E3993" s="3">
        <v>2.2</v>
      </c>
      <c r="F3993" s="3">
        <v>17.6</v>
      </c>
      <c r="G3993" s="3">
        <v>6.4</v>
      </c>
    </row>
    <row r="3994">
      <c r="A3994" s="3">
        <v>171504.0</v>
      </c>
      <c r="B3994" s="3" t="s">
        <v>4021</v>
      </c>
      <c r="C3994" s="3" t="s">
        <v>189</v>
      </c>
      <c r="D3994" s="3">
        <v>201.0</v>
      </c>
      <c r="E3994" s="3">
        <v>15.96</v>
      </c>
      <c r="F3994" s="3">
        <v>13.29</v>
      </c>
      <c r="G3994" s="3">
        <v>0.0</v>
      </c>
    </row>
    <row r="3995">
      <c r="A3995" s="3">
        <v>171505.0</v>
      </c>
      <c r="B3995" s="3" t="s">
        <v>4022</v>
      </c>
      <c r="C3995" s="3" t="s">
        <v>189</v>
      </c>
      <c r="D3995" s="3">
        <v>148.0</v>
      </c>
      <c r="E3995" s="3">
        <v>7.66</v>
      </c>
      <c r="F3995" s="3">
        <v>19.66</v>
      </c>
      <c r="G3995" s="3">
        <v>0.0</v>
      </c>
    </row>
    <row r="3996">
      <c r="A3996" s="3">
        <v>171506.0</v>
      </c>
      <c r="B3996" s="3" t="s">
        <v>4023</v>
      </c>
      <c r="C3996" s="3" t="s">
        <v>189</v>
      </c>
      <c r="D3996" s="3">
        <v>203.0</v>
      </c>
      <c r="E3996" s="3">
        <v>10.4</v>
      </c>
      <c r="F3996" s="3">
        <v>27.37</v>
      </c>
      <c r="G3996" s="3">
        <v>0.0</v>
      </c>
    </row>
    <row r="3997">
      <c r="A3997" s="3">
        <v>171507.0</v>
      </c>
      <c r="B3997" s="3" t="s">
        <v>4024</v>
      </c>
      <c r="C3997" s="3" t="s">
        <v>189</v>
      </c>
      <c r="D3997" s="3">
        <v>200.0</v>
      </c>
      <c r="E3997" s="3">
        <v>14.02</v>
      </c>
      <c r="F3997" s="3">
        <v>17.15</v>
      </c>
      <c r="G3997" s="3">
        <v>0.0</v>
      </c>
    </row>
    <row r="3998">
      <c r="A3998" s="3">
        <v>171508.0</v>
      </c>
      <c r="B3998" s="3" t="s">
        <v>4025</v>
      </c>
      <c r="C3998" s="3" t="s">
        <v>189</v>
      </c>
      <c r="D3998" s="3">
        <v>248.0</v>
      </c>
      <c r="E3998" s="3">
        <v>13.9</v>
      </c>
      <c r="F3998" s="3">
        <v>25.34</v>
      </c>
      <c r="G3998" s="3">
        <v>3.84</v>
      </c>
    </row>
    <row r="3999">
      <c r="A3999" s="3">
        <v>171509.0</v>
      </c>
      <c r="B3999" s="3" t="s">
        <v>4026</v>
      </c>
      <c r="C3999" s="3" t="s">
        <v>189</v>
      </c>
      <c r="D3999" s="3">
        <v>108.0</v>
      </c>
      <c r="E3999" s="3">
        <v>3.0</v>
      </c>
      <c r="F3999" s="3">
        <v>20.32</v>
      </c>
      <c r="G3999" s="3">
        <v>0.0</v>
      </c>
    </row>
    <row r="4000">
      <c r="A4000" s="3">
        <v>171510.0</v>
      </c>
      <c r="B4000" s="3" t="s">
        <v>4027</v>
      </c>
      <c r="C4000" s="3" t="s">
        <v>189</v>
      </c>
      <c r="D4000" s="3">
        <v>202.0</v>
      </c>
      <c r="E4000" s="3">
        <v>10.85</v>
      </c>
      <c r="F4000" s="3">
        <v>24.5</v>
      </c>
      <c r="G4000" s="3">
        <v>0.0</v>
      </c>
    </row>
    <row r="4001">
      <c r="A4001" s="3">
        <v>171511.0</v>
      </c>
      <c r="B4001" s="3" t="s">
        <v>4028</v>
      </c>
      <c r="C4001" s="3" t="s">
        <v>189</v>
      </c>
      <c r="D4001" s="3">
        <v>140.0</v>
      </c>
      <c r="E4001" s="3">
        <v>2.5</v>
      </c>
      <c r="F4001" s="3">
        <v>27.6</v>
      </c>
      <c r="G4001" s="3">
        <v>0.0</v>
      </c>
    </row>
    <row r="4002">
      <c r="A4002" s="3">
        <v>171512.0</v>
      </c>
      <c r="B4002" s="3" t="s">
        <v>4029</v>
      </c>
      <c r="C4002" s="3" t="s">
        <v>189</v>
      </c>
      <c r="D4002" s="3">
        <v>292.0</v>
      </c>
      <c r="E4002" s="3">
        <v>20.04</v>
      </c>
      <c r="F4002" s="3">
        <v>14.33</v>
      </c>
      <c r="G4002" s="3">
        <v>13.61</v>
      </c>
    </row>
    <row r="4003">
      <c r="A4003" s="3">
        <v>171513.0</v>
      </c>
      <c r="B4003" s="3" t="s">
        <v>4030</v>
      </c>
      <c r="C4003" s="3" t="s">
        <v>189</v>
      </c>
      <c r="D4003" s="3">
        <v>287.0</v>
      </c>
      <c r="E4003" s="3">
        <v>19.58</v>
      </c>
      <c r="F4003" s="3">
        <v>14.85</v>
      </c>
      <c r="G4003" s="3">
        <v>12.84</v>
      </c>
    </row>
    <row r="4004">
      <c r="A4004" s="3">
        <v>171514.0</v>
      </c>
      <c r="B4004" s="3" t="s">
        <v>4031</v>
      </c>
      <c r="C4004" s="3" t="s">
        <v>189</v>
      </c>
      <c r="D4004" s="3">
        <v>252.0</v>
      </c>
      <c r="E4004" s="3">
        <v>12.89</v>
      </c>
      <c r="F4004" s="3">
        <v>16.35</v>
      </c>
      <c r="G4004" s="3">
        <v>17.56</v>
      </c>
    </row>
    <row r="4005">
      <c r="A4005" s="3">
        <v>171515.0</v>
      </c>
      <c r="B4005" s="3" t="s">
        <v>4032</v>
      </c>
      <c r="C4005" s="3" t="s">
        <v>189</v>
      </c>
      <c r="D4005" s="3">
        <v>263.0</v>
      </c>
      <c r="E4005" s="3">
        <v>15.75</v>
      </c>
      <c r="F4005" s="3">
        <v>14.73</v>
      </c>
      <c r="G4005" s="3">
        <v>15.01</v>
      </c>
    </row>
    <row r="4006">
      <c r="A4006" s="3">
        <v>171516.0</v>
      </c>
      <c r="B4006" s="3" t="s">
        <v>4033</v>
      </c>
      <c r="C4006" s="3" t="s">
        <v>189</v>
      </c>
      <c r="D4006" s="3">
        <v>186.0</v>
      </c>
      <c r="E4006" s="3">
        <v>7.79</v>
      </c>
      <c r="F4006" s="3">
        <v>28.34</v>
      </c>
      <c r="G4006" s="3">
        <v>0.54</v>
      </c>
    </row>
    <row r="4007">
      <c r="A4007" s="3">
        <v>171517.0</v>
      </c>
      <c r="B4007" s="3" t="s">
        <v>4034</v>
      </c>
      <c r="C4007" s="3" t="s">
        <v>189</v>
      </c>
      <c r="D4007" s="3">
        <v>205.0</v>
      </c>
      <c r="E4007" s="3">
        <v>11.54</v>
      </c>
      <c r="F4007" s="3">
        <v>25.34</v>
      </c>
      <c r="G4007" s="3">
        <v>0.0</v>
      </c>
    </row>
    <row r="4008">
      <c r="A4008" s="3">
        <v>171518.0</v>
      </c>
      <c r="B4008" s="3" t="s">
        <v>4035</v>
      </c>
      <c r="C4008" s="3" t="s">
        <v>189</v>
      </c>
      <c r="D4008" s="3">
        <v>137.0</v>
      </c>
      <c r="E4008" s="3">
        <v>2.79</v>
      </c>
      <c r="F4008" s="3">
        <v>28.0</v>
      </c>
      <c r="G4008" s="3">
        <v>0.0</v>
      </c>
    </row>
    <row r="4009">
      <c r="A4009" s="3">
        <v>171519.0</v>
      </c>
      <c r="B4009" s="3" t="s">
        <v>4036</v>
      </c>
      <c r="C4009" s="3" t="s">
        <v>189</v>
      </c>
      <c r="D4009" s="3">
        <v>176.0</v>
      </c>
      <c r="E4009" s="3">
        <v>6.81</v>
      </c>
      <c r="F4009" s="3">
        <v>28.74</v>
      </c>
      <c r="G4009" s="3">
        <v>0.0</v>
      </c>
    </row>
    <row r="4010">
      <c r="A4010" s="3">
        <v>171520.0</v>
      </c>
      <c r="B4010" s="3" t="s">
        <v>4037</v>
      </c>
      <c r="C4010" s="3" t="s">
        <v>189</v>
      </c>
      <c r="D4010" s="3">
        <v>406.0</v>
      </c>
      <c r="E4010" s="3">
        <v>37.24</v>
      </c>
      <c r="F4010" s="3">
        <v>17.66</v>
      </c>
      <c r="G4010" s="3">
        <v>0.11</v>
      </c>
    </row>
    <row r="4011">
      <c r="A4011" s="3">
        <v>171521.0</v>
      </c>
      <c r="B4011" s="3" t="s">
        <v>4038</v>
      </c>
      <c r="C4011" s="3" t="s">
        <v>189</v>
      </c>
      <c r="D4011" s="3">
        <v>215.0</v>
      </c>
      <c r="E4011" s="3">
        <v>11.98</v>
      </c>
      <c r="F4011" s="3">
        <v>26.86</v>
      </c>
      <c r="G4011" s="3">
        <v>0.02</v>
      </c>
    </row>
    <row r="4012">
      <c r="A4012" s="3">
        <v>171522.0</v>
      </c>
      <c r="B4012" s="3" t="s">
        <v>4039</v>
      </c>
      <c r="C4012" s="3" t="s">
        <v>189</v>
      </c>
      <c r="D4012" s="3">
        <v>233.0</v>
      </c>
      <c r="E4012" s="3">
        <v>15.7</v>
      </c>
      <c r="F4012" s="3">
        <v>22.93</v>
      </c>
      <c r="G4012" s="3">
        <v>0.02</v>
      </c>
    </row>
    <row r="4013">
      <c r="A4013" s="3">
        <v>171523.0</v>
      </c>
      <c r="B4013" s="3" t="s">
        <v>4040</v>
      </c>
      <c r="C4013" s="3" t="s">
        <v>189</v>
      </c>
      <c r="D4013" s="3">
        <v>266.0</v>
      </c>
      <c r="E4013" s="3">
        <v>18.77</v>
      </c>
      <c r="F4013" s="3">
        <v>24.34</v>
      </c>
      <c r="G4013" s="3">
        <v>0.04</v>
      </c>
    </row>
    <row r="4014">
      <c r="A4014" s="3">
        <v>171524.0</v>
      </c>
      <c r="B4014" s="3" t="s">
        <v>4041</v>
      </c>
      <c r="C4014" s="3" t="s">
        <v>189</v>
      </c>
      <c r="D4014" s="3">
        <v>378.0</v>
      </c>
      <c r="E4014" s="3">
        <v>35.15</v>
      </c>
      <c r="F4014" s="3">
        <v>15.19</v>
      </c>
      <c r="G4014" s="3">
        <v>0.7</v>
      </c>
    </row>
    <row r="4015">
      <c r="A4015" s="3">
        <v>171525.0</v>
      </c>
      <c r="B4015" s="3" t="s">
        <v>4042</v>
      </c>
      <c r="C4015" s="3" t="s">
        <v>189</v>
      </c>
      <c r="D4015" s="3">
        <v>115.0</v>
      </c>
      <c r="E4015" s="3">
        <v>4.12</v>
      </c>
      <c r="F4015" s="3">
        <v>19.27</v>
      </c>
      <c r="G4015" s="3">
        <v>0.15</v>
      </c>
    </row>
    <row r="4016">
      <c r="A4016" s="3">
        <v>171526.0</v>
      </c>
      <c r="B4016" s="3" t="s">
        <v>4043</v>
      </c>
      <c r="C4016" s="3" t="s">
        <v>189</v>
      </c>
      <c r="D4016" s="3">
        <v>102.0</v>
      </c>
      <c r="E4016" s="3">
        <v>1.66</v>
      </c>
      <c r="F4016" s="3">
        <v>21.54</v>
      </c>
      <c r="G4016" s="3">
        <v>0.14</v>
      </c>
    </row>
    <row r="4017">
      <c r="A4017" s="3">
        <v>171527.0</v>
      </c>
      <c r="B4017" s="3" t="s">
        <v>4044</v>
      </c>
      <c r="C4017" s="3" t="s">
        <v>189</v>
      </c>
      <c r="D4017" s="3">
        <v>127.0</v>
      </c>
      <c r="E4017" s="3">
        <v>2.08</v>
      </c>
      <c r="F4017" s="3">
        <v>26.97</v>
      </c>
      <c r="G4017" s="3">
        <v>0.0</v>
      </c>
    </row>
    <row r="4018">
      <c r="A4018" s="3">
        <v>171528.0</v>
      </c>
      <c r="B4018" s="3" t="s">
        <v>4045</v>
      </c>
      <c r="C4018" s="3" t="s">
        <v>189</v>
      </c>
      <c r="D4018" s="3">
        <v>155.0</v>
      </c>
      <c r="E4018" s="3">
        <v>7.45</v>
      </c>
      <c r="F4018" s="3">
        <v>21.88</v>
      </c>
      <c r="G4018" s="3">
        <v>0.0</v>
      </c>
    </row>
    <row r="4019">
      <c r="A4019" s="3">
        <v>171529.0</v>
      </c>
      <c r="B4019" s="3" t="s">
        <v>4046</v>
      </c>
      <c r="C4019" s="3" t="s">
        <v>189</v>
      </c>
      <c r="D4019" s="3">
        <v>164.0</v>
      </c>
      <c r="E4019" s="3">
        <v>5.33</v>
      </c>
      <c r="F4019" s="3">
        <v>29.01</v>
      </c>
      <c r="G4019" s="3">
        <v>0.05</v>
      </c>
    </row>
    <row r="4020">
      <c r="A4020" s="3">
        <v>171530.0</v>
      </c>
      <c r="B4020" s="3" t="s">
        <v>4047</v>
      </c>
      <c r="C4020" s="3" t="s">
        <v>189</v>
      </c>
      <c r="D4020" s="3">
        <v>139.0</v>
      </c>
      <c r="E4020" s="3">
        <v>2.08</v>
      </c>
      <c r="F4020" s="3">
        <v>30.13</v>
      </c>
      <c r="G4020" s="3">
        <v>0.0</v>
      </c>
    </row>
    <row r="4021">
      <c r="A4021" s="3">
        <v>171531.0</v>
      </c>
      <c r="B4021" s="3" t="s">
        <v>4048</v>
      </c>
      <c r="C4021" s="3" t="s">
        <v>189</v>
      </c>
      <c r="D4021" s="3">
        <v>108.0</v>
      </c>
      <c r="E4021" s="3">
        <v>2.5</v>
      </c>
      <c r="F4021" s="3">
        <v>21.28</v>
      </c>
      <c r="G4021" s="3">
        <v>0.15</v>
      </c>
    </row>
    <row r="4022">
      <c r="A4022" s="3">
        <v>171532.0</v>
      </c>
      <c r="B4022" s="3" t="s">
        <v>4049</v>
      </c>
      <c r="C4022" s="3" t="s">
        <v>189</v>
      </c>
      <c r="D4022" s="3">
        <v>165.0</v>
      </c>
      <c r="E4022" s="3">
        <v>6.04</v>
      </c>
      <c r="F4022" s="3">
        <v>27.71</v>
      </c>
      <c r="G4022" s="3">
        <v>0.0</v>
      </c>
    </row>
    <row r="4023">
      <c r="A4023" s="3">
        <v>171533.0</v>
      </c>
      <c r="B4023" s="3" t="s">
        <v>4050</v>
      </c>
      <c r="C4023" s="3" t="s">
        <v>189</v>
      </c>
      <c r="D4023" s="3">
        <v>161.0</v>
      </c>
      <c r="E4023" s="3">
        <v>9.16</v>
      </c>
      <c r="F4023" s="3">
        <v>19.54</v>
      </c>
      <c r="G4023" s="3">
        <v>0.0</v>
      </c>
    </row>
    <row r="4024">
      <c r="A4024" s="3">
        <v>171534.0</v>
      </c>
      <c r="B4024" s="3" t="s">
        <v>4051</v>
      </c>
      <c r="C4024" s="3" t="s">
        <v>189</v>
      </c>
      <c r="D4024" s="3">
        <v>151.0</v>
      </c>
      <c r="E4024" s="3">
        <v>3.17</v>
      </c>
      <c r="F4024" s="3">
        <v>30.54</v>
      </c>
      <c r="G4024" s="3">
        <v>0.0</v>
      </c>
    </row>
    <row r="4025">
      <c r="A4025" s="3">
        <v>171535.0</v>
      </c>
      <c r="B4025" s="3" t="s">
        <v>4052</v>
      </c>
      <c r="C4025" s="3" t="s">
        <v>189</v>
      </c>
      <c r="D4025" s="3">
        <v>145.0</v>
      </c>
      <c r="E4025" s="3">
        <v>3.61</v>
      </c>
      <c r="F4025" s="3">
        <v>28.24</v>
      </c>
      <c r="G4025" s="3">
        <v>0.0</v>
      </c>
    </row>
    <row r="4026">
      <c r="A4026" s="3">
        <v>171536.0</v>
      </c>
      <c r="B4026" s="3" t="s">
        <v>4053</v>
      </c>
      <c r="C4026" s="3" t="s">
        <v>189</v>
      </c>
      <c r="D4026" s="3">
        <v>148.0</v>
      </c>
      <c r="E4026" s="3">
        <v>3.39</v>
      </c>
      <c r="F4026" s="3">
        <v>29.5</v>
      </c>
      <c r="G4026" s="3">
        <v>0.0</v>
      </c>
    </row>
    <row r="4027">
      <c r="A4027" s="3">
        <v>171537.0</v>
      </c>
      <c r="B4027" s="3" t="s">
        <v>4054</v>
      </c>
      <c r="C4027" s="3" t="s">
        <v>225</v>
      </c>
      <c r="D4027" s="3">
        <v>69.0</v>
      </c>
      <c r="E4027" s="3">
        <v>3.26</v>
      </c>
      <c r="F4027" s="3">
        <v>1.82</v>
      </c>
      <c r="G4027" s="3">
        <v>8.52</v>
      </c>
    </row>
    <row r="4028">
      <c r="A4028" s="3">
        <v>171538.0</v>
      </c>
      <c r="B4028" s="3" t="s">
        <v>4055</v>
      </c>
      <c r="C4028" s="3" t="s">
        <v>225</v>
      </c>
      <c r="D4028" s="3">
        <v>7.0</v>
      </c>
      <c r="E4028" s="3">
        <v>0.22</v>
      </c>
      <c r="F4028" s="3">
        <v>1.14</v>
      </c>
      <c r="G4028" s="3">
        <v>0.04</v>
      </c>
    </row>
    <row r="4029">
      <c r="A4029" s="3">
        <v>171539.0</v>
      </c>
      <c r="B4029" s="3" t="s">
        <v>4056</v>
      </c>
      <c r="C4029" s="3" t="s">
        <v>225</v>
      </c>
      <c r="D4029" s="3">
        <v>67.0</v>
      </c>
      <c r="E4029" s="3">
        <v>2.46</v>
      </c>
      <c r="F4029" s="3">
        <v>3.85</v>
      </c>
      <c r="G4029" s="3">
        <v>7.16</v>
      </c>
    </row>
    <row r="4030">
      <c r="A4030" s="3">
        <v>171540.0</v>
      </c>
      <c r="B4030" s="3" t="s">
        <v>4057</v>
      </c>
      <c r="C4030" s="3" t="s">
        <v>225</v>
      </c>
      <c r="D4030" s="3">
        <v>72.0</v>
      </c>
      <c r="E4030" s="3">
        <v>4.46</v>
      </c>
      <c r="F4030" s="3">
        <v>1.32</v>
      </c>
      <c r="G4030" s="3">
        <v>7.03</v>
      </c>
    </row>
    <row r="4031">
      <c r="A4031" s="3">
        <v>171541.0</v>
      </c>
      <c r="B4031" s="3" t="s">
        <v>4058</v>
      </c>
      <c r="C4031" s="3" t="s">
        <v>225</v>
      </c>
      <c r="D4031" s="3">
        <v>82.0</v>
      </c>
      <c r="E4031" s="3">
        <v>3.92</v>
      </c>
      <c r="F4031" s="3">
        <v>0.8</v>
      </c>
      <c r="G4031" s="3">
        <v>11.3</v>
      </c>
    </row>
    <row r="4032">
      <c r="A4032" s="3">
        <v>171542.0</v>
      </c>
      <c r="B4032" s="3" t="s">
        <v>4059</v>
      </c>
      <c r="C4032" s="3" t="s">
        <v>225</v>
      </c>
      <c r="D4032" s="3">
        <v>31.0</v>
      </c>
      <c r="E4032" s="3">
        <v>1.04</v>
      </c>
      <c r="F4032" s="3">
        <v>4.42</v>
      </c>
      <c r="G4032" s="3">
        <v>0.75</v>
      </c>
    </row>
    <row r="4033">
      <c r="A4033" s="3">
        <v>171543.0</v>
      </c>
      <c r="B4033" s="3" t="s">
        <v>4060</v>
      </c>
      <c r="C4033" s="3" t="s">
        <v>225</v>
      </c>
      <c r="D4033" s="3">
        <v>48.0</v>
      </c>
      <c r="E4033" s="3">
        <v>1.55</v>
      </c>
      <c r="F4033" s="3">
        <v>2.37</v>
      </c>
      <c r="G4033" s="3">
        <v>6.07</v>
      </c>
    </row>
    <row r="4034">
      <c r="A4034" s="3">
        <v>171544.0</v>
      </c>
      <c r="B4034" s="3" t="s">
        <v>4061</v>
      </c>
      <c r="C4034" s="3" t="s">
        <v>225</v>
      </c>
      <c r="D4034" s="3">
        <v>53.0</v>
      </c>
      <c r="E4034" s="3">
        <v>1.33</v>
      </c>
      <c r="F4034" s="3">
        <v>5.11</v>
      </c>
      <c r="G4034" s="3">
        <v>5.41</v>
      </c>
    </row>
    <row r="4035">
      <c r="A4035" s="3">
        <v>171545.0</v>
      </c>
      <c r="B4035" s="3" t="s">
        <v>4062</v>
      </c>
      <c r="C4035" s="3" t="s">
        <v>225</v>
      </c>
      <c r="D4035" s="3">
        <v>68.0</v>
      </c>
      <c r="E4035" s="3">
        <v>1.56</v>
      </c>
      <c r="F4035" s="3">
        <v>1.84</v>
      </c>
      <c r="G4035" s="3">
        <v>11.57</v>
      </c>
    </row>
    <row r="4036">
      <c r="A4036" s="3">
        <v>171546.0</v>
      </c>
      <c r="B4036" s="3" t="s">
        <v>4063</v>
      </c>
      <c r="C4036" s="3" t="s">
        <v>225</v>
      </c>
      <c r="D4036" s="3">
        <v>33.0</v>
      </c>
      <c r="E4036" s="3">
        <v>0.73</v>
      </c>
      <c r="F4036" s="3">
        <v>1.97</v>
      </c>
      <c r="G4036" s="3">
        <v>4.68</v>
      </c>
    </row>
    <row r="4037">
      <c r="A4037" s="3">
        <v>171547.0</v>
      </c>
      <c r="B4037" s="3" t="s">
        <v>4064</v>
      </c>
      <c r="C4037" s="3" t="s">
        <v>225</v>
      </c>
      <c r="D4037" s="3">
        <v>72.0</v>
      </c>
      <c r="E4037" s="3">
        <v>2.06</v>
      </c>
      <c r="F4037" s="3">
        <v>3.17</v>
      </c>
      <c r="G4037" s="3">
        <v>10.32</v>
      </c>
    </row>
    <row r="4038">
      <c r="A4038" s="3">
        <v>171548.0</v>
      </c>
      <c r="B4038" s="3" t="s">
        <v>4065</v>
      </c>
      <c r="C4038" s="3" t="s">
        <v>225</v>
      </c>
      <c r="D4038" s="3">
        <v>11.0</v>
      </c>
      <c r="E4038" s="3">
        <v>0.0</v>
      </c>
      <c r="F4038" s="3">
        <v>2.52</v>
      </c>
      <c r="G4038" s="3">
        <v>0.32</v>
      </c>
    </row>
    <row r="4039">
      <c r="A4039" s="3">
        <v>171549.0</v>
      </c>
      <c r="B4039" s="3" t="s">
        <v>4066</v>
      </c>
      <c r="C4039" s="3" t="s">
        <v>225</v>
      </c>
      <c r="D4039" s="3">
        <v>56.0</v>
      </c>
      <c r="E4039" s="3">
        <v>1.12</v>
      </c>
      <c r="F4039" s="3">
        <v>3.74</v>
      </c>
      <c r="G4039" s="3">
        <v>8.16</v>
      </c>
    </row>
    <row r="4040">
      <c r="A4040" s="3">
        <v>171550.0</v>
      </c>
      <c r="B4040" s="3" t="s">
        <v>4067</v>
      </c>
      <c r="C4040" s="3" t="s">
        <v>225</v>
      </c>
      <c r="D4040" s="3">
        <v>53.0</v>
      </c>
      <c r="E4040" s="3">
        <v>1.17</v>
      </c>
      <c r="F4040" s="3">
        <v>2.13</v>
      </c>
      <c r="G4040" s="3">
        <v>8.64</v>
      </c>
    </row>
    <row r="4041">
      <c r="A4041" s="3">
        <v>171551.0</v>
      </c>
      <c r="B4041" s="3" t="s">
        <v>4068</v>
      </c>
      <c r="C4041" s="3" t="s">
        <v>225</v>
      </c>
      <c r="D4041" s="3">
        <v>46.0</v>
      </c>
      <c r="E4041" s="3">
        <v>1.42</v>
      </c>
      <c r="F4041" s="3">
        <v>3.06</v>
      </c>
      <c r="G4041" s="3">
        <v>6.68</v>
      </c>
    </row>
    <row r="4042">
      <c r="A4042" s="3">
        <v>171552.0</v>
      </c>
      <c r="B4042" s="3" t="s">
        <v>4069</v>
      </c>
      <c r="C4042" s="3" t="s">
        <v>225</v>
      </c>
      <c r="D4042" s="3">
        <v>88.0</v>
      </c>
      <c r="E4042" s="3">
        <v>4.2</v>
      </c>
      <c r="F4042" s="3">
        <v>2.2</v>
      </c>
      <c r="G4042" s="3">
        <v>10.4</v>
      </c>
    </row>
    <row r="4043">
      <c r="A4043" s="3">
        <v>171553.0</v>
      </c>
      <c r="B4043" s="3" t="s">
        <v>4070</v>
      </c>
      <c r="C4043" s="3" t="s">
        <v>225</v>
      </c>
      <c r="D4043" s="3">
        <v>48.0</v>
      </c>
      <c r="E4043" s="3">
        <v>3.13</v>
      </c>
      <c r="F4043" s="3">
        <v>1.72</v>
      </c>
      <c r="G4043" s="3">
        <v>3.32</v>
      </c>
    </row>
    <row r="4044">
      <c r="A4044" s="3">
        <v>171554.0</v>
      </c>
      <c r="B4044" s="3" t="s">
        <v>4071</v>
      </c>
      <c r="C4044" s="3" t="s">
        <v>225</v>
      </c>
      <c r="D4044" s="3">
        <v>125.0</v>
      </c>
      <c r="E4044" s="3">
        <v>2.23</v>
      </c>
      <c r="F4044" s="3">
        <v>6.54</v>
      </c>
      <c r="G4044" s="3">
        <v>20.18</v>
      </c>
    </row>
    <row r="4045">
      <c r="A4045" s="3">
        <v>171555.0</v>
      </c>
      <c r="B4045" s="3" t="s">
        <v>4072</v>
      </c>
      <c r="C4045" s="3" t="s">
        <v>225</v>
      </c>
      <c r="D4045" s="3">
        <v>77.0</v>
      </c>
      <c r="E4045" s="3">
        <v>1.66</v>
      </c>
      <c r="F4045" s="3">
        <v>4.62</v>
      </c>
      <c r="G4045" s="3">
        <v>11.17</v>
      </c>
    </row>
    <row r="4046">
      <c r="A4046" s="3">
        <v>171556.0</v>
      </c>
      <c r="B4046" s="3" t="s">
        <v>4073</v>
      </c>
      <c r="C4046" s="3" t="s">
        <v>225</v>
      </c>
      <c r="D4046" s="3">
        <v>47.0</v>
      </c>
      <c r="E4046" s="3">
        <v>1.53</v>
      </c>
      <c r="F4046" s="3">
        <v>2.37</v>
      </c>
      <c r="G4046" s="3">
        <v>5.97</v>
      </c>
    </row>
    <row r="4047">
      <c r="A4047" s="3">
        <v>171557.0</v>
      </c>
      <c r="B4047" s="3" t="s">
        <v>4074</v>
      </c>
      <c r="C4047" s="3" t="s">
        <v>225</v>
      </c>
      <c r="D4047" s="3">
        <v>93.0</v>
      </c>
      <c r="E4047" s="3">
        <v>2.12</v>
      </c>
      <c r="F4047" s="3">
        <v>1.64</v>
      </c>
      <c r="G4047" s="3">
        <v>17.08</v>
      </c>
    </row>
    <row r="4048">
      <c r="A4048" s="3">
        <v>171558.0</v>
      </c>
      <c r="B4048" s="3" t="s">
        <v>4075</v>
      </c>
      <c r="C4048" s="3" t="s">
        <v>225</v>
      </c>
      <c r="D4048" s="3">
        <v>57.0</v>
      </c>
      <c r="E4048" s="3">
        <v>1.87</v>
      </c>
      <c r="F4048" s="3">
        <v>4.33</v>
      </c>
      <c r="G4048" s="3">
        <v>5.96</v>
      </c>
    </row>
    <row r="4049">
      <c r="A4049" s="3">
        <v>171559.0</v>
      </c>
      <c r="B4049" s="3" t="s">
        <v>4076</v>
      </c>
      <c r="C4049" s="3" t="s">
        <v>225</v>
      </c>
      <c r="D4049" s="3">
        <v>39.0</v>
      </c>
      <c r="E4049" s="3">
        <v>0.36</v>
      </c>
      <c r="F4049" s="3">
        <v>1.14</v>
      </c>
      <c r="G4049" s="3">
        <v>7.9</v>
      </c>
    </row>
    <row r="4050">
      <c r="A4050" s="3">
        <v>171560.0</v>
      </c>
      <c r="B4050" s="3" t="s">
        <v>4077</v>
      </c>
      <c r="C4050" s="3" t="s">
        <v>225</v>
      </c>
      <c r="D4050" s="3">
        <v>213.0</v>
      </c>
      <c r="E4050" s="3">
        <v>8.89</v>
      </c>
      <c r="F4050" s="3">
        <v>15.97</v>
      </c>
      <c r="G4050" s="3">
        <v>17.4</v>
      </c>
    </row>
    <row r="4051">
      <c r="A4051" s="3">
        <v>171561.0</v>
      </c>
      <c r="B4051" s="3" t="s">
        <v>4078</v>
      </c>
      <c r="C4051" s="3" t="s">
        <v>225</v>
      </c>
      <c r="D4051" s="3">
        <v>170.0</v>
      </c>
      <c r="E4051" s="3">
        <v>4.0</v>
      </c>
      <c r="F4051" s="3">
        <v>17.3</v>
      </c>
      <c r="G4051" s="3">
        <v>16.1</v>
      </c>
    </row>
    <row r="4052">
      <c r="A4052" s="3">
        <v>171562.0</v>
      </c>
      <c r="B4052" s="3" t="s">
        <v>4079</v>
      </c>
      <c r="C4052" s="3" t="s">
        <v>225</v>
      </c>
      <c r="D4052" s="3">
        <v>267.0</v>
      </c>
      <c r="E4052" s="3">
        <v>13.88</v>
      </c>
      <c r="F4052" s="3">
        <v>16.66</v>
      </c>
      <c r="G4052" s="3">
        <v>18.01</v>
      </c>
    </row>
    <row r="4053">
      <c r="A4053" s="3">
        <v>171563.0</v>
      </c>
      <c r="B4053" s="3" t="s">
        <v>4080</v>
      </c>
      <c r="C4053" s="3" t="s">
        <v>225</v>
      </c>
      <c r="D4053" s="3">
        <v>198.0</v>
      </c>
      <c r="E4053" s="3">
        <v>4.7</v>
      </c>
      <c r="F4053" s="3">
        <v>14.6</v>
      </c>
      <c r="G4053" s="3">
        <v>23.5</v>
      </c>
    </row>
    <row r="4054">
      <c r="A4054" s="3">
        <v>171564.0</v>
      </c>
      <c r="B4054" s="3" t="s">
        <v>4081</v>
      </c>
      <c r="C4054" s="3" t="s">
        <v>225</v>
      </c>
      <c r="D4054" s="3">
        <v>53.0</v>
      </c>
      <c r="E4054" s="3">
        <v>2.36</v>
      </c>
      <c r="F4054" s="3">
        <v>3.75</v>
      </c>
      <c r="G4054" s="3">
        <v>4.81</v>
      </c>
    </row>
    <row r="4055">
      <c r="A4055" s="3">
        <v>171565.0</v>
      </c>
      <c r="B4055" s="3" t="s">
        <v>4082</v>
      </c>
      <c r="C4055" s="3" t="s">
        <v>225</v>
      </c>
      <c r="D4055" s="3">
        <v>367.0</v>
      </c>
      <c r="E4055" s="3">
        <v>9.61</v>
      </c>
      <c r="F4055" s="3">
        <v>10.74</v>
      </c>
      <c r="G4055" s="3">
        <v>59.38</v>
      </c>
    </row>
    <row r="4056">
      <c r="A4056" s="3">
        <v>171566.0</v>
      </c>
      <c r="B4056" s="3" t="s">
        <v>4083</v>
      </c>
      <c r="C4056" s="3" t="s">
        <v>225</v>
      </c>
      <c r="D4056" s="3">
        <v>48.0</v>
      </c>
      <c r="E4056" s="3">
        <v>2.62</v>
      </c>
      <c r="F4056" s="3">
        <v>0.71</v>
      </c>
      <c r="G4056" s="3">
        <v>5.29</v>
      </c>
    </row>
    <row r="4057">
      <c r="A4057" s="3">
        <v>171567.0</v>
      </c>
      <c r="B4057" s="3" t="s">
        <v>4084</v>
      </c>
      <c r="C4057" s="3" t="s">
        <v>225</v>
      </c>
      <c r="D4057" s="3">
        <v>381.0</v>
      </c>
      <c r="E4057" s="3">
        <v>9.73</v>
      </c>
      <c r="F4057" s="3">
        <v>11.27</v>
      </c>
      <c r="G4057" s="3">
        <v>62.09</v>
      </c>
    </row>
    <row r="4058">
      <c r="A4058" s="3">
        <v>171568.0</v>
      </c>
      <c r="B4058" s="3" t="s">
        <v>4085</v>
      </c>
      <c r="C4058" s="3" t="s">
        <v>225</v>
      </c>
      <c r="D4058" s="3">
        <v>51.0</v>
      </c>
      <c r="E4058" s="3">
        <v>2.1</v>
      </c>
      <c r="F4058" s="3">
        <v>2.6</v>
      </c>
      <c r="G4058" s="3">
        <v>5.1</v>
      </c>
    </row>
    <row r="4059">
      <c r="A4059" s="3">
        <v>171569.0</v>
      </c>
      <c r="B4059" s="3" t="s">
        <v>4086</v>
      </c>
      <c r="C4059" s="3" t="s">
        <v>225</v>
      </c>
      <c r="D4059" s="3">
        <v>367.0</v>
      </c>
      <c r="E4059" s="3">
        <v>7.19</v>
      </c>
      <c r="F4059" s="3">
        <v>10.42</v>
      </c>
      <c r="G4059" s="3">
        <v>65.12</v>
      </c>
    </row>
    <row r="4060">
      <c r="A4060" s="3">
        <v>171570.0</v>
      </c>
      <c r="B4060" s="3" t="s">
        <v>4087</v>
      </c>
      <c r="C4060" s="3" t="s">
        <v>225</v>
      </c>
      <c r="D4060" s="3">
        <v>344.0</v>
      </c>
      <c r="E4060" s="3">
        <v>8.0</v>
      </c>
      <c r="F4060" s="3">
        <v>13.0</v>
      </c>
      <c r="G4060" s="3">
        <v>58.0</v>
      </c>
    </row>
    <row r="4061">
      <c r="A4061" s="3">
        <v>171571.0</v>
      </c>
      <c r="B4061" s="3" t="s">
        <v>4088</v>
      </c>
      <c r="C4061" s="3" t="s">
        <v>225</v>
      </c>
      <c r="D4061" s="3">
        <v>377.0</v>
      </c>
      <c r="E4061" s="3">
        <v>6.51</v>
      </c>
      <c r="F4061" s="3">
        <v>15.42</v>
      </c>
      <c r="G4061" s="3">
        <v>62.32</v>
      </c>
    </row>
    <row r="4062">
      <c r="A4062" s="3">
        <v>171572.0</v>
      </c>
      <c r="B4062" s="3" t="s">
        <v>4089</v>
      </c>
      <c r="C4062" s="3" t="s">
        <v>225</v>
      </c>
      <c r="D4062" s="3">
        <v>30.0</v>
      </c>
      <c r="E4062" s="3">
        <v>1.23</v>
      </c>
      <c r="F4062" s="3">
        <v>2.37</v>
      </c>
      <c r="G4062" s="3">
        <v>2.6</v>
      </c>
    </row>
    <row r="4063">
      <c r="A4063" s="3">
        <v>171573.0</v>
      </c>
      <c r="B4063" s="3" t="s">
        <v>4090</v>
      </c>
      <c r="C4063" s="3" t="s">
        <v>225</v>
      </c>
      <c r="D4063" s="3">
        <v>54.0</v>
      </c>
      <c r="E4063" s="3">
        <v>3.75</v>
      </c>
      <c r="F4063" s="3">
        <v>1.8</v>
      </c>
      <c r="G4063" s="3">
        <v>3.8</v>
      </c>
    </row>
    <row r="4064">
      <c r="A4064" s="3">
        <v>171574.0</v>
      </c>
      <c r="B4064" s="3" t="s">
        <v>4091</v>
      </c>
      <c r="C4064" s="3" t="s">
        <v>225</v>
      </c>
      <c r="D4064" s="3">
        <v>50.0</v>
      </c>
      <c r="E4064" s="3">
        <v>1.02</v>
      </c>
      <c r="F4064" s="3">
        <v>0.92</v>
      </c>
      <c r="G4064" s="3">
        <v>9.6</v>
      </c>
    </row>
    <row r="4065">
      <c r="A4065" s="3">
        <v>171575.0</v>
      </c>
      <c r="B4065" s="3" t="s">
        <v>4092</v>
      </c>
      <c r="C4065" s="3" t="s">
        <v>225</v>
      </c>
      <c r="D4065" s="3">
        <v>179.0</v>
      </c>
      <c r="E4065" s="3">
        <v>6.34</v>
      </c>
      <c r="F4065" s="3">
        <v>2.02</v>
      </c>
      <c r="G4065" s="3">
        <v>28.46</v>
      </c>
    </row>
    <row r="4066">
      <c r="A4066" s="3">
        <v>171576.0</v>
      </c>
      <c r="B4066" s="3" t="s">
        <v>4093</v>
      </c>
      <c r="C4066" s="3" t="s">
        <v>225</v>
      </c>
      <c r="D4066" s="3">
        <v>55.0</v>
      </c>
      <c r="E4066" s="3">
        <v>0.71</v>
      </c>
      <c r="F4066" s="3">
        <v>2.0</v>
      </c>
      <c r="G4066" s="3">
        <v>11.2</v>
      </c>
    </row>
    <row r="4067">
      <c r="A4067" s="3">
        <v>171577.0</v>
      </c>
      <c r="B4067" s="3" t="s">
        <v>4094</v>
      </c>
      <c r="C4067" s="3" t="s">
        <v>225</v>
      </c>
      <c r="D4067" s="3">
        <v>53.0</v>
      </c>
      <c r="E4067" s="3">
        <v>1.06</v>
      </c>
      <c r="F4067" s="3">
        <v>2.9</v>
      </c>
      <c r="G4067" s="3">
        <v>9.5</v>
      </c>
    </row>
    <row r="4068">
      <c r="A4068" s="3">
        <v>171578.0</v>
      </c>
      <c r="B4068" s="3" t="s">
        <v>4095</v>
      </c>
      <c r="C4068" s="3" t="s">
        <v>225</v>
      </c>
      <c r="D4068" s="3">
        <v>40.0</v>
      </c>
      <c r="E4068" s="3">
        <v>0.53</v>
      </c>
      <c r="F4068" s="3">
        <v>1.7</v>
      </c>
      <c r="G4068" s="3">
        <v>8.4</v>
      </c>
    </row>
    <row r="4069">
      <c r="A4069" s="3">
        <v>171579.0</v>
      </c>
      <c r="B4069" s="3" t="s">
        <v>4096</v>
      </c>
      <c r="C4069" s="3" t="s">
        <v>225</v>
      </c>
      <c r="D4069" s="3">
        <v>418.0</v>
      </c>
      <c r="E4069" s="3">
        <v>37.6</v>
      </c>
      <c r="F4069" s="3">
        <v>9.83</v>
      </c>
      <c r="G4069" s="3">
        <v>10.09</v>
      </c>
    </row>
    <row r="4070">
      <c r="A4070" s="3">
        <v>171580.0</v>
      </c>
      <c r="B4070" s="3" t="s">
        <v>4097</v>
      </c>
      <c r="C4070" s="3" t="s">
        <v>225</v>
      </c>
      <c r="D4070" s="3">
        <v>426.0</v>
      </c>
      <c r="E4070" s="3">
        <v>42.42</v>
      </c>
      <c r="F4070" s="3">
        <v>5.0</v>
      </c>
      <c r="G4070" s="3">
        <v>6.14</v>
      </c>
    </row>
    <row r="4071">
      <c r="A4071" s="3">
        <v>171581.0</v>
      </c>
      <c r="B4071" s="3" t="s">
        <v>4098</v>
      </c>
      <c r="C4071" s="3" t="s">
        <v>225</v>
      </c>
      <c r="D4071" s="3">
        <v>418.0</v>
      </c>
      <c r="E4071" s="3">
        <v>37.6</v>
      </c>
      <c r="F4071" s="3">
        <v>9.83</v>
      </c>
      <c r="G4071" s="3">
        <v>10.09</v>
      </c>
    </row>
    <row r="4072">
      <c r="A4072" s="3">
        <v>171582.0</v>
      </c>
      <c r="B4072" s="3" t="s">
        <v>4099</v>
      </c>
      <c r="C4072" s="3" t="s">
        <v>225</v>
      </c>
      <c r="D4072" s="3">
        <v>372.0</v>
      </c>
      <c r="E4072" s="3">
        <v>36.38</v>
      </c>
      <c r="F4072" s="3">
        <v>4.16</v>
      </c>
      <c r="G4072" s="3">
        <v>6.93</v>
      </c>
    </row>
    <row r="4073">
      <c r="A4073" s="3">
        <v>171583.0</v>
      </c>
      <c r="B4073" s="3" t="s">
        <v>4100</v>
      </c>
      <c r="C4073" s="3" t="s">
        <v>225</v>
      </c>
      <c r="D4073" s="3">
        <v>5.0</v>
      </c>
      <c r="E4073" s="3">
        <v>0.07</v>
      </c>
      <c r="F4073" s="3">
        <v>0.24</v>
      </c>
      <c r="G4073" s="3">
        <v>0.93</v>
      </c>
    </row>
    <row r="4074">
      <c r="A4074" s="3">
        <v>171584.0</v>
      </c>
      <c r="B4074" s="3" t="s">
        <v>4101</v>
      </c>
      <c r="C4074" s="3" t="s">
        <v>225</v>
      </c>
      <c r="D4074" s="3">
        <v>438.0</v>
      </c>
      <c r="E4074" s="3">
        <v>18.33</v>
      </c>
      <c r="F4074" s="3">
        <v>7.68</v>
      </c>
      <c r="G4074" s="3">
        <v>60.52</v>
      </c>
    </row>
    <row r="4075">
      <c r="A4075" s="3">
        <v>171585.0</v>
      </c>
      <c r="B4075" s="3" t="s">
        <v>4102</v>
      </c>
      <c r="C4075" s="3" t="s">
        <v>225</v>
      </c>
      <c r="D4075" s="3">
        <v>99.0</v>
      </c>
      <c r="E4075" s="3">
        <v>6.3</v>
      </c>
      <c r="F4075" s="3">
        <v>3.1</v>
      </c>
      <c r="G4075" s="3">
        <v>7.5</v>
      </c>
    </row>
    <row r="4076">
      <c r="A4076" s="3">
        <v>171586.0</v>
      </c>
      <c r="B4076" s="3" t="s">
        <v>4103</v>
      </c>
      <c r="C4076" s="3" t="s">
        <v>225</v>
      </c>
      <c r="D4076" s="3">
        <v>117.0</v>
      </c>
      <c r="E4076" s="3">
        <v>2.1</v>
      </c>
      <c r="F4076" s="3">
        <v>6.5</v>
      </c>
      <c r="G4076" s="3">
        <v>18.0</v>
      </c>
    </row>
    <row r="4077">
      <c r="A4077" s="3">
        <v>171587.0</v>
      </c>
      <c r="B4077" s="3" t="s">
        <v>4104</v>
      </c>
      <c r="C4077" s="3" t="s">
        <v>225</v>
      </c>
      <c r="D4077" s="3">
        <v>65.0</v>
      </c>
      <c r="E4077" s="3">
        <v>0.56</v>
      </c>
      <c r="F4077" s="3">
        <v>1.61</v>
      </c>
      <c r="G4077" s="3">
        <v>13.41</v>
      </c>
    </row>
    <row r="4078">
      <c r="A4078" s="3">
        <v>171588.0</v>
      </c>
      <c r="B4078" s="3" t="s">
        <v>4105</v>
      </c>
      <c r="C4078" s="3" t="s">
        <v>225</v>
      </c>
      <c r="D4078" s="3">
        <v>380.0</v>
      </c>
      <c r="E4078" s="3">
        <v>11.85</v>
      </c>
      <c r="F4078" s="3">
        <v>8.53</v>
      </c>
      <c r="G4078" s="3">
        <v>59.78</v>
      </c>
    </row>
    <row r="4079">
      <c r="A4079" s="3">
        <v>171589.0</v>
      </c>
      <c r="B4079" s="3" t="s">
        <v>4106</v>
      </c>
      <c r="C4079" s="3" t="s">
        <v>225</v>
      </c>
      <c r="D4079" s="3">
        <v>369.0</v>
      </c>
      <c r="E4079" s="3">
        <v>9.48</v>
      </c>
      <c r="F4079" s="3">
        <v>9.8</v>
      </c>
      <c r="G4079" s="3">
        <v>61.1</v>
      </c>
    </row>
    <row r="4080">
      <c r="A4080" s="3">
        <v>171590.0</v>
      </c>
      <c r="B4080" s="3" t="s">
        <v>4107</v>
      </c>
      <c r="C4080" s="3" t="s">
        <v>225</v>
      </c>
      <c r="D4080" s="3">
        <v>409.0</v>
      </c>
      <c r="E4080" s="3">
        <v>14.66</v>
      </c>
      <c r="F4080" s="3">
        <v>11.72</v>
      </c>
      <c r="G4080" s="3">
        <v>57.56</v>
      </c>
    </row>
    <row r="4081">
      <c r="A4081" s="3">
        <v>171591.0</v>
      </c>
      <c r="B4081" s="3" t="s">
        <v>4108</v>
      </c>
      <c r="C4081" s="3" t="s">
        <v>225</v>
      </c>
      <c r="D4081" s="3">
        <v>30.0</v>
      </c>
      <c r="E4081" s="3">
        <v>0.28</v>
      </c>
      <c r="F4081" s="3">
        <v>0.79</v>
      </c>
      <c r="G4081" s="3">
        <v>6.57</v>
      </c>
    </row>
    <row r="4082">
      <c r="A4082" s="3">
        <v>171592.0</v>
      </c>
      <c r="B4082" s="3" t="s">
        <v>4109</v>
      </c>
      <c r="C4082" s="3" t="s">
        <v>225</v>
      </c>
      <c r="D4082" s="3">
        <v>62.0</v>
      </c>
      <c r="E4082" s="3">
        <v>1.09</v>
      </c>
      <c r="F4082" s="3">
        <v>3.2</v>
      </c>
      <c r="G4082" s="3">
        <v>9.88</v>
      </c>
    </row>
    <row r="4083">
      <c r="A4083" s="3">
        <v>171593.0</v>
      </c>
      <c r="B4083" s="3" t="s">
        <v>4110</v>
      </c>
      <c r="C4083" s="3" t="s">
        <v>225</v>
      </c>
      <c r="D4083" s="3">
        <v>25.0</v>
      </c>
      <c r="E4083" s="3">
        <v>0.95</v>
      </c>
      <c r="F4083" s="3">
        <v>1.27</v>
      </c>
      <c r="G4083" s="3">
        <v>2.95</v>
      </c>
    </row>
    <row r="4084">
      <c r="A4084" s="3">
        <v>171594.0</v>
      </c>
      <c r="B4084" s="3" t="s">
        <v>4111</v>
      </c>
      <c r="C4084" s="3" t="s">
        <v>225</v>
      </c>
      <c r="D4084" s="3">
        <v>33.0</v>
      </c>
      <c r="E4084" s="3">
        <v>0.45</v>
      </c>
      <c r="F4084" s="3">
        <v>1.1</v>
      </c>
      <c r="G4084" s="3">
        <v>6.06</v>
      </c>
    </row>
    <row r="4085">
      <c r="A4085" s="3">
        <v>171595.0</v>
      </c>
      <c r="B4085" s="3" t="s">
        <v>4112</v>
      </c>
      <c r="C4085" s="3" t="s">
        <v>225</v>
      </c>
      <c r="D4085" s="3">
        <v>92.0</v>
      </c>
      <c r="E4085" s="3">
        <v>0.3</v>
      </c>
      <c r="F4085" s="3">
        <v>2.5</v>
      </c>
      <c r="G4085" s="3">
        <v>19.79</v>
      </c>
    </row>
    <row r="4086">
      <c r="A4086" s="3">
        <v>171596.0</v>
      </c>
      <c r="B4086" s="3" t="s">
        <v>4113</v>
      </c>
      <c r="C4086" s="3" t="s">
        <v>225</v>
      </c>
      <c r="D4086" s="3">
        <v>69.0</v>
      </c>
      <c r="E4086" s="3">
        <v>2.0</v>
      </c>
      <c r="F4086" s="3">
        <v>5.1</v>
      </c>
      <c r="G4086" s="3">
        <v>8.76</v>
      </c>
    </row>
    <row r="4087">
      <c r="A4087" s="3">
        <v>171597.0</v>
      </c>
      <c r="B4087" s="3" t="s">
        <v>4114</v>
      </c>
      <c r="C4087" s="3" t="s">
        <v>225</v>
      </c>
      <c r="D4087" s="3">
        <v>51.0</v>
      </c>
      <c r="E4087" s="3">
        <v>1.48</v>
      </c>
      <c r="F4087" s="3">
        <v>1.41</v>
      </c>
      <c r="G4087" s="3">
        <v>8.06</v>
      </c>
    </row>
    <row r="4088">
      <c r="A4088" s="3">
        <v>171598.0</v>
      </c>
      <c r="B4088" s="3" t="s">
        <v>4115</v>
      </c>
      <c r="C4088" s="3" t="s">
        <v>225</v>
      </c>
      <c r="D4088" s="3">
        <v>53.0</v>
      </c>
      <c r="E4088" s="3">
        <v>2.4</v>
      </c>
      <c r="F4088" s="3">
        <v>3.8</v>
      </c>
      <c r="G4088" s="3">
        <v>6.16</v>
      </c>
    </row>
    <row r="4089">
      <c r="A4089" s="3">
        <v>171599.0</v>
      </c>
      <c r="B4089" s="3" t="s">
        <v>4116</v>
      </c>
      <c r="C4089" s="3" t="s">
        <v>225</v>
      </c>
      <c r="D4089" s="3">
        <v>39.0</v>
      </c>
      <c r="E4089" s="3">
        <v>1.13</v>
      </c>
      <c r="F4089" s="3">
        <v>1.09</v>
      </c>
      <c r="G4089" s="3">
        <v>6.24</v>
      </c>
    </row>
    <row r="4090">
      <c r="A4090" s="3">
        <v>171600.0</v>
      </c>
      <c r="B4090" s="3" t="s">
        <v>4117</v>
      </c>
      <c r="C4090" s="3" t="s">
        <v>225</v>
      </c>
      <c r="D4090" s="3">
        <v>51.0</v>
      </c>
      <c r="E4090" s="3">
        <v>2.73</v>
      </c>
      <c r="F4090" s="3">
        <v>0.79</v>
      </c>
      <c r="G4090" s="3">
        <v>5.87</v>
      </c>
    </row>
    <row r="4091">
      <c r="A4091" s="3">
        <v>171601.0</v>
      </c>
      <c r="B4091" s="3" t="s">
        <v>4118</v>
      </c>
      <c r="C4091" s="3" t="s">
        <v>189</v>
      </c>
      <c r="D4091" s="3">
        <v>173.0</v>
      </c>
      <c r="E4091" s="3">
        <v>8.9</v>
      </c>
      <c r="F4091" s="3">
        <v>15.84</v>
      </c>
      <c r="G4091" s="3">
        <v>6.4</v>
      </c>
    </row>
    <row r="4092">
      <c r="A4092" s="3">
        <v>171602.0</v>
      </c>
      <c r="B4092" s="3" t="s">
        <v>4119</v>
      </c>
      <c r="C4092" s="3" t="s">
        <v>225</v>
      </c>
      <c r="D4092" s="3">
        <v>58.0</v>
      </c>
      <c r="E4092" s="3">
        <v>1.3</v>
      </c>
      <c r="F4092" s="3">
        <v>1.8</v>
      </c>
      <c r="G4092" s="3">
        <v>9.5</v>
      </c>
    </row>
    <row r="4093">
      <c r="A4093" s="3">
        <v>171603.0</v>
      </c>
      <c r="B4093" s="3" t="s">
        <v>4120</v>
      </c>
      <c r="C4093" s="3" t="s">
        <v>225</v>
      </c>
      <c r="D4093" s="3">
        <v>535.0</v>
      </c>
      <c r="E4093" s="3">
        <v>36.35</v>
      </c>
      <c r="F4093" s="3">
        <v>15.32</v>
      </c>
      <c r="G4093" s="3">
        <v>36.52</v>
      </c>
    </row>
    <row r="4094">
      <c r="A4094" s="3">
        <v>171604.0</v>
      </c>
      <c r="B4094" s="3" t="s">
        <v>4121</v>
      </c>
      <c r="C4094" s="3" t="s">
        <v>225</v>
      </c>
      <c r="D4094" s="3">
        <v>21.0</v>
      </c>
      <c r="E4094" s="3">
        <v>0.6</v>
      </c>
      <c r="F4094" s="3">
        <v>0.9</v>
      </c>
      <c r="G4094" s="3">
        <v>3.9</v>
      </c>
    </row>
    <row r="4095">
      <c r="A4095" s="3">
        <v>171605.0</v>
      </c>
      <c r="B4095" s="3" t="s">
        <v>4122</v>
      </c>
      <c r="C4095" s="3" t="s">
        <v>225</v>
      </c>
      <c r="D4095" s="3">
        <v>20.0</v>
      </c>
      <c r="E4095" s="3">
        <v>0.1</v>
      </c>
      <c r="F4095" s="3">
        <v>0.7</v>
      </c>
      <c r="G4095" s="3">
        <v>5.0</v>
      </c>
    </row>
    <row r="4096">
      <c r="A4096" s="3">
        <v>171606.0</v>
      </c>
      <c r="B4096" s="3" t="s">
        <v>4123</v>
      </c>
      <c r="C4096" s="3" t="s">
        <v>225</v>
      </c>
      <c r="D4096" s="3">
        <v>16.0</v>
      </c>
      <c r="E4096" s="3">
        <v>0.6</v>
      </c>
      <c r="F4096" s="3">
        <v>2.0</v>
      </c>
      <c r="G4096" s="3">
        <v>0.4</v>
      </c>
    </row>
    <row r="4097">
      <c r="A4097" s="3">
        <v>171607.0</v>
      </c>
      <c r="B4097" s="3" t="s">
        <v>4124</v>
      </c>
      <c r="C4097" s="3" t="s">
        <v>225</v>
      </c>
      <c r="D4097" s="3">
        <v>53.0</v>
      </c>
      <c r="E4097" s="3">
        <v>3.7</v>
      </c>
      <c r="F4097" s="3">
        <v>1.0</v>
      </c>
      <c r="G4097" s="3">
        <v>4.53</v>
      </c>
    </row>
    <row r="4098">
      <c r="A4098" s="3">
        <v>171608.0</v>
      </c>
      <c r="B4098" s="3" t="s">
        <v>4125</v>
      </c>
      <c r="C4098" s="3" t="s">
        <v>225</v>
      </c>
      <c r="D4098" s="3">
        <v>343.0</v>
      </c>
      <c r="E4098" s="3">
        <v>3.1</v>
      </c>
      <c r="F4098" s="3">
        <v>9.2</v>
      </c>
      <c r="G4098" s="3">
        <v>76.14</v>
      </c>
    </row>
    <row r="4099">
      <c r="A4099" s="3">
        <v>171609.0</v>
      </c>
      <c r="B4099" s="3" t="s">
        <v>4126</v>
      </c>
      <c r="C4099" s="3" t="s">
        <v>225</v>
      </c>
      <c r="D4099" s="3">
        <v>16.0</v>
      </c>
      <c r="E4099" s="3">
        <v>0.6</v>
      </c>
      <c r="F4099" s="3">
        <v>2.0</v>
      </c>
      <c r="G4099" s="3">
        <v>1.2</v>
      </c>
    </row>
    <row r="4100">
      <c r="A4100" s="3">
        <v>171610.0</v>
      </c>
      <c r="B4100" s="3" t="s">
        <v>4127</v>
      </c>
      <c r="C4100" s="3" t="s">
        <v>225</v>
      </c>
      <c r="D4100" s="3">
        <v>77.0</v>
      </c>
      <c r="E4100" s="3">
        <v>0.0</v>
      </c>
      <c r="F4100" s="3">
        <v>0.0</v>
      </c>
      <c r="G4100" s="3">
        <v>19.17</v>
      </c>
    </row>
    <row r="4101">
      <c r="A4101" s="3">
        <v>171611.0</v>
      </c>
      <c r="B4101" s="3" t="s">
        <v>4128</v>
      </c>
      <c r="C4101" s="3" t="s">
        <v>225</v>
      </c>
      <c r="D4101" s="3">
        <v>69.0</v>
      </c>
      <c r="E4101" s="3">
        <v>2.3</v>
      </c>
      <c r="F4101" s="3">
        <v>4.3</v>
      </c>
      <c r="G4101" s="3">
        <v>9.58</v>
      </c>
    </row>
    <row r="4102">
      <c r="A4102" s="3">
        <v>171612.0</v>
      </c>
      <c r="B4102" s="3" t="s">
        <v>4129</v>
      </c>
      <c r="C4102" s="3" t="s">
        <v>225</v>
      </c>
      <c r="D4102" s="3">
        <v>98.0</v>
      </c>
      <c r="E4102" s="3">
        <v>4.6</v>
      </c>
      <c r="F4102" s="3">
        <v>5.1</v>
      </c>
      <c r="G4102" s="3">
        <v>9.0</v>
      </c>
    </row>
    <row r="4103">
      <c r="A4103" s="3">
        <v>171613.0</v>
      </c>
      <c r="B4103" s="3" t="s">
        <v>4130</v>
      </c>
      <c r="C4103" s="3" t="s">
        <v>225</v>
      </c>
      <c r="D4103" s="3">
        <v>438.0</v>
      </c>
      <c r="E4103" s="3">
        <v>13.89</v>
      </c>
      <c r="F4103" s="3">
        <v>16.7</v>
      </c>
      <c r="G4103" s="3">
        <v>64.88</v>
      </c>
    </row>
    <row r="4104">
      <c r="A4104" s="3">
        <v>171614.0</v>
      </c>
      <c r="B4104" s="3" t="s">
        <v>4131</v>
      </c>
      <c r="C4104" s="3" t="s">
        <v>225</v>
      </c>
      <c r="D4104" s="3">
        <v>441.0</v>
      </c>
      <c r="E4104" s="3">
        <v>17.73</v>
      </c>
      <c r="F4104" s="3">
        <v>10.06</v>
      </c>
      <c r="G4104" s="3">
        <v>60.34</v>
      </c>
    </row>
    <row r="4105">
      <c r="A4105" s="3">
        <v>171615.0</v>
      </c>
      <c r="B4105" s="3" t="s">
        <v>4132</v>
      </c>
      <c r="C4105" s="3" t="s">
        <v>225</v>
      </c>
      <c r="D4105" s="3">
        <v>439.0</v>
      </c>
      <c r="E4105" s="3">
        <v>17.52</v>
      </c>
      <c r="F4105" s="3">
        <v>10.22</v>
      </c>
      <c r="G4105" s="3">
        <v>60.23</v>
      </c>
    </row>
    <row r="4106">
      <c r="A4106" s="3">
        <v>171616.0</v>
      </c>
      <c r="B4106" s="3" t="s">
        <v>4133</v>
      </c>
      <c r="C4106" s="3" t="s">
        <v>189</v>
      </c>
      <c r="D4106" s="3">
        <v>238.0</v>
      </c>
      <c r="E4106" s="3">
        <v>18.8</v>
      </c>
      <c r="F4106" s="3">
        <v>14.24</v>
      </c>
      <c r="G4106" s="3">
        <v>2.06</v>
      </c>
    </row>
    <row r="4107">
      <c r="A4107" s="3">
        <v>171617.0</v>
      </c>
      <c r="B4107" s="3" t="s">
        <v>4134</v>
      </c>
      <c r="C4107" s="3" t="s">
        <v>189</v>
      </c>
      <c r="D4107" s="3">
        <v>230.0</v>
      </c>
      <c r="E4107" s="3">
        <v>17.2</v>
      </c>
      <c r="F4107" s="3">
        <v>15.27</v>
      </c>
      <c r="G4107" s="3">
        <v>2.59</v>
      </c>
    </row>
    <row r="4108">
      <c r="A4108" s="3">
        <v>171618.0</v>
      </c>
      <c r="B4108" s="3" t="s">
        <v>4135</v>
      </c>
      <c r="C4108" s="3" t="s">
        <v>189</v>
      </c>
      <c r="D4108" s="3">
        <v>379.0</v>
      </c>
      <c r="E4108" s="3">
        <v>34.5</v>
      </c>
      <c r="F4108" s="3">
        <v>14.6</v>
      </c>
      <c r="G4108" s="3">
        <v>1.29</v>
      </c>
    </row>
    <row r="4109">
      <c r="A4109" s="3">
        <v>171619.0</v>
      </c>
      <c r="B4109" s="3" t="s">
        <v>4136</v>
      </c>
      <c r="C4109" s="3" t="s">
        <v>189</v>
      </c>
      <c r="D4109" s="3">
        <v>301.0</v>
      </c>
      <c r="E4109" s="3">
        <v>25.87</v>
      </c>
      <c r="F4109" s="3">
        <v>14.03</v>
      </c>
      <c r="G4109" s="3">
        <v>2.95</v>
      </c>
    </row>
    <row r="4110">
      <c r="A4110" s="3">
        <v>171620.0</v>
      </c>
      <c r="B4110" s="3" t="s">
        <v>4137</v>
      </c>
      <c r="C4110" s="3" t="s">
        <v>189</v>
      </c>
      <c r="D4110" s="3">
        <v>333.0</v>
      </c>
      <c r="E4110" s="3">
        <v>29.18</v>
      </c>
      <c r="F4110" s="3">
        <v>13.72</v>
      </c>
      <c r="G4110" s="3">
        <v>2.85</v>
      </c>
    </row>
    <row r="4111">
      <c r="A4111" s="3">
        <v>171621.0</v>
      </c>
      <c r="B4111" s="3" t="s">
        <v>4138</v>
      </c>
      <c r="C4111" s="3" t="s">
        <v>189</v>
      </c>
      <c r="D4111" s="3">
        <v>327.0</v>
      </c>
      <c r="E4111" s="3">
        <v>28.5</v>
      </c>
      <c r="F4111" s="3">
        <v>14.5</v>
      </c>
      <c r="G4111" s="3">
        <v>3.1</v>
      </c>
    </row>
    <row r="4112">
      <c r="A4112" s="3">
        <v>171622.0</v>
      </c>
      <c r="B4112" s="3" t="s">
        <v>4139</v>
      </c>
      <c r="C4112" s="3" t="s">
        <v>189</v>
      </c>
      <c r="D4112" s="3">
        <v>323.0</v>
      </c>
      <c r="E4112" s="3">
        <v>27.8</v>
      </c>
      <c r="F4112" s="3">
        <v>14.3</v>
      </c>
      <c r="G4112" s="3">
        <v>2.98</v>
      </c>
    </row>
    <row r="4113">
      <c r="A4113" s="3">
        <v>171623.0</v>
      </c>
      <c r="B4113" s="3" t="s">
        <v>4140</v>
      </c>
      <c r="C4113" s="3" t="s">
        <v>189</v>
      </c>
      <c r="D4113" s="3">
        <v>328.0</v>
      </c>
      <c r="E4113" s="3">
        <v>29.0</v>
      </c>
      <c r="F4113" s="3">
        <v>14.1</v>
      </c>
      <c r="G4113" s="3">
        <v>1.51</v>
      </c>
    </row>
    <row r="4114">
      <c r="A4114" s="3">
        <v>171624.0</v>
      </c>
      <c r="B4114" s="3" t="s">
        <v>4141</v>
      </c>
      <c r="C4114" s="3" t="s">
        <v>189</v>
      </c>
      <c r="D4114" s="3">
        <v>223.0</v>
      </c>
      <c r="E4114" s="3">
        <v>16.19</v>
      </c>
      <c r="F4114" s="3">
        <v>15.51</v>
      </c>
      <c r="G4114" s="3">
        <v>2.74</v>
      </c>
    </row>
    <row r="4115">
      <c r="A4115" s="3">
        <v>171625.0</v>
      </c>
      <c r="B4115" s="3" t="s">
        <v>4142</v>
      </c>
      <c r="C4115" s="3" t="s">
        <v>189</v>
      </c>
      <c r="D4115" s="3">
        <v>223.0</v>
      </c>
      <c r="E4115" s="3">
        <v>17.29</v>
      </c>
      <c r="F4115" s="3">
        <v>12.23</v>
      </c>
      <c r="G4115" s="3">
        <v>3.81</v>
      </c>
    </row>
    <row r="4116">
      <c r="A4116" s="3">
        <v>171626.0</v>
      </c>
      <c r="B4116" s="3" t="s">
        <v>4143</v>
      </c>
      <c r="C4116" s="3" t="s">
        <v>189</v>
      </c>
      <c r="D4116" s="3">
        <v>239.0</v>
      </c>
      <c r="E4116" s="3">
        <v>18.83</v>
      </c>
      <c r="F4116" s="3">
        <v>16.06</v>
      </c>
      <c r="G4116" s="3">
        <v>0.26</v>
      </c>
    </row>
    <row r="4117">
      <c r="A4117" s="3">
        <v>171627.0</v>
      </c>
      <c r="B4117" s="3" t="s">
        <v>4144</v>
      </c>
      <c r="C4117" s="3" t="s">
        <v>189</v>
      </c>
      <c r="D4117" s="3">
        <v>221.0</v>
      </c>
      <c r="E4117" s="3">
        <v>16.7</v>
      </c>
      <c r="F4117" s="3">
        <v>16.5</v>
      </c>
      <c r="G4117" s="3">
        <v>0.0</v>
      </c>
    </row>
    <row r="4118">
      <c r="A4118" s="3">
        <v>171628.0</v>
      </c>
      <c r="B4118" s="3" t="s">
        <v>4145</v>
      </c>
      <c r="C4118" s="3" t="s">
        <v>189</v>
      </c>
      <c r="D4118" s="3">
        <v>241.0</v>
      </c>
      <c r="E4118" s="3">
        <v>18.7</v>
      </c>
      <c r="F4118" s="3">
        <v>13.6</v>
      </c>
      <c r="G4118" s="3">
        <v>4.0</v>
      </c>
    </row>
    <row r="4119">
      <c r="A4119" s="3">
        <v>171629.0</v>
      </c>
      <c r="B4119" s="3" t="s">
        <v>4146</v>
      </c>
      <c r="C4119" s="3" t="s">
        <v>189</v>
      </c>
      <c r="D4119" s="3">
        <v>245.0</v>
      </c>
      <c r="E4119" s="3">
        <v>18.53</v>
      </c>
      <c r="F4119" s="3">
        <v>16.18</v>
      </c>
      <c r="G4119" s="3">
        <v>2.28</v>
      </c>
    </row>
    <row r="4120">
      <c r="A4120" s="3">
        <v>171630.0</v>
      </c>
      <c r="B4120" s="3" t="s">
        <v>4147</v>
      </c>
      <c r="C4120" s="3" t="s">
        <v>189</v>
      </c>
      <c r="D4120" s="3">
        <v>157.0</v>
      </c>
      <c r="E4120" s="3">
        <v>10.9</v>
      </c>
      <c r="F4120" s="3">
        <v>13.83</v>
      </c>
      <c r="G4120" s="3">
        <v>0.0</v>
      </c>
    </row>
    <row r="4121">
      <c r="A4121" s="3">
        <v>171631.0</v>
      </c>
      <c r="B4121" s="3" t="s">
        <v>4148</v>
      </c>
      <c r="C4121" s="3" t="s">
        <v>189</v>
      </c>
      <c r="D4121" s="3">
        <v>290.0</v>
      </c>
      <c r="E4121" s="3">
        <v>24.26</v>
      </c>
      <c r="F4121" s="3">
        <v>13.9</v>
      </c>
      <c r="G4121" s="3">
        <v>2.97</v>
      </c>
    </row>
    <row r="4122">
      <c r="A4122" s="3">
        <v>171632.0</v>
      </c>
      <c r="B4122" s="3" t="s">
        <v>4149</v>
      </c>
      <c r="C4122" s="3" t="s">
        <v>189</v>
      </c>
      <c r="D4122" s="3">
        <v>342.0</v>
      </c>
      <c r="E4122" s="3">
        <v>30.64</v>
      </c>
      <c r="F4122" s="3">
        <v>12.05</v>
      </c>
      <c r="G4122" s="3">
        <v>3.63</v>
      </c>
    </row>
    <row r="4123">
      <c r="A4123" s="3">
        <v>171633.0</v>
      </c>
      <c r="B4123" s="3" t="s">
        <v>4150</v>
      </c>
      <c r="C4123" s="3" t="s">
        <v>189</v>
      </c>
      <c r="D4123" s="3">
        <v>298.0</v>
      </c>
      <c r="E4123" s="3">
        <v>26.28</v>
      </c>
      <c r="F4123" s="3">
        <v>10.31</v>
      </c>
      <c r="G4123" s="3">
        <v>4.96</v>
      </c>
    </row>
    <row r="4124">
      <c r="A4124" s="3">
        <v>171634.0</v>
      </c>
      <c r="B4124" s="3" t="s">
        <v>4151</v>
      </c>
      <c r="C4124" s="3" t="s">
        <v>189</v>
      </c>
      <c r="D4124" s="3">
        <v>302.0</v>
      </c>
      <c r="E4124" s="3">
        <v>26.43</v>
      </c>
      <c r="F4124" s="3">
        <v>10.67</v>
      </c>
      <c r="G4124" s="3">
        <v>5.24</v>
      </c>
    </row>
    <row r="4125">
      <c r="A4125" s="3">
        <v>171635.0</v>
      </c>
      <c r="B4125" s="3" t="s">
        <v>4152</v>
      </c>
      <c r="C4125" s="3" t="s">
        <v>189</v>
      </c>
      <c r="D4125" s="3">
        <v>217.0</v>
      </c>
      <c r="E4125" s="3">
        <v>16.55</v>
      </c>
      <c r="F4125" s="3">
        <v>16.75</v>
      </c>
      <c r="G4125" s="3">
        <v>0.2</v>
      </c>
    </row>
    <row r="4126">
      <c r="A4126" s="3">
        <v>171636.0</v>
      </c>
      <c r="B4126" s="3" t="s">
        <v>4153</v>
      </c>
      <c r="C4126" s="3" t="s">
        <v>189</v>
      </c>
      <c r="D4126" s="3">
        <v>267.0</v>
      </c>
      <c r="E4126" s="3">
        <v>20.32</v>
      </c>
      <c r="F4126" s="3">
        <v>20.94</v>
      </c>
      <c r="G4126" s="3">
        <v>0.15</v>
      </c>
    </row>
    <row r="4127">
      <c r="A4127" s="3">
        <v>171637.0</v>
      </c>
      <c r="B4127" s="3" t="s">
        <v>4154</v>
      </c>
      <c r="C4127" s="3" t="s">
        <v>189</v>
      </c>
      <c r="D4127" s="3">
        <v>281.0</v>
      </c>
      <c r="E4127" s="3">
        <v>23.77</v>
      </c>
      <c r="F4127" s="3">
        <v>10.34</v>
      </c>
      <c r="G4127" s="3">
        <v>6.31</v>
      </c>
    </row>
    <row r="4128">
      <c r="A4128" s="3">
        <v>171638.0</v>
      </c>
      <c r="B4128" s="3" t="s">
        <v>4155</v>
      </c>
      <c r="C4128" s="3" t="s">
        <v>189</v>
      </c>
      <c r="D4128" s="3">
        <v>286.0</v>
      </c>
      <c r="E4128" s="3">
        <v>22.21</v>
      </c>
      <c r="F4128" s="3">
        <v>14.4</v>
      </c>
      <c r="G4128" s="3">
        <v>8.06</v>
      </c>
    </row>
    <row r="4129">
      <c r="A4129" s="3">
        <v>171639.0</v>
      </c>
      <c r="B4129" s="3" t="s">
        <v>4156</v>
      </c>
      <c r="C4129" s="3" t="s">
        <v>189</v>
      </c>
      <c r="D4129" s="3">
        <v>368.0</v>
      </c>
      <c r="E4129" s="3">
        <v>25.87</v>
      </c>
      <c r="F4129" s="3">
        <v>29.5</v>
      </c>
      <c r="G4129" s="3">
        <v>4.24</v>
      </c>
    </row>
    <row r="4130">
      <c r="A4130" s="3">
        <v>171640.0</v>
      </c>
      <c r="B4130" s="3" t="s">
        <v>4157</v>
      </c>
      <c r="C4130" s="3" t="s">
        <v>189</v>
      </c>
      <c r="D4130" s="3">
        <v>253.0</v>
      </c>
      <c r="E4130" s="3">
        <v>20.0</v>
      </c>
      <c r="F4130" s="3">
        <v>13.33</v>
      </c>
      <c r="G4130" s="3">
        <v>4.8</v>
      </c>
    </row>
    <row r="4131">
      <c r="A4131" s="3">
        <v>171641.0</v>
      </c>
      <c r="B4131" s="3" t="s">
        <v>4158</v>
      </c>
      <c r="C4131" s="3" t="s">
        <v>222</v>
      </c>
      <c r="D4131" s="3">
        <v>389.0</v>
      </c>
      <c r="E4131" s="3">
        <v>4.6</v>
      </c>
      <c r="F4131" s="3">
        <v>10.0</v>
      </c>
      <c r="G4131" s="3">
        <v>80.3</v>
      </c>
    </row>
    <row r="4132">
      <c r="A4132" s="3">
        <v>171642.0</v>
      </c>
      <c r="B4132" s="3" t="s">
        <v>4159</v>
      </c>
      <c r="C4132" s="3" t="s">
        <v>222</v>
      </c>
      <c r="D4132" s="3">
        <v>398.0</v>
      </c>
      <c r="E4132" s="3">
        <v>5.12</v>
      </c>
      <c r="F4132" s="3">
        <v>4.39</v>
      </c>
      <c r="G4132" s="3">
        <v>85.51</v>
      </c>
    </row>
    <row r="4133">
      <c r="A4133" s="3">
        <v>171643.0</v>
      </c>
      <c r="B4133" s="3" t="s">
        <v>4160</v>
      </c>
      <c r="C4133" s="3" t="s">
        <v>222</v>
      </c>
      <c r="D4133" s="3">
        <v>397.0</v>
      </c>
      <c r="E4133" s="3">
        <v>4.83</v>
      </c>
      <c r="F4133" s="3">
        <v>4.45</v>
      </c>
      <c r="G4133" s="3">
        <v>85.93</v>
      </c>
    </row>
    <row r="4134">
      <c r="A4134" s="3">
        <v>171644.0</v>
      </c>
      <c r="B4134" s="3" t="s">
        <v>4161</v>
      </c>
      <c r="C4134" s="3" t="s">
        <v>222</v>
      </c>
      <c r="D4134" s="3">
        <v>417.0</v>
      </c>
      <c r="E4134" s="3">
        <v>9.23</v>
      </c>
      <c r="F4134" s="3">
        <v>7.1</v>
      </c>
      <c r="G4134" s="3">
        <v>78.65</v>
      </c>
    </row>
    <row r="4135">
      <c r="A4135" s="3">
        <v>171645.0</v>
      </c>
      <c r="B4135" s="3" t="s">
        <v>4162</v>
      </c>
      <c r="C4135" s="3" t="s">
        <v>222</v>
      </c>
      <c r="D4135" s="3">
        <v>402.0</v>
      </c>
      <c r="E4135" s="3">
        <v>4.02</v>
      </c>
      <c r="F4135" s="3">
        <v>4.62</v>
      </c>
      <c r="G4135" s="3">
        <v>86.1</v>
      </c>
    </row>
    <row r="4136">
      <c r="A4136" s="3">
        <v>171646.0</v>
      </c>
      <c r="B4136" s="3" t="s">
        <v>4163</v>
      </c>
      <c r="C4136" s="3" t="s">
        <v>222</v>
      </c>
      <c r="D4136" s="3">
        <v>489.0</v>
      </c>
      <c r="E4136" s="3">
        <v>24.31</v>
      </c>
      <c r="F4136" s="3">
        <v>13.67</v>
      </c>
      <c r="G4136" s="3">
        <v>53.88</v>
      </c>
    </row>
    <row r="4137">
      <c r="A4137" s="3">
        <v>171647.0</v>
      </c>
      <c r="B4137" s="3" t="s">
        <v>4164</v>
      </c>
      <c r="C4137" s="3" t="s">
        <v>222</v>
      </c>
      <c r="D4137" s="3">
        <v>361.0</v>
      </c>
      <c r="E4137" s="3">
        <v>1.81</v>
      </c>
      <c r="F4137" s="3">
        <v>11.22</v>
      </c>
      <c r="G4137" s="3">
        <v>80.49</v>
      </c>
    </row>
    <row r="4138">
      <c r="A4138" s="3">
        <v>171648.0</v>
      </c>
      <c r="B4138" s="3" t="s">
        <v>4165</v>
      </c>
      <c r="C4138" s="3" t="s">
        <v>222</v>
      </c>
      <c r="D4138" s="3">
        <v>376.0</v>
      </c>
      <c r="E4138" s="3">
        <v>3.7</v>
      </c>
      <c r="F4138" s="3">
        <v>9.4</v>
      </c>
      <c r="G4138" s="3">
        <v>82.0</v>
      </c>
    </row>
    <row r="4139">
      <c r="A4139" s="3">
        <v>171649.0</v>
      </c>
      <c r="B4139" s="3" t="s">
        <v>4166</v>
      </c>
      <c r="C4139" s="3" t="s">
        <v>222</v>
      </c>
      <c r="D4139" s="3">
        <v>406.0</v>
      </c>
      <c r="E4139" s="3">
        <v>6.08</v>
      </c>
      <c r="F4139" s="3">
        <v>4.51</v>
      </c>
      <c r="G4139" s="3">
        <v>85.03</v>
      </c>
    </row>
    <row r="4140">
      <c r="A4140" s="3">
        <v>171650.0</v>
      </c>
      <c r="B4140" s="3" t="s">
        <v>4167</v>
      </c>
      <c r="C4140" s="3" t="s">
        <v>222</v>
      </c>
      <c r="D4140" s="3">
        <v>324.0</v>
      </c>
      <c r="E4140" s="3">
        <v>1.6</v>
      </c>
      <c r="F4140" s="3">
        <v>7.6</v>
      </c>
      <c r="G4140" s="3">
        <v>78.9</v>
      </c>
    </row>
    <row r="4141">
      <c r="A4141" s="3">
        <v>171651.0</v>
      </c>
      <c r="B4141" s="3" t="s">
        <v>4168</v>
      </c>
      <c r="C4141" s="3" t="s">
        <v>222</v>
      </c>
      <c r="D4141" s="3">
        <v>383.0</v>
      </c>
      <c r="E4141" s="3">
        <v>0.9</v>
      </c>
      <c r="F4141" s="3">
        <v>7.01</v>
      </c>
      <c r="G4141" s="3">
        <v>87.78</v>
      </c>
    </row>
    <row r="4142">
      <c r="A4142" s="3">
        <v>171652.0</v>
      </c>
      <c r="B4142" s="3" t="s">
        <v>4169</v>
      </c>
      <c r="C4142" s="3" t="s">
        <v>222</v>
      </c>
      <c r="D4142" s="3">
        <v>380.0</v>
      </c>
      <c r="E4142" s="3">
        <v>1.7</v>
      </c>
      <c r="F4142" s="3">
        <v>5.5</v>
      </c>
      <c r="G4142" s="3">
        <v>90.1</v>
      </c>
    </row>
    <row r="4143">
      <c r="A4143" s="3">
        <v>171653.0</v>
      </c>
      <c r="B4143" s="3" t="s">
        <v>4170</v>
      </c>
      <c r="C4143" s="3" t="s">
        <v>222</v>
      </c>
      <c r="D4143" s="3">
        <v>372.0</v>
      </c>
      <c r="E4143" s="3">
        <v>7.78</v>
      </c>
      <c r="F4143" s="3">
        <v>26.55</v>
      </c>
      <c r="G4143" s="3">
        <v>58.11</v>
      </c>
    </row>
    <row r="4144">
      <c r="A4144" s="3">
        <v>171654.0</v>
      </c>
      <c r="B4144" s="3" t="s">
        <v>4171</v>
      </c>
      <c r="C4144" s="3" t="s">
        <v>222</v>
      </c>
      <c r="D4144" s="3">
        <v>370.0</v>
      </c>
      <c r="E4144" s="3">
        <v>1.75</v>
      </c>
      <c r="F4144" s="3">
        <v>7.65</v>
      </c>
      <c r="G4144" s="3">
        <v>79.09</v>
      </c>
    </row>
    <row r="4145">
      <c r="A4145" s="3">
        <v>171655.0</v>
      </c>
      <c r="B4145" s="3" t="s">
        <v>4172</v>
      </c>
      <c r="C4145" s="3" t="s">
        <v>222</v>
      </c>
      <c r="D4145" s="3">
        <v>71.0</v>
      </c>
      <c r="E4145" s="3">
        <v>0.46</v>
      </c>
      <c r="F4145" s="3">
        <v>1.71</v>
      </c>
      <c r="G4145" s="3">
        <v>14.76</v>
      </c>
    </row>
    <row r="4146">
      <c r="A4146" s="3">
        <v>171656.0</v>
      </c>
      <c r="B4146" s="3" t="s">
        <v>4173</v>
      </c>
      <c r="C4146" s="3" t="s">
        <v>222</v>
      </c>
      <c r="D4146" s="3">
        <v>343.0</v>
      </c>
      <c r="E4146" s="3">
        <v>2.14</v>
      </c>
      <c r="F4146" s="3">
        <v>7.31</v>
      </c>
      <c r="G4146" s="3">
        <v>78.42</v>
      </c>
    </row>
    <row r="4147">
      <c r="A4147" s="3">
        <v>171657.0</v>
      </c>
      <c r="B4147" s="3" t="s">
        <v>4174</v>
      </c>
      <c r="C4147" s="3" t="s">
        <v>222</v>
      </c>
      <c r="D4147" s="3">
        <v>50.0</v>
      </c>
      <c r="E4147" s="3">
        <v>0.21</v>
      </c>
      <c r="F4147" s="3">
        <v>1.44</v>
      </c>
      <c r="G4147" s="3">
        <v>10.52</v>
      </c>
    </row>
    <row r="4148">
      <c r="A4148" s="3">
        <v>171658.0</v>
      </c>
      <c r="B4148" s="3" t="s">
        <v>4175</v>
      </c>
      <c r="C4148" s="3" t="s">
        <v>222</v>
      </c>
      <c r="D4148" s="3">
        <v>360.0</v>
      </c>
      <c r="E4148" s="3">
        <v>1.41</v>
      </c>
      <c r="F4148" s="3">
        <v>11.6</v>
      </c>
      <c r="G4148" s="3">
        <v>73.19</v>
      </c>
    </row>
    <row r="4149">
      <c r="A4149" s="3">
        <v>171659.0</v>
      </c>
      <c r="B4149" s="3" t="s">
        <v>4176</v>
      </c>
      <c r="C4149" s="3" t="s">
        <v>222</v>
      </c>
      <c r="D4149" s="3">
        <v>55.0</v>
      </c>
      <c r="E4149" s="3">
        <v>0.34</v>
      </c>
      <c r="F4149" s="3">
        <v>1.82</v>
      </c>
      <c r="G4149" s="3">
        <v>10.92</v>
      </c>
    </row>
    <row r="4150">
      <c r="A4150" s="3">
        <v>171660.0</v>
      </c>
      <c r="B4150" s="3" t="s">
        <v>4177</v>
      </c>
      <c r="C4150" s="3" t="s">
        <v>222</v>
      </c>
      <c r="D4150" s="3">
        <v>366.0</v>
      </c>
      <c r="E4150" s="3">
        <v>1.4</v>
      </c>
      <c r="F4150" s="3">
        <v>10.6</v>
      </c>
      <c r="G4150" s="3">
        <v>75.5</v>
      </c>
    </row>
    <row r="4151">
      <c r="A4151" s="3">
        <v>171661.0</v>
      </c>
      <c r="B4151" s="3" t="s">
        <v>4178</v>
      </c>
      <c r="C4151" s="3" t="s">
        <v>222</v>
      </c>
      <c r="D4151" s="3">
        <v>362.0</v>
      </c>
      <c r="E4151" s="3">
        <v>6.9</v>
      </c>
      <c r="F4151" s="3">
        <v>11.92</v>
      </c>
      <c r="G4151" s="3">
        <v>69.52</v>
      </c>
    </row>
    <row r="4152">
      <c r="A4152" s="3">
        <v>171662.0</v>
      </c>
      <c r="B4152" s="3" t="s">
        <v>4179</v>
      </c>
      <c r="C4152" s="3" t="s">
        <v>222</v>
      </c>
      <c r="D4152" s="3">
        <v>68.0</v>
      </c>
      <c r="E4152" s="3">
        <v>1.36</v>
      </c>
      <c r="F4152" s="3">
        <v>2.37</v>
      </c>
      <c r="G4152" s="3">
        <v>11.67</v>
      </c>
    </row>
    <row r="4153">
      <c r="A4153" s="3">
        <v>171663.0</v>
      </c>
      <c r="B4153" s="3" t="s">
        <v>4180</v>
      </c>
      <c r="C4153" s="3" t="s">
        <v>222</v>
      </c>
      <c r="D4153" s="3">
        <v>366.0</v>
      </c>
      <c r="E4153" s="3">
        <v>4.61</v>
      </c>
      <c r="F4153" s="3">
        <v>8.62</v>
      </c>
      <c r="G4153" s="3">
        <v>76.74</v>
      </c>
    </row>
    <row r="4154">
      <c r="A4154" s="3">
        <v>171664.0</v>
      </c>
      <c r="B4154" s="3" t="s">
        <v>4181</v>
      </c>
      <c r="C4154" s="3" t="s">
        <v>222</v>
      </c>
      <c r="D4154" s="3">
        <v>369.0</v>
      </c>
      <c r="E4154" s="3">
        <v>4.84</v>
      </c>
      <c r="F4154" s="3">
        <v>9.53</v>
      </c>
      <c r="G4154" s="3">
        <v>76.08</v>
      </c>
    </row>
    <row r="4155">
      <c r="A4155" s="3">
        <v>171665.0</v>
      </c>
      <c r="B4155" s="3" t="s">
        <v>4182</v>
      </c>
      <c r="C4155" s="3" t="s">
        <v>222</v>
      </c>
      <c r="D4155" s="3">
        <v>357.0</v>
      </c>
      <c r="E4155" s="3">
        <v>2.9</v>
      </c>
      <c r="F4155" s="3">
        <v>13.1</v>
      </c>
      <c r="G4155" s="3">
        <v>75.6</v>
      </c>
    </row>
    <row r="4156">
      <c r="A4156" s="3">
        <v>171666.0</v>
      </c>
      <c r="B4156" s="3" t="s">
        <v>4183</v>
      </c>
      <c r="C4156" s="3" t="s">
        <v>222</v>
      </c>
      <c r="D4156" s="3">
        <v>56.0</v>
      </c>
      <c r="E4156" s="3">
        <v>0.5</v>
      </c>
      <c r="F4156" s="3">
        <v>2.0</v>
      </c>
      <c r="G4156" s="3">
        <v>11.8</v>
      </c>
    </row>
    <row r="4157">
      <c r="A4157" s="3">
        <v>171667.0</v>
      </c>
      <c r="B4157" s="3" t="s">
        <v>4184</v>
      </c>
      <c r="C4157" s="3" t="s">
        <v>222</v>
      </c>
      <c r="D4157" s="3">
        <v>342.0</v>
      </c>
      <c r="E4157" s="3">
        <v>2.0</v>
      </c>
      <c r="F4157" s="3">
        <v>11.2</v>
      </c>
      <c r="G4157" s="3">
        <v>75.2</v>
      </c>
    </row>
    <row r="4158">
      <c r="A4158" s="3">
        <v>171668.0</v>
      </c>
      <c r="B4158" s="3" t="s">
        <v>4185</v>
      </c>
      <c r="C4158" s="3" t="s">
        <v>222</v>
      </c>
      <c r="D4158" s="3">
        <v>62.0</v>
      </c>
      <c r="E4158" s="3">
        <v>0.4</v>
      </c>
      <c r="F4158" s="3">
        <v>2.0</v>
      </c>
      <c r="G4158" s="3">
        <v>13.7</v>
      </c>
    </row>
    <row r="4159">
      <c r="A4159" s="3">
        <v>171669.0</v>
      </c>
      <c r="B4159" s="3" t="s">
        <v>4186</v>
      </c>
      <c r="C4159" s="3" t="s">
        <v>222</v>
      </c>
      <c r="D4159" s="3">
        <v>366.0</v>
      </c>
      <c r="E4159" s="3">
        <v>2.15</v>
      </c>
      <c r="F4159" s="3">
        <v>16.26</v>
      </c>
      <c r="G4159" s="3">
        <v>76.39</v>
      </c>
    </row>
    <row r="4160">
      <c r="A4160" s="3">
        <v>171670.0</v>
      </c>
      <c r="B4160" s="3" t="s">
        <v>4187</v>
      </c>
      <c r="C4160" s="3" t="s">
        <v>222</v>
      </c>
      <c r="D4160" s="3">
        <v>371.0</v>
      </c>
      <c r="E4160" s="3">
        <v>1.2</v>
      </c>
      <c r="F4160" s="3">
        <v>8.8</v>
      </c>
      <c r="G4160" s="3">
        <v>79.6</v>
      </c>
    </row>
    <row r="4161">
      <c r="A4161" s="3">
        <v>171671.0</v>
      </c>
      <c r="B4161" s="3" t="s">
        <v>4188</v>
      </c>
      <c r="C4161" s="3" t="s">
        <v>222</v>
      </c>
      <c r="D4161" s="3">
        <v>71.0</v>
      </c>
      <c r="E4161" s="3">
        <v>0.46</v>
      </c>
      <c r="F4161" s="3">
        <v>1.71</v>
      </c>
      <c r="G4161" s="3">
        <v>14.76</v>
      </c>
    </row>
    <row r="4162">
      <c r="A4162" s="3">
        <v>171672.0</v>
      </c>
      <c r="B4162" s="3" t="s">
        <v>4189</v>
      </c>
      <c r="C4162" s="3" t="s">
        <v>660</v>
      </c>
      <c r="D4162" s="3">
        <v>65.0</v>
      </c>
      <c r="E4162" s="3">
        <v>0.39</v>
      </c>
      <c r="F4162" s="3">
        <v>1.23</v>
      </c>
      <c r="G4162" s="3">
        <v>13.86</v>
      </c>
    </row>
    <row r="4163">
      <c r="A4163" s="3">
        <v>171673.0</v>
      </c>
      <c r="B4163" s="3" t="s">
        <v>4190</v>
      </c>
      <c r="C4163" s="3" t="s">
        <v>222</v>
      </c>
      <c r="D4163" s="3">
        <v>65.0</v>
      </c>
      <c r="E4163" s="3">
        <v>0.39</v>
      </c>
      <c r="F4163" s="3">
        <v>1.23</v>
      </c>
      <c r="G4163" s="3">
        <v>13.86</v>
      </c>
    </row>
    <row r="4164">
      <c r="A4164" s="3">
        <v>171674.0</v>
      </c>
      <c r="B4164" s="3" t="s">
        <v>4191</v>
      </c>
      <c r="C4164" s="3" t="s">
        <v>222</v>
      </c>
      <c r="D4164" s="3">
        <v>363.0</v>
      </c>
      <c r="E4164" s="3">
        <v>0.82</v>
      </c>
      <c r="F4164" s="3">
        <v>10.6</v>
      </c>
      <c r="G4164" s="3">
        <v>79.55</v>
      </c>
    </row>
    <row r="4165">
      <c r="A4165" s="3">
        <v>171675.0</v>
      </c>
      <c r="B4165" s="3" t="s">
        <v>4192</v>
      </c>
      <c r="C4165" s="3" t="s">
        <v>222</v>
      </c>
      <c r="D4165" s="3">
        <v>71.0</v>
      </c>
      <c r="E4165" s="3">
        <v>1.52</v>
      </c>
      <c r="F4165" s="3">
        <v>2.54</v>
      </c>
      <c r="G4165" s="3">
        <v>12.0</v>
      </c>
    </row>
    <row r="4166">
      <c r="A4166" s="3">
        <v>171676.0</v>
      </c>
      <c r="B4166" s="3" t="s">
        <v>4193</v>
      </c>
      <c r="C4166" s="3" t="s">
        <v>222</v>
      </c>
      <c r="D4166" s="3">
        <v>59.0</v>
      </c>
      <c r="E4166" s="3">
        <v>0.45</v>
      </c>
      <c r="F4166" s="3">
        <v>2.03</v>
      </c>
      <c r="G4166" s="3">
        <v>11.74</v>
      </c>
    </row>
    <row r="4167">
      <c r="A4167" s="3">
        <v>171677.0</v>
      </c>
      <c r="B4167" s="3" t="s">
        <v>4194</v>
      </c>
      <c r="C4167" s="3" t="s">
        <v>222</v>
      </c>
      <c r="D4167" s="3">
        <v>62.0</v>
      </c>
      <c r="E4167" s="3">
        <v>0.4</v>
      </c>
      <c r="F4167" s="3">
        <v>2.0</v>
      </c>
      <c r="G4167" s="3">
        <v>13.7</v>
      </c>
    </row>
    <row r="4168">
      <c r="A4168" s="3">
        <v>171678.0</v>
      </c>
      <c r="B4168" s="3" t="s">
        <v>4195</v>
      </c>
      <c r="C4168" s="3" t="s">
        <v>222</v>
      </c>
      <c r="D4168" s="3">
        <v>350.0</v>
      </c>
      <c r="E4168" s="3">
        <v>1.92</v>
      </c>
      <c r="F4168" s="3">
        <v>8.81</v>
      </c>
      <c r="G4168" s="3">
        <v>79.4</v>
      </c>
    </row>
    <row r="4169">
      <c r="A4169" s="3">
        <v>171679.0</v>
      </c>
      <c r="B4169" s="3" t="s">
        <v>4196</v>
      </c>
      <c r="C4169" s="3" t="s">
        <v>222</v>
      </c>
      <c r="D4169" s="3">
        <v>396.0</v>
      </c>
      <c r="E4169" s="3">
        <v>4.17</v>
      </c>
      <c r="F4169" s="3">
        <v>6.78</v>
      </c>
      <c r="G4169" s="3">
        <v>84.94</v>
      </c>
    </row>
    <row r="4170">
      <c r="A4170" s="3">
        <v>171680.0</v>
      </c>
      <c r="B4170" s="3" t="s">
        <v>4197</v>
      </c>
      <c r="C4170" s="3" t="s">
        <v>222</v>
      </c>
      <c r="D4170" s="3">
        <v>379.0</v>
      </c>
      <c r="E4170" s="3">
        <v>4.88</v>
      </c>
      <c r="F4170" s="3">
        <v>7.8</v>
      </c>
      <c r="G4170" s="3">
        <v>77.26</v>
      </c>
    </row>
    <row r="4171">
      <c r="A4171" s="3">
        <v>171681.0</v>
      </c>
      <c r="B4171" s="3" t="s">
        <v>4198</v>
      </c>
      <c r="C4171" s="3" t="s">
        <v>222</v>
      </c>
      <c r="D4171" s="3">
        <v>387.0</v>
      </c>
      <c r="E4171" s="3">
        <v>4.51</v>
      </c>
      <c r="F4171" s="3">
        <v>8.59</v>
      </c>
      <c r="G4171" s="3">
        <v>79.62</v>
      </c>
    </row>
    <row r="4172">
      <c r="A4172" s="3">
        <v>171682.0</v>
      </c>
      <c r="B4172" s="3" t="s">
        <v>4199</v>
      </c>
      <c r="C4172" s="3" t="s">
        <v>222</v>
      </c>
      <c r="D4172" s="3">
        <v>366.0</v>
      </c>
      <c r="E4172" s="3">
        <v>4.8</v>
      </c>
      <c r="F4172" s="3">
        <v>8.79</v>
      </c>
      <c r="G4172" s="3">
        <v>75.67</v>
      </c>
    </row>
    <row r="4173">
      <c r="A4173" s="3">
        <v>171683.0</v>
      </c>
      <c r="B4173" s="3" t="s">
        <v>4200</v>
      </c>
      <c r="C4173" s="3" t="s">
        <v>222</v>
      </c>
      <c r="D4173" s="3">
        <v>386.0</v>
      </c>
      <c r="E4173" s="3">
        <v>9.8</v>
      </c>
      <c r="F4173" s="3">
        <v>9.81</v>
      </c>
      <c r="G4173" s="3">
        <v>69.47</v>
      </c>
    </row>
    <row r="4174">
      <c r="A4174" s="3">
        <v>171684.0</v>
      </c>
      <c r="B4174" s="3" t="s">
        <v>4201</v>
      </c>
      <c r="C4174" s="3" t="s">
        <v>222</v>
      </c>
      <c r="D4174" s="3">
        <v>390.0</v>
      </c>
      <c r="E4174" s="3">
        <v>10.36</v>
      </c>
      <c r="F4174" s="3">
        <v>8.18</v>
      </c>
      <c r="G4174" s="3">
        <v>70.53</v>
      </c>
    </row>
    <row r="4175">
      <c r="A4175" s="3">
        <v>171685.0</v>
      </c>
      <c r="B4175" s="3" t="s">
        <v>4202</v>
      </c>
      <c r="C4175" s="3" t="s">
        <v>222</v>
      </c>
      <c r="D4175" s="3">
        <v>353.0</v>
      </c>
      <c r="E4175" s="3">
        <v>4.4</v>
      </c>
      <c r="F4175" s="3">
        <v>11.31</v>
      </c>
      <c r="G4175" s="3">
        <v>72.58</v>
      </c>
    </row>
    <row r="4176">
      <c r="A4176" s="3">
        <v>171686.0</v>
      </c>
      <c r="B4176" s="3" t="s">
        <v>4203</v>
      </c>
      <c r="C4176" s="3" t="s">
        <v>257</v>
      </c>
      <c r="D4176" s="3">
        <v>32.0</v>
      </c>
      <c r="E4176" s="3">
        <v>0.3</v>
      </c>
      <c r="F4176" s="3">
        <v>0.4</v>
      </c>
      <c r="G4176" s="3">
        <v>7.69</v>
      </c>
    </row>
    <row r="4177">
      <c r="A4177" s="3">
        <v>171687.0</v>
      </c>
      <c r="B4177" s="3" t="s">
        <v>4204</v>
      </c>
      <c r="C4177" s="3" t="s">
        <v>257</v>
      </c>
      <c r="D4177" s="3">
        <v>23.0</v>
      </c>
      <c r="E4177" s="3">
        <v>0.3</v>
      </c>
      <c r="F4177" s="3">
        <v>0.4</v>
      </c>
      <c r="G4177" s="3">
        <v>4.8</v>
      </c>
    </row>
    <row r="4178">
      <c r="A4178" s="3">
        <v>171688.0</v>
      </c>
      <c r="B4178" s="3" t="s">
        <v>4205</v>
      </c>
      <c r="C4178" s="3" t="s">
        <v>257</v>
      </c>
      <c r="D4178" s="3">
        <v>52.0</v>
      </c>
      <c r="E4178" s="3">
        <v>0.17</v>
      </c>
      <c r="F4178" s="3">
        <v>0.26</v>
      </c>
      <c r="G4178" s="3">
        <v>13.81</v>
      </c>
    </row>
    <row r="4179">
      <c r="A4179" s="3">
        <v>171689.0</v>
      </c>
      <c r="B4179" s="3" t="s">
        <v>4206</v>
      </c>
      <c r="C4179" s="3" t="s">
        <v>257</v>
      </c>
      <c r="D4179" s="3">
        <v>48.0</v>
      </c>
      <c r="E4179" s="3">
        <v>0.13</v>
      </c>
      <c r="F4179" s="3">
        <v>0.27</v>
      </c>
      <c r="G4179" s="3">
        <v>12.76</v>
      </c>
    </row>
    <row r="4180">
      <c r="A4180" s="3">
        <v>171690.0</v>
      </c>
      <c r="B4180" s="3" t="s">
        <v>4207</v>
      </c>
      <c r="C4180" s="3" t="s">
        <v>257</v>
      </c>
      <c r="D4180" s="3">
        <v>74.0</v>
      </c>
      <c r="E4180" s="3">
        <v>0.12</v>
      </c>
      <c r="F4180" s="3">
        <v>0.28</v>
      </c>
      <c r="G4180" s="3">
        <v>19.91</v>
      </c>
    </row>
    <row r="4181">
      <c r="A4181" s="3">
        <v>171691.0</v>
      </c>
      <c r="B4181" s="3" t="s">
        <v>4208</v>
      </c>
      <c r="C4181" s="3" t="s">
        <v>257</v>
      </c>
      <c r="D4181" s="3">
        <v>243.0</v>
      </c>
      <c r="E4181" s="3">
        <v>0.32</v>
      </c>
      <c r="F4181" s="3">
        <v>0.93</v>
      </c>
      <c r="G4181" s="3">
        <v>65.89</v>
      </c>
    </row>
    <row r="4182">
      <c r="A4182" s="3">
        <v>171692.0</v>
      </c>
      <c r="B4182" s="3" t="s">
        <v>4209</v>
      </c>
      <c r="C4182" s="3" t="s">
        <v>257</v>
      </c>
      <c r="D4182" s="3">
        <v>57.0</v>
      </c>
      <c r="E4182" s="3">
        <v>0.07</v>
      </c>
      <c r="F4182" s="3">
        <v>0.22</v>
      </c>
      <c r="G4182" s="3">
        <v>15.32</v>
      </c>
    </row>
    <row r="4183">
      <c r="A4183" s="3">
        <v>171693.0</v>
      </c>
      <c r="B4183" s="3" t="s">
        <v>4210</v>
      </c>
      <c r="C4183" s="3" t="s">
        <v>257</v>
      </c>
      <c r="D4183" s="3">
        <v>83.0</v>
      </c>
      <c r="E4183" s="3">
        <v>0.07</v>
      </c>
      <c r="F4183" s="3">
        <v>0.2</v>
      </c>
      <c r="G4183" s="3">
        <v>20.73</v>
      </c>
    </row>
    <row r="4184">
      <c r="A4184" s="3">
        <v>171694.0</v>
      </c>
      <c r="B4184" s="3" t="s">
        <v>4211</v>
      </c>
      <c r="C4184" s="3" t="s">
        <v>257</v>
      </c>
      <c r="D4184" s="3">
        <v>48.0</v>
      </c>
      <c r="E4184" s="3">
        <v>0.32</v>
      </c>
      <c r="F4184" s="3">
        <v>0.28</v>
      </c>
      <c r="G4184" s="3">
        <v>12.31</v>
      </c>
    </row>
    <row r="4185">
      <c r="A4185" s="3">
        <v>171695.0</v>
      </c>
      <c r="B4185" s="3" t="s">
        <v>4212</v>
      </c>
      <c r="C4185" s="3" t="s">
        <v>257</v>
      </c>
      <c r="D4185" s="3">
        <v>42.0</v>
      </c>
      <c r="E4185" s="3">
        <v>0.1</v>
      </c>
      <c r="F4185" s="3">
        <v>0.17</v>
      </c>
      <c r="G4185" s="3">
        <v>11.27</v>
      </c>
    </row>
    <row r="4186">
      <c r="A4186" s="3">
        <v>171696.0</v>
      </c>
      <c r="B4186" s="3" t="s">
        <v>4213</v>
      </c>
      <c r="C4186" s="3" t="s">
        <v>257</v>
      </c>
      <c r="D4186" s="3">
        <v>68.0</v>
      </c>
      <c r="E4186" s="3">
        <v>0.17</v>
      </c>
      <c r="F4186" s="3">
        <v>0.16</v>
      </c>
      <c r="G4186" s="3">
        <v>17.49</v>
      </c>
    </row>
    <row r="4187">
      <c r="A4187" s="3">
        <v>171697.0</v>
      </c>
      <c r="B4187" s="3" t="s">
        <v>4214</v>
      </c>
      <c r="C4187" s="3" t="s">
        <v>257</v>
      </c>
      <c r="D4187" s="3">
        <v>48.0</v>
      </c>
      <c r="E4187" s="3">
        <v>0.39</v>
      </c>
      <c r="F4187" s="3">
        <v>1.4</v>
      </c>
      <c r="G4187" s="3">
        <v>11.12</v>
      </c>
    </row>
    <row r="4188">
      <c r="A4188" s="3">
        <v>171698.0</v>
      </c>
      <c r="B4188" s="3" t="s">
        <v>4215</v>
      </c>
      <c r="C4188" s="3" t="s">
        <v>257</v>
      </c>
      <c r="D4188" s="3">
        <v>27.0</v>
      </c>
      <c r="E4188" s="3">
        <v>0.16</v>
      </c>
      <c r="F4188" s="3">
        <v>0.71</v>
      </c>
      <c r="G4188" s="3">
        <v>6.39</v>
      </c>
    </row>
    <row r="4189">
      <c r="A4189" s="3">
        <v>171699.0</v>
      </c>
      <c r="B4189" s="3" t="s">
        <v>4216</v>
      </c>
      <c r="C4189" s="3" t="s">
        <v>257</v>
      </c>
      <c r="D4189" s="3">
        <v>83.0</v>
      </c>
      <c r="E4189" s="3">
        <v>0.08</v>
      </c>
      <c r="F4189" s="3">
        <v>0.53</v>
      </c>
      <c r="G4189" s="3">
        <v>21.47</v>
      </c>
    </row>
    <row r="4190">
      <c r="A4190" s="3">
        <v>171700.0</v>
      </c>
      <c r="B4190" s="3" t="s">
        <v>4217</v>
      </c>
      <c r="C4190" s="3" t="s">
        <v>257</v>
      </c>
      <c r="D4190" s="3">
        <v>83.0</v>
      </c>
      <c r="E4190" s="3">
        <v>0.09</v>
      </c>
      <c r="F4190" s="3">
        <v>0.51</v>
      </c>
      <c r="G4190" s="3">
        <v>21.45</v>
      </c>
    </row>
    <row r="4191">
      <c r="A4191" s="3">
        <v>171701.0</v>
      </c>
      <c r="B4191" s="3" t="s">
        <v>4218</v>
      </c>
      <c r="C4191" s="3" t="s">
        <v>257</v>
      </c>
      <c r="D4191" s="3">
        <v>96.0</v>
      </c>
      <c r="E4191" s="3">
        <v>0.04</v>
      </c>
      <c r="F4191" s="3">
        <v>0.55</v>
      </c>
      <c r="G4191" s="3">
        <v>24.85</v>
      </c>
    </row>
    <row r="4192">
      <c r="A4192" s="3">
        <v>171702.0</v>
      </c>
      <c r="B4192" s="3" t="s">
        <v>4219</v>
      </c>
      <c r="C4192" s="3" t="s">
        <v>257</v>
      </c>
      <c r="D4192" s="3">
        <v>320.0</v>
      </c>
      <c r="E4192" s="3">
        <v>0.62</v>
      </c>
      <c r="F4192" s="3">
        <v>4.9</v>
      </c>
      <c r="G4192" s="3">
        <v>82.89</v>
      </c>
    </row>
    <row r="4193">
      <c r="A4193" s="3">
        <v>171703.0</v>
      </c>
      <c r="B4193" s="3" t="s">
        <v>4220</v>
      </c>
      <c r="C4193" s="3" t="s">
        <v>257</v>
      </c>
      <c r="D4193" s="3">
        <v>98.0</v>
      </c>
      <c r="E4193" s="3">
        <v>0.1</v>
      </c>
      <c r="F4193" s="3">
        <v>0.7</v>
      </c>
      <c r="G4193" s="3">
        <v>25.1</v>
      </c>
    </row>
    <row r="4194">
      <c r="A4194" s="3">
        <v>171704.0</v>
      </c>
      <c r="B4194" s="3" t="s">
        <v>4221</v>
      </c>
      <c r="C4194" s="3" t="s">
        <v>257</v>
      </c>
      <c r="D4194" s="3">
        <v>56.0</v>
      </c>
      <c r="E4194" s="3">
        <v>0.45</v>
      </c>
      <c r="F4194" s="3">
        <v>0.17</v>
      </c>
      <c r="G4194" s="3">
        <v>13.63</v>
      </c>
    </row>
    <row r="4195">
      <c r="A4195" s="3">
        <v>171705.0</v>
      </c>
      <c r="B4195" s="3" t="s">
        <v>4222</v>
      </c>
      <c r="C4195" s="3" t="s">
        <v>257</v>
      </c>
      <c r="D4195" s="3">
        <v>160.0</v>
      </c>
      <c r="E4195" s="3">
        <v>14.66</v>
      </c>
      <c r="F4195" s="3">
        <v>2.0</v>
      </c>
      <c r="G4195" s="3">
        <v>8.53</v>
      </c>
    </row>
    <row r="4196">
      <c r="A4196" s="3">
        <v>171706.0</v>
      </c>
      <c r="B4196" s="3" t="s">
        <v>4223</v>
      </c>
      <c r="C4196" s="3" t="s">
        <v>257</v>
      </c>
      <c r="D4196" s="3">
        <v>167.0</v>
      </c>
      <c r="E4196" s="3">
        <v>15.41</v>
      </c>
      <c r="F4196" s="3">
        <v>1.96</v>
      </c>
      <c r="G4196" s="3">
        <v>8.64</v>
      </c>
    </row>
    <row r="4197">
      <c r="A4197" s="3">
        <v>171707.0</v>
      </c>
      <c r="B4197" s="3" t="s">
        <v>4224</v>
      </c>
      <c r="C4197" s="3" t="s">
        <v>257</v>
      </c>
      <c r="D4197" s="3">
        <v>120.0</v>
      </c>
      <c r="E4197" s="3">
        <v>10.06</v>
      </c>
      <c r="F4197" s="3">
        <v>2.23</v>
      </c>
      <c r="G4197" s="3">
        <v>7.82</v>
      </c>
    </row>
    <row r="4198">
      <c r="A4198" s="3">
        <v>171708.0</v>
      </c>
      <c r="B4198" s="3" t="s">
        <v>4225</v>
      </c>
      <c r="C4198" s="3" t="s">
        <v>257</v>
      </c>
      <c r="D4198" s="3">
        <v>333.0</v>
      </c>
      <c r="E4198" s="3">
        <v>0.73</v>
      </c>
      <c r="F4198" s="3">
        <v>1.25</v>
      </c>
      <c r="G4198" s="3">
        <v>80.45</v>
      </c>
    </row>
    <row r="4199">
      <c r="A4199" s="3">
        <v>171709.0</v>
      </c>
      <c r="B4199" s="3" t="s">
        <v>4226</v>
      </c>
      <c r="C4199" s="3" t="s">
        <v>257</v>
      </c>
      <c r="D4199" s="3">
        <v>92.0</v>
      </c>
      <c r="E4199" s="3">
        <v>0.14</v>
      </c>
      <c r="F4199" s="3">
        <v>1.31</v>
      </c>
      <c r="G4199" s="3">
        <v>23.1</v>
      </c>
    </row>
    <row r="4200">
      <c r="A4200" s="3">
        <v>171710.0</v>
      </c>
      <c r="B4200" s="3" t="s">
        <v>4227</v>
      </c>
      <c r="C4200" s="3" t="s">
        <v>257</v>
      </c>
      <c r="D4200" s="3">
        <v>64.0</v>
      </c>
      <c r="E4200" s="3">
        <v>0.43</v>
      </c>
      <c r="F4200" s="3">
        <v>1.18</v>
      </c>
      <c r="G4200" s="3">
        <v>15.67</v>
      </c>
    </row>
    <row r="4201">
      <c r="A4201" s="3">
        <v>171711.0</v>
      </c>
      <c r="B4201" s="3" t="s">
        <v>4228</v>
      </c>
      <c r="C4201" s="3" t="s">
        <v>257</v>
      </c>
      <c r="D4201" s="3">
        <v>57.0</v>
      </c>
      <c r="E4201" s="3">
        <v>0.33</v>
      </c>
      <c r="F4201" s="3">
        <v>0.74</v>
      </c>
      <c r="G4201" s="3">
        <v>14.49</v>
      </c>
    </row>
    <row r="4202">
      <c r="A4202" s="3">
        <v>171712.0</v>
      </c>
      <c r="B4202" s="3" t="s">
        <v>4229</v>
      </c>
      <c r="C4202" s="3" t="s">
        <v>257</v>
      </c>
      <c r="D4202" s="3">
        <v>88.0</v>
      </c>
      <c r="E4202" s="3">
        <v>0.12</v>
      </c>
      <c r="F4202" s="3">
        <v>0.99</v>
      </c>
      <c r="G4202" s="3">
        <v>22.31</v>
      </c>
    </row>
    <row r="4203">
      <c r="A4203" s="3">
        <v>171713.0</v>
      </c>
      <c r="B4203" s="3" t="s">
        <v>4230</v>
      </c>
      <c r="C4203" s="3" t="s">
        <v>257</v>
      </c>
      <c r="D4203" s="3">
        <v>50.0</v>
      </c>
      <c r="E4203" s="3">
        <v>0.26</v>
      </c>
      <c r="F4203" s="3">
        <v>1.1</v>
      </c>
      <c r="G4203" s="3">
        <v>12.19</v>
      </c>
    </row>
    <row r="4204">
      <c r="A4204" s="3">
        <v>171714.0</v>
      </c>
      <c r="B4204" s="3" t="s">
        <v>4231</v>
      </c>
      <c r="C4204" s="3" t="s">
        <v>257</v>
      </c>
      <c r="D4204" s="3">
        <v>103.0</v>
      </c>
      <c r="E4204" s="3">
        <v>0.23</v>
      </c>
      <c r="F4204" s="3">
        <v>1.07</v>
      </c>
      <c r="G4204" s="3">
        <v>27.12</v>
      </c>
    </row>
    <row r="4205">
      <c r="A4205" s="3">
        <v>171715.0</v>
      </c>
      <c r="B4205" s="3" t="s">
        <v>4232</v>
      </c>
      <c r="C4205" s="3" t="s">
        <v>257</v>
      </c>
      <c r="D4205" s="3">
        <v>31.0</v>
      </c>
      <c r="E4205" s="3">
        <v>0.33</v>
      </c>
      <c r="F4205" s="3">
        <v>1.04</v>
      </c>
      <c r="G4205" s="3">
        <v>6.73</v>
      </c>
    </row>
    <row r="4206">
      <c r="A4206" s="3">
        <v>171716.0</v>
      </c>
      <c r="B4206" s="3" t="s">
        <v>4233</v>
      </c>
      <c r="C4206" s="3" t="s">
        <v>257</v>
      </c>
      <c r="D4206" s="3">
        <v>91.0</v>
      </c>
      <c r="E4206" s="3">
        <v>0.1</v>
      </c>
      <c r="F4206" s="3">
        <v>0.73</v>
      </c>
      <c r="G4206" s="3">
        <v>23.27</v>
      </c>
    </row>
    <row r="4207">
      <c r="A4207" s="3">
        <v>171717.0</v>
      </c>
      <c r="B4207" s="3" t="s">
        <v>4234</v>
      </c>
      <c r="C4207" s="3" t="s">
        <v>257</v>
      </c>
      <c r="D4207" s="3">
        <v>114.0</v>
      </c>
      <c r="E4207" s="3">
        <v>0.09</v>
      </c>
      <c r="F4207" s="3">
        <v>0.71</v>
      </c>
      <c r="G4207" s="3">
        <v>29.23</v>
      </c>
    </row>
    <row r="4208">
      <c r="A4208" s="3">
        <v>171718.0</v>
      </c>
      <c r="B4208" s="3" t="s">
        <v>4235</v>
      </c>
      <c r="C4208" s="3" t="s">
        <v>257</v>
      </c>
      <c r="D4208" s="3">
        <v>46.0</v>
      </c>
      <c r="E4208" s="3">
        <v>0.44</v>
      </c>
      <c r="F4208" s="3">
        <v>0.92</v>
      </c>
      <c r="G4208" s="3">
        <v>11.02</v>
      </c>
    </row>
    <row r="4209">
      <c r="A4209" s="3">
        <v>171719.0</v>
      </c>
      <c r="B4209" s="3" t="s">
        <v>4236</v>
      </c>
      <c r="C4209" s="3" t="s">
        <v>257</v>
      </c>
      <c r="D4209" s="3">
        <v>63.0</v>
      </c>
      <c r="E4209" s="3">
        <v>0.2</v>
      </c>
      <c r="F4209" s="3">
        <v>1.06</v>
      </c>
      <c r="G4209" s="3">
        <v>16.01</v>
      </c>
    </row>
    <row r="4210">
      <c r="A4210" s="3">
        <v>171720.0</v>
      </c>
      <c r="B4210" s="3" t="s">
        <v>4237</v>
      </c>
      <c r="C4210" s="3" t="s">
        <v>257</v>
      </c>
      <c r="D4210" s="3">
        <v>102.0</v>
      </c>
      <c r="E4210" s="3">
        <v>0.15</v>
      </c>
      <c r="F4210" s="3">
        <v>0.59</v>
      </c>
      <c r="G4210" s="3">
        <v>26.23</v>
      </c>
    </row>
    <row r="4211">
      <c r="A4211" s="3">
        <v>171721.0</v>
      </c>
      <c r="B4211" s="3" t="s">
        <v>4238</v>
      </c>
      <c r="C4211" s="3" t="s">
        <v>257</v>
      </c>
      <c r="D4211" s="3">
        <v>76.0</v>
      </c>
      <c r="E4211" s="3">
        <v>0.3</v>
      </c>
      <c r="F4211" s="3">
        <v>0.4</v>
      </c>
      <c r="G4211" s="3">
        <v>19.95</v>
      </c>
    </row>
    <row r="4212">
      <c r="A4212" s="3">
        <v>171722.0</v>
      </c>
      <c r="B4212" s="3" t="s">
        <v>4239</v>
      </c>
      <c r="C4212" s="3" t="s">
        <v>257</v>
      </c>
      <c r="D4212" s="3">
        <v>46.0</v>
      </c>
      <c r="E4212" s="3">
        <v>0.13</v>
      </c>
      <c r="F4212" s="3">
        <v>0.46</v>
      </c>
      <c r="G4212" s="3">
        <v>11.97</v>
      </c>
    </row>
    <row r="4213">
      <c r="A4213" s="3">
        <v>171723.0</v>
      </c>
      <c r="B4213" s="3" t="s">
        <v>4240</v>
      </c>
      <c r="C4213" s="3" t="s">
        <v>257</v>
      </c>
      <c r="D4213" s="3">
        <v>308.0</v>
      </c>
      <c r="E4213" s="3">
        <v>1.09</v>
      </c>
      <c r="F4213" s="3">
        <v>0.17</v>
      </c>
      <c r="G4213" s="3">
        <v>82.8</v>
      </c>
    </row>
    <row r="4214">
      <c r="A4214" s="3">
        <v>171724.0</v>
      </c>
      <c r="B4214" s="3" t="s">
        <v>4241</v>
      </c>
      <c r="C4214" s="3" t="s">
        <v>257</v>
      </c>
      <c r="D4214" s="3">
        <v>290.0</v>
      </c>
      <c r="E4214" s="3">
        <v>0.22</v>
      </c>
      <c r="F4214" s="3">
        <v>3.43</v>
      </c>
      <c r="G4214" s="3">
        <v>76.98</v>
      </c>
    </row>
    <row r="4215">
      <c r="A4215" s="3">
        <v>171725.0</v>
      </c>
      <c r="B4215" s="3" t="s">
        <v>4242</v>
      </c>
      <c r="C4215" s="3" t="s">
        <v>257</v>
      </c>
      <c r="D4215" s="3">
        <v>101.0</v>
      </c>
      <c r="E4215" s="3">
        <v>0.6</v>
      </c>
      <c r="F4215" s="3">
        <v>1.7</v>
      </c>
      <c r="G4215" s="3">
        <v>25.2</v>
      </c>
    </row>
    <row r="4216">
      <c r="A4216" s="3">
        <v>171726.0</v>
      </c>
      <c r="B4216" s="3" t="s">
        <v>4243</v>
      </c>
      <c r="C4216" s="3" t="s">
        <v>257</v>
      </c>
      <c r="D4216" s="3">
        <v>282.0</v>
      </c>
      <c r="E4216" s="3">
        <v>0.39</v>
      </c>
      <c r="F4216" s="3">
        <v>2.45</v>
      </c>
      <c r="G4216" s="3">
        <v>75.03</v>
      </c>
    </row>
    <row r="4217">
      <c r="A4217" s="3">
        <v>171727.0</v>
      </c>
      <c r="B4217" s="3" t="s">
        <v>4244</v>
      </c>
      <c r="C4217" s="3" t="s">
        <v>257</v>
      </c>
      <c r="D4217" s="3">
        <v>73.0</v>
      </c>
      <c r="E4217" s="3">
        <v>0.5</v>
      </c>
      <c r="F4217" s="3">
        <v>0.66</v>
      </c>
      <c r="G4217" s="3">
        <v>18.4</v>
      </c>
    </row>
    <row r="4218">
      <c r="A4218" s="3">
        <v>171728.0</v>
      </c>
      <c r="B4218" s="3" t="s">
        <v>4245</v>
      </c>
      <c r="C4218" s="3" t="s">
        <v>189</v>
      </c>
      <c r="D4218" s="3">
        <v>509.0</v>
      </c>
      <c r="E4218" s="3">
        <v>51.36</v>
      </c>
      <c r="F4218" s="3">
        <v>11.32</v>
      </c>
      <c r="G4218" s="3">
        <v>0.39</v>
      </c>
    </row>
    <row r="4219">
      <c r="A4219" s="3">
        <v>171729.0</v>
      </c>
      <c r="B4219" s="3" t="s">
        <v>4246</v>
      </c>
      <c r="C4219" s="3" t="s">
        <v>189</v>
      </c>
      <c r="D4219" s="3">
        <v>562.0</v>
      </c>
      <c r="E4219" s="3">
        <v>57.73</v>
      </c>
      <c r="F4219" s="3">
        <v>9.58</v>
      </c>
      <c r="G4219" s="3">
        <v>1.06</v>
      </c>
    </row>
    <row r="4220">
      <c r="A4220" s="3">
        <v>171730.0</v>
      </c>
      <c r="B4220" s="3" t="s">
        <v>4247</v>
      </c>
      <c r="C4220" s="3" t="s">
        <v>189</v>
      </c>
      <c r="D4220" s="3">
        <v>596.0</v>
      </c>
      <c r="E4220" s="3">
        <v>63.27</v>
      </c>
      <c r="F4220" s="3">
        <v>6.54</v>
      </c>
      <c r="G4220" s="3">
        <v>0.0</v>
      </c>
    </row>
    <row r="4221">
      <c r="A4221" s="3">
        <v>171731.0</v>
      </c>
      <c r="B4221" s="3" t="s">
        <v>4248</v>
      </c>
      <c r="C4221" s="3" t="s">
        <v>189</v>
      </c>
      <c r="D4221" s="3">
        <v>594.0</v>
      </c>
      <c r="E4221" s="3">
        <v>63.3</v>
      </c>
      <c r="F4221" s="3">
        <v>6.0</v>
      </c>
      <c r="G4221" s="3">
        <v>0.0</v>
      </c>
    </row>
    <row r="4222">
      <c r="A4222" s="3">
        <v>171732.0</v>
      </c>
      <c r="B4222" s="3" t="s">
        <v>4249</v>
      </c>
      <c r="C4222" s="3" t="s">
        <v>189</v>
      </c>
      <c r="D4222" s="3">
        <v>206.0</v>
      </c>
      <c r="E4222" s="3">
        <v>14.09</v>
      </c>
      <c r="F4222" s="3">
        <v>19.71</v>
      </c>
      <c r="G4222" s="3">
        <v>0.0</v>
      </c>
    </row>
    <row r="4223">
      <c r="A4223" s="3">
        <v>171733.0</v>
      </c>
      <c r="B4223" s="3" t="s">
        <v>4250</v>
      </c>
      <c r="C4223" s="3" t="s">
        <v>189</v>
      </c>
      <c r="D4223" s="3">
        <v>199.0</v>
      </c>
      <c r="E4223" s="3">
        <v>13.17</v>
      </c>
      <c r="F4223" s="3">
        <v>19.9</v>
      </c>
      <c r="G4223" s="3">
        <v>0.11</v>
      </c>
    </row>
    <row r="4224">
      <c r="A4224" s="3">
        <v>171734.0</v>
      </c>
      <c r="B4224" s="3" t="s">
        <v>4251</v>
      </c>
      <c r="C4224" s="3" t="s">
        <v>189</v>
      </c>
      <c r="D4224" s="3">
        <v>122.0</v>
      </c>
      <c r="E4224" s="3">
        <v>3.87</v>
      </c>
      <c r="F4224" s="3">
        <v>21.9</v>
      </c>
      <c r="G4224" s="3">
        <v>0.0</v>
      </c>
    </row>
    <row r="4225">
      <c r="A4225" s="3">
        <v>171735.0</v>
      </c>
      <c r="B4225" s="3" t="s">
        <v>4252</v>
      </c>
      <c r="C4225" s="3" t="s">
        <v>189</v>
      </c>
      <c r="D4225" s="3">
        <v>160.0</v>
      </c>
      <c r="E4225" s="3">
        <v>8.2</v>
      </c>
      <c r="F4225" s="3">
        <v>21.47</v>
      </c>
      <c r="G4225" s="3">
        <v>0.0</v>
      </c>
    </row>
    <row r="4226">
      <c r="A4226" s="3">
        <v>171736.0</v>
      </c>
      <c r="B4226" s="3" t="s">
        <v>4253</v>
      </c>
      <c r="C4226" s="3" t="s">
        <v>189</v>
      </c>
      <c r="D4226" s="3">
        <v>331.0</v>
      </c>
      <c r="E4226" s="3">
        <v>29.15</v>
      </c>
      <c r="F4226" s="3">
        <v>16.92</v>
      </c>
      <c r="G4226" s="3">
        <v>0.13</v>
      </c>
    </row>
    <row r="4227">
      <c r="A4227" s="3">
        <v>171737.0</v>
      </c>
      <c r="B4227" s="3" t="s">
        <v>4254</v>
      </c>
      <c r="C4227" s="3" t="s">
        <v>189</v>
      </c>
      <c r="D4227" s="3">
        <v>234.0</v>
      </c>
      <c r="E4227" s="3">
        <v>16.93</v>
      </c>
      <c r="F4227" s="3">
        <v>20.35</v>
      </c>
      <c r="G4227" s="3">
        <v>0.0</v>
      </c>
    </row>
    <row r="4228">
      <c r="A4228" s="3">
        <v>171738.0</v>
      </c>
      <c r="B4228" s="3" t="s">
        <v>4255</v>
      </c>
      <c r="C4228" s="3" t="s">
        <v>189</v>
      </c>
      <c r="D4228" s="3">
        <v>330.0</v>
      </c>
      <c r="E4228" s="3">
        <v>28.61</v>
      </c>
      <c r="F4228" s="3">
        <v>17.61</v>
      </c>
      <c r="G4228" s="3">
        <v>0.46</v>
      </c>
    </row>
    <row r="4229">
      <c r="A4229" s="3">
        <v>171739.0</v>
      </c>
      <c r="B4229" s="3" t="s">
        <v>4256</v>
      </c>
      <c r="C4229" s="3" t="s">
        <v>189</v>
      </c>
      <c r="D4229" s="3">
        <v>127.0</v>
      </c>
      <c r="E4229" s="3">
        <v>4.45</v>
      </c>
      <c r="F4229" s="3">
        <v>21.77</v>
      </c>
      <c r="G4229" s="3">
        <v>0.01</v>
      </c>
    </row>
    <row r="4230">
      <c r="A4230" s="3">
        <v>171740.0</v>
      </c>
      <c r="B4230" s="3" t="s">
        <v>4257</v>
      </c>
      <c r="C4230" s="3" t="s">
        <v>189</v>
      </c>
      <c r="D4230" s="3">
        <v>317.0</v>
      </c>
      <c r="E4230" s="3">
        <v>27.64</v>
      </c>
      <c r="F4230" s="3">
        <v>17.07</v>
      </c>
      <c r="G4230" s="3">
        <v>0.0</v>
      </c>
    </row>
    <row r="4231">
      <c r="A4231" s="3">
        <v>171741.0</v>
      </c>
      <c r="B4231" s="3" t="s">
        <v>4258</v>
      </c>
      <c r="C4231" s="3" t="s">
        <v>189</v>
      </c>
      <c r="D4231" s="3">
        <v>404.0</v>
      </c>
      <c r="E4231" s="3">
        <v>38.3</v>
      </c>
      <c r="F4231" s="3">
        <v>14.54</v>
      </c>
      <c r="G4231" s="3">
        <v>0.28</v>
      </c>
    </row>
    <row r="4232">
      <c r="A4232" s="3">
        <v>171742.0</v>
      </c>
      <c r="B4232" s="3" t="s">
        <v>4259</v>
      </c>
      <c r="C4232" s="3" t="s">
        <v>189</v>
      </c>
      <c r="D4232" s="3">
        <v>248.0</v>
      </c>
      <c r="E4232" s="3">
        <v>19.11</v>
      </c>
      <c r="F4232" s="3">
        <v>18.5</v>
      </c>
      <c r="G4232" s="3">
        <v>0.58</v>
      </c>
    </row>
    <row r="4233">
      <c r="A4233" s="3">
        <v>171743.0</v>
      </c>
      <c r="B4233" s="3" t="s">
        <v>4260</v>
      </c>
      <c r="C4233" s="3" t="s">
        <v>189</v>
      </c>
      <c r="D4233" s="3">
        <v>124.0</v>
      </c>
      <c r="E4233" s="3">
        <v>3.34</v>
      </c>
      <c r="F4233" s="3">
        <v>23.49</v>
      </c>
      <c r="G4233" s="3">
        <v>0.0</v>
      </c>
    </row>
    <row r="4234">
      <c r="A4234" s="3">
        <v>171744.0</v>
      </c>
      <c r="B4234" s="3" t="s">
        <v>4261</v>
      </c>
      <c r="C4234" s="3" t="s">
        <v>189</v>
      </c>
      <c r="D4234" s="3">
        <v>121.0</v>
      </c>
      <c r="E4234" s="3">
        <v>3.04</v>
      </c>
      <c r="F4234" s="3">
        <v>23.44</v>
      </c>
      <c r="G4234" s="3">
        <v>0.0</v>
      </c>
    </row>
    <row r="4235">
      <c r="A4235" s="3">
        <v>171745.0</v>
      </c>
      <c r="B4235" s="3" t="s">
        <v>4262</v>
      </c>
      <c r="C4235" s="3" t="s">
        <v>189</v>
      </c>
      <c r="D4235" s="3">
        <v>124.0</v>
      </c>
      <c r="E4235" s="3">
        <v>3.44</v>
      </c>
      <c r="F4235" s="3">
        <v>23.27</v>
      </c>
      <c r="G4235" s="3">
        <v>0.0</v>
      </c>
    </row>
    <row r="4236">
      <c r="A4236" s="3">
        <v>171746.0</v>
      </c>
      <c r="B4236" s="3" t="s">
        <v>4263</v>
      </c>
      <c r="C4236" s="3" t="s">
        <v>189</v>
      </c>
      <c r="D4236" s="3">
        <v>127.0</v>
      </c>
      <c r="E4236" s="3">
        <v>3.74</v>
      </c>
      <c r="F4236" s="3">
        <v>23.26</v>
      </c>
      <c r="G4236" s="3">
        <v>0.0</v>
      </c>
    </row>
    <row r="4237">
      <c r="A4237" s="3">
        <v>171747.0</v>
      </c>
      <c r="B4237" s="3" t="s">
        <v>4264</v>
      </c>
      <c r="C4237" s="3" t="s">
        <v>189</v>
      </c>
      <c r="D4237" s="3">
        <v>120.0</v>
      </c>
      <c r="E4237" s="3">
        <v>3.0</v>
      </c>
      <c r="F4237" s="3">
        <v>23.28</v>
      </c>
      <c r="G4237" s="3">
        <v>0.0</v>
      </c>
    </row>
    <row r="4238">
      <c r="A4238" s="3">
        <v>171748.0</v>
      </c>
      <c r="B4238" s="3" t="s">
        <v>4265</v>
      </c>
      <c r="C4238" s="3" t="s">
        <v>189</v>
      </c>
      <c r="D4238" s="3">
        <v>153.0</v>
      </c>
      <c r="E4238" s="3">
        <v>7.4</v>
      </c>
      <c r="F4238" s="3">
        <v>21.5</v>
      </c>
      <c r="G4238" s="3">
        <v>0.0</v>
      </c>
    </row>
    <row r="4239">
      <c r="A4239" s="3">
        <v>171749.0</v>
      </c>
      <c r="B4239" s="3" t="s">
        <v>4266</v>
      </c>
      <c r="C4239" s="3" t="s">
        <v>189</v>
      </c>
      <c r="D4239" s="3">
        <v>144.0</v>
      </c>
      <c r="E4239" s="3">
        <v>6.21</v>
      </c>
      <c r="F4239" s="3">
        <v>21.91</v>
      </c>
      <c r="G4239" s="3">
        <v>0.0</v>
      </c>
    </row>
    <row r="4240">
      <c r="A4240" s="3">
        <v>171750.0</v>
      </c>
      <c r="B4240" s="3" t="s">
        <v>4267</v>
      </c>
      <c r="C4240" s="3" t="s">
        <v>189</v>
      </c>
      <c r="D4240" s="3">
        <v>163.0</v>
      </c>
      <c r="E4240" s="3">
        <v>8.17</v>
      </c>
      <c r="F4240" s="3">
        <v>22.43</v>
      </c>
      <c r="G4240" s="3">
        <v>0.0</v>
      </c>
    </row>
    <row r="4241">
      <c r="A4241" s="3">
        <v>171751.0</v>
      </c>
      <c r="B4241" s="3" t="s">
        <v>4268</v>
      </c>
      <c r="C4241" s="3" t="s">
        <v>189</v>
      </c>
      <c r="D4241" s="3">
        <v>171.0</v>
      </c>
      <c r="E4241" s="3">
        <v>9.16</v>
      </c>
      <c r="F4241" s="3">
        <v>22.19</v>
      </c>
      <c r="G4241" s="3">
        <v>0.0</v>
      </c>
    </row>
    <row r="4242">
      <c r="A4242" s="3">
        <v>171752.0</v>
      </c>
      <c r="B4242" s="3" t="s">
        <v>4269</v>
      </c>
      <c r="C4242" s="3" t="s">
        <v>189</v>
      </c>
      <c r="D4242" s="3">
        <v>151.0</v>
      </c>
      <c r="E4242" s="3">
        <v>6.67</v>
      </c>
      <c r="F4242" s="3">
        <v>22.79</v>
      </c>
      <c r="G4242" s="3">
        <v>0.0</v>
      </c>
    </row>
    <row r="4243">
      <c r="A4243" s="3">
        <v>171753.0</v>
      </c>
      <c r="B4243" s="3" t="s">
        <v>4270</v>
      </c>
      <c r="C4243" s="3" t="s">
        <v>189</v>
      </c>
      <c r="D4243" s="3">
        <v>188.0</v>
      </c>
      <c r="E4243" s="3">
        <v>8.82</v>
      </c>
      <c r="F4243" s="3">
        <v>27.26</v>
      </c>
      <c r="G4243" s="3">
        <v>0.0</v>
      </c>
    </row>
    <row r="4244">
      <c r="A4244" s="3">
        <v>171754.0</v>
      </c>
      <c r="B4244" s="3" t="s">
        <v>4271</v>
      </c>
      <c r="C4244" s="3" t="s">
        <v>189</v>
      </c>
      <c r="D4244" s="3">
        <v>174.0</v>
      </c>
      <c r="E4244" s="3">
        <v>7.12</v>
      </c>
      <c r="F4244" s="3">
        <v>27.38</v>
      </c>
      <c r="G4244" s="3">
        <v>0.0</v>
      </c>
    </row>
    <row r="4245">
      <c r="A4245" s="3">
        <v>171755.0</v>
      </c>
      <c r="B4245" s="3" t="s">
        <v>4272</v>
      </c>
      <c r="C4245" s="3" t="s">
        <v>189</v>
      </c>
      <c r="D4245" s="3">
        <v>160.0</v>
      </c>
      <c r="E4245" s="3">
        <v>4.49</v>
      </c>
      <c r="F4245" s="3">
        <v>29.9</v>
      </c>
      <c r="G4245" s="3">
        <v>0.0</v>
      </c>
    </row>
    <row r="4246">
      <c r="A4246" s="3">
        <v>171756.0</v>
      </c>
      <c r="B4246" s="3" t="s">
        <v>4273</v>
      </c>
      <c r="C4246" s="3" t="s">
        <v>189</v>
      </c>
      <c r="D4246" s="3">
        <v>163.0</v>
      </c>
      <c r="E4246" s="3">
        <v>4.79</v>
      </c>
      <c r="F4246" s="3">
        <v>30.08</v>
      </c>
      <c r="G4246" s="3">
        <v>0.0</v>
      </c>
    </row>
    <row r="4247">
      <c r="A4247" s="3">
        <v>171757.0</v>
      </c>
      <c r="B4247" s="3" t="s">
        <v>4274</v>
      </c>
      <c r="C4247" s="3" t="s">
        <v>189</v>
      </c>
      <c r="D4247" s="3">
        <v>121.0</v>
      </c>
      <c r="E4247" s="3">
        <v>2.94</v>
      </c>
      <c r="F4247" s="3">
        <v>23.59</v>
      </c>
      <c r="G4247" s="3">
        <v>0.0</v>
      </c>
    </row>
    <row r="4248">
      <c r="A4248" s="3">
        <v>171758.0</v>
      </c>
      <c r="B4248" s="3" t="s">
        <v>4275</v>
      </c>
      <c r="C4248" s="3" t="s">
        <v>189</v>
      </c>
      <c r="D4248" s="3">
        <v>124.0</v>
      </c>
      <c r="E4248" s="3">
        <v>3.26</v>
      </c>
      <c r="F4248" s="3">
        <v>23.59</v>
      </c>
      <c r="G4248" s="3">
        <v>0.0</v>
      </c>
    </row>
    <row r="4249">
      <c r="A4249" s="3">
        <v>171759.0</v>
      </c>
      <c r="B4249" s="3" t="s">
        <v>4276</v>
      </c>
      <c r="C4249" s="3" t="s">
        <v>189</v>
      </c>
      <c r="D4249" s="3">
        <v>116.0</v>
      </c>
      <c r="E4249" s="3">
        <v>2.45</v>
      </c>
      <c r="F4249" s="3">
        <v>23.59</v>
      </c>
      <c r="G4249" s="3">
        <v>0.0</v>
      </c>
    </row>
    <row r="4250">
      <c r="A4250" s="3">
        <v>171760.0</v>
      </c>
      <c r="B4250" s="3" t="s">
        <v>4277</v>
      </c>
      <c r="C4250" s="3" t="s">
        <v>189</v>
      </c>
      <c r="D4250" s="3">
        <v>121.0</v>
      </c>
      <c r="E4250" s="3">
        <v>2.94</v>
      </c>
      <c r="F4250" s="3">
        <v>23.59</v>
      </c>
      <c r="G4250" s="3">
        <v>0.0</v>
      </c>
    </row>
    <row r="4251">
      <c r="A4251" s="3">
        <v>171761.0</v>
      </c>
      <c r="B4251" s="3" t="s">
        <v>4278</v>
      </c>
      <c r="C4251" s="3" t="s">
        <v>189</v>
      </c>
      <c r="D4251" s="3">
        <v>116.0</v>
      </c>
      <c r="E4251" s="3">
        <v>2.52</v>
      </c>
      <c r="F4251" s="3">
        <v>23.41</v>
      </c>
      <c r="G4251" s="3">
        <v>0.0</v>
      </c>
    </row>
    <row r="4252">
      <c r="A4252" s="3">
        <v>171762.0</v>
      </c>
      <c r="B4252" s="3" t="s">
        <v>4279</v>
      </c>
      <c r="C4252" s="3" t="s">
        <v>189</v>
      </c>
      <c r="D4252" s="3">
        <v>121.0</v>
      </c>
      <c r="E4252" s="3">
        <v>3.04</v>
      </c>
      <c r="F4252" s="3">
        <v>23.37</v>
      </c>
      <c r="G4252" s="3">
        <v>0.0</v>
      </c>
    </row>
    <row r="4253">
      <c r="A4253" s="3">
        <v>171763.0</v>
      </c>
      <c r="B4253" s="3" t="s">
        <v>4280</v>
      </c>
      <c r="C4253" s="3" t="s">
        <v>189</v>
      </c>
      <c r="D4253" s="3">
        <v>124.0</v>
      </c>
      <c r="E4253" s="3">
        <v>3.38</v>
      </c>
      <c r="F4253" s="3">
        <v>23.35</v>
      </c>
      <c r="G4253" s="3">
        <v>0.0</v>
      </c>
    </row>
    <row r="4254">
      <c r="A4254" s="3">
        <v>171764.0</v>
      </c>
      <c r="B4254" s="3" t="s">
        <v>4281</v>
      </c>
      <c r="C4254" s="3" t="s">
        <v>189</v>
      </c>
      <c r="D4254" s="3">
        <v>116.0</v>
      </c>
      <c r="E4254" s="3">
        <v>2.52</v>
      </c>
      <c r="F4254" s="3">
        <v>23.41</v>
      </c>
      <c r="G4254" s="3">
        <v>0.0</v>
      </c>
    </row>
    <row r="4255">
      <c r="A4255" s="3">
        <v>171765.0</v>
      </c>
      <c r="B4255" s="3" t="s">
        <v>4282</v>
      </c>
      <c r="C4255" s="3" t="s">
        <v>189</v>
      </c>
      <c r="D4255" s="3">
        <v>139.0</v>
      </c>
      <c r="E4255" s="3">
        <v>5.74</v>
      </c>
      <c r="F4255" s="3">
        <v>21.94</v>
      </c>
      <c r="G4255" s="3">
        <v>0.0</v>
      </c>
    </row>
    <row r="4256">
      <c r="A4256" s="3">
        <v>171766.0</v>
      </c>
      <c r="B4256" s="3" t="s">
        <v>4283</v>
      </c>
      <c r="C4256" s="3" t="s">
        <v>189</v>
      </c>
      <c r="D4256" s="3">
        <v>135.0</v>
      </c>
      <c r="E4256" s="3">
        <v>4.66</v>
      </c>
      <c r="F4256" s="3">
        <v>23.3</v>
      </c>
      <c r="G4256" s="3">
        <v>0.0</v>
      </c>
    </row>
    <row r="4257">
      <c r="A4257" s="3">
        <v>171767.0</v>
      </c>
      <c r="B4257" s="3" t="s">
        <v>4284</v>
      </c>
      <c r="C4257" s="3" t="s">
        <v>189</v>
      </c>
      <c r="D4257" s="3">
        <v>139.0</v>
      </c>
      <c r="E4257" s="3">
        <v>5.74</v>
      </c>
      <c r="F4257" s="3">
        <v>21.94</v>
      </c>
      <c r="G4257" s="3">
        <v>0.0</v>
      </c>
    </row>
    <row r="4258">
      <c r="A4258" s="3">
        <v>171768.0</v>
      </c>
      <c r="B4258" s="3" t="s">
        <v>4285</v>
      </c>
      <c r="C4258" s="3" t="s">
        <v>189</v>
      </c>
      <c r="D4258" s="3">
        <v>143.0</v>
      </c>
      <c r="E4258" s="3">
        <v>6.16</v>
      </c>
      <c r="F4258" s="3">
        <v>21.78</v>
      </c>
      <c r="G4258" s="3">
        <v>0.0</v>
      </c>
    </row>
    <row r="4259">
      <c r="A4259" s="3">
        <v>171769.0</v>
      </c>
      <c r="B4259" s="3" t="s">
        <v>4286</v>
      </c>
      <c r="C4259" s="3" t="s">
        <v>189</v>
      </c>
      <c r="D4259" s="3">
        <v>135.0</v>
      </c>
      <c r="E4259" s="3">
        <v>5.1</v>
      </c>
      <c r="F4259" s="3">
        <v>22.16</v>
      </c>
      <c r="G4259" s="3">
        <v>0.0</v>
      </c>
    </row>
    <row r="4260">
      <c r="A4260" s="3">
        <v>171770.0</v>
      </c>
      <c r="B4260" s="3" t="s">
        <v>4287</v>
      </c>
      <c r="C4260" s="3" t="s">
        <v>189</v>
      </c>
      <c r="D4260" s="3">
        <v>158.0</v>
      </c>
      <c r="E4260" s="3">
        <v>4.11</v>
      </c>
      <c r="F4260" s="3">
        <v>30.24</v>
      </c>
      <c r="G4260" s="3">
        <v>0.06</v>
      </c>
    </row>
    <row r="4261">
      <c r="A4261" s="3">
        <v>171771.0</v>
      </c>
      <c r="B4261" s="3" t="s">
        <v>4288</v>
      </c>
      <c r="C4261" s="3" t="s">
        <v>189</v>
      </c>
      <c r="D4261" s="3">
        <v>150.0</v>
      </c>
      <c r="E4261" s="3">
        <v>3.37</v>
      </c>
      <c r="F4261" s="3">
        <v>29.81</v>
      </c>
      <c r="G4261" s="3">
        <v>0.0</v>
      </c>
    </row>
    <row r="4262">
      <c r="A4262" s="3">
        <v>171772.0</v>
      </c>
      <c r="B4262" s="3" t="s">
        <v>4289</v>
      </c>
      <c r="C4262" s="3" t="s">
        <v>189</v>
      </c>
      <c r="D4262" s="3">
        <v>155.0</v>
      </c>
      <c r="E4262" s="3">
        <v>3.9</v>
      </c>
      <c r="F4262" s="3">
        <v>29.85</v>
      </c>
      <c r="G4262" s="3">
        <v>0.0</v>
      </c>
    </row>
    <row r="4263">
      <c r="A4263" s="3">
        <v>171773.0</v>
      </c>
      <c r="B4263" s="3" t="s">
        <v>4290</v>
      </c>
      <c r="C4263" s="3" t="s">
        <v>189</v>
      </c>
      <c r="D4263" s="3">
        <v>158.0</v>
      </c>
      <c r="E4263" s="3">
        <v>4.26</v>
      </c>
      <c r="F4263" s="3">
        <v>29.94</v>
      </c>
      <c r="G4263" s="3">
        <v>0.0</v>
      </c>
    </row>
    <row r="4264">
      <c r="A4264" s="3">
        <v>171774.0</v>
      </c>
      <c r="B4264" s="3" t="s">
        <v>4291</v>
      </c>
      <c r="C4264" s="3" t="s">
        <v>189</v>
      </c>
      <c r="D4264" s="3">
        <v>191.0</v>
      </c>
      <c r="E4264" s="3">
        <v>11.65</v>
      </c>
      <c r="F4264" s="3">
        <v>21.54</v>
      </c>
      <c r="G4264" s="3">
        <v>0.0</v>
      </c>
    </row>
    <row r="4265">
      <c r="A4265" s="3">
        <v>171775.0</v>
      </c>
      <c r="B4265" s="3" t="s">
        <v>4292</v>
      </c>
      <c r="C4265" s="3" t="s">
        <v>189</v>
      </c>
      <c r="D4265" s="3">
        <v>199.0</v>
      </c>
      <c r="E4265" s="3">
        <v>12.68</v>
      </c>
      <c r="F4265" s="3">
        <v>21.29</v>
      </c>
      <c r="G4265" s="3">
        <v>0.0</v>
      </c>
    </row>
    <row r="4266">
      <c r="A4266" s="3">
        <v>171776.0</v>
      </c>
      <c r="B4266" s="3" t="s">
        <v>4293</v>
      </c>
      <c r="C4266" s="3" t="s">
        <v>189</v>
      </c>
      <c r="D4266" s="3">
        <v>133.0</v>
      </c>
      <c r="E4266" s="3">
        <v>4.99</v>
      </c>
      <c r="F4266" s="3">
        <v>22.03</v>
      </c>
      <c r="G4266" s="3">
        <v>0.0</v>
      </c>
    </row>
    <row r="4267">
      <c r="A4267" s="3">
        <v>171777.0</v>
      </c>
      <c r="B4267" s="3" t="s">
        <v>4294</v>
      </c>
      <c r="C4267" s="3" t="s">
        <v>189</v>
      </c>
      <c r="D4267" s="3">
        <v>157.0</v>
      </c>
      <c r="E4267" s="3">
        <v>8.0</v>
      </c>
      <c r="F4267" s="3">
        <v>21.2</v>
      </c>
      <c r="G4267" s="3">
        <v>0.0</v>
      </c>
    </row>
    <row r="4268">
      <c r="A4268" s="3">
        <v>171778.0</v>
      </c>
      <c r="B4268" s="3" t="s">
        <v>4295</v>
      </c>
      <c r="C4268" s="3" t="s">
        <v>189</v>
      </c>
      <c r="D4268" s="3">
        <v>167.0</v>
      </c>
      <c r="E4268" s="3">
        <v>6.37</v>
      </c>
      <c r="F4268" s="3">
        <v>27.51</v>
      </c>
      <c r="G4268" s="3">
        <v>0.0</v>
      </c>
    </row>
    <row r="4269">
      <c r="A4269" s="3">
        <v>171779.0</v>
      </c>
      <c r="B4269" s="3" t="s">
        <v>4296</v>
      </c>
      <c r="C4269" s="3" t="s">
        <v>189</v>
      </c>
      <c r="D4269" s="3">
        <v>130.0</v>
      </c>
      <c r="E4269" s="3">
        <v>4.55</v>
      </c>
      <c r="F4269" s="3">
        <v>22.37</v>
      </c>
      <c r="G4269" s="3">
        <v>0.0</v>
      </c>
    </row>
    <row r="4270">
      <c r="A4270" s="3">
        <v>171780.0</v>
      </c>
      <c r="B4270" s="3" t="s">
        <v>4297</v>
      </c>
      <c r="C4270" s="3" t="s">
        <v>189</v>
      </c>
      <c r="D4270" s="3">
        <v>173.0</v>
      </c>
      <c r="E4270" s="3">
        <v>6.75</v>
      </c>
      <c r="F4270" s="3">
        <v>26.36</v>
      </c>
      <c r="G4270" s="3">
        <v>0.0</v>
      </c>
    </row>
    <row r="4271">
      <c r="A4271" s="3">
        <v>171781.0</v>
      </c>
      <c r="B4271" s="3" t="s">
        <v>4298</v>
      </c>
      <c r="C4271" s="3" t="s">
        <v>189</v>
      </c>
      <c r="D4271" s="3">
        <v>175.0</v>
      </c>
      <c r="E4271" s="3">
        <v>5.82</v>
      </c>
      <c r="F4271" s="3">
        <v>28.6</v>
      </c>
      <c r="G4271" s="3">
        <v>0.0</v>
      </c>
    </row>
    <row r="4272">
      <c r="A4272" s="3">
        <v>171782.0</v>
      </c>
      <c r="B4272" s="3" t="s">
        <v>4299</v>
      </c>
      <c r="C4272" s="3" t="s">
        <v>189</v>
      </c>
      <c r="D4272" s="3">
        <v>189.0</v>
      </c>
      <c r="E4272" s="3">
        <v>7.04</v>
      </c>
      <c r="F4272" s="3">
        <v>29.34</v>
      </c>
      <c r="G4272" s="3">
        <v>0.0</v>
      </c>
    </row>
    <row r="4273">
      <c r="A4273" s="3">
        <v>171783.0</v>
      </c>
      <c r="B4273" s="3" t="s">
        <v>4300</v>
      </c>
      <c r="C4273" s="3" t="s">
        <v>189</v>
      </c>
      <c r="D4273" s="3">
        <v>161.0</v>
      </c>
      <c r="E4273" s="3">
        <v>5.72</v>
      </c>
      <c r="F4273" s="3">
        <v>25.73</v>
      </c>
      <c r="G4273" s="3">
        <v>0.0</v>
      </c>
    </row>
    <row r="4274">
      <c r="A4274" s="3">
        <v>171784.0</v>
      </c>
      <c r="B4274" s="3" t="s">
        <v>4301</v>
      </c>
      <c r="C4274" s="3" t="s">
        <v>189</v>
      </c>
      <c r="D4274" s="3">
        <v>196.0</v>
      </c>
      <c r="E4274" s="3">
        <v>8.76</v>
      </c>
      <c r="F4274" s="3">
        <v>27.3</v>
      </c>
      <c r="G4274" s="3">
        <v>0.0</v>
      </c>
    </row>
    <row r="4275">
      <c r="A4275" s="3">
        <v>171785.0</v>
      </c>
      <c r="B4275" s="3" t="s">
        <v>4302</v>
      </c>
      <c r="C4275" s="3" t="s">
        <v>189</v>
      </c>
      <c r="D4275" s="3">
        <v>186.0</v>
      </c>
      <c r="E4275" s="3">
        <v>7.25</v>
      </c>
      <c r="F4275" s="3">
        <v>28.22</v>
      </c>
      <c r="G4275" s="3">
        <v>0.0</v>
      </c>
    </row>
    <row r="4276">
      <c r="A4276" s="3">
        <v>171786.0</v>
      </c>
      <c r="B4276" s="3" t="s">
        <v>4303</v>
      </c>
      <c r="C4276" s="3" t="s">
        <v>189</v>
      </c>
      <c r="D4276" s="3">
        <v>177.0</v>
      </c>
      <c r="E4276" s="3">
        <v>6.14</v>
      </c>
      <c r="F4276" s="3">
        <v>28.41</v>
      </c>
      <c r="G4276" s="3">
        <v>0.0</v>
      </c>
    </row>
    <row r="4277">
      <c r="A4277" s="3">
        <v>171787.0</v>
      </c>
      <c r="B4277" s="3" t="s">
        <v>4304</v>
      </c>
      <c r="C4277" s="3" t="s">
        <v>189</v>
      </c>
      <c r="D4277" s="3">
        <v>220.0</v>
      </c>
      <c r="E4277" s="3">
        <v>12.05</v>
      </c>
      <c r="F4277" s="3">
        <v>26.13</v>
      </c>
      <c r="G4277" s="3">
        <v>0.0</v>
      </c>
    </row>
    <row r="4278">
      <c r="A4278" s="3">
        <v>171788.0</v>
      </c>
      <c r="B4278" s="3" t="s">
        <v>4305</v>
      </c>
      <c r="C4278" s="3" t="s">
        <v>189</v>
      </c>
      <c r="D4278" s="3">
        <v>255.0</v>
      </c>
      <c r="E4278" s="3">
        <v>17.13</v>
      </c>
      <c r="F4278" s="3">
        <v>23.51</v>
      </c>
      <c r="G4278" s="3">
        <v>0.0</v>
      </c>
    </row>
    <row r="4279">
      <c r="A4279" s="3">
        <v>171789.0</v>
      </c>
      <c r="B4279" s="3" t="s">
        <v>4306</v>
      </c>
      <c r="C4279" s="3" t="s">
        <v>189</v>
      </c>
      <c r="D4279" s="3">
        <v>182.0</v>
      </c>
      <c r="E4279" s="3">
        <v>6.8</v>
      </c>
      <c r="F4279" s="3">
        <v>28.29</v>
      </c>
      <c r="G4279" s="3">
        <v>0.0</v>
      </c>
    </row>
    <row r="4280">
      <c r="A4280" s="3">
        <v>171790.0</v>
      </c>
      <c r="B4280" s="3" t="s">
        <v>4307</v>
      </c>
      <c r="C4280" s="3" t="s">
        <v>189</v>
      </c>
      <c r="D4280" s="3">
        <v>137.0</v>
      </c>
      <c r="E4280" s="3">
        <v>5.0</v>
      </c>
      <c r="F4280" s="3">
        <v>21.41</v>
      </c>
      <c r="G4280" s="3">
        <v>0.0</v>
      </c>
    </row>
    <row r="4281">
      <c r="A4281" s="3">
        <v>171791.0</v>
      </c>
      <c r="B4281" s="3" t="s">
        <v>4308</v>
      </c>
      <c r="C4281" s="3" t="s">
        <v>189</v>
      </c>
      <c r="D4281" s="3">
        <v>174.0</v>
      </c>
      <c r="E4281" s="3">
        <v>6.8</v>
      </c>
      <c r="F4281" s="3">
        <v>26.29</v>
      </c>
      <c r="G4281" s="3">
        <v>0.0</v>
      </c>
    </row>
    <row r="4282">
      <c r="A4282" s="3">
        <v>171792.0</v>
      </c>
      <c r="B4282" s="3" t="s">
        <v>4309</v>
      </c>
      <c r="C4282" s="3" t="s">
        <v>189</v>
      </c>
      <c r="D4282" s="3">
        <v>164.0</v>
      </c>
      <c r="E4282" s="3">
        <v>5.94</v>
      </c>
      <c r="F4282" s="3">
        <v>25.8</v>
      </c>
      <c r="G4282" s="3">
        <v>0.0</v>
      </c>
    </row>
    <row r="4283">
      <c r="A4283" s="3">
        <v>171793.0</v>
      </c>
      <c r="B4283" s="3" t="s">
        <v>4310</v>
      </c>
      <c r="C4283" s="3" t="s">
        <v>189</v>
      </c>
      <c r="D4283" s="3">
        <v>204.0</v>
      </c>
      <c r="E4283" s="3">
        <v>10.68</v>
      </c>
      <c r="F4283" s="3">
        <v>25.21</v>
      </c>
      <c r="G4283" s="3">
        <v>0.0</v>
      </c>
    </row>
    <row r="4284">
      <c r="A4284" s="3">
        <v>171794.0</v>
      </c>
      <c r="B4284" s="3" t="s">
        <v>4311</v>
      </c>
      <c r="C4284" s="3" t="s">
        <v>189</v>
      </c>
      <c r="D4284" s="3">
        <v>230.0</v>
      </c>
      <c r="E4284" s="3">
        <v>12.04</v>
      </c>
      <c r="F4284" s="3">
        <v>28.45</v>
      </c>
      <c r="G4284" s="3">
        <v>0.0</v>
      </c>
    </row>
    <row r="4285">
      <c r="A4285" s="3">
        <v>171795.0</v>
      </c>
      <c r="B4285" s="3" t="s">
        <v>4312</v>
      </c>
      <c r="C4285" s="3" t="s">
        <v>189</v>
      </c>
      <c r="D4285" s="3">
        <v>214.0</v>
      </c>
      <c r="E4285" s="3">
        <v>11.1</v>
      </c>
      <c r="F4285" s="3">
        <v>26.62</v>
      </c>
      <c r="G4285" s="3">
        <v>0.0</v>
      </c>
    </row>
    <row r="4286">
      <c r="A4286" s="3">
        <v>171796.0</v>
      </c>
      <c r="B4286" s="3" t="s">
        <v>4313</v>
      </c>
      <c r="C4286" s="3" t="s">
        <v>189</v>
      </c>
      <c r="D4286" s="3">
        <v>215.0</v>
      </c>
      <c r="E4286" s="3">
        <v>15.0</v>
      </c>
      <c r="F4286" s="3">
        <v>18.59</v>
      </c>
      <c r="G4286" s="3">
        <v>0.0</v>
      </c>
    </row>
    <row r="4287">
      <c r="A4287" s="3">
        <v>171797.0</v>
      </c>
      <c r="B4287" s="3" t="s">
        <v>4314</v>
      </c>
      <c r="C4287" s="3" t="s">
        <v>189</v>
      </c>
      <c r="D4287" s="3">
        <v>270.0</v>
      </c>
      <c r="E4287" s="3">
        <v>17.78</v>
      </c>
      <c r="F4287" s="3">
        <v>25.75</v>
      </c>
      <c r="G4287" s="3">
        <v>0.0</v>
      </c>
    </row>
    <row r="4288">
      <c r="A4288" s="3">
        <v>171798.0</v>
      </c>
      <c r="B4288" s="3" t="s">
        <v>4315</v>
      </c>
      <c r="C4288" s="3" t="s">
        <v>189</v>
      </c>
      <c r="D4288" s="3">
        <v>246.0</v>
      </c>
      <c r="E4288" s="3">
        <v>15.94</v>
      </c>
      <c r="F4288" s="3">
        <v>24.04</v>
      </c>
      <c r="G4288" s="3">
        <v>0.0</v>
      </c>
    </row>
    <row r="4289">
      <c r="A4289" s="3">
        <v>171799.0</v>
      </c>
      <c r="B4289" s="3" t="s">
        <v>4316</v>
      </c>
      <c r="C4289" s="3" t="s">
        <v>189</v>
      </c>
      <c r="D4289" s="3">
        <v>272.0</v>
      </c>
      <c r="E4289" s="3">
        <v>17.36</v>
      </c>
      <c r="F4289" s="3">
        <v>27.0</v>
      </c>
      <c r="G4289" s="3">
        <v>0.0</v>
      </c>
    </row>
    <row r="4290">
      <c r="A4290" s="3">
        <v>171800.0</v>
      </c>
      <c r="B4290" s="3" t="s">
        <v>4317</v>
      </c>
      <c r="C4290" s="3" t="s">
        <v>189</v>
      </c>
      <c r="D4290" s="3">
        <v>254.0</v>
      </c>
      <c r="E4290" s="3">
        <v>16.17</v>
      </c>
      <c r="F4290" s="3">
        <v>25.25</v>
      </c>
      <c r="G4290" s="3">
        <v>0.0</v>
      </c>
    </row>
    <row r="4291">
      <c r="A4291" s="3">
        <v>171801.0</v>
      </c>
      <c r="B4291" s="3" t="s">
        <v>4318</v>
      </c>
      <c r="C4291" s="3" t="s">
        <v>189</v>
      </c>
      <c r="D4291" s="3">
        <v>254.0</v>
      </c>
      <c r="E4291" s="3">
        <v>16.5</v>
      </c>
      <c r="F4291" s="3">
        <v>24.56</v>
      </c>
      <c r="G4291" s="3">
        <v>0.0</v>
      </c>
    </row>
    <row r="4292">
      <c r="A4292" s="3">
        <v>171802.0</v>
      </c>
      <c r="B4292" s="3" t="s">
        <v>4319</v>
      </c>
      <c r="C4292" s="3" t="s">
        <v>189</v>
      </c>
      <c r="D4292" s="3">
        <v>134.0</v>
      </c>
      <c r="E4292" s="3">
        <v>4.2</v>
      </c>
      <c r="F4292" s="3">
        <v>22.53</v>
      </c>
      <c r="G4292" s="3">
        <v>0.0</v>
      </c>
    </row>
    <row r="4293">
      <c r="A4293" s="3">
        <v>171803.0</v>
      </c>
      <c r="B4293" s="3" t="s">
        <v>4320</v>
      </c>
      <c r="C4293" s="3" t="s">
        <v>189</v>
      </c>
      <c r="D4293" s="3">
        <v>148.0</v>
      </c>
      <c r="E4293" s="3">
        <v>5.93</v>
      </c>
      <c r="F4293" s="3">
        <v>22.06</v>
      </c>
      <c r="G4293" s="3">
        <v>0.0</v>
      </c>
    </row>
    <row r="4294">
      <c r="A4294" s="3">
        <v>171804.0</v>
      </c>
      <c r="B4294" s="3" t="s">
        <v>4321</v>
      </c>
      <c r="C4294" s="3" t="s">
        <v>189</v>
      </c>
      <c r="D4294" s="3">
        <v>127.0</v>
      </c>
      <c r="E4294" s="3">
        <v>3.54</v>
      </c>
      <c r="F4294" s="3">
        <v>22.27</v>
      </c>
      <c r="G4294" s="3">
        <v>0.0</v>
      </c>
    </row>
    <row r="4295">
      <c r="A4295" s="3">
        <v>171805.0</v>
      </c>
      <c r="B4295" s="3" t="s">
        <v>4322</v>
      </c>
      <c r="C4295" s="3" t="s">
        <v>189</v>
      </c>
      <c r="D4295" s="3">
        <v>177.0</v>
      </c>
      <c r="E4295" s="3">
        <v>5.73</v>
      </c>
      <c r="F4295" s="3">
        <v>29.44</v>
      </c>
      <c r="G4295" s="3">
        <v>0.0</v>
      </c>
    </row>
    <row r="4296">
      <c r="A4296" s="3">
        <v>171806.0</v>
      </c>
      <c r="B4296" s="3" t="s">
        <v>4323</v>
      </c>
      <c r="C4296" s="3" t="s">
        <v>189</v>
      </c>
      <c r="D4296" s="3">
        <v>164.0</v>
      </c>
      <c r="E4296" s="3">
        <v>4.67</v>
      </c>
      <c r="F4296" s="3">
        <v>28.45</v>
      </c>
      <c r="G4296" s="3">
        <v>0.0</v>
      </c>
    </row>
    <row r="4297">
      <c r="A4297" s="3">
        <v>171807.0</v>
      </c>
      <c r="B4297" s="3" t="s">
        <v>4324</v>
      </c>
      <c r="C4297" s="3" t="s">
        <v>189</v>
      </c>
      <c r="D4297" s="3">
        <v>163.0</v>
      </c>
      <c r="E4297" s="3">
        <v>4.11</v>
      </c>
      <c r="F4297" s="3">
        <v>29.59</v>
      </c>
      <c r="G4297" s="3">
        <v>0.0</v>
      </c>
    </row>
    <row r="4298">
      <c r="A4298" s="3">
        <v>171808.0</v>
      </c>
      <c r="B4298" s="3" t="s">
        <v>4325</v>
      </c>
      <c r="C4298" s="3" t="s">
        <v>189</v>
      </c>
      <c r="D4298" s="3">
        <v>177.0</v>
      </c>
      <c r="E4298" s="3">
        <v>4.65</v>
      </c>
      <c r="F4298" s="3">
        <v>31.61</v>
      </c>
      <c r="G4298" s="3">
        <v>0.0</v>
      </c>
    </row>
    <row r="4299">
      <c r="A4299" s="3">
        <v>171809.0</v>
      </c>
      <c r="B4299" s="3" t="s">
        <v>4326</v>
      </c>
      <c r="C4299" s="3" t="s">
        <v>189</v>
      </c>
      <c r="D4299" s="3">
        <v>169.0</v>
      </c>
      <c r="E4299" s="3">
        <v>4.71</v>
      </c>
      <c r="F4299" s="3">
        <v>29.73</v>
      </c>
      <c r="G4299" s="3">
        <v>0.0</v>
      </c>
    </row>
    <row r="4300">
      <c r="A4300" s="3">
        <v>171810.0</v>
      </c>
      <c r="B4300" s="3" t="s">
        <v>4327</v>
      </c>
      <c r="C4300" s="3" t="s">
        <v>189</v>
      </c>
      <c r="D4300" s="3">
        <v>141.0</v>
      </c>
      <c r="E4300" s="3">
        <v>5.04</v>
      </c>
      <c r="F4300" s="3">
        <v>22.33</v>
      </c>
      <c r="G4300" s="3">
        <v>0.0</v>
      </c>
    </row>
    <row r="4301">
      <c r="A4301" s="3">
        <v>171811.0</v>
      </c>
      <c r="B4301" s="3" t="s">
        <v>4328</v>
      </c>
      <c r="C4301" s="3" t="s">
        <v>189</v>
      </c>
      <c r="D4301" s="3">
        <v>200.0</v>
      </c>
      <c r="E4301" s="3">
        <v>8.39</v>
      </c>
      <c r="F4301" s="3">
        <v>29.04</v>
      </c>
      <c r="G4301" s="3">
        <v>0.0</v>
      </c>
    </row>
    <row r="4302">
      <c r="A4302" s="3">
        <v>171812.0</v>
      </c>
      <c r="B4302" s="3" t="s">
        <v>4329</v>
      </c>
      <c r="C4302" s="3" t="s">
        <v>189</v>
      </c>
      <c r="D4302" s="3">
        <v>153.0</v>
      </c>
      <c r="E4302" s="3">
        <v>6.52</v>
      </c>
      <c r="F4302" s="3">
        <v>22.12</v>
      </c>
      <c r="G4302" s="3">
        <v>0.0</v>
      </c>
    </row>
    <row r="4303">
      <c r="A4303" s="3">
        <v>171813.0</v>
      </c>
      <c r="B4303" s="3" t="s">
        <v>4330</v>
      </c>
      <c r="C4303" s="3" t="s">
        <v>189</v>
      </c>
      <c r="D4303" s="3">
        <v>189.0</v>
      </c>
      <c r="E4303" s="3">
        <v>7.09</v>
      </c>
      <c r="F4303" s="3">
        <v>29.3</v>
      </c>
      <c r="G4303" s="3">
        <v>0.0</v>
      </c>
    </row>
    <row r="4304">
      <c r="A4304" s="3">
        <v>171814.0</v>
      </c>
      <c r="B4304" s="3" t="s">
        <v>4331</v>
      </c>
      <c r="C4304" s="3" t="s">
        <v>189</v>
      </c>
      <c r="D4304" s="3">
        <v>138.0</v>
      </c>
      <c r="E4304" s="3">
        <v>5.15</v>
      </c>
      <c r="F4304" s="3">
        <v>22.93</v>
      </c>
      <c r="G4304" s="3">
        <v>0.0</v>
      </c>
    </row>
    <row r="4305">
      <c r="A4305" s="3">
        <v>171815.0</v>
      </c>
      <c r="B4305" s="3" t="s">
        <v>4332</v>
      </c>
      <c r="C4305" s="3" t="s">
        <v>189</v>
      </c>
      <c r="D4305" s="3">
        <v>185.0</v>
      </c>
      <c r="E4305" s="3">
        <v>5.45</v>
      </c>
      <c r="F4305" s="3">
        <v>31.82</v>
      </c>
      <c r="G4305" s="3">
        <v>0.0</v>
      </c>
    </row>
    <row r="4306">
      <c r="A4306" s="3">
        <v>171816.0</v>
      </c>
      <c r="B4306" s="3" t="s">
        <v>4333</v>
      </c>
      <c r="C4306" s="3" t="s">
        <v>189</v>
      </c>
      <c r="D4306" s="3">
        <v>135.0</v>
      </c>
      <c r="E4306" s="3">
        <v>4.09</v>
      </c>
      <c r="F4306" s="3">
        <v>22.91</v>
      </c>
      <c r="G4306" s="3">
        <v>0.0</v>
      </c>
    </row>
    <row r="4307">
      <c r="A4307" s="3">
        <v>171817.0</v>
      </c>
      <c r="B4307" s="3" t="s">
        <v>4334</v>
      </c>
      <c r="C4307" s="3" t="s">
        <v>189</v>
      </c>
      <c r="D4307" s="3">
        <v>224.0</v>
      </c>
      <c r="E4307" s="3">
        <v>8.37</v>
      </c>
      <c r="F4307" s="3">
        <v>34.72</v>
      </c>
      <c r="G4307" s="3">
        <v>0.0</v>
      </c>
    </row>
    <row r="4308">
      <c r="A4308" s="3">
        <v>171818.0</v>
      </c>
      <c r="B4308" s="3" t="s">
        <v>4335</v>
      </c>
      <c r="C4308" s="3" t="s">
        <v>189</v>
      </c>
      <c r="D4308" s="3">
        <v>203.0</v>
      </c>
      <c r="E4308" s="3">
        <v>6.79</v>
      </c>
      <c r="F4308" s="3">
        <v>33.13</v>
      </c>
      <c r="G4308" s="3">
        <v>0.0</v>
      </c>
    </row>
    <row r="4309">
      <c r="A4309" s="3">
        <v>171819.0</v>
      </c>
      <c r="B4309" s="3" t="s">
        <v>4336</v>
      </c>
      <c r="C4309" s="3" t="s">
        <v>189</v>
      </c>
      <c r="D4309" s="3">
        <v>128.0</v>
      </c>
      <c r="E4309" s="3">
        <v>3.38</v>
      </c>
      <c r="F4309" s="3">
        <v>22.88</v>
      </c>
      <c r="G4309" s="3">
        <v>0.0</v>
      </c>
    </row>
    <row r="4310">
      <c r="A4310" s="3">
        <v>171820.0</v>
      </c>
      <c r="B4310" s="3" t="s">
        <v>4337</v>
      </c>
      <c r="C4310" s="3" t="s">
        <v>189</v>
      </c>
      <c r="D4310" s="3">
        <v>140.0</v>
      </c>
      <c r="E4310" s="3">
        <v>4.78</v>
      </c>
      <c r="F4310" s="3">
        <v>22.69</v>
      </c>
      <c r="G4310" s="3">
        <v>0.0</v>
      </c>
    </row>
    <row r="4311">
      <c r="A4311" s="3">
        <v>171821.0</v>
      </c>
      <c r="B4311" s="3" t="s">
        <v>4338</v>
      </c>
      <c r="C4311" s="3" t="s">
        <v>225</v>
      </c>
      <c r="D4311" s="3">
        <v>32.0</v>
      </c>
      <c r="E4311" s="3">
        <v>0.26</v>
      </c>
      <c r="F4311" s="3">
        <v>2.08</v>
      </c>
      <c r="G4311" s="3">
        <v>5.25</v>
      </c>
    </row>
    <row r="4312">
      <c r="A4312" s="3">
        <v>171822.0</v>
      </c>
      <c r="B4312" s="3" t="s">
        <v>4339</v>
      </c>
      <c r="C4312" s="3" t="s">
        <v>225</v>
      </c>
      <c r="D4312" s="3">
        <v>350.0</v>
      </c>
      <c r="E4312" s="3">
        <v>2.5</v>
      </c>
      <c r="F4312" s="3">
        <v>10.89</v>
      </c>
      <c r="G4312" s="3">
        <v>70.95</v>
      </c>
    </row>
    <row r="4313">
      <c r="A4313" s="3">
        <v>171823.0</v>
      </c>
      <c r="B4313" s="3" t="s">
        <v>4340</v>
      </c>
      <c r="C4313" s="3" t="s">
        <v>225</v>
      </c>
      <c r="D4313" s="3">
        <v>245.0</v>
      </c>
      <c r="E4313" s="3">
        <v>0.13</v>
      </c>
      <c r="F4313" s="3">
        <v>0.36</v>
      </c>
      <c r="G4313" s="3">
        <v>60.66</v>
      </c>
    </row>
    <row r="4314">
      <c r="A4314" s="3">
        <v>171824.0</v>
      </c>
      <c r="B4314" s="3" t="s">
        <v>4341</v>
      </c>
      <c r="C4314" s="3" t="s">
        <v>225</v>
      </c>
      <c r="D4314" s="3">
        <v>38.0</v>
      </c>
      <c r="E4314" s="3">
        <v>0.89</v>
      </c>
      <c r="F4314" s="3">
        <v>1.13</v>
      </c>
      <c r="G4314" s="3">
        <v>6.36</v>
      </c>
    </row>
    <row r="4315">
      <c r="A4315" s="3">
        <v>171825.0</v>
      </c>
      <c r="B4315" s="3" t="s">
        <v>4342</v>
      </c>
      <c r="C4315" s="3" t="s">
        <v>225</v>
      </c>
      <c r="D4315" s="3">
        <v>95.0</v>
      </c>
      <c r="E4315" s="3">
        <v>0.23</v>
      </c>
      <c r="F4315" s="3">
        <v>1.25</v>
      </c>
      <c r="G4315" s="3">
        <v>22.04</v>
      </c>
    </row>
    <row r="4316">
      <c r="A4316" s="3">
        <v>171826.0</v>
      </c>
      <c r="B4316" s="3" t="s">
        <v>4343</v>
      </c>
      <c r="C4316" s="3" t="s">
        <v>225</v>
      </c>
      <c r="D4316" s="3">
        <v>211.0</v>
      </c>
      <c r="E4316" s="3">
        <v>16.7</v>
      </c>
      <c r="F4316" s="3">
        <v>1.0</v>
      </c>
      <c r="G4316" s="3">
        <v>13.3</v>
      </c>
    </row>
    <row r="4317">
      <c r="A4317" s="3">
        <v>171827.0</v>
      </c>
      <c r="B4317" s="3" t="s">
        <v>4344</v>
      </c>
      <c r="C4317" s="3" t="s">
        <v>225</v>
      </c>
      <c r="D4317" s="3">
        <v>192.0</v>
      </c>
      <c r="E4317" s="3">
        <v>0.43</v>
      </c>
      <c r="F4317" s="3">
        <v>0.95</v>
      </c>
      <c r="G4317" s="3">
        <v>46.08</v>
      </c>
    </row>
    <row r="4318">
      <c r="A4318" s="3">
        <v>171828.0</v>
      </c>
      <c r="B4318" s="3" t="s">
        <v>4345</v>
      </c>
      <c r="C4318" s="3" t="s">
        <v>225</v>
      </c>
      <c r="D4318" s="3">
        <v>170.0</v>
      </c>
      <c r="E4318" s="3">
        <v>0.67</v>
      </c>
      <c r="F4318" s="3">
        <v>0.91</v>
      </c>
      <c r="G4318" s="3">
        <v>39.95</v>
      </c>
    </row>
    <row r="4319">
      <c r="A4319" s="3">
        <v>171829.0</v>
      </c>
      <c r="B4319" s="3" t="s">
        <v>4346</v>
      </c>
      <c r="C4319" s="3" t="s">
        <v>225</v>
      </c>
      <c r="D4319" s="3">
        <v>160.0</v>
      </c>
      <c r="E4319" s="3">
        <v>0.52</v>
      </c>
      <c r="F4319" s="3">
        <v>1.0</v>
      </c>
      <c r="G4319" s="3">
        <v>37.92</v>
      </c>
    </row>
    <row r="4320">
      <c r="A4320" s="3">
        <v>171830.0</v>
      </c>
      <c r="B4320" s="3" t="s">
        <v>4347</v>
      </c>
      <c r="C4320" s="3" t="s">
        <v>225</v>
      </c>
      <c r="D4320" s="3">
        <v>132.0</v>
      </c>
      <c r="E4320" s="3">
        <v>1.41</v>
      </c>
      <c r="F4320" s="3">
        <v>0.44</v>
      </c>
      <c r="G4320" s="3">
        <v>29.45</v>
      </c>
    </row>
    <row r="4321">
      <c r="A4321" s="3">
        <v>171831.0</v>
      </c>
      <c r="B4321" s="3" t="s">
        <v>4348</v>
      </c>
      <c r="C4321" s="3" t="s">
        <v>225</v>
      </c>
      <c r="D4321" s="3">
        <v>292.0</v>
      </c>
      <c r="E4321" s="3">
        <v>10.9</v>
      </c>
      <c r="F4321" s="3">
        <v>2.23</v>
      </c>
      <c r="G4321" s="3">
        <v>46.13</v>
      </c>
    </row>
    <row r="4322">
      <c r="A4322" s="3">
        <v>171832.0</v>
      </c>
      <c r="B4322" s="3" t="s">
        <v>4349</v>
      </c>
      <c r="C4322" s="3" t="s">
        <v>225</v>
      </c>
      <c r="D4322" s="3">
        <v>119.0</v>
      </c>
      <c r="E4322" s="3">
        <v>3.7</v>
      </c>
      <c r="F4322" s="3">
        <v>5.44</v>
      </c>
      <c r="G4322" s="3">
        <v>15.89</v>
      </c>
    </row>
    <row r="4323">
      <c r="A4323" s="3">
        <v>171833.0</v>
      </c>
      <c r="B4323" s="3" t="s">
        <v>4350</v>
      </c>
      <c r="C4323" s="3" t="s">
        <v>225</v>
      </c>
      <c r="D4323" s="3">
        <v>503.0</v>
      </c>
      <c r="E4323" s="3">
        <v>50.89</v>
      </c>
      <c r="F4323" s="3">
        <v>1.09</v>
      </c>
      <c r="G4323" s="3">
        <v>10.05</v>
      </c>
    </row>
    <row r="4324">
      <c r="A4324" s="3">
        <v>171834.0</v>
      </c>
      <c r="B4324" s="3" t="s">
        <v>4351</v>
      </c>
      <c r="C4324" s="3" t="s">
        <v>225</v>
      </c>
      <c r="D4324" s="3">
        <v>119.0</v>
      </c>
      <c r="E4324" s="3">
        <v>3.7</v>
      </c>
      <c r="F4324" s="3">
        <v>5.44</v>
      </c>
      <c r="G4324" s="3">
        <v>15.89</v>
      </c>
    </row>
    <row r="4325">
      <c r="A4325" s="3">
        <v>171835.0</v>
      </c>
      <c r="B4325" s="3" t="s">
        <v>4352</v>
      </c>
      <c r="C4325" s="3" t="s">
        <v>8</v>
      </c>
      <c r="D4325" s="3">
        <v>489.0</v>
      </c>
      <c r="E4325" s="3">
        <v>25.8</v>
      </c>
      <c r="F4325" s="3">
        <v>3.5</v>
      </c>
      <c r="G4325" s="3">
        <v>64.1</v>
      </c>
    </row>
    <row r="4326">
      <c r="A4326" s="3">
        <v>171836.0</v>
      </c>
      <c r="B4326" s="3" t="s">
        <v>4353</v>
      </c>
      <c r="C4326" s="3" t="s">
        <v>8</v>
      </c>
      <c r="D4326" s="3">
        <v>562.0</v>
      </c>
      <c r="E4326" s="3">
        <v>35.3</v>
      </c>
      <c r="F4326" s="3">
        <v>8.1</v>
      </c>
      <c r="G4326" s="3">
        <v>52.9</v>
      </c>
    </row>
    <row r="4327">
      <c r="A4327" s="3">
        <v>171837.0</v>
      </c>
      <c r="B4327" s="3" t="s">
        <v>4354</v>
      </c>
      <c r="C4327" s="3" t="s">
        <v>8</v>
      </c>
      <c r="D4327" s="3">
        <v>509.0</v>
      </c>
      <c r="E4327" s="3">
        <v>24.1</v>
      </c>
      <c r="F4327" s="3">
        <v>3.0</v>
      </c>
      <c r="G4327" s="3">
        <v>70.09</v>
      </c>
    </row>
    <row r="4328">
      <c r="A4328" s="3">
        <v>171838.0</v>
      </c>
      <c r="B4328" s="3" t="s">
        <v>4355</v>
      </c>
      <c r="C4328" s="3" t="s">
        <v>8</v>
      </c>
      <c r="D4328" s="3">
        <v>482.0</v>
      </c>
      <c r="E4328" s="3">
        <v>20.4</v>
      </c>
      <c r="F4328" s="3">
        <v>7.1</v>
      </c>
      <c r="G4328" s="3">
        <v>67.6</v>
      </c>
    </row>
    <row r="4329">
      <c r="A4329" s="3">
        <v>171839.0</v>
      </c>
      <c r="B4329" s="3" t="s">
        <v>4356</v>
      </c>
      <c r="C4329" s="3" t="s">
        <v>8</v>
      </c>
      <c r="D4329" s="3">
        <v>412.0</v>
      </c>
      <c r="E4329" s="3">
        <v>11.14</v>
      </c>
      <c r="F4329" s="3">
        <v>3.71</v>
      </c>
      <c r="G4329" s="3">
        <v>74.3</v>
      </c>
    </row>
    <row r="4330">
      <c r="A4330" s="3">
        <v>171840.0</v>
      </c>
      <c r="B4330" s="3" t="s">
        <v>4357</v>
      </c>
      <c r="C4330" s="3" t="s">
        <v>8</v>
      </c>
      <c r="D4330" s="3">
        <v>345.0</v>
      </c>
      <c r="E4330" s="3">
        <v>9.68</v>
      </c>
      <c r="F4330" s="3">
        <v>2.77</v>
      </c>
      <c r="G4330" s="3">
        <v>61.58</v>
      </c>
    </row>
    <row r="4331">
      <c r="A4331" s="3">
        <v>171841.0</v>
      </c>
      <c r="B4331" s="3" t="s">
        <v>4358</v>
      </c>
      <c r="C4331" s="3" t="s">
        <v>8</v>
      </c>
      <c r="D4331" s="3">
        <v>436.0</v>
      </c>
      <c r="E4331" s="3">
        <v>13.24</v>
      </c>
      <c r="F4331" s="3">
        <v>2.94</v>
      </c>
      <c r="G4331" s="3">
        <v>76.17</v>
      </c>
    </row>
    <row r="4332">
      <c r="A4332" s="3">
        <v>171842.0</v>
      </c>
      <c r="B4332" s="3" t="s">
        <v>4359</v>
      </c>
      <c r="C4332" s="3" t="s">
        <v>8</v>
      </c>
      <c r="D4332" s="3">
        <v>398.0</v>
      </c>
      <c r="E4332" s="3">
        <v>18.29</v>
      </c>
      <c r="F4332" s="3">
        <v>2.61</v>
      </c>
      <c r="G4332" s="3">
        <v>55.62</v>
      </c>
    </row>
    <row r="4333">
      <c r="A4333" s="3">
        <v>171843.0</v>
      </c>
      <c r="B4333" s="3" t="s">
        <v>4360</v>
      </c>
      <c r="C4333" s="3" t="s">
        <v>8</v>
      </c>
      <c r="D4333" s="3">
        <v>523.0</v>
      </c>
      <c r="E4333" s="3">
        <v>31.03</v>
      </c>
      <c r="F4333" s="3">
        <v>10.34</v>
      </c>
      <c r="G4333" s="3">
        <v>50.52</v>
      </c>
    </row>
    <row r="4334">
      <c r="A4334" s="3">
        <v>171844.0</v>
      </c>
      <c r="B4334" s="3" t="s">
        <v>4361</v>
      </c>
      <c r="C4334" s="3" t="s">
        <v>8</v>
      </c>
      <c r="D4334" s="3">
        <v>297.0</v>
      </c>
      <c r="E4334" s="3">
        <v>7.45</v>
      </c>
      <c r="F4334" s="3">
        <v>11.25</v>
      </c>
      <c r="G4334" s="3">
        <v>46.36</v>
      </c>
    </row>
    <row r="4335">
      <c r="A4335" s="3">
        <v>171845.0</v>
      </c>
      <c r="B4335" s="3" t="s">
        <v>4362</v>
      </c>
      <c r="C4335" s="3" t="s">
        <v>8</v>
      </c>
      <c r="D4335" s="3">
        <v>291.0</v>
      </c>
      <c r="E4335" s="3">
        <v>5.65</v>
      </c>
      <c r="F4335" s="3">
        <v>9.62</v>
      </c>
      <c r="G4335" s="3">
        <v>50.43</v>
      </c>
    </row>
    <row r="4336">
      <c r="A4336" s="3">
        <v>171846.0</v>
      </c>
      <c r="B4336" s="3" t="s">
        <v>4363</v>
      </c>
      <c r="C4336" s="3" t="s">
        <v>8</v>
      </c>
      <c r="D4336" s="3">
        <v>463.0</v>
      </c>
      <c r="E4336" s="3">
        <v>17.84</v>
      </c>
      <c r="F4336" s="3">
        <v>7.29</v>
      </c>
      <c r="G4336" s="3">
        <v>68.37</v>
      </c>
    </row>
    <row r="4337">
      <c r="A4337" s="3">
        <v>171847.0</v>
      </c>
      <c r="B4337" s="3" t="s">
        <v>4364</v>
      </c>
      <c r="C4337" s="3" t="s">
        <v>8</v>
      </c>
      <c r="D4337" s="3">
        <v>460.0</v>
      </c>
      <c r="E4337" s="3">
        <v>22.55</v>
      </c>
      <c r="F4337" s="3">
        <v>3.02</v>
      </c>
      <c r="G4337" s="3">
        <v>61.22</v>
      </c>
    </row>
    <row r="4338">
      <c r="A4338" s="3">
        <v>171848.0</v>
      </c>
      <c r="B4338" s="3" t="s">
        <v>4365</v>
      </c>
      <c r="C4338" s="3" t="s">
        <v>8</v>
      </c>
      <c r="D4338" s="3">
        <v>437.0</v>
      </c>
      <c r="E4338" s="3">
        <v>16.67</v>
      </c>
      <c r="F4338" s="3">
        <v>8.33</v>
      </c>
      <c r="G4338" s="3">
        <v>63.49</v>
      </c>
    </row>
    <row r="4339">
      <c r="A4339" s="3">
        <v>171849.0</v>
      </c>
      <c r="B4339" s="3" t="s">
        <v>4366</v>
      </c>
      <c r="C4339" s="3" t="s">
        <v>8</v>
      </c>
      <c r="D4339" s="3">
        <v>253.0</v>
      </c>
      <c r="E4339" s="3">
        <v>5.29</v>
      </c>
      <c r="F4339" s="3">
        <v>7.05</v>
      </c>
      <c r="G4339" s="3">
        <v>44.38</v>
      </c>
    </row>
    <row r="4340">
      <c r="A4340" s="3">
        <v>171850.0</v>
      </c>
      <c r="B4340" s="3" t="s">
        <v>4367</v>
      </c>
      <c r="C4340" s="3" t="s">
        <v>8</v>
      </c>
      <c r="D4340" s="3">
        <v>188.0</v>
      </c>
      <c r="E4340" s="3">
        <v>0.0</v>
      </c>
      <c r="F4340" s="3">
        <v>13.16</v>
      </c>
      <c r="G4340" s="3">
        <v>33.88</v>
      </c>
    </row>
    <row r="4341">
      <c r="A4341" s="3">
        <v>171851.0</v>
      </c>
      <c r="B4341" s="3" t="s">
        <v>4368</v>
      </c>
      <c r="C4341" s="3" t="s">
        <v>8</v>
      </c>
      <c r="D4341" s="3">
        <v>205.0</v>
      </c>
      <c r="E4341" s="3">
        <v>0.0</v>
      </c>
      <c r="F4341" s="3">
        <v>14.3</v>
      </c>
      <c r="G4341" s="3">
        <v>36.82</v>
      </c>
    </row>
    <row r="4342">
      <c r="A4342" s="3">
        <v>171852.0</v>
      </c>
      <c r="B4342" s="3" t="s">
        <v>4369</v>
      </c>
      <c r="C4342" s="3" t="s">
        <v>8</v>
      </c>
      <c r="D4342" s="3">
        <v>241.0</v>
      </c>
      <c r="E4342" s="3">
        <v>1.24</v>
      </c>
      <c r="F4342" s="3">
        <v>9.9</v>
      </c>
      <c r="G4342" s="3">
        <v>47.47</v>
      </c>
    </row>
    <row r="4343">
      <c r="A4343" s="3">
        <v>171853.0</v>
      </c>
      <c r="B4343" s="3" t="s">
        <v>4370</v>
      </c>
      <c r="C4343" s="3" t="s">
        <v>8</v>
      </c>
      <c r="D4343" s="3">
        <v>350.0</v>
      </c>
      <c r="E4343" s="3">
        <v>1.32</v>
      </c>
      <c r="F4343" s="3">
        <v>10.53</v>
      </c>
      <c r="G4343" s="3">
        <v>74.11</v>
      </c>
    </row>
    <row r="4344">
      <c r="A4344" s="3">
        <v>171854.0</v>
      </c>
      <c r="B4344" s="3" t="s">
        <v>4371</v>
      </c>
      <c r="C4344" s="3" t="s">
        <v>8</v>
      </c>
      <c r="D4344" s="3">
        <v>442.0</v>
      </c>
      <c r="E4344" s="3">
        <v>16.13</v>
      </c>
      <c r="F4344" s="3">
        <v>6.45</v>
      </c>
      <c r="G4344" s="3">
        <v>67.66</v>
      </c>
    </row>
    <row r="4345">
      <c r="A4345" s="3">
        <v>171855.0</v>
      </c>
      <c r="B4345" s="3" t="s">
        <v>4372</v>
      </c>
      <c r="C4345" s="3" t="s">
        <v>8</v>
      </c>
      <c r="D4345" s="3">
        <v>465.0</v>
      </c>
      <c r="E4345" s="3">
        <v>21.18</v>
      </c>
      <c r="F4345" s="3">
        <v>14.12</v>
      </c>
      <c r="G4345" s="3">
        <v>54.59</v>
      </c>
    </row>
    <row r="4346">
      <c r="A4346" s="3">
        <v>171856.0</v>
      </c>
      <c r="B4346" s="3" t="s">
        <v>4373</v>
      </c>
      <c r="C4346" s="3" t="s">
        <v>8</v>
      </c>
      <c r="D4346" s="3">
        <v>384.0</v>
      </c>
      <c r="E4346" s="3">
        <v>7.14</v>
      </c>
      <c r="F4346" s="3">
        <v>7.14</v>
      </c>
      <c r="G4346" s="3">
        <v>72.81</v>
      </c>
    </row>
    <row r="4347">
      <c r="A4347" s="3">
        <v>171857.0</v>
      </c>
      <c r="B4347" s="3" t="s">
        <v>4374</v>
      </c>
      <c r="C4347" s="3" t="s">
        <v>8</v>
      </c>
      <c r="D4347" s="3">
        <v>474.0</v>
      </c>
      <c r="E4347" s="3">
        <v>17.89</v>
      </c>
      <c r="F4347" s="3">
        <v>2.19</v>
      </c>
      <c r="G4347" s="3">
        <v>76.03</v>
      </c>
    </row>
    <row r="4348">
      <c r="A4348" s="3">
        <v>171858.0</v>
      </c>
      <c r="B4348" s="3" t="s">
        <v>4375</v>
      </c>
      <c r="C4348" s="3" t="s">
        <v>8</v>
      </c>
      <c r="D4348" s="3">
        <v>541.0</v>
      </c>
      <c r="E4348" s="3">
        <v>30.42</v>
      </c>
      <c r="F4348" s="3">
        <v>4.06</v>
      </c>
      <c r="G4348" s="3">
        <v>62.82</v>
      </c>
    </row>
    <row r="4349">
      <c r="A4349" s="3">
        <v>171859.0</v>
      </c>
      <c r="B4349" s="3" t="s">
        <v>4376</v>
      </c>
      <c r="C4349" s="3" t="s">
        <v>8</v>
      </c>
      <c r="D4349" s="3">
        <v>515.0</v>
      </c>
      <c r="E4349" s="3">
        <v>24.18</v>
      </c>
      <c r="F4349" s="3">
        <v>0.0</v>
      </c>
      <c r="G4349" s="3">
        <v>74.39</v>
      </c>
    </row>
    <row r="4350">
      <c r="A4350" s="3">
        <v>171860.0</v>
      </c>
      <c r="B4350" s="3" t="s">
        <v>4377</v>
      </c>
      <c r="C4350" s="3" t="s">
        <v>8</v>
      </c>
      <c r="D4350" s="3">
        <v>493.0</v>
      </c>
      <c r="E4350" s="3">
        <v>20.47</v>
      </c>
      <c r="F4350" s="3">
        <v>2.66</v>
      </c>
      <c r="G4350" s="3">
        <v>74.61</v>
      </c>
    </row>
    <row r="4351">
      <c r="A4351" s="3">
        <v>171861.0</v>
      </c>
      <c r="B4351" s="3" t="s">
        <v>4378</v>
      </c>
      <c r="C4351" s="3" t="s">
        <v>8</v>
      </c>
      <c r="D4351" s="3">
        <v>310.0</v>
      </c>
      <c r="E4351" s="3">
        <v>6.4</v>
      </c>
      <c r="F4351" s="3">
        <v>7.99</v>
      </c>
      <c r="G4351" s="3">
        <v>55.1</v>
      </c>
    </row>
    <row r="4352">
      <c r="A4352" s="3">
        <v>171862.0</v>
      </c>
      <c r="B4352" s="3" t="s">
        <v>4379</v>
      </c>
      <c r="C4352" s="3" t="s">
        <v>8</v>
      </c>
      <c r="D4352" s="3">
        <v>239.0</v>
      </c>
      <c r="E4352" s="3">
        <v>2.65</v>
      </c>
      <c r="F4352" s="3">
        <v>3.34</v>
      </c>
      <c r="G4352" s="3">
        <v>50.47</v>
      </c>
    </row>
    <row r="4353">
      <c r="A4353" s="3">
        <v>171863.0</v>
      </c>
      <c r="B4353" s="3" t="s">
        <v>4380</v>
      </c>
      <c r="C4353" s="3" t="s">
        <v>8</v>
      </c>
      <c r="D4353" s="3">
        <v>257.0</v>
      </c>
      <c r="E4353" s="3">
        <v>8.2</v>
      </c>
      <c r="F4353" s="3">
        <v>5.65</v>
      </c>
      <c r="G4353" s="3">
        <v>40.24</v>
      </c>
    </row>
    <row r="4354">
      <c r="A4354" s="3">
        <v>171864.0</v>
      </c>
      <c r="B4354" s="3" t="s">
        <v>4381</v>
      </c>
      <c r="C4354" s="3" t="s">
        <v>8</v>
      </c>
      <c r="D4354" s="3">
        <v>329.0</v>
      </c>
      <c r="E4354" s="3">
        <v>11.6</v>
      </c>
      <c r="F4354" s="3">
        <v>11.8</v>
      </c>
      <c r="G4354" s="3">
        <v>44.29</v>
      </c>
    </row>
    <row r="4355">
      <c r="A4355" s="3">
        <v>171865.0</v>
      </c>
      <c r="B4355" s="3" t="s">
        <v>4382</v>
      </c>
      <c r="C4355" s="3" t="s">
        <v>8</v>
      </c>
      <c r="D4355" s="3">
        <v>365.0</v>
      </c>
      <c r="E4355" s="3">
        <v>10.04</v>
      </c>
      <c r="F4355" s="3">
        <v>4.02</v>
      </c>
      <c r="G4355" s="3">
        <v>64.62</v>
      </c>
    </row>
    <row r="4356">
      <c r="A4356" s="3">
        <v>171866.0</v>
      </c>
      <c r="B4356" s="3" t="s">
        <v>4383</v>
      </c>
      <c r="C4356" s="3" t="s">
        <v>8</v>
      </c>
      <c r="D4356" s="3">
        <v>447.0</v>
      </c>
      <c r="E4356" s="3">
        <v>22.5</v>
      </c>
      <c r="F4356" s="3">
        <v>10.0</v>
      </c>
      <c r="G4356" s="3">
        <v>51.08</v>
      </c>
    </row>
    <row r="4357">
      <c r="A4357" s="3">
        <v>171867.0</v>
      </c>
      <c r="B4357" s="3" t="s">
        <v>4384</v>
      </c>
      <c r="C4357" s="3" t="s">
        <v>8</v>
      </c>
      <c r="D4357" s="3">
        <v>406.0</v>
      </c>
      <c r="E4357" s="3">
        <v>10.58</v>
      </c>
      <c r="F4357" s="3">
        <v>7.05</v>
      </c>
      <c r="G4357" s="3">
        <v>70.54</v>
      </c>
    </row>
    <row r="4358">
      <c r="A4358" s="3">
        <v>171868.0</v>
      </c>
      <c r="B4358" s="3" t="s">
        <v>4385</v>
      </c>
      <c r="C4358" s="3" t="s">
        <v>8</v>
      </c>
      <c r="D4358" s="3">
        <v>423.0</v>
      </c>
      <c r="E4358" s="3">
        <v>10.42</v>
      </c>
      <c r="F4358" s="3">
        <v>4.17</v>
      </c>
      <c r="G4358" s="3">
        <v>78.16</v>
      </c>
    </row>
    <row r="4359">
      <c r="A4359" s="3">
        <v>171869.0</v>
      </c>
      <c r="B4359" s="3" t="s">
        <v>4386</v>
      </c>
      <c r="C4359" s="3" t="s">
        <v>183</v>
      </c>
      <c r="D4359" s="3">
        <v>34.0</v>
      </c>
      <c r="E4359" s="3">
        <v>0.0</v>
      </c>
      <c r="F4359" s="3">
        <v>0.0</v>
      </c>
      <c r="G4359" s="3">
        <v>8.8</v>
      </c>
    </row>
    <row r="4360">
      <c r="A4360" s="3">
        <v>171870.0</v>
      </c>
      <c r="B4360" s="3" t="s">
        <v>4387</v>
      </c>
      <c r="C4360" s="3" t="s">
        <v>183</v>
      </c>
      <c r="D4360" s="3">
        <v>5.0</v>
      </c>
      <c r="E4360" s="3">
        <v>0.08</v>
      </c>
      <c r="F4360" s="3">
        <v>0.25</v>
      </c>
      <c r="G4360" s="3">
        <v>0.7</v>
      </c>
    </row>
    <row r="4361">
      <c r="A4361" s="3">
        <v>171871.0</v>
      </c>
      <c r="B4361" s="3" t="s">
        <v>4388</v>
      </c>
      <c r="C4361" s="3" t="s">
        <v>183</v>
      </c>
      <c r="D4361" s="3">
        <v>41.0</v>
      </c>
      <c r="E4361" s="3">
        <v>0.0</v>
      </c>
      <c r="F4361" s="3">
        <v>0.0</v>
      </c>
      <c r="G4361" s="3">
        <v>10.6</v>
      </c>
    </row>
    <row r="4362">
      <c r="A4362" s="3">
        <v>171872.0</v>
      </c>
      <c r="B4362" s="3" t="s">
        <v>4389</v>
      </c>
      <c r="C4362" s="3" t="s">
        <v>183</v>
      </c>
      <c r="D4362" s="3">
        <v>78.0</v>
      </c>
      <c r="E4362" s="3">
        <v>0.0</v>
      </c>
      <c r="F4362" s="3">
        <v>0.07</v>
      </c>
      <c r="G4362" s="3">
        <v>2.38</v>
      </c>
    </row>
    <row r="4363">
      <c r="A4363" s="3">
        <v>171873.0</v>
      </c>
      <c r="B4363" s="3" t="s">
        <v>4390</v>
      </c>
      <c r="C4363" s="3" t="s">
        <v>183</v>
      </c>
      <c r="D4363" s="3">
        <v>101.0</v>
      </c>
      <c r="E4363" s="3">
        <v>1.69</v>
      </c>
      <c r="F4363" s="3">
        <v>4.22</v>
      </c>
      <c r="G4363" s="3">
        <v>17.3</v>
      </c>
    </row>
    <row r="4364">
      <c r="A4364" s="3">
        <v>171874.0</v>
      </c>
      <c r="B4364" s="3" t="s">
        <v>4391</v>
      </c>
      <c r="C4364" s="3" t="s">
        <v>183</v>
      </c>
      <c r="D4364" s="3">
        <v>57.0</v>
      </c>
      <c r="E4364" s="3">
        <v>0.97</v>
      </c>
      <c r="F4364" s="3">
        <v>3.32</v>
      </c>
      <c r="G4364" s="3">
        <v>8.81</v>
      </c>
    </row>
    <row r="4365">
      <c r="A4365" s="3">
        <v>171875.0</v>
      </c>
      <c r="B4365" s="3" t="s">
        <v>4392</v>
      </c>
      <c r="C4365" s="3" t="s">
        <v>183</v>
      </c>
      <c r="D4365" s="3">
        <v>17.0</v>
      </c>
      <c r="E4365" s="3">
        <v>0.11</v>
      </c>
      <c r="F4365" s="3">
        <v>0.0</v>
      </c>
      <c r="G4365" s="3">
        <v>4.11</v>
      </c>
    </row>
    <row r="4366">
      <c r="A4366" s="3">
        <v>171876.0</v>
      </c>
      <c r="B4366" s="3" t="s">
        <v>4393</v>
      </c>
      <c r="C4366" s="3" t="s">
        <v>183</v>
      </c>
      <c r="D4366" s="3">
        <v>0.0</v>
      </c>
      <c r="E4366" s="3">
        <v>0.0</v>
      </c>
      <c r="F4366" s="3">
        <v>0.0</v>
      </c>
      <c r="G4366" s="3">
        <v>0.1</v>
      </c>
    </row>
    <row r="4367">
      <c r="A4367" s="3">
        <v>171877.0</v>
      </c>
      <c r="B4367" s="3" t="s">
        <v>4394</v>
      </c>
      <c r="C4367" s="3" t="s">
        <v>183</v>
      </c>
      <c r="D4367" s="3">
        <v>36.0</v>
      </c>
      <c r="E4367" s="3">
        <v>1.07</v>
      </c>
      <c r="F4367" s="3">
        <v>2.14</v>
      </c>
      <c r="G4367" s="3">
        <v>4.27</v>
      </c>
    </row>
    <row r="4368">
      <c r="A4368" s="3">
        <v>171878.0</v>
      </c>
      <c r="B4368" s="3" t="s">
        <v>4395</v>
      </c>
      <c r="C4368" s="3" t="s">
        <v>183</v>
      </c>
      <c r="D4368" s="3">
        <v>21.0</v>
      </c>
      <c r="E4368" s="3">
        <v>0.0</v>
      </c>
      <c r="F4368" s="3">
        <v>0.0</v>
      </c>
      <c r="G4368" s="3">
        <v>5.0</v>
      </c>
    </row>
    <row r="4369">
      <c r="A4369" s="3">
        <v>171879.0</v>
      </c>
      <c r="B4369" s="3" t="s">
        <v>4396</v>
      </c>
      <c r="C4369" s="3" t="s">
        <v>183</v>
      </c>
      <c r="D4369" s="3">
        <v>85.0</v>
      </c>
      <c r="E4369" s="3">
        <v>3.24</v>
      </c>
      <c r="F4369" s="3">
        <v>3.23</v>
      </c>
      <c r="G4369" s="3">
        <v>11.96</v>
      </c>
    </row>
    <row r="4370">
      <c r="A4370" s="3">
        <v>171880.0</v>
      </c>
      <c r="B4370" s="3" t="s">
        <v>4397</v>
      </c>
      <c r="C4370" s="3" t="s">
        <v>183</v>
      </c>
      <c r="D4370" s="3">
        <v>71.0</v>
      </c>
      <c r="E4370" s="3">
        <v>1.38</v>
      </c>
      <c r="F4370" s="3">
        <v>1.98</v>
      </c>
      <c r="G4370" s="3">
        <v>12.6</v>
      </c>
    </row>
    <row r="4371">
      <c r="A4371" s="3">
        <v>171881.0</v>
      </c>
      <c r="B4371" s="3" t="s">
        <v>4398</v>
      </c>
      <c r="C4371" s="3" t="s">
        <v>183</v>
      </c>
      <c r="D4371" s="3">
        <v>2.0</v>
      </c>
      <c r="E4371" s="3">
        <v>0.0</v>
      </c>
      <c r="F4371" s="3">
        <v>0.3</v>
      </c>
      <c r="G4371" s="3">
        <v>0.17</v>
      </c>
    </row>
    <row r="4372">
      <c r="A4372" s="3">
        <v>171882.0</v>
      </c>
      <c r="B4372" s="3" t="s">
        <v>4399</v>
      </c>
      <c r="C4372" s="3" t="s">
        <v>183</v>
      </c>
      <c r="D4372" s="3">
        <v>48.0</v>
      </c>
      <c r="E4372" s="3">
        <v>0.2</v>
      </c>
      <c r="F4372" s="3">
        <v>0.6</v>
      </c>
      <c r="G4372" s="3">
        <v>10.95</v>
      </c>
    </row>
    <row r="4373">
      <c r="A4373" s="3">
        <v>171883.0</v>
      </c>
      <c r="B4373" s="3" t="s">
        <v>4400</v>
      </c>
      <c r="C4373" s="3" t="s">
        <v>183</v>
      </c>
      <c r="D4373" s="3">
        <v>30.0</v>
      </c>
      <c r="E4373" s="3">
        <v>0.18</v>
      </c>
      <c r="F4373" s="3">
        <v>0.0</v>
      </c>
      <c r="G4373" s="3">
        <v>7.16</v>
      </c>
    </row>
    <row r="4374">
      <c r="A4374" s="3">
        <v>171884.0</v>
      </c>
      <c r="B4374" s="3" t="s">
        <v>4401</v>
      </c>
      <c r="C4374" s="3" t="s">
        <v>183</v>
      </c>
      <c r="D4374" s="3">
        <v>46.0</v>
      </c>
      <c r="E4374" s="3">
        <v>0.0</v>
      </c>
      <c r="F4374" s="3">
        <v>0.0</v>
      </c>
      <c r="G4374" s="3">
        <v>12.08</v>
      </c>
    </row>
    <row r="4375">
      <c r="A4375" s="3">
        <v>171885.0</v>
      </c>
      <c r="B4375" s="3" t="s">
        <v>4402</v>
      </c>
      <c r="C4375" s="3" t="s">
        <v>183</v>
      </c>
      <c r="D4375" s="3">
        <v>4.0</v>
      </c>
      <c r="E4375" s="3">
        <v>0.0</v>
      </c>
      <c r="F4375" s="3">
        <v>0.0</v>
      </c>
      <c r="G4375" s="3">
        <v>0.93</v>
      </c>
    </row>
    <row r="4376">
      <c r="A4376" s="3">
        <v>171886.0</v>
      </c>
      <c r="B4376" s="3" t="s">
        <v>4403</v>
      </c>
      <c r="C4376" s="3" t="s">
        <v>183</v>
      </c>
      <c r="D4376" s="3">
        <v>377.0</v>
      </c>
      <c r="E4376" s="3">
        <v>3.0</v>
      </c>
      <c r="F4376" s="3">
        <v>15.49</v>
      </c>
      <c r="G4376" s="3">
        <v>71.93</v>
      </c>
    </row>
    <row r="4377">
      <c r="A4377" s="3">
        <v>171887.0</v>
      </c>
      <c r="B4377" s="3" t="s">
        <v>4404</v>
      </c>
      <c r="C4377" s="3" t="s">
        <v>183</v>
      </c>
      <c r="D4377" s="3">
        <v>400.0</v>
      </c>
      <c r="E4377" s="3">
        <v>15.0</v>
      </c>
      <c r="F4377" s="3">
        <v>3.0</v>
      </c>
      <c r="G4377" s="3">
        <v>75.0</v>
      </c>
    </row>
    <row r="4378">
      <c r="A4378" s="3">
        <v>171888.0</v>
      </c>
      <c r="B4378" s="3" t="s">
        <v>4405</v>
      </c>
      <c r="C4378" s="3" t="s">
        <v>183</v>
      </c>
      <c r="D4378" s="3">
        <v>45.0</v>
      </c>
      <c r="E4378" s="3">
        <v>0.22</v>
      </c>
      <c r="F4378" s="3">
        <v>0.0</v>
      </c>
      <c r="G4378" s="3">
        <v>10.8</v>
      </c>
    </row>
    <row r="4379">
      <c r="A4379" s="3">
        <v>171889.0</v>
      </c>
      <c r="B4379" s="3" t="s">
        <v>4406</v>
      </c>
      <c r="C4379" s="3" t="s">
        <v>183</v>
      </c>
      <c r="D4379" s="3">
        <v>0.0</v>
      </c>
      <c r="E4379" s="3">
        <v>0.0</v>
      </c>
      <c r="F4379" s="3">
        <v>0.1</v>
      </c>
      <c r="G4379" s="3">
        <v>0.0</v>
      </c>
    </row>
    <row r="4380">
      <c r="A4380" s="3">
        <v>171890.0</v>
      </c>
      <c r="B4380" s="3" t="s">
        <v>4407</v>
      </c>
      <c r="C4380" s="3" t="s">
        <v>183</v>
      </c>
      <c r="D4380" s="3">
        <v>1.0</v>
      </c>
      <c r="E4380" s="3">
        <v>0.02</v>
      </c>
      <c r="F4380" s="3">
        <v>0.12</v>
      </c>
      <c r="G4380" s="3">
        <v>0.0</v>
      </c>
    </row>
    <row r="4381">
      <c r="A4381" s="3">
        <v>171891.0</v>
      </c>
      <c r="B4381" s="3" t="s">
        <v>4408</v>
      </c>
      <c r="C4381" s="3" t="s">
        <v>183</v>
      </c>
      <c r="D4381" s="3">
        <v>9.0</v>
      </c>
      <c r="E4381" s="3">
        <v>0.18</v>
      </c>
      <c r="F4381" s="3">
        <v>0.12</v>
      </c>
      <c r="G4381" s="3">
        <v>1.67</v>
      </c>
    </row>
    <row r="4382">
      <c r="A4382" s="3">
        <v>171892.0</v>
      </c>
      <c r="B4382" s="3" t="s">
        <v>4409</v>
      </c>
      <c r="C4382" s="3" t="s">
        <v>183</v>
      </c>
      <c r="D4382" s="3">
        <v>1.0</v>
      </c>
      <c r="E4382" s="3">
        <v>0.0</v>
      </c>
      <c r="F4382" s="3">
        <v>0.0</v>
      </c>
      <c r="G4382" s="3">
        <v>0.22</v>
      </c>
    </row>
    <row r="4383">
      <c r="A4383" s="3">
        <v>171893.0</v>
      </c>
      <c r="B4383" s="3" t="s">
        <v>4410</v>
      </c>
      <c r="C4383" s="3" t="s">
        <v>183</v>
      </c>
      <c r="D4383" s="3">
        <v>353.0</v>
      </c>
      <c r="E4383" s="3">
        <v>0.5</v>
      </c>
      <c r="F4383" s="3">
        <v>12.2</v>
      </c>
      <c r="G4383" s="3">
        <v>75.4</v>
      </c>
    </row>
    <row r="4384">
      <c r="A4384" s="3">
        <v>171894.0</v>
      </c>
      <c r="B4384" s="3" t="s">
        <v>4411</v>
      </c>
      <c r="C4384" s="3" t="s">
        <v>183</v>
      </c>
      <c r="D4384" s="3">
        <v>2.0</v>
      </c>
      <c r="E4384" s="3">
        <v>0.0</v>
      </c>
      <c r="F4384" s="3">
        <v>0.12</v>
      </c>
      <c r="G4384" s="3">
        <v>0.43</v>
      </c>
    </row>
    <row r="4385">
      <c r="A4385" s="3">
        <v>171895.0</v>
      </c>
      <c r="B4385" s="3" t="s">
        <v>4412</v>
      </c>
      <c r="C4385" s="3" t="s">
        <v>183</v>
      </c>
      <c r="D4385" s="3">
        <v>56.0</v>
      </c>
      <c r="E4385" s="3">
        <v>0.0</v>
      </c>
      <c r="F4385" s="3">
        <v>0.29</v>
      </c>
      <c r="G4385" s="3">
        <v>13.68</v>
      </c>
    </row>
    <row r="4386">
      <c r="A4386" s="3">
        <v>171896.0</v>
      </c>
      <c r="B4386" s="3" t="s">
        <v>4413</v>
      </c>
      <c r="C4386" s="3" t="s">
        <v>183</v>
      </c>
      <c r="D4386" s="3">
        <v>4.0</v>
      </c>
      <c r="E4386" s="3">
        <v>0.0</v>
      </c>
      <c r="F4386" s="3">
        <v>0.07</v>
      </c>
      <c r="G4386" s="3">
        <v>0.8</v>
      </c>
    </row>
    <row r="4387">
      <c r="A4387" s="3">
        <v>171897.0</v>
      </c>
      <c r="B4387" s="3" t="s">
        <v>4414</v>
      </c>
      <c r="C4387" s="3" t="s">
        <v>183</v>
      </c>
      <c r="D4387" s="3">
        <v>355.0</v>
      </c>
      <c r="E4387" s="3">
        <v>0.2</v>
      </c>
      <c r="F4387" s="3">
        <v>9.3</v>
      </c>
      <c r="G4387" s="3">
        <v>78.9</v>
      </c>
    </row>
    <row r="4388">
      <c r="A4388" s="3">
        <v>171898.0</v>
      </c>
      <c r="B4388" s="3" t="s">
        <v>4415</v>
      </c>
      <c r="C4388" s="3" t="s">
        <v>183</v>
      </c>
      <c r="D4388" s="3">
        <v>481.0</v>
      </c>
      <c r="E4388" s="3">
        <v>19.2</v>
      </c>
      <c r="F4388" s="3">
        <v>2.5</v>
      </c>
      <c r="G4388" s="3">
        <v>74.6</v>
      </c>
    </row>
    <row r="4389">
      <c r="A4389" s="3">
        <v>171899.0</v>
      </c>
      <c r="B4389" s="3" t="s">
        <v>4416</v>
      </c>
      <c r="C4389" s="3" t="s">
        <v>183</v>
      </c>
      <c r="D4389" s="3">
        <v>49.0</v>
      </c>
      <c r="E4389" s="3">
        <v>0.0</v>
      </c>
      <c r="F4389" s="3">
        <v>0.28</v>
      </c>
      <c r="G4389" s="3">
        <v>11.96</v>
      </c>
    </row>
    <row r="4390">
      <c r="A4390" s="3">
        <v>171900.0</v>
      </c>
      <c r="B4390" s="3" t="s">
        <v>4417</v>
      </c>
      <c r="C4390" s="3" t="s">
        <v>183</v>
      </c>
      <c r="D4390" s="3">
        <v>45.0</v>
      </c>
      <c r="E4390" s="3">
        <v>0.0</v>
      </c>
      <c r="F4390" s="3">
        <v>0.07</v>
      </c>
      <c r="G4390" s="3">
        <v>11.12</v>
      </c>
    </row>
    <row r="4391">
      <c r="A4391" s="3">
        <v>171901.0</v>
      </c>
      <c r="B4391" s="3" t="s">
        <v>4418</v>
      </c>
      <c r="C4391" s="3" t="s">
        <v>183</v>
      </c>
      <c r="D4391" s="3">
        <v>4.0</v>
      </c>
      <c r="E4391" s="3">
        <v>0.0</v>
      </c>
      <c r="F4391" s="3">
        <v>0.21</v>
      </c>
      <c r="G4391" s="3">
        <v>0.7</v>
      </c>
    </row>
    <row r="4392">
      <c r="A4392" s="3">
        <v>171902.0</v>
      </c>
      <c r="B4392" s="3" t="s">
        <v>4419</v>
      </c>
      <c r="C4392" s="3" t="s">
        <v>183</v>
      </c>
      <c r="D4392" s="3">
        <v>56.0</v>
      </c>
      <c r="E4392" s="3">
        <v>0.1</v>
      </c>
      <c r="F4392" s="3">
        <v>0.2</v>
      </c>
      <c r="G4392" s="3">
        <v>14.0</v>
      </c>
    </row>
    <row r="4393">
      <c r="A4393" s="3">
        <v>171903.0</v>
      </c>
      <c r="B4393" s="3" t="s">
        <v>4420</v>
      </c>
      <c r="C4393" s="3" t="s">
        <v>183</v>
      </c>
      <c r="D4393" s="3">
        <v>54.0</v>
      </c>
      <c r="E4393" s="3">
        <v>0.1</v>
      </c>
      <c r="F4393" s="3">
        <v>0.0</v>
      </c>
      <c r="G4393" s="3">
        <v>13.52</v>
      </c>
    </row>
    <row r="4394">
      <c r="A4394" s="3">
        <v>171904.0</v>
      </c>
      <c r="B4394" s="3" t="s">
        <v>4421</v>
      </c>
      <c r="C4394" s="3" t="s">
        <v>183</v>
      </c>
      <c r="D4394" s="3">
        <v>19.0</v>
      </c>
      <c r="E4394" s="3">
        <v>0.01</v>
      </c>
      <c r="F4394" s="3">
        <v>0.02</v>
      </c>
      <c r="G4394" s="3">
        <v>4.6</v>
      </c>
    </row>
    <row r="4395">
      <c r="A4395" s="3">
        <v>171905.0</v>
      </c>
      <c r="B4395" s="3" t="s">
        <v>4422</v>
      </c>
      <c r="C4395" s="3" t="s">
        <v>183</v>
      </c>
      <c r="D4395" s="3">
        <v>95.0</v>
      </c>
      <c r="E4395" s="3">
        <v>3.02</v>
      </c>
      <c r="F4395" s="3">
        <v>2.93</v>
      </c>
      <c r="G4395" s="3">
        <v>14.2</v>
      </c>
    </row>
    <row r="4396">
      <c r="A4396" s="3">
        <v>171906.0</v>
      </c>
      <c r="B4396" s="3" t="s">
        <v>4423</v>
      </c>
      <c r="C4396" s="3" t="s">
        <v>183</v>
      </c>
      <c r="D4396" s="3">
        <v>58.0</v>
      </c>
      <c r="E4396" s="3">
        <v>0.0</v>
      </c>
      <c r="F4396" s="3">
        <v>0.9</v>
      </c>
      <c r="G4396" s="3">
        <v>0.27</v>
      </c>
    </row>
    <row r="4397">
      <c r="A4397" s="3">
        <v>171907.0</v>
      </c>
      <c r="B4397" s="3" t="s">
        <v>4424</v>
      </c>
      <c r="C4397" s="3" t="s">
        <v>183</v>
      </c>
      <c r="D4397" s="3">
        <v>40.0</v>
      </c>
      <c r="E4397" s="3">
        <v>0.0</v>
      </c>
      <c r="F4397" s="3">
        <v>0.35</v>
      </c>
      <c r="G4397" s="3">
        <v>0.0</v>
      </c>
    </row>
    <row r="4398">
      <c r="A4398" s="3">
        <v>171908.0</v>
      </c>
      <c r="B4398" s="3" t="s">
        <v>4425</v>
      </c>
      <c r="C4398" s="3" t="s">
        <v>183</v>
      </c>
      <c r="D4398" s="3">
        <v>83.0</v>
      </c>
      <c r="E4398" s="3">
        <v>0.0</v>
      </c>
      <c r="F4398" s="3">
        <v>0.36</v>
      </c>
      <c r="G4398" s="3">
        <v>3.8</v>
      </c>
    </row>
    <row r="4399">
      <c r="A4399" s="3">
        <v>171909.0</v>
      </c>
      <c r="B4399" s="3" t="s">
        <v>4426</v>
      </c>
      <c r="C4399" s="3" t="s">
        <v>183</v>
      </c>
      <c r="D4399" s="3">
        <v>47.0</v>
      </c>
      <c r="E4399" s="3">
        <v>0.01</v>
      </c>
      <c r="F4399" s="3">
        <v>0.07</v>
      </c>
      <c r="G4399" s="3">
        <v>12.56</v>
      </c>
    </row>
    <row r="4400">
      <c r="A4400" s="3">
        <v>171910.0</v>
      </c>
      <c r="B4400" s="3" t="s">
        <v>4427</v>
      </c>
      <c r="C4400" s="3" t="s">
        <v>183</v>
      </c>
      <c r="D4400" s="3">
        <v>0.0</v>
      </c>
      <c r="E4400" s="3">
        <v>0.0</v>
      </c>
      <c r="F4400" s="3">
        <v>0.0</v>
      </c>
      <c r="G4400" s="3">
        <v>0.0</v>
      </c>
    </row>
    <row r="4401">
      <c r="A4401" s="3">
        <v>171911.0</v>
      </c>
      <c r="B4401" s="3" t="s">
        <v>4428</v>
      </c>
      <c r="C4401" s="3" t="s">
        <v>183</v>
      </c>
      <c r="D4401" s="3">
        <v>0.0</v>
      </c>
      <c r="E4401" s="3">
        <v>0.0</v>
      </c>
      <c r="F4401" s="3">
        <v>0.0</v>
      </c>
      <c r="G4401" s="3">
        <v>0.0</v>
      </c>
    </row>
    <row r="4402">
      <c r="A4402" s="3">
        <v>171912.0</v>
      </c>
      <c r="B4402" s="3" t="s">
        <v>4429</v>
      </c>
      <c r="C4402" s="3" t="s">
        <v>183</v>
      </c>
      <c r="D4402" s="3">
        <v>162.0</v>
      </c>
      <c r="E4402" s="3">
        <v>0.1</v>
      </c>
      <c r="F4402" s="3">
        <v>1.2</v>
      </c>
      <c r="G4402" s="3">
        <v>40.2</v>
      </c>
    </row>
    <row r="4403">
      <c r="A4403" s="3">
        <v>171913.0</v>
      </c>
      <c r="B4403" s="3" t="s">
        <v>4430</v>
      </c>
      <c r="C4403" s="3" t="s">
        <v>183</v>
      </c>
      <c r="D4403" s="3">
        <v>46.0</v>
      </c>
      <c r="E4403" s="3">
        <v>0.03</v>
      </c>
      <c r="F4403" s="3">
        <v>0.34</v>
      </c>
      <c r="G4403" s="3">
        <v>11.42</v>
      </c>
    </row>
    <row r="4404">
      <c r="A4404" s="3">
        <v>171914.0</v>
      </c>
      <c r="B4404" s="3" t="s">
        <v>4431</v>
      </c>
      <c r="C4404" s="3" t="s">
        <v>183</v>
      </c>
      <c r="D4404" s="3">
        <v>48.0</v>
      </c>
      <c r="E4404" s="3">
        <v>0.0</v>
      </c>
      <c r="F4404" s="3">
        <v>0.0</v>
      </c>
      <c r="G4404" s="3">
        <v>11.97</v>
      </c>
    </row>
    <row r="4405">
      <c r="A4405" s="3">
        <v>171915.0</v>
      </c>
      <c r="B4405" s="3" t="s">
        <v>4432</v>
      </c>
      <c r="C4405" s="3" t="s">
        <v>183</v>
      </c>
      <c r="D4405" s="3">
        <v>10.0</v>
      </c>
      <c r="E4405" s="3">
        <v>0.0</v>
      </c>
      <c r="F4405" s="3">
        <v>0.0</v>
      </c>
      <c r="G4405" s="3">
        <v>2.5</v>
      </c>
    </row>
    <row r="4406">
      <c r="A4406" s="3">
        <v>171916.0</v>
      </c>
      <c r="B4406" s="3" t="s">
        <v>4433</v>
      </c>
      <c r="C4406" s="3" t="s">
        <v>183</v>
      </c>
      <c r="D4406" s="3">
        <v>61.0</v>
      </c>
      <c r="E4406" s="3">
        <v>0.0</v>
      </c>
      <c r="F4406" s="3">
        <v>0.0</v>
      </c>
      <c r="G4406" s="3">
        <v>15.72</v>
      </c>
    </row>
    <row r="4407">
      <c r="A4407" s="3">
        <v>171917.0</v>
      </c>
      <c r="B4407" s="3" t="s">
        <v>4434</v>
      </c>
      <c r="C4407" s="3" t="s">
        <v>183</v>
      </c>
      <c r="D4407" s="3">
        <v>1.0</v>
      </c>
      <c r="E4407" s="3">
        <v>0.0</v>
      </c>
      <c r="F4407" s="3">
        <v>0.22</v>
      </c>
      <c r="G4407" s="3">
        <v>0.0</v>
      </c>
    </row>
    <row r="4408">
      <c r="A4408" s="3">
        <v>171918.0</v>
      </c>
      <c r="B4408" s="3" t="s">
        <v>4435</v>
      </c>
      <c r="C4408" s="3" t="s">
        <v>183</v>
      </c>
      <c r="D4408" s="3">
        <v>385.0</v>
      </c>
      <c r="E4408" s="3">
        <v>0.3</v>
      </c>
      <c r="F4408" s="3">
        <v>0.6</v>
      </c>
      <c r="G4408" s="3">
        <v>97.6</v>
      </c>
    </row>
    <row r="4409">
      <c r="A4409" s="3">
        <v>171919.0</v>
      </c>
      <c r="B4409" s="3" t="s">
        <v>4436</v>
      </c>
      <c r="C4409" s="3" t="s">
        <v>183</v>
      </c>
      <c r="D4409" s="3">
        <v>250.0</v>
      </c>
      <c r="E4409" s="3">
        <v>0.0</v>
      </c>
      <c r="F4409" s="3">
        <v>0.0</v>
      </c>
      <c r="G4409" s="3">
        <v>0.1</v>
      </c>
    </row>
    <row r="4410">
      <c r="A4410" s="3">
        <v>171920.0</v>
      </c>
      <c r="B4410" s="3" t="s">
        <v>4437</v>
      </c>
      <c r="C4410" s="3" t="s">
        <v>183</v>
      </c>
      <c r="D4410" s="3">
        <v>263.0</v>
      </c>
      <c r="E4410" s="3">
        <v>0.0</v>
      </c>
      <c r="F4410" s="3">
        <v>0.0</v>
      </c>
      <c r="G4410" s="3">
        <v>0.0</v>
      </c>
    </row>
    <row r="4411">
      <c r="A4411" s="3">
        <v>171921.0</v>
      </c>
      <c r="B4411" s="3" t="s">
        <v>4438</v>
      </c>
      <c r="C4411" s="3" t="s">
        <v>183</v>
      </c>
      <c r="D4411" s="3">
        <v>42.0</v>
      </c>
      <c r="E4411" s="3">
        <v>0.0</v>
      </c>
      <c r="F4411" s="3">
        <v>0.0</v>
      </c>
      <c r="G4411" s="3">
        <v>10.7</v>
      </c>
    </row>
    <row r="4412">
      <c r="A4412" s="3">
        <v>171922.0</v>
      </c>
      <c r="B4412" s="3" t="s">
        <v>4439</v>
      </c>
      <c r="C4412" s="3" t="s">
        <v>183</v>
      </c>
      <c r="D4412" s="3">
        <v>0.0</v>
      </c>
      <c r="E4412" s="3">
        <v>0.0</v>
      </c>
      <c r="F4412" s="3">
        <v>0.0</v>
      </c>
      <c r="G4412" s="3">
        <v>0.0</v>
      </c>
    </row>
    <row r="4413">
      <c r="A4413" s="3">
        <v>171923.0</v>
      </c>
      <c r="B4413" s="3" t="s">
        <v>4440</v>
      </c>
      <c r="C4413" s="3" t="s">
        <v>183</v>
      </c>
      <c r="D4413" s="3">
        <v>0.0</v>
      </c>
      <c r="E4413" s="3">
        <v>0.0</v>
      </c>
      <c r="F4413" s="3">
        <v>0.0</v>
      </c>
      <c r="G4413" s="3">
        <v>0.0</v>
      </c>
    </row>
    <row r="4414">
      <c r="A4414" s="3">
        <v>171924.0</v>
      </c>
      <c r="B4414" s="3" t="s">
        <v>4441</v>
      </c>
      <c r="C4414" s="3" t="s">
        <v>183</v>
      </c>
      <c r="D4414" s="3">
        <v>1.0</v>
      </c>
      <c r="E4414" s="3">
        <v>0.0</v>
      </c>
      <c r="F4414" s="3">
        <v>0.22</v>
      </c>
      <c r="G4414" s="3">
        <v>0.0</v>
      </c>
    </row>
    <row r="4415">
      <c r="A4415" s="3">
        <v>171925.0</v>
      </c>
      <c r="B4415" s="3" t="s">
        <v>4442</v>
      </c>
      <c r="C4415" s="3" t="s">
        <v>183</v>
      </c>
      <c r="D4415" s="3">
        <v>83.0</v>
      </c>
      <c r="E4415" s="3">
        <v>0.0</v>
      </c>
      <c r="F4415" s="3">
        <v>0.07</v>
      </c>
      <c r="G4415" s="3">
        <v>2.51</v>
      </c>
    </row>
    <row r="4416">
      <c r="A4416" s="3">
        <v>171926.0</v>
      </c>
      <c r="B4416" s="3" t="s">
        <v>4443</v>
      </c>
      <c r="C4416" s="3" t="s">
        <v>183</v>
      </c>
      <c r="D4416" s="3">
        <v>1.0</v>
      </c>
      <c r="E4416" s="3">
        <v>0.0</v>
      </c>
      <c r="F4416" s="3">
        <v>0.0</v>
      </c>
      <c r="G4416" s="3">
        <v>0.13</v>
      </c>
    </row>
    <row r="4417">
      <c r="A4417" s="3">
        <v>171927.0</v>
      </c>
      <c r="B4417" s="3" t="s">
        <v>4444</v>
      </c>
      <c r="C4417" s="3" t="s">
        <v>183</v>
      </c>
      <c r="D4417" s="3">
        <v>4.0</v>
      </c>
      <c r="E4417" s="3">
        <v>0.0</v>
      </c>
      <c r="F4417" s="3">
        <v>0.0</v>
      </c>
      <c r="G4417" s="3">
        <v>1.26</v>
      </c>
    </row>
    <row r="4418">
      <c r="A4418" s="3">
        <v>171928.0</v>
      </c>
      <c r="B4418" s="3" t="s">
        <v>4445</v>
      </c>
      <c r="C4418" s="3" t="s">
        <v>183</v>
      </c>
      <c r="D4418" s="3">
        <v>29.0</v>
      </c>
      <c r="E4418" s="3">
        <v>0.0</v>
      </c>
      <c r="F4418" s="3">
        <v>0.0</v>
      </c>
      <c r="G4418" s="3">
        <v>7.41</v>
      </c>
    </row>
    <row r="4419">
      <c r="A4419" s="3">
        <v>171929.0</v>
      </c>
      <c r="B4419" s="3" t="s">
        <v>4446</v>
      </c>
      <c r="C4419" s="3" t="s">
        <v>183</v>
      </c>
      <c r="D4419" s="3">
        <v>33.0</v>
      </c>
      <c r="E4419" s="3">
        <v>0.0</v>
      </c>
      <c r="F4419" s="3">
        <v>0.0</v>
      </c>
      <c r="G4419" s="3">
        <v>7.82</v>
      </c>
    </row>
    <row r="4420">
      <c r="A4420" s="3">
        <v>171930.0</v>
      </c>
      <c r="B4420" s="3" t="s">
        <v>4447</v>
      </c>
      <c r="C4420" s="3" t="s">
        <v>183</v>
      </c>
      <c r="D4420" s="3">
        <v>33.0</v>
      </c>
      <c r="E4420" s="3">
        <v>0.0</v>
      </c>
      <c r="F4420" s="3">
        <v>0.0</v>
      </c>
      <c r="G4420" s="3">
        <v>7.82</v>
      </c>
    </row>
    <row r="4421">
      <c r="A4421" s="3">
        <v>171931.0</v>
      </c>
      <c r="B4421" s="3" t="s">
        <v>4448</v>
      </c>
      <c r="C4421" s="3" t="s">
        <v>183</v>
      </c>
      <c r="D4421" s="3">
        <v>29.0</v>
      </c>
      <c r="E4421" s="3">
        <v>0.0</v>
      </c>
      <c r="F4421" s="3">
        <v>0.0</v>
      </c>
      <c r="G4421" s="3">
        <v>7.41</v>
      </c>
    </row>
    <row r="4422">
      <c r="A4422" s="3">
        <v>171932.0</v>
      </c>
      <c r="B4422" s="3" t="s">
        <v>4449</v>
      </c>
      <c r="C4422" s="3" t="s">
        <v>183</v>
      </c>
      <c r="D4422" s="3">
        <v>29.0</v>
      </c>
      <c r="E4422" s="3">
        <v>0.0</v>
      </c>
      <c r="F4422" s="3">
        <v>0.0</v>
      </c>
      <c r="G4422" s="3">
        <v>7.41</v>
      </c>
    </row>
    <row r="4423">
      <c r="A4423" s="3">
        <v>171933.0</v>
      </c>
      <c r="B4423" s="3" t="s">
        <v>4450</v>
      </c>
      <c r="C4423" s="3" t="s">
        <v>183</v>
      </c>
      <c r="D4423" s="3">
        <v>49.0</v>
      </c>
      <c r="E4423" s="3">
        <v>0.0</v>
      </c>
      <c r="F4423" s="3">
        <v>0.41</v>
      </c>
      <c r="G4423" s="3">
        <v>11.38</v>
      </c>
    </row>
    <row r="4424">
      <c r="A4424" s="3">
        <v>171934.0</v>
      </c>
      <c r="B4424" s="3" t="s">
        <v>4451</v>
      </c>
      <c r="C4424" s="3" t="s">
        <v>183</v>
      </c>
      <c r="D4424" s="3">
        <v>49.0</v>
      </c>
      <c r="E4424" s="3">
        <v>0.0</v>
      </c>
      <c r="F4424" s="3">
        <v>0.41</v>
      </c>
      <c r="G4424" s="3">
        <v>11.79</v>
      </c>
    </row>
    <row r="4425">
      <c r="A4425" s="3">
        <v>171935.0</v>
      </c>
      <c r="B4425" s="3" t="s">
        <v>4452</v>
      </c>
      <c r="C4425" s="3" t="s">
        <v>183</v>
      </c>
      <c r="D4425" s="3">
        <v>47.0</v>
      </c>
      <c r="E4425" s="3">
        <v>0.0</v>
      </c>
      <c r="F4425" s="3">
        <v>0.47</v>
      </c>
      <c r="G4425" s="3">
        <v>11.28</v>
      </c>
    </row>
    <row r="4426">
      <c r="A4426" s="3">
        <v>171936.0</v>
      </c>
      <c r="B4426" s="3" t="s">
        <v>4453</v>
      </c>
      <c r="C4426" s="3" t="s">
        <v>183</v>
      </c>
      <c r="D4426" s="3">
        <v>2.0</v>
      </c>
      <c r="E4426" s="3">
        <v>0.0</v>
      </c>
      <c r="F4426" s="3">
        <v>0.0</v>
      </c>
      <c r="G4426" s="3">
        <v>1.03</v>
      </c>
    </row>
    <row r="4427">
      <c r="A4427" s="3">
        <v>171937.0</v>
      </c>
      <c r="B4427" s="3" t="s">
        <v>4454</v>
      </c>
      <c r="C4427" s="3" t="s">
        <v>183</v>
      </c>
      <c r="D4427" s="3">
        <v>58.0</v>
      </c>
      <c r="E4427" s="3">
        <v>0.22</v>
      </c>
      <c r="F4427" s="3">
        <v>0.34</v>
      </c>
      <c r="G4427" s="3">
        <v>12.7</v>
      </c>
    </row>
    <row r="4428">
      <c r="A4428" s="3">
        <v>171938.0</v>
      </c>
      <c r="B4428" s="3" t="s">
        <v>4455</v>
      </c>
      <c r="C4428" s="3" t="s">
        <v>183</v>
      </c>
      <c r="D4428" s="3">
        <v>4.0</v>
      </c>
      <c r="E4428" s="3">
        <v>0.08</v>
      </c>
      <c r="F4428" s="3">
        <v>0.25</v>
      </c>
      <c r="G4428" s="3">
        <v>0.7</v>
      </c>
    </row>
    <row r="4429">
      <c r="A4429" s="3">
        <v>171939.0</v>
      </c>
      <c r="B4429" s="3" t="s">
        <v>4456</v>
      </c>
      <c r="C4429" s="3" t="s">
        <v>183</v>
      </c>
      <c r="D4429" s="3">
        <v>101.0</v>
      </c>
      <c r="E4429" s="3">
        <v>3.07</v>
      </c>
      <c r="F4429" s="3">
        <v>3.5</v>
      </c>
      <c r="G4429" s="3">
        <v>14.74</v>
      </c>
    </row>
    <row r="4430">
      <c r="A4430" s="3">
        <v>171940.0</v>
      </c>
      <c r="B4430" s="3" t="s">
        <v>4457</v>
      </c>
      <c r="C4430" s="3" t="s">
        <v>183</v>
      </c>
      <c r="D4430" s="3">
        <v>18.0</v>
      </c>
      <c r="E4430" s="3">
        <v>0.0</v>
      </c>
      <c r="F4430" s="3">
        <v>0.0</v>
      </c>
      <c r="G4430" s="3">
        <v>4.5</v>
      </c>
    </row>
    <row r="4431">
      <c r="A4431" s="3">
        <v>171941.0</v>
      </c>
      <c r="B4431" s="3" t="s">
        <v>4458</v>
      </c>
      <c r="C4431" s="3" t="s">
        <v>183</v>
      </c>
      <c r="D4431" s="3">
        <v>54.0</v>
      </c>
      <c r="E4431" s="3">
        <v>0.71</v>
      </c>
      <c r="F4431" s="3">
        <v>0.48</v>
      </c>
      <c r="G4431" s="3">
        <v>11.52</v>
      </c>
    </row>
    <row r="4432">
      <c r="A4432" s="3">
        <v>171942.0</v>
      </c>
      <c r="B4432" s="3" t="s">
        <v>4459</v>
      </c>
      <c r="C4432" s="3" t="s">
        <v>183</v>
      </c>
      <c r="D4432" s="3">
        <v>47.0</v>
      </c>
      <c r="E4432" s="3">
        <v>0.97</v>
      </c>
      <c r="F4432" s="3">
        <v>0.28</v>
      </c>
      <c r="G4432" s="3">
        <v>9.17</v>
      </c>
    </row>
    <row r="4433">
      <c r="A4433" s="3">
        <v>171943.0</v>
      </c>
      <c r="B4433" s="3" t="s">
        <v>4460</v>
      </c>
      <c r="C4433" s="3" t="s">
        <v>183</v>
      </c>
      <c r="D4433" s="3">
        <v>49.0</v>
      </c>
      <c r="E4433" s="3">
        <v>0.0</v>
      </c>
      <c r="F4433" s="3">
        <v>0.0</v>
      </c>
      <c r="G4433" s="3">
        <v>12.99</v>
      </c>
    </row>
    <row r="4434">
      <c r="A4434" s="3">
        <v>171944.0</v>
      </c>
      <c r="B4434" s="3" t="s">
        <v>4461</v>
      </c>
      <c r="C4434" s="3" t="s">
        <v>183</v>
      </c>
      <c r="D4434" s="3">
        <v>29.0</v>
      </c>
      <c r="E4434" s="3">
        <v>0.37</v>
      </c>
      <c r="F4434" s="3">
        <v>0.0</v>
      </c>
      <c r="G4434" s="3">
        <v>6.67</v>
      </c>
    </row>
    <row r="4435">
      <c r="A4435" s="3">
        <v>171945.0</v>
      </c>
      <c r="B4435" s="3" t="s">
        <v>4462</v>
      </c>
      <c r="C4435" s="3" t="s">
        <v>183</v>
      </c>
      <c r="D4435" s="3">
        <v>54.0</v>
      </c>
      <c r="E4435" s="3">
        <v>0.0</v>
      </c>
      <c r="F4435" s="3">
        <v>0.13</v>
      </c>
      <c r="G4435" s="3">
        <v>13.16</v>
      </c>
    </row>
    <row r="4436">
      <c r="A4436" s="3">
        <v>171946.0</v>
      </c>
      <c r="B4436" s="3" t="s">
        <v>4463</v>
      </c>
      <c r="C4436" s="3" t="s">
        <v>183</v>
      </c>
      <c r="D4436" s="3">
        <v>0.0</v>
      </c>
      <c r="E4436" s="3">
        <v>0.0</v>
      </c>
      <c r="F4436" s="3">
        <v>0.0</v>
      </c>
      <c r="G4436" s="3">
        <v>0.0</v>
      </c>
    </row>
    <row r="4437">
      <c r="A4437" s="3">
        <v>171947.0</v>
      </c>
      <c r="B4437" s="3" t="s">
        <v>4464</v>
      </c>
      <c r="C4437" s="3" t="s">
        <v>183</v>
      </c>
      <c r="D4437" s="3">
        <v>46.0</v>
      </c>
      <c r="E4437" s="3">
        <v>0.11</v>
      </c>
      <c r="F4437" s="3">
        <v>0.13</v>
      </c>
      <c r="G4437" s="3">
        <v>11.35</v>
      </c>
    </row>
    <row r="4438">
      <c r="A4438" s="3">
        <v>171948.0</v>
      </c>
      <c r="B4438" s="3" t="s">
        <v>4465</v>
      </c>
      <c r="C4438" s="3" t="s">
        <v>252</v>
      </c>
      <c r="D4438" s="3">
        <v>97.0</v>
      </c>
      <c r="E4438" s="3">
        <v>2.33</v>
      </c>
      <c r="F4438" s="3">
        <v>17.73</v>
      </c>
      <c r="G4438" s="3">
        <v>0.0</v>
      </c>
    </row>
    <row r="4439">
      <c r="A4439" s="3">
        <v>171949.0</v>
      </c>
      <c r="B4439" s="3" t="s">
        <v>4466</v>
      </c>
      <c r="C4439" s="3" t="s">
        <v>252</v>
      </c>
      <c r="D4439" s="3">
        <v>124.0</v>
      </c>
      <c r="E4439" s="3">
        <v>4.24</v>
      </c>
      <c r="F4439" s="3">
        <v>20.04</v>
      </c>
      <c r="G4439" s="3">
        <v>0.0</v>
      </c>
    </row>
    <row r="4440">
      <c r="A4440" s="3">
        <v>171950.0</v>
      </c>
      <c r="B4440" s="3" t="s">
        <v>4467</v>
      </c>
      <c r="C4440" s="3" t="s">
        <v>252</v>
      </c>
      <c r="D4440" s="3">
        <v>90.0</v>
      </c>
      <c r="E4440" s="3">
        <v>0.81</v>
      </c>
      <c r="F4440" s="3">
        <v>19.31</v>
      </c>
      <c r="G4440" s="3">
        <v>0.0</v>
      </c>
    </row>
    <row r="4441">
      <c r="A4441" s="3">
        <v>171951.0</v>
      </c>
      <c r="B4441" s="3" t="s">
        <v>4468</v>
      </c>
      <c r="C4441" s="3" t="s">
        <v>252</v>
      </c>
      <c r="D4441" s="3">
        <v>146.0</v>
      </c>
      <c r="E4441" s="3">
        <v>8.02</v>
      </c>
      <c r="F4441" s="3">
        <v>17.28</v>
      </c>
      <c r="G4441" s="3">
        <v>0.0</v>
      </c>
    </row>
    <row r="4442">
      <c r="A4442" s="3">
        <v>171952.0</v>
      </c>
      <c r="B4442" s="3" t="s">
        <v>4469</v>
      </c>
      <c r="C4442" s="3" t="s">
        <v>252</v>
      </c>
      <c r="D4442" s="3">
        <v>127.0</v>
      </c>
      <c r="E4442" s="3">
        <v>5.6</v>
      </c>
      <c r="F4442" s="3">
        <v>17.83</v>
      </c>
      <c r="G4442" s="3">
        <v>0.0</v>
      </c>
    </row>
    <row r="4443">
      <c r="A4443" s="3">
        <v>171953.0</v>
      </c>
      <c r="B4443" s="3" t="s">
        <v>4470</v>
      </c>
      <c r="C4443" s="3" t="s">
        <v>252</v>
      </c>
      <c r="D4443" s="3">
        <v>98.0</v>
      </c>
      <c r="E4443" s="3">
        <v>1.91</v>
      </c>
      <c r="F4443" s="3">
        <v>18.99</v>
      </c>
      <c r="G4443" s="3">
        <v>0.0</v>
      </c>
    </row>
    <row r="4444">
      <c r="A4444" s="3">
        <v>171954.0</v>
      </c>
      <c r="B4444" s="3" t="s">
        <v>4471</v>
      </c>
      <c r="C4444" s="3" t="s">
        <v>252</v>
      </c>
      <c r="D4444" s="3">
        <v>177.0</v>
      </c>
      <c r="E4444" s="3">
        <v>11.9</v>
      </c>
      <c r="F4444" s="3">
        <v>16.36</v>
      </c>
      <c r="G4444" s="3">
        <v>0.0</v>
      </c>
    </row>
    <row r="4445">
      <c r="A4445" s="3">
        <v>171955.0</v>
      </c>
      <c r="B4445" s="3" t="s">
        <v>4472</v>
      </c>
      <c r="C4445" s="3" t="s">
        <v>252</v>
      </c>
      <c r="D4445" s="3">
        <v>82.0</v>
      </c>
      <c r="E4445" s="3">
        <v>0.67</v>
      </c>
      <c r="F4445" s="3">
        <v>17.81</v>
      </c>
      <c r="G4445" s="3">
        <v>0.0</v>
      </c>
    </row>
    <row r="4446">
      <c r="A4446" s="3">
        <v>171956.0</v>
      </c>
      <c r="B4446" s="3" t="s">
        <v>4473</v>
      </c>
      <c r="C4446" s="3" t="s">
        <v>252</v>
      </c>
      <c r="D4446" s="3">
        <v>105.0</v>
      </c>
      <c r="E4446" s="3">
        <v>0.86</v>
      </c>
      <c r="F4446" s="3">
        <v>22.83</v>
      </c>
      <c r="G4446" s="3">
        <v>0.0</v>
      </c>
    </row>
    <row r="4447">
      <c r="A4447" s="3">
        <v>171957.0</v>
      </c>
      <c r="B4447" s="3" t="s">
        <v>4474</v>
      </c>
      <c r="C4447" s="3" t="s">
        <v>252</v>
      </c>
      <c r="D4447" s="3">
        <v>221.0</v>
      </c>
      <c r="E4447" s="3">
        <v>12.67</v>
      </c>
      <c r="F4447" s="3">
        <v>18.2</v>
      </c>
      <c r="G4447" s="3">
        <v>7.54</v>
      </c>
    </row>
    <row r="4448">
      <c r="A4448" s="3">
        <v>171958.0</v>
      </c>
      <c r="B4448" s="3" t="s">
        <v>4475</v>
      </c>
      <c r="C4448" s="3" t="s">
        <v>252</v>
      </c>
      <c r="D4448" s="3">
        <v>87.0</v>
      </c>
      <c r="E4448" s="3">
        <v>0.69</v>
      </c>
      <c r="F4448" s="3">
        <v>18.99</v>
      </c>
      <c r="G4448" s="3">
        <v>0.0</v>
      </c>
    </row>
    <row r="4449">
      <c r="A4449" s="3">
        <v>171959.0</v>
      </c>
      <c r="B4449" s="3" t="s">
        <v>4476</v>
      </c>
      <c r="C4449" s="3" t="s">
        <v>252</v>
      </c>
      <c r="D4449" s="3">
        <v>85.0</v>
      </c>
      <c r="E4449" s="3">
        <v>0.7</v>
      </c>
      <c r="F4449" s="3">
        <v>18.5</v>
      </c>
      <c r="G4449" s="3">
        <v>0.0</v>
      </c>
    </row>
    <row r="4450">
      <c r="A4450" s="3">
        <v>171960.0</v>
      </c>
      <c r="B4450" s="3" t="s">
        <v>4477</v>
      </c>
      <c r="C4450" s="3" t="s">
        <v>252</v>
      </c>
      <c r="D4450" s="3">
        <v>119.0</v>
      </c>
      <c r="E4450" s="3">
        <v>4.93</v>
      </c>
      <c r="F4450" s="3">
        <v>17.54</v>
      </c>
      <c r="G4450" s="3">
        <v>0.0</v>
      </c>
    </row>
    <row r="4451">
      <c r="A4451" s="3">
        <v>171961.0</v>
      </c>
      <c r="B4451" s="3" t="s">
        <v>4478</v>
      </c>
      <c r="C4451" s="3" t="s">
        <v>252</v>
      </c>
      <c r="D4451" s="3">
        <v>84.0</v>
      </c>
      <c r="E4451" s="3">
        <v>1.73</v>
      </c>
      <c r="F4451" s="3">
        <v>9.07</v>
      </c>
      <c r="G4451" s="3">
        <v>7.41</v>
      </c>
    </row>
    <row r="4452">
      <c r="A4452" s="3">
        <v>171962.0</v>
      </c>
      <c r="B4452" s="3" t="s">
        <v>4479</v>
      </c>
      <c r="C4452" s="3" t="s">
        <v>252</v>
      </c>
      <c r="D4452" s="3">
        <v>92.0</v>
      </c>
      <c r="E4452" s="3">
        <v>1.02</v>
      </c>
      <c r="F4452" s="3">
        <v>19.38</v>
      </c>
      <c r="G4452" s="3">
        <v>0.0</v>
      </c>
    </row>
    <row r="4453">
      <c r="A4453" s="3">
        <v>171963.0</v>
      </c>
      <c r="B4453" s="3" t="s">
        <v>4480</v>
      </c>
      <c r="C4453" s="3" t="s">
        <v>252</v>
      </c>
      <c r="D4453" s="3">
        <v>118.0</v>
      </c>
      <c r="E4453" s="3">
        <v>1.3</v>
      </c>
      <c r="F4453" s="3">
        <v>24.84</v>
      </c>
      <c r="G4453" s="3">
        <v>0.0</v>
      </c>
    </row>
    <row r="4454">
      <c r="A4454" s="3">
        <v>171964.0</v>
      </c>
      <c r="B4454" s="3" t="s">
        <v>4481</v>
      </c>
      <c r="C4454" s="3" t="s">
        <v>252</v>
      </c>
      <c r="D4454" s="3">
        <v>74.0</v>
      </c>
      <c r="E4454" s="3">
        <v>0.45</v>
      </c>
      <c r="F4454" s="3">
        <v>16.32</v>
      </c>
      <c r="G4454" s="3">
        <v>0.0</v>
      </c>
    </row>
    <row r="4455">
      <c r="A4455" s="3">
        <v>171965.0</v>
      </c>
      <c r="B4455" s="3" t="s">
        <v>4482</v>
      </c>
      <c r="C4455" s="3" t="s">
        <v>252</v>
      </c>
      <c r="D4455" s="3">
        <v>186.0</v>
      </c>
      <c r="E4455" s="3">
        <v>13.84</v>
      </c>
      <c r="F4455" s="3">
        <v>14.37</v>
      </c>
      <c r="G4455" s="3">
        <v>0.0</v>
      </c>
    </row>
    <row r="4456">
      <c r="A4456" s="3">
        <v>171966.0</v>
      </c>
      <c r="B4456" s="3" t="s">
        <v>4483</v>
      </c>
      <c r="C4456" s="3" t="s">
        <v>252</v>
      </c>
      <c r="D4456" s="3">
        <v>83.0</v>
      </c>
      <c r="E4456" s="3">
        <v>0.74</v>
      </c>
      <c r="F4456" s="3">
        <v>17.88</v>
      </c>
      <c r="G4456" s="3">
        <v>0.0</v>
      </c>
    </row>
    <row r="4457">
      <c r="A4457" s="3">
        <v>171967.0</v>
      </c>
      <c r="B4457" s="3" t="s">
        <v>4484</v>
      </c>
      <c r="C4457" s="3" t="s">
        <v>252</v>
      </c>
      <c r="D4457" s="3">
        <v>155.0</v>
      </c>
      <c r="E4457" s="3">
        <v>7.52</v>
      </c>
      <c r="F4457" s="3">
        <v>20.21</v>
      </c>
      <c r="G4457" s="3">
        <v>0.48</v>
      </c>
    </row>
    <row r="4458">
      <c r="A4458" s="3">
        <v>171968.0</v>
      </c>
      <c r="B4458" s="3" t="s">
        <v>4485</v>
      </c>
      <c r="C4458" s="3" t="s">
        <v>252</v>
      </c>
      <c r="D4458" s="3">
        <v>86.0</v>
      </c>
      <c r="E4458" s="3">
        <v>0.97</v>
      </c>
      <c r="F4458" s="3">
        <v>17.41</v>
      </c>
      <c r="G4458" s="3">
        <v>0.74</v>
      </c>
    </row>
    <row r="4459">
      <c r="A4459" s="3">
        <v>171969.0</v>
      </c>
      <c r="B4459" s="3" t="s">
        <v>4486</v>
      </c>
      <c r="C4459" s="3" t="s">
        <v>252</v>
      </c>
      <c r="D4459" s="3">
        <v>90.0</v>
      </c>
      <c r="E4459" s="3">
        <v>1.18</v>
      </c>
      <c r="F4459" s="3">
        <v>18.5</v>
      </c>
      <c r="G4459" s="3">
        <v>0.0</v>
      </c>
    </row>
    <row r="4460">
      <c r="A4460" s="3">
        <v>171970.0</v>
      </c>
      <c r="B4460" s="3" t="s">
        <v>4487</v>
      </c>
      <c r="C4460" s="3" t="s">
        <v>252</v>
      </c>
      <c r="D4460" s="3">
        <v>242.0</v>
      </c>
      <c r="E4460" s="3">
        <v>12.28</v>
      </c>
      <c r="F4460" s="3">
        <v>21.39</v>
      </c>
      <c r="G4460" s="3">
        <v>11.47</v>
      </c>
    </row>
    <row r="4461">
      <c r="A4461" s="3">
        <v>171971.0</v>
      </c>
      <c r="B4461" s="3" t="s">
        <v>4488</v>
      </c>
      <c r="C4461" s="3" t="s">
        <v>252</v>
      </c>
      <c r="D4461" s="3">
        <v>119.0</v>
      </c>
      <c r="E4461" s="3">
        <v>1.7</v>
      </c>
      <c r="F4461" s="3">
        <v>22.78</v>
      </c>
      <c r="G4461" s="3">
        <v>1.52</v>
      </c>
    </row>
    <row r="4462">
      <c r="A4462" s="3">
        <v>171972.0</v>
      </c>
      <c r="B4462" s="3" t="s">
        <v>4489</v>
      </c>
      <c r="C4462" s="3" t="s">
        <v>252</v>
      </c>
      <c r="D4462" s="3">
        <v>100.0</v>
      </c>
      <c r="E4462" s="3">
        <v>1.36</v>
      </c>
      <c r="F4462" s="3">
        <v>20.42</v>
      </c>
      <c r="G4462" s="3">
        <v>0.0</v>
      </c>
    </row>
    <row r="4463">
      <c r="A4463" s="3">
        <v>171973.0</v>
      </c>
      <c r="B4463" s="3" t="s">
        <v>4490</v>
      </c>
      <c r="C4463" s="3" t="s">
        <v>252</v>
      </c>
      <c r="D4463" s="3">
        <v>101.0</v>
      </c>
      <c r="E4463" s="3">
        <v>1.47</v>
      </c>
      <c r="F4463" s="3">
        <v>12.39</v>
      </c>
      <c r="G4463" s="3">
        <v>9.13</v>
      </c>
    </row>
    <row r="4464">
      <c r="A4464" s="3">
        <v>171974.0</v>
      </c>
      <c r="B4464" s="3" t="s">
        <v>4491</v>
      </c>
      <c r="C4464" s="3" t="s">
        <v>252</v>
      </c>
      <c r="D4464" s="3">
        <v>202.0</v>
      </c>
      <c r="E4464" s="3">
        <v>11.15</v>
      </c>
      <c r="F4464" s="3">
        <v>14.24</v>
      </c>
      <c r="G4464" s="3">
        <v>10.33</v>
      </c>
    </row>
    <row r="4465">
      <c r="A4465" s="3">
        <v>171975.0</v>
      </c>
      <c r="B4465" s="3" t="s">
        <v>4492</v>
      </c>
      <c r="C4465" s="3" t="s">
        <v>252</v>
      </c>
      <c r="D4465" s="3">
        <v>148.0</v>
      </c>
      <c r="E4465" s="3">
        <v>1.95</v>
      </c>
      <c r="F4465" s="3">
        <v>25.55</v>
      </c>
      <c r="G4465" s="3">
        <v>5.13</v>
      </c>
    </row>
    <row r="4466">
      <c r="A4466" s="3">
        <v>171976.0</v>
      </c>
      <c r="B4466" s="3" t="s">
        <v>4493</v>
      </c>
      <c r="C4466" s="3" t="s">
        <v>252</v>
      </c>
      <c r="D4466" s="3">
        <v>142.0</v>
      </c>
      <c r="E4466" s="3">
        <v>1.59</v>
      </c>
      <c r="F4466" s="3">
        <v>24.25</v>
      </c>
      <c r="G4466" s="3">
        <v>5.9</v>
      </c>
    </row>
    <row r="4467">
      <c r="A4467" s="3">
        <v>171977.0</v>
      </c>
      <c r="B4467" s="3" t="s">
        <v>4494</v>
      </c>
      <c r="C4467" s="3" t="s">
        <v>252</v>
      </c>
      <c r="D4467" s="3">
        <v>2.0</v>
      </c>
      <c r="E4467" s="3">
        <v>0.02</v>
      </c>
      <c r="F4467" s="3">
        <v>0.4</v>
      </c>
      <c r="G4467" s="3">
        <v>0.1</v>
      </c>
    </row>
    <row r="4468">
      <c r="A4468" s="3">
        <v>171978.0</v>
      </c>
      <c r="B4468" s="3" t="s">
        <v>4495</v>
      </c>
      <c r="C4468" s="3" t="s">
        <v>252</v>
      </c>
      <c r="D4468" s="3">
        <v>51.0</v>
      </c>
      <c r="E4468" s="3">
        <v>1.71</v>
      </c>
      <c r="F4468" s="3">
        <v>5.71</v>
      </c>
      <c r="G4468" s="3">
        <v>2.72</v>
      </c>
    </row>
    <row r="4469">
      <c r="A4469" s="3">
        <v>171979.0</v>
      </c>
      <c r="B4469" s="3" t="s">
        <v>4496</v>
      </c>
      <c r="C4469" s="3" t="s">
        <v>252</v>
      </c>
      <c r="D4469" s="3">
        <v>199.0</v>
      </c>
      <c r="E4469" s="3">
        <v>12.58</v>
      </c>
      <c r="F4469" s="3">
        <v>8.77</v>
      </c>
      <c r="G4469" s="3">
        <v>11.62</v>
      </c>
    </row>
    <row r="4470">
      <c r="A4470" s="3">
        <v>171980.0</v>
      </c>
      <c r="B4470" s="3" t="s">
        <v>4497</v>
      </c>
      <c r="C4470" s="3" t="s">
        <v>252</v>
      </c>
      <c r="D4470" s="3">
        <v>102.0</v>
      </c>
      <c r="E4470" s="3">
        <v>3.42</v>
      </c>
      <c r="F4470" s="3">
        <v>11.42</v>
      </c>
      <c r="G4470" s="3">
        <v>5.45</v>
      </c>
    </row>
    <row r="4471">
      <c r="A4471" s="3">
        <v>171981.0</v>
      </c>
      <c r="B4471" s="3" t="s">
        <v>4498</v>
      </c>
      <c r="C4471" s="3" t="s">
        <v>252</v>
      </c>
      <c r="D4471" s="3">
        <v>68.0</v>
      </c>
      <c r="E4471" s="3">
        <v>2.47</v>
      </c>
      <c r="F4471" s="3">
        <v>7.06</v>
      </c>
      <c r="G4471" s="3">
        <v>3.91</v>
      </c>
    </row>
    <row r="4472">
      <c r="A4472" s="3">
        <v>171982.0</v>
      </c>
      <c r="B4472" s="3" t="s">
        <v>4499</v>
      </c>
      <c r="C4472" s="3" t="s">
        <v>252</v>
      </c>
      <c r="D4472" s="3">
        <v>175.0</v>
      </c>
      <c r="E4472" s="3">
        <v>7.48</v>
      </c>
      <c r="F4472" s="3">
        <v>17.94</v>
      </c>
      <c r="G4472" s="3">
        <v>7.79</v>
      </c>
    </row>
    <row r="4473">
      <c r="A4473" s="3">
        <v>171983.0</v>
      </c>
      <c r="B4473" s="3" t="s">
        <v>4500</v>
      </c>
      <c r="C4473" s="3" t="s">
        <v>252</v>
      </c>
      <c r="D4473" s="3">
        <v>137.0</v>
      </c>
      <c r="E4473" s="3">
        <v>0.4</v>
      </c>
      <c r="F4473" s="3">
        <v>23.84</v>
      </c>
      <c r="G4473" s="3">
        <v>7.76</v>
      </c>
    </row>
    <row r="4474">
      <c r="A4474" s="3">
        <v>171984.0</v>
      </c>
      <c r="B4474" s="3" t="s">
        <v>4501</v>
      </c>
      <c r="C4474" s="3" t="s">
        <v>252</v>
      </c>
      <c r="D4474" s="3">
        <v>275.0</v>
      </c>
      <c r="E4474" s="3">
        <v>0.8</v>
      </c>
      <c r="F4474" s="3">
        <v>47.68</v>
      </c>
      <c r="G4474" s="3">
        <v>15.52</v>
      </c>
    </row>
    <row r="4475">
      <c r="A4475" s="3">
        <v>171985.0</v>
      </c>
      <c r="B4475" s="3" t="s">
        <v>4502</v>
      </c>
      <c r="C4475" s="3" t="s">
        <v>252</v>
      </c>
      <c r="D4475" s="3">
        <v>117.0</v>
      </c>
      <c r="E4475" s="3">
        <v>4.32</v>
      </c>
      <c r="F4475" s="3">
        <v>18.28</v>
      </c>
      <c r="G4475" s="3">
        <v>0.0</v>
      </c>
    </row>
    <row r="4476">
      <c r="A4476" s="3">
        <v>171986.0</v>
      </c>
      <c r="B4476" s="3" t="s">
        <v>4503</v>
      </c>
      <c r="C4476" s="3" t="s">
        <v>252</v>
      </c>
      <c r="D4476" s="3">
        <v>116.0</v>
      </c>
      <c r="E4476" s="3">
        <v>0.82</v>
      </c>
      <c r="F4476" s="3">
        <v>25.51</v>
      </c>
      <c r="G4476" s="3">
        <v>0.0</v>
      </c>
    </row>
    <row r="4477">
      <c r="A4477" s="3">
        <v>171987.0</v>
      </c>
      <c r="B4477" s="3" t="s">
        <v>4504</v>
      </c>
      <c r="C4477" s="3" t="s">
        <v>252</v>
      </c>
      <c r="D4477" s="3">
        <v>186.0</v>
      </c>
      <c r="E4477" s="3">
        <v>8.08</v>
      </c>
      <c r="F4477" s="3">
        <v>26.53</v>
      </c>
      <c r="G4477" s="3">
        <v>0.0</v>
      </c>
    </row>
    <row r="4478">
      <c r="A4478" s="3">
        <v>171988.0</v>
      </c>
      <c r="B4478" s="3" t="s">
        <v>4505</v>
      </c>
      <c r="C4478" s="3" t="s">
        <v>252</v>
      </c>
      <c r="D4478" s="3">
        <v>128.0</v>
      </c>
      <c r="E4478" s="3">
        <v>2.97</v>
      </c>
      <c r="F4478" s="3">
        <v>23.62</v>
      </c>
      <c r="G4478" s="3">
        <v>0.0</v>
      </c>
    </row>
    <row r="4479">
      <c r="A4479" s="3">
        <v>171989.0</v>
      </c>
      <c r="B4479" s="3" t="s">
        <v>4506</v>
      </c>
      <c r="C4479" s="3" t="s">
        <v>252</v>
      </c>
      <c r="D4479" s="3">
        <v>146.0</v>
      </c>
      <c r="E4479" s="3">
        <v>4.73</v>
      </c>
      <c r="F4479" s="3">
        <v>24.18</v>
      </c>
      <c r="G4479" s="3">
        <v>0.0</v>
      </c>
    </row>
    <row r="4480">
      <c r="A4480" s="3">
        <v>171990.0</v>
      </c>
      <c r="B4480" s="3" t="s">
        <v>4507</v>
      </c>
      <c r="C4480" s="3" t="s">
        <v>252</v>
      </c>
      <c r="D4480" s="3">
        <v>85.0</v>
      </c>
      <c r="E4480" s="3">
        <v>0.5</v>
      </c>
      <c r="F4480" s="3">
        <v>18.73</v>
      </c>
      <c r="G4480" s="3">
        <v>0.0</v>
      </c>
    </row>
    <row r="4481">
      <c r="A4481" s="3">
        <v>171991.0</v>
      </c>
      <c r="B4481" s="3" t="s">
        <v>4508</v>
      </c>
      <c r="C4481" s="3" t="s">
        <v>252</v>
      </c>
      <c r="D4481" s="3">
        <v>112.0</v>
      </c>
      <c r="E4481" s="3">
        <v>0.88</v>
      </c>
      <c r="F4481" s="3">
        <v>24.35</v>
      </c>
      <c r="G4481" s="3">
        <v>0.0</v>
      </c>
    </row>
    <row r="4482">
      <c r="A4482" s="3">
        <v>171992.0</v>
      </c>
      <c r="B4482" s="3" t="s">
        <v>4509</v>
      </c>
      <c r="C4482" s="3" t="s">
        <v>252</v>
      </c>
      <c r="D4482" s="3">
        <v>109.0</v>
      </c>
      <c r="E4482" s="3">
        <v>0.9</v>
      </c>
      <c r="F4482" s="3">
        <v>23.72</v>
      </c>
      <c r="G4482" s="3">
        <v>0.0</v>
      </c>
    </row>
    <row r="4483">
      <c r="A4483" s="3">
        <v>171993.0</v>
      </c>
      <c r="B4483" s="3" t="s">
        <v>4510</v>
      </c>
      <c r="C4483" s="3" t="s">
        <v>252</v>
      </c>
      <c r="D4483" s="3">
        <v>153.0</v>
      </c>
      <c r="E4483" s="3">
        <v>6.32</v>
      </c>
      <c r="F4483" s="3">
        <v>22.49</v>
      </c>
      <c r="G4483" s="3">
        <v>0.0</v>
      </c>
    </row>
    <row r="4484">
      <c r="A4484" s="3">
        <v>171994.0</v>
      </c>
      <c r="B4484" s="3" t="s">
        <v>4511</v>
      </c>
      <c r="C4484" s="3" t="s">
        <v>252</v>
      </c>
      <c r="D4484" s="3">
        <v>201.0</v>
      </c>
      <c r="E4484" s="3">
        <v>10.12</v>
      </c>
      <c r="F4484" s="3">
        <v>25.73</v>
      </c>
      <c r="G4484" s="3">
        <v>0.0</v>
      </c>
    </row>
    <row r="4485">
      <c r="A4485" s="3">
        <v>171995.0</v>
      </c>
      <c r="B4485" s="3" t="s">
        <v>4512</v>
      </c>
      <c r="C4485" s="3" t="s">
        <v>252</v>
      </c>
      <c r="D4485" s="3">
        <v>190.0</v>
      </c>
      <c r="E4485" s="3">
        <v>8.63</v>
      </c>
      <c r="F4485" s="3">
        <v>26.32</v>
      </c>
      <c r="G4485" s="3">
        <v>0.0</v>
      </c>
    </row>
    <row r="4486">
      <c r="A4486" s="3">
        <v>171996.0</v>
      </c>
      <c r="B4486" s="3" t="s">
        <v>4513</v>
      </c>
      <c r="C4486" s="3" t="s">
        <v>252</v>
      </c>
      <c r="D4486" s="3">
        <v>97.0</v>
      </c>
      <c r="E4486" s="3">
        <v>1.95</v>
      </c>
      <c r="F4486" s="3">
        <v>18.56</v>
      </c>
      <c r="G4486" s="3">
        <v>0.0</v>
      </c>
    </row>
    <row r="4487">
      <c r="A4487" s="3">
        <v>171997.0</v>
      </c>
      <c r="B4487" s="3" t="s">
        <v>4514</v>
      </c>
      <c r="C4487" s="3" t="s">
        <v>252</v>
      </c>
      <c r="D4487" s="3">
        <v>119.0</v>
      </c>
      <c r="E4487" s="3">
        <v>1.56</v>
      </c>
      <c r="F4487" s="3">
        <v>24.54</v>
      </c>
      <c r="G4487" s="3">
        <v>0.0</v>
      </c>
    </row>
    <row r="4488">
      <c r="A4488" s="3">
        <v>171998.0</v>
      </c>
      <c r="B4488" s="3" t="s">
        <v>4515</v>
      </c>
      <c r="C4488" s="3" t="s">
        <v>252</v>
      </c>
      <c r="D4488" s="3">
        <v>182.0</v>
      </c>
      <c r="E4488" s="3">
        <v>8.13</v>
      </c>
      <c r="F4488" s="3">
        <v>25.44</v>
      </c>
      <c r="G4488" s="3">
        <v>0.0</v>
      </c>
    </row>
    <row r="4489">
      <c r="A4489" s="3">
        <v>171999.0</v>
      </c>
      <c r="B4489" s="3" t="s">
        <v>4516</v>
      </c>
      <c r="C4489" s="3" t="s">
        <v>252</v>
      </c>
      <c r="D4489" s="3">
        <v>231.0</v>
      </c>
      <c r="E4489" s="3">
        <v>13.38</v>
      </c>
      <c r="F4489" s="3">
        <v>25.72</v>
      </c>
      <c r="G4489" s="3">
        <v>0.0</v>
      </c>
    </row>
    <row r="4490">
      <c r="A4490" s="3">
        <v>172000.0</v>
      </c>
      <c r="B4490" s="3" t="s">
        <v>4517</v>
      </c>
      <c r="C4490" s="3" t="s">
        <v>252</v>
      </c>
      <c r="D4490" s="3">
        <v>154.0</v>
      </c>
      <c r="E4490" s="3">
        <v>4.83</v>
      </c>
      <c r="F4490" s="3">
        <v>25.82</v>
      </c>
      <c r="G4490" s="3">
        <v>0.0</v>
      </c>
    </row>
    <row r="4491">
      <c r="A4491" s="3">
        <v>172001.0</v>
      </c>
      <c r="B4491" s="3" t="s">
        <v>4518</v>
      </c>
      <c r="C4491" s="3" t="s">
        <v>252</v>
      </c>
      <c r="D4491" s="3">
        <v>153.0</v>
      </c>
      <c r="E4491" s="3">
        <v>5.28</v>
      </c>
      <c r="F4491" s="3">
        <v>24.58</v>
      </c>
      <c r="G4491" s="3">
        <v>0.0</v>
      </c>
    </row>
    <row r="4492">
      <c r="A4492" s="3">
        <v>172002.0</v>
      </c>
      <c r="B4492" s="3" t="s">
        <v>4519</v>
      </c>
      <c r="C4492" s="3" t="s">
        <v>252</v>
      </c>
      <c r="D4492" s="3">
        <v>119.0</v>
      </c>
      <c r="E4492" s="3">
        <v>2.97</v>
      </c>
      <c r="F4492" s="3">
        <v>21.49</v>
      </c>
      <c r="G4492" s="3">
        <v>0.0</v>
      </c>
    </row>
    <row r="4493">
      <c r="A4493" s="3">
        <v>172003.0</v>
      </c>
      <c r="B4493" s="3" t="s">
        <v>4520</v>
      </c>
      <c r="C4493" s="3" t="s">
        <v>252</v>
      </c>
      <c r="D4493" s="3">
        <v>114.0</v>
      </c>
      <c r="E4493" s="3">
        <v>0.9</v>
      </c>
      <c r="F4493" s="3">
        <v>24.87</v>
      </c>
      <c r="G4493" s="3">
        <v>0.0</v>
      </c>
    </row>
    <row r="4494">
      <c r="A4494" s="3">
        <v>172004.0</v>
      </c>
      <c r="B4494" s="3" t="s">
        <v>4521</v>
      </c>
      <c r="C4494" s="3" t="s">
        <v>252</v>
      </c>
      <c r="D4494" s="3">
        <v>190.0</v>
      </c>
      <c r="E4494" s="3">
        <v>8.47</v>
      </c>
      <c r="F4494" s="3">
        <v>26.63</v>
      </c>
      <c r="G4494" s="3">
        <v>0.0</v>
      </c>
    </row>
    <row r="4495">
      <c r="A4495" s="3">
        <v>172005.0</v>
      </c>
      <c r="B4495" s="3" t="s">
        <v>4522</v>
      </c>
      <c r="C4495" s="3" t="s">
        <v>252</v>
      </c>
      <c r="D4495" s="3">
        <v>132.0</v>
      </c>
      <c r="E4495" s="3">
        <v>1.29</v>
      </c>
      <c r="F4495" s="3">
        <v>28.21</v>
      </c>
      <c r="G4495" s="3">
        <v>0.0</v>
      </c>
    </row>
    <row r="4496">
      <c r="A4496" s="3">
        <v>172006.0</v>
      </c>
      <c r="B4496" s="3" t="s">
        <v>4523</v>
      </c>
      <c r="C4496" s="3" t="s">
        <v>252</v>
      </c>
      <c r="D4496" s="3">
        <v>130.0</v>
      </c>
      <c r="E4496" s="3">
        <v>0.59</v>
      </c>
      <c r="F4496" s="3">
        <v>29.15</v>
      </c>
      <c r="G4496" s="3">
        <v>0.0</v>
      </c>
    </row>
    <row r="4497">
      <c r="A4497" s="3">
        <v>172007.0</v>
      </c>
      <c r="B4497" s="3" t="s">
        <v>4524</v>
      </c>
      <c r="C4497" s="3" t="s">
        <v>252</v>
      </c>
      <c r="D4497" s="3">
        <v>110.0</v>
      </c>
      <c r="E4497" s="3">
        <v>1.24</v>
      </c>
      <c r="F4497" s="3">
        <v>22.32</v>
      </c>
      <c r="G4497" s="3">
        <v>0.95</v>
      </c>
    </row>
    <row r="4498">
      <c r="A4498" s="3">
        <v>172008.0</v>
      </c>
      <c r="B4498" s="3" t="s">
        <v>4525</v>
      </c>
      <c r="C4498" s="3" t="s">
        <v>252</v>
      </c>
      <c r="D4498" s="3">
        <v>115.0</v>
      </c>
      <c r="E4498" s="3">
        <v>1.51</v>
      </c>
      <c r="F4498" s="3">
        <v>23.72</v>
      </c>
      <c r="G4498" s="3">
        <v>0.0</v>
      </c>
    </row>
    <row r="4499">
      <c r="A4499" s="3">
        <v>172009.0</v>
      </c>
      <c r="B4499" s="3" t="s">
        <v>4526</v>
      </c>
      <c r="C4499" s="3" t="s">
        <v>252</v>
      </c>
      <c r="D4499" s="3">
        <v>143.0</v>
      </c>
      <c r="E4499" s="3">
        <v>1.94</v>
      </c>
      <c r="F4499" s="3">
        <v>26.41</v>
      </c>
      <c r="G4499" s="3">
        <v>3.12</v>
      </c>
    </row>
    <row r="4500">
      <c r="A4500" s="3">
        <v>172010.0</v>
      </c>
      <c r="B4500" s="3" t="s">
        <v>4527</v>
      </c>
      <c r="C4500" s="3" t="s">
        <v>252</v>
      </c>
      <c r="D4500" s="3">
        <v>158.0</v>
      </c>
      <c r="E4500" s="3">
        <v>1.4</v>
      </c>
      <c r="F4500" s="3">
        <v>32.48</v>
      </c>
      <c r="G4500" s="3">
        <v>1.64</v>
      </c>
    </row>
    <row r="4501">
      <c r="A4501" s="3">
        <v>172011.0</v>
      </c>
      <c r="B4501" s="3" t="s">
        <v>4528</v>
      </c>
      <c r="C4501" s="3" t="s">
        <v>189</v>
      </c>
      <c r="D4501" s="3">
        <v>277.0</v>
      </c>
      <c r="E4501" s="3">
        <v>22.53</v>
      </c>
      <c r="F4501" s="3">
        <v>14.0</v>
      </c>
      <c r="G4501" s="3">
        <v>3.76</v>
      </c>
    </row>
    <row r="4502">
      <c r="A4502" s="3">
        <v>172012.0</v>
      </c>
      <c r="B4502" s="3" t="s">
        <v>4529</v>
      </c>
      <c r="C4502" s="3" t="s">
        <v>189</v>
      </c>
      <c r="D4502" s="3">
        <v>299.0</v>
      </c>
      <c r="E4502" s="3">
        <v>26.13</v>
      </c>
      <c r="F4502" s="3">
        <v>10.91</v>
      </c>
      <c r="G4502" s="3">
        <v>4.29</v>
      </c>
    </row>
    <row r="4503">
      <c r="A4503" s="3">
        <v>172013.0</v>
      </c>
      <c r="B4503" s="3" t="s">
        <v>4530</v>
      </c>
      <c r="C4503" s="3" t="s">
        <v>189</v>
      </c>
      <c r="D4503" s="3">
        <v>308.0</v>
      </c>
      <c r="E4503" s="3">
        <v>24.59</v>
      </c>
      <c r="F4503" s="3">
        <v>15.2</v>
      </c>
      <c r="G4503" s="3">
        <v>5.49</v>
      </c>
    </row>
    <row r="4504">
      <c r="A4504" s="3">
        <v>172014.0</v>
      </c>
      <c r="B4504" s="3" t="s">
        <v>4531</v>
      </c>
      <c r="C4504" s="3" t="s">
        <v>660</v>
      </c>
      <c r="D4504" s="3">
        <v>157.0</v>
      </c>
      <c r="E4504" s="3">
        <v>0.93</v>
      </c>
      <c r="F4504" s="3">
        <v>5.8</v>
      </c>
      <c r="G4504" s="3">
        <v>30.59</v>
      </c>
    </row>
    <row r="4505">
      <c r="A4505" s="3">
        <v>172015.0</v>
      </c>
      <c r="B4505" s="3" t="s">
        <v>4532</v>
      </c>
      <c r="C4505" s="3" t="s">
        <v>660</v>
      </c>
      <c r="D4505" s="3">
        <v>370.0</v>
      </c>
      <c r="E4505" s="3">
        <v>1.75</v>
      </c>
      <c r="F4505" s="3">
        <v>7.11</v>
      </c>
      <c r="G4505" s="3">
        <v>79.45</v>
      </c>
    </row>
    <row r="4506">
      <c r="A4506" s="3">
        <v>172016.0</v>
      </c>
      <c r="B4506" s="3" t="s">
        <v>4533</v>
      </c>
      <c r="C4506" s="3" t="s">
        <v>660</v>
      </c>
      <c r="D4506" s="3">
        <v>367.0</v>
      </c>
      <c r="E4506" s="3">
        <v>1.43</v>
      </c>
      <c r="F4506" s="3">
        <v>8.89</v>
      </c>
      <c r="G4506" s="3">
        <v>77.32</v>
      </c>
    </row>
    <row r="4507">
      <c r="A4507" s="3">
        <v>172017.0</v>
      </c>
      <c r="B4507" s="3" t="s">
        <v>4534</v>
      </c>
      <c r="C4507" s="3" t="s">
        <v>660</v>
      </c>
      <c r="D4507" s="3">
        <v>367.0</v>
      </c>
      <c r="E4507" s="3">
        <v>1.43</v>
      </c>
      <c r="F4507" s="3">
        <v>8.89</v>
      </c>
      <c r="G4507" s="3">
        <v>77.32</v>
      </c>
    </row>
    <row r="4508">
      <c r="A4508" s="3">
        <v>172018.0</v>
      </c>
      <c r="B4508" s="3" t="s">
        <v>4535</v>
      </c>
      <c r="C4508" s="3" t="s">
        <v>660</v>
      </c>
      <c r="D4508" s="3">
        <v>366.0</v>
      </c>
      <c r="E4508" s="3">
        <v>1.48</v>
      </c>
      <c r="F4508" s="3">
        <v>9.71</v>
      </c>
      <c r="G4508" s="3">
        <v>76.22</v>
      </c>
    </row>
    <row r="4509">
      <c r="A4509" s="3">
        <v>172019.0</v>
      </c>
      <c r="B4509" s="3" t="s">
        <v>4536</v>
      </c>
      <c r="C4509" s="3" t="s">
        <v>660</v>
      </c>
      <c r="D4509" s="3">
        <v>366.0</v>
      </c>
      <c r="E4509" s="3">
        <v>1.48</v>
      </c>
      <c r="F4509" s="3">
        <v>9.71</v>
      </c>
      <c r="G4509" s="3">
        <v>76.22</v>
      </c>
    </row>
    <row r="4510">
      <c r="A4510" s="3">
        <v>172020.0</v>
      </c>
      <c r="B4510" s="3" t="s">
        <v>4537</v>
      </c>
      <c r="C4510" s="3" t="s">
        <v>660</v>
      </c>
      <c r="D4510" s="3">
        <v>362.0</v>
      </c>
      <c r="E4510" s="3">
        <v>1.38</v>
      </c>
      <c r="F4510" s="3">
        <v>13.07</v>
      </c>
      <c r="G4510" s="3">
        <v>72.2</v>
      </c>
    </row>
    <row r="4511">
      <c r="A4511" s="3">
        <v>172021.0</v>
      </c>
      <c r="B4511" s="3" t="s">
        <v>4538</v>
      </c>
      <c r="C4511" s="3" t="s">
        <v>660</v>
      </c>
      <c r="D4511" s="3">
        <v>362.0</v>
      </c>
      <c r="E4511" s="3">
        <v>1.41</v>
      </c>
      <c r="F4511" s="3">
        <v>15.33</v>
      </c>
      <c r="G4511" s="3">
        <v>69.88</v>
      </c>
    </row>
    <row r="4512">
      <c r="A4512" s="3">
        <v>172022.0</v>
      </c>
      <c r="B4512" s="3" t="s">
        <v>4539</v>
      </c>
      <c r="C4512" s="3" t="s">
        <v>660</v>
      </c>
      <c r="D4512" s="3">
        <v>362.0</v>
      </c>
      <c r="E4512" s="3">
        <v>1.41</v>
      </c>
      <c r="F4512" s="3">
        <v>15.33</v>
      </c>
      <c r="G4512" s="3">
        <v>69.88</v>
      </c>
    </row>
    <row r="4513">
      <c r="A4513" s="3">
        <v>172023.0</v>
      </c>
      <c r="B4513" s="3" t="s">
        <v>4540</v>
      </c>
      <c r="C4513" s="3" t="s">
        <v>660</v>
      </c>
      <c r="D4513" s="3">
        <v>382.0</v>
      </c>
      <c r="E4513" s="3">
        <v>4.25</v>
      </c>
      <c r="F4513" s="3">
        <v>10.75</v>
      </c>
      <c r="G4513" s="3">
        <v>75.12</v>
      </c>
    </row>
    <row r="4514">
      <c r="A4514" s="3">
        <v>172024.0</v>
      </c>
      <c r="B4514" s="3" t="s">
        <v>4541</v>
      </c>
      <c r="C4514" s="3" t="s">
        <v>660</v>
      </c>
      <c r="D4514" s="3">
        <v>156.0</v>
      </c>
      <c r="E4514" s="3">
        <v>1.48</v>
      </c>
      <c r="F4514" s="3">
        <v>5.67</v>
      </c>
      <c r="G4514" s="3">
        <v>30.87</v>
      </c>
    </row>
    <row r="4515">
      <c r="A4515" s="3">
        <v>172025.0</v>
      </c>
      <c r="B4515" s="3" t="s">
        <v>4542</v>
      </c>
      <c r="C4515" s="3" t="s">
        <v>660</v>
      </c>
      <c r="D4515" s="3">
        <v>361.0</v>
      </c>
      <c r="E4515" s="3">
        <v>2.55</v>
      </c>
      <c r="F4515" s="3">
        <v>13.2</v>
      </c>
      <c r="G4515" s="3">
        <v>73.3</v>
      </c>
    </row>
    <row r="4516">
      <c r="A4516" s="3">
        <v>172026.0</v>
      </c>
      <c r="B4516" s="3" t="s">
        <v>4543</v>
      </c>
      <c r="C4516" s="3" t="s">
        <v>660</v>
      </c>
      <c r="D4516" s="3">
        <v>138.0</v>
      </c>
      <c r="E4516" s="3">
        <v>1.67</v>
      </c>
      <c r="F4516" s="3">
        <v>3.46</v>
      </c>
      <c r="G4516" s="3">
        <v>32.2</v>
      </c>
    </row>
    <row r="4517">
      <c r="A4517" s="3">
        <v>172027.0</v>
      </c>
      <c r="B4517" s="3" t="s">
        <v>4544</v>
      </c>
      <c r="C4517" s="3" t="s">
        <v>660</v>
      </c>
      <c r="D4517" s="3">
        <v>152.0</v>
      </c>
      <c r="E4517" s="3">
        <v>2.07</v>
      </c>
      <c r="F4517" s="3">
        <v>3.23</v>
      </c>
      <c r="G4517" s="3">
        <v>31.11</v>
      </c>
    </row>
    <row r="4518">
      <c r="A4518" s="3">
        <v>172028.0</v>
      </c>
      <c r="B4518" s="3" t="s">
        <v>4545</v>
      </c>
      <c r="C4518" s="3" t="s">
        <v>2807</v>
      </c>
      <c r="D4518" s="3">
        <v>312.0</v>
      </c>
      <c r="E4518" s="3">
        <v>20.77</v>
      </c>
      <c r="F4518" s="3">
        <v>11.13</v>
      </c>
      <c r="G4518" s="3">
        <v>21.05</v>
      </c>
    </row>
    <row r="4519">
      <c r="A4519" s="3">
        <v>172029.0</v>
      </c>
      <c r="B4519" s="3" t="s">
        <v>4546</v>
      </c>
      <c r="C4519" s="3" t="s">
        <v>2807</v>
      </c>
      <c r="D4519" s="3">
        <v>301.0</v>
      </c>
      <c r="E4519" s="3">
        <v>17.48</v>
      </c>
      <c r="F4519" s="3">
        <v>12.01</v>
      </c>
      <c r="G4519" s="3">
        <v>24.44</v>
      </c>
    </row>
    <row r="4520">
      <c r="A4520" s="3">
        <v>172030.0</v>
      </c>
      <c r="B4520" s="3" t="s">
        <v>4547</v>
      </c>
      <c r="C4520" s="3" t="s">
        <v>2807</v>
      </c>
      <c r="D4520" s="3">
        <v>342.0</v>
      </c>
      <c r="E4520" s="3">
        <v>16.3</v>
      </c>
      <c r="F4520" s="3">
        <v>11.85</v>
      </c>
      <c r="G4520" s="3">
        <v>38.75</v>
      </c>
    </row>
    <row r="4521">
      <c r="A4521" s="3">
        <v>172031.0</v>
      </c>
      <c r="B4521" s="3" t="s">
        <v>4548</v>
      </c>
      <c r="C4521" s="3" t="s">
        <v>2807</v>
      </c>
      <c r="D4521" s="3">
        <v>371.0</v>
      </c>
      <c r="E4521" s="3">
        <v>24.42</v>
      </c>
      <c r="F4521" s="3">
        <v>9.67</v>
      </c>
      <c r="G4521" s="3">
        <v>29.99</v>
      </c>
    </row>
    <row r="4522">
      <c r="A4522" s="3">
        <v>172032.0</v>
      </c>
      <c r="B4522" s="3" t="s">
        <v>4549</v>
      </c>
      <c r="C4522" s="3" t="s">
        <v>2807</v>
      </c>
      <c r="D4522" s="3">
        <v>338.0</v>
      </c>
      <c r="E4522" s="3">
        <v>20.67</v>
      </c>
      <c r="F4522" s="3">
        <v>13.28</v>
      </c>
      <c r="G4522" s="3">
        <v>25.28</v>
      </c>
    </row>
    <row r="4523">
      <c r="A4523" s="3">
        <v>172033.0</v>
      </c>
      <c r="B4523" s="3" t="s">
        <v>4550</v>
      </c>
      <c r="C4523" s="3" t="s">
        <v>2807</v>
      </c>
      <c r="D4523" s="3">
        <v>228.0</v>
      </c>
      <c r="E4523" s="3">
        <v>9.66</v>
      </c>
      <c r="F4523" s="3">
        <v>13.64</v>
      </c>
      <c r="G4523" s="3">
        <v>21.67</v>
      </c>
    </row>
    <row r="4524">
      <c r="A4524" s="3">
        <v>172034.0</v>
      </c>
      <c r="B4524" s="3" t="s">
        <v>4551</v>
      </c>
      <c r="C4524" s="3" t="s">
        <v>2807</v>
      </c>
      <c r="D4524" s="3">
        <v>286.0</v>
      </c>
      <c r="E4524" s="3">
        <v>18.1</v>
      </c>
      <c r="F4524" s="3">
        <v>13.38</v>
      </c>
      <c r="G4524" s="3">
        <v>17.44</v>
      </c>
    </row>
    <row r="4525">
      <c r="A4525" s="3">
        <v>172035.0</v>
      </c>
      <c r="B4525" s="3" t="s">
        <v>4552</v>
      </c>
      <c r="C4525" s="3" t="s">
        <v>2807</v>
      </c>
      <c r="D4525" s="3">
        <v>340.0</v>
      </c>
      <c r="E4525" s="3">
        <v>17.74</v>
      </c>
      <c r="F4525" s="3">
        <v>6.0</v>
      </c>
      <c r="G4525" s="3">
        <v>41.21</v>
      </c>
    </row>
    <row r="4526">
      <c r="A4526" s="3">
        <v>172036.0</v>
      </c>
      <c r="B4526" s="3" t="s">
        <v>4553</v>
      </c>
      <c r="C4526" s="3" t="s">
        <v>2807</v>
      </c>
      <c r="D4526" s="3">
        <v>175.0</v>
      </c>
      <c r="E4526" s="3">
        <v>5.13</v>
      </c>
      <c r="F4526" s="3">
        <v>4.09</v>
      </c>
      <c r="G4526" s="3">
        <v>29.18</v>
      </c>
    </row>
    <row r="4527">
      <c r="A4527" s="3">
        <v>172037.0</v>
      </c>
      <c r="B4527" s="3" t="s">
        <v>4554</v>
      </c>
      <c r="C4527" s="3" t="s">
        <v>2807</v>
      </c>
      <c r="D4527" s="3">
        <v>308.0</v>
      </c>
      <c r="E4527" s="3">
        <v>18.9</v>
      </c>
      <c r="F4527" s="3">
        <v>7.84</v>
      </c>
      <c r="G4527" s="3">
        <v>27.99</v>
      </c>
    </row>
    <row r="4528">
      <c r="A4528" s="3">
        <v>172038.0</v>
      </c>
      <c r="B4528" s="3" t="s">
        <v>4555</v>
      </c>
      <c r="C4528" s="3" t="s">
        <v>2807</v>
      </c>
      <c r="D4528" s="3">
        <v>206.0</v>
      </c>
      <c r="E4528" s="3">
        <v>6.22</v>
      </c>
      <c r="F4528" s="3">
        <v>6.48</v>
      </c>
      <c r="G4528" s="3">
        <v>32.92</v>
      </c>
    </row>
    <row r="4529">
      <c r="A4529" s="3">
        <v>172039.0</v>
      </c>
      <c r="B4529" s="3" t="s">
        <v>4556</v>
      </c>
      <c r="C4529" s="3" t="s">
        <v>2807</v>
      </c>
      <c r="D4529" s="3">
        <v>205.0</v>
      </c>
      <c r="E4529" s="3">
        <v>6.05</v>
      </c>
      <c r="F4529" s="3">
        <v>7.35</v>
      </c>
      <c r="G4529" s="3">
        <v>31.23</v>
      </c>
    </row>
    <row r="4530">
      <c r="A4530" s="3">
        <v>172040.0</v>
      </c>
      <c r="B4530" s="3" t="s">
        <v>4557</v>
      </c>
      <c r="C4530" s="3" t="s">
        <v>2807</v>
      </c>
      <c r="D4530" s="3">
        <v>271.0</v>
      </c>
      <c r="E4530" s="3">
        <v>10.89</v>
      </c>
      <c r="F4530" s="3">
        <v>11.93</v>
      </c>
      <c r="G4530" s="3">
        <v>31.22</v>
      </c>
    </row>
    <row r="4531">
      <c r="A4531" s="3">
        <v>172041.0</v>
      </c>
      <c r="B4531" s="3" t="s">
        <v>4558</v>
      </c>
      <c r="C4531" s="3" t="s">
        <v>2807</v>
      </c>
      <c r="D4531" s="3">
        <v>280.0</v>
      </c>
      <c r="E4531" s="3">
        <v>12.56</v>
      </c>
      <c r="F4531" s="3">
        <v>11.73</v>
      </c>
      <c r="G4531" s="3">
        <v>29.93</v>
      </c>
    </row>
    <row r="4532">
      <c r="A4532" s="3">
        <v>172042.0</v>
      </c>
      <c r="B4532" s="3" t="s">
        <v>4559</v>
      </c>
      <c r="C4532" s="3" t="s">
        <v>2807</v>
      </c>
      <c r="D4532" s="3">
        <v>303.0</v>
      </c>
      <c r="E4532" s="3">
        <v>14.1</v>
      </c>
      <c r="F4532" s="3">
        <v>15.29</v>
      </c>
      <c r="G4532" s="3">
        <v>28.64</v>
      </c>
    </row>
    <row r="4533">
      <c r="A4533" s="3">
        <v>172043.0</v>
      </c>
      <c r="B4533" s="3" t="s">
        <v>4560</v>
      </c>
      <c r="C4533" s="3" t="s">
        <v>2807</v>
      </c>
      <c r="D4533" s="3">
        <v>298.0</v>
      </c>
      <c r="E4533" s="3">
        <v>15.1</v>
      </c>
      <c r="F4533" s="3">
        <v>12.33</v>
      </c>
      <c r="G4533" s="3">
        <v>28.18</v>
      </c>
    </row>
    <row r="4534">
      <c r="A4534" s="3">
        <v>172044.0</v>
      </c>
      <c r="B4534" s="3" t="s">
        <v>4561</v>
      </c>
      <c r="C4534" s="3" t="s">
        <v>2807</v>
      </c>
      <c r="D4534" s="3">
        <v>273.0</v>
      </c>
      <c r="E4534" s="3">
        <v>11.18</v>
      </c>
      <c r="F4534" s="3">
        <v>11.25</v>
      </c>
      <c r="G4534" s="3">
        <v>31.86</v>
      </c>
    </row>
    <row r="4535">
      <c r="A4535" s="3">
        <v>172045.0</v>
      </c>
      <c r="B4535" s="3" t="s">
        <v>4562</v>
      </c>
      <c r="C4535" s="3" t="s">
        <v>2807</v>
      </c>
      <c r="D4535" s="3">
        <v>283.0</v>
      </c>
      <c r="E4535" s="3">
        <v>12.1</v>
      </c>
      <c r="F4535" s="3">
        <v>11.52</v>
      </c>
      <c r="G4535" s="3">
        <v>31.89</v>
      </c>
    </row>
    <row r="4536">
      <c r="A4536" s="3">
        <v>172046.0</v>
      </c>
      <c r="B4536" s="3" t="s">
        <v>4563</v>
      </c>
      <c r="C4536" s="3" t="s">
        <v>2807</v>
      </c>
      <c r="D4536" s="3">
        <v>244.0</v>
      </c>
      <c r="E4536" s="3">
        <v>11.1</v>
      </c>
      <c r="F4536" s="3">
        <v>10.33</v>
      </c>
      <c r="G4536" s="3">
        <v>25.72</v>
      </c>
    </row>
    <row r="4537">
      <c r="A4537" s="3">
        <v>172047.0</v>
      </c>
      <c r="B4537" s="3" t="s">
        <v>4564</v>
      </c>
      <c r="C4537" s="3" t="s">
        <v>2807</v>
      </c>
      <c r="D4537" s="3">
        <v>265.0</v>
      </c>
      <c r="E4537" s="3">
        <v>9.54</v>
      </c>
      <c r="F4537" s="3">
        <v>13.39</v>
      </c>
      <c r="G4537" s="3">
        <v>31.5</v>
      </c>
    </row>
    <row r="4538">
      <c r="A4538" s="3">
        <v>172048.0</v>
      </c>
      <c r="B4538" s="3" t="s">
        <v>4565</v>
      </c>
      <c r="C4538" s="3" t="s">
        <v>2807</v>
      </c>
      <c r="D4538" s="3">
        <v>273.0</v>
      </c>
      <c r="E4538" s="3">
        <v>10.5</v>
      </c>
      <c r="F4538" s="3">
        <v>13.59</v>
      </c>
      <c r="G4538" s="3">
        <v>31.01</v>
      </c>
    </row>
    <row r="4539">
      <c r="A4539" s="3">
        <v>172049.0</v>
      </c>
      <c r="B4539" s="3" t="s">
        <v>4566</v>
      </c>
      <c r="C4539" s="3" t="s">
        <v>2807</v>
      </c>
      <c r="D4539" s="3">
        <v>243.0</v>
      </c>
      <c r="E4539" s="3">
        <v>11.35</v>
      </c>
      <c r="F4539" s="3">
        <v>12.12</v>
      </c>
      <c r="G4539" s="3">
        <v>23.1</v>
      </c>
    </row>
    <row r="4540">
      <c r="A4540" s="3">
        <v>172050.0</v>
      </c>
      <c r="B4540" s="3" t="s">
        <v>4567</v>
      </c>
      <c r="C4540" s="3" t="s">
        <v>2807</v>
      </c>
      <c r="D4540" s="3">
        <v>263.0</v>
      </c>
      <c r="E4540" s="3">
        <v>10.22</v>
      </c>
      <c r="F4540" s="3">
        <v>12.63</v>
      </c>
      <c r="G4540" s="3">
        <v>30.1</v>
      </c>
    </row>
    <row r="4541">
      <c r="A4541" s="3">
        <v>172051.0</v>
      </c>
      <c r="B4541" s="3" t="s">
        <v>4568</v>
      </c>
      <c r="C4541" s="3" t="s">
        <v>2807</v>
      </c>
      <c r="D4541" s="3">
        <v>306.0</v>
      </c>
      <c r="E4541" s="3">
        <v>12.8</v>
      </c>
      <c r="F4541" s="3">
        <v>13.37</v>
      </c>
      <c r="G4541" s="3">
        <v>34.22</v>
      </c>
    </row>
    <row r="4542">
      <c r="A4542" s="3">
        <v>172052.0</v>
      </c>
      <c r="B4542" s="3" t="s">
        <v>4569</v>
      </c>
      <c r="C4542" s="3" t="s">
        <v>2807</v>
      </c>
      <c r="D4542" s="3">
        <v>291.0</v>
      </c>
      <c r="E4542" s="3">
        <v>12.63</v>
      </c>
      <c r="F4542" s="3">
        <v>12.23</v>
      </c>
      <c r="G4542" s="3">
        <v>32.11</v>
      </c>
    </row>
    <row r="4543">
      <c r="A4543" s="3">
        <v>172053.0</v>
      </c>
      <c r="B4543" s="3" t="s">
        <v>4570</v>
      </c>
      <c r="C4543" s="3" t="s">
        <v>2807</v>
      </c>
      <c r="D4543" s="3">
        <v>291.0</v>
      </c>
      <c r="E4543" s="3">
        <v>13.07</v>
      </c>
      <c r="F4543" s="3">
        <v>11.47</v>
      </c>
      <c r="G4543" s="3">
        <v>31.79</v>
      </c>
    </row>
    <row r="4544">
      <c r="A4544" s="3">
        <v>172054.0</v>
      </c>
      <c r="B4544" s="3" t="s">
        <v>4571</v>
      </c>
      <c r="C4544" s="3" t="s">
        <v>2807</v>
      </c>
      <c r="D4544" s="3">
        <v>248.0</v>
      </c>
      <c r="E4544" s="3">
        <v>10.95</v>
      </c>
      <c r="F4544" s="3">
        <v>11.34</v>
      </c>
      <c r="G4544" s="3">
        <v>26.01</v>
      </c>
    </row>
    <row r="4545">
      <c r="A4545" s="3">
        <v>172055.0</v>
      </c>
      <c r="B4545" s="3" t="s">
        <v>4572</v>
      </c>
      <c r="C4545" s="3" t="s">
        <v>2807</v>
      </c>
      <c r="D4545" s="3">
        <v>244.0</v>
      </c>
      <c r="E4545" s="3">
        <v>10.9</v>
      </c>
      <c r="F4545" s="3">
        <v>11.02</v>
      </c>
      <c r="G4545" s="3">
        <v>25.38</v>
      </c>
    </row>
    <row r="4546">
      <c r="A4546" s="3">
        <v>172056.0</v>
      </c>
      <c r="B4546" s="3" t="s">
        <v>4573</v>
      </c>
      <c r="C4546" s="3" t="s">
        <v>2807</v>
      </c>
      <c r="D4546" s="3">
        <v>291.0</v>
      </c>
      <c r="E4546" s="3">
        <v>17.73</v>
      </c>
      <c r="F4546" s="3">
        <v>10.77</v>
      </c>
      <c r="G4546" s="3">
        <v>22.04</v>
      </c>
    </row>
    <row r="4547">
      <c r="A4547" s="3">
        <v>172057.0</v>
      </c>
      <c r="B4547" s="3" t="s">
        <v>4574</v>
      </c>
      <c r="C4547" s="3" t="s">
        <v>2807</v>
      </c>
      <c r="D4547" s="3">
        <v>318.0</v>
      </c>
      <c r="E4547" s="3">
        <v>17.76</v>
      </c>
      <c r="F4547" s="3">
        <v>8.41</v>
      </c>
      <c r="G4547" s="3">
        <v>31.25</v>
      </c>
    </row>
    <row r="4548">
      <c r="A4548" s="3">
        <v>172058.0</v>
      </c>
      <c r="B4548" s="3" t="s">
        <v>4575</v>
      </c>
      <c r="C4548" s="3" t="s">
        <v>2807</v>
      </c>
      <c r="D4548" s="3">
        <v>272.0</v>
      </c>
      <c r="E4548" s="3">
        <v>13.19</v>
      </c>
      <c r="F4548" s="3">
        <v>12.03</v>
      </c>
      <c r="G4548" s="3">
        <v>26.19</v>
      </c>
    </row>
    <row r="4549">
      <c r="A4549" s="3">
        <v>172059.0</v>
      </c>
      <c r="B4549" s="3" t="s">
        <v>4576</v>
      </c>
      <c r="C4549" s="3" t="s">
        <v>2807</v>
      </c>
      <c r="D4549" s="3">
        <v>312.0</v>
      </c>
      <c r="E4549" s="3">
        <v>17.76</v>
      </c>
      <c r="F4549" s="3">
        <v>8.41</v>
      </c>
      <c r="G4549" s="3">
        <v>31.25</v>
      </c>
    </row>
    <row r="4550">
      <c r="A4550" s="3">
        <v>172060.0</v>
      </c>
      <c r="B4550" s="3" t="s">
        <v>4577</v>
      </c>
      <c r="C4550" s="3" t="s">
        <v>2807</v>
      </c>
      <c r="D4550" s="3">
        <v>283.0</v>
      </c>
      <c r="E4550" s="3">
        <v>17.73</v>
      </c>
      <c r="F4550" s="3">
        <v>10.77</v>
      </c>
      <c r="G4550" s="3">
        <v>22.04</v>
      </c>
    </row>
    <row r="4551">
      <c r="A4551" s="3">
        <v>172061.0</v>
      </c>
      <c r="B4551" s="3" t="s">
        <v>4578</v>
      </c>
      <c r="C4551" s="3" t="s">
        <v>2807</v>
      </c>
      <c r="D4551" s="3">
        <v>162.0</v>
      </c>
      <c r="E4551" s="3">
        <v>4.86</v>
      </c>
      <c r="F4551" s="3">
        <v>4.24</v>
      </c>
      <c r="G4551" s="3">
        <v>26.36</v>
      </c>
    </row>
    <row r="4552">
      <c r="A4552" s="3">
        <v>172062.0</v>
      </c>
      <c r="B4552" s="3" t="s">
        <v>4579</v>
      </c>
      <c r="C4552" s="3" t="s">
        <v>2807</v>
      </c>
      <c r="D4552" s="3">
        <v>158.0</v>
      </c>
      <c r="E4552" s="3">
        <v>3.95</v>
      </c>
      <c r="F4552" s="3">
        <v>3.19</v>
      </c>
      <c r="G4552" s="3">
        <v>28.09</v>
      </c>
    </row>
    <row r="4553">
      <c r="A4553" s="3">
        <v>172063.0</v>
      </c>
      <c r="B4553" s="3" t="s">
        <v>4580</v>
      </c>
      <c r="C4553" s="3" t="s">
        <v>2807</v>
      </c>
      <c r="D4553" s="3">
        <v>277.0</v>
      </c>
      <c r="E4553" s="3">
        <v>15.63</v>
      </c>
      <c r="F4553" s="3">
        <v>11.1</v>
      </c>
      <c r="G4553" s="3">
        <v>22.97</v>
      </c>
    </row>
    <row r="4554">
      <c r="A4554" s="3">
        <v>172064.0</v>
      </c>
      <c r="B4554" s="3" t="s">
        <v>4581</v>
      </c>
      <c r="C4554" s="3" t="s">
        <v>2807</v>
      </c>
      <c r="D4554" s="3">
        <v>285.0</v>
      </c>
      <c r="E4554" s="3">
        <v>19.37</v>
      </c>
      <c r="F4554" s="3">
        <v>10.16</v>
      </c>
      <c r="G4554" s="3">
        <v>17.5</v>
      </c>
    </row>
    <row r="4555">
      <c r="A4555" s="3">
        <v>172065.0</v>
      </c>
      <c r="B4555" s="3" t="s">
        <v>4582</v>
      </c>
      <c r="C4555" s="3" t="s">
        <v>2807</v>
      </c>
      <c r="D4555" s="3">
        <v>282.0</v>
      </c>
      <c r="E4555" s="3">
        <v>16.09</v>
      </c>
      <c r="F4555" s="3">
        <v>15.5</v>
      </c>
      <c r="G4555" s="3">
        <v>18.79</v>
      </c>
    </row>
    <row r="4556">
      <c r="A4556" s="3">
        <v>172066.0</v>
      </c>
      <c r="B4556" s="3" t="s">
        <v>4583</v>
      </c>
      <c r="C4556" s="3" t="s">
        <v>2807</v>
      </c>
      <c r="D4556" s="3">
        <v>262.0</v>
      </c>
      <c r="E4556" s="3">
        <v>16.22</v>
      </c>
      <c r="F4556" s="3">
        <v>16.96</v>
      </c>
      <c r="G4556" s="3">
        <v>14.43</v>
      </c>
    </row>
    <row r="4557">
      <c r="A4557" s="3">
        <v>172067.0</v>
      </c>
      <c r="B4557" s="3" t="s">
        <v>4584</v>
      </c>
      <c r="C4557" s="3" t="s">
        <v>2807</v>
      </c>
      <c r="D4557" s="3">
        <v>234.0</v>
      </c>
      <c r="E4557" s="3">
        <v>11.57</v>
      </c>
      <c r="F4557" s="3">
        <v>12.79</v>
      </c>
      <c r="G4557" s="3">
        <v>21.01</v>
      </c>
    </row>
    <row r="4558">
      <c r="A4558" s="3">
        <v>172068.0</v>
      </c>
      <c r="B4558" s="3" t="s">
        <v>4585</v>
      </c>
      <c r="C4558" s="3" t="s">
        <v>2807</v>
      </c>
      <c r="D4558" s="3">
        <v>274.0</v>
      </c>
      <c r="E4558" s="3">
        <v>17.83</v>
      </c>
      <c r="F4558" s="3">
        <v>12.59</v>
      </c>
      <c r="G4558" s="3">
        <v>17.28</v>
      </c>
    </row>
    <row r="4559">
      <c r="A4559" s="3">
        <v>172069.0</v>
      </c>
      <c r="B4559" s="3" t="s">
        <v>4586</v>
      </c>
      <c r="C4559" s="3" t="s">
        <v>2807</v>
      </c>
      <c r="D4559" s="3">
        <v>304.0</v>
      </c>
      <c r="E4559" s="3">
        <v>18.77</v>
      </c>
      <c r="F4559" s="3">
        <v>13.45</v>
      </c>
      <c r="G4559" s="3">
        <v>22.26</v>
      </c>
    </row>
    <row r="4560">
      <c r="A4560" s="3">
        <v>172070.0</v>
      </c>
      <c r="B4560" s="3" t="s">
        <v>4587</v>
      </c>
      <c r="C4560" s="3" t="s">
        <v>2807</v>
      </c>
      <c r="D4560" s="3">
        <v>376.0</v>
      </c>
      <c r="E4560" s="3">
        <v>25.4</v>
      </c>
      <c r="F4560" s="3">
        <v>9.62</v>
      </c>
      <c r="G4560" s="3">
        <v>27.2</v>
      </c>
    </row>
    <row r="4561">
      <c r="A4561" s="3">
        <v>172071.0</v>
      </c>
      <c r="B4561" s="3" t="s">
        <v>4588</v>
      </c>
      <c r="C4561" s="3" t="s">
        <v>2807</v>
      </c>
      <c r="D4561" s="3">
        <v>311.0</v>
      </c>
      <c r="E4561" s="3">
        <v>22.26</v>
      </c>
      <c r="F4561" s="3">
        <v>11.27</v>
      </c>
      <c r="G4561" s="3">
        <v>19.28</v>
      </c>
    </row>
    <row r="4562">
      <c r="A4562" s="3">
        <v>172072.0</v>
      </c>
      <c r="B4562" s="3" t="s">
        <v>4589</v>
      </c>
      <c r="C4562" s="3" t="s">
        <v>2807</v>
      </c>
      <c r="D4562" s="3">
        <v>122.0</v>
      </c>
      <c r="E4562" s="3">
        <v>6.3</v>
      </c>
      <c r="F4562" s="3">
        <v>8.82</v>
      </c>
      <c r="G4562" s="3">
        <v>6.08</v>
      </c>
    </row>
    <row r="4563">
      <c r="A4563" s="3">
        <v>172073.0</v>
      </c>
      <c r="B4563" s="3" t="s">
        <v>4590</v>
      </c>
      <c r="C4563" s="3" t="s">
        <v>2807</v>
      </c>
      <c r="D4563" s="3">
        <v>61.0</v>
      </c>
      <c r="E4563" s="3">
        <v>3.64</v>
      </c>
      <c r="F4563" s="3">
        <v>4.14</v>
      </c>
      <c r="G4563" s="3">
        <v>4.2</v>
      </c>
    </row>
    <row r="4564">
      <c r="A4564" s="3">
        <v>172074.0</v>
      </c>
      <c r="B4564" s="3" t="s">
        <v>4591</v>
      </c>
      <c r="C4564" s="3" t="s">
        <v>2807</v>
      </c>
      <c r="D4564" s="3">
        <v>20.0</v>
      </c>
      <c r="E4564" s="3">
        <v>0.19</v>
      </c>
      <c r="F4564" s="3">
        <v>1.03</v>
      </c>
      <c r="G4564" s="3">
        <v>4.3</v>
      </c>
    </row>
    <row r="4565">
      <c r="A4565" s="3">
        <v>172075.0</v>
      </c>
      <c r="B4565" s="3" t="s">
        <v>4592</v>
      </c>
      <c r="C4565" s="3" t="s">
        <v>2807</v>
      </c>
      <c r="D4565" s="3">
        <v>105.0</v>
      </c>
      <c r="E4565" s="3">
        <v>1.3</v>
      </c>
      <c r="F4565" s="3">
        <v>2.73</v>
      </c>
      <c r="G4565" s="3">
        <v>20.72</v>
      </c>
    </row>
    <row r="4566">
      <c r="A4566" s="3">
        <v>172076.0</v>
      </c>
      <c r="B4566" s="3" t="s">
        <v>4593</v>
      </c>
      <c r="C4566" s="3" t="s">
        <v>2807</v>
      </c>
      <c r="D4566" s="3">
        <v>283.0</v>
      </c>
      <c r="E4566" s="3">
        <v>15.78</v>
      </c>
      <c r="F4566" s="3">
        <v>10.35</v>
      </c>
      <c r="G4566" s="3">
        <v>24.79</v>
      </c>
    </row>
    <row r="4567">
      <c r="A4567" s="3">
        <v>172077.0</v>
      </c>
      <c r="B4567" s="3" t="s">
        <v>4594</v>
      </c>
      <c r="C4567" s="3" t="s">
        <v>2807</v>
      </c>
      <c r="D4567" s="3">
        <v>349.0</v>
      </c>
      <c r="E4567" s="3">
        <v>17.74</v>
      </c>
      <c r="F4567" s="3">
        <v>6.0</v>
      </c>
      <c r="G4567" s="3">
        <v>41.21</v>
      </c>
    </row>
    <row r="4568">
      <c r="A4568" s="3">
        <v>172078.0</v>
      </c>
      <c r="B4568" s="3" t="s">
        <v>4595</v>
      </c>
      <c r="C4568" s="3" t="s">
        <v>2807</v>
      </c>
      <c r="D4568" s="3">
        <v>302.0</v>
      </c>
      <c r="E4568" s="3">
        <v>19.3</v>
      </c>
      <c r="F4568" s="3">
        <v>2.8</v>
      </c>
      <c r="G4568" s="3">
        <v>29.37</v>
      </c>
    </row>
    <row r="4569">
      <c r="A4569" s="3">
        <v>172079.0</v>
      </c>
      <c r="B4569" s="3" t="s">
        <v>4596</v>
      </c>
      <c r="C4569" s="3" t="s">
        <v>2807</v>
      </c>
      <c r="D4569" s="3">
        <v>403.0</v>
      </c>
      <c r="E4569" s="3">
        <v>17.95</v>
      </c>
      <c r="F4569" s="3">
        <v>7.02</v>
      </c>
      <c r="G4569" s="3">
        <v>53.38</v>
      </c>
    </row>
    <row r="4570">
      <c r="A4570" s="3">
        <v>172080.0</v>
      </c>
      <c r="B4570" s="3" t="s">
        <v>4597</v>
      </c>
      <c r="C4570" s="3" t="s">
        <v>2807</v>
      </c>
      <c r="D4570" s="3">
        <v>252.0</v>
      </c>
      <c r="E4570" s="3">
        <v>15.66</v>
      </c>
      <c r="F4570" s="3">
        <v>13.94</v>
      </c>
      <c r="G4570" s="3">
        <v>13.74</v>
      </c>
    </row>
    <row r="4571">
      <c r="A4571" s="3">
        <v>172081.0</v>
      </c>
      <c r="B4571" s="3" t="s">
        <v>4598</v>
      </c>
      <c r="C4571" s="3" t="s">
        <v>2807</v>
      </c>
      <c r="D4571" s="3">
        <v>268.0</v>
      </c>
      <c r="E4571" s="3">
        <v>15.8</v>
      </c>
      <c r="F4571" s="3">
        <v>13.69</v>
      </c>
      <c r="G4571" s="3">
        <v>17.73</v>
      </c>
    </row>
    <row r="4572">
      <c r="A4572" s="3">
        <v>172082.0</v>
      </c>
      <c r="B4572" s="3" t="s">
        <v>4599</v>
      </c>
      <c r="C4572" s="3" t="s">
        <v>2807</v>
      </c>
      <c r="D4572" s="3">
        <v>269.0</v>
      </c>
      <c r="E4572" s="3">
        <v>14.4</v>
      </c>
      <c r="F4572" s="3">
        <v>15.21</v>
      </c>
      <c r="G4572" s="3">
        <v>19.72</v>
      </c>
    </row>
    <row r="4573">
      <c r="A4573" s="3">
        <v>172083.0</v>
      </c>
      <c r="B4573" s="3" t="s">
        <v>4600</v>
      </c>
      <c r="C4573" s="3" t="s">
        <v>2807</v>
      </c>
      <c r="D4573" s="3">
        <v>253.0</v>
      </c>
      <c r="E4573" s="3">
        <v>15.63</v>
      </c>
      <c r="F4573" s="3">
        <v>15.5</v>
      </c>
      <c r="G4573" s="3">
        <v>12.62</v>
      </c>
    </row>
    <row r="4574">
      <c r="A4574" s="3">
        <v>172084.0</v>
      </c>
      <c r="B4574" s="3" t="s">
        <v>4601</v>
      </c>
      <c r="C4574" s="3" t="s">
        <v>2807</v>
      </c>
      <c r="D4574" s="3">
        <v>261.0</v>
      </c>
      <c r="E4574" s="3">
        <v>14.1</v>
      </c>
      <c r="F4574" s="3">
        <v>11.94</v>
      </c>
      <c r="G4574" s="3">
        <v>21.53</v>
      </c>
    </row>
    <row r="4575">
      <c r="A4575" s="3">
        <v>172085.0</v>
      </c>
      <c r="B4575" s="3" t="s">
        <v>4602</v>
      </c>
      <c r="C4575" s="3" t="s">
        <v>2807</v>
      </c>
      <c r="D4575" s="3">
        <v>169.0</v>
      </c>
      <c r="E4575" s="3">
        <v>5.66</v>
      </c>
      <c r="F4575" s="3">
        <v>3.97</v>
      </c>
      <c r="G4575" s="3">
        <v>25.55</v>
      </c>
    </row>
    <row r="4576">
      <c r="A4576" s="3">
        <v>172086.0</v>
      </c>
      <c r="B4576" s="3" t="s">
        <v>4603</v>
      </c>
      <c r="C4576" s="3" t="s">
        <v>2807</v>
      </c>
      <c r="D4576" s="3">
        <v>401.0</v>
      </c>
      <c r="E4576" s="3">
        <v>23.71</v>
      </c>
      <c r="F4576" s="3">
        <v>6.0</v>
      </c>
      <c r="G4576" s="3">
        <v>40.95</v>
      </c>
    </row>
    <row r="4577">
      <c r="A4577" s="3">
        <v>172087.0</v>
      </c>
      <c r="B4577" s="3" t="s">
        <v>4604</v>
      </c>
      <c r="C4577" s="3" t="s">
        <v>2807</v>
      </c>
      <c r="D4577" s="3">
        <v>161.0</v>
      </c>
      <c r="E4577" s="3">
        <v>11.18</v>
      </c>
      <c r="F4577" s="3">
        <v>0.98</v>
      </c>
      <c r="G4577" s="3">
        <v>14.12</v>
      </c>
    </row>
    <row r="4578">
      <c r="A4578" s="3">
        <v>172088.0</v>
      </c>
      <c r="B4578" s="3" t="s">
        <v>4605</v>
      </c>
      <c r="C4578" s="3" t="s">
        <v>2807</v>
      </c>
      <c r="D4578" s="3">
        <v>271.0</v>
      </c>
      <c r="E4578" s="3">
        <v>13.01</v>
      </c>
      <c r="F4578" s="3">
        <v>19.2</v>
      </c>
      <c r="G4578" s="3">
        <v>19.31</v>
      </c>
    </row>
    <row r="4579">
      <c r="A4579" s="3">
        <v>172089.0</v>
      </c>
      <c r="B4579" s="3" t="s">
        <v>4606</v>
      </c>
      <c r="C4579" s="3" t="s">
        <v>1464</v>
      </c>
      <c r="D4579" s="3">
        <v>90.0</v>
      </c>
      <c r="E4579" s="3">
        <v>1.01</v>
      </c>
      <c r="F4579" s="3">
        <v>5.05</v>
      </c>
      <c r="G4579" s="3">
        <v>15.24</v>
      </c>
    </row>
    <row r="4580">
      <c r="A4580" s="3">
        <v>172090.0</v>
      </c>
      <c r="B4580" s="3" t="s">
        <v>4607</v>
      </c>
      <c r="C4580" s="3" t="s">
        <v>1464</v>
      </c>
      <c r="D4580" s="3">
        <v>113.0</v>
      </c>
      <c r="E4580" s="3">
        <v>1.96</v>
      </c>
      <c r="F4580" s="3">
        <v>5.89</v>
      </c>
      <c r="G4580" s="3">
        <v>17.99</v>
      </c>
    </row>
    <row r="4581">
      <c r="A4581" s="3">
        <v>172091.0</v>
      </c>
      <c r="B4581" s="3" t="s">
        <v>4608</v>
      </c>
      <c r="C4581" s="3" t="s">
        <v>1464</v>
      </c>
      <c r="D4581" s="3">
        <v>90.0</v>
      </c>
      <c r="E4581" s="3">
        <v>2.38</v>
      </c>
      <c r="F4581" s="3">
        <v>4.37</v>
      </c>
      <c r="G4581" s="3">
        <v>12.7</v>
      </c>
    </row>
    <row r="4582">
      <c r="A4582" s="3">
        <v>172092.0</v>
      </c>
      <c r="B4582" s="3" t="s">
        <v>4609</v>
      </c>
      <c r="C4582" s="3" t="s">
        <v>1464</v>
      </c>
      <c r="D4582" s="3">
        <v>176.0</v>
      </c>
      <c r="E4582" s="3">
        <v>8.8</v>
      </c>
      <c r="F4582" s="3">
        <v>6.5</v>
      </c>
      <c r="G4582" s="3">
        <v>17.7</v>
      </c>
    </row>
    <row r="4583">
      <c r="A4583" s="3">
        <v>172093.0</v>
      </c>
      <c r="B4583" s="3" t="s">
        <v>4610</v>
      </c>
      <c r="C4583" s="3" t="s">
        <v>1464</v>
      </c>
      <c r="D4583" s="3">
        <v>220.0</v>
      </c>
      <c r="E4583" s="3">
        <v>11.39</v>
      </c>
      <c r="F4583" s="3">
        <v>7.25</v>
      </c>
      <c r="G4583" s="3">
        <v>22.05</v>
      </c>
    </row>
    <row r="4584">
      <c r="A4584" s="3">
        <v>172094.0</v>
      </c>
      <c r="B4584" s="3" t="s">
        <v>4611</v>
      </c>
      <c r="C4584" s="3" t="s">
        <v>1464</v>
      </c>
      <c r="D4584" s="3">
        <v>307.0</v>
      </c>
      <c r="E4584" s="3">
        <v>7.23</v>
      </c>
      <c r="F4584" s="3">
        <v>13.5</v>
      </c>
      <c r="G4584" s="3">
        <v>47.0</v>
      </c>
    </row>
    <row r="4585">
      <c r="A4585" s="3">
        <v>172095.0</v>
      </c>
      <c r="B4585" s="3" t="s">
        <v>4612</v>
      </c>
      <c r="C4585" s="3" t="s">
        <v>2807</v>
      </c>
      <c r="D4585" s="3">
        <v>274.0</v>
      </c>
      <c r="E4585" s="3">
        <v>11.52</v>
      </c>
      <c r="F4585" s="3">
        <v>11.76</v>
      </c>
      <c r="G4585" s="3">
        <v>30.76</v>
      </c>
    </row>
    <row r="4586">
      <c r="A4586" s="3">
        <v>172096.0</v>
      </c>
      <c r="B4586" s="3" t="s">
        <v>4613</v>
      </c>
      <c r="C4586" s="3" t="s">
        <v>2807</v>
      </c>
      <c r="D4586" s="3">
        <v>274.0</v>
      </c>
      <c r="E4586" s="3">
        <v>13.13</v>
      </c>
      <c r="F4586" s="3">
        <v>14.38</v>
      </c>
      <c r="G4586" s="3">
        <v>24.69</v>
      </c>
    </row>
    <row r="4587">
      <c r="A4587" s="3">
        <v>172097.0</v>
      </c>
      <c r="B4587" s="3" t="s">
        <v>4614</v>
      </c>
      <c r="C4587" s="3" t="s">
        <v>1464</v>
      </c>
      <c r="D4587" s="3">
        <v>107.0</v>
      </c>
      <c r="E4587" s="3">
        <v>3.47</v>
      </c>
      <c r="F4587" s="3">
        <v>5.8</v>
      </c>
      <c r="G4587" s="3">
        <v>13.1</v>
      </c>
    </row>
    <row r="4588">
      <c r="A4588" s="3">
        <v>172098.0</v>
      </c>
      <c r="B4588" s="3" t="s">
        <v>4615</v>
      </c>
      <c r="C4588" s="3" t="s">
        <v>1464</v>
      </c>
      <c r="D4588" s="3">
        <v>118.0</v>
      </c>
      <c r="E4588" s="3">
        <v>7.1</v>
      </c>
      <c r="F4588" s="3">
        <v>7.53</v>
      </c>
      <c r="G4588" s="3">
        <v>6.1</v>
      </c>
    </row>
    <row r="4589">
      <c r="A4589" s="3">
        <v>172099.0</v>
      </c>
      <c r="B4589" s="3" t="s">
        <v>4616</v>
      </c>
      <c r="C4589" s="3" t="s">
        <v>1464</v>
      </c>
      <c r="D4589" s="3">
        <v>100.0</v>
      </c>
      <c r="E4589" s="3">
        <v>4.11</v>
      </c>
      <c r="F4589" s="3">
        <v>4.37</v>
      </c>
      <c r="G4589" s="3">
        <v>11.45</v>
      </c>
    </row>
    <row r="4590">
      <c r="A4590" s="3">
        <v>172100.0</v>
      </c>
      <c r="B4590" s="3" t="s">
        <v>4617</v>
      </c>
      <c r="C4590" s="3" t="s">
        <v>1464</v>
      </c>
      <c r="D4590" s="3">
        <v>71.0</v>
      </c>
      <c r="E4590" s="3">
        <v>0.71</v>
      </c>
      <c r="F4590" s="3">
        <v>2.22</v>
      </c>
      <c r="G4590" s="3">
        <v>13.94</v>
      </c>
    </row>
    <row r="4591">
      <c r="A4591" s="3">
        <v>172101.0</v>
      </c>
      <c r="B4591" s="3" t="s">
        <v>4618</v>
      </c>
      <c r="C4591" s="3" t="s">
        <v>1464</v>
      </c>
      <c r="D4591" s="3">
        <v>101.0</v>
      </c>
      <c r="E4591" s="3">
        <v>2.23</v>
      </c>
      <c r="F4591" s="3">
        <v>6.81</v>
      </c>
      <c r="G4591" s="3">
        <v>13.5</v>
      </c>
    </row>
    <row r="4592">
      <c r="A4592" s="3">
        <v>172102.0</v>
      </c>
      <c r="B4592" s="3" t="s">
        <v>4619</v>
      </c>
      <c r="C4592" s="3" t="s">
        <v>1464</v>
      </c>
      <c r="D4592" s="3">
        <v>298.0</v>
      </c>
      <c r="E4592" s="3">
        <v>11.94</v>
      </c>
      <c r="F4592" s="3">
        <v>8.73</v>
      </c>
      <c r="G4592" s="3">
        <v>38.95</v>
      </c>
    </row>
    <row r="4593">
      <c r="A4593" s="3">
        <v>172103.0</v>
      </c>
      <c r="B4593" s="3" t="s">
        <v>4620</v>
      </c>
      <c r="C4593" s="3" t="s">
        <v>1464</v>
      </c>
      <c r="D4593" s="3">
        <v>227.0</v>
      </c>
      <c r="E4593" s="3">
        <v>8.18</v>
      </c>
      <c r="F4593" s="3">
        <v>9.94</v>
      </c>
      <c r="G4593" s="3">
        <v>28.49</v>
      </c>
    </row>
    <row r="4594">
      <c r="A4594" s="3">
        <v>172104.0</v>
      </c>
      <c r="B4594" s="3" t="s">
        <v>4621</v>
      </c>
      <c r="C4594" s="3" t="s">
        <v>1464</v>
      </c>
      <c r="D4594" s="3">
        <v>197.0</v>
      </c>
      <c r="E4594" s="3">
        <v>4.51</v>
      </c>
      <c r="F4594" s="3">
        <v>10.44</v>
      </c>
      <c r="G4594" s="3">
        <v>28.54</v>
      </c>
    </row>
    <row r="4595">
      <c r="A4595" s="3">
        <v>172105.0</v>
      </c>
      <c r="B4595" s="3" t="s">
        <v>4622</v>
      </c>
      <c r="C4595" s="3" t="s">
        <v>1464</v>
      </c>
      <c r="D4595" s="3">
        <v>214.0</v>
      </c>
      <c r="E4595" s="3">
        <v>6.97</v>
      </c>
      <c r="F4595" s="3">
        <v>5.95</v>
      </c>
      <c r="G4595" s="3">
        <v>31.77</v>
      </c>
    </row>
    <row r="4596">
      <c r="A4596" s="3">
        <v>172106.0</v>
      </c>
      <c r="B4596" s="3" t="s">
        <v>4623</v>
      </c>
      <c r="C4596" s="3" t="s">
        <v>1464</v>
      </c>
      <c r="D4596" s="3">
        <v>139.0</v>
      </c>
      <c r="E4596" s="3">
        <v>6.04</v>
      </c>
      <c r="F4596" s="3">
        <v>6.87</v>
      </c>
      <c r="G4596" s="3">
        <v>14.18</v>
      </c>
    </row>
    <row r="4597">
      <c r="A4597" s="3">
        <v>172107.0</v>
      </c>
      <c r="B4597" s="3" t="s">
        <v>4624</v>
      </c>
      <c r="C4597" s="3" t="s">
        <v>1464</v>
      </c>
      <c r="D4597" s="3">
        <v>252.0</v>
      </c>
      <c r="E4597" s="3">
        <v>10.23</v>
      </c>
      <c r="F4597" s="3">
        <v>9.32</v>
      </c>
      <c r="G4597" s="3">
        <v>30.68</v>
      </c>
    </row>
    <row r="4598">
      <c r="A4598" s="3">
        <v>172108.0</v>
      </c>
      <c r="B4598" s="3" t="s">
        <v>4625</v>
      </c>
      <c r="C4598" s="3" t="s">
        <v>1464</v>
      </c>
      <c r="D4598" s="3">
        <v>230.0</v>
      </c>
      <c r="E4598" s="3">
        <v>6.53</v>
      </c>
      <c r="F4598" s="3">
        <v>10.28</v>
      </c>
      <c r="G4598" s="3">
        <v>32.52</v>
      </c>
    </row>
    <row r="4599">
      <c r="A4599" s="3">
        <v>172109.0</v>
      </c>
      <c r="B4599" s="3" t="s">
        <v>4626</v>
      </c>
      <c r="C4599" s="3" t="s">
        <v>1464</v>
      </c>
      <c r="D4599" s="3">
        <v>240.0</v>
      </c>
      <c r="E4599" s="3">
        <v>7.7</v>
      </c>
      <c r="F4599" s="3">
        <v>10.49</v>
      </c>
      <c r="G4599" s="3">
        <v>32.28</v>
      </c>
    </row>
    <row r="4600">
      <c r="A4600" s="3">
        <v>172110.0</v>
      </c>
      <c r="B4600" s="3" t="s">
        <v>4627</v>
      </c>
      <c r="C4600" s="3" t="s">
        <v>1464</v>
      </c>
      <c r="D4600" s="3">
        <v>100.0</v>
      </c>
      <c r="E4600" s="3">
        <v>3.68</v>
      </c>
      <c r="F4600" s="3">
        <v>5.85</v>
      </c>
      <c r="G4600" s="3">
        <v>10.88</v>
      </c>
    </row>
    <row r="4601">
      <c r="A4601" s="3">
        <v>172111.0</v>
      </c>
      <c r="B4601" s="3" t="s">
        <v>4628</v>
      </c>
      <c r="C4601" s="3" t="s">
        <v>1464</v>
      </c>
      <c r="D4601" s="3">
        <v>268.0</v>
      </c>
      <c r="E4601" s="3">
        <v>17.31</v>
      </c>
      <c r="F4601" s="3">
        <v>12.02</v>
      </c>
      <c r="G4601" s="3">
        <v>16.09</v>
      </c>
    </row>
    <row r="4602">
      <c r="A4602" s="3">
        <v>172112.0</v>
      </c>
      <c r="B4602" s="3" t="s">
        <v>4629</v>
      </c>
      <c r="C4602" s="3" t="s">
        <v>1464</v>
      </c>
      <c r="D4602" s="3">
        <v>261.0</v>
      </c>
      <c r="E4602" s="3">
        <v>15.42</v>
      </c>
      <c r="F4602" s="3">
        <v>14.36</v>
      </c>
      <c r="G4602" s="3">
        <v>16.24</v>
      </c>
    </row>
    <row r="4603">
      <c r="A4603" s="3">
        <v>172113.0</v>
      </c>
      <c r="B4603" s="3" t="s">
        <v>4630</v>
      </c>
      <c r="C4603" s="3" t="s">
        <v>1464</v>
      </c>
      <c r="D4603" s="3">
        <v>111.0</v>
      </c>
      <c r="E4603" s="3">
        <v>2.61</v>
      </c>
      <c r="F4603" s="3">
        <v>4.52</v>
      </c>
      <c r="G4603" s="3">
        <v>17.31</v>
      </c>
    </row>
    <row r="4604">
      <c r="A4604" s="3">
        <v>172114.0</v>
      </c>
      <c r="B4604" s="3" t="s">
        <v>4631</v>
      </c>
      <c r="C4604" s="3" t="s">
        <v>1464</v>
      </c>
      <c r="D4604" s="3">
        <v>135.0</v>
      </c>
      <c r="E4604" s="3">
        <v>4.92</v>
      </c>
      <c r="F4604" s="3">
        <v>7.28</v>
      </c>
      <c r="G4604" s="3">
        <v>15.36</v>
      </c>
    </row>
    <row r="4605">
      <c r="A4605" s="3">
        <v>172115.0</v>
      </c>
      <c r="B4605" s="3" t="s">
        <v>4632</v>
      </c>
      <c r="C4605" s="3" t="s">
        <v>189</v>
      </c>
      <c r="D4605" s="3">
        <v>276.0</v>
      </c>
      <c r="E4605" s="3">
        <v>18.57</v>
      </c>
      <c r="F4605" s="3">
        <v>25.4</v>
      </c>
      <c r="G4605" s="3">
        <v>0.0</v>
      </c>
    </row>
    <row r="4606">
      <c r="A4606" s="3">
        <v>172116.0</v>
      </c>
      <c r="B4606" s="3" t="s">
        <v>4633</v>
      </c>
      <c r="C4606" s="3" t="s">
        <v>189</v>
      </c>
      <c r="D4606" s="3">
        <v>208.0</v>
      </c>
      <c r="E4606" s="3">
        <v>13.27</v>
      </c>
      <c r="F4606" s="3">
        <v>20.69</v>
      </c>
      <c r="G4606" s="3">
        <v>0.0</v>
      </c>
    </row>
    <row r="4607">
      <c r="A4607" s="3">
        <v>172117.0</v>
      </c>
      <c r="B4607" s="3" t="s">
        <v>4634</v>
      </c>
      <c r="C4607" s="3" t="s">
        <v>189</v>
      </c>
      <c r="D4607" s="3">
        <v>263.0</v>
      </c>
      <c r="E4607" s="3">
        <v>16.75</v>
      </c>
      <c r="F4607" s="3">
        <v>26.21</v>
      </c>
      <c r="G4607" s="3">
        <v>0.0</v>
      </c>
    </row>
    <row r="4608">
      <c r="A4608" s="3">
        <v>172118.0</v>
      </c>
      <c r="B4608" s="3" t="s">
        <v>4635</v>
      </c>
      <c r="C4608" s="3" t="s">
        <v>189</v>
      </c>
      <c r="D4608" s="3">
        <v>223.0</v>
      </c>
      <c r="E4608" s="3">
        <v>15.18</v>
      </c>
      <c r="F4608" s="3">
        <v>20.11</v>
      </c>
      <c r="G4608" s="3">
        <v>0.0</v>
      </c>
    </row>
    <row r="4609">
      <c r="A4609" s="3">
        <v>172119.0</v>
      </c>
      <c r="B4609" s="3" t="s">
        <v>4636</v>
      </c>
      <c r="C4609" s="3" t="s">
        <v>189</v>
      </c>
      <c r="D4609" s="3">
        <v>174.0</v>
      </c>
      <c r="E4609" s="3">
        <v>5.71</v>
      </c>
      <c r="F4609" s="3">
        <v>28.79</v>
      </c>
      <c r="G4609" s="3">
        <v>0.0</v>
      </c>
    </row>
    <row r="4610">
      <c r="A4610" s="3">
        <v>172120.0</v>
      </c>
      <c r="B4610" s="3" t="s">
        <v>4637</v>
      </c>
      <c r="C4610" s="3" t="s">
        <v>189</v>
      </c>
      <c r="D4610" s="3">
        <v>123.0</v>
      </c>
      <c r="E4610" s="3">
        <v>3.24</v>
      </c>
      <c r="F4610" s="3">
        <v>21.96</v>
      </c>
      <c r="G4610" s="3">
        <v>0.0</v>
      </c>
    </row>
    <row r="4611">
      <c r="A4611" s="3">
        <v>172121.0</v>
      </c>
      <c r="B4611" s="3" t="s">
        <v>4638</v>
      </c>
      <c r="C4611" s="3" t="s">
        <v>189</v>
      </c>
      <c r="D4611" s="3">
        <v>160.0</v>
      </c>
      <c r="E4611" s="3">
        <v>3.91</v>
      </c>
      <c r="F4611" s="3">
        <v>29.24</v>
      </c>
      <c r="G4611" s="3">
        <v>0.0</v>
      </c>
    </row>
    <row r="4612">
      <c r="A4612" s="3">
        <v>172122.0</v>
      </c>
      <c r="B4612" s="3" t="s">
        <v>4639</v>
      </c>
      <c r="C4612" s="3" t="s">
        <v>189</v>
      </c>
      <c r="D4612" s="3">
        <v>145.0</v>
      </c>
      <c r="E4612" s="3">
        <v>6.36</v>
      </c>
      <c r="F4612" s="3">
        <v>20.51</v>
      </c>
      <c r="G4612" s="3">
        <v>0.0</v>
      </c>
    </row>
    <row r="4613">
      <c r="A4613" s="3">
        <v>172123.0</v>
      </c>
      <c r="B4613" s="3" t="s">
        <v>4640</v>
      </c>
      <c r="C4613" s="3" t="s">
        <v>189</v>
      </c>
      <c r="D4613" s="3">
        <v>140.0</v>
      </c>
      <c r="E4613" s="3">
        <v>5.51</v>
      </c>
      <c r="F4613" s="3">
        <v>21.13</v>
      </c>
      <c r="G4613" s="3">
        <v>0.0</v>
      </c>
    </row>
    <row r="4614">
      <c r="A4614" s="3">
        <v>172124.0</v>
      </c>
      <c r="B4614" s="3" t="s">
        <v>4641</v>
      </c>
      <c r="C4614" s="3" t="s">
        <v>189</v>
      </c>
      <c r="D4614" s="3">
        <v>176.0</v>
      </c>
      <c r="E4614" s="3">
        <v>6.94</v>
      </c>
      <c r="F4614" s="3">
        <v>26.66</v>
      </c>
      <c r="G4614" s="3">
        <v>0.0</v>
      </c>
    </row>
    <row r="4615">
      <c r="A4615" s="3">
        <v>172125.0</v>
      </c>
      <c r="B4615" s="3" t="s">
        <v>4642</v>
      </c>
      <c r="C4615" s="3" t="s">
        <v>189</v>
      </c>
      <c r="D4615" s="3">
        <v>182.0</v>
      </c>
      <c r="E4615" s="3">
        <v>11.33</v>
      </c>
      <c r="F4615" s="3">
        <v>18.75</v>
      </c>
      <c r="G4615" s="3">
        <v>0.0</v>
      </c>
    </row>
    <row r="4616">
      <c r="A4616" s="3">
        <v>172126.0</v>
      </c>
      <c r="B4616" s="3" t="s">
        <v>4643</v>
      </c>
      <c r="C4616" s="3" t="s">
        <v>189</v>
      </c>
      <c r="D4616" s="3">
        <v>228.0</v>
      </c>
      <c r="E4616" s="3">
        <v>13.59</v>
      </c>
      <c r="F4616" s="3">
        <v>24.7</v>
      </c>
      <c r="G4616" s="3">
        <v>0.0</v>
      </c>
    </row>
    <row r="4617">
      <c r="A4617" s="3">
        <v>172127.0</v>
      </c>
      <c r="B4617" s="3" t="s">
        <v>4644</v>
      </c>
      <c r="C4617" s="3" t="s">
        <v>189</v>
      </c>
      <c r="D4617" s="3">
        <v>162.0</v>
      </c>
      <c r="E4617" s="3">
        <v>5.32</v>
      </c>
      <c r="F4617" s="3">
        <v>26.61</v>
      </c>
      <c r="G4617" s="3">
        <v>0.0</v>
      </c>
    </row>
    <row r="4618">
      <c r="A4618" s="3">
        <v>172128.0</v>
      </c>
      <c r="B4618" s="3" t="s">
        <v>4645</v>
      </c>
      <c r="C4618" s="3" t="s">
        <v>189</v>
      </c>
      <c r="D4618" s="3">
        <v>150.0</v>
      </c>
      <c r="E4618" s="3">
        <v>6.59</v>
      </c>
      <c r="F4618" s="3">
        <v>21.24</v>
      </c>
      <c r="G4618" s="3">
        <v>0.0</v>
      </c>
    </row>
    <row r="4619">
      <c r="A4619" s="3">
        <v>172129.0</v>
      </c>
      <c r="B4619" s="3" t="s">
        <v>4646</v>
      </c>
      <c r="C4619" s="3" t="s">
        <v>189</v>
      </c>
      <c r="D4619" s="3">
        <v>191.0</v>
      </c>
      <c r="E4619" s="3">
        <v>8.3</v>
      </c>
      <c r="F4619" s="3">
        <v>27.22</v>
      </c>
      <c r="G4619" s="3">
        <v>0.0</v>
      </c>
    </row>
    <row r="4620">
      <c r="A4620" s="3">
        <v>172130.0</v>
      </c>
      <c r="B4620" s="3" t="s">
        <v>4647</v>
      </c>
      <c r="C4620" s="3" t="s">
        <v>189</v>
      </c>
      <c r="D4620" s="3">
        <v>129.0</v>
      </c>
      <c r="E4620" s="3">
        <v>3.83</v>
      </c>
      <c r="F4620" s="3">
        <v>22.15</v>
      </c>
      <c r="G4620" s="3">
        <v>0.0</v>
      </c>
    </row>
    <row r="4621">
      <c r="A4621" s="3">
        <v>172131.0</v>
      </c>
      <c r="B4621" s="3" t="s">
        <v>4648</v>
      </c>
      <c r="C4621" s="3" t="s">
        <v>189</v>
      </c>
      <c r="D4621" s="3">
        <v>168.0</v>
      </c>
      <c r="E4621" s="3">
        <v>4.84</v>
      </c>
      <c r="F4621" s="3">
        <v>29.08</v>
      </c>
      <c r="G4621" s="3">
        <v>0.0</v>
      </c>
    </row>
    <row r="4622">
      <c r="A4622" s="3">
        <v>172132.0</v>
      </c>
      <c r="B4622" s="3" t="s">
        <v>4649</v>
      </c>
      <c r="C4622" s="3" t="s">
        <v>189</v>
      </c>
      <c r="D4622" s="3">
        <v>141.0</v>
      </c>
      <c r="E4622" s="3">
        <v>5.88</v>
      </c>
      <c r="F4622" s="3">
        <v>20.67</v>
      </c>
      <c r="G4622" s="3">
        <v>0.0</v>
      </c>
    </row>
    <row r="4623">
      <c r="A4623" s="3">
        <v>172133.0</v>
      </c>
      <c r="B4623" s="3" t="s">
        <v>4650</v>
      </c>
      <c r="C4623" s="3" t="s">
        <v>189</v>
      </c>
      <c r="D4623" s="3">
        <v>182.0</v>
      </c>
      <c r="E4623" s="3">
        <v>7.66</v>
      </c>
      <c r="F4623" s="3">
        <v>26.3</v>
      </c>
      <c r="G4623" s="3">
        <v>0.12</v>
      </c>
    </row>
    <row r="4624">
      <c r="A4624" s="3">
        <v>172134.0</v>
      </c>
      <c r="B4624" s="3" t="s">
        <v>4651</v>
      </c>
      <c r="C4624" s="3" t="s">
        <v>189</v>
      </c>
      <c r="D4624" s="3">
        <v>176.0</v>
      </c>
      <c r="E4624" s="3">
        <v>10.52</v>
      </c>
      <c r="F4624" s="3">
        <v>18.99</v>
      </c>
      <c r="G4624" s="3">
        <v>0.0</v>
      </c>
    </row>
    <row r="4625">
      <c r="A4625" s="3">
        <v>172135.0</v>
      </c>
      <c r="B4625" s="3" t="s">
        <v>4652</v>
      </c>
      <c r="C4625" s="3" t="s">
        <v>189</v>
      </c>
      <c r="D4625" s="3">
        <v>182.0</v>
      </c>
      <c r="E4625" s="3">
        <v>7.1</v>
      </c>
      <c r="F4625" s="3">
        <v>27.52</v>
      </c>
      <c r="G4625" s="3">
        <v>0.0</v>
      </c>
    </row>
    <row r="4626">
      <c r="A4626" s="3">
        <v>172136.0</v>
      </c>
      <c r="B4626" s="3" t="s">
        <v>4653</v>
      </c>
      <c r="C4626" s="3" t="s">
        <v>189</v>
      </c>
      <c r="D4626" s="3">
        <v>172.0</v>
      </c>
      <c r="E4626" s="3">
        <v>6.43</v>
      </c>
      <c r="F4626" s="3">
        <v>26.45</v>
      </c>
      <c r="G4626" s="3">
        <v>0.33</v>
      </c>
    </row>
    <row r="4627">
      <c r="A4627" s="3">
        <v>172137.0</v>
      </c>
      <c r="B4627" s="3" t="s">
        <v>4654</v>
      </c>
      <c r="C4627" s="3" t="s">
        <v>189</v>
      </c>
      <c r="D4627" s="3">
        <v>171.0</v>
      </c>
      <c r="E4627" s="3">
        <v>9.76</v>
      </c>
      <c r="F4627" s="3">
        <v>20.89</v>
      </c>
      <c r="G4627" s="3">
        <v>0.0</v>
      </c>
    </row>
    <row r="4628">
      <c r="A4628" s="3">
        <v>172138.0</v>
      </c>
      <c r="B4628" s="3" t="s">
        <v>4655</v>
      </c>
      <c r="C4628" s="3" t="s">
        <v>189</v>
      </c>
      <c r="D4628" s="3">
        <v>223.0</v>
      </c>
      <c r="E4628" s="3">
        <v>11.16</v>
      </c>
      <c r="F4628" s="3">
        <v>30.64</v>
      </c>
      <c r="G4628" s="3">
        <v>0.0</v>
      </c>
    </row>
    <row r="4629">
      <c r="A4629" s="3">
        <v>172139.0</v>
      </c>
      <c r="B4629" s="3" t="s">
        <v>4656</v>
      </c>
      <c r="C4629" s="3" t="s">
        <v>189</v>
      </c>
      <c r="D4629" s="3">
        <v>153.0</v>
      </c>
      <c r="E4629" s="3">
        <v>7.41</v>
      </c>
      <c r="F4629" s="3">
        <v>21.61</v>
      </c>
      <c r="G4629" s="3">
        <v>0.0</v>
      </c>
    </row>
    <row r="4630">
      <c r="A4630" s="3">
        <v>172140.0</v>
      </c>
      <c r="B4630" s="3" t="s">
        <v>4657</v>
      </c>
      <c r="C4630" s="3" t="s">
        <v>189</v>
      </c>
      <c r="D4630" s="3">
        <v>282.0</v>
      </c>
      <c r="E4630" s="3">
        <v>19.01</v>
      </c>
      <c r="F4630" s="3">
        <v>27.68</v>
      </c>
      <c r="G4630" s="3">
        <v>0.0</v>
      </c>
    </row>
    <row r="4631">
      <c r="A4631" s="3">
        <v>172141.0</v>
      </c>
      <c r="B4631" s="3" t="s">
        <v>4658</v>
      </c>
      <c r="C4631" s="3" t="s">
        <v>189</v>
      </c>
      <c r="D4631" s="3">
        <v>198.0</v>
      </c>
      <c r="E4631" s="3">
        <v>13.44</v>
      </c>
      <c r="F4631" s="3">
        <v>19.14</v>
      </c>
      <c r="G4631" s="3">
        <v>0.23</v>
      </c>
    </row>
    <row r="4632">
      <c r="A4632" s="3">
        <v>172142.0</v>
      </c>
      <c r="B4632" s="3" t="s">
        <v>4659</v>
      </c>
      <c r="C4632" s="3" t="s">
        <v>189</v>
      </c>
      <c r="D4632" s="3">
        <v>206.0</v>
      </c>
      <c r="E4632" s="3">
        <v>10.37</v>
      </c>
      <c r="F4632" s="3">
        <v>28.11</v>
      </c>
      <c r="G4632" s="3">
        <v>0.0</v>
      </c>
    </row>
    <row r="4633">
      <c r="A4633" s="3">
        <v>172143.0</v>
      </c>
      <c r="B4633" s="3" t="s">
        <v>4660</v>
      </c>
      <c r="C4633" s="3" t="s">
        <v>189</v>
      </c>
      <c r="D4633" s="3">
        <v>154.0</v>
      </c>
      <c r="E4633" s="3">
        <v>7.41</v>
      </c>
      <c r="F4633" s="3">
        <v>21.85</v>
      </c>
      <c r="G4633" s="3">
        <v>0.0</v>
      </c>
    </row>
    <row r="4634">
      <c r="A4634" s="3">
        <v>172144.0</v>
      </c>
      <c r="B4634" s="3" t="s">
        <v>4661</v>
      </c>
      <c r="C4634" s="3" t="s">
        <v>189</v>
      </c>
      <c r="D4634" s="3">
        <v>215.0</v>
      </c>
      <c r="E4634" s="3">
        <v>11.75</v>
      </c>
      <c r="F4634" s="3">
        <v>27.39</v>
      </c>
      <c r="G4634" s="3">
        <v>0.0</v>
      </c>
    </row>
    <row r="4635">
      <c r="A4635" s="3">
        <v>172145.0</v>
      </c>
      <c r="B4635" s="3" t="s">
        <v>4662</v>
      </c>
      <c r="C4635" s="3" t="s">
        <v>189</v>
      </c>
      <c r="D4635" s="3">
        <v>239.0</v>
      </c>
      <c r="E4635" s="3">
        <v>17.91</v>
      </c>
      <c r="F4635" s="3">
        <v>19.11</v>
      </c>
      <c r="G4635" s="3">
        <v>0.46</v>
      </c>
    </row>
    <row r="4636">
      <c r="A4636" s="3">
        <v>172146.0</v>
      </c>
      <c r="B4636" s="3" t="s">
        <v>4663</v>
      </c>
      <c r="C4636" s="3" t="s">
        <v>189</v>
      </c>
      <c r="D4636" s="3">
        <v>306.0</v>
      </c>
      <c r="E4636" s="3">
        <v>21.72</v>
      </c>
      <c r="F4636" s="3">
        <v>27.75</v>
      </c>
      <c r="G4636" s="3">
        <v>0.0</v>
      </c>
    </row>
    <row r="4637">
      <c r="A4637" s="3">
        <v>172147.0</v>
      </c>
      <c r="B4637" s="3" t="s">
        <v>4664</v>
      </c>
      <c r="C4637" s="3" t="s">
        <v>189</v>
      </c>
      <c r="D4637" s="3">
        <v>252.0</v>
      </c>
      <c r="E4637" s="3">
        <v>19.36</v>
      </c>
      <c r="F4637" s="3">
        <v>18.72</v>
      </c>
      <c r="G4637" s="3">
        <v>0.64</v>
      </c>
    </row>
    <row r="4638">
      <c r="A4638" s="3">
        <v>172148.0</v>
      </c>
      <c r="B4638" s="3" t="s">
        <v>4665</v>
      </c>
      <c r="C4638" s="3" t="s">
        <v>189</v>
      </c>
      <c r="D4638" s="3">
        <v>287.0</v>
      </c>
      <c r="E4638" s="3">
        <v>18.84</v>
      </c>
      <c r="F4638" s="3">
        <v>29.28</v>
      </c>
      <c r="G4638" s="3">
        <v>0.0</v>
      </c>
    </row>
    <row r="4639">
      <c r="A4639" s="3">
        <v>172149.0</v>
      </c>
      <c r="B4639" s="3" t="s">
        <v>4666</v>
      </c>
      <c r="C4639" s="3" t="s">
        <v>189</v>
      </c>
      <c r="D4639" s="3">
        <v>290.0</v>
      </c>
      <c r="E4639" s="3">
        <v>21.85</v>
      </c>
      <c r="F4639" s="3">
        <v>23.36</v>
      </c>
      <c r="G4639" s="3">
        <v>0.0</v>
      </c>
    </row>
    <row r="4640">
      <c r="A4640" s="3">
        <v>172150.0</v>
      </c>
      <c r="B4640" s="3" t="s">
        <v>4667</v>
      </c>
      <c r="C4640" s="3" t="s">
        <v>189</v>
      </c>
      <c r="D4640" s="3">
        <v>300.0</v>
      </c>
      <c r="E4640" s="3">
        <v>22.91</v>
      </c>
      <c r="F4640" s="3">
        <v>23.47</v>
      </c>
      <c r="G4640" s="3">
        <v>0.0</v>
      </c>
    </row>
    <row r="4641">
      <c r="A4641" s="3">
        <v>172151.0</v>
      </c>
      <c r="B4641" s="3" t="s">
        <v>4668</v>
      </c>
      <c r="C4641" s="3" t="s">
        <v>189</v>
      </c>
      <c r="D4641" s="3">
        <v>255.0</v>
      </c>
      <c r="E4641" s="3">
        <v>20.31</v>
      </c>
      <c r="F4641" s="3">
        <v>18.13</v>
      </c>
      <c r="G4641" s="3">
        <v>0.0</v>
      </c>
    </row>
    <row r="4642">
      <c r="A4642" s="3">
        <v>172152.0</v>
      </c>
      <c r="B4642" s="3" t="s">
        <v>4669</v>
      </c>
      <c r="C4642" s="3" t="s">
        <v>189</v>
      </c>
      <c r="D4642" s="3">
        <v>260.0</v>
      </c>
      <c r="E4642" s="3">
        <v>20.96</v>
      </c>
      <c r="F4642" s="3">
        <v>17.92</v>
      </c>
      <c r="G4642" s="3">
        <v>0.0</v>
      </c>
    </row>
    <row r="4643">
      <c r="A4643" s="3">
        <v>172153.0</v>
      </c>
      <c r="B4643" s="3" t="s">
        <v>4670</v>
      </c>
      <c r="C4643" s="3" t="s">
        <v>189</v>
      </c>
      <c r="D4643" s="3">
        <v>292.0</v>
      </c>
      <c r="E4643" s="3">
        <v>21.66</v>
      </c>
      <c r="F4643" s="3">
        <v>24.3</v>
      </c>
      <c r="G4643" s="3">
        <v>0.0</v>
      </c>
    </row>
    <row r="4644">
      <c r="A4644" s="3">
        <v>172154.0</v>
      </c>
      <c r="B4644" s="3" t="s">
        <v>4671</v>
      </c>
      <c r="C4644" s="3" t="s">
        <v>189</v>
      </c>
      <c r="D4644" s="3">
        <v>303.0</v>
      </c>
      <c r="E4644" s="3">
        <v>22.98</v>
      </c>
      <c r="F4644" s="3">
        <v>23.92</v>
      </c>
      <c r="G4644" s="3">
        <v>0.0</v>
      </c>
    </row>
    <row r="4645">
      <c r="A4645" s="3">
        <v>172155.0</v>
      </c>
      <c r="B4645" s="3" t="s">
        <v>4672</v>
      </c>
      <c r="C4645" s="3" t="s">
        <v>189</v>
      </c>
      <c r="D4645" s="3">
        <v>277.0</v>
      </c>
      <c r="E4645" s="3">
        <v>19.68</v>
      </c>
      <c r="F4645" s="3">
        <v>24.85</v>
      </c>
      <c r="G4645" s="3">
        <v>0.0</v>
      </c>
    </row>
    <row r="4646">
      <c r="A4646" s="3">
        <v>172156.0</v>
      </c>
      <c r="B4646" s="3" t="s">
        <v>4673</v>
      </c>
      <c r="C4646" s="3" t="s">
        <v>189</v>
      </c>
      <c r="D4646" s="3">
        <v>244.0</v>
      </c>
      <c r="E4646" s="3">
        <v>18.73</v>
      </c>
      <c r="F4646" s="3">
        <v>18.85</v>
      </c>
      <c r="G4646" s="3">
        <v>0.0</v>
      </c>
    </row>
    <row r="4647">
      <c r="A4647" s="3">
        <v>172157.0</v>
      </c>
      <c r="B4647" s="3" t="s">
        <v>4674</v>
      </c>
      <c r="C4647" s="3" t="s">
        <v>189</v>
      </c>
      <c r="D4647" s="3">
        <v>233.0</v>
      </c>
      <c r="E4647" s="3">
        <v>12.54</v>
      </c>
      <c r="F4647" s="3">
        <v>30.06</v>
      </c>
      <c r="G4647" s="3">
        <v>0.0</v>
      </c>
    </row>
    <row r="4648">
      <c r="A4648" s="3">
        <v>172158.0</v>
      </c>
      <c r="B4648" s="3" t="s">
        <v>4675</v>
      </c>
      <c r="C4648" s="3" t="s">
        <v>189</v>
      </c>
      <c r="D4648" s="3">
        <v>187.0</v>
      </c>
      <c r="E4648" s="3">
        <v>11.71</v>
      </c>
      <c r="F4648" s="3">
        <v>20.38</v>
      </c>
      <c r="G4648" s="3">
        <v>0.0</v>
      </c>
    </row>
    <row r="4649">
      <c r="A4649" s="3">
        <v>172159.0</v>
      </c>
      <c r="B4649" s="3" t="s">
        <v>4676</v>
      </c>
      <c r="C4649" s="3" t="s">
        <v>189</v>
      </c>
      <c r="D4649" s="3">
        <v>195.0</v>
      </c>
      <c r="E4649" s="3">
        <v>12.78</v>
      </c>
      <c r="F4649" s="3">
        <v>20.06</v>
      </c>
      <c r="G4649" s="3">
        <v>0.0</v>
      </c>
    </row>
    <row r="4650">
      <c r="A4650" s="3">
        <v>172160.0</v>
      </c>
      <c r="B4650" s="3" t="s">
        <v>4677</v>
      </c>
      <c r="C4650" s="3" t="s">
        <v>189</v>
      </c>
      <c r="D4650" s="3">
        <v>174.0</v>
      </c>
      <c r="E4650" s="3">
        <v>10.11</v>
      </c>
      <c r="F4650" s="3">
        <v>20.87</v>
      </c>
      <c r="G4650" s="3">
        <v>0.0</v>
      </c>
    </row>
    <row r="4651">
      <c r="A4651" s="3">
        <v>172161.0</v>
      </c>
      <c r="B4651" s="3" t="s">
        <v>4678</v>
      </c>
      <c r="C4651" s="3" t="s">
        <v>189</v>
      </c>
      <c r="D4651" s="3">
        <v>240.0</v>
      </c>
      <c r="E4651" s="3">
        <v>14.53</v>
      </c>
      <c r="F4651" s="3">
        <v>25.07</v>
      </c>
      <c r="G4651" s="3">
        <v>0.62</v>
      </c>
    </row>
    <row r="4652">
      <c r="A4652" s="3">
        <v>172162.0</v>
      </c>
      <c r="B4652" s="3" t="s">
        <v>4679</v>
      </c>
      <c r="C4652" s="3" t="s">
        <v>189</v>
      </c>
      <c r="D4652" s="3">
        <v>238.0</v>
      </c>
      <c r="E4652" s="3">
        <v>18.44</v>
      </c>
      <c r="F4652" s="3">
        <v>17.69</v>
      </c>
      <c r="G4652" s="3">
        <v>0.35</v>
      </c>
    </row>
    <row r="4653">
      <c r="A4653" s="3">
        <v>172163.0</v>
      </c>
      <c r="B4653" s="3" t="s">
        <v>4680</v>
      </c>
      <c r="C4653" s="3" t="s">
        <v>189</v>
      </c>
      <c r="D4653" s="3">
        <v>222.0</v>
      </c>
      <c r="E4653" s="3">
        <v>16.31</v>
      </c>
      <c r="F4653" s="3">
        <v>18.43</v>
      </c>
      <c r="G4653" s="3">
        <v>0.36</v>
      </c>
    </row>
    <row r="4654">
      <c r="A4654" s="3">
        <v>172164.0</v>
      </c>
      <c r="B4654" s="3" t="s">
        <v>4681</v>
      </c>
      <c r="C4654" s="3" t="s">
        <v>189</v>
      </c>
      <c r="D4654" s="3">
        <v>271.0</v>
      </c>
      <c r="E4654" s="3">
        <v>19.02</v>
      </c>
      <c r="F4654" s="3">
        <v>24.85</v>
      </c>
      <c r="G4654" s="3">
        <v>0.0</v>
      </c>
    </row>
    <row r="4655">
      <c r="A4655" s="3">
        <v>172165.0</v>
      </c>
      <c r="B4655" s="3" t="s">
        <v>4682</v>
      </c>
      <c r="C4655" s="3" t="s">
        <v>189</v>
      </c>
      <c r="D4655" s="3">
        <v>285.0</v>
      </c>
      <c r="E4655" s="3">
        <v>21.1</v>
      </c>
      <c r="F4655" s="3">
        <v>23.89</v>
      </c>
      <c r="G4655" s="3">
        <v>0.0</v>
      </c>
    </row>
    <row r="4656">
      <c r="A4656" s="3">
        <v>172166.0</v>
      </c>
      <c r="B4656" s="3" t="s">
        <v>4683</v>
      </c>
      <c r="C4656" s="3" t="s">
        <v>189</v>
      </c>
      <c r="D4656" s="3">
        <v>360.0</v>
      </c>
      <c r="E4656" s="3">
        <v>29.21</v>
      </c>
      <c r="F4656" s="3">
        <v>24.23</v>
      </c>
      <c r="G4656" s="3">
        <v>0.0</v>
      </c>
    </row>
    <row r="4657">
      <c r="A4657" s="3">
        <v>172167.0</v>
      </c>
      <c r="B4657" s="3" t="s">
        <v>4684</v>
      </c>
      <c r="C4657" s="3" t="s">
        <v>189</v>
      </c>
      <c r="D4657" s="3">
        <v>372.0</v>
      </c>
      <c r="E4657" s="3">
        <v>30.95</v>
      </c>
      <c r="F4657" s="3">
        <v>23.34</v>
      </c>
      <c r="G4657" s="3">
        <v>0.0</v>
      </c>
    </row>
    <row r="4658">
      <c r="A4658" s="3">
        <v>172168.0</v>
      </c>
      <c r="B4658" s="3" t="s">
        <v>4685</v>
      </c>
      <c r="C4658" s="3" t="s">
        <v>189</v>
      </c>
      <c r="D4658" s="3">
        <v>341.0</v>
      </c>
      <c r="E4658" s="3">
        <v>26.59</v>
      </c>
      <c r="F4658" s="3">
        <v>25.56</v>
      </c>
      <c r="G4658" s="3">
        <v>0.0</v>
      </c>
    </row>
    <row r="4659">
      <c r="A4659" s="3">
        <v>172169.0</v>
      </c>
      <c r="B4659" s="3" t="s">
        <v>4686</v>
      </c>
      <c r="C4659" s="3" t="s">
        <v>189</v>
      </c>
      <c r="D4659" s="3">
        <v>324.0</v>
      </c>
      <c r="E4659" s="3">
        <v>28.42</v>
      </c>
      <c r="F4659" s="3">
        <v>16.15</v>
      </c>
      <c r="G4659" s="3">
        <v>0.78</v>
      </c>
    </row>
    <row r="4660">
      <c r="A4660" s="3">
        <v>172170.0</v>
      </c>
      <c r="B4660" s="3" t="s">
        <v>4687</v>
      </c>
      <c r="C4660" s="3" t="s">
        <v>189</v>
      </c>
      <c r="D4660" s="3">
        <v>181.0</v>
      </c>
      <c r="E4660" s="3">
        <v>7.23</v>
      </c>
      <c r="F4660" s="3">
        <v>28.26</v>
      </c>
      <c r="G4660" s="3">
        <v>0.73</v>
      </c>
    </row>
    <row r="4661">
      <c r="A4661" s="3">
        <v>172171.0</v>
      </c>
      <c r="B4661" s="3" t="s">
        <v>4688</v>
      </c>
      <c r="C4661" s="3" t="s">
        <v>189</v>
      </c>
      <c r="D4661" s="3">
        <v>189.0</v>
      </c>
      <c r="E4661" s="3">
        <v>7.96</v>
      </c>
      <c r="F4661" s="3">
        <v>28.19</v>
      </c>
      <c r="G4661" s="3">
        <v>1.07</v>
      </c>
    </row>
    <row r="4662">
      <c r="A4662" s="3">
        <v>172172.0</v>
      </c>
      <c r="B4662" s="3" t="s">
        <v>4689</v>
      </c>
      <c r="C4662" s="3" t="s">
        <v>189</v>
      </c>
      <c r="D4662" s="3">
        <v>170.0</v>
      </c>
      <c r="E4662" s="3">
        <v>6.14</v>
      </c>
      <c r="F4662" s="3">
        <v>28.36</v>
      </c>
      <c r="G4662" s="3">
        <v>0.22</v>
      </c>
    </row>
    <row r="4663">
      <c r="A4663" s="3">
        <v>172173.0</v>
      </c>
      <c r="B4663" s="3" t="s">
        <v>4690</v>
      </c>
      <c r="C4663" s="3" t="s">
        <v>189</v>
      </c>
      <c r="D4663" s="3">
        <v>134.0</v>
      </c>
      <c r="E4663" s="3">
        <v>5.36</v>
      </c>
      <c r="F4663" s="3">
        <v>21.38</v>
      </c>
      <c r="G4663" s="3">
        <v>0.0</v>
      </c>
    </row>
    <row r="4664">
      <c r="A4664" s="3">
        <v>172174.0</v>
      </c>
      <c r="B4664" s="3" t="s">
        <v>4691</v>
      </c>
      <c r="C4664" s="3" t="s">
        <v>189</v>
      </c>
      <c r="D4664" s="3">
        <v>138.0</v>
      </c>
      <c r="E4664" s="3">
        <v>5.82</v>
      </c>
      <c r="F4664" s="3">
        <v>21.34</v>
      </c>
      <c r="G4664" s="3">
        <v>0.0</v>
      </c>
    </row>
    <row r="4665">
      <c r="A4665" s="3">
        <v>172175.0</v>
      </c>
      <c r="B4665" s="3" t="s">
        <v>4692</v>
      </c>
      <c r="C4665" s="3" t="s">
        <v>192</v>
      </c>
      <c r="D4665" s="3">
        <v>353.0</v>
      </c>
      <c r="E4665" s="3">
        <v>28.74</v>
      </c>
      <c r="F4665" s="3">
        <v>21.4</v>
      </c>
      <c r="G4665" s="3">
        <v>2.34</v>
      </c>
    </row>
    <row r="4666">
      <c r="A4666" s="3">
        <v>172176.0</v>
      </c>
      <c r="B4666" s="3" t="s">
        <v>4693</v>
      </c>
      <c r="C4666" s="3" t="s">
        <v>192</v>
      </c>
      <c r="D4666" s="3">
        <v>371.0</v>
      </c>
      <c r="E4666" s="3">
        <v>29.68</v>
      </c>
      <c r="F4666" s="3">
        <v>23.24</v>
      </c>
      <c r="G4666" s="3">
        <v>2.79</v>
      </c>
    </row>
    <row r="4667">
      <c r="A4667" s="3">
        <v>172177.0</v>
      </c>
      <c r="B4667" s="3" t="s">
        <v>4694</v>
      </c>
      <c r="C4667" s="3" t="s">
        <v>192</v>
      </c>
      <c r="D4667" s="3">
        <v>334.0</v>
      </c>
      <c r="E4667" s="3">
        <v>27.68</v>
      </c>
      <c r="F4667" s="3">
        <v>20.75</v>
      </c>
      <c r="G4667" s="3">
        <v>0.45</v>
      </c>
    </row>
    <row r="4668">
      <c r="A4668" s="3">
        <v>172178.0</v>
      </c>
      <c r="B4668" s="3" t="s">
        <v>4695</v>
      </c>
      <c r="C4668" s="3" t="s">
        <v>192</v>
      </c>
      <c r="D4668" s="3">
        <v>300.0</v>
      </c>
      <c r="E4668" s="3">
        <v>24.26</v>
      </c>
      <c r="F4668" s="3">
        <v>19.8</v>
      </c>
      <c r="G4668" s="3">
        <v>0.46</v>
      </c>
    </row>
    <row r="4669">
      <c r="A4669" s="3">
        <v>172179.0</v>
      </c>
      <c r="B4669" s="3" t="s">
        <v>4696</v>
      </c>
      <c r="C4669" s="3" t="s">
        <v>192</v>
      </c>
      <c r="D4669" s="3">
        <v>98.0</v>
      </c>
      <c r="E4669" s="3">
        <v>4.3</v>
      </c>
      <c r="F4669" s="3">
        <v>11.12</v>
      </c>
      <c r="G4669" s="3">
        <v>3.38</v>
      </c>
    </row>
    <row r="4670">
      <c r="A4670" s="3">
        <v>172180.0</v>
      </c>
      <c r="B4670" s="3" t="s">
        <v>4697</v>
      </c>
      <c r="C4670" s="3" t="s">
        <v>192</v>
      </c>
      <c r="D4670" s="3">
        <v>97.0</v>
      </c>
      <c r="E4670" s="3">
        <v>3.85</v>
      </c>
      <c r="F4670" s="3">
        <v>10.69</v>
      </c>
      <c r="G4670" s="3">
        <v>4.61</v>
      </c>
    </row>
    <row r="4671">
      <c r="A4671" s="3">
        <v>172181.0</v>
      </c>
      <c r="B4671" s="3" t="s">
        <v>4698</v>
      </c>
      <c r="C4671" s="3" t="s">
        <v>192</v>
      </c>
      <c r="D4671" s="3">
        <v>72.0</v>
      </c>
      <c r="E4671" s="3">
        <v>0.29</v>
      </c>
      <c r="F4671" s="3">
        <v>10.34</v>
      </c>
      <c r="G4671" s="3">
        <v>6.66</v>
      </c>
    </row>
    <row r="4672">
      <c r="A4672" s="3">
        <v>172182.0</v>
      </c>
      <c r="B4672" s="3" t="s">
        <v>4699</v>
      </c>
      <c r="C4672" s="3" t="s">
        <v>192</v>
      </c>
      <c r="D4672" s="3">
        <v>81.0</v>
      </c>
      <c r="E4672" s="3">
        <v>2.27</v>
      </c>
      <c r="F4672" s="3">
        <v>10.45</v>
      </c>
      <c r="G4672" s="3">
        <v>4.76</v>
      </c>
    </row>
    <row r="4673">
      <c r="A4673" s="3">
        <v>172183.0</v>
      </c>
      <c r="B4673" s="3" t="s">
        <v>4700</v>
      </c>
      <c r="C4673" s="3" t="s">
        <v>192</v>
      </c>
      <c r="D4673" s="3">
        <v>52.0</v>
      </c>
      <c r="E4673" s="3">
        <v>0.17</v>
      </c>
      <c r="F4673" s="3">
        <v>10.9</v>
      </c>
      <c r="G4673" s="3">
        <v>0.73</v>
      </c>
    </row>
    <row r="4674">
      <c r="A4674" s="3">
        <v>172184.0</v>
      </c>
      <c r="B4674" s="3" t="s">
        <v>4701</v>
      </c>
      <c r="C4674" s="3" t="s">
        <v>192</v>
      </c>
      <c r="D4674" s="3">
        <v>322.0</v>
      </c>
      <c r="E4674" s="3">
        <v>26.54</v>
      </c>
      <c r="F4674" s="3">
        <v>15.86</v>
      </c>
      <c r="G4674" s="3">
        <v>3.59</v>
      </c>
    </row>
    <row r="4675">
      <c r="A4675" s="3">
        <v>172185.0</v>
      </c>
      <c r="B4675" s="3" t="s">
        <v>4702</v>
      </c>
      <c r="C4675" s="3" t="s">
        <v>192</v>
      </c>
      <c r="D4675" s="3">
        <v>154.0</v>
      </c>
      <c r="E4675" s="3">
        <v>11.66</v>
      </c>
      <c r="F4675" s="3">
        <v>10.57</v>
      </c>
      <c r="G4675" s="3">
        <v>0.64</v>
      </c>
    </row>
    <row r="4676">
      <c r="A4676" s="3">
        <v>172186.0</v>
      </c>
      <c r="B4676" s="3" t="s">
        <v>4703</v>
      </c>
      <c r="C4676" s="3" t="s">
        <v>192</v>
      </c>
      <c r="D4676" s="3">
        <v>143.0</v>
      </c>
      <c r="E4676" s="3">
        <v>9.47</v>
      </c>
      <c r="F4676" s="3">
        <v>12.51</v>
      </c>
      <c r="G4676" s="3">
        <v>0.71</v>
      </c>
    </row>
    <row r="4677">
      <c r="A4677" s="3">
        <v>172187.0</v>
      </c>
      <c r="B4677" s="3" t="s">
        <v>4704</v>
      </c>
      <c r="C4677" s="3" t="s">
        <v>192</v>
      </c>
      <c r="D4677" s="3">
        <v>149.0</v>
      </c>
      <c r="E4677" s="3">
        <v>10.98</v>
      </c>
      <c r="F4677" s="3">
        <v>9.99</v>
      </c>
      <c r="G4677" s="3">
        <v>1.61</v>
      </c>
    </row>
    <row r="4678">
      <c r="A4678" s="3">
        <v>172188.0</v>
      </c>
      <c r="B4678" s="3" t="s">
        <v>4705</v>
      </c>
      <c r="C4678" s="3" t="s">
        <v>192</v>
      </c>
      <c r="D4678" s="3">
        <v>592.0</v>
      </c>
      <c r="E4678" s="3">
        <v>43.9</v>
      </c>
      <c r="F4678" s="3">
        <v>48.05</v>
      </c>
      <c r="G4678" s="3">
        <v>1.13</v>
      </c>
    </row>
    <row r="4679">
      <c r="A4679" s="3">
        <v>172189.0</v>
      </c>
      <c r="B4679" s="3" t="s">
        <v>4706</v>
      </c>
      <c r="C4679" s="3" t="s">
        <v>192</v>
      </c>
      <c r="D4679" s="3">
        <v>185.0</v>
      </c>
      <c r="E4679" s="3">
        <v>13.77</v>
      </c>
      <c r="F4679" s="3">
        <v>12.81</v>
      </c>
      <c r="G4679" s="3">
        <v>1.45</v>
      </c>
    </row>
    <row r="4680">
      <c r="A4680" s="3">
        <v>172190.0</v>
      </c>
      <c r="B4680" s="3" t="s">
        <v>4707</v>
      </c>
      <c r="C4680" s="3" t="s">
        <v>192</v>
      </c>
      <c r="D4680" s="3">
        <v>185.0</v>
      </c>
      <c r="E4680" s="3">
        <v>13.27</v>
      </c>
      <c r="F4680" s="3">
        <v>13.87</v>
      </c>
      <c r="G4680" s="3">
        <v>1.35</v>
      </c>
    </row>
    <row r="4681">
      <c r="A4681" s="3">
        <v>172191.0</v>
      </c>
      <c r="B4681" s="3" t="s">
        <v>4708</v>
      </c>
      <c r="C4681" s="3" t="s">
        <v>192</v>
      </c>
      <c r="D4681" s="3">
        <v>158.0</v>
      </c>
      <c r="E4681" s="3">
        <v>11.09</v>
      </c>
      <c r="F4681" s="3">
        <v>13.05</v>
      </c>
      <c r="G4681" s="3">
        <v>0.41</v>
      </c>
    </row>
    <row r="4682">
      <c r="A4682" s="3">
        <v>172192.0</v>
      </c>
      <c r="B4682" s="3" t="s">
        <v>4709</v>
      </c>
      <c r="C4682" s="3" t="s">
        <v>192</v>
      </c>
      <c r="D4682" s="3">
        <v>171.0</v>
      </c>
      <c r="E4682" s="3">
        <v>11.88</v>
      </c>
      <c r="F4682" s="3">
        <v>13.68</v>
      </c>
      <c r="G4682" s="3">
        <v>1.15</v>
      </c>
    </row>
    <row r="4683">
      <c r="A4683" s="3">
        <v>172193.0</v>
      </c>
      <c r="B4683" s="3" t="s">
        <v>4710</v>
      </c>
      <c r="C4683" s="3" t="s">
        <v>192</v>
      </c>
      <c r="D4683" s="3">
        <v>56.0</v>
      </c>
      <c r="E4683" s="3">
        <v>1.98</v>
      </c>
      <c r="F4683" s="3">
        <v>3.95</v>
      </c>
      <c r="G4683" s="3">
        <v>5.49</v>
      </c>
    </row>
    <row r="4684">
      <c r="A4684" s="3">
        <v>172194.0</v>
      </c>
      <c r="B4684" s="3" t="s">
        <v>4711</v>
      </c>
      <c r="C4684" s="3" t="s">
        <v>192</v>
      </c>
      <c r="D4684" s="3">
        <v>134.0</v>
      </c>
      <c r="E4684" s="3">
        <v>7.56</v>
      </c>
      <c r="F4684" s="3">
        <v>6.81</v>
      </c>
      <c r="G4684" s="3">
        <v>10.04</v>
      </c>
    </row>
    <row r="4685">
      <c r="A4685" s="3">
        <v>172195.0</v>
      </c>
      <c r="B4685" s="3" t="s">
        <v>4712</v>
      </c>
      <c r="C4685" s="3" t="s">
        <v>192</v>
      </c>
      <c r="D4685" s="3">
        <v>362.0</v>
      </c>
      <c r="E4685" s="3">
        <v>0.77</v>
      </c>
      <c r="F4685" s="3">
        <v>36.16</v>
      </c>
      <c r="G4685" s="3">
        <v>51.98</v>
      </c>
    </row>
    <row r="4686">
      <c r="A4686" s="3">
        <v>172196.0</v>
      </c>
      <c r="B4686" s="3" t="s">
        <v>4713</v>
      </c>
      <c r="C4686" s="3" t="s">
        <v>192</v>
      </c>
      <c r="D4686" s="3">
        <v>358.0</v>
      </c>
      <c r="E4686" s="3">
        <v>0.72</v>
      </c>
      <c r="F4686" s="3">
        <v>35.1</v>
      </c>
      <c r="G4686" s="3">
        <v>52.19</v>
      </c>
    </row>
    <row r="4687">
      <c r="A4687" s="3">
        <v>172197.0</v>
      </c>
      <c r="B4687" s="3" t="s">
        <v>4714</v>
      </c>
      <c r="C4687" s="3" t="s">
        <v>192</v>
      </c>
      <c r="D4687" s="3">
        <v>452.0</v>
      </c>
      <c r="E4687" s="3">
        <v>35.59</v>
      </c>
      <c r="F4687" s="3">
        <v>30.52</v>
      </c>
      <c r="G4687" s="3">
        <v>2.17</v>
      </c>
    </row>
    <row r="4688">
      <c r="A4688" s="3">
        <v>172198.0</v>
      </c>
      <c r="B4688" s="3" t="s">
        <v>4715</v>
      </c>
      <c r="C4688" s="3" t="s">
        <v>192</v>
      </c>
      <c r="D4688" s="3">
        <v>248.0</v>
      </c>
      <c r="E4688" s="3">
        <v>12.22</v>
      </c>
      <c r="F4688" s="3">
        <v>11.47</v>
      </c>
      <c r="G4688" s="3">
        <v>23.67</v>
      </c>
    </row>
    <row r="4689">
      <c r="A4689" s="3">
        <v>172199.0</v>
      </c>
      <c r="B4689" s="3" t="s">
        <v>4716</v>
      </c>
      <c r="C4689" s="3" t="s">
        <v>318</v>
      </c>
      <c r="D4689" s="3">
        <v>93.0</v>
      </c>
      <c r="E4689" s="3">
        <v>1.69</v>
      </c>
      <c r="F4689" s="3">
        <v>7.64</v>
      </c>
      <c r="G4689" s="3">
        <v>11.84</v>
      </c>
    </row>
    <row r="4690">
      <c r="A4690" s="3">
        <v>172200.0</v>
      </c>
      <c r="B4690" s="3" t="s">
        <v>4717</v>
      </c>
      <c r="C4690" s="3" t="s">
        <v>192</v>
      </c>
      <c r="D4690" s="3">
        <v>197.0</v>
      </c>
      <c r="E4690" s="3">
        <v>14.92</v>
      </c>
      <c r="F4690" s="3">
        <v>10.33</v>
      </c>
      <c r="G4690" s="3">
        <v>5.48</v>
      </c>
    </row>
    <row r="4691">
      <c r="A4691" s="3">
        <v>172201.0</v>
      </c>
      <c r="B4691" s="3" t="s">
        <v>4718</v>
      </c>
      <c r="C4691" s="3" t="s">
        <v>192</v>
      </c>
      <c r="D4691" s="3">
        <v>373.0</v>
      </c>
      <c r="E4691" s="3">
        <v>29.98</v>
      </c>
      <c r="F4691" s="3">
        <v>21.44</v>
      </c>
      <c r="G4691" s="3">
        <v>4.63</v>
      </c>
    </row>
    <row r="4692">
      <c r="A4692" s="3">
        <v>172202.0</v>
      </c>
      <c r="B4692" s="3" t="s">
        <v>4719</v>
      </c>
      <c r="C4692" s="3" t="s">
        <v>192</v>
      </c>
      <c r="D4692" s="3">
        <v>147.0</v>
      </c>
      <c r="E4692" s="3">
        <v>9.95</v>
      </c>
      <c r="F4692" s="3">
        <v>12.33</v>
      </c>
      <c r="G4692" s="3">
        <v>1.01</v>
      </c>
    </row>
    <row r="4693">
      <c r="A4693" s="3">
        <v>172203.0</v>
      </c>
      <c r="B4693" s="3" t="s">
        <v>4720</v>
      </c>
      <c r="C4693" s="3" t="s">
        <v>192</v>
      </c>
      <c r="D4693" s="3">
        <v>48.0</v>
      </c>
      <c r="E4693" s="3">
        <v>0.0</v>
      </c>
      <c r="F4693" s="3">
        <v>10.2</v>
      </c>
      <c r="G4693" s="3">
        <v>1.04</v>
      </c>
    </row>
    <row r="4694">
      <c r="A4694" s="3">
        <v>172204.0</v>
      </c>
      <c r="B4694" s="3" t="s">
        <v>4721</v>
      </c>
      <c r="C4694" s="3" t="s">
        <v>192</v>
      </c>
      <c r="D4694" s="3">
        <v>382.0</v>
      </c>
      <c r="E4694" s="3">
        <v>0.0</v>
      </c>
      <c r="F4694" s="3">
        <v>81.1</v>
      </c>
      <c r="G4694" s="3">
        <v>7.8</v>
      </c>
    </row>
    <row r="4695">
      <c r="A4695" s="3">
        <v>172205.0</v>
      </c>
      <c r="B4695" s="3" t="s">
        <v>4722</v>
      </c>
      <c r="C4695" s="3" t="s">
        <v>192</v>
      </c>
      <c r="D4695" s="3">
        <v>50.0</v>
      </c>
      <c r="E4695" s="3">
        <v>1.98</v>
      </c>
      <c r="F4695" s="3">
        <v>3.3</v>
      </c>
      <c r="G4695" s="3">
        <v>4.8</v>
      </c>
    </row>
    <row r="4696">
      <c r="A4696" s="3">
        <v>172206.0</v>
      </c>
      <c r="B4696" s="3" t="s">
        <v>4723</v>
      </c>
      <c r="C4696" s="3" t="s">
        <v>192</v>
      </c>
      <c r="D4696" s="3">
        <v>370.0</v>
      </c>
      <c r="E4696" s="3">
        <v>5.0</v>
      </c>
      <c r="F4696" s="3">
        <v>40.0</v>
      </c>
      <c r="G4696" s="3">
        <v>40.0</v>
      </c>
    </row>
    <row r="4697">
      <c r="A4697" s="3">
        <v>172207.0</v>
      </c>
      <c r="B4697" s="3" t="s">
        <v>4724</v>
      </c>
      <c r="C4697" s="3" t="s">
        <v>192</v>
      </c>
      <c r="D4697" s="3">
        <v>105.0</v>
      </c>
      <c r="E4697" s="3">
        <v>1.0</v>
      </c>
      <c r="F4697" s="3">
        <v>15.69</v>
      </c>
      <c r="G4697" s="3">
        <v>7.66</v>
      </c>
    </row>
    <row r="4698">
      <c r="A4698" s="3">
        <v>172208.0</v>
      </c>
      <c r="B4698" s="3" t="s">
        <v>4725</v>
      </c>
      <c r="C4698" s="3" t="s">
        <v>192</v>
      </c>
      <c r="D4698" s="3">
        <v>112.0</v>
      </c>
      <c r="E4698" s="3">
        <v>0.0</v>
      </c>
      <c r="F4698" s="3">
        <v>3.53</v>
      </c>
      <c r="G4698" s="3">
        <v>23.53</v>
      </c>
    </row>
    <row r="4699">
      <c r="A4699" s="3">
        <v>172209.0</v>
      </c>
      <c r="B4699" s="3" t="s">
        <v>4726</v>
      </c>
      <c r="C4699" s="3" t="s">
        <v>192</v>
      </c>
      <c r="D4699" s="3">
        <v>276.0</v>
      </c>
      <c r="E4699" s="3">
        <v>21.0</v>
      </c>
      <c r="F4699" s="3">
        <v>12.0</v>
      </c>
      <c r="G4699" s="3">
        <v>9.2</v>
      </c>
    </row>
    <row r="4700">
      <c r="A4700" s="3">
        <v>172210.0</v>
      </c>
      <c r="B4700" s="3" t="s">
        <v>4727</v>
      </c>
      <c r="C4700" s="3" t="s">
        <v>192</v>
      </c>
      <c r="D4700" s="3">
        <v>152.0</v>
      </c>
      <c r="E4700" s="3">
        <v>12.0</v>
      </c>
      <c r="F4700" s="3">
        <v>4.5</v>
      </c>
      <c r="G4700" s="3">
        <v>6.5</v>
      </c>
    </row>
    <row r="4701">
      <c r="A4701" s="3">
        <v>172211.0</v>
      </c>
      <c r="B4701" s="3" t="s">
        <v>4728</v>
      </c>
      <c r="C4701" s="3" t="s">
        <v>192</v>
      </c>
      <c r="D4701" s="3">
        <v>91.0</v>
      </c>
      <c r="E4701" s="3">
        <v>1.3</v>
      </c>
      <c r="F4701" s="3">
        <v>4.7</v>
      </c>
      <c r="G4701" s="3">
        <v>15.1</v>
      </c>
    </row>
    <row r="4702">
      <c r="A4702" s="3">
        <v>172212.0</v>
      </c>
      <c r="B4702" s="3" t="s">
        <v>4729</v>
      </c>
      <c r="C4702" s="3" t="s">
        <v>192</v>
      </c>
      <c r="D4702" s="3">
        <v>59.0</v>
      </c>
      <c r="E4702" s="3">
        <v>1.4</v>
      </c>
      <c r="F4702" s="3">
        <v>2.6</v>
      </c>
      <c r="G4702" s="3">
        <v>9.0</v>
      </c>
    </row>
    <row r="4703">
      <c r="A4703" s="3">
        <v>172213.0</v>
      </c>
      <c r="B4703" s="3" t="s">
        <v>4730</v>
      </c>
      <c r="C4703" s="3" t="s">
        <v>192</v>
      </c>
      <c r="D4703" s="3">
        <v>149.0</v>
      </c>
      <c r="E4703" s="3">
        <v>5.0</v>
      </c>
      <c r="F4703" s="3">
        <v>3.0</v>
      </c>
      <c r="G4703" s="3">
        <v>25.0</v>
      </c>
    </row>
    <row r="4704">
      <c r="A4704" s="3">
        <v>172214.0</v>
      </c>
      <c r="B4704" s="3" t="s">
        <v>4731</v>
      </c>
      <c r="C4704" s="3" t="s">
        <v>192</v>
      </c>
      <c r="D4704" s="3">
        <v>482.0</v>
      </c>
      <c r="E4704" s="3">
        <v>21.47</v>
      </c>
      <c r="F4704" s="3">
        <v>0.68</v>
      </c>
      <c r="G4704" s="3">
        <v>75.42</v>
      </c>
    </row>
    <row r="4705">
      <c r="A4705" s="3">
        <v>172215.0</v>
      </c>
      <c r="B4705" s="3" t="s">
        <v>4732</v>
      </c>
      <c r="C4705" s="3" t="s">
        <v>192</v>
      </c>
      <c r="D4705" s="3">
        <v>274.0</v>
      </c>
      <c r="E4705" s="3">
        <v>17.6</v>
      </c>
      <c r="F4705" s="3">
        <v>24.7</v>
      </c>
      <c r="G4705" s="3">
        <v>3.5</v>
      </c>
    </row>
    <row r="4706">
      <c r="A4706" s="3">
        <v>172216.0</v>
      </c>
      <c r="B4706" s="3" t="s">
        <v>4733</v>
      </c>
      <c r="C4706" s="3" t="s">
        <v>192</v>
      </c>
      <c r="D4706" s="3">
        <v>282.0</v>
      </c>
      <c r="E4706" s="3">
        <v>19.4</v>
      </c>
      <c r="F4706" s="3">
        <v>24.69</v>
      </c>
      <c r="G4706" s="3">
        <v>3.41</v>
      </c>
    </row>
    <row r="4707">
      <c r="A4707" s="3">
        <v>172217.0</v>
      </c>
      <c r="B4707" s="3" t="s">
        <v>4734</v>
      </c>
      <c r="C4707" s="3" t="s">
        <v>192</v>
      </c>
      <c r="D4707" s="3">
        <v>61.0</v>
      </c>
      <c r="E4707" s="3">
        <v>3.27</v>
      </c>
      <c r="F4707" s="3">
        <v>3.15</v>
      </c>
      <c r="G4707" s="3">
        <v>4.78</v>
      </c>
    </row>
    <row r="4708">
      <c r="A4708" s="3">
        <v>172218.0</v>
      </c>
      <c r="B4708" s="3" t="s">
        <v>4735</v>
      </c>
      <c r="C4708" s="3" t="s">
        <v>192</v>
      </c>
      <c r="D4708" s="3">
        <v>105.0</v>
      </c>
      <c r="E4708" s="3">
        <v>1.41</v>
      </c>
      <c r="F4708" s="3">
        <v>4.86</v>
      </c>
      <c r="G4708" s="3">
        <v>18.6</v>
      </c>
    </row>
    <row r="4709">
      <c r="A4709" s="3">
        <v>172219.0</v>
      </c>
      <c r="B4709" s="3" t="s">
        <v>4736</v>
      </c>
      <c r="C4709" s="3" t="s">
        <v>192</v>
      </c>
      <c r="D4709" s="3">
        <v>85.0</v>
      </c>
      <c r="E4709" s="3">
        <v>1.25</v>
      </c>
      <c r="F4709" s="3">
        <v>4.93</v>
      </c>
      <c r="G4709" s="3">
        <v>13.8</v>
      </c>
    </row>
    <row r="4710">
      <c r="A4710" s="3">
        <v>172220.0</v>
      </c>
      <c r="B4710" s="3" t="s">
        <v>4737</v>
      </c>
      <c r="C4710" s="3" t="s">
        <v>192</v>
      </c>
      <c r="D4710" s="3">
        <v>43.0</v>
      </c>
      <c r="E4710" s="3">
        <v>0.18</v>
      </c>
      <c r="F4710" s="3">
        <v>3.86</v>
      </c>
      <c r="G4710" s="3">
        <v>7.5</v>
      </c>
    </row>
    <row r="4711">
      <c r="A4711" s="3">
        <v>172221.0</v>
      </c>
      <c r="B4711" s="3" t="s">
        <v>4738</v>
      </c>
      <c r="C4711" s="3" t="s">
        <v>192</v>
      </c>
      <c r="D4711" s="3">
        <v>112.0</v>
      </c>
      <c r="E4711" s="3">
        <v>0.0</v>
      </c>
      <c r="F4711" s="3">
        <v>3.53</v>
      </c>
      <c r="G4711" s="3">
        <v>23.53</v>
      </c>
    </row>
    <row r="4712">
      <c r="A4712" s="3">
        <v>172222.0</v>
      </c>
      <c r="B4712" s="3" t="s">
        <v>4739</v>
      </c>
      <c r="C4712" s="3" t="s">
        <v>192</v>
      </c>
      <c r="D4712" s="3">
        <v>325.0</v>
      </c>
      <c r="E4712" s="3">
        <v>24.35</v>
      </c>
      <c r="F4712" s="3">
        <v>24.51</v>
      </c>
      <c r="G4712" s="3">
        <v>2.04</v>
      </c>
    </row>
    <row r="4713">
      <c r="A4713" s="3">
        <v>172223.0</v>
      </c>
      <c r="B4713" s="3" t="s">
        <v>4740</v>
      </c>
      <c r="C4713" s="3" t="s">
        <v>192</v>
      </c>
      <c r="D4713" s="3">
        <v>299.0</v>
      </c>
      <c r="E4713" s="3">
        <v>23.82</v>
      </c>
      <c r="F4713" s="3">
        <v>18.09</v>
      </c>
      <c r="G4713" s="3">
        <v>2.98</v>
      </c>
    </row>
    <row r="4714">
      <c r="A4714" s="3">
        <v>172224.0</v>
      </c>
      <c r="B4714" s="3" t="s">
        <v>4741</v>
      </c>
      <c r="C4714" s="3" t="s">
        <v>192</v>
      </c>
      <c r="D4714" s="3">
        <v>310.0</v>
      </c>
      <c r="E4714" s="3">
        <v>24.31</v>
      </c>
      <c r="F4714" s="3">
        <v>20.38</v>
      </c>
      <c r="G4714" s="3">
        <v>2.53</v>
      </c>
    </row>
    <row r="4715">
      <c r="A4715" s="3">
        <v>172225.0</v>
      </c>
      <c r="B4715" s="3" t="s">
        <v>4742</v>
      </c>
      <c r="C4715" s="3" t="s">
        <v>192</v>
      </c>
      <c r="D4715" s="3">
        <v>62.0</v>
      </c>
      <c r="E4715" s="3">
        <v>3.31</v>
      </c>
      <c r="F4715" s="3">
        <v>3.21</v>
      </c>
      <c r="G4715" s="3">
        <v>4.88</v>
      </c>
    </row>
    <row r="4716">
      <c r="A4716" s="3">
        <v>172226.0</v>
      </c>
      <c r="B4716" s="3" t="s">
        <v>4743</v>
      </c>
      <c r="C4716" s="3" t="s">
        <v>192</v>
      </c>
      <c r="D4716" s="3">
        <v>237.0</v>
      </c>
      <c r="E4716" s="3">
        <v>8.57</v>
      </c>
      <c r="F4716" s="3">
        <v>4.29</v>
      </c>
      <c r="G4716" s="3">
        <v>37.14</v>
      </c>
    </row>
    <row r="4717">
      <c r="A4717" s="3">
        <v>172227.0</v>
      </c>
      <c r="B4717" s="3" t="s">
        <v>4744</v>
      </c>
      <c r="C4717" s="3" t="s">
        <v>192</v>
      </c>
      <c r="D4717" s="3">
        <v>240.0</v>
      </c>
      <c r="E4717" s="3">
        <v>7.4</v>
      </c>
      <c r="F4717" s="3">
        <v>3.7</v>
      </c>
      <c r="G4717" s="3">
        <v>39.6</v>
      </c>
    </row>
    <row r="4718">
      <c r="A4718" s="3">
        <v>172228.0</v>
      </c>
      <c r="B4718" s="3" t="s">
        <v>4745</v>
      </c>
      <c r="C4718" s="3" t="s">
        <v>192</v>
      </c>
      <c r="D4718" s="3">
        <v>354.0</v>
      </c>
      <c r="E4718" s="3">
        <v>21.88</v>
      </c>
      <c r="F4718" s="3">
        <v>5.21</v>
      </c>
      <c r="G4718" s="3">
        <v>34.38</v>
      </c>
    </row>
    <row r="4719">
      <c r="A4719" s="3">
        <v>172229.0</v>
      </c>
      <c r="B4719" s="3" t="s">
        <v>4746</v>
      </c>
      <c r="C4719" s="3" t="s">
        <v>192</v>
      </c>
      <c r="D4719" s="3">
        <v>186.0</v>
      </c>
      <c r="E4719" s="3">
        <v>3.04</v>
      </c>
      <c r="F4719" s="3">
        <v>4.29</v>
      </c>
      <c r="G4719" s="3">
        <v>39.64</v>
      </c>
    </row>
    <row r="4720">
      <c r="A4720" s="3">
        <v>172230.0</v>
      </c>
      <c r="B4720" s="3" t="s">
        <v>4747</v>
      </c>
      <c r="C4720" s="3" t="s">
        <v>192</v>
      </c>
      <c r="D4720" s="3">
        <v>200.0</v>
      </c>
      <c r="E4720" s="3">
        <v>2.86</v>
      </c>
      <c r="F4720" s="3">
        <v>5.71</v>
      </c>
      <c r="G4720" s="3">
        <v>42.86</v>
      </c>
    </row>
    <row r="4721">
      <c r="A4721" s="3">
        <v>172231.0</v>
      </c>
      <c r="B4721" s="3" t="s">
        <v>4748</v>
      </c>
      <c r="C4721" s="3" t="s">
        <v>3434</v>
      </c>
      <c r="D4721" s="3">
        <v>312.0</v>
      </c>
      <c r="E4721" s="3">
        <v>3.25</v>
      </c>
      <c r="F4721" s="3">
        <v>9.68</v>
      </c>
      <c r="G4721" s="3">
        <v>67.14</v>
      </c>
    </row>
    <row r="4722">
      <c r="A4722" s="3">
        <v>172232.0</v>
      </c>
      <c r="B4722" s="3" t="s">
        <v>4749</v>
      </c>
      <c r="C4722" s="3" t="s">
        <v>3434</v>
      </c>
      <c r="D4722" s="3">
        <v>23.0</v>
      </c>
      <c r="E4722" s="3">
        <v>0.64</v>
      </c>
      <c r="F4722" s="3">
        <v>3.15</v>
      </c>
      <c r="G4722" s="3">
        <v>2.65</v>
      </c>
    </row>
    <row r="4723">
      <c r="A4723" s="3">
        <v>172233.0</v>
      </c>
      <c r="B4723" s="3" t="s">
        <v>4750</v>
      </c>
      <c r="C4723" s="3" t="s">
        <v>3434</v>
      </c>
      <c r="D4723" s="3">
        <v>43.0</v>
      </c>
      <c r="E4723" s="3">
        <v>1.12</v>
      </c>
      <c r="F4723" s="3">
        <v>3.46</v>
      </c>
      <c r="G4723" s="3">
        <v>7.02</v>
      </c>
    </row>
    <row r="4724">
      <c r="A4724" s="3">
        <v>172234.0</v>
      </c>
      <c r="B4724" s="3" t="s">
        <v>4751</v>
      </c>
      <c r="C4724" s="3" t="s">
        <v>3434</v>
      </c>
      <c r="D4724" s="3">
        <v>60.0</v>
      </c>
      <c r="E4724" s="3">
        <v>3.34</v>
      </c>
      <c r="F4724" s="3">
        <v>3.74</v>
      </c>
      <c r="G4724" s="3">
        <v>5.83</v>
      </c>
    </row>
    <row r="4725">
      <c r="A4725" s="3">
        <v>172235.0</v>
      </c>
      <c r="B4725" s="3" t="s">
        <v>4752</v>
      </c>
      <c r="C4725" s="3" t="s">
        <v>3434</v>
      </c>
      <c r="D4725" s="3">
        <v>237.0</v>
      </c>
      <c r="E4725" s="3">
        <v>0.0</v>
      </c>
      <c r="F4725" s="3">
        <v>0.05</v>
      </c>
      <c r="G4725" s="3">
        <v>2.41</v>
      </c>
    </row>
    <row r="4726">
      <c r="A4726" s="3">
        <v>172236.0</v>
      </c>
      <c r="B4726" s="3" t="s">
        <v>4753</v>
      </c>
      <c r="C4726" s="3" t="s">
        <v>3434</v>
      </c>
      <c r="D4726" s="3">
        <v>56.0</v>
      </c>
      <c r="E4726" s="3">
        <v>0.0</v>
      </c>
      <c r="F4726" s="3">
        <v>0.03</v>
      </c>
      <c r="G4726" s="3">
        <v>14.4</v>
      </c>
    </row>
    <row r="4727">
      <c r="A4727" s="3">
        <v>172237.0</v>
      </c>
      <c r="B4727" s="3" t="s">
        <v>4754</v>
      </c>
      <c r="C4727" s="3" t="s">
        <v>3434</v>
      </c>
      <c r="D4727" s="3">
        <v>18.0</v>
      </c>
      <c r="E4727" s="3">
        <v>0.0</v>
      </c>
      <c r="F4727" s="3">
        <v>0.0</v>
      </c>
      <c r="G4727" s="3">
        <v>0.04</v>
      </c>
    </row>
    <row r="4728">
      <c r="A4728" s="3">
        <v>172238.0</v>
      </c>
      <c r="B4728" s="3" t="s">
        <v>4755</v>
      </c>
      <c r="C4728" s="3" t="s">
        <v>3434</v>
      </c>
      <c r="D4728" s="3">
        <v>23.0</v>
      </c>
      <c r="E4728" s="3">
        <v>0.86</v>
      </c>
      <c r="F4728" s="3">
        <v>2.36</v>
      </c>
      <c r="G4728" s="3">
        <v>4.89</v>
      </c>
    </row>
    <row r="4729">
      <c r="A4729" s="3">
        <v>172239.0</v>
      </c>
      <c r="B4729" s="3" t="s">
        <v>4756</v>
      </c>
      <c r="C4729" s="3" t="s">
        <v>3434</v>
      </c>
      <c r="D4729" s="3">
        <v>285.0</v>
      </c>
      <c r="E4729" s="3">
        <v>6.03</v>
      </c>
      <c r="F4729" s="3">
        <v>19.93</v>
      </c>
      <c r="G4729" s="3">
        <v>52.04</v>
      </c>
    </row>
    <row r="4730">
      <c r="A4730" s="3">
        <v>172240.0</v>
      </c>
      <c r="B4730" s="3" t="s">
        <v>4757</v>
      </c>
      <c r="C4730" s="3" t="s">
        <v>3434</v>
      </c>
      <c r="D4730" s="3">
        <v>19.0</v>
      </c>
      <c r="E4730" s="3">
        <v>0.0</v>
      </c>
      <c r="F4730" s="3">
        <v>0.04</v>
      </c>
      <c r="G4730" s="3">
        <v>0.27</v>
      </c>
    </row>
    <row r="4731">
      <c r="A4731" s="3">
        <v>172241.0</v>
      </c>
      <c r="B4731" s="3" t="s">
        <v>4758</v>
      </c>
      <c r="C4731" s="3" t="s">
        <v>3434</v>
      </c>
      <c r="D4731" s="3">
        <v>88.0</v>
      </c>
      <c r="E4731" s="3">
        <v>0.0</v>
      </c>
      <c r="F4731" s="3">
        <v>0.49</v>
      </c>
      <c r="G4731" s="3">
        <v>17.03</v>
      </c>
    </row>
    <row r="4732">
      <c r="A4732" s="3">
        <v>172242.0</v>
      </c>
      <c r="B4732" s="3" t="s">
        <v>4759</v>
      </c>
      <c r="C4732" s="3" t="s">
        <v>3434</v>
      </c>
      <c r="D4732" s="3">
        <v>0.0</v>
      </c>
      <c r="E4732" s="3">
        <v>0.0</v>
      </c>
      <c r="F4732" s="3">
        <v>0.0</v>
      </c>
      <c r="G4732" s="3">
        <v>0.0</v>
      </c>
    </row>
    <row r="4733">
      <c r="A4733" s="3">
        <v>172243.0</v>
      </c>
      <c r="B4733" s="3" t="s">
        <v>4760</v>
      </c>
      <c r="C4733" s="3" t="s">
        <v>3434</v>
      </c>
      <c r="D4733" s="3">
        <v>322.0</v>
      </c>
      <c r="E4733" s="3">
        <v>0.0</v>
      </c>
      <c r="F4733" s="3">
        <v>4.5</v>
      </c>
      <c r="G4733" s="3">
        <v>58.0</v>
      </c>
    </row>
    <row r="4734">
      <c r="A4734" s="3">
        <v>172244.0</v>
      </c>
      <c r="B4734" s="3" t="s">
        <v>4761</v>
      </c>
      <c r="C4734" s="3" t="s">
        <v>196</v>
      </c>
      <c r="D4734" s="3">
        <v>81.0</v>
      </c>
      <c r="E4734" s="3">
        <v>2.52</v>
      </c>
      <c r="F4734" s="3">
        <v>12.03</v>
      </c>
      <c r="G4734" s="3">
        <v>2.43</v>
      </c>
    </row>
    <row r="4735">
      <c r="A4735" s="3">
        <v>172245.0</v>
      </c>
      <c r="B4735" s="3" t="s">
        <v>4762</v>
      </c>
      <c r="C4735" s="3" t="s">
        <v>196</v>
      </c>
      <c r="D4735" s="3">
        <v>81.0</v>
      </c>
      <c r="E4735" s="3">
        <v>2.45</v>
      </c>
      <c r="F4735" s="3">
        <v>13.12</v>
      </c>
      <c r="G4735" s="3">
        <v>1.51</v>
      </c>
    </row>
    <row r="4736">
      <c r="A4736" s="3">
        <v>172246.0</v>
      </c>
      <c r="B4736" s="3" t="s">
        <v>4763</v>
      </c>
      <c r="C4736" s="3" t="s">
        <v>196</v>
      </c>
      <c r="D4736" s="3">
        <v>124.0</v>
      </c>
      <c r="E4736" s="3">
        <v>7.1</v>
      </c>
      <c r="F4736" s="3">
        <v>14.0</v>
      </c>
      <c r="G4736" s="3">
        <v>0.0</v>
      </c>
    </row>
    <row r="4737">
      <c r="A4737" s="3">
        <v>172247.0</v>
      </c>
      <c r="B4737" s="3" t="s">
        <v>4764</v>
      </c>
      <c r="C4737" s="3" t="s">
        <v>196</v>
      </c>
      <c r="D4737" s="3">
        <v>97.0</v>
      </c>
      <c r="E4737" s="3">
        <v>3.8</v>
      </c>
      <c r="F4737" s="3">
        <v>11.3</v>
      </c>
      <c r="G4737" s="3">
        <v>3.7</v>
      </c>
    </row>
    <row r="4738">
      <c r="A4738" s="3">
        <v>172248.0</v>
      </c>
      <c r="B4738" s="3" t="s">
        <v>4765</v>
      </c>
      <c r="C4738" s="3" t="s">
        <v>196</v>
      </c>
      <c r="D4738" s="3">
        <v>146.0</v>
      </c>
      <c r="E4738" s="3">
        <v>9.6</v>
      </c>
      <c r="F4738" s="3">
        <v>14.0</v>
      </c>
      <c r="G4738" s="3">
        <v>0.0</v>
      </c>
    </row>
    <row r="4739">
      <c r="A4739" s="3">
        <v>172249.0</v>
      </c>
      <c r="B4739" s="3" t="s">
        <v>4766</v>
      </c>
      <c r="C4739" s="3" t="s">
        <v>196</v>
      </c>
      <c r="D4739" s="3">
        <v>188.0</v>
      </c>
      <c r="E4739" s="3">
        <v>14.4</v>
      </c>
      <c r="F4739" s="3">
        <v>14.6</v>
      </c>
      <c r="G4739" s="3">
        <v>1.5</v>
      </c>
    </row>
    <row r="4740">
      <c r="A4740" s="3">
        <v>172250.0</v>
      </c>
      <c r="B4740" s="3" t="s">
        <v>4767</v>
      </c>
      <c r="C4740" s="3" t="s">
        <v>196</v>
      </c>
      <c r="D4740" s="3">
        <v>111.0</v>
      </c>
      <c r="E4740" s="3">
        <v>6.2</v>
      </c>
      <c r="F4740" s="3">
        <v>11.5</v>
      </c>
      <c r="G4740" s="3">
        <v>1.4</v>
      </c>
    </row>
    <row r="4741">
      <c r="A4741" s="3">
        <v>172251.0</v>
      </c>
      <c r="B4741" s="3" t="s">
        <v>4768</v>
      </c>
      <c r="C4741" s="3" t="s">
        <v>196</v>
      </c>
      <c r="D4741" s="3">
        <v>111.0</v>
      </c>
      <c r="E4741" s="3">
        <v>6.2</v>
      </c>
      <c r="F4741" s="3">
        <v>11.5</v>
      </c>
      <c r="G4741" s="3">
        <v>1.4</v>
      </c>
    </row>
    <row r="4742">
      <c r="A4742" s="3">
        <v>172252.0</v>
      </c>
      <c r="B4742" s="3" t="s">
        <v>4769</v>
      </c>
      <c r="C4742" s="3" t="s">
        <v>196</v>
      </c>
      <c r="D4742" s="3">
        <v>344.0</v>
      </c>
      <c r="E4742" s="3">
        <v>2.3</v>
      </c>
      <c r="F4742" s="3">
        <v>6.19</v>
      </c>
      <c r="G4742" s="3">
        <v>85.79</v>
      </c>
    </row>
    <row r="4743">
      <c r="A4743" s="3">
        <v>172253.0</v>
      </c>
      <c r="B4743" s="3" t="s">
        <v>4770</v>
      </c>
      <c r="C4743" s="3" t="s">
        <v>196</v>
      </c>
      <c r="D4743" s="3">
        <v>0.0</v>
      </c>
      <c r="E4743" s="3">
        <v>0.0</v>
      </c>
      <c r="F4743" s="3">
        <v>0.0</v>
      </c>
      <c r="G4743" s="3">
        <v>0.0</v>
      </c>
    </row>
    <row r="4744">
      <c r="A4744" s="3">
        <v>172254.0</v>
      </c>
      <c r="B4744" s="3" t="s">
        <v>4771</v>
      </c>
      <c r="C4744" s="3" t="s">
        <v>196</v>
      </c>
      <c r="D4744" s="3">
        <v>48.0</v>
      </c>
      <c r="E4744" s="3">
        <v>0.0</v>
      </c>
      <c r="F4744" s="3">
        <v>0.47</v>
      </c>
      <c r="G4744" s="3">
        <v>12.88</v>
      </c>
    </row>
    <row r="4745">
      <c r="A4745" s="3">
        <v>172255.0</v>
      </c>
      <c r="B4745" s="3" t="s">
        <v>4772</v>
      </c>
      <c r="C4745" s="3" t="s">
        <v>196</v>
      </c>
      <c r="D4745" s="3">
        <v>46.0</v>
      </c>
      <c r="E4745" s="3">
        <v>0.14</v>
      </c>
      <c r="F4745" s="3">
        <v>0.31</v>
      </c>
      <c r="G4745" s="3">
        <v>12.22</v>
      </c>
    </row>
    <row r="4746">
      <c r="A4746" s="3">
        <v>172256.0</v>
      </c>
      <c r="B4746" s="3" t="s">
        <v>4773</v>
      </c>
      <c r="C4746" s="3" t="s">
        <v>196</v>
      </c>
      <c r="D4746" s="3">
        <v>48.0</v>
      </c>
      <c r="E4746" s="3">
        <v>0.9</v>
      </c>
      <c r="F4746" s="3">
        <v>2.0</v>
      </c>
      <c r="G4746" s="3">
        <v>7.7</v>
      </c>
    </row>
    <row r="4747">
      <c r="A4747" s="3">
        <v>172257.0</v>
      </c>
      <c r="B4747" s="3" t="s">
        <v>4774</v>
      </c>
      <c r="C4747" s="3" t="s">
        <v>196</v>
      </c>
      <c r="D4747" s="3">
        <v>99.0</v>
      </c>
      <c r="E4747" s="3">
        <v>2.2</v>
      </c>
      <c r="F4747" s="3">
        <v>3.6</v>
      </c>
      <c r="G4747" s="3">
        <v>16.3</v>
      </c>
    </row>
    <row r="4748">
      <c r="A4748" s="3">
        <v>172258.0</v>
      </c>
      <c r="B4748" s="3" t="s">
        <v>4775</v>
      </c>
      <c r="C4748" s="3" t="s">
        <v>196</v>
      </c>
      <c r="D4748" s="3">
        <v>63.0</v>
      </c>
      <c r="E4748" s="3">
        <v>2.26</v>
      </c>
      <c r="F4748" s="3">
        <v>2.44</v>
      </c>
      <c r="G4748" s="3">
        <v>8.18</v>
      </c>
    </row>
    <row r="4749">
      <c r="A4749" s="3">
        <v>172259.0</v>
      </c>
      <c r="B4749" s="3" t="s">
        <v>4776</v>
      </c>
      <c r="C4749" s="3" t="s">
        <v>196</v>
      </c>
      <c r="D4749" s="3">
        <v>82.0</v>
      </c>
      <c r="E4749" s="3">
        <v>2.6</v>
      </c>
      <c r="F4749" s="3">
        <v>3.5</v>
      </c>
      <c r="G4749" s="3">
        <v>11.2</v>
      </c>
    </row>
    <row r="4750">
      <c r="A4750" s="3">
        <v>172260.0</v>
      </c>
      <c r="B4750" s="3" t="s">
        <v>4777</v>
      </c>
      <c r="C4750" s="3" t="s">
        <v>196</v>
      </c>
      <c r="D4750" s="3">
        <v>82.0</v>
      </c>
      <c r="E4750" s="3">
        <v>2.9</v>
      </c>
      <c r="F4750" s="3">
        <v>5.0</v>
      </c>
      <c r="G4750" s="3">
        <v>8.8</v>
      </c>
    </row>
    <row r="4751">
      <c r="A4751" s="3">
        <v>172261.0</v>
      </c>
      <c r="B4751" s="3" t="s">
        <v>4778</v>
      </c>
      <c r="C4751" s="3" t="s">
        <v>196</v>
      </c>
      <c r="D4751" s="3">
        <v>96.0</v>
      </c>
      <c r="E4751" s="3">
        <v>6.93</v>
      </c>
      <c r="F4751" s="3">
        <v>2.03</v>
      </c>
      <c r="G4751" s="3">
        <v>6.36</v>
      </c>
    </row>
    <row r="4752">
      <c r="A4752" s="3">
        <v>172262.0</v>
      </c>
      <c r="B4752" s="3" t="s">
        <v>4779</v>
      </c>
      <c r="C4752" s="3" t="s">
        <v>196</v>
      </c>
      <c r="D4752" s="3">
        <v>51.0</v>
      </c>
      <c r="E4752" s="3">
        <v>1.7</v>
      </c>
      <c r="F4752" s="3">
        <v>2.1</v>
      </c>
      <c r="G4752" s="3">
        <v>7.1</v>
      </c>
    </row>
    <row r="4753">
      <c r="A4753" s="3">
        <v>172263.0</v>
      </c>
      <c r="B4753" s="3" t="s">
        <v>4780</v>
      </c>
      <c r="C4753" s="3" t="s">
        <v>196</v>
      </c>
      <c r="D4753" s="3">
        <v>74.0</v>
      </c>
      <c r="E4753" s="3">
        <v>3.22</v>
      </c>
      <c r="F4753" s="3">
        <v>3.53</v>
      </c>
      <c r="G4753" s="3">
        <v>7.81</v>
      </c>
    </row>
    <row r="4754">
      <c r="A4754" s="3">
        <v>172264.0</v>
      </c>
      <c r="B4754" s="3" t="s">
        <v>4781</v>
      </c>
      <c r="C4754" s="3" t="s">
        <v>196</v>
      </c>
      <c r="D4754" s="3">
        <v>74.0</v>
      </c>
      <c r="E4754" s="3">
        <v>3.23</v>
      </c>
      <c r="F4754" s="3">
        <v>3.53</v>
      </c>
      <c r="G4754" s="3">
        <v>7.8</v>
      </c>
    </row>
    <row r="4755">
      <c r="A4755" s="3">
        <v>172265.0</v>
      </c>
      <c r="B4755" s="3" t="s">
        <v>4782</v>
      </c>
      <c r="C4755" s="3" t="s">
        <v>196</v>
      </c>
      <c r="D4755" s="3">
        <v>64.0</v>
      </c>
      <c r="E4755" s="3">
        <v>2.2</v>
      </c>
      <c r="F4755" s="3">
        <v>1.7</v>
      </c>
      <c r="G4755" s="3">
        <v>9.1</v>
      </c>
    </row>
    <row r="4756">
      <c r="A4756" s="3">
        <v>172266.0</v>
      </c>
      <c r="B4756" s="3" t="s">
        <v>4783</v>
      </c>
      <c r="C4756" s="3" t="s">
        <v>196</v>
      </c>
      <c r="D4756" s="3">
        <v>60.0</v>
      </c>
      <c r="E4756" s="3">
        <v>2.1</v>
      </c>
      <c r="F4756" s="3">
        <v>1.7</v>
      </c>
      <c r="G4756" s="3">
        <v>8.4</v>
      </c>
    </row>
    <row r="4757">
      <c r="A4757" s="3">
        <v>172267.0</v>
      </c>
      <c r="B4757" s="3" t="s">
        <v>4784</v>
      </c>
      <c r="C4757" s="3" t="s">
        <v>196</v>
      </c>
      <c r="D4757" s="3">
        <v>44.0</v>
      </c>
      <c r="E4757" s="3">
        <v>1.2</v>
      </c>
      <c r="F4757" s="3">
        <v>1.2</v>
      </c>
      <c r="G4757" s="3">
        <v>6.8</v>
      </c>
    </row>
    <row r="4758">
      <c r="A4758" s="3">
        <v>172268.0</v>
      </c>
      <c r="B4758" s="3" t="s">
        <v>4785</v>
      </c>
      <c r="C4758" s="3" t="s">
        <v>196</v>
      </c>
      <c r="D4758" s="3">
        <v>52.0</v>
      </c>
      <c r="E4758" s="3">
        <v>1.5</v>
      </c>
      <c r="F4758" s="3">
        <v>1.8</v>
      </c>
      <c r="G4758" s="3">
        <v>7.6</v>
      </c>
    </row>
    <row r="4759">
      <c r="A4759" s="3">
        <v>172269.0</v>
      </c>
      <c r="B4759" s="3" t="s">
        <v>4786</v>
      </c>
      <c r="C4759" s="3" t="s">
        <v>196</v>
      </c>
      <c r="D4759" s="3">
        <v>52.0</v>
      </c>
      <c r="E4759" s="3">
        <v>1.24</v>
      </c>
      <c r="F4759" s="3">
        <v>2.27</v>
      </c>
      <c r="G4759" s="3">
        <v>7.94</v>
      </c>
    </row>
    <row r="4760">
      <c r="A4760" s="3">
        <v>172270.0</v>
      </c>
      <c r="B4760" s="3" t="s">
        <v>4787</v>
      </c>
      <c r="C4760" s="3" t="s">
        <v>196</v>
      </c>
      <c r="D4760" s="3">
        <v>61.0</v>
      </c>
      <c r="E4760" s="3">
        <v>2.0</v>
      </c>
      <c r="F4760" s="3">
        <v>2.6</v>
      </c>
      <c r="G4760" s="3">
        <v>8.2</v>
      </c>
    </row>
    <row r="4761">
      <c r="A4761" s="3">
        <v>172271.0</v>
      </c>
      <c r="B4761" s="3" t="s">
        <v>4788</v>
      </c>
      <c r="C4761" s="3" t="s">
        <v>196</v>
      </c>
      <c r="D4761" s="3">
        <v>27.0</v>
      </c>
      <c r="E4761" s="3">
        <v>0.17</v>
      </c>
      <c r="F4761" s="3">
        <v>1.2</v>
      </c>
      <c r="G4761" s="3">
        <v>6.29</v>
      </c>
    </row>
    <row r="4762">
      <c r="A4762" s="3">
        <v>172272.0</v>
      </c>
      <c r="B4762" s="3" t="s">
        <v>4789</v>
      </c>
      <c r="C4762" s="3" t="s">
        <v>196</v>
      </c>
      <c r="D4762" s="3">
        <v>24.0</v>
      </c>
      <c r="E4762" s="3">
        <v>0.1</v>
      </c>
      <c r="F4762" s="3">
        <v>1.2</v>
      </c>
      <c r="G4762" s="3">
        <v>5.8</v>
      </c>
    </row>
    <row r="4763">
      <c r="A4763" s="3">
        <v>172273.0</v>
      </c>
      <c r="B4763" s="3" t="s">
        <v>4790</v>
      </c>
      <c r="C4763" s="3" t="s">
        <v>196</v>
      </c>
      <c r="D4763" s="3">
        <v>29.0</v>
      </c>
      <c r="E4763" s="3">
        <v>0.2</v>
      </c>
      <c r="F4763" s="3">
        <v>1.2</v>
      </c>
      <c r="G4763" s="3">
        <v>5.7</v>
      </c>
    </row>
    <row r="4764">
      <c r="A4764" s="3">
        <v>172274.0</v>
      </c>
      <c r="B4764" s="3" t="s">
        <v>4791</v>
      </c>
      <c r="C4764" s="3" t="s">
        <v>196</v>
      </c>
      <c r="D4764" s="3">
        <v>28.0</v>
      </c>
      <c r="E4764" s="3">
        <v>0.2</v>
      </c>
      <c r="F4764" s="3">
        <v>0.81</v>
      </c>
      <c r="G4764" s="3">
        <v>5.73</v>
      </c>
    </row>
    <row r="4765">
      <c r="A4765" s="3">
        <v>172275.0</v>
      </c>
      <c r="B4765" s="3" t="s">
        <v>4792</v>
      </c>
      <c r="C4765" s="3" t="s">
        <v>196</v>
      </c>
      <c r="D4765" s="3">
        <v>24.0</v>
      </c>
      <c r="E4765" s="3">
        <v>0.2</v>
      </c>
      <c r="F4765" s="3">
        <v>0.81</v>
      </c>
      <c r="G4765" s="3">
        <v>5.73</v>
      </c>
    </row>
    <row r="4766">
      <c r="A4766" s="3">
        <v>172276.0</v>
      </c>
      <c r="B4766" s="3" t="s">
        <v>4793</v>
      </c>
      <c r="C4766" s="3" t="s">
        <v>196</v>
      </c>
      <c r="D4766" s="3">
        <v>57.0</v>
      </c>
      <c r="E4766" s="3">
        <v>0.1</v>
      </c>
      <c r="F4766" s="3">
        <v>1.1</v>
      </c>
      <c r="G4766" s="3">
        <v>13.2</v>
      </c>
    </row>
    <row r="4767">
      <c r="A4767" s="3">
        <v>172277.0</v>
      </c>
      <c r="B4767" s="3" t="s">
        <v>4794</v>
      </c>
      <c r="C4767" s="3" t="s">
        <v>196</v>
      </c>
      <c r="D4767" s="3">
        <v>60.0</v>
      </c>
      <c r="E4767" s="3">
        <v>0.1</v>
      </c>
      <c r="F4767" s="3">
        <v>1.1</v>
      </c>
      <c r="G4767" s="3">
        <v>14.0</v>
      </c>
    </row>
    <row r="4768">
      <c r="A4768" s="3">
        <v>172278.0</v>
      </c>
      <c r="B4768" s="3" t="s">
        <v>4795</v>
      </c>
      <c r="C4768" s="3" t="s">
        <v>196</v>
      </c>
      <c r="D4768" s="3">
        <v>37.0</v>
      </c>
      <c r="E4768" s="3">
        <v>0.0</v>
      </c>
      <c r="F4768" s="3">
        <v>0.0</v>
      </c>
      <c r="G4768" s="3">
        <v>10.3</v>
      </c>
    </row>
    <row r="4769">
      <c r="A4769" s="3">
        <v>172279.0</v>
      </c>
      <c r="B4769" s="3" t="s">
        <v>4796</v>
      </c>
      <c r="C4769" s="3" t="s">
        <v>196</v>
      </c>
      <c r="D4769" s="3">
        <v>60.0</v>
      </c>
      <c r="E4769" s="3">
        <v>0.0</v>
      </c>
      <c r="F4769" s="3">
        <v>0.3</v>
      </c>
      <c r="G4769" s="3">
        <v>16.3</v>
      </c>
    </row>
    <row r="4770">
      <c r="A4770" s="3">
        <v>172280.0</v>
      </c>
      <c r="B4770" s="3" t="s">
        <v>4797</v>
      </c>
      <c r="C4770" s="3" t="s">
        <v>196</v>
      </c>
      <c r="D4770" s="3">
        <v>57.0</v>
      </c>
      <c r="E4770" s="3">
        <v>0.4</v>
      </c>
      <c r="F4770" s="3">
        <v>1.4</v>
      </c>
      <c r="G4770" s="3">
        <v>14.1</v>
      </c>
    </row>
    <row r="4771">
      <c r="A4771" s="3">
        <v>172281.0</v>
      </c>
      <c r="B4771" s="3" t="s">
        <v>4798</v>
      </c>
      <c r="C4771" s="3" t="s">
        <v>196</v>
      </c>
      <c r="D4771" s="3">
        <v>34.0</v>
      </c>
      <c r="E4771" s="3">
        <v>0.11</v>
      </c>
      <c r="F4771" s="3">
        <v>1.01</v>
      </c>
      <c r="G4771" s="3">
        <v>7.88</v>
      </c>
    </row>
    <row r="4772">
      <c r="A4772" s="3">
        <v>172282.0</v>
      </c>
      <c r="B4772" s="3" t="s">
        <v>4799</v>
      </c>
      <c r="C4772" s="3" t="s">
        <v>196</v>
      </c>
      <c r="D4772" s="3">
        <v>67.0</v>
      </c>
      <c r="E4772" s="3">
        <v>0.2</v>
      </c>
      <c r="F4772" s="3">
        <v>0.4</v>
      </c>
      <c r="G4772" s="3">
        <v>17.8</v>
      </c>
    </row>
    <row r="4773">
      <c r="A4773" s="3">
        <v>172283.0</v>
      </c>
      <c r="B4773" s="3" t="s">
        <v>4800</v>
      </c>
      <c r="C4773" s="3" t="s">
        <v>196</v>
      </c>
      <c r="D4773" s="3">
        <v>36.0</v>
      </c>
      <c r="E4773" s="3">
        <v>0.4</v>
      </c>
      <c r="F4773" s="3">
        <v>1.4</v>
      </c>
      <c r="G4773" s="3">
        <v>8.2</v>
      </c>
    </row>
    <row r="4774">
      <c r="A4774" s="3">
        <v>172284.0</v>
      </c>
      <c r="B4774" s="3" t="s">
        <v>4801</v>
      </c>
      <c r="C4774" s="3" t="s">
        <v>196</v>
      </c>
      <c r="D4774" s="3">
        <v>32.0</v>
      </c>
      <c r="E4774" s="3">
        <v>0.2</v>
      </c>
      <c r="F4774" s="3">
        <v>2.3</v>
      </c>
      <c r="G4774" s="3">
        <v>6.8</v>
      </c>
    </row>
    <row r="4775">
      <c r="A4775" s="3">
        <v>172285.0</v>
      </c>
      <c r="B4775" s="3" t="s">
        <v>4802</v>
      </c>
      <c r="C4775" s="3" t="s">
        <v>196</v>
      </c>
      <c r="D4775" s="3">
        <v>57.0</v>
      </c>
      <c r="E4775" s="3">
        <v>0.3</v>
      </c>
      <c r="F4775" s="3">
        <v>1.1</v>
      </c>
      <c r="G4775" s="3">
        <v>12.7</v>
      </c>
    </row>
    <row r="4776">
      <c r="A4776" s="3">
        <v>172286.0</v>
      </c>
      <c r="B4776" s="3" t="s">
        <v>4803</v>
      </c>
      <c r="C4776" s="3" t="s">
        <v>196</v>
      </c>
      <c r="D4776" s="3">
        <v>60.0</v>
      </c>
      <c r="E4776" s="3">
        <v>1.6</v>
      </c>
      <c r="F4776" s="3">
        <v>3.8</v>
      </c>
      <c r="G4776" s="3">
        <v>7.5</v>
      </c>
    </row>
    <row r="4777">
      <c r="A4777" s="3">
        <v>172287.0</v>
      </c>
      <c r="B4777" s="3" t="s">
        <v>4804</v>
      </c>
      <c r="C4777" s="3" t="s">
        <v>196</v>
      </c>
      <c r="D4777" s="3">
        <v>65.0</v>
      </c>
      <c r="E4777" s="3">
        <v>1.38</v>
      </c>
      <c r="F4777" s="3">
        <v>2.16</v>
      </c>
      <c r="G4777" s="3">
        <v>10.88</v>
      </c>
    </row>
    <row r="4778">
      <c r="A4778" s="3">
        <v>172288.0</v>
      </c>
      <c r="B4778" s="3" t="s">
        <v>4805</v>
      </c>
      <c r="C4778" s="3" t="s">
        <v>196</v>
      </c>
      <c r="D4778" s="3">
        <v>62.0</v>
      </c>
      <c r="E4778" s="3">
        <v>2.48</v>
      </c>
      <c r="F4778" s="3">
        <v>3.59</v>
      </c>
      <c r="G4778" s="3">
        <v>6.34</v>
      </c>
    </row>
    <row r="4779">
      <c r="A4779" s="3">
        <v>172289.0</v>
      </c>
      <c r="B4779" s="3" t="s">
        <v>4806</v>
      </c>
      <c r="C4779" s="3" t="s">
        <v>318</v>
      </c>
      <c r="D4779" s="3">
        <v>81.0</v>
      </c>
      <c r="E4779" s="3">
        <v>3.9</v>
      </c>
      <c r="F4779" s="3">
        <v>2.8</v>
      </c>
      <c r="G4779" s="3">
        <v>8.66</v>
      </c>
    </row>
    <row r="4780">
      <c r="A4780" s="3">
        <v>172290.0</v>
      </c>
      <c r="B4780" s="3" t="s">
        <v>4807</v>
      </c>
      <c r="C4780" s="3" t="s">
        <v>318</v>
      </c>
      <c r="D4780" s="3">
        <v>101.0</v>
      </c>
      <c r="E4780" s="3">
        <v>4.8</v>
      </c>
      <c r="F4780" s="3">
        <v>3.2</v>
      </c>
      <c r="G4780" s="3">
        <v>11.13</v>
      </c>
    </row>
    <row r="4781">
      <c r="A4781" s="3">
        <v>172291.0</v>
      </c>
      <c r="B4781" s="3" t="s">
        <v>4808</v>
      </c>
      <c r="C4781" s="3" t="s">
        <v>318</v>
      </c>
      <c r="D4781" s="3">
        <v>513.0</v>
      </c>
      <c r="E4781" s="3">
        <v>27.0</v>
      </c>
      <c r="F4781" s="3">
        <v>11.7</v>
      </c>
      <c r="G4781" s="3">
        <v>55.8</v>
      </c>
    </row>
    <row r="4782">
      <c r="A4782" s="3">
        <v>172292.0</v>
      </c>
      <c r="B4782" s="3" t="s">
        <v>4809</v>
      </c>
      <c r="C4782" s="3" t="s">
        <v>318</v>
      </c>
      <c r="D4782" s="3">
        <v>513.0</v>
      </c>
      <c r="E4782" s="3">
        <v>27.0</v>
      </c>
      <c r="F4782" s="3">
        <v>11.7</v>
      </c>
      <c r="G4782" s="3">
        <v>55.9</v>
      </c>
    </row>
    <row r="4783">
      <c r="A4783" s="3">
        <v>172293.0</v>
      </c>
      <c r="B4783" s="3" t="s">
        <v>4810</v>
      </c>
      <c r="C4783" s="3" t="s">
        <v>318</v>
      </c>
      <c r="D4783" s="3">
        <v>72.0</v>
      </c>
      <c r="E4783" s="3">
        <v>4.4</v>
      </c>
      <c r="F4783" s="3">
        <v>2.2</v>
      </c>
      <c r="G4783" s="3">
        <v>5.95</v>
      </c>
    </row>
    <row r="4784">
      <c r="A4784" s="3">
        <v>172294.0</v>
      </c>
      <c r="B4784" s="3" t="s">
        <v>4811</v>
      </c>
      <c r="C4784" s="3" t="s">
        <v>318</v>
      </c>
      <c r="D4784" s="3">
        <v>512.0</v>
      </c>
      <c r="E4784" s="3">
        <v>26.0</v>
      </c>
      <c r="F4784" s="3">
        <v>13.9</v>
      </c>
      <c r="G4784" s="3">
        <v>55.68</v>
      </c>
    </row>
    <row r="4785">
      <c r="A4785" s="3">
        <v>172295.0</v>
      </c>
      <c r="B4785" s="3" t="s">
        <v>4812</v>
      </c>
      <c r="C4785" s="3" t="s">
        <v>318</v>
      </c>
      <c r="D4785" s="3">
        <v>68.0</v>
      </c>
      <c r="E4785" s="3">
        <v>3.5</v>
      </c>
      <c r="F4785" s="3">
        <v>1.51</v>
      </c>
      <c r="G4785" s="3">
        <v>7.6</v>
      </c>
    </row>
    <row r="4786">
      <c r="A4786" s="3">
        <v>172296.0</v>
      </c>
      <c r="B4786" s="3" t="s">
        <v>4813</v>
      </c>
      <c r="C4786" s="3" t="s">
        <v>196</v>
      </c>
      <c r="D4786" s="3">
        <v>84.0</v>
      </c>
      <c r="E4786" s="3">
        <v>3.26</v>
      </c>
      <c r="F4786" s="3">
        <v>3.73</v>
      </c>
      <c r="G4786" s="3">
        <v>9.94</v>
      </c>
    </row>
    <row r="4787">
      <c r="A4787" s="3">
        <v>172297.0</v>
      </c>
      <c r="B4787" s="3" t="s">
        <v>4814</v>
      </c>
      <c r="C4787" s="3" t="s">
        <v>196</v>
      </c>
      <c r="D4787" s="3">
        <v>86.0</v>
      </c>
      <c r="E4787" s="3">
        <v>3.46</v>
      </c>
      <c r="F4787" s="3">
        <v>3.82</v>
      </c>
      <c r="G4787" s="3">
        <v>10.0</v>
      </c>
    </row>
    <row r="4788">
      <c r="A4788" s="3">
        <v>172298.0</v>
      </c>
      <c r="B4788" s="3" t="s">
        <v>4815</v>
      </c>
      <c r="C4788" s="3" t="s">
        <v>196</v>
      </c>
      <c r="D4788" s="3">
        <v>115.0</v>
      </c>
      <c r="E4788" s="3">
        <v>3.9</v>
      </c>
      <c r="F4788" s="3">
        <v>5.0</v>
      </c>
      <c r="G4788" s="3">
        <v>15.3</v>
      </c>
    </row>
    <row r="4789">
      <c r="A4789" s="3">
        <v>172299.0</v>
      </c>
      <c r="B4789" s="3" t="s">
        <v>4816</v>
      </c>
      <c r="C4789" s="3" t="s">
        <v>196</v>
      </c>
      <c r="D4789" s="3">
        <v>85.0</v>
      </c>
      <c r="E4789" s="3">
        <v>3.38</v>
      </c>
      <c r="F4789" s="3">
        <v>3.45</v>
      </c>
      <c r="G4789" s="3">
        <v>10.31</v>
      </c>
    </row>
    <row r="4790">
      <c r="A4790" s="3">
        <v>172300.0</v>
      </c>
      <c r="B4790" s="3" t="s">
        <v>4817</v>
      </c>
      <c r="C4790" s="3" t="s">
        <v>196</v>
      </c>
      <c r="D4790" s="3">
        <v>115.0</v>
      </c>
      <c r="E4790" s="3">
        <v>3.3</v>
      </c>
      <c r="F4790" s="3">
        <v>3.9</v>
      </c>
      <c r="G4790" s="3">
        <v>17.1</v>
      </c>
    </row>
    <row r="4791">
      <c r="A4791" s="3">
        <v>172301.0</v>
      </c>
      <c r="B4791" s="3" t="s">
        <v>4818</v>
      </c>
      <c r="C4791" s="3" t="s">
        <v>196</v>
      </c>
      <c r="D4791" s="3">
        <v>520.0</v>
      </c>
      <c r="E4791" s="3">
        <v>27.0</v>
      </c>
      <c r="F4791" s="3">
        <v>10.8</v>
      </c>
      <c r="G4791" s="3">
        <v>56.2</v>
      </c>
    </row>
    <row r="4792">
      <c r="A4792" s="3">
        <v>172302.0</v>
      </c>
      <c r="B4792" s="3" t="s">
        <v>4819</v>
      </c>
      <c r="C4792" s="3" t="s">
        <v>196</v>
      </c>
      <c r="D4792" s="3">
        <v>511.0</v>
      </c>
      <c r="E4792" s="3">
        <v>27.0</v>
      </c>
      <c r="F4792" s="3">
        <v>10.8</v>
      </c>
      <c r="G4792" s="3">
        <v>56.2</v>
      </c>
    </row>
    <row r="4793">
      <c r="A4793" s="3">
        <v>172303.0</v>
      </c>
      <c r="B4793" s="3" t="s">
        <v>4820</v>
      </c>
      <c r="C4793" s="3" t="s">
        <v>196</v>
      </c>
      <c r="D4793" s="3">
        <v>68.0</v>
      </c>
      <c r="E4793" s="3">
        <v>3.5</v>
      </c>
      <c r="F4793" s="3">
        <v>1.31</v>
      </c>
      <c r="G4793" s="3">
        <v>7.86</v>
      </c>
    </row>
    <row r="4794">
      <c r="A4794" s="3">
        <v>172304.0</v>
      </c>
      <c r="B4794" s="3" t="s">
        <v>4821</v>
      </c>
      <c r="C4794" s="3" t="s">
        <v>196</v>
      </c>
      <c r="D4794" s="3">
        <v>64.0</v>
      </c>
      <c r="E4794" s="3">
        <v>3.5</v>
      </c>
      <c r="F4794" s="3">
        <v>1.38</v>
      </c>
      <c r="G4794" s="3">
        <v>7.1</v>
      </c>
    </row>
    <row r="4795">
      <c r="A4795" s="3">
        <v>172305.0</v>
      </c>
      <c r="B4795" s="3" t="s">
        <v>4822</v>
      </c>
      <c r="C4795" s="3" t="s">
        <v>196</v>
      </c>
      <c r="D4795" s="3">
        <v>64.0</v>
      </c>
      <c r="E4795" s="3">
        <v>3.5</v>
      </c>
      <c r="F4795" s="3">
        <v>1.38</v>
      </c>
      <c r="G4795" s="3">
        <v>7.18</v>
      </c>
    </row>
    <row r="4796">
      <c r="A4796" s="3">
        <v>172306.0</v>
      </c>
      <c r="B4796" s="3" t="s">
        <v>4823</v>
      </c>
      <c r="C4796" s="3" t="s">
        <v>196</v>
      </c>
      <c r="D4796" s="3">
        <v>68.0</v>
      </c>
      <c r="E4796" s="3">
        <v>3.5</v>
      </c>
      <c r="F4796" s="3">
        <v>1.31</v>
      </c>
      <c r="G4796" s="3">
        <v>7.86</v>
      </c>
    </row>
    <row r="4797">
      <c r="A4797" s="3">
        <v>172307.0</v>
      </c>
      <c r="B4797" s="3" t="s">
        <v>4824</v>
      </c>
      <c r="C4797" s="3" t="s">
        <v>196</v>
      </c>
      <c r="D4797" s="3">
        <v>524.0</v>
      </c>
      <c r="E4797" s="3">
        <v>28.71</v>
      </c>
      <c r="F4797" s="3">
        <v>11.4</v>
      </c>
      <c r="G4797" s="3">
        <v>54.94</v>
      </c>
    </row>
    <row r="4798">
      <c r="A4798" s="3">
        <v>172308.0</v>
      </c>
      <c r="B4798" s="3" t="s">
        <v>4825</v>
      </c>
      <c r="C4798" s="3" t="s">
        <v>196</v>
      </c>
      <c r="D4798" s="3">
        <v>514.0</v>
      </c>
      <c r="E4798" s="3">
        <v>27.0</v>
      </c>
      <c r="F4798" s="3">
        <v>14.1</v>
      </c>
      <c r="G4798" s="3">
        <v>53.6</v>
      </c>
    </row>
    <row r="4799">
      <c r="A4799" s="3">
        <v>172309.0</v>
      </c>
      <c r="B4799" s="3" t="s">
        <v>4826</v>
      </c>
      <c r="C4799" s="3" t="s">
        <v>196</v>
      </c>
      <c r="D4799" s="3">
        <v>68.0</v>
      </c>
      <c r="E4799" s="3">
        <v>3.5</v>
      </c>
      <c r="F4799" s="3">
        <v>1.83</v>
      </c>
      <c r="G4799" s="3">
        <v>7.21</v>
      </c>
    </row>
    <row r="4800">
      <c r="A4800" s="3">
        <v>172310.0</v>
      </c>
      <c r="B4800" s="3" t="s">
        <v>4827</v>
      </c>
      <c r="C4800" s="3" t="s">
        <v>196</v>
      </c>
      <c r="D4800" s="3">
        <v>66.0</v>
      </c>
      <c r="E4800" s="3">
        <v>3.63</v>
      </c>
      <c r="F4800" s="3">
        <v>1.8</v>
      </c>
      <c r="G4800" s="3">
        <v>6.77</v>
      </c>
    </row>
    <row r="4801">
      <c r="A4801" s="3">
        <v>172311.0</v>
      </c>
      <c r="B4801" s="3" t="s">
        <v>4828</v>
      </c>
      <c r="C4801" s="3" t="s">
        <v>196</v>
      </c>
      <c r="D4801" s="3">
        <v>505.0</v>
      </c>
      <c r="E4801" s="3">
        <v>26.0</v>
      </c>
      <c r="F4801" s="3">
        <v>13.9</v>
      </c>
      <c r="G4801" s="3">
        <v>53.8</v>
      </c>
    </row>
    <row r="4802">
      <c r="A4802" s="3">
        <v>172312.0</v>
      </c>
      <c r="B4802" s="3" t="s">
        <v>4829</v>
      </c>
      <c r="C4802" s="3" t="s">
        <v>196</v>
      </c>
      <c r="D4802" s="3">
        <v>127.0</v>
      </c>
      <c r="E4802" s="3">
        <v>6.89</v>
      </c>
      <c r="F4802" s="3">
        <v>2.64</v>
      </c>
      <c r="G4802" s="3">
        <v>13.76</v>
      </c>
    </row>
    <row r="4803">
      <c r="A4803" s="3">
        <v>172313.0</v>
      </c>
      <c r="B4803" s="3" t="s">
        <v>4830</v>
      </c>
      <c r="C4803" s="3" t="s">
        <v>196</v>
      </c>
      <c r="D4803" s="3">
        <v>99.0</v>
      </c>
      <c r="E4803" s="3">
        <v>4.77</v>
      </c>
      <c r="F4803" s="3">
        <v>2.86</v>
      </c>
      <c r="G4803" s="3">
        <v>11.15</v>
      </c>
    </row>
    <row r="4804">
      <c r="A4804" s="3">
        <v>172314.0</v>
      </c>
      <c r="B4804" s="3" t="s">
        <v>4831</v>
      </c>
      <c r="C4804" s="3" t="s">
        <v>196</v>
      </c>
      <c r="D4804" s="3">
        <v>480.0</v>
      </c>
      <c r="E4804" s="3">
        <v>21.0</v>
      </c>
      <c r="F4804" s="3">
        <v>15.6</v>
      </c>
      <c r="G4804" s="3">
        <v>57.1</v>
      </c>
    </row>
    <row r="4805">
      <c r="A4805" s="3">
        <v>172315.0</v>
      </c>
      <c r="B4805" s="3" t="s">
        <v>4832</v>
      </c>
      <c r="C4805" s="3" t="s">
        <v>196</v>
      </c>
      <c r="D4805" s="3">
        <v>67.0</v>
      </c>
      <c r="E4805" s="3">
        <v>2.91</v>
      </c>
      <c r="F4805" s="3">
        <v>2.14</v>
      </c>
      <c r="G4805" s="3">
        <v>8.09</v>
      </c>
    </row>
    <row r="4806">
      <c r="A4806" s="3">
        <v>172316.0</v>
      </c>
      <c r="B4806" s="3" t="s">
        <v>4833</v>
      </c>
      <c r="C4806" s="3" t="s">
        <v>196</v>
      </c>
      <c r="D4806" s="3">
        <v>503.0</v>
      </c>
      <c r="E4806" s="3">
        <v>25.6</v>
      </c>
      <c r="F4806" s="3">
        <v>12.5</v>
      </c>
      <c r="G4806" s="3">
        <v>55.6</v>
      </c>
    </row>
    <row r="4807">
      <c r="A4807" s="3">
        <v>172317.0</v>
      </c>
      <c r="B4807" s="3" t="s">
        <v>4834</v>
      </c>
      <c r="C4807" s="3" t="s">
        <v>196</v>
      </c>
      <c r="D4807" s="3">
        <v>68.0</v>
      </c>
      <c r="E4807" s="3">
        <v>0.28</v>
      </c>
      <c r="F4807" s="3">
        <v>1.26</v>
      </c>
      <c r="G4807" s="3">
        <v>15.23</v>
      </c>
    </row>
    <row r="4808">
      <c r="A4808" s="3">
        <v>172318.0</v>
      </c>
      <c r="B4808" s="3" t="s">
        <v>4835</v>
      </c>
      <c r="C4808" s="3" t="s">
        <v>196</v>
      </c>
      <c r="D4808" s="3">
        <v>67.0</v>
      </c>
      <c r="E4808" s="3">
        <v>3.63</v>
      </c>
      <c r="F4808" s="3">
        <v>1.8</v>
      </c>
      <c r="G4808" s="3">
        <v>6.77</v>
      </c>
    </row>
    <row r="4809">
      <c r="A4809" s="3">
        <v>172319.0</v>
      </c>
      <c r="B4809" s="3" t="s">
        <v>4836</v>
      </c>
      <c r="C4809" s="3" t="s">
        <v>196</v>
      </c>
      <c r="D4809" s="3">
        <v>63.0</v>
      </c>
      <c r="E4809" s="3">
        <v>3.5</v>
      </c>
      <c r="F4809" s="3">
        <v>1.4</v>
      </c>
      <c r="G4809" s="3">
        <v>6.39</v>
      </c>
    </row>
    <row r="4810">
      <c r="A4810" s="3">
        <v>172320.0</v>
      </c>
      <c r="B4810" s="3" t="s">
        <v>4837</v>
      </c>
      <c r="C4810" s="3" t="s">
        <v>196</v>
      </c>
      <c r="D4810" s="3">
        <v>130.0</v>
      </c>
      <c r="E4810" s="3">
        <v>7.0</v>
      </c>
      <c r="F4810" s="3">
        <v>2.9</v>
      </c>
      <c r="G4810" s="3">
        <v>13.9</v>
      </c>
    </row>
    <row r="4811">
      <c r="A4811" s="3">
        <v>172321.0</v>
      </c>
      <c r="B4811" s="3" t="s">
        <v>4838</v>
      </c>
      <c r="C4811" s="3" t="s">
        <v>196</v>
      </c>
      <c r="D4811" s="3">
        <v>71.0</v>
      </c>
      <c r="E4811" s="3">
        <v>3.3</v>
      </c>
      <c r="F4811" s="3">
        <v>1.64</v>
      </c>
      <c r="G4811" s="3">
        <v>8.73</v>
      </c>
    </row>
    <row r="4812">
      <c r="A4812" s="3">
        <v>172322.0</v>
      </c>
      <c r="B4812" s="3" t="s">
        <v>4839</v>
      </c>
      <c r="C4812" s="3" t="s">
        <v>196</v>
      </c>
      <c r="D4812" s="3">
        <v>504.0</v>
      </c>
      <c r="E4812" s="3">
        <v>25.0</v>
      </c>
      <c r="F4812" s="3">
        <v>12.4</v>
      </c>
      <c r="G4812" s="3">
        <v>57.4</v>
      </c>
    </row>
    <row r="4813">
      <c r="A4813" s="3">
        <v>172323.0</v>
      </c>
      <c r="B4813" s="3" t="s">
        <v>4840</v>
      </c>
      <c r="C4813" s="3" t="s">
        <v>196</v>
      </c>
      <c r="D4813" s="3">
        <v>69.0</v>
      </c>
      <c r="E4813" s="3">
        <v>3.77</v>
      </c>
      <c r="F4813" s="3">
        <v>1.92</v>
      </c>
      <c r="G4813" s="3">
        <v>6.94</v>
      </c>
    </row>
    <row r="4814">
      <c r="A4814" s="3">
        <v>172324.0</v>
      </c>
      <c r="B4814" s="3" t="s">
        <v>4841</v>
      </c>
      <c r="C4814" s="3" t="s">
        <v>196</v>
      </c>
      <c r="D4814" s="3">
        <v>520.0</v>
      </c>
      <c r="E4814" s="3">
        <v>28.33</v>
      </c>
      <c r="F4814" s="3">
        <v>14.42</v>
      </c>
      <c r="G4814" s="3">
        <v>51.75</v>
      </c>
    </row>
    <row r="4815">
      <c r="A4815" s="3">
        <v>172325.0</v>
      </c>
      <c r="B4815" s="3" t="s">
        <v>4842</v>
      </c>
      <c r="C4815" s="3" t="s">
        <v>196</v>
      </c>
      <c r="D4815" s="3">
        <v>68.0</v>
      </c>
      <c r="E4815" s="3">
        <v>3.74</v>
      </c>
      <c r="F4815" s="3">
        <v>1.48</v>
      </c>
      <c r="G4815" s="3">
        <v>7.4</v>
      </c>
    </row>
    <row r="4816">
      <c r="A4816" s="3">
        <v>172326.0</v>
      </c>
      <c r="B4816" s="3" t="s">
        <v>4843</v>
      </c>
      <c r="C4816" s="3" t="s">
        <v>196</v>
      </c>
      <c r="D4816" s="3">
        <v>127.0</v>
      </c>
      <c r="E4816" s="3">
        <v>6.89</v>
      </c>
      <c r="F4816" s="3">
        <v>2.64</v>
      </c>
      <c r="G4816" s="3">
        <v>13.52</v>
      </c>
    </row>
    <row r="4817">
      <c r="A4817" s="3">
        <v>172327.0</v>
      </c>
      <c r="B4817" s="3" t="s">
        <v>4844</v>
      </c>
      <c r="C4817" s="3" t="s">
        <v>187</v>
      </c>
      <c r="D4817" s="3">
        <v>900.0</v>
      </c>
      <c r="E4817" s="3">
        <v>100.0</v>
      </c>
      <c r="F4817" s="3">
        <v>0.0</v>
      </c>
      <c r="G4817" s="3">
        <v>0.0</v>
      </c>
    </row>
    <row r="4818">
      <c r="A4818" s="3">
        <v>172328.0</v>
      </c>
      <c r="B4818" s="3" t="s">
        <v>4845</v>
      </c>
      <c r="C4818" s="3" t="s">
        <v>187</v>
      </c>
      <c r="D4818" s="3">
        <v>884.0</v>
      </c>
      <c r="E4818" s="3">
        <v>100.0</v>
      </c>
      <c r="F4818" s="3">
        <v>0.0</v>
      </c>
      <c r="G4818" s="3">
        <v>0.0</v>
      </c>
    </row>
    <row r="4819">
      <c r="A4819" s="3">
        <v>172329.0</v>
      </c>
      <c r="B4819" s="3" t="s">
        <v>4846</v>
      </c>
      <c r="C4819" s="3" t="s">
        <v>187</v>
      </c>
      <c r="D4819" s="3">
        <v>884.0</v>
      </c>
      <c r="E4819" s="3">
        <v>100.0</v>
      </c>
      <c r="F4819" s="3">
        <v>0.0</v>
      </c>
      <c r="G4819" s="3">
        <v>0.0</v>
      </c>
    </row>
    <row r="4820">
      <c r="A4820" s="3">
        <v>172330.0</v>
      </c>
      <c r="B4820" s="3" t="s">
        <v>4847</v>
      </c>
      <c r="C4820" s="3" t="s">
        <v>187</v>
      </c>
      <c r="D4820" s="3">
        <v>884.0</v>
      </c>
      <c r="E4820" s="3">
        <v>100.0</v>
      </c>
      <c r="F4820" s="3">
        <v>0.0</v>
      </c>
      <c r="G4820" s="3">
        <v>0.0</v>
      </c>
    </row>
    <row r="4821">
      <c r="A4821" s="3">
        <v>172331.0</v>
      </c>
      <c r="B4821" s="3" t="s">
        <v>4848</v>
      </c>
      <c r="C4821" s="3" t="s">
        <v>187</v>
      </c>
      <c r="D4821" s="3">
        <v>884.0</v>
      </c>
      <c r="E4821" s="3">
        <v>100.0</v>
      </c>
      <c r="F4821" s="3">
        <v>0.0</v>
      </c>
      <c r="G4821" s="3">
        <v>0.0</v>
      </c>
    </row>
    <row r="4822">
      <c r="A4822" s="3">
        <v>172332.0</v>
      </c>
      <c r="B4822" s="3" t="s">
        <v>4849</v>
      </c>
      <c r="C4822" s="3" t="s">
        <v>187</v>
      </c>
      <c r="D4822" s="3">
        <v>884.0</v>
      </c>
      <c r="E4822" s="3">
        <v>100.0</v>
      </c>
      <c r="F4822" s="3">
        <v>0.0</v>
      </c>
      <c r="G4822" s="3">
        <v>0.0</v>
      </c>
    </row>
    <row r="4823">
      <c r="A4823" s="3">
        <v>172333.0</v>
      </c>
      <c r="B4823" s="3" t="s">
        <v>4850</v>
      </c>
      <c r="C4823" s="3" t="s">
        <v>187</v>
      </c>
      <c r="D4823" s="3">
        <v>884.0</v>
      </c>
      <c r="E4823" s="3">
        <v>100.0</v>
      </c>
      <c r="F4823" s="3">
        <v>0.0</v>
      </c>
      <c r="G4823" s="3">
        <v>0.0</v>
      </c>
    </row>
    <row r="4824">
      <c r="A4824" s="3">
        <v>172334.0</v>
      </c>
      <c r="B4824" s="3" t="s">
        <v>4851</v>
      </c>
      <c r="C4824" s="3" t="s">
        <v>187</v>
      </c>
      <c r="D4824" s="3">
        <v>884.0</v>
      </c>
      <c r="E4824" s="3">
        <v>100.0</v>
      </c>
      <c r="F4824" s="3">
        <v>0.0</v>
      </c>
      <c r="G4824" s="3">
        <v>0.0</v>
      </c>
    </row>
    <row r="4825">
      <c r="A4825" s="3">
        <v>172335.0</v>
      </c>
      <c r="B4825" s="3" t="s">
        <v>4852</v>
      </c>
      <c r="C4825" s="3" t="s">
        <v>187</v>
      </c>
      <c r="D4825" s="3">
        <v>884.0</v>
      </c>
      <c r="E4825" s="3">
        <v>100.0</v>
      </c>
      <c r="F4825" s="3">
        <v>0.0</v>
      </c>
      <c r="G4825" s="3">
        <v>0.0</v>
      </c>
    </row>
    <row r="4826">
      <c r="A4826" s="3">
        <v>172336.0</v>
      </c>
      <c r="B4826" s="3" t="s">
        <v>4853</v>
      </c>
      <c r="C4826" s="3" t="s">
        <v>187</v>
      </c>
      <c r="D4826" s="3">
        <v>884.0</v>
      </c>
      <c r="E4826" s="3">
        <v>100.0</v>
      </c>
      <c r="F4826" s="3">
        <v>0.0</v>
      </c>
      <c r="G4826" s="3">
        <v>0.0</v>
      </c>
    </row>
    <row r="4827">
      <c r="A4827" s="3">
        <v>172337.0</v>
      </c>
      <c r="B4827" s="3" t="s">
        <v>4854</v>
      </c>
      <c r="C4827" s="3" t="s">
        <v>187</v>
      </c>
      <c r="D4827" s="3">
        <v>884.0</v>
      </c>
      <c r="E4827" s="3">
        <v>100.0</v>
      </c>
      <c r="F4827" s="3">
        <v>0.0</v>
      </c>
      <c r="G4827" s="3">
        <v>0.0</v>
      </c>
    </row>
    <row r="4828">
      <c r="A4828" s="3">
        <v>172338.0</v>
      </c>
      <c r="B4828" s="3" t="s">
        <v>4855</v>
      </c>
      <c r="C4828" s="3" t="s">
        <v>187</v>
      </c>
      <c r="D4828" s="3">
        <v>884.0</v>
      </c>
      <c r="E4828" s="3">
        <v>100.0</v>
      </c>
      <c r="F4828" s="3">
        <v>0.0</v>
      </c>
      <c r="G4828" s="3">
        <v>0.0</v>
      </c>
    </row>
    <row r="4829">
      <c r="A4829" s="3">
        <v>172339.0</v>
      </c>
      <c r="B4829" s="3" t="s">
        <v>4856</v>
      </c>
      <c r="C4829" s="3" t="s">
        <v>187</v>
      </c>
      <c r="D4829" s="3">
        <v>727.0</v>
      </c>
      <c r="E4829" s="3">
        <v>80.32</v>
      </c>
      <c r="F4829" s="3">
        <v>0.31</v>
      </c>
      <c r="G4829" s="3">
        <v>0.77</v>
      </c>
    </row>
    <row r="4830">
      <c r="A4830" s="3">
        <v>172340.0</v>
      </c>
      <c r="B4830" s="3" t="s">
        <v>4857</v>
      </c>
      <c r="C4830" s="3" t="s">
        <v>187</v>
      </c>
      <c r="D4830" s="3">
        <v>902.0</v>
      </c>
      <c r="E4830" s="3">
        <v>100.0</v>
      </c>
      <c r="F4830" s="3">
        <v>0.0</v>
      </c>
      <c r="G4830" s="3">
        <v>0.0</v>
      </c>
    </row>
    <row r="4831">
      <c r="A4831" s="3">
        <v>172341.0</v>
      </c>
      <c r="B4831" s="3" t="s">
        <v>4858</v>
      </c>
      <c r="C4831" s="3" t="s">
        <v>187</v>
      </c>
      <c r="D4831" s="3">
        <v>902.0</v>
      </c>
      <c r="E4831" s="3">
        <v>100.0</v>
      </c>
      <c r="F4831" s="3">
        <v>0.0</v>
      </c>
      <c r="G4831" s="3">
        <v>0.0</v>
      </c>
    </row>
    <row r="4832">
      <c r="A4832" s="3">
        <v>172342.0</v>
      </c>
      <c r="B4832" s="3" t="s">
        <v>4859</v>
      </c>
      <c r="C4832" s="3" t="s">
        <v>187</v>
      </c>
      <c r="D4832" s="3">
        <v>902.0</v>
      </c>
      <c r="E4832" s="3">
        <v>100.0</v>
      </c>
      <c r="F4832" s="3">
        <v>0.0</v>
      </c>
      <c r="G4832" s="3">
        <v>0.0</v>
      </c>
    </row>
    <row r="4833">
      <c r="A4833" s="3">
        <v>172343.0</v>
      </c>
      <c r="B4833" s="3" t="s">
        <v>4860</v>
      </c>
      <c r="C4833" s="3" t="s">
        <v>187</v>
      </c>
      <c r="D4833" s="3">
        <v>902.0</v>
      </c>
      <c r="E4833" s="3">
        <v>100.0</v>
      </c>
      <c r="F4833" s="3">
        <v>0.0</v>
      </c>
      <c r="G4833" s="3">
        <v>0.0</v>
      </c>
    </row>
    <row r="4834">
      <c r="A4834" s="3">
        <v>172344.0</v>
      </c>
      <c r="B4834" s="3" t="s">
        <v>4861</v>
      </c>
      <c r="C4834" s="3" t="s">
        <v>187</v>
      </c>
      <c r="D4834" s="3">
        <v>499.0</v>
      </c>
      <c r="E4834" s="3">
        <v>55.1</v>
      </c>
      <c r="F4834" s="3">
        <v>3.3</v>
      </c>
      <c r="G4834" s="3">
        <v>0.0</v>
      </c>
    </row>
    <row r="4835">
      <c r="A4835" s="3">
        <v>172345.0</v>
      </c>
      <c r="B4835" s="3" t="s">
        <v>4862</v>
      </c>
      <c r="C4835" s="3" t="s">
        <v>187</v>
      </c>
      <c r="D4835" s="3">
        <v>897.0</v>
      </c>
      <c r="E4835" s="3">
        <v>99.5</v>
      </c>
      <c r="F4835" s="3">
        <v>0.0</v>
      </c>
      <c r="G4835" s="3">
        <v>0.0</v>
      </c>
    </row>
    <row r="4836">
      <c r="A4836" s="3">
        <v>172346.0</v>
      </c>
      <c r="B4836" s="3" t="s">
        <v>4863</v>
      </c>
      <c r="C4836" s="3" t="s">
        <v>187</v>
      </c>
      <c r="D4836" s="3">
        <v>717.0</v>
      </c>
      <c r="E4836" s="3">
        <v>80.71</v>
      </c>
      <c r="F4836" s="3">
        <v>0.16</v>
      </c>
      <c r="G4836" s="3">
        <v>0.7</v>
      </c>
    </row>
    <row r="4837">
      <c r="A4837" s="3">
        <v>172347.0</v>
      </c>
      <c r="B4837" s="3" t="s">
        <v>4864</v>
      </c>
      <c r="C4837" s="3" t="s">
        <v>187</v>
      </c>
      <c r="D4837" s="3">
        <v>713.0</v>
      </c>
      <c r="E4837" s="3">
        <v>80.17</v>
      </c>
      <c r="F4837" s="3">
        <v>0.22</v>
      </c>
      <c r="G4837" s="3">
        <v>0.75</v>
      </c>
    </row>
    <row r="4838">
      <c r="A4838" s="3">
        <v>172348.0</v>
      </c>
      <c r="B4838" s="3" t="s">
        <v>4865</v>
      </c>
      <c r="C4838" s="3" t="s">
        <v>187</v>
      </c>
      <c r="D4838" s="3">
        <v>537.0</v>
      </c>
      <c r="E4838" s="3">
        <v>60.39</v>
      </c>
      <c r="F4838" s="3">
        <v>0.12</v>
      </c>
      <c r="G4838" s="3">
        <v>0.69</v>
      </c>
    </row>
    <row r="4839">
      <c r="A4839" s="3">
        <v>172349.0</v>
      </c>
      <c r="B4839" s="3" t="s">
        <v>4866</v>
      </c>
      <c r="C4839" s="3" t="s">
        <v>187</v>
      </c>
      <c r="D4839" s="3">
        <v>713.0</v>
      </c>
      <c r="E4839" s="3">
        <v>80.17</v>
      </c>
      <c r="F4839" s="3">
        <v>0.22</v>
      </c>
      <c r="G4839" s="3">
        <v>0.75</v>
      </c>
    </row>
    <row r="4840">
      <c r="A4840" s="3">
        <v>172350.0</v>
      </c>
      <c r="B4840" s="3" t="s">
        <v>4867</v>
      </c>
      <c r="C4840" s="3" t="s">
        <v>187</v>
      </c>
      <c r="D4840" s="3">
        <v>533.0</v>
      </c>
      <c r="E4840" s="3">
        <v>59.81</v>
      </c>
      <c r="F4840" s="3">
        <v>0.17</v>
      </c>
      <c r="G4840" s="3">
        <v>0.86</v>
      </c>
    </row>
    <row r="4841">
      <c r="A4841" s="3">
        <v>172351.0</v>
      </c>
      <c r="B4841" s="3" t="s">
        <v>4868</v>
      </c>
      <c r="C4841" s="3" t="s">
        <v>187</v>
      </c>
      <c r="D4841" s="3">
        <v>43.0</v>
      </c>
      <c r="E4841" s="3">
        <v>3.0</v>
      </c>
      <c r="F4841" s="3">
        <v>1.5</v>
      </c>
      <c r="G4841" s="3">
        <v>2.5</v>
      </c>
    </row>
    <row r="4842">
      <c r="A4842" s="3">
        <v>172352.0</v>
      </c>
      <c r="B4842" s="3" t="s">
        <v>4869</v>
      </c>
      <c r="C4842" s="3" t="s">
        <v>187</v>
      </c>
      <c r="D4842" s="3">
        <v>630.0</v>
      </c>
      <c r="E4842" s="3">
        <v>70.0</v>
      </c>
      <c r="F4842" s="3">
        <v>0.3</v>
      </c>
      <c r="G4842" s="3">
        <v>0.5</v>
      </c>
    </row>
    <row r="4843">
      <c r="A4843" s="3">
        <v>172353.0</v>
      </c>
      <c r="B4843" s="3" t="s">
        <v>4870</v>
      </c>
      <c r="C4843" s="3" t="s">
        <v>187</v>
      </c>
      <c r="D4843" s="3">
        <v>44.0</v>
      </c>
      <c r="E4843" s="3">
        <v>3.04</v>
      </c>
      <c r="F4843" s="3">
        <v>0.1</v>
      </c>
      <c r="G4843" s="3">
        <v>4.34</v>
      </c>
    </row>
    <row r="4844">
      <c r="A4844" s="3">
        <v>172354.0</v>
      </c>
      <c r="B4844" s="3" t="s">
        <v>4871</v>
      </c>
      <c r="C4844" s="3" t="s">
        <v>187</v>
      </c>
      <c r="D4844" s="3">
        <v>175.0</v>
      </c>
      <c r="E4844" s="3">
        <v>19.5</v>
      </c>
      <c r="F4844" s="3">
        <v>0.0</v>
      </c>
      <c r="G4844" s="3">
        <v>0.4</v>
      </c>
    </row>
    <row r="4845">
      <c r="A4845" s="3">
        <v>172355.0</v>
      </c>
      <c r="B4845" s="3" t="s">
        <v>4872</v>
      </c>
      <c r="C4845" s="3" t="s">
        <v>187</v>
      </c>
      <c r="D4845" s="3">
        <v>175.0</v>
      </c>
      <c r="E4845" s="3">
        <v>19.5</v>
      </c>
      <c r="F4845" s="3">
        <v>0.0</v>
      </c>
      <c r="G4845" s="3">
        <v>0.4</v>
      </c>
    </row>
    <row r="4846">
      <c r="A4846" s="3">
        <v>172356.0</v>
      </c>
      <c r="B4846" s="3" t="s">
        <v>4873</v>
      </c>
      <c r="C4846" s="3" t="s">
        <v>187</v>
      </c>
      <c r="D4846" s="3">
        <v>132.0</v>
      </c>
      <c r="E4846" s="3">
        <v>1.45</v>
      </c>
      <c r="F4846" s="3">
        <v>0.55</v>
      </c>
      <c r="G4846" s="3">
        <v>29.27</v>
      </c>
    </row>
    <row r="4847">
      <c r="A4847" s="3">
        <v>172357.0</v>
      </c>
      <c r="B4847" s="3" t="s">
        <v>4874</v>
      </c>
      <c r="C4847" s="3" t="s">
        <v>187</v>
      </c>
      <c r="D4847" s="3">
        <v>884.0</v>
      </c>
      <c r="E4847" s="3">
        <v>100.0</v>
      </c>
      <c r="F4847" s="3">
        <v>0.0</v>
      </c>
      <c r="G4847" s="3">
        <v>0.0</v>
      </c>
    </row>
    <row r="4848">
      <c r="A4848" s="3">
        <v>172358.0</v>
      </c>
      <c r="B4848" s="3" t="s">
        <v>4875</v>
      </c>
      <c r="C4848" s="3" t="s">
        <v>187</v>
      </c>
      <c r="D4848" s="3">
        <v>884.0</v>
      </c>
      <c r="E4848" s="3">
        <v>100.0</v>
      </c>
      <c r="F4848" s="3">
        <v>0.0</v>
      </c>
      <c r="G4848" s="3">
        <v>0.0</v>
      </c>
    </row>
    <row r="4849">
      <c r="A4849" s="3">
        <v>172359.0</v>
      </c>
      <c r="B4849" s="3" t="s">
        <v>4876</v>
      </c>
      <c r="C4849" s="3" t="s">
        <v>187</v>
      </c>
      <c r="D4849" s="3">
        <v>884.0</v>
      </c>
      <c r="E4849" s="3">
        <v>100.0</v>
      </c>
      <c r="F4849" s="3">
        <v>0.0</v>
      </c>
      <c r="G4849" s="3">
        <v>0.0</v>
      </c>
    </row>
    <row r="4850">
      <c r="A4850" s="3">
        <v>172360.0</v>
      </c>
      <c r="B4850" s="3" t="s">
        <v>4877</v>
      </c>
      <c r="C4850" s="3" t="s">
        <v>187</v>
      </c>
      <c r="D4850" s="3">
        <v>884.0</v>
      </c>
      <c r="E4850" s="3">
        <v>100.0</v>
      </c>
      <c r="F4850" s="3">
        <v>0.0</v>
      </c>
      <c r="G4850" s="3">
        <v>0.0</v>
      </c>
    </row>
    <row r="4851">
      <c r="A4851" s="3">
        <v>172361.0</v>
      </c>
      <c r="B4851" s="3" t="s">
        <v>4878</v>
      </c>
      <c r="C4851" s="3" t="s">
        <v>187</v>
      </c>
      <c r="D4851" s="3">
        <v>884.0</v>
      </c>
      <c r="E4851" s="3">
        <v>100.0</v>
      </c>
      <c r="F4851" s="3">
        <v>0.0</v>
      </c>
      <c r="G4851" s="3">
        <v>0.0</v>
      </c>
    </row>
    <row r="4852">
      <c r="A4852" s="3">
        <v>172362.0</v>
      </c>
      <c r="B4852" s="3" t="s">
        <v>4879</v>
      </c>
      <c r="C4852" s="3" t="s">
        <v>187</v>
      </c>
      <c r="D4852" s="3">
        <v>884.0</v>
      </c>
      <c r="E4852" s="3">
        <v>100.0</v>
      </c>
      <c r="F4852" s="3">
        <v>0.0</v>
      </c>
      <c r="G4852" s="3">
        <v>0.0</v>
      </c>
    </row>
    <row r="4853">
      <c r="A4853" s="3">
        <v>172363.0</v>
      </c>
      <c r="B4853" s="3" t="s">
        <v>4880</v>
      </c>
      <c r="C4853" s="3" t="s">
        <v>187</v>
      </c>
      <c r="D4853" s="3">
        <v>884.0</v>
      </c>
      <c r="E4853" s="3">
        <v>100.0</v>
      </c>
      <c r="F4853" s="3">
        <v>0.0</v>
      </c>
      <c r="G4853" s="3">
        <v>0.0</v>
      </c>
    </row>
    <row r="4854">
      <c r="A4854" s="3">
        <v>172364.0</v>
      </c>
      <c r="B4854" s="3" t="s">
        <v>4881</v>
      </c>
      <c r="C4854" s="3" t="s">
        <v>187</v>
      </c>
      <c r="D4854" s="3">
        <v>884.0</v>
      </c>
      <c r="E4854" s="3">
        <v>100.0</v>
      </c>
      <c r="F4854" s="3">
        <v>0.0</v>
      </c>
      <c r="G4854" s="3">
        <v>0.0</v>
      </c>
    </row>
    <row r="4855">
      <c r="A4855" s="3">
        <v>172365.0</v>
      </c>
      <c r="B4855" s="3" t="s">
        <v>4882</v>
      </c>
      <c r="C4855" s="3" t="s">
        <v>187</v>
      </c>
      <c r="D4855" s="3">
        <v>884.0</v>
      </c>
      <c r="E4855" s="3">
        <v>100.0</v>
      </c>
      <c r="F4855" s="3">
        <v>0.0</v>
      </c>
      <c r="G4855" s="3">
        <v>0.0</v>
      </c>
    </row>
    <row r="4856">
      <c r="A4856" s="3">
        <v>172366.0</v>
      </c>
      <c r="B4856" s="3" t="s">
        <v>4883</v>
      </c>
      <c r="C4856" s="3" t="s">
        <v>187</v>
      </c>
      <c r="D4856" s="3">
        <v>884.0</v>
      </c>
      <c r="E4856" s="3">
        <v>100.0</v>
      </c>
      <c r="F4856" s="3">
        <v>0.0</v>
      </c>
      <c r="G4856" s="3">
        <v>0.0</v>
      </c>
    </row>
    <row r="4857">
      <c r="A4857" s="3">
        <v>172367.0</v>
      </c>
      <c r="B4857" s="3" t="s">
        <v>4884</v>
      </c>
      <c r="C4857" s="3" t="s">
        <v>187</v>
      </c>
      <c r="D4857" s="3">
        <v>880.0</v>
      </c>
      <c r="E4857" s="3">
        <v>99.5</v>
      </c>
      <c r="F4857" s="3">
        <v>0.0</v>
      </c>
      <c r="G4857" s="3">
        <v>0.0</v>
      </c>
    </row>
    <row r="4858">
      <c r="A4858" s="3">
        <v>172368.0</v>
      </c>
      <c r="B4858" s="3" t="s">
        <v>4885</v>
      </c>
      <c r="C4858" s="3" t="s">
        <v>187</v>
      </c>
      <c r="D4858" s="3">
        <v>880.0</v>
      </c>
      <c r="E4858" s="3">
        <v>99.5</v>
      </c>
      <c r="F4858" s="3">
        <v>0.0</v>
      </c>
      <c r="G4858" s="3">
        <v>0.0</v>
      </c>
    </row>
    <row r="4859">
      <c r="A4859" s="3">
        <v>172369.0</v>
      </c>
      <c r="B4859" s="3" t="s">
        <v>4886</v>
      </c>
      <c r="C4859" s="3" t="s">
        <v>187</v>
      </c>
      <c r="D4859" s="3">
        <v>714.0</v>
      </c>
      <c r="E4859" s="3">
        <v>80.0</v>
      </c>
      <c r="F4859" s="3">
        <v>0.18</v>
      </c>
      <c r="G4859" s="3">
        <v>0.71</v>
      </c>
    </row>
    <row r="4860">
      <c r="A4860" s="3">
        <v>172370.0</v>
      </c>
      <c r="B4860" s="3" t="s">
        <v>4887</v>
      </c>
      <c r="C4860" s="3" t="s">
        <v>187</v>
      </c>
      <c r="D4860" s="3">
        <v>884.0</v>
      </c>
      <c r="E4860" s="3">
        <v>100.0</v>
      </c>
      <c r="F4860" s="3">
        <v>0.0</v>
      </c>
      <c r="G4860" s="3">
        <v>0.0</v>
      </c>
    </row>
    <row r="4861">
      <c r="A4861" s="3">
        <v>172371.0</v>
      </c>
      <c r="B4861" s="3" t="s">
        <v>4888</v>
      </c>
      <c r="C4861" s="3" t="s">
        <v>187</v>
      </c>
      <c r="D4861" s="3">
        <v>583.0</v>
      </c>
      <c r="E4861" s="3">
        <v>64.63</v>
      </c>
      <c r="F4861" s="3">
        <v>0.14</v>
      </c>
      <c r="G4861" s="3">
        <v>0.14</v>
      </c>
    </row>
    <row r="4862">
      <c r="A4862" s="3">
        <v>172372.0</v>
      </c>
      <c r="B4862" s="3" t="s">
        <v>4889</v>
      </c>
      <c r="C4862" s="3" t="s">
        <v>187</v>
      </c>
      <c r="D4862" s="3">
        <v>337.0</v>
      </c>
      <c r="E4862" s="3">
        <v>36.41</v>
      </c>
      <c r="F4862" s="3">
        <v>0.02</v>
      </c>
      <c r="G4862" s="3">
        <v>1.98</v>
      </c>
    </row>
    <row r="4863">
      <c r="A4863" s="3">
        <v>172373.0</v>
      </c>
      <c r="B4863" s="3" t="s">
        <v>4890</v>
      </c>
      <c r="C4863" s="3" t="s">
        <v>189</v>
      </c>
      <c r="D4863" s="3">
        <v>161.0</v>
      </c>
      <c r="E4863" s="3">
        <v>9.2</v>
      </c>
      <c r="F4863" s="3">
        <v>18.08</v>
      </c>
      <c r="G4863" s="3">
        <v>0.11</v>
      </c>
    </row>
    <row r="4864">
      <c r="A4864" s="3">
        <v>172374.0</v>
      </c>
      <c r="B4864" s="3" t="s">
        <v>4891</v>
      </c>
      <c r="C4864" s="3" t="s">
        <v>189</v>
      </c>
      <c r="D4864" s="3">
        <v>268.0</v>
      </c>
      <c r="E4864" s="3">
        <v>15.75</v>
      </c>
      <c r="F4864" s="3">
        <v>21.95</v>
      </c>
      <c r="G4864" s="3">
        <v>8.28</v>
      </c>
    </row>
    <row r="4865">
      <c r="A4865" s="3">
        <v>172375.0</v>
      </c>
      <c r="B4865" s="3" t="s">
        <v>4892</v>
      </c>
      <c r="C4865" s="3" t="s">
        <v>189</v>
      </c>
      <c r="D4865" s="3">
        <v>195.0</v>
      </c>
      <c r="E4865" s="3">
        <v>8.08</v>
      </c>
      <c r="F4865" s="3">
        <v>28.62</v>
      </c>
      <c r="G4865" s="3">
        <v>0.0</v>
      </c>
    </row>
    <row r="4866">
      <c r="A4866" s="3">
        <v>172376.0</v>
      </c>
      <c r="B4866" s="3" t="s">
        <v>4893</v>
      </c>
      <c r="C4866" s="3" t="s">
        <v>189</v>
      </c>
      <c r="D4866" s="3">
        <v>155.0</v>
      </c>
      <c r="E4866" s="3">
        <v>5.7</v>
      </c>
      <c r="F4866" s="3">
        <v>24.24</v>
      </c>
      <c r="G4866" s="3">
        <v>0.0</v>
      </c>
    </row>
    <row r="4867">
      <c r="A4867" s="3">
        <v>172377.0</v>
      </c>
      <c r="B4867" s="3" t="s">
        <v>4894</v>
      </c>
      <c r="C4867" s="3" t="s">
        <v>189</v>
      </c>
      <c r="D4867" s="3">
        <v>169.0</v>
      </c>
      <c r="E4867" s="3">
        <v>5.71</v>
      </c>
      <c r="F4867" s="3">
        <v>27.5</v>
      </c>
      <c r="G4867" s="3">
        <v>0.0</v>
      </c>
    </row>
    <row r="4868">
      <c r="A4868" s="3">
        <v>172378.0</v>
      </c>
      <c r="B4868" s="3" t="s">
        <v>4895</v>
      </c>
      <c r="C4868" s="3" t="s">
        <v>189</v>
      </c>
      <c r="D4868" s="3">
        <v>214.0</v>
      </c>
      <c r="E4868" s="3">
        <v>15.95</v>
      </c>
      <c r="F4868" s="3">
        <v>16.37</v>
      </c>
      <c r="G4868" s="3">
        <v>0.17</v>
      </c>
    </row>
    <row r="4869">
      <c r="A4869" s="3">
        <v>172379.0</v>
      </c>
      <c r="B4869" s="3" t="s">
        <v>4896</v>
      </c>
      <c r="C4869" s="3" t="s">
        <v>189</v>
      </c>
      <c r="D4869" s="3">
        <v>208.0</v>
      </c>
      <c r="E4869" s="3">
        <v>9.32</v>
      </c>
      <c r="F4869" s="3">
        <v>28.38</v>
      </c>
      <c r="G4869" s="3">
        <v>0.65</v>
      </c>
    </row>
    <row r="4870">
      <c r="A4870" s="3">
        <v>172380.0</v>
      </c>
      <c r="B4870" s="3" t="s">
        <v>4897</v>
      </c>
      <c r="C4870" s="3" t="s">
        <v>189</v>
      </c>
      <c r="D4870" s="3">
        <v>174.0</v>
      </c>
      <c r="E4870" s="3">
        <v>7.8</v>
      </c>
      <c r="F4870" s="3">
        <v>24.22</v>
      </c>
      <c r="G4870" s="3">
        <v>0.0</v>
      </c>
    </row>
    <row r="4871">
      <c r="A4871" s="3">
        <v>172381.0</v>
      </c>
      <c r="B4871" s="3" t="s">
        <v>4898</v>
      </c>
      <c r="C4871" s="3" t="s">
        <v>189</v>
      </c>
      <c r="D4871" s="3">
        <v>185.0</v>
      </c>
      <c r="E4871" s="3">
        <v>8.06</v>
      </c>
      <c r="F4871" s="3">
        <v>26.26</v>
      </c>
      <c r="G4871" s="3">
        <v>0.0</v>
      </c>
    </row>
    <row r="4872">
      <c r="A4872" s="3">
        <v>172382.0</v>
      </c>
      <c r="B4872" s="3" t="s">
        <v>4899</v>
      </c>
      <c r="C4872" s="3" t="s">
        <v>189</v>
      </c>
      <c r="D4872" s="3">
        <v>297.0</v>
      </c>
      <c r="E4872" s="3">
        <v>26.24</v>
      </c>
      <c r="F4872" s="3">
        <v>14.07</v>
      </c>
      <c r="G4872" s="3">
        <v>0.0</v>
      </c>
    </row>
    <row r="4873">
      <c r="A4873" s="3">
        <v>172383.0</v>
      </c>
      <c r="B4873" s="3" t="s">
        <v>4900</v>
      </c>
      <c r="C4873" s="3" t="s">
        <v>189</v>
      </c>
      <c r="D4873" s="3">
        <v>229.0</v>
      </c>
      <c r="E4873" s="3">
        <v>11.88</v>
      </c>
      <c r="F4873" s="3">
        <v>26.87</v>
      </c>
      <c r="G4873" s="3">
        <v>1.77</v>
      </c>
    </row>
    <row r="4874">
      <c r="A4874" s="3">
        <v>172384.0</v>
      </c>
      <c r="B4874" s="3" t="s">
        <v>4901</v>
      </c>
      <c r="C4874" s="3" t="s">
        <v>189</v>
      </c>
      <c r="D4874" s="3">
        <v>179.0</v>
      </c>
      <c r="E4874" s="3">
        <v>8.18</v>
      </c>
      <c r="F4874" s="3">
        <v>24.56</v>
      </c>
      <c r="G4874" s="3">
        <v>0.0</v>
      </c>
    </row>
    <row r="4875">
      <c r="A4875" s="3">
        <v>172385.0</v>
      </c>
      <c r="B4875" s="3" t="s">
        <v>4902</v>
      </c>
      <c r="C4875" s="3" t="s">
        <v>189</v>
      </c>
      <c r="D4875" s="3">
        <v>221.0</v>
      </c>
      <c r="E4875" s="3">
        <v>16.61</v>
      </c>
      <c r="F4875" s="3">
        <v>16.52</v>
      </c>
      <c r="G4875" s="3">
        <v>0.25</v>
      </c>
    </row>
    <row r="4876">
      <c r="A4876" s="3">
        <v>172386.0</v>
      </c>
      <c r="B4876" s="3" t="s">
        <v>4903</v>
      </c>
      <c r="C4876" s="3" t="s">
        <v>189</v>
      </c>
      <c r="D4876" s="3">
        <v>277.0</v>
      </c>
      <c r="E4876" s="3">
        <v>16.53</v>
      </c>
      <c r="F4876" s="3">
        <v>21.61</v>
      </c>
      <c r="G4876" s="3">
        <v>9.08</v>
      </c>
    </row>
    <row r="4877">
      <c r="A4877" s="3">
        <v>172387.0</v>
      </c>
      <c r="B4877" s="3" t="s">
        <v>4904</v>
      </c>
      <c r="C4877" s="3" t="s">
        <v>189</v>
      </c>
      <c r="D4877" s="3">
        <v>218.0</v>
      </c>
      <c r="E4877" s="3">
        <v>10.3</v>
      </c>
      <c r="F4877" s="3">
        <v>28.18</v>
      </c>
      <c r="G4877" s="3">
        <v>1.18</v>
      </c>
    </row>
    <row r="4878">
      <c r="A4878" s="3">
        <v>172388.0</v>
      </c>
      <c r="B4878" s="3" t="s">
        <v>4905</v>
      </c>
      <c r="C4878" s="3" t="s">
        <v>189</v>
      </c>
      <c r="D4878" s="3">
        <v>179.0</v>
      </c>
      <c r="E4878" s="3">
        <v>8.15</v>
      </c>
      <c r="F4878" s="3">
        <v>24.76</v>
      </c>
      <c r="G4878" s="3">
        <v>0.0</v>
      </c>
    </row>
    <row r="4879">
      <c r="A4879" s="3">
        <v>172389.0</v>
      </c>
      <c r="B4879" s="3" t="s">
        <v>4906</v>
      </c>
      <c r="C4879" s="3" t="s">
        <v>189</v>
      </c>
      <c r="D4879" s="3">
        <v>195.0</v>
      </c>
      <c r="E4879" s="3">
        <v>9.79</v>
      </c>
      <c r="F4879" s="3">
        <v>25.0</v>
      </c>
      <c r="G4879" s="3">
        <v>0.0</v>
      </c>
    </row>
    <row r="4880">
      <c r="A4880" s="3">
        <v>172390.0</v>
      </c>
      <c r="B4880" s="3" t="s">
        <v>4907</v>
      </c>
      <c r="C4880" s="3" t="s">
        <v>189</v>
      </c>
      <c r="D4880" s="3">
        <v>191.0</v>
      </c>
      <c r="E4880" s="3">
        <v>12.85</v>
      </c>
      <c r="F4880" s="3">
        <v>17.52</v>
      </c>
      <c r="G4880" s="3">
        <v>0.0</v>
      </c>
    </row>
    <row r="4881">
      <c r="A4881" s="3">
        <v>172391.0</v>
      </c>
      <c r="B4881" s="3" t="s">
        <v>4908</v>
      </c>
      <c r="C4881" s="3" t="s">
        <v>189</v>
      </c>
      <c r="D4881" s="3">
        <v>211.0</v>
      </c>
      <c r="E4881" s="3">
        <v>9.15</v>
      </c>
      <c r="F4881" s="3">
        <v>30.15</v>
      </c>
      <c r="G4881" s="3">
        <v>0.0</v>
      </c>
    </row>
    <row r="4882">
      <c r="A4882" s="3">
        <v>172392.0</v>
      </c>
      <c r="B4882" s="3" t="s">
        <v>4909</v>
      </c>
      <c r="C4882" s="3" t="s">
        <v>189</v>
      </c>
      <c r="D4882" s="3">
        <v>203.0</v>
      </c>
      <c r="E4882" s="3">
        <v>8.13</v>
      </c>
      <c r="F4882" s="3">
        <v>30.46</v>
      </c>
      <c r="G4882" s="3">
        <v>0.0</v>
      </c>
    </row>
    <row r="4883">
      <c r="A4883" s="3">
        <v>172393.0</v>
      </c>
      <c r="B4883" s="3" t="s">
        <v>4910</v>
      </c>
      <c r="C4883" s="3" t="s">
        <v>189</v>
      </c>
      <c r="D4883" s="3">
        <v>181.0</v>
      </c>
      <c r="E4883" s="3">
        <v>7.18</v>
      </c>
      <c r="F4883" s="3">
        <v>27.18</v>
      </c>
      <c r="G4883" s="3">
        <v>0.0</v>
      </c>
    </row>
    <row r="4884">
      <c r="A4884" s="3">
        <v>172394.0</v>
      </c>
      <c r="B4884" s="3" t="s">
        <v>4911</v>
      </c>
      <c r="C4884" s="3" t="s">
        <v>189</v>
      </c>
      <c r="D4884" s="3">
        <v>213.0</v>
      </c>
      <c r="E4884" s="3">
        <v>15.46</v>
      </c>
      <c r="F4884" s="3">
        <v>17.09</v>
      </c>
      <c r="G4884" s="3">
        <v>0.09</v>
      </c>
    </row>
    <row r="4885">
      <c r="A4885" s="3">
        <v>172395.0</v>
      </c>
      <c r="B4885" s="3" t="s">
        <v>4912</v>
      </c>
      <c r="C4885" s="3" t="s">
        <v>189</v>
      </c>
      <c r="D4885" s="3">
        <v>167.0</v>
      </c>
      <c r="E4885" s="3">
        <v>6.63</v>
      </c>
      <c r="F4885" s="3">
        <v>25.01</v>
      </c>
      <c r="G4885" s="3">
        <v>0.0</v>
      </c>
    </row>
    <row r="4886">
      <c r="A4886" s="3">
        <v>172396.0</v>
      </c>
      <c r="B4886" s="3" t="s">
        <v>4913</v>
      </c>
      <c r="C4886" s="3" t="s">
        <v>189</v>
      </c>
      <c r="D4886" s="3">
        <v>127.0</v>
      </c>
      <c r="E4886" s="3">
        <v>5.04</v>
      </c>
      <c r="F4886" s="3">
        <v>18.14</v>
      </c>
      <c r="G4886" s="3">
        <v>1.14</v>
      </c>
    </row>
    <row r="4887">
      <c r="A4887" s="3">
        <v>172397.0</v>
      </c>
      <c r="B4887" s="3" t="s">
        <v>4914</v>
      </c>
      <c r="C4887" s="3" t="s">
        <v>189</v>
      </c>
      <c r="D4887" s="3">
        <v>165.0</v>
      </c>
      <c r="E4887" s="3">
        <v>5.22</v>
      </c>
      <c r="F4887" s="3">
        <v>26.77</v>
      </c>
      <c r="G4887" s="3">
        <v>0.86</v>
      </c>
    </row>
    <row r="4888">
      <c r="A4888" s="3">
        <v>172398.0</v>
      </c>
      <c r="B4888" s="3" t="s">
        <v>4915</v>
      </c>
      <c r="C4888" s="3" t="s">
        <v>189</v>
      </c>
      <c r="D4888" s="3">
        <v>109.0</v>
      </c>
      <c r="E4888" s="3">
        <v>1.63</v>
      </c>
      <c r="F4888" s="3">
        <v>22.2</v>
      </c>
      <c r="G4888" s="3">
        <v>0.0</v>
      </c>
    </row>
    <row r="4889">
      <c r="A4889" s="3">
        <v>172399.0</v>
      </c>
      <c r="B4889" s="3" t="s">
        <v>4916</v>
      </c>
      <c r="C4889" s="3" t="s">
        <v>189</v>
      </c>
      <c r="D4889" s="3">
        <v>214.0</v>
      </c>
      <c r="E4889" s="3">
        <v>11.91</v>
      </c>
      <c r="F4889" s="3">
        <v>24.88</v>
      </c>
      <c r="G4889" s="3">
        <v>0.0</v>
      </c>
    </row>
    <row r="4890">
      <c r="A4890" s="3">
        <v>172400.0</v>
      </c>
      <c r="B4890" s="3" t="s">
        <v>4917</v>
      </c>
      <c r="C4890" s="3" t="s">
        <v>189</v>
      </c>
      <c r="D4890" s="3">
        <v>258.0</v>
      </c>
      <c r="E4890" s="3">
        <v>20.33</v>
      </c>
      <c r="F4890" s="3">
        <v>17.55</v>
      </c>
      <c r="G4890" s="3">
        <v>0.0</v>
      </c>
    </row>
    <row r="4891">
      <c r="A4891" s="3">
        <v>172401.0</v>
      </c>
      <c r="B4891" s="3" t="s">
        <v>4918</v>
      </c>
      <c r="C4891" s="3" t="s">
        <v>189</v>
      </c>
      <c r="D4891" s="3">
        <v>285.0</v>
      </c>
      <c r="E4891" s="3">
        <v>18.87</v>
      </c>
      <c r="F4891" s="3">
        <v>26.88</v>
      </c>
      <c r="G4891" s="3">
        <v>0.0</v>
      </c>
    </row>
    <row r="4892">
      <c r="A4892" s="3">
        <v>172402.0</v>
      </c>
      <c r="B4892" s="3" t="s">
        <v>4919</v>
      </c>
      <c r="C4892" s="3" t="s">
        <v>189</v>
      </c>
      <c r="D4892" s="3">
        <v>148.0</v>
      </c>
      <c r="E4892" s="3">
        <v>6.32</v>
      </c>
      <c r="F4892" s="3">
        <v>21.26</v>
      </c>
      <c r="G4892" s="3">
        <v>0.0</v>
      </c>
    </row>
    <row r="4893">
      <c r="A4893" s="3">
        <v>172403.0</v>
      </c>
      <c r="B4893" s="3" t="s">
        <v>4920</v>
      </c>
      <c r="C4893" s="3" t="s">
        <v>189</v>
      </c>
      <c r="D4893" s="3">
        <v>237.0</v>
      </c>
      <c r="E4893" s="3">
        <v>11.89</v>
      </c>
      <c r="F4893" s="3">
        <v>30.42</v>
      </c>
      <c r="G4893" s="3">
        <v>0.0</v>
      </c>
    </row>
    <row r="4894">
      <c r="A4894" s="3">
        <v>172404.0</v>
      </c>
      <c r="B4894" s="3" t="s">
        <v>4921</v>
      </c>
      <c r="C4894" s="3" t="s">
        <v>189</v>
      </c>
      <c r="D4894" s="3">
        <v>157.0</v>
      </c>
      <c r="E4894" s="3">
        <v>8.12</v>
      </c>
      <c r="F4894" s="3">
        <v>19.7</v>
      </c>
      <c r="G4894" s="3">
        <v>0.0</v>
      </c>
    </row>
    <row r="4895">
      <c r="A4895" s="3">
        <v>172405.0</v>
      </c>
      <c r="B4895" s="3" t="s">
        <v>4922</v>
      </c>
      <c r="C4895" s="3" t="s">
        <v>189</v>
      </c>
      <c r="D4895" s="3">
        <v>258.0</v>
      </c>
      <c r="E4895" s="3">
        <v>15.28</v>
      </c>
      <c r="F4895" s="3">
        <v>28.14</v>
      </c>
      <c r="G4895" s="3">
        <v>0.0</v>
      </c>
    </row>
    <row r="4896">
      <c r="A4896" s="3">
        <v>172406.0</v>
      </c>
      <c r="B4896" s="3" t="s">
        <v>4923</v>
      </c>
      <c r="C4896" s="3" t="s">
        <v>189</v>
      </c>
      <c r="D4896" s="3">
        <v>232.0</v>
      </c>
      <c r="E4896" s="3">
        <v>16.9</v>
      </c>
      <c r="F4896" s="3">
        <v>18.51</v>
      </c>
      <c r="G4896" s="3">
        <v>0.08</v>
      </c>
    </row>
    <row r="4897">
      <c r="A4897" s="3">
        <v>172407.0</v>
      </c>
      <c r="B4897" s="3" t="s">
        <v>4924</v>
      </c>
      <c r="C4897" s="3" t="s">
        <v>189</v>
      </c>
      <c r="D4897" s="3">
        <v>226.0</v>
      </c>
      <c r="E4897" s="3">
        <v>11.67</v>
      </c>
      <c r="F4897" s="3">
        <v>28.35</v>
      </c>
      <c r="G4897" s="3">
        <v>0.04</v>
      </c>
    </row>
    <row r="4898">
      <c r="A4898" s="3">
        <v>172408.0</v>
      </c>
      <c r="B4898" s="3" t="s">
        <v>4925</v>
      </c>
      <c r="C4898" s="3" t="s">
        <v>189</v>
      </c>
      <c r="D4898" s="3">
        <v>404.0</v>
      </c>
      <c r="E4898" s="3">
        <v>39.34</v>
      </c>
      <c r="F4898" s="3">
        <v>11.49</v>
      </c>
      <c r="G4898" s="3">
        <v>0.0</v>
      </c>
    </row>
    <row r="4899">
      <c r="A4899" s="3">
        <v>172409.0</v>
      </c>
      <c r="B4899" s="3" t="s">
        <v>4926</v>
      </c>
      <c r="C4899" s="3" t="s">
        <v>189</v>
      </c>
      <c r="D4899" s="3">
        <v>337.0</v>
      </c>
      <c r="E4899" s="3">
        <v>28.35</v>
      </c>
      <c r="F4899" s="3">
        <v>18.99</v>
      </c>
      <c r="G4899" s="3">
        <v>0.0</v>
      </c>
    </row>
    <row r="4900">
      <c r="A4900" s="3">
        <v>172410.0</v>
      </c>
      <c r="B4900" s="3" t="s">
        <v>4927</v>
      </c>
      <c r="C4900" s="3" t="s">
        <v>189</v>
      </c>
      <c r="D4900" s="3">
        <v>135.0</v>
      </c>
      <c r="E4900" s="3">
        <v>5.95</v>
      </c>
      <c r="F4900" s="3">
        <v>18.28</v>
      </c>
      <c r="G4900" s="3">
        <v>0.94</v>
      </c>
    </row>
    <row r="4901">
      <c r="A4901" s="3">
        <v>172411.0</v>
      </c>
      <c r="B4901" s="3" t="s">
        <v>4928</v>
      </c>
      <c r="C4901" s="3" t="s">
        <v>189</v>
      </c>
      <c r="D4901" s="3">
        <v>201.0</v>
      </c>
      <c r="E4901" s="3">
        <v>11.2</v>
      </c>
      <c r="F4901" s="3">
        <v>23.48</v>
      </c>
      <c r="G4901" s="3">
        <v>0.0</v>
      </c>
    </row>
    <row r="4902">
      <c r="A4902" s="3">
        <v>172412.0</v>
      </c>
      <c r="B4902" s="3" t="s">
        <v>4929</v>
      </c>
      <c r="C4902" s="3" t="s">
        <v>189</v>
      </c>
      <c r="D4902" s="3">
        <v>305.0</v>
      </c>
      <c r="E4902" s="3">
        <v>21.92</v>
      </c>
      <c r="F4902" s="3">
        <v>25.16</v>
      </c>
      <c r="G4902" s="3">
        <v>0.0</v>
      </c>
    </row>
    <row r="4903">
      <c r="A4903" s="3">
        <v>172413.0</v>
      </c>
      <c r="B4903" s="3" t="s">
        <v>4930</v>
      </c>
      <c r="C4903" s="3" t="s">
        <v>189</v>
      </c>
      <c r="D4903" s="3">
        <v>161.0</v>
      </c>
      <c r="E4903" s="3">
        <v>7.13</v>
      </c>
      <c r="F4903" s="3">
        <v>22.75</v>
      </c>
      <c r="G4903" s="3">
        <v>0.0</v>
      </c>
    </row>
    <row r="4904">
      <c r="A4904" s="3">
        <v>172414.0</v>
      </c>
      <c r="B4904" s="3" t="s">
        <v>4931</v>
      </c>
      <c r="C4904" s="3" t="s">
        <v>189</v>
      </c>
      <c r="D4904" s="3">
        <v>238.0</v>
      </c>
      <c r="E4904" s="3">
        <v>12.67</v>
      </c>
      <c r="F4904" s="3">
        <v>28.97</v>
      </c>
      <c r="G4904" s="3">
        <v>0.0</v>
      </c>
    </row>
    <row r="4905">
      <c r="A4905" s="3">
        <v>172415.0</v>
      </c>
      <c r="B4905" s="3" t="s">
        <v>4932</v>
      </c>
      <c r="C4905" s="3" t="s">
        <v>189</v>
      </c>
      <c r="D4905" s="3">
        <v>133.0</v>
      </c>
      <c r="E4905" s="3">
        <v>4.28</v>
      </c>
      <c r="F4905" s="3">
        <v>16.37</v>
      </c>
      <c r="G4905" s="3">
        <v>6.32</v>
      </c>
    </row>
    <row r="4906">
      <c r="A4906" s="3">
        <v>172416.0</v>
      </c>
      <c r="B4906" s="3" t="s">
        <v>4933</v>
      </c>
      <c r="C4906" s="3" t="s">
        <v>189</v>
      </c>
      <c r="D4906" s="3">
        <v>158.0</v>
      </c>
      <c r="E4906" s="3">
        <v>6.45</v>
      </c>
      <c r="F4906" s="3">
        <v>23.4</v>
      </c>
      <c r="G4906" s="3">
        <v>0.0</v>
      </c>
    </row>
    <row r="4907">
      <c r="A4907" s="3">
        <v>172417.0</v>
      </c>
      <c r="B4907" s="3" t="s">
        <v>4934</v>
      </c>
      <c r="C4907" s="3" t="s">
        <v>189</v>
      </c>
      <c r="D4907" s="3">
        <v>134.0</v>
      </c>
      <c r="E4907" s="3">
        <v>4.3</v>
      </c>
      <c r="F4907" s="3">
        <v>22.2</v>
      </c>
      <c r="G4907" s="3">
        <v>0.0</v>
      </c>
    </row>
    <row r="4908">
      <c r="A4908" s="3">
        <v>172418.0</v>
      </c>
      <c r="B4908" s="3" t="s">
        <v>4935</v>
      </c>
      <c r="C4908" s="3" t="s">
        <v>189</v>
      </c>
      <c r="D4908" s="3">
        <v>192.0</v>
      </c>
      <c r="E4908" s="3">
        <v>12.05</v>
      </c>
      <c r="F4908" s="3">
        <v>19.63</v>
      </c>
      <c r="G4908" s="3">
        <v>0.0</v>
      </c>
    </row>
    <row r="4909">
      <c r="A4909" s="3">
        <v>172419.0</v>
      </c>
      <c r="B4909" s="3" t="s">
        <v>4936</v>
      </c>
      <c r="C4909" s="3" t="s">
        <v>189</v>
      </c>
      <c r="D4909" s="3">
        <v>134.0</v>
      </c>
      <c r="E4909" s="3">
        <v>4.53</v>
      </c>
      <c r="F4909" s="3">
        <v>21.76</v>
      </c>
      <c r="G4909" s="3">
        <v>0.0</v>
      </c>
    </row>
    <row r="4910">
      <c r="A4910" s="3">
        <v>172420.0</v>
      </c>
      <c r="B4910" s="3" t="s">
        <v>4937</v>
      </c>
      <c r="C4910" s="3" t="s">
        <v>228</v>
      </c>
      <c r="D4910" s="3">
        <v>352.0</v>
      </c>
      <c r="E4910" s="3">
        <v>1.06</v>
      </c>
      <c r="F4910" s="3">
        <v>24.63</v>
      </c>
      <c r="G4910" s="3">
        <v>63.35</v>
      </c>
    </row>
    <row r="4911">
      <c r="A4911" s="3">
        <v>172421.0</v>
      </c>
      <c r="B4911" s="3" t="s">
        <v>4938</v>
      </c>
      <c r="C4911" s="3" t="s">
        <v>228</v>
      </c>
      <c r="D4911" s="3">
        <v>116.0</v>
      </c>
      <c r="E4911" s="3">
        <v>0.38</v>
      </c>
      <c r="F4911" s="3">
        <v>9.02</v>
      </c>
      <c r="G4911" s="3">
        <v>20.13</v>
      </c>
    </row>
    <row r="4912">
      <c r="A4912" s="3">
        <v>172422.0</v>
      </c>
      <c r="B4912" s="3" t="s">
        <v>4939</v>
      </c>
      <c r="C4912" s="3" t="s">
        <v>228</v>
      </c>
      <c r="D4912" s="3">
        <v>126.0</v>
      </c>
      <c r="E4912" s="3">
        <v>0.38</v>
      </c>
      <c r="F4912" s="3">
        <v>8.04</v>
      </c>
      <c r="G4912" s="3">
        <v>23.31</v>
      </c>
    </row>
    <row r="4913">
      <c r="A4913" s="3">
        <v>172423.0</v>
      </c>
      <c r="B4913" s="3" t="s">
        <v>4940</v>
      </c>
      <c r="C4913" s="3" t="s">
        <v>228</v>
      </c>
      <c r="D4913" s="3">
        <v>371.0</v>
      </c>
      <c r="E4913" s="3">
        <v>9.74</v>
      </c>
      <c r="F4913" s="3">
        <v>36.17</v>
      </c>
      <c r="G4913" s="3">
        <v>40.37</v>
      </c>
    </row>
    <row r="4914">
      <c r="A4914" s="3">
        <v>172424.0</v>
      </c>
      <c r="B4914" s="3" t="s">
        <v>4941</v>
      </c>
      <c r="C4914" s="3" t="s">
        <v>228</v>
      </c>
      <c r="D4914" s="3">
        <v>119.0</v>
      </c>
      <c r="E4914" s="3">
        <v>2.92</v>
      </c>
      <c r="F4914" s="3">
        <v>15.57</v>
      </c>
      <c r="G4914" s="3">
        <v>9.88</v>
      </c>
    </row>
    <row r="4915">
      <c r="A4915" s="3">
        <v>172425.0</v>
      </c>
      <c r="B4915" s="3" t="s">
        <v>4942</v>
      </c>
      <c r="C4915" s="3" t="s">
        <v>228</v>
      </c>
      <c r="D4915" s="3">
        <v>343.0</v>
      </c>
      <c r="E4915" s="3">
        <v>1.61</v>
      </c>
      <c r="F4915" s="3">
        <v>22.94</v>
      </c>
      <c r="G4915" s="3">
        <v>61.52</v>
      </c>
    </row>
    <row r="4916">
      <c r="A4916" s="3">
        <v>172426.0</v>
      </c>
      <c r="B4916" s="3" t="s">
        <v>4943</v>
      </c>
      <c r="C4916" s="3" t="s">
        <v>228</v>
      </c>
      <c r="D4916" s="3">
        <v>117.0</v>
      </c>
      <c r="E4916" s="3">
        <v>0.55</v>
      </c>
      <c r="F4916" s="3">
        <v>7.81</v>
      </c>
      <c r="G4916" s="3">
        <v>20.96</v>
      </c>
    </row>
    <row r="4917">
      <c r="A4917" s="3">
        <v>172427.0</v>
      </c>
      <c r="B4917" s="3" t="s">
        <v>4944</v>
      </c>
      <c r="C4917" s="3" t="s">
        <v>228</v>
      </c>
      <c r="D4917" s="3">
        <v>105.0</v>
      </c>
      <c r="E4917" s="3">
        <v>0.55</v>
      </c>
      <c r="F4917" s="3">
        <v>7.54</v>
      </c>
      <c r="G4917" s="3">
        <v>18.34</v>
      </c>
    </row>
    <row r="4918">
      <c r="A4918" s="3">
        <v>172428.0</v>
      </c>
      <c r="B4918" s="3" t="s">
        <v>4945</v>
      </c>
      <c r="C4918" s="3" t="s">
        <v>228</v>
      </c>
      <c r="D4918" s="3">
        <v>364.0</v>
      </c>
      <c r="E4918" s="3">
        <v>3.89</v>
      </c>
      <c r="F4918" s="3">
        <v>23.12</v>
      </c>
      <c r="G4918" s="3">
        <v>61.63</v>
      </c>
    </row>
    <row r="4919">
      <c r="A4919" s="3">
        <v>172429.0</v>
      </c>
      <c r="B4919" s="3" t="s">
        <v>4946</v>
      </c>
      <c r="C4919" s="3" t="s">
        <v>228</v>
      </c>
      <c r="D4919" s="3">
        <v>118.0</v>
      </c>
      <c r="E4919" s="3">
        <v>0.39</v>
      </c>
      <c r="F4919" s="3">
        <v>8.34</v>
      </c>
      <c r="G4919" s="3">
        <v>21.1</v>
      </c>
    </row>
    <row r="4920">
      <c r="A4920" s="3">
        <v>172430.0</v>
      </c>
      <c r="B4920" s="3" t="s">
        <v>4947</v>
      </c>
      <c r="C4920" s="3" t="s">
        <v>228</v>
      </c>
      <c r="D4920" s="3">
        <v>567.0</v>
      </c>
      <c r="E4920" s="3">
        <v>49.24</v>
      </c>
      <c r="F4920" s="3">
        <v>25.8</v>
      </c>
      <c r="G4920" s="3">
        <v>16.13</v>
      </c>
    </row>
    <row r="4921">
      <c r="A4921" s="3">
        <v>172431.0</v>
      </c>
      <c r="B4921" s="3" t="s">
        <v>4948</v>
      </c>
      <c r="C4921" s="3" t="s">
        <v>228</v>
      </c>
      <c r="D4921" s="3">
        <v>579.0</v>
      </c>
      <c r="E4921" s="3">
        <v>49.04</v>
      </c>
      <c r="F4921" s="3">
        <v>28.01</v>
      </c>
      <c r="G4921" s="3">
        <v>17.45</v>
      </c>
    </row>
    <row r="4922">
      <c r="A4922" s="3">
        <v>172432.0</v>
      </c>
      <c r="B4922" s="3" t="s">
        <v>4949</v>
      </c>
      <c r="C4922" s="3" t="s">
        <v>228</v>
      </c>
      <c r="D4922" s="3">
        <v>570.0</v>
      </c>
      <c r="E4922" s="3">
        <v>47.58</v>
      </c>
      <c r="F4922" s="3">
        <v>25.09</v>
      </c>
      <c r="G4922" s="3">
        <v>20.91</v>
      </c>
    </row>
    <row r="4923">
      <c r="A4923" s="3">
        <v>172433.0</v>
      </c>
      <c r="B4923" s="3" t="s">
        <v>4950</v>
      </c>
      <c r="C4923" s="3" t="s">
        <v>228</v>
      </c>
      <c r="D4923" s="3">
        <v>589.0</v>
      </c>
      <c r="E4923" s="3">
        <v>51.24</v>
      </c>
      <c r="F4923" s="3">
        <v>27.04</v>
      </c>
      <c r="G4923" s="3">
        <v>16.3</v>
      </c>
    </row>
    <row r="4924">
      <c r="A4924" s="3">
        <v>172434.0</v>
      </c>
      <c r="B4924" s="3" t="s">
        <v>4951</v>
      </c>
      <c r="C4924" s="3" t="s">
        <v>228</v>
      </c>
      <c r="D4924" s="3">
        <v>563.0</v>
      </c>
      <c r="E4924" s="3">
        <v>48.75</v>
      </c>
      <c r="F4924" s="3">
        <v>25.19</v>
      </c>
      <c r="G4924" s="3">
        <v>16.54</v>
      </c>
    </row>
    <row r="4925">
      <c r="A4925" s="3">
        <v>172435.0</v>
      </c>
      <c r="B4925" s="3" t="s">
        <v>4952</v>
      </c>
      <c r="C4925" s="3" t="s">
        <v>228</v>
      </c>
      <c r="D4925" s="3">
        <v>428.0</v>
      </c>
      <c r="E4925" s="3">
        <v>21.9</v>
      </c>
      <c r="F4925" s="3">
        <v>33.8</v>
      </c>
      <c r="G4925" s="3">
        <v>31.27</v>
      </c>
    </row>
    <row r="4926">
      <c r="A4926" s="3">
        <v>172436.0</v>
      </c>
      <c r="B4926" s="3" t="s">
        <v>4953</v>
      </c>
      <c r="C4926" s="3" t="s">
        <v>228</v>
      </c>
      <c r="D4926" s="3">
        <v>343.0</v>
      </c>
      <c r="E4926" s="3">
        <v>1.49</v>
      </c>
      <c r="F4926" s="3">
        <v>21.7</v>
      </c>
      <c r="G4926" s="3">
        <v>62.78</v>
      </c>
    </row>
    <row r="4927">
      <c r="A4927" s="3">
        <v>172437.0</v>
      </c>
      <c r="B4927" s="3" t="s">
        <v>4954</v>
      </c>
      <c r="C4927" s="3" t="s">
        <v>228</v>
      </c>
      <c r="D4927" s="3">
        <v>121.0</v>
      </c>
      <c r="E4927" s="3">
        <v>0.38</v>
      </c>
      <c r="F4927" s="3">
        <v>6.76</v>
      </c>
      <c r="G4927" s="3">
        <v>23.25</v>
      </c>
    </row>
    <row r="4928">
      <c r="A4928" s="3">
        <v>172438.0</v>
      </c>
      <c r="B4928" s="3" t="s">
        <v>4955</v>
      </c>
      <c r="C4928" s="3" t="s">
        <v>228</v>
      </c>
      <c r="D4928" s="3">
        <v>90.0</v>
      </c>
      <c r="E4928" s="3">
        <v>2.01</v>
      </c>
      <c r="F4928" s="3">
        <v>4.98</v>
      </c>
      <c r="G4928" s="3">
        <v>13.55</v>
      </c>
    </row>
    <row r="4929">
      <c r="A4929" s="3">
        <v>172439.0</v>
      </c>
      <c r="B4929" s="3" t="s">
        <v>4956</v>
      </c>
      <c r="C4929" s="3" t="s">
        <v>228</v>
      </c>
      <c r="D4929" s="3">
        <v>309.0</v>
      </c>
      <c r="E4929" s="3">
        <v>29.52</v>
      </c>
      <c r="F4929" s="3">
        <v>11.69</v>
      </c>
      <c r="G4929" s="3">
        <v>5.31</v>
      </c>
    </row>
    <row r="4930">
      <c r="A4930" s="3">
        <v>172440.0</v>
      </c>
      <c r="B4930" s="3" t="s">
        <v>4957</v>
      </c>
      <c r="C4930" s="3" t="s">
        <v>228</v>
      </c>
      <c r="D4930" s="3">
        <v>469.0</v>
      </c>
      <c r="E4930" s="3">
        <v>25.4</v>
      </c>
      <c r="F4930" s="3">
        <v>38.55</v>
      </c>
      <c r="G4930" s="3">
        <v>30.22</v>
      </c>
    </row>
    <row r="4931">
      <c r="A4931" s="3">
        <v>172441.0</v>
      </c>
      <c r="B4931" s="3" t="s">
        <v>4958</v>
      </c>
      <c r="C4931" s="3" t="s">
        <v>228</v>
      </c>
      <c r="D4931" s="3">
        <v>449.0</v>
      </c>
      <c r="E4931" s="3">
        <v>21.62</v>
      </c>
      <c r="F4931" s="3">
        <v>43.32</v>
      </c>
      <c r="G4931" s="3">
        <v>28.98</v>
      </c>
    </row>
    <row r="4932">
      <c r="A4932" s="3">
        <v>172442.0</v>
      </c>
      <c r="B4932" s="3" t="s">
        <v>4959</v>
      </c>
      <c r="C4932" s="3" t="s">
        <v>228</v>
      </c>
      <c r="D4932" s="3">
        <v>198.0</v>
      </c>
      <c r="E4932" s="3">
        <v>6.01</v>
      </c>
      <c r="F4932" s="3">
        <v>12.79</v>
      </c>
      <c r="G4932" s="3">
        <v>25.37</v>
      </c>
    </row>
    <row r="4933">
      <c r="A4933" s="3">
        <v>172443.0</v>
      </c>
      <c r="B4933" s="3" t="s">
        <v>4960</v>
      </c>
      <c r="C4933" s="3" t="s">
        <v>228</v>
      </c>
      <c r="D4933" s="3">
        <v>211.0</v>
      </c>
      <c r="E4933" s="3">
        <v>11.0</v>
      </c>
      <c r="F4933" s="3">
        <v>19.4</v>
      </c>
      <c r="G4933" s="3">
        <v>12.68</v>
      </c>
    </row>
    <row r="4934">
      <c r="A4934" s="3">
        <v>172444.0</v>
      </c>
      <c r="B4934" s="3" t="s">
        <v>4961</v>
      </c>
      <c r="C4934" s="3" t="s">
        <v>228</v>
      </c>
      <c r="D4934" s="3">
        <v>372.0</v>
      </c>
      <c r="E4934" s="3">
        <v>8.9</v>
      </c>
      <c r="F4934" s="3">
        <v>49.81</v>
      </c>
      <c r="G4934" s="3">
        <v>30.63</v>
      </c>
    </row>
    <row r="4935">
      <c r="A4935" s="3">
        <v>172445.0</v>
      </c>
      <c r="B4935" s="3" t="s">
        <v>4962</v>
      </c>
      <c r="C4935" s="3" t="s">
        <v>228</v>
      </c>
      <c r="D4935" s="3">
        <v>337.0</v>
      </c>
      <c r="E4935" s="3">
        <v>2.39</v>
      </c>
      <c r="F4935" s="3">
        <v>49.2</v>
      </c>
      <c r="G4935" s="3">
        <v>35.89</v>
      </c>
    </row>
    <row r="4936">
      <c r="A4936" s="3">
        <v>172446.0</v>
      </c>
      <c r="B4936" s="3" t="s">
        <v>4963</v>
      </c>
      <c r="C4936" s="3" t="s">
        <v>228</v>
      </c>
      <c r="D4936" s="3">
        <v>54.0</v>
      </c>
      <c r="E4936" s="3">
        <v>1.75</v>
      </c>
      <c r="F4936" s="3">
        <v>3.27</v>
      </c>
      <c r="G4936" s="3">
        <v>6.28</v>
      </c>
    </row>
    <row r="4937">
      <c r="A4937" s="3">
        <v>172447.0</v>
      </c>
      <c r="B4937" s="3" t="s">
        <v>4964</v>
      </c>
      <c r="C4937" s="3" t="s">
        <v>228</v>
      </c>
      <c r="D4937" s="3">
        <v>328.0</v>
      </c>
      <c r="E4937" s="3">
        <v>0.46</v>
      </c>
      <c r="F4937" s="3">
        <v>63.63</v>
      </c>
      <c r="G4937" s="3">
        <v>25.41</v>
      </c>
    </row>
    <row r="4938">
      <c r="A4938" s="3">
        <v>172448.0</v>
      </c>
      <c r="B4938" s="3" t="s">
        <v>4965</v>
      </c>
      <c r="C4938" s="3" t="s">
        <v>228</v>
      </c>
      <c r="D4938" s="3">
        <v>78.0</v>
      </c>
      <c r="E4938" s="3">
        <v>4.17</v>
      </c>
      <c r="F4938" s="3">
        <v>9.04</v>
      </c>
      <c r="G4938" s="3">
        <v>2.85</v>
      </c>
    </row>
    <row r="4939">
      <c r="A4939" s="3">
        <v>172449.0</v>
      </c>
      <c r="B4939" s="3" t="s">
        <v>4966</v>
      </c>
      <c r="C4939" s="3" t="s">
        <v>228</v>
      </c>
      <c r="D4939" s="3">
        <v>61.0</v>
      </c>
      <c r="E4939" s="3">
        <v>3.69</v>
      </c>
      <c r="F4939" s="3">
        <v>7.17</v>
      </c>
      <c r="G4939" s="3">
        <v>1.18</v>
      </c>
    </row>
    <row r="4940">
      <c r="A4940" s="3">
        <v>172450.0</v>
      </c>
      <c r="B4940" s="3" t="s">
        <v>4967</v>
      </c>
      <c r="C4940" s="3" t="s">
        <v>228</v>
      </c>
      <c r="D4940" s="3">
        <v>477.0</v>
      </c>
      <c r="E4940" s="3">
        <v>30.34</v>
      </c>
      <c r="F4940" s="3">
        <v>52.47</v>
      </c>
      <c r="G4940" s="3">
        <v>10.03</v>
      </c>
    </row>
    <row r="4941">
      <c r="A4941" s="3">
        <v>172451.0</v>
      </c>
      <c r="B4941" s="3" t="s">
        <v>4968</v>
      </c>
      <c r="C4941" s="3" t="s">
        <v>228</v>
      </c>
      <c r="D4941" s="3">
        <v>270.0</v>
      </c>
      <c r="E4941" s="3">
        <v>20.18</v>
      </c>
      <c r="F4941" s="3">
        <v>18.82</v>
      </c>
      <c r="G4941" s="3">
        <v>8.86</v>
      </c>
    </row>
    <row r="4942">
      <c r="A4942" s="3">
        <v>172452.0</v>
      </c>
      <c r="B4942" s="3" t="s">
        <v>4969</v>
      </c>
      <c r="C4942" s="3" t="s">
        <v>228</v>
      </c>
      <c r="D4942" s="3">
        <v>76.0</v>
      </c>
      <c r="E4942" s="3">
        <v>1.73</v>
      </c>
      <c r="F4942" s="3">
        <v>3.52</v>
      </c>
      <c r="G4942" s="3">
        <v>12.23</v>
      </c>
    </row>
    <row r="4943">
      <c r="A4943" s="3">
        <v>172453.0</v>
      </c>
      <c r="B4943" s="3" t="s">
        <v>4970</v>
      </c>
      <c r="C4943" s="3" t="s">
        <v>228</v>
      </c>
      <c r="D4943" s="3">
        <v>147.0</v>
      </c>
      <c r="E4943" s="3">
        <v>5.84</v>
      </c>
      <c r="F4943" s="3">
        <v>10.62</v>
      </c>
      <c r="G4943" s="3">
        <v>14.94</v>
      </c>
    </row>
    <row r="4944">
      <c r="A4944" s="3">
        <v>172454.0</v>
      </c>
      <c r="B4944" s="3" t="s">
        <v>4971</v>
      </c>
      <c r="C4944" s="3" t="s">
        <v>228</v>
      </c>
      <c r="D4944" s="3">
        <v>177.0</v>
      </c>
      <c r="E4944" s="3">
        <v>8.59</v>
      </c>
      <c r="F4944" s="3">
        <v>4.86</v>
      </c>
      <c r="G4944" s="3">
        <v>20.12</v>
      </c>
    </row>
    <row r="4945">
      <c r="A4945" s="3">
        <v>172455.0</v>
      </c>
      <c r="B4945" s="3" t="s">
        <v>4972</v>
      </c>
      <c r="C4945" s="3" t="s">
        <v>228</v>
      </c>
      <c r="D4945" s="3">
        <v>333.0</v>
      </c>
      <c r="E4945" s="3">
        <v>17.8</v>
      </c>
      <c r="F4945" s="3">
        <v>13.31</v>
      </c>
      <c r="G4945" s="3">
        <v>31.84</v>
      </c>
    </row>
    <row r="4946">
      <c r="A4946" s="3">
        <v>172456.0</v>
      </c>
      <c r="B4946" s="3" t="s">
        <v>4973</v>
      </c>
      <c r="C4946" s="3" t="s">
        <v>228</v>
      </c>
      <c r="D4946" s="3">
        <v>43.0</v>
      </c>
      <c r="E4946" s="3">
        <v>1.47</v>
      </c>
      <c r="F4946" s="3">
        <v>2.6</v>
      </c>
      <c r="G4946" s="3">
        <v>4.92</v>
      </c>
    </row>
    <row r="4947">
      <c r="A4947" s="3">
        <v>172457.0</v>
      </c>
      <c r="B4947" s="3" t="s">
        <v>4974</v>
      </c>
      <c r="C4947" s="3" t="s">
        <v>228</v>
      </c>
      <c r="D4947" s="3">
        <v>650.0</v>
      </c>
      <c r="E4947" s="3">
        <v>54.89</v>
      </c>
      <c r="F4947" s="3">
        <v>24.8</v>
      </c>
      <c r="G4947" s="3">
        <v>14.23</v>
      </c>
    </row>
    <row r="4948">
      <c r="A4948" s="3">
        <v>172458.0</v>
      </c>
      <c r="B4948" s="3" t="s">
        <v>4975</v>
      </c>
      <c r="C4948" s="3" t="s">
        <v>228</v>
      </c>
      <c r="D4948" s="3">
        <v>520.0</v>
      </c>
      <c r="E4948" s="3">
        <v>34.0</v>
      </c>
      <c r="F4948" s="3">
        <v>25.9</v>
      </c>
      <c r="G4948" s="3">
        <v>35.65</v>
      </c>
    </row>
    <row r="4949">
      <c r="A4949" s="3">
        <v>172459.0</v>
      </c>
      <c r="B4949" s="3" t="s">
        <v>4976</v>
      </c>
      <c r="C4949" s="3" t="s">
        <v>228</v>
      </c>
      <c r="D4949" s="3">
        <v>591.0</v>
      </c>
      <c r="E4949" s="3">
        <v>50.81</v>
      </c>
      <c r="F4949" s="3">
        <v>25.72</v>
      </c>
      <c r="G4949" s="3">
        <v>18.75</v>
      </c>
    </row>
    <row r="4950">
      <c r="A4950" s="3">
        <v>172460.0</v>
      </c>
      <c r="B4950" s="3" t="s">
        <v>4977</v>
      </c>
      <c r="C4950" s="3" t="s">
        <v>228</v>
      </c>
      <c r="D4950" s="3">
        <v>593.0</v>
      </c>
      <c r="E4950" s="3">
        <v>51.47</v>
      </c>
      <c r="F4950" s="3">
        <v>26.06</v>
      </c>
      <c r="G4950" s="3">
        <v>17.69</v>
      </c>
    </row>
    <row r="4951">
      <c r="A4951" s="3">
        <v>172461.0</v>
      </c>
      <c r="B4951" s="3" t="s">
        <v>4978</v>
      </c>
      <c r="C4951" s="3" t="s">
        <v>228</v>
      </c>
      <c r="D4951" s="3">
        <v>62.0</v>
      </c>
      <c r="E4951" s="3">
        <v>2.7</v>
      </c>
      <c r="F4951" s="3">
        <v>6.9</v>
      </c>
      <c r="G4951" s="3">
        <v>2.4</v>
      </c>
    </row>
    <row r="4952">
      <c r="A4952" s="3">
        <v>172462.0</v>
      </c>
      <c r="B4952" s="3" t="s">
        <v>4979</v>
      </c>
      <c r="C4952" s="3" t="s">
        <v>228</v>
      </c>
      <c r="D4952" s="3">
        <v>55.0</v>
      </c>
      <c r="E4952" s="3">
        <v>1.9</v>
      </c>
      <c r="F4952" s="3">
        <v>7.4</v>
      </c>
      <c r="G4952" s="3">
        <v>2.0</v>
      </c>
    </row>
    <row r="4953">
      <c r="A4953" s="3">
        <v>172463.0</v>
      </c>
      <c r="B4953" s="3" t="s">
        <v>4980</v>
      </c>
      <c r="C4953" s="3" t="s">
        <v>228</v>
      </c>
      <c r="D4953" s="3">
        <v>37.0</v>
      </c>
      <c r="E4953" s="3">
        <v>0.8</v>
      </c>
      <c r="F4953" s="3">
        <v>6.3</v>
      </c>
      <c r="G4953" s="3">
        <v>1.1</v>
      </c>
    </row>
    <row r="4954">
      <c r="A4954" s="3">
        <v>172464.0</v>
      </c>
      <c r="B4954" s="3" t="s">
        <v>4981</v>
      </c>
      <c r="C4954" s="3" t="s">
        <v>228</v>
      </c>
      <c r="D4954" s="3">
        <v>38.0</v>
      </c>
      <c r="E4954" s="3">
        <v>0.7</v>
      </c>
      <c r="F4954" s="3">
        <v>7.0</v>
      </c>
      <c r="G4954" s="3">
        <v>1.0</v>
      </c>
    </row>
    <row r="4955">
      <c r="A4955" s="3">
        <v>172465.0</v>
      </c>
      <c r="B4955" s="3" t="s">
        <v>4982</v>
      </c>
      <c r="C4955" s="3" t="s">
        <v>228</v>
      </c>
      <c r="D4955" s="3">
        <v>79.0</v>
      </c>
      <c r="E4955" s="3">
        <v>0.45</v>
      </c>
      <c r="F4955" s="3">
        <v>5.34</v>
      </c>
      <c r="G4955" s="3">
        <v>13.5</v>
      </c>
    </row>
    <row r="4956">
      <c r="A4956" s="3">
        <v>172466.0</v>
      </c>
      <c r="B4956" s="3" t="s">
        <v>4983</v>
      </c>
      <c r="C4956" s="3" t="s">
        <v>228</v>
      </c>
      <c r="D4956" s="3">
        <v>144.0</v>
      </c>
      <c r="E4956" s="3">
        <v>6.93</v>
      </c>
      <c r="F4956" s="3">
        <v>5.0</v>
      </c>
      <c r="G4956" s="3">
        <v>15.47</v>
      </c>
    </row>
    <row r="4957">
      <c r="A4957" s="3">
        <v>172467.0</v>
      </c>
      <c r="B4957" s="3" t="s">
        <v>4984</v>
      </c>
      <c r="C4957" s="3" t="s">
        <v>228</v>
      </c>
      <c r="D4957" s="3">
        <v>195.0</v>
      </c>
      <c r="E4957" s="3">
        <v>11.38</v>
      </c>
      <c r="F4957" s="3">
        <v>19.91</v>
      </c>
      <c r="G4957" s="3">
        <v>7.62</v>
      </c>
    </row>
    <row r="4958">
      <c r="A4958" s="3">
        <v>172468.0</v>
      </c>
      <c r="B4958" s="3" t="s">
        <v>4985</v>
      </c>
      <c r="C4958" s="3" t="s">
        <v>228</v>
      </c>
      <c r="D4958" s="3">
        <v>54.0</v>
      </c>
      <c r="E4958" s="3">
        <v>1.7</v>
      </c>
      <c r="F4958" s="3">
        <v>8.3</v>
      </c>
      <c r="G4958" s="3">
        <v>1.3</v>
      </c>
    </row>
    <row r="4959">
      <c r="A4959" s="3">
        <v>172469.0</v>
      </c>
      <c r="B4959" s="3" t="s">
        <v>4986</v>
      </c>
      <c r="C4959" s="3" t="s">
        <v>228</v>
      </c>
      <c r="D4959" s="3">
        <v>589.0</v>
      </c>
      <c r="E4959" s="3">
        <v>49.94</v>
      </c>
      <c r="F4959" s="3">
        <v>24.06</v>
      </c>
      <c r="G4959" s="3">
        <v>21.57</v>
      </c>
    </row>
    <row r="4960">
      <c r="A4960" s="3">
        <v>172470.0</v>
      </c>
      <c r="B4960" s="3" t="s">
        <v>4987</v>
      </c>
      <c r="C4960" s="3" t="s">
        <v>228</v>
      </c>
      <c r="D4960" s="3">
        <v>598.0</v>
      </c>
      <c r="E4960" s="3">
        <v>51.36</v>
      </c>
      <c r="F4960" s="3">
        <v>22.21</v>
      </c>
      <c r="G4960" s="3">
        <v>22.31</v>
      </c>
    </row>
    <row r="4961">
      <c r="A4961" s="3">
        <v>172471.0</v>
      </c>
      <c r="B4961" s="3" t="s">
        <v>4988</v>
      </c>
      <c r="C4961" s="3" t="s">
        <v>228</v>
      </c>
      <c r="D4961" s="3">
        <v>608.0</v>
      </c>
      <c r="E4961" s="3">
        <v>54.17</v>
      </c>
      <c r="F4961" s="3">
        <v>24.47</v>
      </c>
      <c r="G4961" s="3">
        <v>17.0</v>
      </c>
    </row>
    <row r="4962">
      <c r="A4962" s="3">
        <v>172472.0</v>
      </c>
      <c r="B4962" s="3" t="s">
        <v>4989</v>
      </c>
      <c r="C4962" s="3" t="s">
        <v>228</v>
      </c>
      <c r="D4962" s="3">
        <v>121.0</v>
      </c>
      <c r="E4962" s="3">
        <v>0.38</v>
      </c>
      <c r="F4962" s="3">
        <v>6.76</v>
      </c>
      <c r="G4962" s="3">
        <v>23.25</v>
      </c>
    </row>
    <row r="4963">
      <c r="A4963" s="3">
        <v>172473.0</v>
      </c>
      <c r="B4963" s="3" t="s">
        <v>4990</v>
      </c>
      <c r="C4963" s="3" t="s">
        <v>228</v>
      </c>
      <c r="D4963" s="3">
        <v>57.0</v>
      </c>
      <c r="E4963" s="3">
        <v>0.3</v>
      </c>
      <c r="F4963" s="3">
        <v>9.05</v>
      </c>
      <c r="G4963" s="3">
        <v>5.59</v>
      </c>
    </row>
    <row r="4964">
      <c r="A4964" s="3">
        <v>172474.0</v>
      </c>
      <c r="B4964" s="3" t="s">
        <v>4991</v>
      </c>
      <c r="C4964" s="3" t="s">
        <v>228</v>
      </c>
      <c r="D4964" s="3">
        <v>90.0</v>
      </c>
      <c r="E4964" s="3">
        <v>0.31</v>
      </c>
      <c r="F4964" s="3">
        <v>8.19</v>
      </c>
      <c r="G4964" s="3">
        <v>14.44</v>
      </c>
    </row>
    <row r="4965">
      <c r="A4965" s="3">
        <v>172475.0</v>
      </c>
      <c r="B4965" s="3" t="s">
        <v>4992</v>
      </c>
      <c r="C4965" s="3" t="s">
        <v>228</v>
      </c>
      <c r="D4965" s="3">
        <v>144.0</v>
      </c>
      <c r="E4965" s="3">
        <v>8.72</v>
      </c>
      <c r="F4965" s="3">
        <v>17.27</v>
      </c>
      <c r="G4965" s="3">
        <v>2.78</v>
      </c>
    </row>
    <row r="4966">
      <c r="A4966" s="3">
        <v>172476.0</v>
      </c>
      <c r="B4966" s="3" t="s">
        <v>4993</v>
      </c>
      <c r="C4966" s="3" t="s">
        <v>228</v>
      </c>
      <c r="D4966" s="3">
        <v>76.0</v>
      </c>
      <c r="E4966" s="3">
        <v>4.78</v>
      </c>
      <c r="F4966" s="3">
        <v>8.08</v>
      </c>
      <c r="G4966" s="3">
        <v>1.87</v>
      </c>
    </row>
    <row r="4967">
      <c r="A4967" s="3">
        <v>172477.0</v>
      </c>
      <c r="B4967" s="3" t="s">
        <v>4994</v>
      </c>
      <c r="C4967" s="3" t="s">
        <v>228</v>
      </c>
      <c r="D4967" s="3">
        <v>147.0</v>
      </c>
      <c r="E4967" s="3">
        <v>5.84</v>
      </c>
      <c r="F4967" s="3">
        <v>10.62</v>
      </c>
      <c r="G4967" s="3">
        <v>14.94</v>
      </c>
    </row>
    <row r="4968">
      <c r="A4968" s="3">
        <v>172478.0</v>
      </c>
      <c r="B4968" s="3" t="s">
        <v>4995</v>
      </c>
      <c r="C4968" s="3" t="s">
        <v>189</v>
      </c>
      <c r="D4968" s="3">
        <v>134.0</v>
      </c>
      <c r="E4968" s="3">
        <v>4.63</v>
      </c>
      <c r="F4968" s="3">
        <v>21.7</v>
      </c>
      <c r="G4968" s="3">
        <v>1.4</v>
      </c>
    </row>
    <row r="4969">
      <c r="A4969" s="3">
        <v>172479.0</v>
      </c>
      <c r="B4969" s="3" t="s">
        <v>4996</v>
      </c>
      <c r="C4969" s="3" t="s">
        <v>189</v>
      </c>
      <c r="D4969" s="3">
        <v>267.0</v>
      </c>
      <c r="E4969" s="3">
        <v>21.59</v>
      </c>
      <c r="F4969" s="3">
        <v>16.88</v>
      </c>
      <c r="G4969" s="3">
        <v>0.0</v>
      </c>
    </row>
    <row r="4970">
      <c r="A4970" s="3">
        <v>172480.0</v>
      </c>
      <c r="B4970" s="3" t="s">
        <v>4997</v>
      </c>
      <c r="C4970" s="3" t="s">
        <v>189</v>
      </c>
      <c r="D4970" s="3">
        <v>294.0</v>
      </c>
      <c r="E4970" s="3">
        <v>20.94</v>
      </c>
      <c r="F4970" s="3">
        <v>24.52</v>
      </c>
      <c r="G4970" s="3">
        <v>0.0</v>
      </c>
    </row>
    <row r="4971">
      <c r="A4971" s="3">
        <v>172481.0</v>
      </c>
      <c r="B4971" s="3" t="s">
        <v>4998</v>
      </c>
      <c r="C4971" s="3" t="s">
        <v>189</v>
      </c>
      <c r="D4971" s="3">
        <v>201.0</v>
      </c>
      <c r="E4971" s="3">
        <v>13.38</v>
      </c>
      <c r="F4971" s="3">
        <v>18.91</v>
      </c>
      <c r="G4971" s="3">
        <v>0.0</v>
      </c>
    </row>
    <row r="4972">
      <c r="A4972" s="3">
        <v>172482.0</v>
      </c>
      <c r="B4972" s="3" t="s">
        <v>4999</v>
      </c>
      <c r="C4972" s="3" t="s">
        <v>189</v>
      </c>
      <c r="D4972" s="3">
        <v>243.0</v>
      </c>
      <c r="E4972" s="3">
        <v>13.46</v>
      </c>
      <c r="F4972" s="3">
        <v>28.37</v>
      </c>
      <c r="G4972" s="3">
        <v>0.0</v>
      </c>
    </row>
    <row r="4973">
      <c r="A4973" s="3">
        <v>172483.0</v>
      </c>
      <c r="B4973" s="3" t="s">
        <v>5000</v>
      </c>
      <c r="C4973" s="3" t="s">
        <v>189</v>
      </c>
      <c r="D4973" s="3">
        <v>120.0</v>
      </c>
      <c r="E4973" s="3">
        <v>3.29</v>
      </c>
      <c r="F4973" s="3">
        <v>21.08</v>
      </c>
      <c r="G4973" s="3">
        <v>0.0</v>
      </c>
    </row>
    <row r="4974">
      <c r="A4974" s="3">
        <v>172484.0</v>
      </c>
      <c r="B4974" s="3" t="s">
        <v>5001</v>
      </c>
      <c r="C4974" s="3" t="s">
        <v>189</v>
      </c>
      <c r="D4974" s="3">
        <v>187.0</v>
      </c>
      <c r="E4974" s="3">
        <v>6.02</v>
      </c>
      <c r="F4974" s="3">
        <v>31.01</v>
      </c>
      <c r="G4974" s="3">
        <v>0.0</v>
      </c>
    </row>
    <row r="4975">
      <c r="A4975" s="3">
        <v>172485.0</v>
      </c>
      <c r="B4975" s="3" t="s">
        <v>5002</v>
      </c>
      <c r="C4975" s="3" t="s">
        <v>189</v>
      </c>
      <c r="D4975" s="3">
        <v>225.0</v>
      </c>
      <c r="E4975" s="3">
        <v>12.45</v>
      </c>
      <c r="F4975" s="3">
        <v>26.41</v>
      </c>
      <c r="G4975" s="3">
        <v>0.0</v>
      </c>
    </row>
    <row r="4976">
      <c r="A4976" s="3">
        <v>172486.0</v>
      </c>
      <c r="B4976" s="3" t="s">
        <v>5003</v>
      </c>
      <c r="C4976" s="3" t="s">
        <v>189</v>
      </c>
      <c r="D4976" s="3">
        <v>125.0</v>
      </c>
      <c r="E4976" s="3">
        <v>4.19</v>
      </c>
      <c r="F4976" s="3">
        <v>20.52</v>
      </c>
      <c r="G4976" s="3">
        <v>0.0</v>
      </c>
    </row>
    <row r="4977">
      <c r="A4977" s="3">
        <v>172487.0</v>
      </c>
      <c r="B4977" s="3" t="s">
        <v>5004</v>
      </c>
      <c r="C4977" s="3" t="s">
        <v>189</v>
      </c>
      <c r="D4977" s="3">
        <v>180.0</v>
      </c>
      <c r="E4977" s="3">
        <v>6.67</v>
      </c>
      <c r="F4977" s="3">
        <v>28.17</v>
      </c>
      <c r="G4977" s="3">
        <v>0.0</v>
      </c>
    </row>
    <row r="4978">
      <c r="A4978" s="3">
        <v>172488.0</v>
      </c>
      <c r="B4978" s="3" t="s">
        <v>5005</v>
      </c>
      <c r="C4978" s="3" t="s">
        <v>189</v>
      </c>
      <c r="D4978" s="3">
        <v>272.0</v>
      </c>
      <c r="E4978" s="3">
        <v>22.11</v>
      </c>
      <c r="F4978" s="3">
        <v>16.94</v>
      </c>
      <c r="G4978" s="3">
        <v>0.0</v>
      </c>
    </row>
    <row r="4979">
      <c r="A4979" s="3">
        <v>172489.0</v>
      </c>
      <c r="B4979" s="3" t="s">
        <v>5006</v>
      </c>
      <c r="C4979" s="3" t="s">
        <v>189</v>
      </c>
      <c r="D4979" s="3">
        <v>316.0</v>
      </c>
      <c r="E4979" s="3">
        <v>23.08</v>
      </c>
      <c r="F4979" s="3">
        <v>25.17</v>
      </c>
      <c r="G4979" s="3">
        <v>0.0</v>
      </c>
    </row>
    <row r="4980">
      <c r="A4980" s="3">
        <v>172490.0</v>
      </c>
      <c r="B4980" s="3" t="s">
        <v>5007</v>
      </c>
      <c r="C4980" s="3" t="s">
        <v>189</v>
      </c>
      <c r="D4980" s="3">
        <v>309.0</v>
      </c>
      <c r="E4980" s="3">
        <v>23.59</v>
      </c>
      <c r="F4980" s="3">
        <v>22.55</v>
      </c>
      <c r="G4980" s="3">
        <v>0.0</v>
      </c>
    </row>
    <row r="4981">
      <c r="A4981" s="3">
        <v>172491.0</v>
      </c>
      <c r="B4981" s="3" t="s">
        <v>5008</v>
      </c>
      <c r="C4981" s="3" t="s">
        <v>189</v>
      </c>
      <c r="D4981" s="3">
        <v>143.0</v>
      </c>
      <c r="E4981" s="3">
        <v>5.94</v>
      </c>
      <c r="F4981" s="3">
        <v>20.88</v>
      </c>
      <c r="G4981" s="3">
        <v>0.0</v>
      </c>
    </row>
    <row r="4982">
      <c r="A4982" s="3">
        <v>172492.0</v>
      </c>
      <c r="B4982" s="3" t="s">
        <v>5009</v>
      </c>
      <c r="C4982" s="3" t="s">
        <v>189</v>
      </c>
      <c r="D4982" s="3">
        <v>216.0</v>
      </c>
      <c r="E4982" s="3">
        <v>9.73</v>
      </c>
      <c r="F4982" s="3">
        <v>29.99</v>
      </c>
      <c r="G4982" s="3">
        <v>0.0</v>
      </c>
    </row>
    <row r="4983">
      <c r="A4983" s="3">
        <v>172493.0</v>
      </c>
      <c r="B4983" s="3" t="s">
        <v>5010</v>
      </c>
      <c r="C4983" s="3" t="s">
        <v>189</v>
      </c>
      <c r="D4983" s="3">
        <v>169.0</v>
      </c>
      <c r="E4983" s="3">
        <v>9.23</v>
      </c>
      <c r="F4983" s="3">
        <v>19.98</v>
      </c>
      <c r="G4983" s="3">
        <v>0.0</v>
      </c>
    </row>
    <row r="4984">
      <c r="A4984" s="3">
        <v>172494.0</v>
      </c>
      <c r="B4984" s="3" t="s">
        <v>5011</v>
      </c>
      <c r="C4984" s="3" t="s">
        <v>189</v>
      </c>
      <c r="D4984" s="3">
        <v>235.0</v>
      </c>
      <c r="E4984" s="3">
        <v>12.95</v>
      </c>
      <c r="F4984" s="3">
        <v>27.74</v>
      </c>
      <c r="G4984" s="3">
        <v>0.0</v>
      </c>
    </row>
    <row r="4985">
      <c r="A4985" s="3">
        <v>172495.0</v>
      </c>
      <c r="B4985" s="3" t="s">
        <v>5012</v>
      </c>
      <c r="C4985" s="3" t="s">
        <v>189</v>
      </c>
      <c r="D4985" s="3">
        <v>232.0</v>
      </c>
      <c r="E4985" s="3">
        <v>13.31</v>
      </c>
      <c r="F4985" s="3">
        <v>26.16</v>
      </c>
      <c r="G4985" s="3">
        <v>0.0</v>
      </c>
    </row>
    <row r="4986">
      <c r="A4986" s="3">
        <v>172496.0</v>
      </c>
      <c r="B4986" s="3" t="s">
        <v>5013</v>
      </c>
      <c r="C4986" s="3" t="s">
        <v>189</v>
      </c>
      <c r="D4986" s="3">
        <v>264.0</v>
      </c>
      <c r="E4986" s="3">
        <v>21.45</v>
      </c>
      <c r="F4986" s="3">
        <v>16.58</v>
      </c>
      <c r="G4986" s="3">
        <v>0.0</v>
      </c>
    </row>
    <row r="4987">
      <c r="A4987" s="3">
        <v>172497.0</v>
      </c>
      <c r="B4987" s="3" t="s">
        <v>5014</v>
      </c>
      <c r="C4987" s="3" t="s">
        <v>189</v>
      </c>
      <c r="D4987" s="3">
        <v>344.0</v>
      </c>
      <c r="E4987" s="3">
        <v>24.55</v>
      </c>
      <c r="F4987" s="3">
        <v>28.68</v>
      </c>
      <c r="G4987" s="3">
        <v>0.0</v>
      </c>
    </row>
    <row r="4988">
      <c r="A4988" s="3">
        <v>172498.0</v>
      </c>
      <c r="B4988" s="3" t="s">
        <v>5015</v>
      </c>
      <c r="C4988" s="3" t="s">
        <v>189</v>
      </c>
      <c r="D4988" s="3">
        <v>210.0</v>
      </c>
      <c r="E4988" s="3">
        <v>10.5</v>
      </c>
      <c r="F4988" s="3">
        <v>27.12</v>
      </c>
      <c r="G4988" s="3">
        <v>0.0</v>
      </c>
    </row>
    <row r="4989">
      <c r="A4989" s="3">
        <v>172499.0</v>
      </c>
      <c r="B4989" s="3" t="s">
        <v>5016</v>
      </c>
      <c r="C4989" s="3" t="s">
        <v>189</v>
      </c>
      <c r="D4989" s="3">
        <v>204.0</v>
      </c>
      <c r="E4989" s="3">
        <v>10.77</v>
      </c>
      <c r="F4989" s="3">
        <v>24.94</v>
      </c>
      <c r="G4989" s="3">
        <v>0.0</v>
      </c>
    </row>
    <row r="4990">
      <c r="A4990" s="3">
        <v>172500.0</v>
      </c>
      <c r="B4990" s="3" t="s">
        <v>5017</v>
      </c>
      <c r="C4990" s="3" t="s">
        <v>189</v>
      </c>
      <c r="D4990" s="3">
        <v>260.0</v>
      </c>
      <c r="E4990" s="3">
        <v>20.9</v>
      </c>
      <c r="F4990" s="3">
        <v>16.79</v>
      </c>
      <c r="G4990" s="3">
        <v>0.0</v>
      </c>
    </row>
    <row r="4991">
      <c r="A4991" s="3">
        <v>172501.0</v>
      </c>
      <c r="B4991" s="3" t="s">
        <v>5018</v>
      </c>
      <c r="C4991" s="3" t="s">
        <v>189</v>
      </c>
      <c r="D4991" s="3">
        <v>346.0</v>
      </c>
      <c r="E4991" s="3">
        <v>24.0</v>
      </c>
      <c r="F4991" s="3">
        <v>30.39</v>
      </c>
      <c r="G4991" s="3">
        <v>0.0</v>
      </c>
    </row>
    <row r="4992">
      <c r="A4992" s="3">
        <v>172502.0</v>
      </c>
      <c r="B4992" s="3" t="s">
        <v>5019</v>
      </c>
      <c r="C4992" s="3" t="s">
        <v>189</v>
      </c>
      <c r="D4992" s="3">
        <v>200.0</v>
      </c>
      <c r="E4992" s="3">
        <v>9.02</v>
      </c>
      <c r="F4992" s="3">
        <v>27.71</v>
      </c>
      <c r="G4992" s="3">
        <v>0.0</v>
      </c>
    </row>
    <row r="4993">
      <c r="A4993" s="3">
        <v>172503.0</v>
      </c>
      <c r="B4993" s="3" t="s">
        <v>5020</v>
      </c>
      <c r="C4993" s="3" t="s">
        <v>189</v>
      </c>
      <c r="D4993" s="3">
        <v>192.0</v>
      </c>
      <c r="E4993" s="3">
        <v>9.26</v>
      </c>
      <c r="F4993" s="3">
        <v>25.46</v>
      </c>
      <c r="G4993" s="3">
        <v>0.0</v>
      </c>
    </row>
    <row r="4994">
      <c r="A4994" s="3">
        <v>172504.0</v>
      </c>
      <c r="B4994" s="3" t="s">
        <v>5021</v>
      </c>
      <c r="C4994" s="3" t="s">
        <v>189</v>
      </c>
      <c r="D4994" s="3">
        <v>259.0</v>
      </c>
      <c r="E4994" s="3">
        <v>20.86</v>
      </c>
      <c r="F4994" s="3">
        <v>16.63</v>
      </c>
      <c r="G4994" s="3">
        <v>0.0</v>
      </c>
    </row>
    <row r="4995">
      <c r="A4995" s="3">
        <v>172505.0</v>
      </c>
      <c r="B4995" s="3" t="s">
        <v>5022</v>
      </c>
      <c r="C4995" s="3" t="s">
        <v>189</v>
      </c>
      <c r="D4995" s="3">
        <v>345.0</v>
      </c>
      <c r="E4995" s="3">
        <v>24.73</v>
      </c>
      <c r="F4995" s="3">
        <v>28.51</v>
      </c>
      <c r="G4995" s="3">
        <v>0.0</v>
      </c>
    </row>
    <row r="4996">
      <c r="A4996" s="3">
        <v>172506.0</v>
      </c>
      <c r="B4996" s="3" t="s">
        <v>5023</v>
      </c>
      <c r="C4996" s="3" t="s">
        <v>189</v>
      </c>
      <c r="D4996" s="3">
        <v>211.0</v>
      </c>
      <c r="E4996" s="3">
        <v>11.32</v>
      </c>
      <c r="F4996" s="3">
        <v>25.48</v>
      </c>
      <c r="G4996" s="3">
        <v>0.0</v>
      </c>
    </row>
    <row r="4997">
      <c r="A4997" s="3">
        <v>172507.0</v>
      </c>
      <c r="B4997" s="3" t="s">
        <v>5024</v>
      </c>
      <c r="C4997" s="3" t="s">
        <v>189</v>
      </c>
      <c r="D4997" s="3">
        <v>209.0</v>
      </c>
      <c r="E4997" s="3">
        <v>11.57</v>
      </c>
      <c r="F4997" s="3">
        <v>24.61</v>
      </c>
      <c r="G4997" s="3">
        <v>0.0</v>
      </c>
    </row>
    <row r="4998">
      <c r="A4998" s="3">
        <v>172508.0</v>
      </c>
      <c r="B4998" s="3" t="s">
        <v>5025</v>
      </c>
      <c r="C4998" s="3" t="s">
        <v>189</v>
      </c>
      <c r="D4998" s="3">
        <v>134.0</v>
      </c>
      <c r="E4998" s="3">
        <v>5.28</v>
      </c>
      <c r="F4998" s="3">
        <v>20.21</v>
      </c>
      <c r="G4998" s="3">
        <v>0.0</v>
      </c>
    </row>
    <row r="4999">
      <c r="A4999" s="3">
        <v>172509.0</v>
      </c>
      <c r="B4999" s="3" t="s">
        <v>5026</v>
      </c>
      <c r="C4999" s="3" t="s">
        <v>189</v>
      </c>
      <c r="D4999" s="3">
        <v>223.0</v>
      </c>
      <c r="E4999" s="3">
        <v>8.8</v>
      </c>
      <c r="F4999" s="3">
        <v>33.69</v>
      </c>
      <c r="G4999" s="3">
        <v>0.0</v>
      </c>
    </row>
    <row r="5000">
      <c r="A5000" s="3">
        <v>172510.0</v>
      </c>
      <c r="B5000" s="3" t="s">
        <v>5027</v>
      </c>
      <c r="C5000" s="3" t="s">
        <v>189</v>
      </c>
      <c r="D5000" s="3">
        <v>186.0</v>
      </c>
      <c r="E5000" s="3">
        <v>7.33</v>
      </c>
      <c r="F5000" s="3">
        <v>28.08</v>
      </c>
      <c r="G5000" s="3">
        <v>0.0</v>
      </c>
    </row>
    <row r="5001">
      <c r="A5001" s="3">
        <v>172511.0</v>
      </c>
      <c r="B5001" s="3" t="s">
        <v>5028</v>
      </c>
      <c r="C5001" s="3" t="s">
        <v>189</v>
      </c>
      <c r="D5001" s="3">
        <v>640.0</v>
      </c>
      <c r="E5001" s="3">
        <v>67.63</v>
      </c>
      <c r="F5001" s="3">
        <v>6.92</v>
      </c>
      <c r="G5001" s="3">
        <v>0.0</v>
      </c>
    </row>
    <row r="5002">
      <c r="A5002" s="3">
        <v>172512.0</v>
      </c>
      <c r="B5002" s="3" t="s">
        <v>5029</v>
      </c>
      <c r="C5002" s="3" t="s">
        <v>189</v>
      </c>
      <c r="D5002" s="3">
        <v>586.0</v>
      </c>
      <c r="E5002" s="3">
        <v>60.39</v>
      </c>
      <c r="F5002" s="3">
        <v>9.72</v>
      </c>
      <c r="G5002" s="3">
        <v>0.0</v>
      </c>
    </row>
    <row r="5003">
      <c r="A5003" s="3">
        <v>172513.0</v>
      </c>
      <c r="B5003" s="3" t="s">
        <v>5030</v>
      </c>
      <c r="C5003" s="3" t="s">
        <v>189</v>
      </c>
      <c r="D5003" s="3">
        <v>183.0</v>
      </c>
      <c r="E5003" s="3">
        <v>11.38</v>
      </c>
      <c r="F5003" s="3">
        <v>20.09</v>
      </c>
      <c r="G5003" s="3">
        <v>0.09</v>
      </c>
    </row>
    <row r="5004">
      <c r="A5004" s="3">
        <v>172514.0</v>
      </c>
      <c r="B5004" s="3" t="s">
        <v>5031</v>
      </c>
      <c r="C5004" s="3" t="s">
        <v>189</v>
      </c>
      <c r="D5004" s="3">
        <v>256.0</v>
      </c>
      <c r="E5004" s="3">
        <v>14.99</v>
      </c>
      <c r="F5004" s="3">
        <v>30.35</v>
      </c>
      <c r="G5004" s="3">
        <v>0.03</v>
      </c>
    </row>
    <row r="5005">
      <c r="A5005" s="3">
        <v>172515.0</v>
      </c>
      <c r="B5005" s="3" t="s">
        <v>5032</v>
      </c>
      <c r="C5005" s="3" t="s">
        <v>189</v>
      </c>
      <c r="D5005" s="3">
        <v>126.0</v>
      </c>
      <c r="E5005" s="3">
        <v>4.64</v>
      </c>
      <c r="F5005" s="3">
        <v>21.1</v>
      </c>
      <c r="G5005" s="3">
        <v>0.0</v>
      </c>
    </row>
    <row r="5006">
      <c r="A5006" s="3">
        <v>172516.0</v>
      </c>
      <c r="B5006" s="3" t="s">
        <v>5033</v>
      </c>
      <c r="C5006" s="3" t="s">
        <v>189</v>
      </c>
      <c r="D5006" s="3">
        <v>181.0</v>
      </c>
      <c r="E5006" s="3">
        <v>7.01</v>
      </c>
      <c r="F5006" s="3">
        <v>27.68</v>
      </c>
      <c r="G5006" s="3">
        <v>0.0</v>
      </c>
    </row>
    <row r="5007">
      <c r="A5007" s="3">
        <v>172517.0</v>
      </c>
      <c r="B5007" s="3" t="s">
        <v>5034</v>
      </c>
      <c r="C5007" s="3" t="s">
        <v>189</v>
      </c>
      <c r="D5007" s="3">
        <v>298.0</v>
      </c>
      <c r="E5007" s="3">
        <v>26.19</v>
      </c>
      <c r="F5007" s="3">
        <v>15.4</v>
      </c>
      <c r="G5007" s="3">
        <v>0.22</v>
      </c>
    </row>
    <row r="5008">
      <c r="A5008" s="3">
        <v>172518.0</v>
      </c>
      <c r="B5008" s="3" t="s">
        <v>5035</v>
      </c>
      <c r="C5008" s="3" t="s">
        <v>189</v>
      </c>
      <c r="D5008" s="3">
        <v>162.0</v>
      </c>
      <c r="E5008" s="3">
        <v>8.1</v>
      </c>
      <c r="F5008" s="3">
        <v>20.76</v>
      </c>
      <c r="G5008" s="3">
        <v>0.0</v>
      </c>
    </row>
    <row r="5009">
      <c r="A5009" s="3">
        <v>172519.0</v>
      </c>
      <c r="B5009" s="3" t="s">
        <v>5036</v>
      </c>
      <c r="C5009" s="3" t="s">
        <v>189</v>
      </c>
      <c r="D5009" s="3">
        <v>234.0</v>
      </c>
      <c r="E5009" s="3">
        <v>11.74</v>
      </c>
      <c r="F5009" s="3">
        <v>30.09</v>
      </c>
      <c r="G5009" s="3">
        <v>0.0</v>
      </c>
    </row>
    <row r="5010">
      <c r="A5010" s="3">
        <v>172520.0</v>
      </c>
      <c r="B5010" s="3" t="s">
        <v>5037</v>
      </c>
      <c r="C5010" s="3" t="s">
        <v>189</v>
      </c>
      <c r="D5010" s="3">
        <v>221.0</v>
      </c>
      <c r="E5010" s="3">
        <v>10.2</v>
      </c>
      <c r="F5010" s="3">
        <v>30.2</v>
      </c>
      <c r="G5010" s="3">
        <v>0.0</v>
      </c>
    </row>
    <row r="5011">
      <c r="A5011" s="3">
        <v>172521.0</v>
      </c>
      <c r="B5011" s="3" t="s">
        <v>5038</v>
      </c>
      <c r="C5011" s="3" t="s">
        <v>189</v>
      </c>
      <c r="D5011" s="3">
        <v>136.0</v>
      </c>
      <c r="E5011" s="3">
        <v>5.55</v>
      </c>
      <c r="F5011" s="3">
        <v>20.05</v>
      </c>
      <c r="G5011" s="3">
        <v>0.0</v>
      </c>
    </row>
    <row r="5012">
      <c r="A5012" s="3">
        <v>172522.0</v>
      </c>
      <c r="B5012" s="3" t="s">
        <v>5039</v>
      </c>
      <c r="C5012" s="3" t="s">
        <v>189</v>
      </c>
      <c r="D5012" s="3">
        <v>197.0</v>
      </c>
      <c r="E5012" s="3">
        <v>8.05</v>
      </c>
      <c r="F5012" s="3">
        <v>29.06</v>
      </c>
      <c r="G5012" s="3">
        <v>0.0</v>
      </c>
    </row>
    <row r="5013">
      <c r="A5013" s="3">
        <v>172523.0</v>
      </c>
      <c r="B5013" s="3" t="s">
        <v>5040</v>
      </c>
      <c r="C5013" s="3" t="s">
        <v>189</v>
      </c>
      <c r="D5013" s="3">
        <v>120.0</v>
      </c>
      <c r="E5013" s="3">
        <v>3.21</v>
      </c>
      <c r="F5013" s="3">
        <v>21.23</v>
      </c>
      <c r="G5013" s="3">
        <v>0.0</v>
      </c>
    </row>
    <row r="5014">
      <c r="A5014" s="3">
        <v>172524.0</v>
      </c>
      <c r="B5014" s="3" t="s">
        <v>5041</v>
      </c>
      <c r="C5014" s="3" t="s">
        <v>189</v>
      </c>
      <c r="D5014" s="3">
        <v>173.0</v>
      </c>
      <c r="E5014" s="3">
        <v>4.69</v>
      </c>
      <c r="F5014" s="3">
        <v>30.77</v>
      </c>
      <c r="G5014" s="3">
        <v>0.0</v>
      </c>
    </row>
    <row r="5015">
      <c r="A5015" s="3">
        <v>172525.0</v>
      </c>
      <c r="B5015" s="3" t="s">
        <v>5042</v>
      </c>
      <c r="C5015" s="3" t="s">
        <v>189</v>
      </c>
      <c r="D5015" s="3">
        <v>122.0</v>
      </c>
      <c r="E5015" s="3">
        <v>8.58</v>
      </c>
      <c r="F5015" s="3">
        <v>10.4</v>
      </c>
      <c r="G5015" s="3">
        <v>0.0</v>
      </c>
    </row>
    <row r="5016">
      <c r="A5016" s="3">
        <v>172526.0</v>
      </c>
      <c r="B5016" s="3" t="s">
        <v>5043</v>
      </c>
      <c r="C5016" s="3" t="s">
        <v>189</v>
      </c>
      <c r="D5016" s="3">
        <v>145.0</v>
      </c>
      <c r="E5016" s="3">
        <v>10.17</v>
      </c>
      <c r="F5016" s="3">
        <v>12.55</v>
      </c>
      <c r="G5016" s="3">
        <v>0.0</v>
      </c>
    </row>
    <row r="5017">
      <c r="A5017" s="3">
        <v>172527.0</v>
      </c>
      <c r="B5017" s="3" t="s">
        <v>5044</v>
      </c>
      <c r="C5017" s="3" t="s">
        <v>189</v>
      </c>
      <c r="D5017" s="3">
        <v>122.0</v>
      </c>
      <c r="E5017" s="3">
        <v>5.68</v>
      </c>
      <c r="F5017" s="3">
        <v>16.47</v>
      </c>
      <c r="G5017" s="3">
        <v>0.21</v>
      </c>
    </row>
    <row r="5018">
      <c r="A5018" s="3">
        <v>172528.0</v>
      </c>
      <c r="B5018" s="3" t="s">
        <v>5045</v>
      </c>
      <c r="C5018" s="3" t="s">
        <v>189</v>
      </c>
      <c r="D5018" s="3">
        <v>185.0</v>
      </c>
      <c r="E5018" s="3">
        <v>7.91</v>
      </c>
      <c r="F5018" s="3">
        <v>24.97</v>
      </c>
      <c r="G5018" s="3">
        <v>1.93</v>
      </c>
    </row>
    <row r="5019">
      <c r="A5019" s="3">
        <v>172529.0</v>
      </c>
      <c r="B5019" s="3" t="s">
        <v>5046</v>
      </c>
      <c r="C5019" s="3" t="s">
        <v>189</v>
      </c>
      <c r="D5019" s="3">
        <v>110.0</v>
      </c>
      <c r="E5019" s="3">
        <v>3.98</v>
      </c>
      <c r="F5019" s="3">
        <v>17.18</v>
      </c>
      <c r="G5019" s="3">
        <v>0.08</v>
      </c>
    </row>
    <row r="5020">
      <c r="A5020" s="3">
        <v>172530.0</v>
      </c>
      <c r="B5020" s="3" t="s">
        <v>5047</v>
      </c>
      <c r="C5020" s="3" t="s">
        <v>189</v>
      </c>
      <c r="D5020" s="3">
        <v>186.0</v>
      </c>
      <c r="E5020" s="3">
        <v>6.75</v>
      </c>
      <c r="F5020" s="3">
        <v>29.12</v>
      </c>
      <c r="G5020" s="3">
        <v>0.13</v>
      </c>
    </row>
    <row r="5021">
      <c r="A5021" s="3">
        <v>172531.0</v>
      </c>
      <c r="B5021" s="3" t="s">
        <v>5048</v>
      </c>
      <c r="C5021" s="3" t="s">
        <v>189</v>
      </c>
      <c r="D5021" s="3">
        <v>139.0</v>
      </c>
      <c r="E5021" s="3">
        <v>5.02</v>
      </c>
      <c r="F5021" s="3">
        <v>20.38</v>
      </c>
      <c r="G5021" s="3">
        <v>1.78</v>
      </c>
    </row>
    <row r="5022">
      <c r="A5022" s="3">
        <v>172532.0</v>
      </c>
      <c r="B5022" s="3" t="s">
        <v>5049</v>
      </c>
      <c r="C5022" s="3" t="s">
        <v>189</v>
      </c>
      <c r="D5022" s="3">
        <v>220.0</v>
      </c>
      <c r="E5022" s="3">
        <v>8.81</v>
      </c>
      <c r="F5022" s="3">
        <v>30.57</v>
      </c>
      <c r="G5022" s="3">
        <v>2.53</v>
      </c>
    </row>
    <row r="5023">
      <c r="A5023" s="3">
        <v>172533.0</v>
      </c>
      <c r="B5023" s="3" t="s">
        <v>5050</v>
      </c>
      <c r="C5023" s="3" t="s">
        <v>189</v>
      </c>
      <c r="D5023" s="3">
        <v>238.0</v>
      </c>
      <c r="E5023" s="3">
        <v>12.65</v>
      </c>
      <c r="F5023" s="3">
        <v>25.53</v>
      </c>
      <c r="G5023" s="3">
        <v>3.78</v>
      </c>
    </row>
    <row r="5024">
      <c r="A5024" s="3">
        <v>172534.0</v>
      </c>
      <c r="B5024" s="3" t="s">
        <v>5051</v>
      </c>
      <c r="C5024" s="3" t="s">
        <v>189</v>
      </c>
      <c r="D5024" s="3">
        <v>140.0</v>
      </c>
      <c r="E5024" s="3">
        <v>4.85</v>
      </c>
      <c r="F5024" s="3">
        <v>19.93</v>
      </c>
      <c r="G5024" s="3">
        <v>2.91</v>
      </c>
    </row>
    <row r="5025">
      <c r="A5025" s="3">
        <v>172535.0</v>
      </c>
      <c r="B5025" s="3" t="s">
        <v>5052</v>
      </c>
      <c r="C5025" s="3" t="s">
        <v>189</v>
      </c>
      <c r="D5025" s="3">
        <v>192.0</v>
      </c>
      <c r="E5025" s="3">
        <v>6.26</v>
      </c>
      <c r="F5025" s="3">
        <v>28.42</v>
      </c>
      <c r="G5025" s="3">
        <v>3.77</v>
      </c>
    </row>
    <row r="5026">
      <c r="A5026" s="3">
        <v>172536.0</v>
      </c>
      <c r="B5026" s="3" t="s">
        <v>5053</v>
      </c>
      <c r="C5026" s="3" t="s">
        <v>189</v>
      </c>
      <c r="D5026" s="3">
        <v>104.0</v>
      </c>
      <c r="E5026" s="3">
        <v>2.64</v>
      </c>
      <c r="F5026" s="3">
        <v>18.74</v>
      </c>
      <c r="G5026" s="3">
        <v>0.0</v>
      </c>
    </row>
    <row r="5027">
      <c r="A5027" s="3">
        <v>172537.0</v>
      </c>
      <c r="B5027" s="3" t="s">
        <v>5054</v>
      </c>
      <c r="C5027" s="3" t="s">
        <v>189</v>
      </c>
      <c r="D5027" s="3">
        <v>276.0</v>
      </c>
      <c r="E5027" s="3">
        <v>23.54</v>
      </c>
      <c r="F5027" s="3">
        <v>14.97</v>
      </c>
      <c r="G5027" s="3">
        <v>0.0</v>
      </c>
    </row>
    <row r="5028">
      <c r="A5028" s="3">
        <v>172538.0</v>
      </c>
      <c r="B5028" s="3" t="s">
        <v>5055</v>
      </c>
      <c r="C5028" s="3" t="s">
        <v>189</v>
      </c>
      <c r="D5028" s="3">
        <v>152.0</v>
      </c>
      <c r="E5028" s="3">
        <v>9.82</v>
      </c>
      <c r="F5028" s="3">
        <v>14.84</v>
      </c>
      <c r="G5028" s="3">
        <v>0.0</v>
      </c>
    </row>
    <row r="5029">
      <c r="A5029" s="3">
        <v>172539.0</v>
      </c>
      <c r="B5029" s="3" t="s">
        <v>5056</v>
      </c>
      <c r="C5029" s="3" t="s">
        <v>189</v>
      </c>
      <c r="D5029" s="3">
        <v>234.0</v>
      </c>
      <c r="E5029" s="3">
        <v>15.12</v>
      </c>
      <c r="F5029" s="3">
        <v>22.83</v>
      </c>
      <c r="G5029" s="3">
        <v>0.0</v>
      </c>
    </row>
    <row r="5030">
      <c r="A5030" s="3">
        <v>172540.0</v>
      </c>
      <c r="B5030" s="3" t="s">
        <v>5057</v>
      </c>
      <c r="C5030" s="3" t="s">
        <v>189</v>
      </c>
      <c r="D5030" s="3">
        <v>98.0</v>
      </c>
      <c r="E5030" s="3">
        <v>2.2</v>
      </c>
      <c r="F5030" s="3">
        <v>18.3</v>
      </c>
      <c r="G5030" s="3">
        <v>0.0</v>
      </c>
    </row>
    <row r="5031">
      <c r="A5031" s="3">
        <v>172541.0</v>
      </c>
      <c r="B5031" s="3" t="s">
        <v>5058</v>
      </c>
      <c r="C5031" s="3" t="s">
        <v>189</v>
      </c>
      <c r="D5031" s="3">
        <v>129.0</v>
      </c>
      <c r="E5031" s="3">
        <v>2.89</v>
      </c>
      <c r="F5031" s="3">
        <v>24.08</v>
      </c>
      <c r="G5031" s="3">
        <v>0.0</v>
      </c>
    </row>
    <row r="5032">
      <c r="A5032" s="3">
        <v>172542.0</v>
      </c>
      <c r="B5032" s="3" t="s">
        <v>5059</v>
      </c>
      <c r="C5032" s="3" t="s">
        <v>189</v>
      </c>
      <c r="D5032" s="3">
        <v>101.0</v>
      </c>
      <c r="E5032" s="3">
        <v>3.07</v>
      </c>
      <c r="F5032" s="3">
        <v>17.21</v>
      </c>
      <c r="G5032" s="3">
        <v>0.0</v>
      </c>
    </row>
    <row r="5033">
      <c r="A5033" s="3">
        <v>172543.0</v>
      </c>
      <c r="B5033" s="3" t="s">
        <v>5060</v>
      </c>
      <c r="C5033" s="3" t="s">
        <v>189</v>
      </c>
      <c r="D5033" s="3">
        <v>125.0</v>
      </c>
      <c r="E5033" s="3">
        <v>3.11</v>
      </c>
      <c r="F5033" s="3">
        <v>22.67</v>
      </c>
      <c r="G5033" s="3">
        <v>0.0</v>
      </c>
    </row>
    <row r="5034">
      <c r="A5034" s="3">
        <v>172544.0</v>
      </c>
      <c r="B5034" s="3" t="s">
        <v>5061</v>
      </c>
      <c r="C5034" s="3" t="s">
        <v>189</v>
      </c>
      <c r="D5034" s="3">
        <v>283.0</v>
      </c>
      <c r="E5034" s="3">
        <v>19.65</v>
      </c>
      <c r="F5034" s="3">
        <v>24.75</v>
      </c>
      <c r="G5034" s="3">
        <v>0.0</v>
      </c>
    </row>
    <row r="5035">
      <c r="A5035" s="3">
        <v>172545.0</v>
      </c>
      <c r="B5035" s="3" t="s">
        <v>5062</v>
      </c>
      <c r="C5035" s="3" t="s">
        <v>189</v>
      </c>
      <c r="D5035" s="3">
        <v>243.0</v>
      </c>
      <c r="E5035" s="3">
        <v>18.66</v>
      </c>
      <c r="F5035" s="3">
        <v>17.54</v>
      </c>
      <c r="G5035" s="3">
        <v>0.0</v>
      </c>
    </row>
    <row r="5036">
      <c r="A5036" s="3">
        <v>172546.0</v>
      </c>
      <c r="B5036" s="3" t="s">
        <v>5063</v>
      </c>
      <c r="C5036" s="3" t="s">
        <v>189</v>
      </c>
      <c r="D5036" s="3">
        <v>271.0</v>
      </c>
      <c r="E5036" s="3">
        <v>18.01</v>
      </c>
      <c r="F5036" s="3">
        <v>25.51</v>
      </c>
      <c r="G5036" s="3">
        <v>0.0</v>
      </c>
    </row>
    <row r="5037">
      <c r="A5037" s="3">
        <v>172547.0</v>
      </c>
      <c r="B5037" s="3" t="s">
        <v>5064</v>
      </c>
      <c r="C5037" s="3" t="s">
        <v>189</v>
      </c>
      <c r="D5037" s="3">
        <v>201.0</v>
      </c>
      <c r="E5037" s="3">
        <v>13.38</v>
      </c>
      <c r="F5037" s="3">
        <v>18.91</v>
      </c>
      <c r="G5037" s="3">
        <v>0.0</v>
      </c>
    </row>
    <row r="5038">
      <c r="A5038" s="3">
        <v>172548.0</v>
      </c>
      <c r="B5038" s="3" t="s">
        <v>5065</v>
      </c>
      <c r="C5038" s="3" t="s">
        <v>189</v>
      </c>
      <c r="D5038" s="3">
        <v>217.0</v>
      </c>
      <c r="E5038" s="3">
        <v>11.4</v>
      </c>
      <c r="F5038" s="3">
        <v>26.73</v>
      </c>
      <c r="G5038" s="3">
        <v>0.0</v>
      </c>
    </row>
    <row r="5039">
      <c r="A5039" s="3">
        <v>172549.0</v>
      </c>
      <c r="B5039" s="3" t="s">
        <v>5066</v>
      </c>
      <c r="C5039" s="3" t="s">
        <v>189</v>
      </c>
      <c r="D5039" s="3">
        <v>261.0</v>
      </c>
      <c r="E5039" s="3">
        <v>20.8</v>
      </c>
      <c r="F5039" s="3">
        <v>17.21</v>
      </c>
      <c r="G5039" s="3">
        <v>0.0</v>
      </c>
    </row>
    <row r="5040">
      <c r="A5040" s="3">
        <v>172550.0</v>
      </c>
      <c r="B5040" s="3" t="s">
        <v>5067</v>
      </c>
      <c r="C5040" s="3" t="s">
        <v>189</v>
      </c>
      <c r="D5040" s="3">
        <v>284.0</v>
      </c>
      <c r="E5040" s="3">
        <v>19.67</v>
      </c>
      <c r="F5040" s="3">
        <v>24.95</v>
      </c>
      <c r="G5040" s="3">
        <v>0.0</v>
      </c>
    </row>
    <row r="5041">
      <c r="A5041" s="3">
        <v>172551.0</v>
      </c>
      <c r="B5041" s="3" t="s">
        <v>5068</v>
      </c>
      <c r="C5041" s="3" t="s">
        <v>189</v>
      </c>
      <c r="D5041" s="3">
        <v>279.0</v>
      </c>
      <c r="E5041" s="3">
        <v>22.75</v>
      </c>
      <c r="F5041" s="3">
        <v>17.18</v>
      </c>
      <c r="G5041" s="3">
        <v>0.0</v>
      </c>
    </row>
    <row r="5042">
      <c r="A5042" s="3">
        <v>172552.0</v>
      </c>
      <c r="B5042" s="3" t="s">
        <v>5069</v>
      </c>
      <c r="C5042" s="3" t="s">
        <v>189</v>
      </c>
      <c r="D5042" s="3">
        <v>341.0</v>
      </c>
      <c r="E5042" s="3">
        <v>27.53</v>
      </c>
      <c r="F5042" s="3">
        <v>21.82</v>
      </c>
      <c r="G5042" s="3">
        <v>0.0</v>
      </c>
    </row>
    <row r="5043">
      <c r="A5043" s="3">
        <v>172553.0</v>
      </c>
      <c r="B5043" s="3" t="s">
        <v>5070</v>
      </c>
      <c r="C5043" s="3" t="s">
        <v>189</v>
      </c>
      <c r="D5043" s="3">
        <v>244.0</v>
      </c>
      <c r="E5043" s="3">
        <v>18.96</v>
      </c>
      <c r="F5043" s="3">
        <v>17.07</v>
      </c>
      <c r="G5043" s="3">
        <v>0.0</v>
      </c>
    </row>
    <row r="5044">
      <c r="A5044" s="3">
        <v>172554.0</v>
      </c>
      <c r="B5044" s="3" t="s">
        <v>5071</v>
      </c>
      <c r="C5044" s="3" t="s">
        <v>189</v>
      </c>
      <c r="D5044" s="3">
        <v>338.0</v>
      </c>
      <c r="E5044" s="3">
        <v>23.57</v>
      </c>
      <c r="F5044" s="3">
        <v>29.46</v>
      </c>
      <c r="G5044" s="3">
        <v>0.0</v>
      </c>
    </row>
    <row r="5045">
      <c r="A5045" s="3">
        <v>172555.0</v>
      </c>
      <c r="B5045" s="3" t="s">
        <v>5072</v>
      </c>
      <c r="C5045" s="3" t="s">
        <v>189</v>
      </c>
      <c r="D5045" s="3">
        <v>268.0</v>
      </c>
      <c r="E5045" s="3">
        <v>18.39</v>
      </c>
      <c r="F5045" s="3">
        <v>23.84</v>
      </c>
      <c r="G5045" s="3">
        <v>0.0</v>
      </c>
    </row>
    <row r="5046">
      <c r="A5046" s="3">
        <v>172556.0</v>
      </c>
      <c r="B5046" s="3" t="s">
        <v>5073</v>
      </c>
      <c r="C5046" s="3" t="s">
        <v>189</v>
      </c>
      <c r="D5046" s="3">
        <v>244.0</v>
      </c>
      <c r="E5046" s="3">
        <v>18.97</v>
      </c>
      <c r="F5046" s="3">
        <v>17.01</v>
      </c>
      <c r="G5046" s="3">
        <v>0.0</v>
      </c>
    </row>
    <row r="5047">
      <c r="A5047" s="3">
        <v>172557.0</v>
      </c>
      <c r="B5047" s="3" t="s">
        <v>5074</v>
      </c>
      <c r="C5047" s="3" t="s">
        <v>189</v>
      </c>
      <c r="D5047" s="3">
        <v>339.0</v>
      </c>
      <c r="E5047" s="3">
        <v>23.88</v>
      </c>
      <c r="F5047" s="3">
        <v>28.92</v>
      </c>
      <c r="G5047" s="3">
        <v>0.0</v>
      </c>
    </row>
    <row r="5048">
      <c r="A5048" s="3">
        <v>172558.0</v>
      </c>
      <c r="B5048" s="3" t="s">
        <v>5075</v>
      </c>
      <c r="C5048" s="3" t="s">
        <v>189</v>
      </c>
      <c r="D5048" s="3">
        <v>267.0</v>
      </c>
      <c r="E5048" s="3">
        <v>18.5</v>
      </c>
      <c r="F5048" s="3">
        <v>23.48</v>
      </c>
      <c r="G5048" s="3">
        <v>0.0</v>
      </c>
    </row>
    <row r="5049">
      <c r="A5049" s="3">
        <v>172559.0</v>
      </c>
      <c r="B5049" s="3" t="s">
        <v>5076</v>
      </c>
      <c r="C5049" s="3" t="s">
        <v>189</v>
      </c>
      <c r="D5049" s="3">
        <v>270.0</v>
      </c>
      <c r="E5049" s="3">
        <v>19.19</v>
      </c>
      <c r="F5049" s="3">
        <v>22.62</v>
      </c>
      <c r="G5049" s="3">
        <v>0.0</v>
      </c>
    </row>
    <row r="5050">
      <c r="A5050" s="3">
        <v>172560.0</v>
      </c>
      <c r="B5050" s="3" t="s">
        <v>5077</v>
      </c>
      <c r="C5050" s="3" t="s">
        <v>189</v>
      </c>
      <c r="D5050" s="3">
        <v>201.0</v>
      </c>
      <c r="E5050" s="3">
        <v>13.37</v>
      </c>
      <c r="F5050" s="3">
        <v>18.76</v>
      </c>
      <c r="G5050" s="3">
        <v>0.0</v>
      </c>
    </row>
    <row r="5051">
      <c r="A5051" s="3">
        <v>172561.0</v>
      </c>
      <c r="B5051" s="3" t="s">
        <v>5078</v>
      </c>
      <c r="C5051" s="3" t="s">
        <v>189</v>
      </c>
      <c r="D5051" s="3">
        <v>234.0</v>
      </c>
      <c r="E5051" s="3">
        <v>13.95</v>
      </c>
      <c r="F5051" s="3">
        <v>25.34</v>
      </c>
      <c r="G5051" s="3">
        <v>0.0</v>
      </c>
    </row>
    <row r="5052">
      <c r="A5052" s="3">
        <v>172562.0</v>
      </c>
      <c r="B5052" s="3" t="s">
        <v>5079</v>
      </c>
      <c r="C5052" s="3" t="s">
        <v>189</v>
      </c>
      <c r="D5052" s="3">
        <v>273.0</v>
      </c>
      <c r="E5052" s="3">
        <v>22.1</v>
      </c>
      <c r="F5052" s="3">
        <v>17.18</v>
      </c>
      <c r="G5052" s="3">
        <v>0.0</v>
      </c>
    </row>
    <row r="5053">
      <c r="A5053" s="3">
        <v>172563.0</v>
      </c>
      <c r="B5053" s="3" t="s">
        <v>5080</v>
      </c>
      <c r="C5053" s="3" t="s">
        <v>189</v>
      </c>
      <c r="D5053" s="3">
        <v>296.0</v>
      </c>
      <c r="E5053" s="3">
        <v>21.28</v>
      </c>
      <c r="F5053" s="3">
        <v>24.41</v>
      </c>
      <c r="G5053" s="3">
        <v>0.0</v>
      </c>
    </row>
    <row r="5054">
      <c r="A5054" s="3">
        <v>172564.0</v>
      </c>
      <c r="B5054" s="3" t="s">
        <v>5081</v>
      </c>
      <c r="C5054" s="3" t="s">
        <v>189</v>
      </c>
      <c r="D5054" s="3">
        <v>113.0</v>
      </c>
      <c r="E5054" s="3">
        <v>2.4</v>
      </c>
      <c r="F5054" s="3">
        <v>21.4</v>
      </c>
      <c r="G5054" s="3">
        <v>0.0</v>
      </c>
    </row>
    <row r="5055">
      <c r="A5055" s="3">
        <v>172565.0</v>
      </c>
      <c r="B5055" s="3" t="s">
        <v>5082</v>
      </c>
      <c r="C5055" s="3" t="s">
        <v>189</v>
      </c>
      <c r="D5055" s="3">
        <v>116.0</v>
      </c>
      <c r="E5055" s="3">
        <v>2.4</v>
      </c>
      <c r="F5055" s="3">
        <v>22.1</v>
      </c>
      <c r="G5055" s="3">
        <v>0.0</v>
      </c>
    </row>
    <row r="5056">
      <c r="A5056" s="3">
        <v>172566.0</v>
      </c>
      <c r="B5056" s="3" t="s">
        <v>5083</v>
      </c>
      <c r="C5056" s="3" t="s">
        <v>189</v>
      </c>
      <c r="D5056" s="3">
        <v>109.0</v>
      </c>
      <c r="E5056" s="3">
        <v>2.1</v>
      </c>
      <c r="F5056" s="3">
        <v>21.1</v>
      </c>
      <c r="G5056" s="3">
        <v>0.0</v>
      </c>
    </row>
    <row r="5057">
      <c r="A5057" s="3">
        <v>172567.0</v>
      </c>
      <c r="B5057" s="3" t="s">
        <v>5084</v>
      </c>
      <c r="C5057" s="3" t="s">
        <v>189</v>
      </c>
      <c r="D5057" s="3">
        <v>521.0</v>
      </c>
      <c r="E5057" s="3">
        <v>53.35</v>
      </c>
      <c r="F5057" s="3">
        <v>9.4</v>
      </c>
      <c r="G5057" s="3">
        <v>0.0</v>
      </c>
    </row>
    <row r="5058">
      <c r="A5058" s="3">
        <v>172568.0</v>
      </c>
      <c r="B5058" s="3" t="s">
        <v>5085</v>
      </c>
      <c r="C5058" s="3" t="s">
        <v>189</v>
      </c>
      <c r="D5058" s="3">
        <v>113.0</v>
      </c>
      <c r="E5058" s="3">
        <v>3.48</v>
      </c>
      <c r="F5058" s="3">
        <v>19.15</v>
      </c>
      <c r="G5058" s="3">
        <v>0.0</v>
      </c>
    </row>
    <row r="5059">
      <c r="A5059" s="3">
        <v>172569.0</v>
      </c>
      <c r="B5059" s="3" t="s">
        <v>5086</v>
      </c>
      <c r="C5059" s="3" t="s">
        <v>189</v>
      </c>
      <c r="D5059" s="3">
        <v>191.0</v>
      </c>
      <c r="E5059" s="3">
        <v>6.2</v>
      </c>
      <c r="F5059" s="3">
        <v>31.54</v>
      </c>
      <c r="G5059" s="3">
        <v>0.0</v>
      </c>
    </row>
    <row r="5060">
      <c r="A5060" s="3">
        <v>172570.0</v>
      </c>
      <c r="B5060" s="3" t="s">
        <v>5087</v>
      </c>
      <c r="C5060" s="3" t="s">
        <v>189</v>
      </c>
      <c r="D5060" s="3">
        <v>108.0</v>
      </c>
      <c r="E5060" s="3">
        <v>2.83</v>
      </c>
      <c r="F5060" s="3">
        <v>19.28</v>
      </c>
      <c r="G5060" s="3">
        <v>0.0</v>
      </c>
    </row>
    <row r="5061">
      <c r="A5061" s="3">
        <v>172571.0</v>
      </c>
      <c r="B5061" s="3" t="s">
        <v>5088</v>
      </c>
      <c r="C5061" s="3" t="s">
        <v>189</v>
      </c>
      <c r="D5061" s="3">
        <v>177.0</v>
      </c>
      <c r="E5061" s="3">
        <v>4.33</v>
      </c>
      <c r="F5061" s="3">
        <v>32.22</v>
      </c>
      <c r="G5061" s="3">
        <v>0.0</v>
      </c>
    </row>
    <row r="5062">
      <c r="A5062" s="3">
        <v>172572.0</v>
      </c>
      <c r="B5062" s="3" t="s">
        <v>5089</v>
      </c>
      <c r="C5062" s="3" t="s">
        <v>189</v>
      </c>
      <c r="D5062" s="3">
        <v>648.0</v>
      </c>
      <c r="E5062" s="3">
        <v>68.87</v>
      </c>
      <c r="F5062" s="3">
        <v>6.27</v>
      </c>
      <c r="G5062" s="3">
        <v>0.0</v>
      </c>
    </row>
    <row r="5063">
      <c r="A5063" s="3">
        <v>172573.0</v>
      </c>
      <c r="B5063" s="3" t="s">
        <v>5090</v>
      </c>
      <c r="C5063" s="3" t="s">
        <v>189</v>
      </c>
      <c r="D5063" s="3">
        <v>639.0</v>
      </c>
      <c r="E5063" s="3">
        <v>66.4</v>
      </c>
      <c r="F5063" s="3">
        <v>9.42</v>
      </c>
      <c r="G5063" s="3">
        <v>0.0</v>
      </c>
    </row>
    <row r="5064">
      <c r="A5064" s="3">
        <v>172574.0</v>
      </c>
      <c r="B5064" s="3" t="s">
        <v>5091</v>
      </c>
      <c r="C5064" s="3" t="s">
        <v>189</v>
      </c>
      <c r="D5064" s="3">
        <v>195.0</v>
      </c>
      <c r="E5064" s="3">
        <v>12.68</v>
      </c>
      <c r="F5064" s="3">
        <v>18.85</v>
      </c>
      <c r="G5064" s="3">
        <v>0.0</v>
      </c>
    </row>
    <row r="5065">
      <c r="A5065" s="3">
        <v>172575.0</v>
      </c>
      <c r="B5065" s="3" t="s">
        <v>5092</v>
      </c>
      <c r="C5065" s="3" t="s">
        <v>189</v>
      </c>
      <c r="D5065" s="3">
        <v>236.0</v>
      </c>
      <c r="E5065" s="3">
        <v>14.44</v>
      </c>
      <c r="F5065" s="3">
        <v>24.78</v>
      </c>
      <c r="G5065" s="3">
        <v>0.0</v>
      </c>
    </row>
    <row r="5066">
      <c r="A5066" s="3">
        <v>172576.0</v>
      </c>
      <c r="B5066" s="3" t="s">
        <v>5093</v>
      </c>
      <c r="C5066" s="3" t="s">
        <v>189</v>
      </c>
      <c r="D5066" s="3">
        <v>135.0</v>
      </c>
      <c r="E5066" s="3">
        <v>5.23</v>
      </c>
      <c r="F5066" s="3">
        <v>20.46</v>
      </c>
      <c r="G5066" s="3">
        <v>0.0</v>
      </c>
    </row>
    <row r="5067">
      <c r="A5067" s="3">
        <v>172577.0</v>
      </c>
      <c r="B5067" s="3" t="s">
        <v>5094</v>
      </c>
      <c r="C5067" s="3" t="s">
        <v>189</v>
      </c>
      <c r="D5067" s="3">
        <v>190.0</v>
      </c>
      <c r="E5067" s="3">
        <v>8.1</v>
      </c>
      <c r="F5067" s="3">
        <v>27.31</v>
      </c>
      <c r="G5067" s="3">
        <v>0.0</v>
      </c>
    </row>
    <row r="5068">
      <c r="A5068" s="3">
        <v>172578.0</v>
      </c>
      <c r="B5068" s="3" t="s">
        <v>5095</v>
      </c>
      <c r="C5068" s="3" t="s">
        <v>189</v>
      </c>
      <c r="D5068" s="3">
        <v>201.0</v>
      </c>
      <c r="E5068" s="3">
        <v>13.48</v>
      </c>
      <c r="F5068" s="3">
        <v>18.59</v>
      </c>
      <c r="G5068" s="3">
        <v>0.0</v>
      </c>
    </row>
    <row r="5069">
      <c r="A5069" s="3">
        <v>172579.0</v>
      </c>
      <c r="B5069" s="3" t="s">
        <v>5096</v>
      </c>
      <c r="C5069" s="3" t="s">
        <v>189</v>
      </c>
      <c r="D5069" s="3">
        <v>231.0</v>
      </c>
      <c r="E5069" s="3">
        <v>13.69</v>
      </c>
      <c r="F5069" s="3">
        <v>25.25</v>
      </c>
      <c r="G5069" s="3">
        <v>0.0</v>
      </c>
    </row>
    <row r="5070">
      <c r="A5070" s="3">
        <v>172580.0</v>
      </c>
      <c r="B5070" s="3" t="s">
        <v>5097</v>
      </c>
      <c r="C5070" s="3" t="s">
        <v>189</v>
      </c>
      <c r="D5070" s="3">
        <v>133.0</v>
      </c>
      <c r="E5070" s="3">
        <v>5.1</v>
      </c>
      <c r="F5070" s="3">
        <v>20.45</v>
      </c>
      <c r="G5070" s="3">
        <v>0.0</v>
      </c>
    </row>
    <row r="5071">
      <c r="A5071" s="3">
        <v>172581.0</v>
      </c>
      <c r="B5071" s="3" t="s">
        <v>5098</v>
      </c>
      <c r="C5071" s="3" t="s">
        <v>189</v>
      </c>
      <c r="D5071" s="3">
        <v>215.0</v>
      </c>
      <c r="E5071" s="3">
        <v>10.65</v>
      </c>
      <c r="F5071" s="3">
        <v>27.75</v>
      </c>
      <c r="G5071" s="3">
        <v>0.0</v>
      </c>
    </row>
    <row r="5072">
      <c r="A5072" s="3">
        <v>172582.0</v>
      </c>
      <c r="B5072" s="3" t="s">
        <v>5099</v>
      </c>
      <c r="C5072" s="3" t="s">
        <v>189</v>
      </c>
      <c r="D5072" s="3">
        <v>208.0</v>
      </c>
      <c r="E5072" s="3">
        <v>14.38</v>
      </c>
      <c r="F5072" s="3">
        <v>18.33</v>
      </c>
      <c r="G5072" s="3">
        <v>0.0</v>
      </c>
    </row>
    <row r="5073">
      <c r="A5073" s="3">
        <v>172583.0</v>
      </c>
      <c r="B5073" s="3" t="s">
        <v>5100</v>
      </c>
      <c r="C5073" s="3" t="s">
        <v>189</v>
      </c>
      <c r="D5073" s="3">
        <v>235.0</v>
      </c>
      <c r="E5073" s="3">
        <v>13.83</v>
      </c>
      <c r="F5073" s="3">
        <v>25.75</v>
      </c>
      <c r="G5073" s="3">
        <v>0.0</v>
      </c>
    </row>
    <row r="5074">
      <c r="A5074" s="3">
        <v>172584.0</v>
      </c>
      <c r="B5074" s="3" t="s">
        <v>5101</v>
      </c>
      <c r="C5074" s="3" t="s">
        <v>189</v>
      </c>
      <c r="D5074" s="3">
        <v>132.0</v>
      </c>
      <c r="E5074" s="3">
        <v>4.91</v>
      </c>
      <c r="F5074" s="3">
        <v>20.43</v>
      </c>
      <c r="G5074" s="3">
        <v>0.0</v>
      </c>
    </row>
    <row r="5075">
      <c r="A5075" s="3">
        <v>172585.0</v>
      </c>
      <c r="B5075" s="3" t="s">
        <v>5102</v>
      </c>
      <c r="C5075" s="3" t="s">
        <v>189</v>
      </c>
      <c r="D5075" s="3">
        <v>183.0</v>
      </c>
      <c r="E5075" s="3">
        <v>7.68</v>
      </c>
      <c r="F5075" s="3">
        <v>26.75</v>
      </c>
      <c r="G5075" s="3">
        <v>0.0</v>
      </c>
    </row>
    <row r="5076">
      <c r="A5076" s="3">
        <v>172586.0</v>
      </c>
      <c r="B5076" s="3" t="s">
        <v>5103</v>
      </c>
      <c r="C5076" s="3" t="s">
        <v>189</v>
      </c>
      <c r="D5076" s="3">
        <v>203.0</v>
      </c>
      <c r="E5076" s="3">
        <v>13.38</v>
      </c>
      <c r="F5076" s="3">
        <v>19.32</v>
      </c>
      <c r="G5076" s="3">
        <v>0.0</v>
      </c>
    </row>
    <row r="5077">
      <c r="A5077" s="3">
        <v>172587.0</v>
      </c>
      <c r="B5077" s="3" t="s">
        <v>5104</v>
      </c>
      <c r="C5077" s="3" t="s">
        <v>189</v>
      </c>
      <c r="D5077" s="3">
        <v>219.0</v>
      </c>
      <c r="E5077" s="3">
        <v>12.25</v>
      </c>
      <c r="F5077" s="3">
        <v>25.49</v>
      </c>
      <c r="G5077" s="3">
        <v>0.0</v>
      </c>
    </row>
    <row r="5078">
      <c r="A5078" s="3">
        <v>172588.0</v>
      </c>
      <c r="B5078" s="3" t="s">
        <v>5105</v>
      </c>
      <c r="C5078" s="3" t="s">
        <v>189</v>
      </c>
      <c r="D5078" s="3">
        <v>146.0</v>
      </c>
      <c r="E5078" s="3">
        <v>6.24</v>
      </c>
      <c r="F5078" s="3">
        <v>21.0</v>
      </c>
      <c r="G5078" s="3">
        <v>0.0</v>
      </c>
    </row>
    <row r="5079">
      <c r="A5079" s="3">
        <v>172589.0</v>
      </c>
      <c r="B5079" s="3" t="s">
        <v>5106</v>
      </c>
      <c r="C5079" s="3" t="s">
        <v>189</v>
      </c>
      <c r="D5079" s="3">
        <v>234.0</v>
      </c>
      <c r="E5079" s="3">
        <v>11.68</v>
      </c>
      <c r="F5079" s="3">
        <v>32.16</v>
      </c>
      <c r="G5079" s="3">
        <v>0.0</v>
      </c>
    </row>
    <row r="5080">
      <c r="A5080" s="3">
        <v>172590.0</v>
      </c>
      <c r="B5080" s="3" t="s">
        <v>5107</v>
      </c>
      <c r="C5080" s="3" t="s">
        <v>189</v>
      </c>
      <c r="D5080" s="3">
        <v>256.0</v>
      </c>
      <c r="E5080" s="3">
        <v>20.47</v>
      </c>
      <c r="F5080" s="3">
        <v>16.68</v>
      </c>
      <c r="G5080" s="3">
        <v>0.0</v>
      </c>
    </row>
    <row r="5081">
      <c r="A5081" s="3">
        <v>172591.0</v>
      </c>
      <c r="B5081" s="3" t="s">
        <v>5108</v>
      </c>
      <c r="C5081" s="3" t="s">
        <v>189</v>
      </c>
      <c r="D5081" s="3">
        <v>296.0</v>
      </c>
      <c r="E5081" s="3">
        <v>21.65</v>
      </c>
      <c r="F5081" s="3">
        <v>23.58</v>
      </c>
      <c r="G5081" s="3">
        <v>0.0</v>
      </c>
    </row>
    <row r="5082">
      <c r="A5082" s="3">
        <v>172592.0</v>
      </c>
      <c r="B5082" s="3" t="s">
        <v>5109</v>
      </c>
      <c r="C5082" s="3" t="s">
        <v>189</v>
      </c>
      <c r="D5082" s="3">
        <v>155.0</v>
      </c>
      <c r="E5082" s="3">
        <v>8.01</v>
      </c>
      <c r="F5082" s="3">
        <v>19.36</v>
      </c>
      <c r="G5082" s="3">
        <v>0.0</v>
      </c>
    </row>
    <row r="5083">
      <c r="A5083" s="3">
        <v>172593.0</v>
      </c>
      <c r="B5083" s="3" t="s">
        <v>5110</v>
      </c>
      <c r="C5083" s="3" t="s">
        <v>189</v>
      </c>
      <c r="D5083" s="3">
        <v>233.0</v>
      </c>
      <c r="E5083" s="3">
        <v>13.44</v>
      </c>
      <c r="F5083" s="3">
        <v>26.18</v>
      </c>
      <c r="G5083" s="3">
        <v>0.0</v>
      </c>
    </row>
    <row r="5084">
      <c r="A5084" s="3">
        <v>172594.0</v>
      </c>
      <c r="B5084" s="3" t="s">
        <v>5111</v>
      </c>
      <c r="C5084" s="3" t="s">
        <v>189</v>
      </c>
      <c r="D5084" s="3">
        <v>262.0</v>
      </c>
      <c r="E5084" s="3">
        <v>21.28</v>
      </c>
      <c r="F5084" s="3">
        <v>16.48</v>
      </c>
      <c r="G5084" s="3">
        <v>0.0</v>
      </c>
    </row>
    <row r="5085">
      <c r="A5085" s="3">
        <v>172595.0</v>
      </c>
      <c r="B5085" s="3" t="s">
        <v>5112</v>
      </c>
      <c r="C5085" s="3" t="s">
        <v>189</v>
      </c>
      <c r="D5085" s="3">
        <v>291.0</v>
      </c>
      <c r="E5085" s="3">
        <v>22.03</v>
      </c>
      <c r="F5085" s="3">
        <v>21.71</v>
      </c>
      <c r="G5085" s="3">
        <v>0.0</v>
      </c>
    </row>
    <row r="5086">
      <c r="A5086" s="3">
        <v>172596.0</v>
      </c>
      <c r="B5086" s="3" t="s">
        <v>5113</v>
      </c>
      <c r="C5086" s="3" t="s">
        <v>189</v>
      </c>
      <c r="D5086" s="3">
        <v>164.0</v>
      </c>
      <c r="E5086" s="3">
        <v>9.09</v>
      </c>
      <c r="F5086" s="3">
        <v>19.1</v>
      </c>
      <c r="G5086" s="3">
        <v>0.0</v>
      </c>
    </row>
    <row r="5087">
      <c r="A5087" s="3">
        <v>172597.0</v>
      </c>
      <c r="B5087" s="3" t="s">
        <v>5114</v>
      </c>
      <c r="C5087" s="3" t="s">
        <v>189</v>
      </c>
      <c r="D5087" s="3">
        <v>231.0</v>
      </c>
      <c r="E5087" s="3">
        <v>14.38</v>
      </c>
      <c r="F5087" s="3">
        <v>23.83</v>
      </c>
      <c r="G5087" s="3">
        <v>0.0</v>
      </c>
    </row>
    <row r="5088">
      <c r="A5088" s="3">
        <v>172598.0</v>
      </c>
      <c r="B5088" s="3" t="s">
        <v>5115</v>
      </c>
      <c r="C5088" s="3" t="s">
        <v>189</v>
      </c>
      <c r="D5088" s="3">
        <v>119.0</v>
      </c>
      <c r="E5088" s="3">
        <v>3.15</v>
      </c>
      <c r="F5088" s="3">
        <v>21.12</v>
      </c>
      <c r="G5088" s="3">
        <v>0.0</v>
      </c>
    </row>
    <row r="5089">
      <c r="A5089" s="3">
        <v>172599.0</v>
      </c>
      <c r="B5089" s="3" t="s">
        <v>5116</v>
      </c>
      <c r="C5089" s="3" t="s">
        <v>189</v>
      </c>
      <c r="D5089" s="3">
        <v>177.0</v>
      </c>
      <c r="E5089" s="3">
        <v>5.67</v>
      </c>
      <c r="F5089" s="3">
        <v>29.45</v>
      </c>
      <c r="G5089" s="3">
        <v>0.0</v>
      </c>
    </row>
    <row r="5090">
      <c r="A5090" s="3">
        <v>172600.0</v>
      </c>
      <c r="B5090" s="3" t="s">
        <v>5117</v>
      </c>
      <c r="C5090" s="3" t="s">
        <v>189</v>
      </c>
      <c r="D5090" s="3">
        <v>174.0</v>
      </c>
      <c r="E5090" s="3">
        <v>4.96</v>
      </c>
      <c r="F5090" s="3">
        <v>30.18</v>
      </c>
      <c r="G5090" s="3">
        <v>0.0</v>
      </c>
    </row>
    <row r="5091">
      <c r="A5091" s="3">
        <v>172601.0</v>
      </c>
      <c r="B5091" s="3" t="s">
        <v>5118</v>
      </c>
      <c r="C5091" s="3" t="s">
        <v>189</v>
      </c>
      <c r="D5091" s="3">
        <v>122.0</v>
      </c>
      <c r="E5091" s="3">
        <v>2.43</v>
      </c>
      <c r="F5091" s="3">
        <v>23.32</v>
      </c>
      <c r="G5091" s="3">
        <v>0.0</v>
      </c>
    </row>
    <row r="5092">
      <c r="A5092" s="3">
        <v>172602.0</v>
      </c>
      <c r="B5092" s="3" t="s">
        <v>5119</v>
      </c>
      <c r="C5092" s="3" t="s">
        <v>189</v>
      </c>
      <c r="D5092" s="3">
        <v>157.0</v>
      </c>
      <c r="E5092" s="3">
        <v>7.13</v>
      </c>
      <c r="F5092" s="3">
        <v>21.78</v>
      </c>
      <c r="G5092" s="3">
        <v>0.0</v>
      </c>
    </row>
    <row r="5093">
      <c r="A5093" s="3">
        <v>172603.0</v>
      </c>
      <c r="B5093" s="3" t="s">
        <v>5120</v>
      </c>
      <c r="C5093" s="3" t="s">
        <v>189</v>
      </c>
      <c r="D5093" s="3">
        <v>187.0</v>
      </c>
      <c r="E5093" s="3">
        <v>8.22</v>
      </c>
      <c r="F5093" s="3">
        <v>26.45</v>
      </c>
      <c r="G5093" s="3">
        <v>0.0</v>
      </c>
    </row>
    <row r="5094">
      <c r="A5094" s="3">
        <v>172604.0</v>
      </c>
      <c r="B5094" s="3" t="s">
        <v>5121</v>
      </c>
      <c r="C5094" s="3" t="s">
        <v>189</v>
      </c>
      <c r="D5094" s="3">
        <v>150.0</v>
      </c>
      <c r="E5094" s="3">
        <v>2.38</v>
      </c>
      <c r="F5094" s="3">
        <v>30.2</v>
      </c>
      <c r="G5094" s="3">
        <v>0.0</v>
      </c>
    </row>
    <row r="5095">
      <c r="A5095" s="3">
        <v>172605.0</v>
      </c>
      <c r="B5095" s="3" t="s">
        <v>5122</v>
      </c>
      <c r="C5095" s="3" t="s">
        <v>189</v>
      </c>
      <c r="D5095" s="3">
        <v>191.0</v>
      </c>
      <c r="E5095" s="3">
        <v>3.95</v>
      </c>
      <c r="F5095" s="3">
        <v>36.28</v>
      </c>
      <c r="G5095" s="3">
        <v>0.0</v>
      </c>
    </row>
    <row r="5096">
      <c r="A5096" s="3">
        <v>172606.0</v>
      </c>
      <c r="B5096" s="3" t="s">
        <v>5123</v>
      </c>
      <c r="C5096" s="3" t="s">
        <v>189</v>
      </c>
      <c r="D5096" s="3">
        <v>122.0</v>
      </c>
      <c r="E5096" s="3">
        <v>4.47</v>
      </c>
      <c r="F5096" s="3">
        <v>20.37</v>
      </c>
      <c r="G5096" s="3">
        <v>0.0</v>
      </c>
    </row>
    <row r="5097">
      <c r="A5097" s="3">
        <v>172607.0</v>
      </c>
      <c r="B5097" s="3" t="s">
        <v>5124</v>
      </c>
      <c r="C5097" s="3" t="s">
        <v>189</v>
      </c>
      <c r="D5097" s="3">
        <v>144.0</v>
      </c>
      <c r="E5097" s="3">
        <v>7.2</v>
      </c>
      <c r="F5097" s="3">
        <v>19.78</v>
      </c>
      <c r="G5097" s="3">
        <v>0.0</v>
      </c>
    </row>
    <row r="5098">
      <c r="A5098" s="3">
        <v>172608.0</v>
      </c>
      <c r="B5098" s="3" t="s">
        <v>5125</v>
      </c>
      <c r="C5098" s="3" t="s">
        <v>189</v>
      </c>
      <c r="D5098" s="3">
        <v>255.0</v>
      </c>
      <c r="E5098" s="3">
        <v>20.71</v>
      </c>
      <c r="F5098" s="3">
        <v>17.14</v>
      </c>
      <c r="G5098" s="3">
        <v>0.0</v>
      </c>
    </row>
    <row r="5099">
      <c r="A5099" s="3">
        <v>172609.0</v>
      </c>
      <c r="B5099" s="3" t="s">
        <v>5126</v>
      </c>
      <c r="C5099" s="3" t="s">
        <v>189</v>
      </c>
      <c r="D5099" s="3">
        <v>596.0</v>
      </c>
      <c r="E5099" s="3">
        <v>62.44</v>
      </c>
      <c r="F5099" s="3">
        <v>8.53</v>
      </c>
      <c r="G5099" s="3">
        <v>0.0</v>
      </c>
    </row>
    <row r="5100">
      <c r="A5100" s="3">
        <v>172610.0</v>
      </c>
      <c r="B5100" s="3" t="s">
        <v>5127</v>
      </c>
      <c r="C5100" s="3" t="s">
        <v>189</v>
      </c>
      <c r="D5100" s="3">
        <v>270.0</v>
      </c>
      <c r="E5100" s="3">
        <v>17.53</v>
      </c>
      <c r="F5100" s="3">
        <v>28.16</v>
      </c>
      <c r="G5100" s="3">
        <v>0.0</v>
      </c>
    </row>
    <row r="5101">
      <c r="A5101" s="3">
        <v>172611.0</v>
      </c>
      <c r="B5101" s="3" t="s">
        <v>5128</v>
      </c>
      <c r="C5101" s="3" t="s">
        <v>189</v>
      </c>
      <c r="D5101" s="3">
        <v>149.0</v>
      </c>
      <c r="E5101" s="3">
        <v>7.98</v>
      </c>
      <c r="F5101" s="3">
        <v>18.31</v>
      </c>
      <c r="G5101" s="3">
        <v>1.02</v>
      </c>
    </row>
    <row r="5102">
      <c r="A5102" s="3">
        <v>172612.0</v>
      </c>
      <c r="B5102" s="3" t="s">
        <v>5129</v>
      </c>
      <c r="C5102" s="3" t="s">
        <v>189</v>
      </c>
      <c r="D5102" s="3">
        <v>142.0</v>
      </c>
      <c r="E5102" s="3">
        <v>5.27</v>
      </c>
      <c r="F5102" s="3">
        <v>23.69</v>
      </c>
      <c r="G5102" s="3">
        <v>0.0</v>
      </c>
    </row>
    <row r="5103">
      <c r="A5103" s="3">
        <v>172613.0</v>
      </c>
      <c r="B5103" s="3" t="s">
        <v>5130</v>
      </c>
      <c r="C5103" s="3" t="s">
        <v>189</v>
      </c>
      <c r="D5103" s="3">
        <v>674.0</v>
      </c>
      <c r="E5103" s="3">
        <v>72.28</v>
      </c>
      <c r="F5103" s="3">
        <v>5.24</v>
      </c>
      <c r="G5103" s="3">
        <v>0.62</v>
      </c>
    </row>
    <row r="5104">
      <c r="A5104" s="3">
        <v>172614.0</v>
      </c>
      <c r="B5104" s="3" t="s">
        <v>5131</v>
      </c>
      <c r="C5104" s="3" t="s">
        <v>189</v>
      </c>
      <c r="D5104" s="3">
        <v>168.0</v>
      </c>
      <c r="E5104" s="3">
        <v>6.56</v>
      </c>
      <c r="F5104" s="3">
        <v>25.8</v>
      </c>
      <c r="G5104" s="3">
        <v>1.48</v>
      </c>
    </row>
    <row r="5105">
      <c r="A5105" s="3">
        <v>172615.0</v>
      </c>
      <c r="B5105" s="3" t="s">
        <v>5132</v>
      </c>
      <c r="C5105" s="3" t="s">
        <v>189</v>
      </c>
      <c r="D5105" s="3">
        <v>136.0</v>
      </c>
      <c r="E5105" s="3">
        <v>4.92</v>
      </c>
      <c r="F5105" s="3">
        <v>20.7</v>
      </c>
      <c r="G5105" s="3">
        <v>2.22</v>
      </c>
    </row>
    <row r="5106">
      <c r="A5106" s="3">
        <v>172616.0</v>
      </c>
      <c r="B5106" s="3" t="s">
        <v>5133</v>
      </c>
      <c r="C5106" s="3" t="s">
        <v>189</v>
      </c>
      <c r="D5106" s="3">
        <v>192.0</v>
      </c>
      <c r="E5106" s="3">
        <v>11.34</v>
      </c>
      <c r="F5106" s="3">
        <v>22.6</v>
      </c>
      <c r="G5106" s="3">
        <v>0.0</v>
      </c>
    </row>
    <row r="5107">
      <c r="A5107" s="3">
        <v>172617.0</v>
      </c>
      <c r="B5107" s="3" t="s">
        <v>5134</v>
      </c>
      <c r="C5107" s="3" t="s">
        <v>189</v>
      </c>
      <c r="D5107" s="3">
        <v>193.0</v>
      </c>
      <c r="E5107" s="3">
        <v>12.41</v>
      </c>
      <c r="F5107" s="3">
        <v>20.33</v>
      </c>
      <c r="G5107" s="3">
        <v>0.0</v>
      </c>
    </row>
    <row r="5108">
      <c r="A5108" s="3">
        <v>172618.0</v>
      </c>
      <c r="B5108" s="3" t="s">
        <v>5135</v>
      </c>
      <c r="C5108" s="3" t="s">
        <v>189</v>
      </c>
      <c r="D5108" s="3">
        <v>125.0</v>
      </c>
      <c r="E5108" s="3">
        <v>4.56</v>
      </c>
      <c r="F5108" s="3">
        <v>21.01</v>
      </c>
      <c r="G5108" s="3">
        <v>0.0</v>
      </c>
    </row>
    <row r="5109">
      <c r="A5109" s="3">
        <v>172619.0</v>
      </c>
      <c r="B5109" s="3" t="s">
        <v>5136</v>
      </c>
      <c r="C5109" s="3" t="s">
        <v>189</v>
      </c>
      <c r="D5109" s="3">
        <v>68.0</v>
      </c>
      <c r="E5109" s="3">
        <v>2.38</v>
      </c>
      <c r="F5109" s="3">
        <v>11.4</v>
      </c>
      <c r="G5109" s="3">
        <v>0.14</v>
      </c>
    </row>
    <row r="5110">
      <c r="A5110" s="3">
        <v>172620.0</v>
      </c>
      <c r="B5110" s="3" t="s">
        <v>5137</v>
      </c>
      <c r="C5110" s="3" t="s">
        <v>189</v>
      </c>
      <c r="D5110" s="3">
        <v>272.0</v>
      </c>
      <c r="E5110" s="3">
        <v>22.04</v>
      </c>
      <c r="F5110" s="3">
        <v>17.51</v>
      </c>
      <c r="G5110" s="3">
        <v>0.86</v>
      </c>
    </row>
    <row r="5111">
      <c r="A5111" s="3">
        <v>172621.0</v>
      </c>
      <c r="B5111" s="3" t="s">
        <v>5138</v>
      </c>
      <c r="C5111" s="3" t="s">
        <v>189</v>
      </c>
      <c r="D5111" s="3">
        <v>225.0</v>
      </c>
      <c r="E5111" s="3">
        <v>18.61</v>
      </c>
      <c r="F5111" s="3">
        <v>14.27</v>
      </c>
      <c r="G5111" s="3">
        <v>0.0</v>
      </c>
    </row>
    <row r="5112">
      <c r="A5112" s="3">
        <v>172622.0</v>
      </c>
      <c r="B5112" s="3" t="s">
        <v>5139</v>
      </c>
      <c r="C5112" s="3" t="s">
        <v>189</v>
      </c>
      <c r="D5112" s="3">
        <v>155.0</v>
      </c>
      <c r="E5112" s="3">
        <v>4.81</v>
      </c>
      <c r="F5112" s="3">
        <v>27.94</v>
      </c>
      <c r="G5112" s="3">
        <v>0.0</v>
      </c>
    </row>
    <row r="5113">
      <c r="A5113" s="3">
        <v>172623.0</v>
      </c>
      <c r="B5113" s="3" t="s">
        <v>5140</v>
      </c>
      <c r="C5113" s="3" t="s">
        <v>189</v>
      </c>
      <c r="D5113" s="3">
        <v>116.0</v>
      </c>
      <c r="E5113" s="3">
        <v>3.81</v>
      </c>
      <c r="F5113" s="3">
        <v>20.53</v>
      </c>
      <c r="G5113" s="3">
        <v>0.0</v>
      </c>
    </row>
    <row r="5114">
      <c r="A5114" s="3">
        <v>172624.0</v>
      </c>
      <c r="B5114" s="3" t="s">
        <v>5141</v>
      </c>
      <c r="C5114" s="3" t="s">
        <v>189</v>
      </c>
      <c r="D5114" s="3">
        <v>162.0</v>
      </c>
      <c r="E5114" s="3">
        <v>6.7</v>
      </c>
      <c r="F5114" s="3">
        <v>25.53</v>
      </c>
      <c r="G5114" s="3">
        <v>0.0</v>
      </c>
    </row>
    <row r="5115">
      <c r="A5115" s="3">
        <v>172625.0</v>
      </c>
      <c r="B5115" s="3" t="s">
        <v>5142</v>
      </c>
      <c r="C5115" s="3" t="s">
        <v>189</v>
      </c>
      <c r="D5115" s="3">
        <v>131.0</v>
      </c>
      <c r="E5115" s="3">
        <v>5.32</v>
      </c>
      <c r="F5115" s="3">
        <v>20.86</v>
      </c>
      <c r="G5115" s="3">
        <v>0.0</v>
      </c>
    </row>
    <row r="5116">
      <c r="A5116" s="3">
        <v>172626.0</v>
      </c>
      <c r="B5116" s="3" t="s">
        <v>5143</v>
      </c>
      <c r="C5116" s="3" t="s">
        <v>189</v>
      </c>
      <c r="D5116" s="3">
        <v>264.0</v>
      </c>
      <c r="E5116" s="3">
        <v>15.36</v>
      </c>
      <c r="F5116" s="3">
        <v>31.4</v>
      </c>
      <c r="G5116" s="3">
        <v>0.0</v>
      </c>
    </row>
    <row r="5117">
      <c r="A5117" s="3">
        <v>172627.0</v>
      </c>
      <c r="B5117" s="3" t="s">
        <v>5144</v>
      </c>
      <c r="C5117" s="3" t="s">
        <v>189</v>
      </c>
      <c r="D5117" s="3">
        <v>199.0</v>
      </c>
      <c r="E5117" s="3">
        <v>10.91</v>
      </c>
      <c r="F5117" s="3">
        <v>25.14</v>
      </c>
      <c r="G5117" s="3">
        <v>0.0</v>
      </c>
    </row>
    <row r="5118">
      <c r="A5118" s="3">
        <v>172628.0</v>
      </c>
      <c r="B5118" s="3" t="s">
        <v>5145</v>
      </c>
      <c r="C5118" s="3" t="s">
        <v>189</v>
      </c>
      <c r="D5118" s="3">
        <v>143.0</v>
      </c>
      <c r="E5118" s="3">
        <v>6.88</v>
      </c>
      <c r="F5118" s="3">
        <v>20.2</v>
      </c>
      <c r="G5118" s="3">
        <v>0.0</v>
      </c>
    </row>
    <row r="5119">
      <c r="A5119" s="3">
        <v>172629.0</v>
      </c>
      <c r="B5119" s="3" t="s">
        <v>5146</v>
      </c>
      <c r="C5119" s="3" t="s">
        <v>189</v>
      </c>
      <c r="D5119" s="3">
        <v>173.0</v>
      </c>
      <c r="E5119" s="3">
        <v>8.38</v>
      </c>
      <c r="F5119" s="3">
        <v>24.39</v>
      </c>
      <c r="G5119" s="3">
        <v>0.0</v>
      </c>
    </row>
    <row r="5120">
      <c r="A5120" s="3">
        <v>172630.0</v>
      </c>
      <c r="B5120" s="3" t="s">
        <v>5147</v>
      </c>
      <c r="C5120" s="3" t="s">
        <v>189</v>
      </c>
      <c r="D5120" s="3">
        <v>376.0</v>
      </c>
      <c r="E5120" s="3">
        <v>32.63</v>
      </c>
      <c r="F5120" s="3">
        <v>20.48</v>
      </c>
      <c r="G5120" s="3">
        <v>0.14</v>
      </c>
    </row>
    <row r="5121">
      <c r="A5121" s="3">
        <v>172631.0</v>
      </c>
      <c r="B5121" s="3" t="s">
        <v>5148</v>
      </c>
      <c r="C5121" s="3" t="s">
        <v>189</v>
      </c>
      <c r="D5121" s="3">
        <v>337.0</v>
      </c>
      <c r="E5121" s="3">
        <v>30.14</v>
      </c>
      <c r="F5121" s="3">
        <v>16.17</v>
      </c>
      <c r="G5121" s="3">
        <v>0.27</v>
      </c>
    </row>
    <row r="5122">
      <c r="A5122" s="3">
        <v>172632.0</v>
      </c>
      <c r="B5122" s="3" t="s">
        <v>5149</v>
      </c>
      <c r="C5122" s="3" t="s">
        <v>189</v>
      </c>
      <c r="D5122" s="3">
        <v>247.0</v>
      </c>
      <c r="E5122" s="3">
        <v>14.22</v>
      </c>
      <c r="F5122" s="3">
        <v>29.59</v>
      </c>
      <c r="G5122" s="3">
        <v>0.04</v>
      </c>
    </row>
    <row r="5123">
      <c r="A5123" s="3">
        <v>172633.0</v>
      </c>
      <c r="B5123" s="3" t="s">
        <v>5150</v>
      </c>
      <c r="C5123" s="3" t="s">
        <v>189</v>
      </c>
      <c r="D5123" s="3">
        <v>186.0</v>
      </c>
      <c r="E5123" s="3">
        <v>12.12</v>
      </c>
      <c r="F5123" s="3">
        <v>18.39</v>
      </c>
      <c r="G5123" s="3">
        <v>0.73</v>
      </c>
    </row>
    <row r="5124">
      <c r="A5124" s="3">
        <v>172634.0</v>
      </c>
      <c r="B5124" s="3" t="s">
        <v>5151</v>
      </c>
      <c r="C5124" s="3" t="s">
        <v>189</v>
      </c>
      <c r="D5124" s="3">
        <v>157.0</v>
      </c>
      <c r="E5124" s="3">
        <v>4.57</v>
      </c>
      <c r="F5124" s="3">
        <v>28.96</v>
      </c>
      <c r="G5124" s="3">
        <v>0.0</v>
      </c>
    </row>
    <row r="5125">
      <c r="A5125" s="3">
        <v>172635.0</v>
      </c>
      <c r="B5125" s="3" t="s">
        <v>5152</v>
      </c>
      <c r="C5125" s="3" t="s">
        <v>189</v>
      </c>
      <c r="D5125" s="3">
        <v>122.0</v>
      </c>
      <c r="E5125" s="3">
        <v>3.99</v>
      </c>
      <c r="F5125" s="3">
        <v>21.44</v>
      </c>
      <c r="G5125" s="3">
        <v>0.0</v>
      </c>
    </row>
    <row r="5126">
      <c r="A5126" s="3">
        <v>172636.0</v>
      </c>
      <c r="B5126" s="3" t="s">
        <v>5153</v>
      </c>
      <c r="C5126" s="3" t="s">
        <v>189</v>
      </c>
      <c r="D5126" s="3">
        <v>307.0</v>
      </c>
      <c r="E5126" s="3">
        <v>21.43</v>
      </c>
      <c r="F5126" s="3">
        <v>28.53</v>
      </c>
      <c r="G5126" s="3">
        <v>0.03</v>
      </c>
    </row>
    <row r="5127">
      <c r="A5127" s="3">
        <v>172637.0</v>
      </c>
      <c r="B5127" s="3" t="s">
        <v>5154</v>
      </c>
      <c r="C5127" s="3" t="s">
        <v>189</v>
      </c>
      <c r="D5127" s="3">
        <v>231.0</v>
      </c>
      <c r="E5127" s="3">
        <v>17.9</v>
      </c>
      <c r="F5127" s="3">
        <v>17.43</v>
      </c>
      <c r="G5127" s="3">
        <v>0.14</v>
      </c>
    </row>
    <row r="5128">
      <c r="A5128" s="3">
        <v>172638.0</v>
      </c>
      <c r="B5128" s="3" t="s">
        <v>5155</v>
      </c>
      <c r="C5128" s="3" t="s">
        <v>189</v>
      </c>
      <c r="D5128" s="3">
        <v>287.0</v>
      </c>
      <c r="E5128" s="3">
        <v>22.33</v>
      </c>
      <c r="F5128" s="3">
        <v>21.45</v>
      </c>
      <c r="G5128" s="3">
        <v>0.05</v>
      </c>
    </row>
    <row r="5129">
      <c r="A5129" s="3">
        <v>172639.0</v>
      </c>
      <c r="B5129" s="3" t="s">
        <v>5156</v>
      </c>
      <c r="C5129" s="3" t="s">
        <v>189</v>
      </c>
      <c r="D5129" s="3">
        <v>157.0</v>
      </c>
      <c r="E5129" s="3">
        <v>5.0</v>
      </c>
      <c r="F5129" s="3">
        <v>27.87</v>
      </c>
      <c r="G5129" s="3">
        <v>0.0</v>
      </c>
    </row>
    <row r="5130">
      <c r="A5130" s="3">
        <v>172640.0</v>
      </c>
      <c r="B5130" s="3" t="s">
        <v>5157</v>
      </c>
      <c r="C5130" s="3" t="s">
        <v>189</v>
      </c>
      <c r="D5130" s="3">
        <v>195.0</v>
      </c>
      <c r="E5130" s="3">
        <v>11.2</v>
      </c>
      <c r="F5130" s="3">
        <v>23.56</v>
      </c>
      <c r="G5130" s="3">
        <v>0.01</v>
      </c>
    </row>
    <row r="5131">
      <c r="A5131" s="3">
        <v>172641.0</v>
      </c>
      <c r="B5131" s="3" t="s">
        <v>5158</v>
      </c>
      <c r="C5131" s="3" t="s">
        <v>189</v>
      </c>
      <c r="D5131" s="3">
        <v>169.0</v>
      </c>
      <c r="E5131" s="3">
        <v>9.96</v>
      </c>
      <c r="F5131" s="3">
        <v>19.88</v>
      </c>
      <c r="G5131" s="3">
        <v>0.05</v>
      </c>
    </row>
    <row r="5132">
      <c r="A5132" s="3">
        <v>172642.0</v>
      </c>
      <c r="B5132" s="3" t="s">
        <v>5159</v>
      </c>
      <c r="C5132" s="3" t="s">
        <v>189</v>
      </c>
      <c r="D5132" s="3">
        <v>208.0</v>
      </c>
      <c r="E5132" s="3">
        <v>12.68</v>
      </c>
      <c r="F5132" s="3">
        <v>23.41</v>
      </c>
      <c r="G5132" s="3">
        <v>0.03</v>
      </c>
    </row>
    <row r="5133">
      <c r="A5133" s="3">
        <v>172643.0</v>
      </c>
      <c r="B5133" s="3" t="s">
        <v>5160</v>
      </c>
      <c r="C5133" s="3" t="s">
        <v>189</v>
      </c>
      <c r="D5133" s="3">
        <v>107.0</v>
      </c>
      <c r="E5133" s="3">
        <v>2.07</v>
      </c>
      <c r="F5133" s="3">
        <v>22.07</v>
      </c>
      <c r="G5133" s="3">
        <v>0.0</v>
      </c>
    </row>
    <row r="5134">
      <c r="A5134" s="3">
        <v>172644.0</v>
      </c>
      <c r="B5134" s="3" t="s">
        <v>5161</v>
      </c>
      <c r="C5134" s="3" t="s">
        <v>189</v>
      </c>
      <c r="D5134" s="3">
        <v>159.0</v>
      </c>
      <c r="E5134" s="3">
        <v>4.44</v>
      </c>
      <c r="F5134" s="3">
        <v>29.75</v>
      </c>
      <c r="G5134" s="3">
        <v>0.07</v>
      </c>
    </row>
    <row r="5135">
      <c r="A5135" s="3">
        <v>172645.0</v>
      </c>
      <c r="B5135" s="3" t="s">
        <v>5162</v>
      </c>
      <c r="C5135" s="3" t="s">
        <v>189</v>
      </c>
      <c r="D5135" s="3">
        <v>94.0</v>
      </c>
      <c r="E5135" s="3">
        <v>1.64</v>
      </c>
      <c r="F5135" s="3">
        <v>19.77</v>
      </c>
      <c r="G5135" s="3">
        <v>0.0</v>
      </c>
    </row>
    <row r="5136">
      <c r="A5136" s="3">
        <v>172646.0</v>
      </c>
      <c r="B5136" s="3" t="s">
        <v>5163</v>
      </c>
      <c r="C5136" s="3" t="s">
        <v>189</v>
      </c>
      <c r="D5136" s="3">
        <v>157.0</v>
      </c>
      <c r="E5136" s="3">
        <v>4.51</v>
      </c>
      <c r="F5136" s="3">
        <v>29.12</v>
      </c>
      <c r="G5136" s="3">
        <v>0.0</v>
      </c>
    </row>
    <row r="5137">
      <c r="A5137" s="3">
        <v>172647.0</v>
      </c>
      <c r="B5137" s="3" t="s">
        <v>5164</v>
      </c>
      <c r="C5137" s="3" t="s">
        <v>189</v>
      </c>
      <c r="D5137" s="3">
        <v>505.0</v>
      </c>
      <c r="E5137" s="3">
        <v>50.17</v>
      </c>
      <c r="F5137" s="3">
        <v>11.16</v>
      </c>
      <c r="G5137" s="3">
        <v>2.11</v>
      </c>
    </row>
    <row r="5138">
      <c r="A5138" s="3">
        <v>172648.0</v>
      </c>
      <c r="B5138" s="3" t="s">
        <v>5165</v>
      </c>
      <c r="C5138" s="3" t="s">
        <v>189</v>
      </c>
      <c r="D5138" s="3">
        <v>107.0</v>
      </c>
      <c r="E5138" s="3">
        <v>3.3</v>
      </c>
      <c r="F5138" s="3">
        <v>19.28</v>
      </c>
      <c r="G5138" s="3">
        <v>0.0</v>
      </c>
    </row>
    <row r="5139">
      <c r="A5139" s="3">
        <v>172649.0</v>
      </c>
      <c r="B5139" s="3" t="s">
        <v>5166</v>
      </c>
      <c r="C5139" s="3" t="s">
        <v>189</v>
      </c>
      <c r="D5139" s="3">
        <v>182.0</v>
      </c>
      <c r="E5139" s="3">
        <v>7.77</v>
      </c>
      <c r="F5139" s="3">
        <v>27.94</v>
      </c>
      <c r="G5139" s="3">
        <v>0.11</v>
      </c>
    </row>
    <row r="5140">
      <c r="A5140" s="3">
        <v>172650.0</v>
      </c>
      <c r="B5140" s="3" t="s">
        <v>5167</v>
      </c>
      <c r="C5140" s="3" t="s">
        <v>189</v>
      </c>
      <c r="D5140" s="3">
        <v>198.0</v>
      </c>
      <c r="E5140" s="3">
        <v>9.48</v>
      </c>
      <c r="F5140" s="3">
        <v>28.04</v>
      </c>
      <c r="G5140" s="3">
        <v>0.16</v>
      </c>
    </row>
    <row r="5141">
      <c r="A5141" s="3">
        <v>172651.0</v>
      </c>
      <c r="B5141" s="3" t="s">
        <v>5168</v>
      </c>
      <c r="C5141" s="3" t="s">
        <v>189</v>
      </c>
      <c r="D5141" s="3">
        <v>199.0</v>
      </c>
      <c r="E5141" s="3">
        <v>10.57</v>
      </c>
      <c r="F5141" s="3">
        <v>25.72</v>
      </c>
      <c r="G5141" s="3">
        <v>0.15</v>
      </c>
    </row>
    <row r="5142">
      <c r="A5142" s="3">
        <v>172652.0</v>
      </c>
      <c r="B5142" s="3" t="s">
        <v>5169</v>
      </c>
      <c r="C5142" s="3" t="s">
        <v>189</v>
      </c>
      <c r="D5142" s="3">
        <v>136.0</v>
      </c>
      <c r="E5142" s="3">
        <v>4.73</v>
      </c>
      <c r="F5142" s="3">
        <v>23.42</v>
      </c>
      <c r="G5142" s="3">
        <v>0.0</v>
      </c>
    </row>
    <row r="5143">
      <c r="A5143" s="3">
        <v>172653.0</v>
      </c>
      <c r="B5143" s="3" t="s">
        <v>5170</v>
      </c>
      <c r="C5143" s="3" t="s">
        <v>189</v>
      </c>
      <c r="D5143" s="3">
        <v>136.0</v>
      </c>
      <c r="E5143" s="3">
        <v>5.24</v>
      </c>
      <c r="F5143" s="3">
        <v>22.28</v>
      </c>
      <c r="G5143" s="3">
        <v>0.0</v>
      </c>
    </row>
    <row r="5144">
      <c r="A5144" s="3">
        <v>172654.0</v>
      </c>
      <c r="B5144" s="3" t="s">
        <v>5171</v>
      </c>
      <c r="C5144" s="3" t="s">
        <v>189</v>
      </c>
      <c r="D5144" s="3">
        <v>215.0</v>
      </c>
      <c r="E5144" s="3">
        <v>9.59</v>
      </c>
      <c r="F5144" s="3">
        <v>32.08</v>
      </c>
      <c r="G5144" s="3">
        <v>0.0</v>
      </c>
    </row>
    <row r="5145">
      <c r="A5145" s="3">
        <v>172655.0</v>
      </c>
      <c r="B5145" s="3" t="s">
        <v>5172</v>
      </c>
      <c r="C5145" s="3" t="s">
        <v>189</v>
      </c>
      <c r="D5145" s="3">
        <v>131.0</v>
      </c>
      <c r="E5145" s="3">
        <v>4.33</v>
      </c>
      <c r="F5145" s="3">
        <v>23.11</v>
      </c>
      <c r="G5145" s="3">
        <v>0.0</v>
      </c>
    </row>
    <row r="5146">
      <c r="A5146" s="3">
        <v>172656.0</v>
      </c>
      <c r="B5146" s="3" t="s">
        <v>5173</v>
      </c>
      <c r="C5146" s="3" t="s">
        <v>189</v>
      </c>
      <c r="D5146" s="3">
        <v>554.0</v>
      </c>
      <c r="E5146" s="3">
        <v>54.72</v>
      </c>
      <c r="F5146" s="3">
        <v>13.81</v>
      </c>
      <c r="G5146" s="3">
        <v>1.55</v>
      </c>
    </row>
    <row r="5147">
      <c r="A5147" s="3">
        <v>172657.0</v>
      </c>
      <c r="B5147" s="3" t="s">
        <v>5174</v>
      </c>
      <c r="C5147" s="3" t="s">
        <v>189</v>
      </c>
      <c r="D5147" s="3">
        <v>459.0</v>
      </c>
      <c r="E5147" s="3">
        <v>44.01</v>
      </c>
      <c r="F5147" s="3">
        <v>15.65</v>
      </c>
      <c r="G5147" s="3">
        <v>0.0</v>
      </c>
    </row>
    <row r="5148">
      <c r="A5148" s="3">
        <v>172658.0</v>
      </c>
      <c r="B5148" s="3" t="s">
        <v>5175</v>
      </c>
      <c r="C5148" s="3" t="s">
        <v>189</v>
      </c>
      <c r="D5148" s="3">
        <v>219.0</v>
      </c>
      <c r="E5148" s="3">
        <v>12.04</v>
      </c>
      <c r="F5148" s="3">
        <v>27.54</v>
      </c>
      <c r="G5148" s="3">
        <v>0.0</v>
      </c>
    </row>
    <row r="5149">
      <c r="A5149" s="3">
        <v>172659.0</v>
      </c>
      <c r="B5149" s="3" t="s">
        <v>5176</v>
      </c>
      <c r="C5149" s="3" t="s">
        <v>189</v>
      </c>
      <c r="D5149" s="3">
        <v>187.0</v>
      </c>
      <c r="E5149" s="3">
        <v>11.43</v>
      </c>
      <c r="F5149" s="3">
        <v>20.97</v>
      </c>
      <c r="G5149" s="3">
        <v>0.0</v>
      </c>
    </row>
    <row r="5150">
      <c r="A5150" s="3">
        <v>172660.0</v>
      </c>
      <c r="B5150" s="3" t="s">
        <v>5177</v>
      </c>
      <c r="C5150" s="3" t="s">
        <v>189</v>
      </c>
      <c r="D5150" s="3">
        <v>143.0</v>
      </c>
      <c r="E5150" s="3">
        <v>5.52</v>
      </c>
      <c r="F5150" s="3">
        <v>23.23</v>
      </c>
      <c r="G5150" s="3">
        <v>0.0</v>
      </c>
    </row>
    <row r="5151">
      <c r="A5151" s="3">
        <v>172661.0</v>
      </c>
      <c r="B5151" s="3" t="s">
        <v>5178</v>
      </c>
      <c r="C5151" s="3" t="s">
        <v>189</v>
      </c>
      <c r="D5151" s="3">
        <v>236.0</v>
      </c>
      <c r="E5151" s="3">
        <v>11.5</v>
      </c>
      <c r="F5151" s="3">
        <v>33.17</v>
      </c>
      <c r="G5151" s="3">
        <v>0.0</v>
      </c>
    </row>
    <row r="5152">
      <c r="A5152" s="3">
        <v>172662.0</v>
      </c>
      <c r="B5152" s="3" t="s">
        <v>5179</v>
      </c>
      <c r="C5152" s="3" t="s">
        <v>189</v>
      </c>
      <c r="D5152" s="3">
        <v>193.0</v>
      </c>
      <c r="E5152" s="3">
        <v>9.91</v>
      </c>
      <c r="F5152" s="3">
        <v>25.95</v>
      </c>
      <c r="G5152" s="3">
        <v>0.0</v>
      </c>
    </row>
    <row r="5153">
      <c r="A5153" s="3">
        <v>172663.0</v>
      </c>
      <c r="B5153" s="3" t="s">
        <v>5180</v>
      </c>
      <c r="C5153" s="3" t="s">
        <v>189</v>
      </c>
      <c r="D5153" s="3">
        <v>291.0</v>
      </c>
      <c r="E5153" s="3">
        <v>20.77</v>
      </c>
      <c r="F5153" s="3">
        <v>25.96</v>
      </c>
      <c r="G5153" s="3">
        <v>0.0</v>
      </c>
    </row>
    <row r="5154">
      <c r="A5154" s="3">
        <v>172664.0</v>
      </c>
      <c r="B5154" s="3" t="s">
        <v>5181</v>
      </c>
      <c r="C5154" s="3" t="s">
        <v>8</v>
      </c>
      <c r="D5154" s="3">
        <v>274.0</v>
      </c>
      <c r="E5154" s="3">
        <v>1.7</v>
      </c>
      <c r="F5154" s="3">
        <v>9.8</v>
      </c>
      <c r="G5154" s="3">
        <v>55.2</v>
      </c>
    </row>
    <row r="5155">
      <c r="A5155" s="3">
        <v>172665.0</v>
      </c>
      <c r="B5155" s="3" t="s">
        <v>5182</v>
      </c>
      <c r="C5155" s="3" t="s">
        <v>8</v>
      </c>
      <c r="D5155" s="3">
        <v>294.0</v>
      </c>
      <c r="E5155" s="3">
        <v>1.8</v>
      </c>
      <c r="F5155" s="3">
        <v>10.6</v>
      </c>
      <c r="G5155" s="3">
        <v>59.3</v>
      </c>
    </row>
    <row r="5156">
      <c r="A5156" s="3">
        <v>172666.0</v>
      </c>
      <c r="B5156" s="3" t="s">
        <v>5183</v>
      </c>
      <c r="C5156" s="3" t="s">
        <v>8</v>
      </c>
      <c r="D5156" s="3">
        <v>255.0</v>
      </c>
      <c r="E5156" s="3">
        <v>1.2</v>
      </c>
      <c r="F5156" s="3">
        <v>10.7</v>
      </c>
      <c r="G5156" s="3">
        <v>53.3</v>
      </c>
    </row>
    <row r="5157">
      <c r="A5157" s="3">
        <v>172667.0</v>
      </c>
      <c r="B5157" s="3" t="s">
        <v>5184</v>
      </c>
      <c r="C5157" s="3" t="s">
        <v>8</v>
      </c>
      <c r="D5157" s="3">
        <v>338.0</v>
      </c>
      <c r="E5157" s="3">
        <v>11.03</v>
      </c>
      <c r="F5157" s="3">
        <v>6.2</v>
      </c>
      <c r="G5157" s="3">
        <v>53.87</v>
      </c>
    </row>
    <row r="5158">
      <c r="A5158" s="3">
        <v>172668.0</v>
      </c>
      <c r="B5158" s="3" t="s">
        <v>5185</v>
      </c>
      <c r="C5158" s="3" t="s">
        <v>8</v>
      </c>
      <c r="D5158" s="3">
        <v>307.0</v>
      </c>
      <c r="E5158" s="3">
        <v>10.58</v>
      </c>
      <c r="F5158" s="3">
        <v>6.66</v>
      </c>
      <c r="G5158" s="3">
        <v>46.32</v>
      </c>
    </row>
    <row r="5159">
      <c r="A5159" s="3">
        <v>172669.0</v>
      </c>
      <c r="B5159" s="3" t="s">
        <v>5186</v>
      </c>
      <c r="C5159" s="3" t="s">
        <v>8</v>
      </c>
      <c r="D5159" s="3">
        <v>324.0</v>
      </c>
      <c r="E5159" s="3">
        <v>11.22</v>
      </c>
      <c r="F5159" s="3">
        <v>6.79</v>
      </c>
      <c r="G5159" s="3">
        <v>49.05</v>
      </c>
    </row>
    <row r="5160">
      <c r="A5160" s="3">
        <v>172670.0</v>
      </c>
      <c r="B5160" s="3" t="s">
        <v>5187</v>
      </c>
      <c r="C5160" s="3" t="s">
        <v>8</v>
      </c>
      <c r="D5160" s="3">
        <v>353.0</v>
      </c>
      <c r="E5160" s="3">
        <v>16.3</v>
      </c>
      <c r="F5160" s="3">
        <v>7.0</v>
      </c>
      <c r="G5160" s="3">
        <v>44.6</v>
      </c>
    </row>
    <row r="5161">
      <c r="A5161" s="3">
        <v>172671.0</v>
      </c>
      <c r="B5161" s="3" t="s">
        <v>5188</v>
      </c>
      <c r="C5161" s="3" t="s">
        <v>8</v>
      </c>
      <c r="D5161" s="3">
        <v>263.0</v>
      </c>
      <c r="E5161" s="3">
        <v>5.6</v>
      </c>
      <c r="F5161" s="3">
        <v>6.1</v>
      </c>
      <c r="G5161" s="3">
        <v>47.4</v>
      </c>
    </row>
    <row r="5162">
      <c r="A5162" s="3">
        <v>172672.0</v>
      </c>
      <c r="B5162" s="3" t="s">
        <v>5189</v>
      </c>
      <c r="C5162" s="3" t="s">
        <v>8</v>
      </c>
      <c r="D5162" s="3">
        <v>260.0</v>
      </c>
      <c r="E5162" s="3">
        <v>3.9</v>
      </c>
      <c r="F5162" s="3">
        <v>8.7</v>
      </c>
      <c r="G5162" s="3">
        <v>49.5</v>
      </c>
    </row>
    <row r="5163">
      <c r="A5163" s="3">
        <v>172673.0</v>
      </c>
      <c r="B5163" s="3" t="s">
        <v>5190</v>
      </c>
      <c r="C5163" s="3" t="s">
        <v>8</v>
      </c>
      <c r="D5163" s="3">
        <v>287.0</v>
      </c>
      <c r="E5163" s="3">
        <v>6.0</v>
      </c>
      <c r="F5163" s="3">
        <v>9.5</v>
      </c>
      <c r="G5163" s="3">
        <v>47.8</v>
      </c>
    </row>
    <row r="5164">
      <c r="A5164" s="3">
        <v>172674.0</v>
      </c>
      <c r="B5164" s="3" t="s">
        <v>5191</v>
      </c>
      <c r="C5164" s="3" t="s">
        <v>8</v>
      </c>
      <c r="D5164" s="3">
        <v>315.0</v>
      </c>
      <c r="E5164" s="3">
        <v>6.6</v>
      </c>
      <c r="F5164" s="3">
        <v>10.5</v>
      </c>
      <c r="G5164" s="3">
        <v>52.6</v>
      </c>
    </row>
    <row r="5165">
      <c r="A5165" s="3">
        <v>172675.0</v>
      </c>
      <c r="B5165" s="3" t="s">
        <v>5192</v>
      </c>
      <c r="C5165" s="3" t="s">
        <v>8</v>
      </c>
      <c r="D5165" s="3">
        <v>272.0</v>
      </c>
      <c r="E5165" s="3">
        <v>2.42</v>
      </c>
      <c r="F5165" s="3">
        <v>10.75</v>
      </c>
      <c r="G5165" s="3">
        <v>51.88</v>
      </c>
    </row>
    <row r="5166">
      <c r="A5166" s="3">
        <v>172676.0</v>
      </c>
      <c r="B5166" s="3" t="s">
        <v>5193</v>
      </c>
      <c r="C5166" s="3" t="s">
        <v>8</v>
      </c>
      <c r="D5166" s="3">
        <v>236.0</v>
      </c>
      <c r="E5166" s="3">
        <v>4.4</v>
      </c>
      <c r="F5166" s="3">
        <v>10.4</v>
      </c>
      <c r="G5166" s="3">
        <v>39.8</v>
      </c>
    </row>
    <row r="5167">
      <c r="A5167" s="3">
        <v>172677.0</v>
      </c>
      <c r="B5167" s="3" t="s">
        <v>5194</v>
      </c>
      <c r="C5167" s="3" t="s">
        <v>8</v>
      </c>
      <c r="D5167" s="3">
        <v>259.0</v>
      </c>
      <c r="E5167" s="3">
        <v>4.8</v>
      </c>
      <c r="F5167" s="3">
        <v>11.4</v>
      </c>
      <c r="G5167" s="3">
        <v>43.7</v>
      </c>
    </row>
    <row r="5168">
      <c r="A5168" s="3">
        <v>172678.0</v>
      </c>
      <c r="B5168" s="3" t="s">
        <v>5195</v>
      </c>
      <c r="C5168" s="3" t="s">
        <v>8</v>
      </c>
      <c r="D5168" s="3">
        <v>269.0</v>
      </c>
      <c r="E5168" s="3">
        <v>4.4</v>
      </c>
      <c r="F5168" s="3">
        <v>8.4</v>
      </c>
      <c r="G5168" s="3">
        <v>48.5</v>
      </c>
    </row>
    <row r="5169">
      <c r="A5169" s="3">
        <v>172679.0</v>
      </c>
      <c r="B5169" s="3" t="s">
        <v>5196</v>
      </c>
      <c r="C5169" s="3" t="s">
        <v>8</v>
      </c>
      <c r="D5169" s="3">
        <v>292.0</v>
      </c>
      <c r="E5169" s="3">
        <v>4.8</v>
      </c>
      <c r="F5169" s="3">
        <v>9.2</v>
      </c>
      <c r="G5169" s="3">
        <v>52.7</v>
      </c>
    </row>
    <row r="5170">
      <c r="A5170" s="3">
        <v>172680.0</v>
      </c>
      <c r="B5170" s="3" t="s">
        <v>5197</v>
      </c>
      <c r="C5170" s="3" t="s">
        <v>8</v>
      </c>
      <c r="D5170" s="3">
        <v>274.0</v>
      </c>
      <c r="E5170" s="3">
        <v>4.4</v>
      </c>
      <c r="F5170" s="3">
        <v>7.9</v>
      </c>
      <c r="G5170" s="3">
        <v>52.3</v>
      </c>
    </row>
    <row r="5171">
      <c r="A5171" s="3">
        <v>172681.0</v>
      </c>
      <c r="B5171" s="3" t="s">
        <v>5198</v>
      </c>
      <c r="C5171" s="3" t="s">
        <v>8</v>
      </c>
      <c r="D5171" s="3">
        <v>297.0</v>
      </c>
      <c r="E5171" s="3">
        <v>4.8</v>
      </c>
      <c r="F5171" s="3">
        <v>8.6</v>
      </c>
      <c r="G5171" s="3">
        <v>56.9</v>
      </c>
    </row>
    <row r="5172">
      <c r="A5172" s="3">
        <v>172682.0</v>
      </c>
      <c r="B5172" s="3" t="s">
        <v>5199</v>
      </c>
      <c r="C5172" s="3" t="s">
        <v>8</v>
      </c>
      <c r="D5172" s="3">
        <v>201.0</v>
      </c>
      <c r="E5172" s="3">
        <v>3.2</v>
      </c>
      <c r="F5172" s="3">
        <v>8.0</v>
      </c>
      <c r="G5172" s="3">
        <v>41.3</v>
      </c>
    </row>
    <row r="5173">
      <c r="A5173" s="3">
        <v>172683.0</v>
      </c>
      <c r="B5173" s="3" t="s">
        <v>5200</v>
      </c>
      <c r="C5173" s="3" t="s">
        <v>8</v>
      </c>
      <c r="D5173" s="3">
        <v>239.0</v>
      </c>
      <c r="E5173" s="3">
        <v>3.8</v>
      </c>
      <c r="F5173" s="3">
        <v>9.5</v>
      </c>
      <c r="G5173" s="3">
        <v>49.2</v>
      </c>
    </row>
    <row r="5174">
      <c r="A5174" s="3">
        <v>172684.0</v>
      </c>
      <c r="B5174" s="3" t="s">
        <v>5201</v>
      </c>
      <c r="C5174" s="3" t="s">
        <v>8</v>
      </c>
      <c r="D5174" s="3">
        <v>259.0</v>
      </c>
      <c r="E5174" s="3">
        <v>3.3</v>
      </c>
      <c r="F5174" s="3">
        <v>8.5</v>
      </c>
      <c r="G5174" s="3">
        <v>48.3</v>
      </c>
    </row>
    <row r="5175">
      <c r="A5175" s="3">
        <v>172685.0</v>
      </c>
      <c r="B5175" s="3" t="s">
        <v>5202</v>
      </c>
      <c r="C5175" s="3" t="s">
        <v>8</v>
      </c>
      <c r="D5175" s="3">
        <v>284.0</v>
      </c>
      <c r="E5175" s="3">
        <v>3.6</v>
      </c>
      <c r="F5175" s="3">
        <v>9.4</v>
      </c>
      <c r="G5175" s="3">
        <v>53.1</v>
      </c>
    </row>
    <row r="5176">
      <c r="A5176" s="3">
        <v>172686.0</v>
      </c>
      <c r="B5176" s="3" t="s">
        <v>5203</v>
      </c>
      <c r="C5176" s="3" t="s">
        <v>8</v>
      </c>
      <c r="D5176" s="3">
        <v>274.0</v>
      </c>
      <c r="E5176" s="3">
        <v>4.53</v>
      </c>
      <c r="F5176" s="3">
        <v>10.67</v>
      </c>
      <c r="G5176" s="3">
        <v>47.54</v>
      </c>
    </row>
    <row r="5177">
      <c r="A5177" s="3">
        <v>172687.0</v>
      </c>
      <c r="B5177" s="3" t="s">
        <v>5204</v>
      </c>
      <c r="C5177" s="3" t="s">
        <v>8</v>
      </c>
      <c r="D5177" s="3">
        <v>313.0</v>
      </c>
      <c r="E5177" s="3">
        <v>4.27</v>
      </c>
      <c r="F5177" s="3">
        <v>12.96</v>
      </c>
      <c r="G5177" s="3">
        <v>55.77</v>
      </c>
    </row>
    <row r="5178">
      <c r="A5178" s="3">
        <v>172688.0</v>
      </c>
      <c r="B5178" s="3" t="s">
        <v>5205</v>
      </c>
      <c r="C5178" s="3" t="s">
        <v>8</v>
      </c>
      <c r="D5178" s="3">
        <v>252.0</v>
      </c>
      <c r="E5178" s="3">
        <v>3.5</v>
      </c>
      <c r="F5178" s="3">
        <v>12.45</v>
      </c>
      <c r="G5178" s="3">
        <v>42.71</v>
      </c>
    </row>
    <row r="5179">
      <c r="A5179" s="3">
        <v>172689.0</v>
      </c>
      <c r="B5179" s="3" t="s">
        <v>5206</v>
      </c>
      <c r="C5179" s="3" t="s">
        <v>8</v>
      </c>
      <c r="D5179" s="3">
        <v>306.0</v>
      </c>
      <c r="E5179" s="3">
        <v>4.07</v>
      </c>
      <c r="F5179" s="3">
        <v>16.27</v>
      </c>
      <c r="G5179" s="3">
        <v>51.16</v>
      </c>
    </row>
    <row r="5180">
      <c r="A5180" s="3">
        <v>172690.0</v>
      </c>
      <c r="B5180" s="3" t="s">
        <v>5207</v>
      </c>
      <c r="C5180" s="3" t="s">
        <v>8</v>
      </c>
      <c r="D5180" s="3">
        <v>278.0</v>
      </c>
      <c r="E5180" s="3">
        <v>5.4</v>
      </c>
      <c r="F5180" s="3">
        <v>8.4</v>
      </c>
      <c r="G5180" s="3">
        <v>51.4</v>
      </c>
    </row>
    <row r="5181">
      <c r="A5181" s="3">
        <v>172691.0</v>
      </c>
      <c r="B5181" s="3" t="s">
        <v>5208</v>
      </c>
      <c r="C5181" s="3" t="s">
        <v>8</v>
      </c>
      <c r="D5181" s="3">
        <v>305.0</v>
      </c>
      <c r="E5181" s="3">
        <v>5.9</v>
      </c>
      <c r="F5181" s="3">
        <v>9.2</v>
      </c>
      <c r="G5181" s="3">
        <v>56.4</v>
      </c>
    </row>
    <row r="5182">
      <c r="A5182" s="3">
        <v>172692.0</v>
      </c>
      <c r="B5182" s="3" t="s">
        <v>5209</v>
      </c>
      <c r="C5182" s="3" t="s">
        <v>8</v>
      </c>
      <c r="D5182" s="3">
        <v>389.0</v>
      </c>
      <c r="E5182" s="3">
        <v>4.2</v>
      </c>
      <c r="F5182" s="3">
        <v>10.0</v>
      </c>
      <c r="G5182" s="3">
        <v>76.7</v>
      </c>
    </row>
    <row r="5183">
      <c r="A5183" s="3">
        <v>172693.0</v>
      </c>
      <c r="B5183" s="3" t="s">
        <v>5210</v>
      </c>
      <c r="C5183" s="3" t="s">
        <v>8</v>
      </c>
      <c r="D5183" s="3">
        <v>179.0</v>
      </c>
      <c r="E5183" s="3">
        <v>8.8</v>
      </c>
      <c r="F5183" s="3">
        <v>2.9</v>
      </c>
      <c r="G5183" s="3">
        <v>21.9</v>
      </c>
    </row>
    <row r="5184">
      <c r="A5184" s="3">
        <v>172694.0</v>
      </c>
      <c r="B5184" s="3" t="s">
        <v>5211</v>
      </c>
      <c r="C5184" s="3" t="s">
        <v>8</v>
      </c>
      <c r="D5184" s="3">
        <v>258.0</v>
      </c>
      <c r="E5184" s="3">
        <v>0.8</v>
      </c>
      <c r="F5184" s="3">
        <v>5.9</v>
      </c>
      <c r="G5184" s="3">
        <v>57.8</v>
      </c>
    </row>
    <row r="5185">
      <c r="A5185" s="3">
        <v>172695.0</v>
      </c>
      <c r="B5185" s="3" t="s">
        <v>5212</v>
      </c>
      <c r="C5185" s="3" t="s">
        <v>8</v>
      </c>
      <c r="D5185" s="3">
        <v>257.0</v>
      </c>
      <c r="E5185" s="3">
        <v>0.3</v>
      </c>
      <c r="F5185" s="3">
        <v>6.1</v>
      </c>
      <c r="G5185" s="3">
        <v>58.7</v>
      </c>
    </row>
    <row r="5186">
      <c r="A5186" s="3">
        <v>172696.0</v>
      </c>
      <c r="B5186" s="3" t="s">
        <v>5213</v>
      </c>
      <c r="C5186" s="3" t="s">
        <v>8</v>
      </c>
      <c r="D5186" s="3">
        <v>252.0</v>
      </c>
      <c r="E5186" s="3">
        <v>8.5</v>
      </c>
      <c r="F5186" s="3">
        <v>2.4</v>
      </c>
      <c r="G5186" s="3">
        <v>42.9</v>
      </c>
    </row>
    <row r="5187">
      <c r="A5187" s="3">
        <v>172697.0</v>
      </c>
      <c r="B5187" s="3" t="s">
        <v>5214</v>
      </c>
      <c r="C5187" s="3" t="s">
        <v>8</v>
      </c>
      <c r="D5187" s="3">
        <v>371.0</v>
      </c>
      <c r="E5187" s="3">
        <v>15.1</v>
      </c>
      <c r="F5187" s="3">
        <v>5.3</v>
      </c>
      <c r="G5187" s="3">
        <v>53.4</v>
      </c>
    </row>
    <row r="5188">
      <c r="A5188" s="3">
        <v>172698.0</v>
      </c>
      <c r="B5188" s="3" t="s">
        <v>5215</v>
      </c>
      <c r="C5188" s="3" t="s">
        <v>8</v>
      </c>
      <c r="D5188" s="3">
        <v>356.0</v>
      </c>
      <c r="E5188" s="3">
        <v>10.3</v>
      </c>
      <c r="F5188" s="3">
        <v>4.4</v>
      </c>
      <c r="G5188" s="3">
        <v>63.2</v>
      </c>
    </row>
    <row r="5189">
      <c r="A5189" s="3">
        <v>172699.0</v>
      </c>
      <c r="B5189" s="3" t="s">
        <v>5216</v>
      </c>
      <c r="C5189" s="3" t="s">
        <v>8</v>
      </c>
      <c r="D5189" s="3">
        <v>339.0</v>
      </c>
      <c r="E5189" s="3">
        <v>15.2</v>
      </c>
      <c r="F5189" s="3">
        <v>7.0</v>
      </c>
      <c r="G5189" s="3">
        <v>44.3</v>
      </c>
    </row>
    <row r="5190">
      <c r="A5190" s="3">
        <v>172700.0</v>
      </c>
      <c r="B5190" s="3" t="s">
        <v>5217</v>
      </c>
      <c r="C5190" s="3" t="s">
        <v>8</v>
      </c>
      <c r="D5190" s="3">
        <v>418.0</v>
      </c>
      <c r="E5190" s="3">
        <v>23.3</v>
      </c>
      <c r="F5190" s="3">
        <v>6.8</v>
      </c>
      <c r="G5190" s="3">
        <v>46.7</v>
      </c>
    </row>
    <row r="5191">
      <c r="A5191" s="3">
        <v>172701.0</v>
      </c>
      <c r="B5191" s="3" t="s">
        <v>5218</v>
      </c>
      <c r="C5191" s="3" t="s">
        <v>8</v>
      </c>
      <c r="D5191" s="3">
        <v>437.0</v>
      </c>
      <c r="E5191" s="3">
        <v>13.8</v>
      </c>
      <c r="F5191" s="3">
        <v>4.4</v>
      </c>
      <c r="G5191" s="3">
        <v>74.6</v>
      </c>
    </row>
    <row r="5192">
      <c r="A5192" s="3">
        <v>172702.0</v>
      </c>
      <c r="B5192" s="3" t="s">
        <v>5219</v>
      </c>
      <c r="C5192" s="3" t="s">
        <v>8</v>
      </c>
      <c r="D5192" s="3">
        <v>356.0</v>
      </c>
      <c r="E5192" s="3">
        <v>16.4</v>
      </c>
      <c r="F5192" s="3">
        <v>3.9</v>
      </c>
      <c r="G5192" s="3">
        <v>49.2</v>
      </c>
    </row>
    <row r="5193">
      <c r="A5193" s="3">
        <v>172703.0</v>
      </c>
      <c r="B5193" s="3" t="s">
        <v>5220</v>
      </c>
      <c r="C5193" s="3" t="s">
        <v>8</v>
      </c>
      <c r="D5193" s="3">
        <v>319.0</v>
      </c>
      <c r="E5193" s="3">
        <v>12.1</v>
      </c>
      <c r="F5193" s="3">
        <v>3.5</v>
      </c>
      <c r="G5193" s="3">
        <v>50.5</v>
      </c>
    </row>
    <row r="5194">
      <c r="A5194" s="3">
        <v>172704.0</v>
      </c>
      <c r="B5194" s="3" t="s">
        <v>5221</v>
      </c>
      <c r="C5194" s="3" t="s">
        <v>8</v>
      </c>
      <c r="D5194" s="3">
        <v>353.0</v>
      </c>
      <c r="E5194" s="3">
        <v>13.96</v>
      </c>
      <c r="F5194" s="3">
        <v>5.0</v>
      </c>
      <c r="G5194" s="3">
        <v>53.64</v>
      </c>
    </row>
    <row r="5195">
      <c r="A5195" s="3">
        <v>172705.0</v>
      </c>
      <c r="B5195" s="3" t="s">
        <v>5222</v>
      </c>
      <c r="C5195" s="3" t="s">
        <v>8</v>
      </c>
      <c r="D5195" s="3">
        <v>397.0</v>
      </c>
      <c r="E5195" s="3">
        <v>8.4</v>
      </c>
      <c r="F5195" s="3">
        <v>3.0</v>
      </c>
      <c r="G5195" s="3">
        <v>79.6</v>
      </c>
    </row>
    <row r="5196">
      <c r="A5196" s="3">
        <v>172706.0</v>
      </c>
      <c r="B5196" s="3" t="s">
        <v>5223</v>
      </c>
      <c r="C5196" s="3" t="s">
        <v>8</v>
      </c>
      <c r="D5196" s="3">
        <v>290.0</v>
      </c>
      <c r="E5196" s="3">
        <v>2.7</v>
      </c>
      <c r="F5196" s="3">
        <v>5.4</v>
      </c>
      <c r="G5196" s="3">
        <v>61.0</v>
      </c>
    </row>
    <row r="5197">
      <c r="A5197" s="3">
        <v>172707.0</v>
      </c>
      <c r="B5197" s="3" t="s">
        <v>5224</v>
      </c>
      <c r="C5197" s="3" t="s">
        <v>8</v>
      </c>
      <c r="D5197" s="3">
        <v>297.0</v>
      </c>
      <c r="E5197" s="3">
        <v>4.3</v>
      </c>
      <c r="F5197" s="3">
        <v>7.3</v>
      </c>
      <c r="G5197" s="3">
        <v>57.7</v>
      </c>
    </row>
    <row r="5198">
      <c r="A5198" s="3">
        <v>172708.0</v>
      </c>
      <c r="B5198" s="3" t="s">
        <v>5225</v>
      </c>
      <c r="C5198" s="3" t="s">
        <v>8</v>
      </c>
      <c r="D5198" s="3">
        <v>423.0</v>
      </c>
      <c r="E5198" s="3">
        <v>9.5</v>
      </c>
      <c r="F5198" s="3">
        <v>3.9</v>
      </c>
      <c r="G5198" s="3">
        <v>80.9</v>
      </c>
    </row>
    <row r="5199">
      <c r="A5199" s="3">
        <v>172709.0</v>
      </c>
      <c r="B5199" s="3" t="s">
        <v>5226</v>
      </c>
      <c r="C5199" s="3" t="s">
        <v>8</v>
      </c>
      <c r="D5199" s="3">
        <v>357.0</v>
      </c>
      <c r="E5199" s="3">
        <v>12.4</v>
      </c>
      <c r="F5199" s="3">
        <v>5.4</v>
      </c>
      <c r="G5199" s="3">
        <v>57.2</v>
      </c>
    </row>
    <row r="5200">
      <c r="A5200" s="3">
        <v>172710.0</v>
      </c>
      <c r="B5200" s="3" t="s">
        <v>5227</v>
      </c>
      <c r="C5200" s="3" t="s">
        <v>8</v>
      </c>
      <c r="D5200" s="3">
        <v>361.0</v>
      </c>
      <c r="E5200" s="3">
        <v>14.6</v>
      </c>
      <c r="F5200" s="3">
        <v>5.3</v>
      </c>
      <c r="G5200" s="3">
        <v>53.0</v>
      </c>
    </row>
    <row r="5201">
      <c r="A5201" s="3">
        <v>172711.0</v>
      </c>
      <c r="B5201" s="3" t="s">
        <v>5228</v>
      </c>
      <c r="C5201" s="3" t="s">
        <v>8</v>
      </c>
      <c r="D5201" s="3">
        <v>321.0</v>
      </c>
      <c r="E5201" s="3">
        <v>22.5</v>
      </c>
      <c r="F5201" s="3">
        <v>5.5</v>
      </c>
      <c r="G5201" s="3">
        <v>25.5</v>
      </c>
    </row>
    <row r="5202">
      <c r="A5202" s="3">
        <v>172712.0</v>
      </c>
      <c r="B5202" s="3" t="s">
        <v>5229</v>
      </c>
      <c r="C5202" s="3" t="s">
        <v>8</v>
      </c>
      <c r="D5202" s="3">
        <v>274.0</v>
      </c>
      <c r="E5202" s="3">
        <v>12.7</v>
      </c>
      <c r="F5202" s="3">
        <v>5.5</v>
      </c>
      <c r="G5202" s="3">
        <v>35.5</v>
      </c>
    </row>
    <row r="5203">
      <c r="A5203" s="3">
        <v>172713.0</v>
      </c>
      <c r="B5203" s="3" t="s">
        <v>5230</v>
      </c>
      <c r="C5203" s="3" t="s">
        <v>8</v>
      </c>
      <c r="D5203" s="3">
        <v>405.0</v>
      </c>
      <c r="E5203" s="3">
        <v>16.3</v>
      </c>
      <c r="F5203" s="3">
        <v>4.8</v>
      </c>
      <c r="G5203" s="3">
        <v>63.9</v>
      </c>
    </row>
    <row r="5204">
      <c r="A5204" s="3">
        <v>172714.0</v>
      </c>
      <c r="B5204" s="3" t="s">
        <v>5231</v>
      </c>
      <c r="C5204" s="3" t="s">
        <v>8</v>
      </c>
      <c r="D5204" s="3">
        <v>433.0</v>
      </c>
      <c r="E5204" s="3">
        <v>14.2</v>
      </c>
      <c r="F5204" s="3">
        <v>6.6</v>
      </c>
      <c r="G5204" s="3">
        <v>72.7</v>
      </c>
    </row>
    <row r="5205">
      <c r="A5205" s="3">
        <v>172715.0</v>
      </c>
      <c r="B5205" s="3" t="s">
        <v>5232</v>
      </c>
      <c r="C5205" s="3" t="s">
        <v>8</v>
      </c>
      <c r="D5205" s="3">
        <v>451.0</v>
      </c>
      <c r="E5205" s="3">
        <v>17.91</v>
      </c>
      <c r="F5205" s="3">
        <v>5.97</v>
      </c>
      <c r="G5205" s="3">
        <v>67.49</v>
      </c>
    </row>
    <row r="5206">
      <c r="A5206" s="3">
        <v>172716.0</v>
      </c>
      <c r="B5206" s="3" t="s">
        <v>5233</v>
      </c>
      <c r="C5206" s="3" t="s">
        <v>8</v>
      </c>
      <c r="D5206" s="3">
        <v>492.0</v>
      </c>
      <c r="E5206" s="3">
        <v>24.72</v>
      </c>
      <c r="F5206" s="3">
        <v>5.1</v>
      </c>
      <c r="G5206" s="3">
        <v>65.36</v>
      </c>
    </row>
    <row r="5207">
      <c r="A5207" s="3">
        <v>172717.0</v>
      </c>
      <c r="B5207" s="3" t="s">
        <v>5234</v>
      </c>
      <c r="C5207" s="3" t="s">
        <v>8</v>
      </c>
      <c r="D5207" s="3">
        <v>444.0</v>
      </c>
      <c r="E5207" s="3">
        <v>19.77</v>
      </c>
      <c r="F5207" s="3">
        <v>3.63</v>
      </c>
      <c r="G5207" s="3">
        <v>65.75</v>
      </c>
    </row>
    <row r="5208">
      <c r="A5208" s="3">
        <v>172718.0</v>
      </c>
      <c r="B5208" s="3" t="s">
        <v>5235</v>
      </c>
      <c r="C5208" s="3" t="s">
        <v>8</v>
      </c>
      <c r="D5208" s="3">
        <v>464.0</v>
      </c>
      <c r="E5208" s="3">
        <v>19.14</v>
      </c>
      <c r="F5208" s="3">
        <v>5.21</v>
      </c>
      <c r="G5208" s="3">
        <v>71.0</v>
      </c>
    </row>
    <row r="5209">
      <c r="A5209" s="3">
        <v>172719.0</v>
      </c>
      <c r="B5209" s="3" t="s">
        <v>5236</v>
      </c>
      <c r="C5209" s="3" t="s">
        <v>8</v>
      </c>
      <c r="D5209" s="3">
        <v>481.0</v>
      </c>
      <c r="E5209" s="3">
        <v>26.4</v>
      </c>
      <c r="F5209" s="3">
        <v>3.6</v>
      </c>
      <c r="G5209" s="3">
        <v>66.4</v>
      </c>
    </row>
    <row r="5210">
      <c r="A5210" s="3">
        <v>172720.0</v>
      </c>
      <c r="B5210" s="3" t="s">
        <v>5237</v>
      </c>
      <c r="C5210" s="3" t="s">
        <v>8</v>
      </c>
      <c r="D5210" s="3">
        <v>497.0</v>
      </c>
      <c r="E5210" s="3">
        <v>24.52</v>
      </c>
      <c r="F5210" s="3">
        <v>4.33</v>
      </c>
      <c r="G5210" s="3">
        <v>68.2</v>
      </c>
    </row>
    <row r="5211">
      <c r="A5211" s="3">
        <v>172721.0</v>
      </c>
      <c r="B5211" s="3" t="s">
        <v>5238</v>
      </c>
      <c r="C5211" s="3" t="s">
        <v>8</v>
      </c>
      <c r="D5211" s="3">
        <v>348.0</v>
      </c>
      <c r="E5211" s="3">
        <v>7.3</v>
      </c>
      <c r="F5211" s="3">
        <v>3.7</v>
      </c>
      <c r="G5211" s="3">
        <v>70.9</v>
      </c>
    </row>
    <row r="5212">
      <c r="A5212" s="3">
        <v>172722.0</v>
      </c>
      <c r="B5212" s="3" t="s">
        <v>5239</v>
      </c>
      <c r="C5212" s="3" t="s">
        <v>8</v>
      </c>
      <c r="D5212" s="3">
        <v>378.0</v>
      </c>
      <c r="E5212" s="3">
        <v>2.7</v>
      </c>
      <c r="F5212" s="3">
        <v>4.2</v>
      </c>
      <c r="G5212" s="3">
        <v>84.0</v>
      </c>
    </row>
    <row r="5213">
      <c r="A5213" s="3">
        <v>172723.0</v>
      </c>
      <c r="B5213" s="3" t="s">
        <v>5240</v>
      </c>
      <c r="C5213" s="3" t="s">
        <v>8</v>
      </c>
      <c r="D5213" s="3">
        <v>421.0</v>
      </c>
      <c r="E5213" s="3">
        <v>16.9</v>
      </c>
      <c r="F5213" s="3">
        <v>4.0</v>
      </c>
      <c r="G5213" s="3">
        <v>67.7</v>
      </c>
    </row>
    <row r="5214">
      <c r="A5214" s="3">
        <v>172724.0</v>
      </c>
      <c r="B5214" s="3" t="s">
        <v>5241</v>
      </c>
      <c r="C5214" s="3" t="s">
        <v>8</v>
      </c>
      <c r="D5214" s="3">
        <v>430.0</v>
      </c>
      <c r="E5214" s="3">
        <v>12.8</v>
      </c>
      <c r="F5214" s="3">
        <v>5.6</v>
      </c>
      <c r="G5214" s="3">
        <v>73.8</v>
      </c>
    </row>
    <row r="5215">
      <c r="A5215" s="3">
        <v>172725.0</v>
      </c>
      <c r="B5215" s="3" t="s">
        <v>5242</v>
      </c>
      <c r="C5215" s="3" t="s">
        <v>8</v>
      </c>
      <c r="D5215" s="3">
        <v>450.0</v>
      </c>
      <c r="E5215" s="3">
        <v>18.1</v>
      </c>
      <c r="F5215" s="3">
        <v>6.2</v>
      </c>
      <c r="G5215" s="3">
        <v>68.7</v>
      </c>
    </row>
    <row r="5216">
      <c r="A5216" s="3">
        <v>172726.0</v>
      </c>
      <c r="B5216" s="3" t="s">
        <v>5243</v>
      </c>
      <c r="C5216" s="3" t="s">
        <v>8</v>
      </c>
      <c r="D5216" s="3">
        <v>409.0</v>
      </c>
      <c r="E5216" s="3">
        <v>14.7</v>
      </c>
      <c r="F5216" s="3">
        <v>6.1</v>
      </c>
      <c r="G5216" s="3">
        <v>65.7</v>
      </c>
    </row>
    <row r="5217">
      <c r="A5217" s="3">
        <v>172727.0</v>
      </c>
      <c r="B5217" s="3" t="s">
        <v>5244</v>
      </c>
      <c r="C5217" s="3" t="s">
        <v>8</v>
      </c>
      <c r="D5217" s="3">
        <v>473.0</v>
      </c>
      <c r="E5217" s="3">
        <v>23.82</v>
      </c>
      <c r="F5217" s="3">
        <v>8.92</v>
      </c>
      <c r="G5217" s="3">
        <v>58.15</v>
      </c>
    </row>
    <row r="5218">
      <c r="A5218" s="3">
        <v>172728.0</v>
      </c>
      <c r="B5218" s="3" t="s">
        <v>5245</v>
      </c>
      <c r="C5218" s="3" t="s">
        <v>8</v>
      </c>
      <c r="D5218" s="3">
        <v>457.0</v>
      </c>
      <c r="E5218" s="3">
        <v>24.4</v>
      </c>
      <c r="F5218" s="3">
        <v>5.3</v>
      </c>
      <c r="G5218" s="3">
        <v>57.7</v>
      </c>
    </row>
    <row r="5219">
      <c r="A5219" s="3">
        <v>172729.0</v>
      </c>
      <c r="B5219" s="3" t="s">
        <v>5246</v>
      </c>
      <c r="C5219" s="3" t="s">
        <v>8</v>
      </c>
      <c r="D5219" s="3">
        <v>458.0</v>
      </c>
      <c r="E5219" s="3">
        <v>25.0</v>
      </c>
      <c r="F5219" s="3">
        <v>8.2</v>
      </c>
      <c r="G5219" s="3">
        <v>52.1</v>
      </c>
    </row>
    <row r="5220">
      <c r="A5220" s="3">
        <v>172730.0</v>
      </c>
      <c r="B5220" s="3" t="s">
        <v>5247</v>
      </c>
      <c r="C5220" s="3" t="s">
        <v>8</v>
      </c>
      <c r="D5220" s="3">
        <v>503.0</v>
      </c>
      <c r="E5220" s="3">
        <v>27.5</v>
      </c>
      <c r="F5220" s="3">
        <v>9.1</v>
      </c>
      <c r="G5220" s="3">
        <v>57.3</v>
      </c>
    </row>
    <row r="5221">
      <c r="A5221" s="3">
        <v>172731.0</v>
      </c>
      <c r="B5221" s="3" t="s">
        <v>5248</v>
      </c>
      <c r="C5221" s="3" t="s">
        <v>8</v>
      </c>
      <c r="D5221" s="3">
        <v>426.0</v>
      </c>
      <c r="E5221" s="3">
        <v>12.5</v>
      </c>
      <c r="F5221" s="3">
        <v>2.9</v>
      </c>
      <c r="G5221" s="3">
        <v>80.4</v>
      </c>
    </row>
    <row r="5222">
      <c r="A5222" s="3">
        <v>172732.0</v>
      </c>
      <c r="B5222" s="3" t="s">
        <v>5249</v>
      </c>
      <c r="C5222" s="3" t="s">
        <v>8</v>
      </c>
      <c r="D5222" s="3">
        <v>450.0</v>
      </c>
      <c r="E5222" s="3">
        <v>16.8</v>
      </c>
      <c r="F5222" s="3">
        <v>3.9</v>
      </c>
      <c r="G5222" s="3">
        <v>73.4</v>
      </c>
    </row>
    <row r="5223">
      <c r="A5223" s="3">
        <v>172733.0</v>
      </c>
      <c r="B5223" s="3" t="s">
        <v>5250</v>
      </c>
      <c r="C5223" s="3" t="s">
        <v>8</v>
      </c>
      <c r="D5223" s="3">
        <v>461.0</v>
      </c>
      <c r="E5223" s="3">
        <v>22.1</v>
      </c>
      <c r="F5223" s="3">
        <v>4.5</v>
      </c>
      <c r="G5223" s="3">
        <v>68.0</v>
      </c>
    </row>
    <row r="5224">
      <c r="A5224" s="3">
        <v>172734.0</v>
      </c>
      <c r="B5224" s="3" t="s">
        <v>5251</v>
      </c>
      <c r="C5224" s="3" t="s">
        <v>8</v>
      </c>
      <c r="D5224" s="3">
        <v>449.0</v>
      </c>
      <c r="E5224" s="3">
        <v>18.0</v>
      </c>
      <c r="F5224" s="3">
        <v>4.8</v>
      </c>
      <c r="G5224" s="3">
        <v>69.9</v>
      </c>
    </row>
    <row r="5225">
      <c r="A5225" s="3">
        <v>172735.0</v>
      </c>
      <c r="B5225" s="3" t="s">
        <v>5252</v>
      </c>
      <c r="C5225" s="3" t="s">
        <v>8</v>
      </c>
      <c r="D5225" s="3">
        <v>489.0</v>
      </c>
      <c r="E5225" s="3">
        <v>23.1</v>
      </c>
      <c r="F5225" s="3">
        <v>4.7</v>
      </c>
      <c r="G5225" s="3">
        <v>65.6</v>
      </c>
    </row>
    <row r="5226">
      <c r="A5226" s="3">
        <v>172736.0</v>
      </c>
      <c r="B5226" s="3" t="s">
        <v>5253</v>
      </c>
      <c r="C5226" s="3" t="s">
        <v>8</v>
      </c>
      <c r="D5226" s="3">
        <v>502.0</v>
      </c>
      <c r="E5226" s="3">
        <v>23.24</v>
      </c>
      <c r="F5226" s="3">
        <v>3.84</v>
      </c>
      <c r="G5226" s="3">
        <v>70.64</v>
      </c>
    </row>
    <row r="5227">
      <c r="A5227" s="3">
        <v>172737.0</v>
      </c>
      <c r="B5227" s="3" t="s">
        <v>5254</v>
      </c>
      <c r="C5227" s="3" t="s">
        <v>8</v>
      </c>
      <c r="D5227" s="3">
        <v>483.0</v>
      </c>
      <c r="E5227" s="3">
        <v>20.0</v>
      </c>
      <c r="F5227" s="3">
        <v>4.5</v>
      </c>
      <c r="G5227" s="3">
        <v>72.1</v>
      </c>
    </row>
    <row r="5228">
      <c r="A5228" s="3">
        <v>172738.0</v>
      </c>
      <c r="B5228" s="3" t="s">
        <v>5255</v>
      </c>
      <c r="C5228" s="3" t="s">
        <v>8</v>
      </c>
      <c r="D5228" s="3">
        <v>558.0</v>
      </c>
      <c r="E5228" s="3">
        <v>38.5</v>
      </c>
      <c r="F5228" s="3">
        <v>7.4</v>
      </c>
      <c r="G5228" s="3">
        <v>45.7</v>
      </c>
    </row>
    <row r="5229">
      <c r="A5229" s="3">
        <v>172739.0</v>
      </c>
      <c r="B5229" s="3" t="s">
        <v>5256</v>
      </c>
      <c r="C5229" s="3" t="s">
        <v>8</v>
      </c>
      <c r="D5229" s="3">
        <v>366.0</v>
      </c>
      <c r="E5229" s="3">
        <v>1.3</v>
      </c>
      <c r="F5229" s="3">
        <v>7.9</v>
      </c>
      <c r="G5229" s="3">
        <v>82.2</v>
      </c>
    </row>
    <row r="5230">
      <c r="A5230" s="3">
        <v>172740.0</v>
      </c>
      <c r="B5230" s="3" t="s">
        <v>5257</v>
      </c>
      <c r="C5230" s="3" t="s">
        <v>8</v>
      </c>
      <c r="D5230" s="3">
        <v>395.0</v>
      </c>
      <c r="E5230" s="3">
        <v>1.4</v>
      </c>
      <c r="F5230" s="3">
        <v>10.0</v>
      </c>
      <c r="G5230" s="3">
        <v>83.7</v>
      </c>
    </row>
    <row r="5231">
      <c r="A5231" s="3">
        <v>172741.0</v>
      </c>
      <c r="B5231" s="3" t="s">
        <v>5258</v>
      </c>
      <c r="C5231" s="3" t="s">
        <v>8</v>
      </c>
      <c r="D5231" s="3">
        <v>391.0</v>
      </c>
      <c r="E5231" s="3">
        <v>2.1</v>
      </c>
      <c r="F5231" s="3">
        <v>12.3</v>
      </c>
      <c r="G5231" s="3">
        <v>78.6</v>
      </c>
    </row>
    <row r="5232">
      <c r="A5232" s="3">
        <v>172742.0</v>
      </c>
      <c r="B5232" s="3" t="s">
        <v>5259</v>
      </c>
      <c r="C5232" s="3" t="s">
        <v>8</v>
      </c>
      <c r="D5232" s="3">
        <v>351.0</v>
      </c>
      <c r="E5232" s="3">
        <v>1.5</v>
      </c>
      <c r="F5232" s="3">
        <v>13.1</v>
      </c>
      <c r="G5232" s="3">
        <v>78.9</v>
      </c>
    </row>
    <row r="5233">
      <c r="A5233" s="3">
        <v>172743.0</v>
      </c>
      <c r="B5233" s="3" t="s">
        <v>5260</v>
      </c>
      <c r="C5233" s="3" t="s">
        <v>8</v>
      </c>
      <c r="D5233" s="3">
        <v>481.0</v>
      </c>
      <c r="E5233" s="3">
        <v>22.3</v>
      </c>
      <c r="F5233" s="3">
        <v>9.2</v>
      </c>
      <c r="G5233" s="3">
        <v>60.8</v>
      </c>
    </row>
    <row r="5234">
      <c r="A5234" s="3">
        <v>172744.0</v>
      </c>
      <c r="B5234" s="3" t="s">
        <v>5261</v>
      </c>
      <c r="C5234" s="3" t="s">
        <v>8</v>
      </c>
      <c r="D5234" s="3">
        <v>334.0</v>
      </c>
      <c r="E5234" s="3">
        <v>0.9</v>
      </c>
      <c r="F5234" s="3">
        <v>9.6</v>
      </c>
      <c r="G5234" s="3">
        <v>80.4</v>
      </c>
    </row>
    <row r="5235">
      <c r="A5235" s="3">
        <v>172745.0</v>
      </c>
      <c r="B5235" s="3" t="s">
        <v>5262</v>
      </c>
      <c r="C5235" s="3" t="s">
        <v>8</v>
      </c>
      <c r="D5235" s="3">
        <v>381.0</v>
      </c>
      <c r="E5235" s="3">
        <v>9.2</v>
      </c>
      <c r="F5235" s="3">
        <v>9.0</v>
      </c>
      <c r="G5235" s="3">
        <v>73.8</v>
      </c>
    </row>
    <row r="5236">
      <c r="A5236" s="3">
        <v>172746.0</v>
      </c>
      <c r="B5236" s="3" t="s">
        <v>5263</v>
      </c>
      <c r="C5236" s="3" t="s">
        <v>8</v>
      </c>
      <c r="D5236" s="3">
        <v>418.0</v>
      </c>
      <c r="E5236" s="3">
        <v>8.64</v>
      </c>
      <c r="F5236" s="3">
        <v>9.46</v>
      </c>
      <c r="G5236" s="3">
        <v>74.05</v>
      </c>
    </row>
    <row r="5237">
      <c r="A5237" s="3">
        <v>172747.0</v>
      </c>
      <c r="B5237" s="3" t="s">
        <v>5264</v>
      </c>
      <c r="C5237" s="3" t="s">
        <v>8</v>
      </c>
      <c r="D5237" s="3">
        <v>497.0</v>
      </c>
      <c r="E5237" s="3">
        <v>25.0</v>
      </c>
      <c r="F5237" s="3">
        <v>9.8</v>
      </c>
      <c r="G5237" s="3">
        <v>58.2</v>
      </c>
    </row>
    <row r="5238">
      <c r="A5238" s="3">
        <v>172748.0</v>
      </c>
      <c r="B5238" s="3" t="s">
        <v>5265</v>
      </c>
      <c r="C5238" s="3" t="s">
        <v>8</v>
      </c>
      <c r="D5238" s="3">
        <v>495.0</v>
      </c>
      <c r="E5238" s="3">
        <v>26.7</v>
      </c>
      <c r="F5238" s="3">
        <v>13.5</v>
      </c>
      <c r="G5238" s="3">
        <v>53.8</v>
      </c>
    </row>
    <row r="5239">
      <c r="A5239" s="3">
        <v>172749.0</v>
      </c>
      <c r="B5239" s="3" t="s">
        <v>5266</v>
      </c>
      <c r="C5239" s="3" t="s">
        <v>8</v>
      </c>
      <c r="D5239" s="3">
        <v>427.0</v>
      </c>
      <c r="E5239" s="3">
        <v>14.13</v>
      </c>
      <c r="F5239" s="3">
        <v>10.58</v>
      </c>
      <c r="G5239" s="3">
        <v>69.55</v>
      </c>
    </row>
    <row r="5240">
      <c r="A5240" s="3">
        <v>172750.0</v>
      </c>
      <c r="B5240" s="3" t="s">
        <v>5267</v>
      </c>
      <c r="C5240" s="3" t="s">
        <v>8</v>
      </c>
      <c r="D5240" s="3">
        <v>383.0</v>
      </c>
      <c r="E5240" s="3">
        <v>1.7</v>
      </c>
      <c r="F5240" s="3">
        <v>9.3</v>
      </c>
      <c r="G5240" s="3">
        <v>80.9</v>
      </c>
    </row>
    <row r="5241">
      <c r="A5241" s="3">
        <v>172751.0</v>
      </c>
      <c r="B5241" s="3" t="s">
        <v>5268</v>
      </c>
      <c r="C5241" s="3" t="s">
        <v>8</v>
      </c>
      <c r="D5241" s="3">
        <v>407.0</v>
      </c>
      <c r="E5241" s="3">
        <v>6.6</v>
      </c>
      <c r="F5241" s="3">
        <v>11.9</v>
      </c>
      <c r="G5241" s="3">
        <v>73.5</v>
      </c>
    </row>
    <row r="5242">
      <c r="A5242" s="3">
        <v>172752.0</v>
      </c>
      <c r="B5242" s="3" t="s">
        <v>5269</v>
      </c>
      <c r="C5242" s="3" t="s">
        <v>8</v>
      </c>
      <c r="D5242" s="3">
        <v>465.0</v>
      </c>
      <c r="E5242" s="3">
        <v>18.3</v>
      </c>
      <c r="F5242" s="3">
        <v>10.8</v>
      </c>
      <c r="G5242" s="3">
        <v>63.5</v>
      </c>
    </row>
    <row r="5243">
      <c r="A5243" s="3">
        <v>172753.0</v>
      </c>
      <c r="B5243" s="3" t="s">
        <v>5270</v>
      </c>
      <c r="C5243" s="3" t="s">
        <v>8</v>
      </c>
      <c r="D5243" s="3">
        <v>403.0</v>
      </c>
      <c r="E5243" s="3">
        <v>22.4</v>
      </c>
      <c r="F5243" s="3">
        <v>7.0</v>
      </c>
      <c r="G5243" s="3">
        <v>44.6</v>
      </c>
    </row>
    <row r="5244">
      <c r="A5244" s="3">
        <v>172754.0</v>
      </c>
      <c r="B5244" s="3" t="s">
        <v>5271</v>
      </c>
      <c r="C5244" s="3" t="s">
        <v>8</v>
      </c>
      <c r="D5244" s="3">
        <v>374.0</v>
      </c>
      <c r="E5244" s="3">
        <v>21.9</v>
      </c>
      <c r="F5244" s="3">
        <v>8.0</v>
      </c>
      <c r="G5244" s="3">
        <v>37.2</v>
      </c>
    </row>
    <row r="5245">
      <c r="A5245" s="3">
        <v>172755.0</v>
      </c>
      <c r="B5245" s="3" t="s">
        <v>5272</v>
      </c>
      <c r="C5245" s="3" t="s">
        <v>8</v>
      </c>
      <c r="D5245" s="3">
        <v>371.0</v>
      </c>
      <c r="E5245" s="3">
        <v>18.5</v>
      </c>
      <c r="F5245" s="3">
        <v>5.4</v>
      </c>
      <c r="G5245" s="3">
        <v>47.8</v>
      </c>
    </row>
    <row r="5246">
      <c r="A5246" s="3">
        <v>172756.0</v>
      </c>
      <c r="B5246" s="3" t="s">
        <v>5273</v>
      </c>
      <c r="C5246" s="3" t="s">
        <v>8</v>
      </c>
      <c r="D5246" s="3">
        <v>412.0</v>
      </c>
      <c r="E5246" s="3">
        <v>18.3</v>
      </c>
      <c r="F5246" s="3">
        <v>3.1</v>
      </c>
      <c r="G5246" s="3">
        <v>59.5</v>
      </c>
    </row>
    <row r="5247">
      <c r="A5247" s="3">
        <v>172757.0</v>
      </c>
      <c r="B5247" s="3" t="s">
        <v>5274</v>
      </c>
      <c r="C5247" s="3" t="s">
        <v>8</v>
      </c>
      <c r="D5247" s="3">
        <v>361.0</v>
      </c>
      <c r="E5247" s="3">
        <v>24.5</v>
      </c>
      <c r="F5247" s="3">
        <v>6.4</v>
      </c>
      <c r="G5247" s="3">
        <v>30.0</v>
      </c>
    </row>
    <row r="5248">
      <c r="A5248" s="3">
        <v>172758.0</v>
      </c>
      <c r="B5248" s="3" t="s">
        <v>5275</v>
      </c>
      <c r="C5248" s="3" t="s">
        <v>8</v>
      </c>
      <c r="D5248" s="3">
        <v>421.0</v>
      </c>
      <c r="E5248" s="3">
        <v>22.7</v>
      </c>
      <c r="F5248" s="3">
        <v>6.14</v>
      </c>
      <c r="G5248" s="3">
        <v>47.93</v>
      </c>
    </row>
    <row r="5249">
      <c r="A5249" s="3">
        <v>172759.0</v>
      </c>
      <c r="B5249" s="3" t="s">
        <v>5276</v>
      </c>
      <c r="C5249" s="3" t="s">
        <v>8</v>
      </c>
      <c r="D5249" s="3">
        <v>340.0</v>
      </c>
      <c r="E5249" s="3">
        <v>18.7</v>
      </c>
      <c r="F5249" s="3">
        <v>5.9</v>
      </c>
      <c r="G5249" s="3">
        <v>39.0</v>
      </c>
    </row>
    <row r="5250">
      <c r="A5250" s="3">
        <v>172760.0</v>
      </c>
      <c r="B5250" s="3" t="s">
        <v>5277</v>
      </c>
      <c r="C5250" s="3" t="s">
        <v>8</v>
      </c>
      <c r="D5250" s="3">
        <v>276.0</v>
      </c>
      <c r="E5250" s="3">
        <v>2.21</v>
      </c>
      <c r="F5250" s="3">
        <v>8.87</v>
      </c>
      <c r="G5250" s="3">
        <v>55.04</v>
      </c>
    </row>
    <row r="5251">
      <c r="A5251" s="3">
        <v>172761.0</v>
      </c>
      <c r="B5251" s="3" t="s">
        <v>5278</v>
      </c>
      <c r="C5251" s="3" t="s">
        <v>8</v>
      </c>
      <c r="D5251" s="3">
        <v>223.0</v>
      </c>
      <c r="E5251" s="3">
        <v>2.0</v>
      </c>
      <c r="F5251" s="3">
        <v>8.7</v>
      </c>
      <c r="G5251" s="3">
        <v>44.8</v>
      </c>
    </row>
    <row r="5252">
      <c r="A5252" s="3">
        <v>172762.0</v>
      </c>
      <c r="B5252" s="3" t="s">
        <v>5279</v>
      </c>
      <c r="C5252" s="3" t="s">
        <v>8</v>
      </c>
      <c r="D5252" s="3">
        <v>203.0</v>
      </c>
      <c r="E5252" s="3">
        <v>2.1</v>
      </c>
      <c r="F5252" s="3">
        <v>8.8</v>
      </c>
      <c r="G5252" s="3">
        <v>40.4</v>
      </c>
    </row>
    <row r="5253">
      <c r="A5253" s="3">
        <v>172763.0</v>
      </c>
      <c r="B5253" s="3" t="s">
        <v>5280</v>
      </c>
      <c r="C5253" s="3" t="s">
        <v>8</v>
      </c>
      <c r="D5253" s="3">
        <v>213.0</v>
      </c>
      <c r="E5253" s="3">
        <v>6.1</v>
      </c>
      <c r="F5253" s="3">
        <v>7.4</v>
      </c>
      <c r="G5253" s="3">
        <v>32.1</v>
      </c>
    </row>
    <row r="5254">
      <c r="A5254" s="3">
        <v>172764.0</v>
      </c>
      <c r="B5254" s="3" t="s">
        <v>5281</v>
      </c>
      <c r="C5254" s="3" t="s">
        <v>8</v>
      </c>
      <c r="D5254" s="3">
        <v>296.0</v>
      </c>
      <c r="E5254" s="3">
        <v>11.4</v>
      </c>
      <c r="F5254" s="3">
        <v>6.9</v>
      </c>
      <c r="G5254" s="3">
        <v>41.4</v>
      </c>
    </row>
    <row r="5255">
      <c r="A5255" s="3">
        <v>172765.0</v>
      </c>
      <c r="B5255" s="3" t="s">
        <v>5282</v>
      </c>
      <c r="C5255" s="3" t="s">
        <v>8</v>
      </c>
      <c r="D5255" s="3">
        <v>375.0</v>
      </c>
      <c r="E5255" s="3">
        <v>16.07</v>
      </c>
      <c r="F5255" s="3">
        <v>4.49</v>
      </c>
      <c r="G5255" s="3">
        <v>53.0</v>
      </c>
    </row>
    <row r="5256">
      <c r="A5256" s="3">
        <v>172766.0</v>
      </c>
      <c r="B5256" s="3" t="s">
        <v>5283</v>
      </c>
      <c r="C5256" s="3" t="s">
        <v>8</v>
      </c>
      <c r="D5256" s="3">
        <v>293.0</v>
      </c>
      <c r="E5256" s="3">
        <v>3.25</v>
      </c>
      <c r="F5256" s="3">
        <v>3.48</v>
      </c>
      <c r="G5256" s="3">
        <v>61.0</v>
      </c>
    </row>
    <row r="5257">
      <c r="A5257" s="3">
        <v>172767.0</v>
      </c>
      <c r="B5257" s="3" t="s">
        <v>5284</v>
      </c>
      <c r="C5257" s="3" t="s">
        <v>8</v>
      </c>
      <c r="D5257" s="3">
        <v>313.0</v>
      </c>
      <c r="E5257" s="3">
        <v>9.5</v>
      </c>
      <c r="F5257" s="3">
        <v>4.6</v>
      </c>
      <c r="G5257" s="3">
        <v>53.3</v>
      </c>
    </row>
    <row r="5258">
      <c r="A5258" s="3">
        <v>172768.0</v>
      </c>
      <c r="B5258" s="3" t="s">
        <v>5285</v>
      </c>
      <c r="C5258" s="3" t="s">
        <v>8</v>
      </c>
      <c r="D5258" s="3">
        <v>285.0</v>
      </c>
      <c r="E5258" s="3">
        <v>10.8</v>
      </c>
      <c r="F5258" s="3">
        <v>6.5</v>
      </c>
      <c r="G5258" s="3">
        <v>40.7</v>
      </c>
    </row>
    <row r="5259">
      <c r="A5259" s="3">
        <v>172769.0</v>
      </c>
      <c r="B5259" s="3" t="s">
        <v>5286</v>
      </c>
      <c r="C5259" s="3" t="s">
        <v>8</v>
      </c>
      <c r="D5259" s="3">
        <v>270.0</v>
      </c>
      <c r="E5259" s="3">
        <v>7.4</v>
      </c>
      <c r="F5259" s="3">
        <v>7.0</v>
      </c>
      <c r="G5259" s="3">
        <v>48.3</v>
      </c>
    </row>
    <row r="5260">
      <c r="A5260" s="3">
        <v>172770.0</v>
      </c>
      <c r="B5260" s="3" t="s">
        <v>5287</v>
      </c>
      <c r="C5260" s="3" t="s">
        <v>8</v>
      </c>
      <c r="D5260" s="3">
        <v>396.0</v>
      </c>
      <c r="E5260" s="3">
        <v>12.0</v>
      </c>
      <c r="F5260" s="3">
        <v>7.1</v>
      </c>
      <c r="G5260" s="3">
        <v>73.0</v>
      </c>
    </row>
    <row r="5261">
      <c r="A5261" s="3">
        <v>172771.0</v>
      </c>
      <c r="B5261" s="3" t="s">
        <v>5288</v>
      </c>
      <c r="C5261" s="3" t="s">
        <v>8</v>
      </c>
      <c r="D5261" s="3">
        <v>233.0</v>
      </c>
      <c r="E5261" s="3">
        <v>6.83</v>
      </c>
      <c r="F5261" s="3">
        <v>5.23</v>
      </c>
      <c r="G5261" s="3">
        <v>37.75</v>
      </c>
    </row>
    <row r="5262">
      <c r="A5262" s="3">
        <v>172772.0</v>
      </c>
      <c r="B5262" s="3" t="s">
        <v>5289</v>
      </c>
      <c r="C5262" s="3" t="s">
        <v>8</v>
      </c>
      <c r="D5262" s="3">
        <v>368.0</v>
      </c>
      <c r="E5262" s="3">
        <v>3.1</v>
      </c>
      <c r="F5262" s="3">
        <v>9.77</v>
      </c>
      <c r="G5262" s="3">
        <v>73.65</v>
      </c>
    </row>
    <row r="5263">
      <c r="A5263" s="3">
        <v>172773.0</v>
      </c>
      <c r="B5263" s="3" t="s">
        <v>5290</v>
      </c>
      <c r="C5263" s="3" t="s">
        <v>8</v>
      </c>
      <c r="D5263" s="3">
        <v>222.0</v>
      </c>
      <c r="E5263" s="3">
        <v>9.2</v>
      </c>
      <c r="F5263" s="3">
        <v>6.1</v>
      </c>
      <c r="G5263" s="3">
        <v>29.0</v>
      </c>
    </row>
    <row r="5264">
      <c r="A5264" s="3">
        <v>172774.0</v>
      </c>
      <c r="B5264" s="3" t="s">
        <v>5291</v>
      </c>
      <c r="C5264" s="3" t="s">
        <v>8</v>
      </c>
      <c r="D5264" s="3">
        <v>340.0</v>
      </c>
      <c r="E5264" s="3">
        <v>2.7</v>
      </c>
      <c r="F5264" s="3">
        <v>10.9</v>
      </c>
      <c r="G5264" s="3">
        <v>71.3</v>
      </c>
    </row>
    <row r="5265">
      <c r="A5265" s="3">
        <v>172775.0</v>
      </c>
      <c r="B5265" s="3" t="s">
        <v>5292</v>
      </c>
      <c r="C5265" s="3" t="s">
        <v>8</v>
      </c>
      <c r="D5265" s="3">
        <v>349.0</v>
      </c>
      <c r="E5265" s="3">
        <v>1.4</v>
      </c>
      <c r="F5265" s="3">
        <v>8.9</v>
      </c>
      <c r="G5265" s="3">
        <v>73.9</v>
      </c>
    </row>
    <row r="5266">
      <c r="A5266" s="3">
        <v>172776.0</v>
      </c>
      <c r="B5266" s="3" t="s">
        <v>5293</v>
      </c>
      <c r="C5266" s="3" t="s">
        <v>8</v>
      </c>
      <c r="D5266" s="3">
        <v>344.0</v>
      </c>
      <c r="E5266" s="3">
        <v>1.5</v>
      </c>
      <c r="F5266" s="3">
        <v>12.8</v>
      </c>
      <c r="G5266" s="3">
        <v>71.0</v>
      </c>
    </row>
    <row r="5267">
      <c r="A5267" s="3">
        <v>172777.0</v>
      </c>
      <c r="B5267" s="3" t="s">
        <v>5294</v>
      </c>
      <c r="C5267" s="3" t="s">
        <v>8</v>
      </c>
      <c r="D5267" s="3">
        <v>269.0</v>
      </c>
      <c r="E5267" s="3">
        <v>13.6</v>
      </c>
      <c r="F5267" s="3">
        <v>4.4</v>
      </c>
      <c r="G5267" s="3">
        <v>32.9</v>
      </c>
    </row>
    <row r="5268">
      <c r="A5268" s="3">
        <v>172778.0</v>
      </c>
      <c r="B5268" s="3" t="s">
        <v>5295</v>
      </c>
      <c r="C5268" s="3" t="s">
        <v>8</v>
      </c>
      <c r="D5268" s="3">
        <v>232.0</v>
      </c>
      <c r="E5268" s="3">
        <v>10.0</v>
      </c>
      <c r="F5268" s="3">
        <v>1.8</v>
      </c>
      <c r="G5268" s="3">
        <v>34.9</v>
      </c>
    </row>
    <row r="5269">
      <c r="A5269" s="3">
        <v>172779.0</v>
      </c>
      <c r="B5269" s="3" t="s">
        <v>5296</v>
      </c>
      <c r="C5269" s="3" t="s">
        <v>8</v>
      </c>
      <c r="D5269" s="3">
        <v>245.0</v>
      </c>
      <c r="E5269" s="3">
        <v>11.9</v>
      </c>
      <c r="F5269" s="3">
        <v>2.7</v>
      </c>
      <c r="G5269" s="3">
        <v>33.5</v>
      </c>
    </row>
    <row r="5270">
      <c r="A5270" s="3">
        <v>172780.0</v>
      </c>
      <c r="B5270" s="3" t="s">
        <v>5297</v>
      </c>
      <c r="C5270" s="3" t="s">
        <v>8</v>
      </c>
      <c r="D5270" s="3">
        <v>260.0</v>
      </c>
      <c r="E5270" s="3">
        <v>11.0</v>
      </c>
      <c r="F5270" s="3">
        <v>2.0</v>
      </c>
      <c r="G5270" s="3">
        <v>39.8</v>
      </c>
    </row>
    <row r="5271">
      <c r="A5271" s="3">
        <v>172781.0</v>
      </c>
      <c r="B5271" s="3" t="s">
        <v>5298</v>
      </c>
      <c r="C5271" s="3" t="s">
        <v>8</v>
      </c>
      <c r="D5271" s="3">
        <v>270.0</v>
      </c>
      <c r="E5271" s="3">
        <v>12.2</v>
      </c>
      <c r="F5271" s="3">
        <v>2.8</v>
      </c>
      <c r="G5271" s="3">
        <v>38.5</v>
      </c>
    </row>
    <row r="5272">
      <c r="A5272" s="3">
        <v>172782.0</v>
      </c>
      <c r="B5272" s="3" t="s">
        <v>5299</v>
      </c>
      <c r="C5272" s="3" t="s">
        <v>8</v>
      </c>
      <c r="D5272" s="3">
        <v>260.0</v>
      </c>
      <c r="E5272" s="3">
        <v>13.2</v>
      </c>
      <c r="F5272" s="3">
        <v>5.9</v>
      </c>
      <c r="G5272" s="3">
        <v>30.2</v>
      </c>
    </row>
    <row r="5273">
      <c r="A5273" s="3">
        <v>172783.0</v>
      </c>
      <c r="B5273" s="3" t="s">
        <v>5300</v>
      </c>
      <c r="C5273" s="3" t="s">
        <v>8</v>
      </c>
      <c r="D5273" s="3">
        <v>210.0</v>
      </c>
      <c r="E5273" s="3">
        <v>11.6</v>
      </c>
      <c r="F5273" s="3">
        <v>5.5</v>
      </c>
      <c r="G5273" s="3">
        <v>20.8</v>
      </c>
    </row>
    <row r="5274">
      <c r="A5274" s="3">
        <v>172784.0</v>
      </c>
      <c r="B5274" s="3" t="s">
        <v>5301</v>
      </c>
      <c r="C5274" s="3" t="s">
        <v>8</v>
      </c>
      <c r="D5274" s="3">
        <v>316.0</v>
      </c>
      <c r="E5274" s="3">
        <v>16.1</v>
      </c>
      <c r="F5274" s="3">
        <v>3.0</v>
      </c>
      <c r="G5274" s="3">
        <v>42.6</v>
      </c>
    </row>
    <row r="5275">
      <c r="A5275" s="3">
        <v>172785.0</v>
      </c>
      <c r="B5275" s="3" t="s">
        <v>5302</v>
      </c>
      <c r="C5275" s="3" t="s">
        <v>8</v>
      </c>
      <c r="D5275" s="3">
        <v>268.0</v>
      </c>
      <c r="E5275" s="3">
        <v>8.7</v>
      </c>
      <c r="F5275" s="3">
        <v>1.5</v>
      </c>
      <c r="G5275" s="3">
        <v>47.2</v>
      </c>
    </row>
    <row r="5276">
      <c r="A5276" s="3">
        <v>172786.0</v>
      </c>
      <c r="B5276" s="3" t="s">
        <v>5303</v>
      </c>
      <c r="C5276" s="3" t="s">
        <v>8</v>
      </c>
      <c r="D5276" s="3">
        <v>412.0</v>
      </c>
      <c r="E5276" s="3">
        <v>22.2</v>
      </c>
      <c r="F5276" s="3">
        <v>4.9</v>
      </c>
      <c r="G5276" s="3">
        <v>52.2</v>
      </c>
    </row>
    <row r="5277">
      <c r="A5277" s="3">
        <v>172787.0</v>
      </c>
      <c r="B5277" s="3" t="s">
        <v>5304</v>
      </c>
      <c r="C5277" s="3" t="s">
        <v>8</v>
      </c>
      <c r="D5277" s="3">
        <v>243.0</v>
      </c>
      <c r="E5277" s="3">
        <v>9.75</v>
      </c>
      <c r="F5277" s="3">
        <v>3.9</v>
      </c>
      <c r="G5277" s="3">
        <v>34.83</v>
      </c>
    </row>
    <row r="5278">
      <c r="A5278" s="3">
        <v>172788.0</v>
      </c>
      <c r="B5278" s="3" t="s">
        <v>5305</v>
      </c>
      <c r="C5278" s="3" t="s">
        <v>8</v>
      </c>
      <c r="D5278" s="3">
        <v>204.0</v>
      </c>
      <c r="E5278" s="3">
        <v>9.3</v>
      </c>
      <c r="F5278" s="3">
        <v>4.5</v>
      </c>
      <c r="G5278" s="3">
        <v>26.4</v>
      </c>
    </row>
    <row r="5279">
      <c r="A5279" s="3">
        <v>172789.0</v>
      </c>
      <c r="B5279" s="3" t="s">
        <v>5306</v>
      </c>
      <c r="C5279" s="3" t="s">
        <v>8</v>
      </c>
      <c r="D5279" s="3">
        <v>278.0</v>
      </c>
      <c r="E5279" s="3">
        <v>14.4</v>
      </c>
      <c r="F5279" s="3">
        <v>4.8</v>
      </c>
      <c r="G5279" s="3">
        <v>32.6</v>
      </c>
    </row>
    <row r="5280">
      <c r="A5280" s="3">
        <v>172790.0</v>
      </c>
      <c r="B5280" s="3" t="s">
        <v>5307</v>
      </c>
      <c r="C5280" s="3" t="s">
        <v>8</v>
      </c>
      <c r="D5280" s="3">
        <v>551.0</v>
      </c>
      <c r="E5280" s="3">
        <v>38.1</v>
      </c>
      <c r="F5280" s="3">
        <v>7.3</v>
      </c>
      <c r="G5280" s="3">
        <v>45.1</v>
      </c>
    </row>
    <row r="5281">
      <c r="A5281" s="3">
        <v>172791.0</v>
      </c>
      <c r="B5281" s="3" t="s">
        <v>5308</v>
      </c>
      <c r="C5281" s="3" t="s">
        <v>8</v>
      </c>
      <c r="D5281" s="3">
        <v>299.0</v>
      </c>
      <c r="E5281" s="3">
        <v>6.0</v>
      </c>
      <c r="F5281" s="3">
        <v>7.1</v>
      </c>
      <c r="G5281" s="3">
        <v>52.6</v>
      </c>
    </row>
    <row r="5282">
      <c r="A5282" s="3">
        <v>172792.0</v>
      </c>
      <c r="B5282" s="3" t="s">
        <v>5309</v>
      </c>
      <c r="C5282" s="3" t="s">
        <v>8</v>
      </c>
      <c r="D5282" s="3">
        <v>371.0</v>
      </c>
      <c r="E5282" s="3">
        <v>4.3</v>
      </c>
      <c r="F5282" s="3">
        <v>10.4</v>
      </c>
      <c r="G5282" s="3">
        <v>71.0</v>
      </c>
    </row>
    <row r="5283">
      <c r="A5283" s="3">
        <v>172793.0</v>
      </c>
      <c r="B5283" s="3" t="s">
        <v>5310</v>
      </c>
      <c r="C5283" s="3" t="s">
        <v>8</v>
      </c>
      <c r="D5283" s="3">
        <v>310.0</v>
      </c>
      <c r="E5283" s="3">
        <v>6.47</v>
      </c>
      <c r="F5283" s="3">
        <v>10.86</v>
      </c>
      <c r="G5283" s="3">
        <v>52.04</v>
      </c>
    </row>
    <row r="5284">
      <c r="A5284" s="3">
        <v>172794.0</v>
      </c>
      <c r="B5284" s="3" t="s">
        <v>5311</v>
      </c>
      <c r="C5284" s="3" t="s">
        <v>8</v>
      </c>
      <c r="D5284" s="3">
        <v>266.0</v>
      </c>
      <c r="E5284" s="3">
        <v>4.7</v>
      </c>
      <c r="F5284" s="3">
        <v>8.7</v>
      </c>
      <c r="G5284" s="3">
        <v>51.1</v>
      </c>
    </row>
    <row r="5285">
      <c r="A5285" s="3">
        <v>172795.0</v>
      </c>
      <c r="B5285" s="3" t="s">
        <v>5312</v>
      </c>
      <c r="C5285" s="3" t="s">
        <v>8</v>
      </c>
      <c r="D5285" s="3">
        <v>277.0</v>
      </c>
      <c r="E5285" s="3">
        <v>4.3</v>
      </c>
      <c r="F5285" s="3">
        <v>8.6</v>
      </c>
      <c r="G5285" s="3">
        <v>50.2</v>
      </c>
    </row>
    <row r="5286">
      <c r="A5286" s="3">
        <v>172796.0</v>
      </c>
      <c r="B5286" s="3" t="s">
        <v>5313</v>
      </c>
      <c r="C5286" s="3" t="s">
        <v>8</v>
      </c>
      <c r="D5286" s="3">
        <v>279.0</v>
      </c>
      <c r="E5286" s="3">
        <v>3.91</v>
      </c>
      <c r="F5286" s="3">
        <v>9.77</v>
      </c>
      <c r="G5286" s="3">
        <v>50.12</v>
      </c>
    </row>
    <row r="5287">
      <c r="A5287" s="3">
        <v>172797.0</v>
      </c>
      <c r="B5287" s="3" t="s">
        <v>5314</v>
      </c>
      <c r="C5287" s="3" t="s">
        <v>8</v>
      </c>
      <c r="D5287" s="3">
        <v>263.0</v>
      </c>
      <c r="E5287" s="3">
        <v>6.0</v>
      </c>
      <c r="F5287" s="3">
        <v>9.6</v>
      </c>
      <c r="G5287" s="3">
        <v>44.6</v>
      </c>
    </row>
    <row r="5288">
      <c r="A5288" s="3">
        <v>172798.0</v>
      </c>
      <c r="B5288" s="3" t="s">
        <v>5315</v>
      </c>
      <c r="C5288" s="3" t="s">
        <v>8</v>
      </c>
      <c r="D5288" s="3">
        <v>333.0</v>
      </c>
      <c r="E5288" s="3">
        <v>12.2</v>
      </c>
      <c r="F5288" s="3">
        <v>5.0</v>
      </c>
      <c r="G5288" s="3">
        <v>51.6</v>
      </c>
    </row>
    <row r="5289">
      <c r="A5289" s="3">
        <v>172799.0</v>
      </c>
      <c r="B5289" s="3" t="s">
        <v>5316</v>
      </c>
      <c r="C5289" s="3" t="s">
        <v>8</v>
      </c>
      <c r="D5289" s="3">
        <v>362.0</v>
      </c>
      <c r="E5289" s="3">
        <v>13.2</v>
      </c>
      <c r="F5289" s="3">
        <v>5.4</v>
      </c>
      <c r="G5289" s="3">
        <v>56.1</v>
      </c>
    </row>
    <row r="5290">
      <c r="A5290" s="3">
        <v>172800.0</v>
      </c>
      <c r="B5290" s="3" t="s">
        <v>5317</v>
      </c>
      <c r="C5290" s="3" t="s">
        <v>8</v>
      </c>
      <c r="D5290" s="3">
        <v>476.0</v>
      </c>
      <c r="E5290" s="3">
        <v>21.79</v>
      </c>
      <c r="F5290" s="3">
        <v>6.41</v>
      </c>
      <c r="G5290" s="3">
        <v>63.49</v>
      </c>
    </row>
    <row r="5291">
      <c r="A5291" s="3">
        <v>172801.0</v>
      </c>
      <c r="B5291" s="3" t="s">
        <v>5318</v>
      </c>
      <c r="C5291" s="3" t="s">
        <v>8</v>
      </c>
      <c r="D5291" s="3">
        <v>370.0</v>
      </c>
      <c r="E5291" s="3">
        <v>7.98</v>
      </c>
      <c r="F5291" s="3">
        <v>4.06</v>
      </c>
      <c r="G5291" s="3">
        <v>72.64</v>
      </c>
    </row>
    <row r="5292">
      <c r="A5292" s="3">
        <v>172802.0</v>
      </c>
      <c r="B5292" s="3" t="s">
        <v>5319</v>
      </c>
      <c r="C5292" s="3" t="s">
        <v>8</v>
      </c>
      <c r="D5292" s="3">
        <v>291.0</v>
      </c>
      <c r="E5292" s="3">
        <v>1.5</v>
      </c>
      <c r="F5292" s="3">
        <v>9.8</v>
      </c>
      <c r="G5292" s="3">
        <v>57.9</v>
      </c>
    </row>
    <row r="5293">
      <c r="A5293" s="3">
        <v>172803.0</v>
      </c>
      <c r="B5293" s="3" t="s">
        <v>5320</v>
      </c>
      <c r="C5293" s="3" t="s">
        <v>8</v>
      </c>
      <c r="D5293" s="3">
        <v>53.0</v>
      </c>
      <c r="E5293" s="3">
        <v>0.0</v>
      </c>
      <c r="F5293" s="3">
        <v>0.0</v>
      </c>
      <c r="G5293" s="3">
        <v>27.7</v>
      </c>
    </row>
    <row r="5294">
      <c r="A5294" s="3">
        <v>172804.0</v>
      </c>
      <c r="B5294" s="3" t="s">
        <v>5321</v>
      </c>
      <c r="C5294" s="3" t="s">
        <v>8</v>
      </c>
      <c r="D5294" s="3">
        <v>51.0</v>
      </c>
      <c r="E5294" s="3">
        <v>0.0</v>
      </c>
      <c r="F5294" s="3">
        <v>0.1</v>
      </c>
      <c r="G5294" s="3">
        <v>24.1</v>
      </c>
    </row>
    <row r="5295">
      <c r="A5295" s="3">
        <v>172805.0</v>
      </c>
      <c r="B5295" s="3" t="s">
        <v>5322</v>
      </c>
      <c r="C5295" s="3" t="s">
        <v>8</v>
      </c>
      <c r="D5295" s="3">
        <v>97.0</v>
      </c>
      <c r="E5295" s="3">
        <v>0.4</v>
      </c>
      <c r="F5295" s="3">
        <v>0.1</v>
      </c>
      <c r="G5295" s="3">
        <v>46.9</v>
      </c>
    </row>
    <row r="5296">
      <c r="A5296" s="3">
        <v>172806.0</v>
      </c>
      <c r="B5296" s="3" t="s">
        <v>5323</v>
      </c>
      <c r="C5296" s="3" t="s">
        <v>8</v>
      </c>
      <c r="D5296" s="3">
        <v>383.0</v>
      </c>
      <c r="E5296" s="3">
        <v>5.48</v>
      </c>
      <c r="F5296" s="3">
        <v>14.13</v>
      </c>
      <c r="G5296" s="3">
        <v>68.49</v>
      </c>
    </row>
    <row r="5297">
      <c r="A5297" s="3">
        <v>172807.0</v>
      </c>
      <c r="B5297" s="3" t="s">
        <v>5324</v>
      </c>
      <c r="C5297" s="3" t="s">
        <v>8</v>
      </c>
      <c r="D5297" s="3">
        <v>447.0</v>
      </c>
      <c r="E5297" s="3">
        <v>17.9</v>
      </c>
      <c r="F5297" s="3">
        <v>6.8</v>
      </c>
      <c r="G5297" s="3">
        <v>66.4</v>
      </c>
    </row>
    <row r="5298">
      <c r="A5298" s="3">
        <v>172808.0</v>
      </c>
      <c r="B5298" s="3" t="s">
        <v>5325</v>
      </c>
      <c r="C5298" s="3" t="s">
        <v>8</v>
      </c>
      <c r="D5298" s="3">
        <v>488.0</v>
      </c>
      <c r="E5298" s="3">
        <v>28.4</v>
      </c>
      <c r="F5298" s="3">
        <v>5.7</v>
      </c>
      <c r="G5298" s="3">
        <v>58.2</v>
      </c>
    </row>
    <row r="5299">
      <c r="A5299" s="3">
        <v>172809.0</v>
      </c>
      <c r="B5299" s="3" t="s">
        <v>5326</v>
      </c>
      <c r="C5299" s="3" t="s">
        <v>8</v>
      </c>
      <c r="D5299" s="3">
        <v>270.0</v>
      </c>
      <c r="E5299" s="3">
        <v>2.4</v>
      </c>
      <c r="F5299" s="3">
        <v>13.2</v>
      </c>
      <c r="G5299" s="3">
        <v>48.1</v>
      </c>
    </row>
    <row r="5300">
      <c r="A5300" s="3">
        <v>172810.0</v>
      </c>
      <c r="B5300" s="3" t="s">
        <v>5327</v>
      </c>
      <c r="C5300" s="3" t="s">
        <v>8</v>
      </c>
      <c r="D5300" s="3">
        <v>316.0</v>
      </c>
      <c r="E5300" s="3">
        <v>7.3</v>
      </c>
      <c r="F5300" s="3">
        <v>8.5</v>
      </c>
      <c r="G5300" s="3">
        <v>53.4</v>
      </c>
    </row>
    <row r="5301">
      <c r="A5301" s="3">
        <v>172811.0</v>
      </c>
      <c r="B5301" s="3" t="s">
        <v>5328</v>
      </c>
      <c r="C5301" s="3" t="s">
        <v>8</v>
      </c>
      <c r="D5301" s="3">
        <v>484.0</v>
      </c>
      <c r="E5301" s="3">
        <v>24.4</v>
      </c>
      <c r="F5301" s="3">
        <v>4.1</v>
      </c>
      <c r="G5301" s="3">
        <v>63.9</v>
      </c>
    </row>
    <row r="5302">
      <c r="A5302" s="3">
        <v>172812.0</v>
      </c>
      <c r="B5302" s="3" t="s">
        <v>5329</v>
      </c>
      <c r="C5302" s="3" t="s">
        <v>8</v>
      </c>
      <c r="D5302" s="3">
        <v>391.0</v>
      </c>
      <c r="E5302" s="3">
        <v>3.9</v>
      </c>
      <c r="F5302" s="3">
        <v>10.0</v>
      </c>
      <c r="G5302" s="3">
        <v>77.1</v>
      </c>
    </row>
    <row r="5303">
      <c r="A5303" s="3">
        <v>172813.0</v>
      </c>
      <c r="B5303" s="3" t="s">
        <v>5330</v>
      </c>
      <c r="C5303" s="3" t="s">
        <v>8</v>
      </c>
      <c r="D5303" s="3">
        <v>531.0</v>
      </c>
      <c r="E5303" s="3">
        <v>36.2</v>
      </c>
      <c r="F5303" s="3">
        <v>3.7</v>
      </c>
      <c r="G5303" s="3">
        <v>50.2</v>
      </c>
    </row>
    <row r="5304">
      <c r="A5304" s="3">
        <v>172814.0</v>
      </c>
      <c r="B5304" s="3" t="s">
        <v>5331</v>
      </c>
      <c r="C5304" s="3" t="s">
        <v>8</v>
      </c>
      <c r="D5304" s="3">
        <v>469.0</v>
      </c>
      <c r="E5304" s="3">
        <v>30.8</v>
      </c>
      <c r="F5304" s="3">
        <v>5.7</v>
      </c>
      <c r="G5304" s="3">
        <v>42.3</v>
      </c>
    </row>
    <row r="5305">
      <c r="A5305" s="3">
        <v>172815.0</v>
      </c>
      <c r="B5305" s="3" t="s">
        <v>5332</v>
      </c>
      <c r="C5305" s="3" t="s">
        <v>8</v>
      </c>
      <c r="D5305" s="3">
        <v>418.0</v>
      </c>
      <c r="E5305" s="3">
        <v>12.2</v>
      </c>
      <c r="F5305" s="3">
        <v>7.0</v>
      </c>
      <c r="G5305" s="3">
        <v>69.5</v>
      </c>
    </row>
    <row r="5306">
      <c r="A5306" s="3">
        <v>172816.0</v>
      </c>
      <c r="B5306" s="3" t="s">
        <v>5333</v>
      </c>
      <c r="C5306" s="3" t="s">
        <v>8</v>
      </c>
      <c r="D5306" s="3">
        <v>275.0</v>
      </c>
      <c r="E5306" s="3">
        <v>1.2</v>
      </c>
      <c r="F5306" s="3">
        <v>9.1</v>
      </c>
      <c r="G5306" s="3">
        <v>55.7</v>
      </c>
    </row>
    <row r="5307">
      <c r="A5307" s="3">
        <v>172817.0</v>
      </c>
      <c r="B5307" s="3" t="s">
        <v>5334</v>
      </c>
      <c r="C5307" s="3" t="s">
        <v>8</v>
      </c>
      <c r="D5307" s="3">
        <v>274.0</v>
      </c>
      <c r="E5307" s="3">
        <v>4.4</v>
      </c>
      <c r="F5307" s="3">
        <v>7.9</v>
      </c>
      <c r="G5307" s="3">
        <v>52.3</v>
      </c>
    </row>
    <row r="5308">
      <c r="A5308" s="3">
        <v>172818.0</v>
      </c>
      <c r="B5308" s="3" t="s">
        <v>5335</v>
      </c>
      <c r="C5308" s="3" t="s">
        <v>8</v>
      </c>
      <c r="D5308" s="3">
        <v>267.0</v>
      </c>
      <c r="E5308" s="3">
        <v>3.6</v>
      </c>
      <c r="F5308" s="3">
        <v>8.2</v>
      </c>
      <c r="G5308" s="3">
        <v>49.6</v>
      </c>
    </row>
    <row r="5309">
      <c r="A5309" s="3">
        <v>172819.0</v>
      </c>
      <c r="B5309" s="3" t="s">
        <v>5336</v>
      </c>
      <c r="C5309" s="3" t="s">
        <v>8</v>
      </c>
      <c r="D5309" s="3">
        <v>467.0</v>
      </c>
      <c r="E5309" s="3">
        <v>18.8</v>
      </c>
      <c r="F5309" s="3">
        <v>6.1</v>
      </c>
      <c r="G5309" s="3">
        <v>68.9</v>
      </c>
    </row>
    <row r="5310">
      <c r="A5310" s="3">
        <v>172820.0</v>
      </c>
      <c r="B5310" s="3" t="s">
        <v>5337</v>
      </c>
      <c r="C5310" s="3" t="s">
        <v>8</v>
      </c>
      <c r="D5310" s="3">
        <v>481.0</v>
      </c>
      <c r="E5310" s="3">
        <v>22.6</v>
      </c>
      <c r="F5310" s="3">
        <v>5.4</v>
      </c>
      <c r="G5310" s="3">
        <v>66.8</v>
      </c>
    </row>
    <row r="5311">
      <c r="A5311" s="3">
        <v>172821.0</v>
      </c>
      <c r="B5311" s="3" t="s">
        <v>5338</v>
      </c>
      <c r="C5311" s="3" t="s">
        <v>8</v>
      </c>
      <c r="D5311" s="3">
        <v>363.0</v>
      </c>
      <c r="E5311" s="3">
        <v>9.1</v>
      </c>
      <c r="F5311" s="3">
        <v>10.6</v>
      </c>
      <c r="G5311" s="3">
        <v>59.7</v>
      </c>
    </row>
    <row r="5312">
      <c r="A5312" s="3">
        <v>172822.0</v>
      </c>
      <c r="B5312" s="3" t="s">
        <v>5339</v>
      </c>
      <c r="C5312" s="3" t="s">
        <v>8</v>
      </c>
      <c r="D5312" s="3">
        <v>390.0</v>
      </c>
      <c r="E5312" s="3">
        <v>3.2</v>
      </c>
      <c r="F5312" s="3">
        <v>12.1</v>
      </c>
      <c r="G5312" s="3">
        <v>76.6</v>
      </c>
    </row>
    <row r="5313">
      <c r="A5313" s="3">
        <v>172823.0</v>
      </c>
      <c r="B5313" s="3" t="s">
        <v>5340</v>
      </c>
      <c r="C5313" s="3" t="s">
        <v>8</v>
      </c>
      <c r="D5313" s="3">
        <v>443.0</v>
      </c>
      <c r="E5313" s="3">
        <v>17.2</v>
      </c>
      <c r="F5313" s="3">
        <v>8.8</v>
      </c>
      <c r="G5313" s="3">
        <v>68.6</v>
      </c>
    </row>
    <row r="5314">
      <c r="A5314" s="3">
        <v>172824.0</v>
      </c>
      <c r="B5314" s="3" t="s">
        <v>5341</v>
      </c>
      <c r="C5314" s="3" t="s">
        <v>8</v>
      </c>
      <c r="D5314" s="3">
        <v>403.0</v>
      </c>
      <c r="E5314" s="3">
        <v>22.4</v>
      </c>
      <c r="F5314" s="3">
        <v>7.0</v>
      </c>
      <c r="G5314" s="3">
        <v>44.6</v>
      </c>
    </row>
    <row r="5315">
      <c r="A5315" s="3">
        <v>172825.0</v>
      </c>
      <c r="B5315" s="3" t="s">
        <v>5342</v>
      </c>
      <c r="C5315" s="3" t="s">
        <v>8</v>
      </c>
      <c r="D5315" s="3">
        <v>371.0</v>
      </c>
      <c r="E5315" s="3">
        <v>18.5</v>
      </c>
      <c r="F5315" s="3">
        <v>5.4</v>
      </c>
      <c r="G5315" s="3">
        <v>47.8</v>
      </c>
    </row>
    <row r="5316">
      <c r="A5316" s="3">
        <v>172826.0</v>
      </c>
      <c r="B5316" s="3" t="s">
        <v>5343</v>
      </c>
      <c r="C5316" s="3" t="s">
        <v>8</v>
      </c>
      <c r="D5316" s="3">
        <v>293.0</v>
      </c>
      <c r="E5316" s="3">
        <v>4.0</v>
      </c>
      <c r="F5316" s="3">
        <v>9.0</v>
      </c>
      <c r="G5316" s="3">
        <v>54.4</v>
      </c>
    </row>
    <row r="5317">
      <c r="A5317" s="3">
        <v>172827.0</v>
      </c>
      <c r="B5317" s="3" t="s">
        <v>5344</v>
      </c>
      <c r="C5317" s="3" t="s">
        <v>8</v>
      </c>
      <c r="D5317" s="3">
        <v>371.0</v>
      </c>
      <c r="E5317" s="3">
        <v>18.5</v>
      </c>
      <c r="F5317" s="3">
        <v>5.4</v>
      </c>
      <c r="G5317" s="3">
        <v>47.8</v>
      </c>
    </row>
    <row r="5318">
      <c r="A5318" s="3">
        <v>172828.0</v>
      </c>
      <c r="B5318" s="3" t="s">
        <v>5345</v>
      </c>
      <c r="C5318" s="3" t="s">
        <v>8</v>
      </c>
      <c r="D5318" s="3">
        <v>235.0</v>
      </c>
      <c r="E5318" s="3">
        <v>1.8</v>
      </c>
      <c r="F5318" s="3">
        <v>7.7</v>
      </c>
      <c r="G5318" s="3">
        <v>46.0</v>
      </c>
    </row>
    <row r="5319">
      <c r="A5319" s="3">
        <v>172829.0</v>
      </c>
      <c r="B5319" s="3" t="s">
        <v>5346</v>
      </c>
      <c r="C5319" s="3" t="s">
        <v>189</v>
      </c>
      <c r="D5319" s="3">
        <v>123.0</v>
      </c>
      <c r="E5319" s="3">
        <v>2.99</v>
      </c>
      <c r="F5319" s="3">
        <v>22.59</v>
      </c>
      <c r="G5319" s="3">
        <v>0.0</v>
      </c>
    </row>
    <row r="5320">
      <c r="A5320" s="3">
        <v>172830.0</v>
      </c>
      <c r="B5320" s="3" t="s">
        <v>5347</v>
      </c>
      <c r="C5320" s="3" t="s">
        <v>189</v>
      </c>
      <c r="D5320" s="3">
        <v>257.0</v>
      </c>
      <c r="E5320" s="3">
        <v>18.04</v>
      </c>
      <c r="F5320" s="3">
        <v>23.42</v>
      </c>
      <c r="G5320" s="3">
        <v>0.6</v>
      </c>
    </row>
    <row r="5321">
      <c r="A5321" s="3">
        <v>172831.0</v>
      </c>
      <c r="B5321" s="3" t="s">
        <v>5348</v>
      </c>
      <c r="C5321" s="3" t="s">
        <v>189</v>
      </c>
      <c r="D5321" s="3">
        <v>112.0</v>
      </c>
      <c r="E5321" s="3">
        <v>0.88</v>
      </c>
      <c r="F5321" s="3">
        <v>25.94</v>
      </c>
      <c r="G5321" s="3">
        <v>0.0</v>
      </c>
    </row>
    <row r="5322">
      <c r="A5322" s="3">
        <v>172832.0</v>
      </c>
      <c r="B5322" s="3" t="s">
        <v>5349</v>
      </c>
      <c r="C5322" s="3" t="s">
        <v>189</v>
      </c>
      <c r="D5322" s="3">
        <v>134.0</v>
      </c>
      <c r="E5322" s="3">
        <v>4.03</v>
      </c>
      <c r="F5322" s="3">
        <v>22.77</v>
      </c>
      <c r="G5322" s="3">
        <v>0.0</v>
      </c>
    </row>
    <row r="5323">
      <c r="A5323" s="3">
        <v>172833.0</v>
      </c>
      <c r="B5323" s="3" t="s">
        <v>5350</v>
      </c>
      <c r="C5323" s="3" t="s">
        <v>189</v>
      </c>
      <c r="D5323" s="3">
        <v>163.0</v>
      </c>
      <c r="E5323" s="3">
        <v>4.65</v>
      </c>
      <c r="F5323" s="3">
        <v>28.43</v>
      </c>
      <c r="G5323" s="3">
        <v>0.0</v>
      </c>
    </row>
    <row r="5324">
      <c r="A5324" s="3">
        <v>172834.0</v>
      </c>
      <c r="B5324" s="3" t="s">
        <v>5351</v>
      </c>
      <c r="C5324" s="3" t="s">
        <v>189</v>
      </c>
      <c r="D5324" s="3">
        <v>168.0</v>
      </c>
      <c r="E5324" s="3">
        <v>2.68</v>
      </c>
      <c r="F5324" s="3">
        <v>33.67</v>
      </c>
      <c r="G5324" s="3">
        <v>0.0</v>
      </c>
    </row>
    <row r="5325">
      <c r="A5325" s="3">
        <v>172835.0</v>
      </c>
      <c r="B5325" s="3" t="s">
        <v>5352</v>
      </c>
      <c r="C5325" s="3" t="s">
        <v>189</v>
      </c>
      <c r="D5325" s="3">
        <v>108.0</v>
      </c>
      <c r="E5325" s="3">
        <v>1.49</v>
      </c>
      <c r="F5325" s="3">
        <v>22.22</v>
      </c>
      <c r="G5325" s="3">
        <v>0.0</v>
      </c>
    </row>
    <row r="5326">
      <c r="A5326" s="3">
        <v>172836.0</v>
      </c>
      <c r="B5326" s="3" t="s">
        <v>5353</v>
      </c>
      <c r="C5326" s="3" t="s">
        <v>189</v>
      </c>
      <c r="D5326" s="3">
        <v>156.0</v>
      </c>
      <c r="E5326" s="3">
        <v>2.01</v>
      </c>
      <c r="F5326" s="3">
        <v>32.38</v>
      </c>
      <c r="G5326" s="3">
        <v>0.0</v>
      </c>
    </row>
    <row r="5327">
      <c r="A5327" s="3">
        <v>172837.0</v>
      </c>
      <c r="B5327" s="3" t="s">
        <v>5354</v>
      </c>
      <c r="C5327" s="3" t="s">
        <v>189</v>
      </c>
      <c r="D5327" s="3">
        <v>103.0</v>
      </c>
      <c r="E5327" s="3">
        <v>0.48</v>
      </c>
      <c r="F5327" s="3">
        <v>23.08</v>
      </c>
      <c r="G5327" s="3">
        <v>0.0</v>
      </c>
    </row>
    <row r="5328">
      <c r="A5328" s="3">
        <v>172838.0</v>
      </c>
      <c r="B5328" s="3" t="s">
        <v>5355</v>
      </c>
      <c r="C5328" s="3" t="s">
        <v>189</v>
      </c>
      <c r="D5328" s="3">
        <v>141.0</v>
      </c>
      <c r="E5328" s="3">
        <v>4.86</v>
      </c>
      <c r="F5328" s="3">
        <v>22.81</v>
      </c>
      <c r="G5328" s="3">
        <v>0.0</v>
      </c>
    </row>
    <row r="5329">
      <c r="A5329" s="3">
        <v>172839.0</v>
      </c>
      <c r="B5329" s="3" t="s">
        <v>5356</v>
      </c>
      <c r="C5329" s="3" t="s">
        <v>189</v>
      </c>
      <c r="D5329" s="3">
        <v>111.0</v>
      </c>
      <c r="E5329" s="3">
        <v>1.72</v>
      </c>
      <c r="F5329" s="3">
        <v>22.39</v>
      </c>
      <c r="G5329" s="3">
        <v>0.0</v>
      </c>
    </row>
    <row r="5330">
      <c r="A5330" s="3">
        <v>172840.0</v>
      </c>
      <c r="B5330" s="3" t="s">
        <v>5357</v>
      </c>
      <c r="C5330" s="3" t="s">
        <v>189</v>
      </c>
      <c r="D5330" s="3">
        <v>141.0</v>
      </c>
      <c r="E5330" s="3">
        <v>1.94</v>
      </c>
      <c r="F5330" s="3">
        <v>29.01</v>
      </c>
      <c r="G5330" s="3">
        <v>0.0</v>
      </c>
    </row>
    <row r="5331">
      <c r="A5331" s="3">
        <v>172841.0</v>
      </c>
      <c r="B5331" s="3" t="s">
        <v>5358</v>
      </c>
      <c r="C5331" s="3" t="s">
        <v>189</v>
      </c>
      <c r="D5331" s="3">
        <v>127.0</v>
      </c>
      <c r="E5331" s="3">
        <v>2.87</v>
      </c>
      <c r="F5331" s="3">
        <v>23.69</v>
      </c>
      <c r="G5331" s="3">
        <v>0.0</v>
      </c>
    </row>
    <row r="5332">
      <c r="A5332" s="3">
        <v>172842.0</v>
      </c>
      <c r="B5332" s="3" t="s">
        <v>5359</v>
      </c>
      <c r="C5332" s="3" t="s">
        <v>189</v>
      </c>
      <c r="D5332" s="3">
        <v>164.0</v>
      </c>
      <c r="E5332" s="3">
        <v>4.26</v>
      </c>
      <c r="F5332" s="3">
        <v>29.37</v>
      </c>
      <c r="G5332" s="3">
        <v>0.0</v>
      </c>
    </row>
    <row r="5333">
      <c r="A5333" s="3">
        <v>172843.0</v>
      </c>
      <c r="B5333" s="3" t="s">
        <v>5360</v>
      </c>
      <c r="C5333" s="3" t="s">
        <v>189</v>
      </c>
      <c r="D5333" s="3">
        <v>159.0</v>
      </c>
      <c r="E5333" s="3">
        <v>3.97</v>
      </c>
      <c r="F5333" s="3">
        <v>28.81</v>
      </c>
      <c r="G5333" s="3">
        <v>0.0</v>
      </c>
    </row>
    <row r="5334">
      <c r="A5334" s="3">
        <v>172844.0</v>
      </c>
      <c r="B5334" s="3" t="s">
        <v>5361</v>
      </c>
      <c r="C5334" s="3" t="s">
        <v>189</v>
      </c>
      <c r="D5334" s="3">
        <v>116.0</v>
      </c>
      <c r="E5334" s="3">
        <v>2.4</v>
      </c>
      <c r="F5334" s="3">
        <v>21.99</v>
      </c>
      <c r="G5334" s="3">
        <v>0.0</v>
      </c>
    </row>
    <row r="5335">
      <c r="A5335" s="3">
        <v>172845.0</v>
      </c>
      <c r="B5335" s="3" t="s">
        <v>5362</v>
      </c>
      <c r="C5335" s="3" t="s">
        <v>189</v>
      </c>
      <c r="D5335" s="3">
        <v>123.0</v>
      </c>
      <c r="E5335" s="3">
        <v>3.19</v>
      </c>
      <c r="F5335" s="3">
        <v>22.07</v>
      </c>
      <c r="G5335" s="3">
        <v>0.0</v>
      </c>
    </row>
    <row r="5336">
      <c r="A5336" s="3">
        <v>172846.0</v>
      </c>
      <c r="B5336" s="3" t="s">
        <v>5363</v>
      </c>
      <c r="C5336" s="3" t="s">
        <v>189</v>
      </c>
      <c r="D5336" s="3">
        <v>114.0</v>
      </c>
      <c r="E5336" s="3">
        <v>2.3</v>
      </c>
      <c r="F5336" s="3">
        <v>21.85</v>
      </c>
      <c r="G5336" s="3">
        <v>0.0</v>
      </c>
    </row>
    <row r="5337">
      <c r="A5337" s="3">
        <v>172847.0</v>
      </c>
      <c r="B5337" s="3" t="s">
        <v>5364</v>
      </c>
      <c r="C5337" s="3" t="s">
        <v>189</v>
      </c>
      <c r="D5337" s="3">
        <v>112.0</v>
      </c>
      <c r="E5337" s="3">
        <v>1.95</v>
      </c>
      <c r="F5337" s="3">
        <v>23.57</v>
      </c>
      <c r="G5337" s="3">
        <v>0.0</v>
      </c>
    </row>
    <row r="5338">
      <c r="A5338" s="3">
        <v>172848.0</v>
      </c>
      <c r="B5338" s="3" t="s">
        <v>5365</v>
      </c>
      <c r="C5338" s="3" t="s">
        <v>189</v>
      </c>
      <c r="D5338" s="3">
        <v>151.0</v>
      </c>
      <c r="E5338" s="3">
        <v>2.71</v>
      </c>
      <c r="F5338" s="3">
        <v>31.69</v>
      </c>
      <c r="G5338" s="3">
        <v>0.0</v>
      </c>
    </row>
    <row r="5339">
      <c r="A5339" s="3">
        <v>172849.0</v>
      </c>
      <c r="B5339" s="3" t="s">
        <v>5366</v>
      </c>
      <c r="C5339" s="3" t="s">
        <v>189</v>
      </c>
      <c r="D5339" s="3">
        <v>138.0</v>
      </c>
      <c r="E5339" s="3">
        <v>2.48</v>
      </c>
      <c r="F5339" s="3">
        <v>28.99</v>
      </c>
      <c r="G5339" s="3">
        <v>0.0</v>
      </c>
    </row>
    <row r="5340">
      <c r="A5340" s="3">
        <v>172850.0</v>
      </c>
      <c r="B5340" s="3" t="s">
        <v>5367</v>
      </c>
      <c r="C5340" s="3" t="s">
        <v>189</v>
      </c>
      <c r="D5340" s="3">
        <v>150.0</v>
      </c>
      <c r="E5340" s="3">
        <v>8.34</v>
      </c>
      <c r="F5340" s="3">
        <v>18.73</v>
      </c>
      <c r="G5340" s="3">
        <v>0.0</v>
      </c>
    </row>
    <row r="5341">
      <c r="A5341" s="3">
        <v>172851.0</v>
      </c>
      <c r="B5341" s="3" t="s">
        <v>5368</v>
      </c>
      <c r="C5341" s="3" t="s">
        <v>189</v>
      </c>
      <c r="D5341" s="3">
        <v>213.0</v>
      </c>
      <c r="E5341" s="3">
        <v>11.6</v>
      </c>
      <c r="F5341" s="3">
        <v>27.1</v>
      </c>
      <c r="G5341" s="3">
        <v>0.0</v>
      </c>
    </row>
    <row r="5342">
      <c r="A5342" s="3">
        <v>172852.0</v>
      </c>
      <c r="B5342" s="3" t="s">
        <v>5369</v>
      </c>
      <c r="C5342" s="3" t="s">
        <v>189</v>
      </c>
      <c r="D5342" s="3">
        <v>149.0</v>
      </c>
      <c r="E5342" s="3">
        <v>5.95</v>
      </c>
      <c r="F5342" s="3">
        <v>23.93</v>
      </c>
      <c r="G5342" s="3">
        <v>0.0</v>
      </c>
    </row>
    <row r="5343">
      <c r="A5343" s="3">
        <v>172853.0</v>
      </c>
      <c r="B5343" s="3" t="s">
        <v>5370</v>
      </c>
      <c r="C5343" s="3" t="s">
        <v>189</v>
      </c>
      <c r="D5343" s="3">
        <v>176.0</v>
      </c>
      <c r="E5343" s="3">
        <v>8.63</v>
      </c>
      <c r="F5343" s="3">
        <v>24.55</v>
      </c>
      <c r="G5343" s="3">
        <v>0.0</v>
      </c>
    </row>
    <row r="5344">
      <c r="A5344" s="3">
        <v>172854.0</v>
      </c>
      <c r="B5344" s="3" t="s">
        <v>5371</v>
      </c>
      <c r="C5344" s="3" t="s">
        <v>189</v>
      </c>
      <c r="D5344" s="3">
        <v>443.0</v>
      </c>
      <c r="E5344" s="3">
        <v>42.76</v>
      </c>
      <c r="F5344" s="3">
        <v>14.61</v>
      </c>
      <c r="G5344" s="3">
        <v>0.0</v>
      </c>
    </row>
    <row r="5345">
      <c r="A5345" s="3">
        <v>172855.0</v>
      </c>
      <c r="B5345" s="3" t="s">
        <v>5372</v>
      </c>
      <c r="C5345" s="3" t="s">
        <v>189</v>
      </c>
      <c r="D5345" s="3">
        <v>440.0</v>
      </c>
      <c r="E5345" s="3">
        <v>44.23</v>
      </c>
      <c r="F5345" s="3">
        <v>9.58</v>
      </c>
      <c r="G5345" s="3">
        <v>0.79</v>
      </c>
    </row>
    <row r="5346">
      <c r="A5346" s="3">
        <v>172856.0</v>
      </c>
      <c r="B5346" s="3" t="s">
        <v>5373</v>
      </c>
      <c r="C5346" s="3" t="s">
        <v>189</v>
      </c>
      <c r="D5346" s="3">
        <v>146.0</v>
      </c>
      <c r="E5346" s="3">
        <v>5.0</v>
      </c>
      <c r="F5346" s="3">
        <v>25.34</v>
      </c>
      <c r="G5346" s="3">
        <v>0.0</v>
      </c>
    </row>
    <row r="5347">
      <c r="A5347" s="3">
        <v>172857.0</v>
      </c>
      <c r="B5347" s="3" t="s">
        <v>5374</v>
      </c>
      <c r="C5347" s="3" t="s">
        <v>189</v>
      </c>
      <c r="D5347" s="3">
        <v>149.0</v>
      </c>
      <c r="E5347" s="3">
        <v>6.33</v>
      </c>
      <c r="F5347" s="3">
        <v>22.99</v>
      </c>
      <c r="G5347" s="3">
        <v>0.0</v>
      </c>
    </row>
    <row r="5348">
      <c r="A5348" s="3">
        <v>172858.0</v>
      </c>
      <c r="B5348" s="3" t="s">
        <v>5375</v>
      </c>
      <c r="C5348" s="3" t="s">
        <v>189</v>
      </c>
      <c r="D5348" s="3">
        <v>164.0</v>
      </c>
      <c r="E5348" s="3">
        <v>7.96</v>
      </c>
      <c r="F5348" s="3">
        <v>23.0</v>
      </c>
      <c r="G5348" s="3">
        <v>0.0</v>
      </c>
    </row>
    <row r="5349">
      <c r="A5349" s="3">
        <v>172859.0</v>
      </c>
      <c r="B5349" s="3" t="s">
        <v>5376</v>
      </c>
      <c r="C5349" s="3" t="s">
        <v>189</v>
      </c>
      <c r="D5349" s="3">
        <v>110.0</v>
      </c>
      <c r="E5349" s="3">
        <v>3.69</v>
      </c>
      <c r="F5349" s="3">
        <v>19.11</v>
      </c>
      <c r="G5349" s="3">
        <v>0.0</v>
      </c>
    </row>
    <row r="5350">
      <c r="A5350" s="3">
        <v>172860.0</v>
      </c>
      <c r="B5350" s="3" t="s">
        <v>5377</v>
      </c>
      <c r="C5350" s="3" t="s">
        <v>189</v>
      </c>
      <c r="D5350" s="3">
        <v>146.0</v>
      </c>
      <c r="E5350" s="3">
        <v>8.24</v>
      </c>
      <c r="F5350" s="3">
        <v>18.03</v>
      </c>
      <c r="G5350" s="3">
        <v>0.0</v>
      </c>
    </row>
    <row r="5351">
      <c r="A5351" s="3">
        <v>172861.0</v>
      </c>
      <c r="B5351" s="3" t="s">
        <v>5378</v>
      </c>
      <c r="C5351" s="3" t="s">
        <v>189</v>
      </c>
      <c r="D5351" s="3">
        <v>180.0</v>
      </c>
      <c r="E5351" s="3">
        <v>9.0</v>
      </c>
      <c r="F5351" s="3">
        <v>24.72</v>
      </c>
      <c r="G5351" s="3">
        <v>0.05</v>
      </c>
    </row>
    <row r="5352">
      <c r="A5352" s="3">
        <v>172862.0</v>
      </c>
      <c r="B5352" s="3" t="s">
        <v>5379</v>
      </c>
      <c r="C5352" s="3" t="s">
        <v>189</v>
      </c>
      <c r="D5352" s="3">
        <v>215.0</v>
      </c>
      <c r="E5352" s="3">
        <v>14.62</v>
      </c>
      <c r="F5352" s="3">
        <v>20.7</v>
      </c>
      <c r="G5352" s="3">
        <v>0.21</v>
      </c>
    </row>
    <row r="5353">
      <c r="A5353" s="3">
        <v>172863.0</v>
      </c>
      <c r="B5353" s="3" t="s">
        <v>5380</v>
      </c>
      <c r="C5353" s="3" t="s">
        <v>189</v>
      </c>
      <c r="D5353" s="3">
        <v>197.0</v>
      </c>
      <c r="E5353" s="3">
        <v>14.58</v>
      </c>
      <c r="F5353" s="3">
        <v>16.56</v>
      </c>
      <c r="G5353" s="3">
        <v>0.0</v>
      </c>
    </row>
    <row r="5354">
      <c r="A5354" s="3">
        <v>172864.0</v>
      </c>
      <c r="B5354" s="3" t="s">
        <v>5381</v>
      </c>
      <c r="C5354" s="3" t="s">
        <v>189</v>
      </c>
      <c r="D5354" s="3">
        <v>101.0</v>
      </c>
      <c r="E5354" s="3">
        <v>1.66</v>
      </c>
      <c r="F5354" s="3">
        <v>21.54</v>
      </c>
      <c r="G5354" s="3">
        <v>0.0</v>
      </c>
    </row>
    <row r="5355">
      <c r="A5355" s="3">
        <v>172865.0</v>
      </c>
      <c r="B5355" s="3" t="s">
        <v>5382</v>
      </c>
      <c r="C5355" s="3" t="s">
        <v>189</v>
      </c>
      <c r="D5355" s="3">
        <v>127.0</v>
      </c>
      <c r="E5355" s="3">
        <v>2.08</v>
      </c>
      <c r="F5355" s="3">
        <v>26.97</v>
      </c>
      <c r="G5355" s="3">
        <v>0.0</v>
      </c>
    </row>
    <row r="5356">
      <c r="A5356" s="3">
        <v>172866.0</v>
      </c>
      <c r="B5356" s="3" t="s">
        <v>5383</v>
      </c>
      <c r="C5356" s="3" t="s">
        <v>189</v>
      </c>
      <c r="D5356" s="3">
        <v>381.0</v>
      </c>
      <c r="E5356" s="3">
        <v>36.8</v>
      </c>
      <c r="F5356" s="3">
        <v>12.29</v>
      </c>
      <c r="G5356" s="3">
        <v>0.21</v>
      </c>
    </row>
    <row r="5357">
      <c r="A5357" s="3">
        <v>172867.0</v>
      </c>
      <c r="B5357" s="3" t="s">
        <v>5384</v>
      </c>
      <c r="C5357" s="3" t="s">
        <v>189</v>
      </c>
      <c r="D5357" s="3">
        <v>451.0</v>
      </c>
      <c r="E5357" s="3">
        <v>40.31</v>
      </c>
      <c r="F5357" s="3">
        <v>22.15</v>
      </c>
      <c r="G5357" s="3">
        <v>0.0</v>
      </c>
    </row>
    <row r="5358">
      <c r="A5358" s="3">
        <v>172868.0</v>
      </c>
      <c r="B5358" s="3" t="s">
        <v>5385</v>
      </c>
      <c r="C5358" s="3" t="s">
        <v>189</v>
      </c>
      <c r="D5358" s="3">
        <v>106.0</v>
      </c>
      <c r="E5358" s="3">
        <v>2.39</v>
      </c>
      <c r="F5358" s="3">
        <v>20.87</v>
      </c>
      <c r="G5358" s="3">
        <v>0.14</v>
      </c>
    </row>
    <row r="5359">
      <c r="A5359" s="3">
        <v>172869.0</v>
      </c>
      <c r="B5359" s="3" t="s">
        <v>5386</v>
      </c>
      <c r="C5359" s="3" t="s">
        <v>189</v>
      </c>
      <c r="D5359" s="3">
        <v>140.0</v>
      </c>
      <c r="E5359" s="3">
        <v>3.7</v>
      </c>
      <c r="F5359" s="3">
        <v>26.61</v>
      </c>
      <c r="G5359" s="3">
        <v>0.0</v>
      </c>
    </row>
    <row r="5360">
      <c r="A5360" s="3">
        <v>172870.0</v>
      </c>
      <c r="B5360" s="3" t="s">
        <v>5387</v>
      </c>
      <c r="C5360" s="3" t="s">
        <v>189</v>
      </c>
      <c r="D5360" s="3">
        <v>159.0</v>
      </c>
      <c r="E5360" s="3">
        <v>9.1</v>
      </c>
      <c r="F5360" s="3">
        <v>19.03</v>
      </c>
      <c r="G5360" s="3">
        <v>0.15</v>
      </c>
    </row>
    <row r="5361">
      <c r="A5361" s="3">
        <v>172871.0</v>
      </c>
      <c r="B5361" s="3" t="s">
        <v>5388</v>
      </c>
      <c r="C5361" s="3" t="s">
        <v>189</v>
      </c>
      <c r="D5361" s="3">
        <v>176.0</v>
      </c>
      <c r="E5361" s="3">
        <v>8.01</v>
      </c>
      <c r="F5361" s="3">
        <v>26.09</v>
      </c>
      <c r="G5361" s="3">
        <v>0.0</v>
      </c>
    </row>
    <row r="5362">
      <c r="A5362" s="3">
        <v>172872.0</v>
      </c>
      <c r="B5362" s="3" t="s">
        <v>5389</v>
      </c>
      <c r="C5362" s="3" t="s">
        <v>189</v>
      </c>
      <c r="D5362" s="3">
        <v>170.0</v>
      </c>
      <c r="E5362" s="3">
        <v>5.51</v>
      </c>
      <c r="F5362" s="3">
        <v>30.17</v>
      </c>
      <c r="G5362" s="3">
        <v>0.0</v>
      </c>
    </row>
    <row r="5363">
      <c r="A5363" s="3">
        <v>172873.0</v>
      </c>
      <c r="B5363" s="3" t="s">
        <v>5390</v>
      </c>
      <c r="C5363" s="3" t="s">
        <v>189</v>
      </c>
      <c r="D5363" s="3">
        <v>380.0</v>
      </c>
      <c r="E5363" s="3">
        <v>35.83</v>
      </c>
      <c r="F5363" s="3">
        <v>14.35</v>
      </c>
      <c r="G5363" s="3">
        <v>0.0</v>
      </c>
    </row>
    <row r="5364">
      <c r="A5364" s="3">
        <v>172874.0</v>
      </c>
      <c r="B5364" s="3" t="s">
        <v>5391</v>
      </c>
      <c r="C5364" s="3" t="s">
        <v>189</v>
      </c>
      <c r="D5364" s="3">
        <v>414.0</v>
      </c>
      <c r="E5364" s="3">
        <v>35.03</v>
      </c>
      <c r="F5364" s="3">
        <v>24.58</v>
      </c>
      <c r="G5364" s="3">
        <v>0.0</v>
      </c>
    </row>
    <row r="5365">
      <c r="A5365" s="3">
        <v>172875.0</v>
      </c>
      <c r="B5365" s="3" t="s">
        <v>5392</v>
      </c>
      <c r="C5365" s="3" t="s">
        <v>189</v>
      </c>
      <c r="D5365" s="3">
        <v>118.0</v>
      </c>
      <c r="E5365" s="3">
        <v>3.97</v>
      </c>
      <c r="F5365" s="3">
        <v>20.52</v>
      </c>
      <c r="G5365" s="3">
        <v>0.0</v>
      </c>
    </row>
    <row r="5366">
      <c r="A5366" s="3">
        <v>172876.0</v>
      </c>
      <c r="B5366" s="3" t="s">
        <v>5393</v>
      </c>
      <c r="C5366" s="3" t="s">
        <v>189</v>
      </c>
      <c r="D5366" s="3">
        <v>102.0</v>
      </c>
      <c r="E5366" s="3">
        <v>1.66</v>
      </c>
      <c r="F5366" s="3">
        <v>21.54</v>
      </c>
      <c r="G5366" s="3">
        <v>0.14</v>
      </c>
    </row>
    <row r="5367">
      <c r="A5367" s="3">
        <v>172877.0</v>
      </c>
      <c r="B5367" s="3" t="s">
        <v>5394</v>
      </c>
      <c r="C5367" s="3" t="s">
        <v>189</v>
      </c>
      <c r="D5367" s="3">
        <v>159.0</v>
      </c>
      <c r="E5367" s="3">
        <v>6.25</v>
      </c>
      <c r="F5367" s="3">
        <v>25.14</v>
      </c>
      <c r="G5367" s="3">
        <v>0.46</v>
      </c>
    </row>
    <row r="5368">
      <c r="A5368" s="3">
        <v>172878.0</v>
      </c>
      <c r="B5368" s="3" t="s">
        <v>5395</v>
      </c>
      <c r="C5368" s="3" t="s">
        <v>189</v>
      </c>
      <c r="D5368" s="3">
        <v>173.0</v>
      </c>
      <c r="E5368" s="3">
        <v>6.52</v>
      </c>
      <c r="F5368" s="3">
        <v>28.61</v>
      </c>
      <c r="G5368" s="3">
        <v>0.0</v>
      </c>
    </row>
    <row r="5369">
      <c r="A5369" s="3">
        <v>172879.0</v>
      </c>
      <c r="B5369" s="3" t="s">
        <v>5396</v>
      </c>
      <c r="C5369" s="3" t="s">
        <v>225</v>
      </c>
      <c r="D5369" s="3">
        <v>184.0</v>
      </c>
      <c r="E5369" s="3">
        <v>1.04</v>
      </c>
      <c r="F5369" s="3">
        <v>0.89</v>
      </c>
      <c r="G5369" s="3">
        <v>42.81</v>
      </c>
    </row>
    <row r="5370">
      <c r="A5370" s="3">
        <v>172880.0</v>
      </c>
      <c r="B5370" s="3" t="s">
        <v>5397</v>
      </c>
      <c r="C5370" s="3" t="s">
        <v>225</v>
      </c>
      <c r="D5370" s="3">
        <v>54.0</v>
      </c>
      <c r="E5370" s="3">
        <v>1.15</v>
      </c>
      <c r="F5370" s="3">
        <v>2.18</v>
      </c>
      <c r="G5370" s="3">
        <v>8.66</v>
      </c>
    </row>
    <row r="5371">
      <c r="A5371" s="3">
        <v>172881.0</v>
      </c>
      <c r="B5371" s="3" t="s">
        <v>5398</v>
      </c>
      <c r="C5371" s="3" t="s">
        <v>225</v>
      </c>
      <c r="D5371" s="3">
        <v>96.0</v>
      </c>
      <c r="E5371" s="3">
        <v>1.95</v>
      </c>
      <c r="F5371" s="3">
        <v>1.76</v>
      </c>
      <c r="G5371" s="3">
        <v>18.47</v>
      </c>
    </row>
    <row r="5372">
      <c r="A5372" s="3">
        <v>172882.0</v>
      </c>
      <c r="B5372" s="3" t="s">
        <v>5399</v>
      </c>
      <c r="C5372" s="3" t="s">
        <v>225</v>
      </c>
      <c r="D5372" s="3">
        <v>66.0</v>
      </c>
      <c r="E5372" s="3">
        <v>0.44</v>
      </c>
      <c r="F5372" s="3">
        <v>1.46</v>
      </c>
      <c r="G5372" s="3">
        <v>15.22</v>
      </c>
    </row>
    <row r="5373">
      <c r="A5373" s="3">
        <v>172883.0</v>
      </c>
      <c r="B5373" s="3" t="s">
        <v>5400</v>
      </c>
      <c r="C5373" s="3" t="s">
        <v>225</v>
      </c>
      <c r="D5373" s="3">
        <v>13.0</v>
      </c>
      <c r="E5373" s="3">
        <v>0.09</v>
      </c>
      <c r="F5373" s="3">
        <v>1.97</v>
      </c>
      <c r="G5373" s="3">
        <v>1.2</v>
      </c>
    </row>
    <row r="5374">
      <c r="A5374" s="3">
        <v>172884.0</v>
      </c>
      <c r="B5374" s="3" t="s">
        <v>5401</v>
      </c>
      <c r="C5374" s="3" t="s">
        <v>225</v>
      </c>
      <c r="D5374" s="3">
        <v>36.0</v>
      </c>
      <c r="E5374" s="3">
        <v>1.2</v>
      </c>
      <c r="F5374" s="3">
        <v>2.52</v>
      </c>
      <c r="G5374" s="3">
        <v>3.53</v>
      </c>
    </row>
    <row r="5375">
      <c r="A5375" s="3">
        <v>172885.0</v>
      </c>
      <c r="B5375" s="3" t="s">
        <v>5402</v>
      </c>
      <c r="C5375" s="3" t="s">
        <v>225</v>
      </c>
      <c r="D5375" s="3">
        <v>16.0</v>
      </c>
      <c r="E5375" s="3">
        <v>0.81</v>
      </c>
      <c r="F5375" s="3">
        <v>2.26</v>
      </c>
      <c r="G5375" s="3">
        <v>0.0</v>
      </c>
    </row>
    <row r="5376">
      <c r="A5376" s="3">
        <v>172886.0</v>
      </c>
      <c r="B5376" s="3" t="s">
        <v>5403</v>
      </c>
      <c r="C5376" s="3" t="s">
        <v>225</v>
      </c>
      <c r="D5376" s="3">
        <v>220.0</v>
      </c>
      <c r="E5376" s="3">
        <v>3.39</v>
      </c>
      <c r="F5376" s="3">
        <v>3.31</v>
      </c>
      <c r="G5376" s="3">
        <v>44.08</v>
      </c>
    </row>
    <row r="5377">
      <c r="A5377" s="3">
        <v>172887.0</v>
      </c>
      <c r="B5377" s="3" t="s">
        <v>5404</v>
      </c>
      <c r="C5377" s="3" t="s">
        <v>225</v>
      </c>
      <c r="D5377" s="3">
        <v>52.0</v>
      </c>
      <c r="E5377" s="3">
        <v>1.69</v>
      </c>
      <c r="F5377" s="3">
        <v>1.21</v>
      </c>
      <c r="G5377" s="3">
        <v>8.1</v>
      </c>
    </row>
    <row r="5378">
      <c r="A5378" s="3">
        <v>172888.0</v>
      </c>
      <c r="B5378" s="3" t="s">
        <v>5405</v>
      </c>
      <c r="C5378" s="3" t="s">
        <v>225</v>
      </c>
      <c r="D5378" s="3">
        <v>7.0</v>
      </c>
      <c r="E5378" s="3">
        <v>0.0</v>
      </c>
      <c r="F5378" s="3">
        <v>1.36</v>
      </c>
      <c r="G5378" s="3">
        <v>0.38</v>
      </c>
    </row>
    <row r="5379">
      <c r="A5379" s="3">
        <v>172889.0</v>
      </c>
      <c r="B5379" s="3" t="s">
        <v>5406</v>
      </c>
      <c r="C5379" s="3" t="s">
        <v>225</v>
      </c>
      <c r="D5379" s="3">
        <v>6.0</v>
      </c>
      <c r="E5379" s="3">
        <v>0.07</v>
      </c>
      <c r="F5379" s="3">
        <v>1.14</v>
      </c>
      <c r="G5379" s="3">
        <v>0.2</v>
      </c>
    </row>
    <row r="5380">
      <c r="A5380" s="3">
        <v>172890.0</v>
      </c>
      <c r="B5380" s="3" t="s">
        <v>5407</v>
      </c>
      <c r="C5380" s="3" t="s">
        <v>225</v>
      </c>
      <c r="D5380" s="3">
        <v>89.0</v>
      </c>
      <c r="E5380" s="3">
        <v>0.02</v>
      </c>
      <c r="F5380" s="3">
        <v>5.93</v>
      </c>
      <c r="G5380" s="3">
        <v>15.58</v>
      </c>
    </row>
    <row r="5381">
      <c r="A5381" s="3">
        <v>172891.0</v>
      </c>
      <c r="B5381" s="3" t="s">
        <v>5408</v>
      </c>
      <c r="C5381" s="3" t="s">
        <v>225</v>
      </c>
      <c r="D5381" s="3">
        <v>65.0</v>
      </c>
      <c r="E5381" s="3">
        <v>3.3</v>
      </c>
      <c r="F5381" s="3">
        <v>2.55</v>
      </c>
      <c r="G5381" s="3">
        <v>6.61</v>
      </c>
    </row>
    <row r="5382">
      <c r="A5382" s="3">
        <v>172892.0</v>
      </c>
      <c r="B5382" s="3" t="s">
        <v>5409</v>
      </c>
      <c r="C5382" s="3" t="s">
        <v>225</v>
      </c>
      <c r="D5382" s="3">
        <v>65.0</v>
      </c>
      <c r="E5382" s="3">
        <v>4.46</v>
      </c>
      <c r="F5382" s="3">
        <v>1.16</v>
      </c>
      <c r="G5382" s="3">
        <v>5.2</v>
      </c>
    </row>
    <row r="5383">
      <c r="A5383" s="3">
        <v>172893.0</v>
      </c>
      <c r="B5383" s="3" t="s">
        <v>5410</v>
      </c>
      <c r="C5383" s="3" t="s">
        <v>225</v>
      </c>
      <c r="D5383" s="3">
        <v>66.0</v>
      </c>
      <c r="E5383" s="3">
        <v>3.91</v>
      </c>
      <c r="F5383" s="3">
        <v>2.29</v>
      </c>
      <c r="G5383" s="3">
        <v>5.86</v>
      </c>
    </row>
    <row r="5384">
      <c r="A5384" s="3">
        <v>172894.0</v>
      </c>
      <c r="B5384" s="3" t="s">
        <v>5411</v>
      </c>
      <c r="C5384" s="3" t="s">
        <v>225</v>
      </c>
      <c r="D5384" s="3">
        <v>92.0</v>
      </c>
      <c r="E5384" s="3">
        <v>5.8</v>
      </c>
      <c r="F5384" s="3">
        <v>3.77</v>
      </c>
      <c r="G5384" s="3">
        <v>6.47</v>
      </c>
    </row>
    <row r="5385">
      <c r="A5385" s="3">
        <v>172895.0</v>
      </c>
      <c r="B5385" s="3" t="s">
        <v>5412</v>
      </c>
      <c r="C5385" s="3" t="s">
        <v>225</v>
      </c>
      <c r="D5385" s="3">
        <v>55.0</v>
      </c>
      <c r="E5385" s="3">
        <v>3.24</v>
      </c>
      <c r="F5385" s="3">
        <v>2.51</v>
      </c>
      <c r="G5385" s="3">
        <v>3.99</v>
      </c>
    </row>
    <row r="5386">
      <c r="A5386" s="3">
        <v>172896.0</v>
      </c>
      <c r="B5386" s="3" t="s">
        <v>5413</v>
      </c>
      <c r="C5386" s="3" t="s">
        <v>225</v>
      </c>
      <c r="D5386" s="3">
        <v>94.0</v>
      </c>
      <c r="E5386" s="3">
        <v>2.77</v>
      </c>
      <c r="F5386" s="3">
        <v>4.97</v>
      </c>
      <c r="G5386" s="3">
        <v>12.69</v>
      </c>
    </row>
    <row r="5387">
      <c r="A5387" s="3">
        <v>172897.0</v>
      </c>
      <c r="B5387" s="3" t="s">
        <v>5414</v>
      </c>
      <c r="C5387" s="3" t="s">
        <v>225</v>
      </c>
      <c r="D5387" s="3">
        <v>60.0</v>
      </c>
      <c r="E5387" s="3">
        <v>2.6</v>
      </c>
      <c r="F5387" s="3">
        <v>2.33</v>
      </c>
      <c r="G5387" s="3">
        <v>6.92</v>
      </c>
    </row>
    <row r="5388">
      <c r="A5388" s="3">
        <v>172898.0</v>
      </c>
      <c r="B5388" s="3" t="s">
        <v>5415</v>
      </c>
      <c r="C5388" s="3" t="s">
        <v>225</v>
      </c>
      <c r="D5388" s="3">
        <v>61.0</v>
      </c>
      <c r="E5388" s="3">
        <v>3.23</v>
      </c>
      <c r="F5388" s="3">
        <v>2.78</v>
      </c>
      <c r="G5388" s="3">
        <v>5.64</v>
      </c>
    </row>
    <row r="5389">
      <c r="A5389" s="3">
        <v>172899.0</v>
      </c>
      <c r="B5389" s="3" t="s">
        <v>5416</v>
      </c>
      <c r="C5389" s="3" t="s">
        <v>225</v>
      </c>
      <c r="D5389" s="3">
        <v>37.0</v>
      </c>
      <c r="E5389" s="3">
        <v>0.55</v>
      </c>
      <c r="F5389" s="3">
        <v>2.53</v>
      </c>
      <c r="G5389" s="3">
        <v>5.71</v>
      </c>
    </row>
    <row r="5390">
      <c r="A5390" s="3">
        <v>172900.0</v>
      </c>
      <c r="B5390" s="3" t="s">
        <v>5417</v>
      </c>
      <c r="C5390" s="3" t="s">
        <v>225</v>
      </c>
      <c r="D5390" s="3">
        <v>51.0</v>
      </c>
      <c r="E5390" s="3">
        <v>0.21</v>
      </c>
      <c r="F5390" s="3">
        <v>2.13</v>
      </c>
      <c r="G5390" s="3">
        <v>10.04</v>
      </c>
    </row>
    <row r="5391">
      <c r="A5391" s="3">
        <v>172901.0</v>
      </c>
      <c r="B5391" s="3" t="s">
        <v>5418</v>
      </c>
      <c r="C5391" s="3" t="s">
        <v>225</v>
      </c>
      <c r="D5391" s="3">
        <v>81.0</v>
      </c>
      <c r="E5391" s="3">
        <v>5.5</v>
      </c>
      <c r="F5391" s="3">
        <v>1.29</v>
      </c>
      <c r="G5391" s="3">
        <v>6.59</v>
      </c>
    </row>
    <row r="5392">
      <c r="A5392" s="3">
        <v>172902.0</v>
      </c>
      <c r="B5392" s="3" t="s">
        <v>5419</v>
      </c>
      <c r="C5392" s="3" t="s">
        <v>225</v>
      </c>
      <c r="D5392" s="3">
        <v>79.0</v>
      </c>
      <c r="E5392" s="3">
        <v>2.63</v>
      </c>
      <c r="F5392" s="3">
        <v>2.51</v>
      </c>
      <c r="G5392" s="3">
        <v>11.73</v>
      </c>
    </row>
    <row r="5393">
      <c r="A5393" s="3">
        <v>172903.0</v>
      </c>
      <c r="B5393" s="3" t="s">
        <v>5420</v>
      </c>
      <c r="C5393" s="3" t="s">
        <v>225</v>
      </c>
      <c r="D5393" s="3">
        <v>46.0</v>
      </c>
      <c r="E5393" s="3">
        <v>0.66</v>
      </c>
      <c r="F5393" s="3">
        <v>2.42</v>
      </c>
      <c r="G5393" s="3">
        <v>7.71</v>
      </c>
    </row>
    <row r="5394">
      <c r="A5394" s="3">
        <v>172904.0</v>
      </c>
      <c r="B5394" s="3" t="s">
        <v>5421</v>
      </c>
      <c r="C5394" s="3" t="s">
        <v>225</v>
      </c>
      <c r="D5394" s="3">
        <v>63.0</v>
      </c>
      <c r="E5394" s="3">
        <v>2.16</v>
      </c>
      <c r="F5394" s="3">
        <v>2.88</v>
      </c>
      <c r="G5394" s="3">
        <v>8.31</v>
      </c>
    </row>
    <row r="5395">
      <c r="A5395" s="3">
        <v>172905.0</v>
      </c>
      <c r="B5395" s="3" t="s">
        <v>5422</v>
      </c>
      <c r="C5395" s="3" t="s">
        <v>225</v>
      </c>
      <c r="D5395" s="3">
        <v>75.0</v>
      </c>
      <c r="E5395" s="3">
        <v>2.79</v>
      </c>
      <c r="F5395" s="3">
        <v>3.99</v>
      </c>
      <c r="G5395" s="3">
        <v>8.8</v>
      </c>
    </row>
    <row r="5396">
      <c r="A5396" s="3">
        <v>172906.0</v>
      </c>
      <c r="B5396" s="3" t="s">
        <v>5423</v>
      </c>
      <c r="C5396" s="3" t="s">
        <v>225</v>
      </c>
      <c r="D5396" s="3">
        <v>34.0</v>
      </c>
      <c r="E5396" s="3">
        <v>1.23</v>
      </c>
      <c r="F5396" s="3">
        <v>1.93</v>
      </c>
      <c r="G5396" s="3">
        <v>3.58</v>
      </c>
    </row>
    <row r="5397">
      <c r="A5397" s="3">
        <v>172907.0</v>
      </c>
      <c r="B5397" s="3" t="s">
        <v>5424</v>
      </c>
      <c r="C5397" s="3" t="s">
        <v>225</v>
      </c>
      <c r="D5397" s="3">
        <v>37.0</v>
      </c>
      <c r="E5397" s="3">
        <v>2.29</v>
      </c>
      <c r="F5397" s="3">
        <v>0.68</v>
      </c>
      <c r="G5397" s="3">
        <v>3.62</v>
      </c>
    </row>
    <row r="5398">
      <c r="A5398" s="3">
        <v>172908.0</v>
      </c>
      <c r="B5398" s="3" t="s">
        <v>5425</v>
      </c>
      <c r="C5398" s="3" t="s">
        <v>225</v>
      </c>
      <c r="D5398" s="3">
        <v>23.0</v>
      </c>
      <c r="E5398" s="3">
        <v>0.59</v>
      </c>
      <c r="F5398" s="3">
        <v>1.08</v>
      </c>
      <c r="G5398" s="3">
        <v>3.43</v>
      </c>
    </row>
    <row r="5399">
      <c r="A5399" s="3">
        <v>172909.0</v>
      </c>
      <c r="B5399" s="3" t="s">
        <v>5426</v>
      </c>
      <c r="C5399" s="3" t="s">
        <v>225</v>
      </c>
      <c r="D5399" s="3">
        <v>24.0</v>
      </c>
      <c r="E5399" s="3">
        <v>0.76</v>
      </c>
      <c r="F5399" s="3">
        <v>1.16</v>
      </c>
      <c r="G5399" s="3">
        <v>2.97</v>
      </c>
    </row>
    <row r="5400">
      <c r="A5400" s="3">
        <v>172910.0</v>
      </c>
      <c r="B5400" s="3" t="s">
        <v>5427</v>
      </c>
      <c r="C5400" s="3" t="s">
        <v>225</v>
      </c>
      <c r="D5400" s="3">
        <v>24.0</v>
      </c>
      <c r="E5400" s="3">
        <v>0.78</v>
      </c>
      <c r="F5400" s="3">
        <v>1.45</v>
      </c>
      <c r="G5400" s="3">
        <v>2.92</v>
      </c>
    </row>
    <row r="5401">
      <c r="A5401" s="3">
        <v>172911.0</v>
      </c>
      <c r="B5401" s="3" t="s">
        <v>5428</v>
      </c>
      <c r="C5401" s="3" t="s">
        <v>225</v>
      </c>
      <c r="D5401" s="3">
        <v>57.0</v>
      </c>
      <c r="E5401" s="3">
        <v>1.24</v>
      </c>
      <c r="F5401" s="3">
        <v>2.49</v>
      </c>
      <c r="G5401" s="3">
        <v>9.23</v>
      </c>
    </row>
    <row r="5402">
      <c r="A5402" s="3">
        <v>172912.0</v>
      </c>
      <c r="B5402" s="3" t="s">
        <v>5429</v>
      </c>
      <c r="C5402" s="3" t="s">
        <v>225</v>
      </c>
      <c r="D5402" s="3">
        <v>49.0</v>
      </c>
      <c r="E5402" s="3">
        <v>1.23</v>
      </c>
      <c r="F5402" s="3">
        <v>3.16</v>
      </c>
      <c r="G5402" s="3">
        <v>6.24</v>
      </c>
    </row>
    <row r="5403">
      <c r="A5403" s="3">
        <v>172913.0</v>
      </c>
      <c r="B5403" s="3" t="s">
        <v>5430</v>
      </c>
      <c r="C5403" s="3" t="s">
        <v>225</v>
      </c>
      <c r="D5403" s="3">
        <v>34.0</v>
      </c>
      <c r="E5403" s="3">
        <v>1.04</v>
      </c>
      <c r="F5403" s="3">
        <v>1.77</v>
      </c>
      <c r="G5403" s="3">
        <v>4.66</v>
      </c>
    </row>
    <row r="5404">
      <c r="A5404" s="3">
        <v>172914.0</v>
      </c>
      <c r="B5404" s="3" t="s">
        <v>5431</v>
      </c>
      <c r="C5404" s="3" t="s">
        <v>225</v>
      </c>
      <c r="D5404" s="3">
        <v>30.0</v>
      </c>
      <c r="E5404" s="3">
        <v>0.93</v>
      </c>
      <c r="F5404" s="3">
        <v>0.77</v>
      </c>
      <c r="G5404" s="3">
        <v>4.8</v>
      </c>
    </row>
    <row r="5405">
      <c r="A5405" s="3">
        <v>172915.0</v>
      </c>
      <c r="B5405" s="3" t="s">
        <v>5432</v>
      </c>
      <c r="C5405" s="3" t="s">
        <v>225</v>
      </c>
      <c r="D5405" s="3">
        <v>39.0</v>
      </c>
      <c r="E5405" s="3">
        <v>2.59</v>
      </c>
      <c r="F5405" s="3">
        <v>0.66</v>
      </c>
      <c r="G5405" s="3">
        <v>3.33</v>
      </c>
    </row>
    <row r="5406">
      <c r="A5406" s="3">
        <v>172916.0</v>
      </c>
      <c r="B5406" s="3" t="s">
        <v>5433</v>
      </c>
      <c r="C5406" s="3" t="s">
        <v>225</v>
      </c>
      <c r="D5406" s="3">
        <v>75.0</v>
      </c>
      <c r="E5406" s="3">
        <v>1.74</v>
      </c>
      <c r="F5406" s="3">
        <v>4.08</v>
      </c>
      <c r="G5406" s="3">
        <v>11.05</v>
      </c>
    </row>
    <row r="5407">
      <c r="A5407" s="3">
        <v>172917.0</v>
      </c>
      <c r="B5407" s="3" t="s">
        <v>5434</v>
      </c>
      <c r="C5407" s="3" t="s">
        <v>225</v>
      </c>
      <c r="D5407" s="3">
        <v>30.0</v>
      </c>
      <c r="E5407" s="3">
        <v>0.97</v>
      </c>
      <c r="F5407" s="3">
        <v>0.72</v>
      </c>
      <c r="G5407" s="3">
        <v>4.7</v>
      </c>
    </row>
    <row r="5408">
      <c r="A5408" s="3">
        <v>172918.0</v>
      </c>
      <c r="B5408" s="3" t="s">
        <v>5435</v>
      </c>
      <c r="C5408" s="3" t="s">
        <v>225</v>
      </c>
      <c r="D5408" s="3">
        <v>36.0</v>
      </c>
      <c r="E5408" s="3">
        <v>2.07</v>
      </c>
      <c r="F5408" s="3">
        <v>1.11</v>
      </c>
      <c r="G5408" s="3">
        <v>3.27</v>
      </c>
    </row>
    <row r="5409">
      <c r="A5409" s="3">
        <v>172919.0</v>
      </c>
      <c r="B5409" s="3" t="s">
        <v>5436</v>
      </c>
      <c r="C5409" s="3" t="s">
        <v>225</v>
      </c>
      <c r="D5409" s="3">
        <v>56.0</v>
      </c>
      <c r="E5409" s="3">
        <v>1.71</v>
      </c>
      <c r="F5409" s="3">
        <v>1.78</v>
      </c>
      <c r="G5409" s="3">
        <v>8.44</v>
      </c>
    </row>
    <row r="5410">
      <c r="A5410" s="3">
        <v>172920.0</v>
      </c>
      <c r="B5410" s="3" t="s">
        <v>5437</v>
      </c>
      <c r="C5410" s="3" t="s">
        <v>225</v>
      </c>
      <c r="D5410" s="3">
        <v>47.0</v>
      </c>
      <c r="E5410" s="3">
        <v>1.06</v>
      </c>
      <c r="F5410" s="3">
        <v>0.82</v>
      </c>
      <c r="G5410" s="3">
        <v>8.54</v>
      </c>
    </row>
    <row r="5411">
      <c r="A5411" s="3">
        <v>172921.0</v>
      </c>
      <c r="B5411" s="3" t="s">
        <v>5438</v>
      </c>
      <c r="C5411" s="3" t="s">
        <v>225</v>
      </c>
      <c r="D5411" s="3">
        <v>33.0</v>
      </c>
      <c r="E5411" s="3">
        <v>0.78</v>
      </c>
      <c r="F5411" s="3">
        <v>1.21</v>
      </c>
      <c r="G5411" s="3">
        <v>5.35</v>
      </c>
    </row>
    <row r="5412">
      <c r="A5412" s="3">
        <v>172922.0</v>
      </c>
      <c r="B5412" s="3" t="s">
        <v>5439</v>
      </c>
      <c r="C5412" s="3" t="s">
        <v>225</v>
      </c>
      <c r="D5412" s="3">
        <v>3.0</v>
      </c>
      <c r="E5412" s="3">
        <v>0.08</v>
      </c>
      <c r="F5412" s="3">
        <v>0.21</v>
      </c>
      <c r="G5412" s="3">
        <v>0.25</v>
      </c>
    </row>
    <row r="5413">
      <c r="A5413" s="3">
        <v>172923.0</v>
      </c>
      <c r="B5413" s="3" t="s">
        <v>5440</v>
      </c>
      <c r="C5413" s="3" t="s">
        <v>225</v>
      </c>
      <c r="D5413" s="3">
        <v>3.0</v>
      </c>
      <c r="E5413" s="3">
        <v>0.08</v>
      </c>
      <c r="F5413" s="3">
        <v>0.21</v>
      </c>
      <c r="G5413" s="3">
        <v>0.25</v>
      </c>
    </row>
    <row r="5414">
      <c r="A5414" s="3">
        <v>172924.0</v>
      </c>
      <c r="B5414" s="3" t="s">
        <v>5441</v>
      </c>
      <c r="C5414" s="3" t="s">
        <v>225</v>
      </c>
      <c r="D5414" s="3">
        <v>4.0</v>
      </c>
      <c r="E5414" s="3">
        <v>0.23</v>
      </c>
      <c r="F5414" s="3">
        <v>0.28</v>
      </c>
      <c r="G5414" s="3">
        <v>0.3</v>
      </c>
    </row>
    <row r="5415">
      <c r="A5415" s="3">
        <v>172925.0</v>
      </c>
      <c r="B5415" s="3" t="s">
        <v>5442</v>
      </c>
      <c r="C5415" s="3" t="s">
        <v>225</v>
      </c>
      <c r="D5415" s="3">
        <v>23.0</v>
      </c>
      <c r="E5415" s="3">
        <v>0.55</v>
      </c>
      <c r="F5415" s="3">
        <v>0.84</v>
      </c>
      <c r="G5415" s="3">
        <v>3.67</v>
      </c>
    </row>
    <row r="5416">
      <c r="A5416" s="3">
        <v>172926.0</v>
      </c>
      <c r="B5416" s="3" t="s">
        <v>5443</v>
      </c>
      <c r="C5416" s="3" t="s">
        <v>189</v>
      </c>
      <c r="D5416" s="3">
        <v>235.0</v>
      </c>
      <c r="E5416" s="3">
        <v>16.5</v>
      </c>
      <c r="F5416" s="3">
        <v>11.8</v>
      </c>
      <c r="G5416" s="3">
        <v>9.2</v>
      </c>
    </row>
    <row r="5417">
      <c r="A5417" s="3">
        <v>172927.0</v>
      </c>
      <c r="B5417" s="3" t="s">
        <v>5444</v>
      </c>
      <c r="C5417" s="3" t="s">
        <v>189</v>
      </c>
      <c r="D5417" s="3">
        <v>139.0</v>
      </c>
      <c r="E5417" s="3">
        <v>6.21</v>
      </c>
      <c r="F5417" s="3">
        <v>16.3</v>
      </c>
      <c r="G5417" s="3">
        <v>3.34</v>
      </c>
    </row>
    <row r="5418">
      <c r="A5418" s="3">
        <v>172928.0</v>
      </c>
      <c r="B5418" s="3" t="s">
        <v>5445</v>
      </c>
      <c r="C5418" s="3" t="s">
        <v>189</v>
      </c>
      <c r="D5418" s="3">
        <v>201.0</v>
      </c>
      <c r="E5418" s="3">
        <v>13.1</v>
      </c>
      <c r="F5418" s="3">
        <v>13.45</v>
      </c>
      <c r="G5418" s="3">
        <v>6.55</v>
      </c>
    </row>
    <row r="5419">
      <c r="A5419" s="3">
        <v>172929.0</v>
      </c>
      <c r="B5419" s="3" t="s">
        <v>5446</v>
      </c>
      <c r="C5419" s="3" t="s">
        <v>189</v>
      </c>
      <c r="D5419" s="3">
        <v>462.0</v>
      </c>
      <c r="E5419" s="3">
        <v>43.84</v>
      </c>
      <c r="F5419" s="3">
        <v>11.4</v>
      </c>
      <c r="G5419" s="3">
        <v>4.67</v>
      </c>
    </row>
    <row r="5420">
      <c r="A5420" s="3">
        <v>172930.0</v>
      </c>
      <c r="B5420" s="3" t="s">
        <v>5447</v>
      </c>
      <c r="C5420" s="3" t="s">
        <v>189</v>
      </c>
      <c r="D5420" s="3">
        <v>319.0</v>
      </c>
      <c r="E5420" s="3">
        <v>28.0</v>
      </c>
      <c r="F5420" s="3">
        <v>14.2</v>
      </c>
      <c r="G5420" s="3">
        <v>1.5</v>
      </c>
    </row>
    <row r="5421">
      <c r="A5421" s="3">
        <v>172931.0</v>
      </c>
      <c r="B5421" s="3" t="s">
        <v>5448</v>
      </c>
      <c r="C5421" s="3" t="s">
        <v>189</v>
      </c>
      <c r="D5421" s="3">
        <v>141.0</v>
      </c>
      <c r="E5421" s="3">
        <v>4.8</v>
      </c>
      <c r="F5421" s="3">
        <v>18.4</v>
      </c>
      <c r="G5421" s="3">
        <v>4.9</v>
      </c>
    </row>
    <row r="5422">
      <c r="A5422" s="3">
        <v>172932.0</v>
      </c>
      <c r="B5422" s="3" t="s">
        <v>5449</v>
      </c>
      <c r="C5422" s="3" t="s">
        <v>189</v>
      </c>
      <c r="D5422" s="3">
        <v>282.0</v>
      </c>
      <c r="E5422" s="3">
        <v>22.3</v>
      </c>
      <c r="F5422" s="3">
        <v>12.07</v>
      </c>
      <c r="G5422" s="3">
        <v>7.53</v>
      </c>
    </row>
    <row r="5423">
      <c r="A5423" s="3">
        <v>172933.0</v>
      </c>
      <c r="B5423" s="3" t="s">
        <v>5450</v>
      </c>
      <c r="C5423" s="3" t="s">
        <v>189</v>
      </c>
      <c r="D5423" s="3">
        <v>232.0</v>
      </c>
      <c r="E5423" s="3">
        <v>16.64</v>
      </c>
      <c r="F5423" s="3">
        <v>14.92</v>
      </c>
      <c r="G5423" s="3">
        <v>4.76</v>
      </c>
    </row>
    <row r="5424">
      <c r="A5424" s="3">
        <v>172934.0</v>
      </c>
      <c r="B5424" s="3" t="s">
        <v>5451</v>
      </c>
      <c r="C5424" s="3" t="s">
        <v>189</v>
      </c>
      <c r="D5424" s="3">
        <v>288.0</v>
      </c>
      <c r="E5424" s="3">
        <v>24.8</v>
      </c>
      <c r="F5424" s="3">
        <v>15.39</v>
      </c>
      <c r="G5424" s="3">
        <v>0.93</v>
      </c>
    </row>
    <row r="5425">
      <c r="A5425" s="3">
        <v>172935.0</v>
      </c>
      <c r="B5425" s="3" t="s">
        <v>5452</v>
      </c>
      <c r="C5425" s="3" t="s">
        <v>189</v>
      </c>
      <c r="D5425" s="3">
        <v>261.0</v>
      </c>
      <c r="E5425" s="3">
        <v>22.2</v>
      </c>
      <c r="F5425" s="3">
        <v>12.6</v>
      </c>
      <c r="G5425" s="3">
        <v>1.9</v>
      </c>
    </row>
    <row r="5426">
      <c r="A5426" s="3">
        <v>172936.0</v>
      </c>
      <c r="B5426" s="3" t="s">
        <v>5453</v>
      </c>
      <c r="C5426" s="3" t="s">
        <v>189</v>
      </c>
      <c r="D5426" s="3">
        <v>336.0</v>
      </c>
      <c r="E5426" s="3">
        <v>25.9</v>
      </c>
      <c r="F5426" s="3">
        <v>21.85</v>
      </c>
      <c r="G5426" s="3">
        <v>2.4</v>
      </c>
    </row>
    <row r="5427">
      <c r="A5427" s="3">
        <v>172937.0</v>
      </c>
      <c r="B5427" s="3" t="s">
        <v>5454</v>
      </c>
      <c r="C5427" s="3" t="s">
        <v>189</v>
      </c>
      <c r="D5427" s="3">
        <v>172.0</v>
      </c>
      <c r="E5427" s="3">
        <v>9.21</v>
      </c>
      <c r="F5427" s="3">
        <v>19.2</v>
      </c>
      <c r="G5427" s="3">
        <v>1.55</v>
      </c>
    </row>
    <row r="5428">
      <c r="A5428" s="3">
        <v>172938.0</v>
      </c>
      <c r="B5428" s="3" t="s">
        <v>5455</v>
      </c>
      <c r="C5428" s="3" t="s">
        <v>189</v>
      </c>
      <c r="D5428" s="3">
        <v>407.0</v>
      </c>
      <c r="E5428" s="3">
        <v>33.72</v>
      </c>
      <c r="F5428" s="3">
        <v>22.58</v>
      </c>
      <c r="G5428" s="3">
        <v>1.6</v>
      </c>
    </row>
    <row r="5429">
      <c r="A5429" s="3">
        <v>172939.0</v>
      </c>
      <c r="B5429" s="3" t="s">
        <v>5456</v>
      </c>
      <c r="C5429" s="3" t="s">
        <v>189</v>
      </c>
      <c r="D5429" s="3">
        <v>313.0</v>
      </c>
      <c r="E5429" s="3">
        <v>27.61</v>
      </c>
      <c r="F5429" s="3">
        <v>13.28</v>
      </c>
      <c r="G5429" s="3">
        <v>1.92</v>
      </c>
    </row>
    <row r="5430">
      <c r="A5430" s="3">
        <v>172940.0</v>
      </c>
      <c r="B5430" s="3" t="s">
        <v>5457</v>
      </c>
      <c r="C5430" s="3" t="s">
        <v>189</v>
      </c>
      <c r="D5430" s="3">
        <v>362.0</v>
      </c>
      <c r="E5430" s="3">
        <v>30.43</v>
      </c>
      <c r="F5430" s="3">
        <v>17.45</v>
      </c>
      <c r="G5430" s="3">
        <v>3.33</v>
      </c>
    </row>
    <row r="5431">
      <c r="A5431" s="3">
        <v>172941.0</v>
      </c>
      <c r="B5431" s="3" t="s">
        <v>5458</v>
      </c>
      <c r="C5431" s="3" t="s">
        <v>189</v>
      </c>
      <c r="D5431" s="3">
        <v>106.0</v>
      </c>
      <c r="E5431" s="3">
        <v>3.77</v>
      </c>
      <c r="F5431" s="3">
        <v>14.81</v>
      </c>
      <c r="G5431" s="3">
        <v>2.2</v>
      </c>
    </row>
    <row r="5432">
      <c r="A5432" s="3">
        <v>172942.0</v>
      </c>
      <c r="B5432" s="3" t="s">
        <v>5459</v>
      </c>
      <c r="C5432" s="3" t="s">
        <v>189</v>
      </c>
      <c r="D5432" s="3">
        <v>230.0</v>
      </c>
      <c r="E5432" s="3">
        <v>19.4</v>
      </c>
      <c r="F5432" s="3">
        <v>10.5</v>
      </c>
      <c r="G5432" s="3">
        <v>2.6</v>
      </c>
    </row>
    <row r="5433">
      <c r="A5433" s="3">
        <v>172943.0</v>
      </c>
      <c r="B5433" s="3" t="s">
        <v>5460</v>
      </c>
      <c r="C5433" s="3" t="s">
        <v>189</v>
      </c>
      <c r="D5433" s="3">
        <v>182.0</v>
      </c>
      <c r="E5433" s="3">
        <v>10.5</v>
      </c>
      <c r="F5433" s="3">
        <v>18.58</v>
      </c>
      <c r="G5433" s="3">
        <v>2.18</v>
      </c>
    </row>
    <row r="5434">
      <c r="A5434" s="3">
        <v>172944.0</v>
      </c>
      <c r="B5434" s="3" t="s">
        <v>5461</v>
      </c>
      <c r="C5434" s="3" t="s">
        <v>189</v>
      </c>
      <c r="D5434" s="3">
        <v>331.0</v>
      </c>
      <c r="E5434" s="3">
        <v>29.35</v>
      </c>
      <c r="F5434" s="3">
        <v>14.25</v>
      </c>
      <c r="G5434" s="3">
        <v>2.6</v>
      </c>
    </row>
    <row r="5435">
      <c r="A5435" s="3">
        <v>172945.0</v>
      </c>
      <c r="B5435" s="3" t="s">
        <v>5462</v>
      </c>
      <c r="C5435" s="3" t="s">
        <v>189</v>
      </c>
      <c r="D5435" s="3">
        <v>109.0</v>
      </c>
      <c r="E5435" s="3">
        <v>1.5</v>
      </c>
      <c r="F5435" s="3">
        <v>19.85</v>
      </c>
      <c r="G5435" s="3">
        <v>4.3</v>
      </c>
    </row>
    <row r="5436">
      <c r="A5436" s="3">
        <v>172946.0</v>
      </c>
      <c r="B5436" s="3" t="s">
        <v>5463</v>
      </c>
      <c r="C5436" s="3" t="s">
        <v>189</v>
      </c>
      <c r="D5436" s="3">
        <v>180.0</v>
      </c>
      <c r="E5436" s="3">
        <v>11.15</v>
      </c>
      <c r="F5436" s="3">
        <v>16.3</v>
      </c>
      <c r="G5436" s="3">
        <v>3.65</v>
      </c>
    </row>
    <row r="5437">
      <c r="A5437" s="3">
        <v>172947.0</v>
      </c>
      <c r="B5437" s="3" t="s">
        <v>5464</v>
      </c>
      <c r="C5437" s="3" t="s">
        <v>189</v>
      </c>
      <c r="D5437" s="3">
        <v>368.0</v>
      </c>
      <c r="E5437" s="3">
        <v>28.7</v>
      </c>
      <c r="F5437" s="3">
        <v>25.9</v>
      </c>
      <c r="G5437" s="3">
        <v>1.6</v>
      </c>
    </row>
    <row r="5438">
      <c r="A5438" s="3">
        <v>172948.0</v>
      </c>
      <c r="B5438" s="3" t="s">
        <v>5465</v>
      </c>
      <c r="C5438" s="3" t="s">
        <v>189</v>
      </c>
      <c r="D5438" s="3">
        <v>101.0</v>
      </c>
      <c r="E5438" s="3">
        <v>2.5</v>
      </c>
      <c r="F5438" s="3">
        <v>8.0</v>
      </c>
      <c r="G5438" s="3">
        <v>11.54</v>
      </c>
    </row>
    <row r="5439">
      <c r="A5439" s="3">
        <v>172949.0</v>
      </c>
      <c r="B5439" s="3" t="s">
        <v>5466</v>
      </c>
      <c r="C5439" s="3" t="s">
        <v>189</v>
      </c>
      <c r="D5439" s="3">
        <v>109.0</v>
      </c>
      <c r="E5439" s="3">
        <v>1.59</v>
      </c>
      <c r="F5439" s="3">
        <v>12.5</v>
      </c>
      <c r="G5439" s="3">
        <v>11.21</v>
      </c>
    </row>
    <row r="5440">
      <c r="A5440" s="3">
        <v>172950.0</v>
      </c>
      <c r="B5440" s="3" t="s">
        <v>5467</v>
      </c>
      <c r="C5440" s="3" t="s">
        <v>189</v>
      </c>
      <c r="D5440" s="3">
        <v>293.0</v>
      </c>
      <c r="E5440" s="3">
        <v>25.1</v>
      </c>
      <c r="F5440" s="3">
        <v>12.5</v>
      </c>
      <c r="G5440" s="3">
        <v>3.4</v>
      </c>
    </row>
    <row r="5441">
      <c r="A5441" s="3">
        <v>172951.0</v>
      </c>
      <c r="B5441" s="3" t="s">
        <v>5468</v>
      </c>
      <c r="C5441" s="3" t="s">
        <v>189</v>
      </c>
      <c r="D5441" s="3">
        <v>315.0</v>
      </c>
      <c r="E5441" s="3">
        <v>26.6</v>
      </c>
      <c r="F5441" s="3">
        <v>13.4</v>
      </c>
      <c r="G5441" s="3">
        <v>4.6</v>
      </c>
    </row>
    <row r="5442">
      <c r="A5442" s="3">
        <v>172952.0</v>
      </c>
      <c r="B5442" s="3" t="s">
        <v>5469</v>
      </c>
      <c r="C5442" s="3" t="s">
        <v>189</v>
      </c>
      <c r="D5442" s="3">
        <v>149.0</v>
      </c>
      <c r="E5442" s="3">
        <v>8.42</v>
      </c>
      <c r="F5442" s="3">
        <v>16.13</v>
      </c>
      <c r="G5442" s="3">
        <v>2.1</v>
      </c>
    </row>
    <row r="5443">
      <c r="A5443" s="3">
        <v>172953.0</v>
      </c>
      <c r="B5443" s="3" t="s">
        <v>5470</v>
      </c>
      <c r="C5443" s="3" t="s">
        <v>189</v>
      </c>
      <c r="D5443" s="3">
        <v>259.0</v>
      </c>
      <c r="E5443" s="3">
        <v>19.4</v>
      </c>
      <c r="F5443" s="3">
        <v>17.6</v>
      </c>
      <c r="G5443" s="3">
        <v>3.6</v>
      </c>
    </row>
    <row r="5444">
      <c r="A5444" s="3">
        <v>172954.0</v>
      </c>
      <c r="B5444" s="3" t="s">
        <v>5471</v>
      </c>
      <c r="C5444" s="3" t="s">
        <v>189</v>
      </c>
      <c r="D5444" s="3">
        <v>301.0</v>
      </c>
      <c r="E5444" s="3">
        <v>26.56</v>
      </c>
      <c r="F5444" s="3">
        <v>12.07</v>
      </c>
      <c r="G5444" s="3">
        <v>1.98</v>
      </c>
    </row>
    <row r="5445">
      <c r="A5445" s="3">
        <v>172955.0</v>
      </c>
      <c r="B5445" s="3" t="s">
        <v>5472</v>
      </c>
      <c r="C5445" s="3" t="s">
        <v>189</v>
      </c>
      <c r="D5445" s="3">
        <v>296.0</v>
      </c>
      <c r="E5445" s="3">
        <v>25.84</v>
      </c>
      <c r="F5445" s="3">
        <v>12.89</v>
      </c>
      <c r="G5445" s="3">
        <v>2.13</v>
      </c>
    </row>
    <row r="5446">
      <c r="A5446" s="3">
        <v>172956.0</v>
      </c>
      <c r="B5446" s="3" t="s">
        <v>5473</v>
      </c>
      <c r="C5446" s="3" t="s">
        <v>189</v>
      </c>
      <c r="D5446" s="3">
        <v>297.0</v>
      </c>
      <c r="E5446" s="3">
        <v>26.34</v>
      </c>
      <c r="F5446" s="3">
        <v>12.2</v>
      </c>
      <c r="G5446" s="3">
        <v>2.0</v>
      </c>
    </row>
    <row r="5447">
      <c r="A5447" s="3">
        <v>172957.0</v>
      </c>
      <c r="B5447" s="3" t="s">
        <v>5474</v>
      </c>
      <c r="C5447" s="3" t="s">
        <v>189</v>
      </c>
      <c r="D5447" s="3">
        <v>176.0</v>
      </c>
      <c r="E5447" s="3">
        <v>10.35</v>
      </c>
      <c r="F5447" s="3">
        <v>19.44</v>
      </c>
      <c r="G5447" s="3">
        <v>0.0</v>
      </c>
    </row>
    <row r="5448">
      <c r="A5448" s="3">
        <v>172958.0</v>
      </c>
      <c r="B5448" s="3" t="s">
        <v>5475</v>
      </c>
      <c r="C5448" s="3" t="s">
        <v>189</v>
      </c>
      <c r="D5448" s="3">
        <v>186.0</v>
      </c>
      <c r="E5448" s="3">
        <v>13.53</v>
      </c>
      <c r="F5448" s="3">
        <v>14.45</v>
      </c>
      <c r="G5448" s="3">
        <v>1.62</v>
      </c>
    </row>
    <row r="5449">
      <c r="A5449" s="3">
        <v>172959.0</v>
      </c>
      <c r="B5449" s="3" t="s">
        <v>5476</v>
      </c>
      <c r="C5449" s="3" t="s">
        <v>189</v>
      </c>
      <c r="D5449" s="3">
        <v>95.0</v>
      </c>
      <c r="E5449" s="3">
        <v>1.16</v>
      </c>
      <c r="F5449" s="3">
        <v>19.6</v>
      </c>
      <c r="G5449" s="3">
        <v>1.54</v>
      </c>
    </row>
    <row r="5450">
      <c r="A5450" s="3">
        <v>172960.0</v>
      </c>
      <c r="B5450" s="3" t="s">
        <v>5477</v>
      </c>
      <c r="C5450" s="3" t="s">
        <v>189</v>
      </c>
      <c r="D5450" s="3">
        <v>268.0</v>
      </c>
      <c r="E5450" s="3">
        <v>22.6</v>
      </c>
      <c r="F5450" s="3">
        <v>14.8</v>
      </c>
      <c r="G5450" s="3">
        <v>1.4</v>
      </c>
    </row>
    <row r="5451">
      <c r="A5451" s="3">
        <v>172961.0</v>
      </c>
      <c r="B5451" s="3" t="s">
        <v>5478</v>
      </c>
      <c r="C5451" s="3" t="s">
        <v>189</v>
      </c>
      <c r="D5451" s="3">
        <v>276.0</v>
      </c>
      <c r="E5451" s="3">
        <v>22.53</v>
      </c>
      <c r="F5451" s="3">
        <v>14.0</v>
      </c>
      <c r="G5451" s="3">
        <v>4.27</v>
      </c>
    </row>
    <row r="5452">
      <c r="A5452" s="3">
        <v>172962.0</v>
      </c>
      <c r="B5452" s="3" t="s">
        <v>5479</v>
      </c>
      <c r="C5452" s="3" t="s">
        <v>189</v>
      </c>
      <c r="D5452" s="3">
        <v>80.0</v>
      </c>
      <c r="E5452" s="3">
        <v>0.39</v>
      </c>
      <c r="F5452" s="3">
        <v>16.8</v>
      </c>
      <c r="G5452" s="3">
        <v>2.25</v>
      </c>
    </row>
    <row r="5453">
      <c r="A5453" s="3">
        <v>172963.0</v>
      </c>
      <c r="B5453" s="3" t="s">
        <v>5480</v>
      </c>
      <c r="C5453" s="3" t="s">
        <v>189</v>
      </c>
      <c r="D5453" s="3">
        <v>79.0</v>
      </c>
      <c r="E5453" s="3">
        <v>0.39</v>
      </c>
      <c r="F5453" s="3">
        <v>16.79</v>
      </c>
      <c r="G5453" s="3">
        <v>2.17</v>
      </c>
    </row>
    <row r="5454">
      <c r="A5454" s="3">
        <v>172964.0</v>
      </c>
      <c r="B5454" s="3" t="s">
        <v>5481</v>
      </c>
      <c r="C5454" s="3" t="s">
        <v>189</v>
      </c>
      <c r="D5454" s="3">
        <v>269.0</v>
      </c>
      <c r="E5454" s="3">
        <v>23.68</v>
      </c>
      <c r="F5454" s="3">
        <v>12.81</v>
      </c>
      <c r="G5454" s="3">
        <v>0.28</v>
      </c>
    </row>
    <row r="5455">
      <c r="A5455" s="3">
        <v>172965.0</v>
      </c>
      <c r="B5455" s="3" t="s">
        <v>5482</v>
      </c>
      <c r="C5455" s="3" t="s">
        <v>189</v>
      </c>
      <c r="D5455" s="3">
        <v>228.0</v>
      </c>
      <c r="E5455" s="3">
        <v>14.96</v>
      </c>
      <c r="F5455" s="3">
        <v>11.76</v>
      </c>
      <c r="G5455" s="3">
        <v>11.63</v>
      </c>
    </row>
    <row r="5456">
      <c r="A5456" s="3">
        <v>172966.0</v>
      </c>
      <c r="B5456" s="3" t="s">
        <v>5483</v>
      </c>
      <c r="C5456" s="3" t="s">
        <v>189</v>
      </c>
      <c r="D5456" s="3">
        <v>350.0</v>
      </c>
      <c r="E5456" s="3">
        <v>26.4</v>
      </c>
      <c r="F5456" s="3">
        <v>21.8</v>
      </c>
      <c r="G5456" s="3">
        <v>6.4</v>
      </c>
    </row>
    <row r="5457">
      <c r="A5457" s="3">
        <v>172967.0</v>
      </c>
      <c r="B5457" s="3" t="s">
        <v>5484</v>
      </c>
      <c r="C5457" s="3" t="s">
        <v>189</v>
      </c>
      <c r="D5457" s="3">
        <v>327.0</v>
      </c>
      <c r="E5457" s="3">
        <v>28.5</v>
      </c>
      <c r="F5457" s="3">
        <v>11.2</v>
      </c>
      <c r="G5457" s="3">
        <v>6.3</v>
      </c>
    </row>
    <row r="5458">
      <c r="A5458" s="3">
        <v>172968.0</v>
      </c>
      <c r="B5458" s="3" t="s">
        <v>5485</v>
      </c>
      <c r="C5458" s="3" t="s">
        <v>189</v>
      </c>
      <c r="D5458" s="3">
        <v>290.0</v>
      </c>
      <c r="E5458" s="3">
        <v>25.76</v>
      </c>
      <c r="F5458" s="3">
        <v>10.26</v>
      </c>
      <c r="G5458" s="3">
        <v>4.17</v>
      </c>
    </row>
    <row r="5459">
      <c r="A5459" s="3">
        <v>172969.0</v>
      </c>
      <c r="B5459" s="3" t="s">
        <v>5486</v>
      </c>
      <c r="C5459" s="3" t="s">
        <v>189</v>
      </c>
      <c r="D5459" s="3">
        <v>213.0</v>
      </c>
      <c r="E5459" s="3">
        <v>13.87</v>
      </c>
      <c r="F5459" s="3">
        <v>8.06</v>
      </c>
      <c r="G5459" s="3">
        <v>14.06</v>
      </c>
    </row>
    <row r="5460">
      <c r="A5460" s="3">
        <v>172970.0</v>
      </c>
      <c r="B5460" s="3" t="s">
        <v>5487</v>
      </c>
      <c r="C5460" s="3" t="s">
        <v>189</v>
      </c>
      <c r="D5460" s="3">
        <v>298.0</v>
      </c>
      <c r="E5460" s="3">
        <v>26.18</v>
      </c>
      <c r="F5460" s="3">
        <v>9.88</v>
      </c>
      <c r="G5460" s="3">
        <v>5.65</v>
      </c>
    </row>
    <row r="5461">
      <c r="A5461" s="3">
        <v>172971.0</v>
      </c>
      <c r="B5461" s="3" t="s">
        <v>5488</v>
      </c>
      <c r="C5461" s="3" t="s">
        <v>189</v>
      </c>
      <c r="D5461" s="3">
        <v>438.0</v>
      </c>
      <c r="E5461" s="3">
        <v>41.66</v>
      </c>
      <c r="F5461" s="3">
        <v>15.12</v>
      </c>
      <c r="G5461" s="3">
        <v>0.62</v>
      </c>
    </row>
    <row r="5462">
      <c r="A5462" s="3">
        <v>172972.0</v>
      </c>
      <c r="B5462" s="3" t="s">
        <v>5489</v>
      </c>
      <c r="C5462" s="3" t="s">
        <v>222</v>
      </c>
      <c r="D5462" s="3">
        <v>334.0</v>
      </c>
      <c r="E5462" s="3">
        <v>2.73</v>
      </c>
      <c r="F5462" s="3">
        <v>12.64</v>
      </c>
      <c r="G5462" s="3">
        <v>72.62</v>
      </c>
    </row>
    <row r="5463">
      <c r="A5463" s="3">
        <v>172973.0</v>
      </c>
      <c r="B5463" s="3" t="s">
        <v>5490</v>
      </c>
      <c r="C5463" s="3" t="s">
        <v>222</v>
      </c>
      <c r="D5463" s="3">
        <v>405.0</v>
      </c>
      <c r="E5463" s="3">
        <v>3.5</v>
      </c>
      <c r="F5463" s="3">
        <v>3.34</v>
      </c>
      <c r="G5463" s="3">
        <v>87.2</v>
      </c>
    </row>
    <row r="5464">
      <c r="A5464" s="3">
        <v>172974.0</v>
      </c>
      <c r="B5464" s="3" t="s">
        <v>5491</v>
      </c>
      <c r="C5464" s="3" t="s">
        <v>222</v>
      </c>
      <c r="D5464" s="3">
        <v>372.0</v>
      </c>
      <c r="E5464" s="3">
        <v>5.11</v>
      </c>
      <c r="F5464" s="3">
        <v>12.38</v>
      </c>
      <c r="G5464" s="3">
        <v>74.9</v>
      </c>
    </row>
    <row r="5465">
      <c r="A5465" s="3">
        <v>172975.0</v>
      </c>
      <c r="B5465" s="3" t="s">
        <v>5492</v>
      </c>
      <c r="C5465" s="3" t="s">
        <v>222</v>
      </c>
      <c r="D5465" s="3">
        <v>412.0</v>
      </c>
      <c r="E5465" s="3">
        <v>10.38</v>
      </c>
      <c r="F5465" s="3">
        <v>9.66</v>
      </c>
      <c r="G5465" s="3">
        <v>74.67</v>
      </c>
    </row>
    <row r="5466">
      <c r="A5466" s="3">
        <v>172976.0</v>
      </c>
      <c r="B5466" s="3" t="s">
        <v>5493</v>
      </c>
      <c r="C5466" s="3" t="s">
        <v>222</v>
      </c>
      <c r="D5466" s="3">
        <v>388.0</v>
      </c>
      <c r="E5466" s="3">
        <v>5.52</v>
      </c>
      <c r="F5466" s="3">
        <v>8.42</v>
      </c>
      <c r="G5466" s="3">
        <v>80.57</v>
      </c>
    </row>
    <row r="5467">
      <c r="A5467" s="3">
        <v>172977.0</v>
      </c>
      <c r="B5467" s="3" t="s">
        <v>5494</v>
      </c>
      <c r="C5467" s="3" t="s">
        <v>222</v>
      </c>
      <c r="D5467" s="3">
        <v>369.0</v>
      </c>
      <c r="E5467" s="3">
        <v>5.64</v>
      </c>
      <c r="F5467" s="3">
        <v>8.12</v>
      </c>
      <c r="G5467" s="3">
        <v>74.83</v>
      </c>
    </row>
    <row r="5468">
      <c r="A5468" s="3">
        <v>172978.0</v>
      </c>
      <c r="B5468" s="3" t="s">
        <v>5495</v>
      </c>
      <c r="C5468" s="3" t="s">
        <v>222</v>
      </c>
      <c r="D5468" s="3">
        <v>43.0</v>
      </c>
      <c r="E5468" s="3">
        <v>0.95</v>
      </c>
      <c r="F5468" s="3">
        <v>2.03</v>
      </c>
      <c r="G5468" s="3">
        <v>7.49</v>
      </c>
    </row>
    <row r="5469">
      <c r="A5469" s="3">
        <v>172979.0</v>
      </c>
      <c r="B5469" s="3" t="s">
        <v>5496</v>
      </c>
      <c r="C5469" s="3" t="s">
        <v>222</v>
      </c>
      <c r="D5469" s="3">
        <v>61.0</v>
      </c>
      <c r="E5469" s="3">
        <v>0.47</v>
      </c>
      <c r="F5469" s="3">
        <v>2.08</v>
      </c>
      <c r="G5469" s="3">
        <v>13.49</v>
      </c>
    </row>
    <row r="5470">
      <c r="A5470" s="3">
        <v>172980.0</v>
      </c>
      <c r="B5470" s="3" t="s">
        <v>5497</v>
      </c>
      <c r="C5470" s="3" t="s">
        <v>222</v>
      </c>
      <c r="D5470" s="3">
        <v>61.0</v>
      </c>
      <c r="E5470" s="3">
        <v>0.47</v>
      </c>
      <c r="F5470" s="3">
        <v>2.07</v>
      </c>
      <c r="G5470" s="3">
        <v>13.47</v>
      </c>
    </row>
    <row r="5471">
      <c r="A5471" s="3">
        <v>172981.0</v>
      </c>
      <c r="B5471" s="3" t="s">
        <v>5498</v>
      </c>
      <c r="C5471" s="3" t="s">
        <v>222</v>
      </c>
      <c r="D5471" s="3">
        <v>353.0</v>
      </c>
      <c r="E5471" s="3">
        <v>1.41</v>
      </c>
      <c r="F5471" s="3">
        <v>14.44</v>
      </c>
      <c r="G5471" s="3">
        <v>78.15</v>
      </c>
    </row>
    <row r="5472">
      <c r="A5472" s="3">
        <v>172982.0</v>
      </c>
      <c r="B5472" s="3" t="s">
        <v>5499</v>
      </c>
      <c r="C5472" s="3" t="s">
        <v>222</v>
      </c>
      <c r="D5472" s="3">
        <v>396.0</v>
      </c>
      <c r="E5472" s="3">
        <v>4.17</v>
      </c>
      <c r="F5472" s="3">
        <v>4.19</v>
      </c>
      <c r="G5472" s="3">
        <v>86.55</v>
      </c>
    </row>
    <row r="5473">
      <c r="A5473" s="3">
        <v>172983.0</v>
      </c>
      <c r="B5473" s="3" t="s">
        <v>5500</v>
      </c>
      <c r="C5473" s="3" t="s">
        <v>222</v>
      </c>
      <c r="D5473" s="3">
        <v>346.0</v>
      </c>
      <c r="E5473" s="3">
        <v>1.12</v>
      </c>
      <c r="F5473" s="3">
        <v>6.07</v>
      </c>
      <c r="G5473" s="3">
        <v>86.4</v>
      </c>
    </row>
    <row r="5474">
      <c r="A5474" s="3">
        <v>172984.0</v>
      </c>
      <c r="B5474" s="3" t="s">
        <v>5501</v>
      </c>
      <c r="C5474" s="3" t="s">
        <v>222</v>
      </c>
      <c r="D5474" s="3">
        <v>391.0</v>
      </c>
      <c r="E5474" s="3">
        <v>3.2</v>
      </c>
      <c r="F5474" s="3">
        <v>4.69</v>
      </c>
      <c r="G5474" s="3">
        <v>85.94</v>
      </c>
    </row>
    <row r="5475">
      <c r="A5475" s="3">
        <v>172985.0</v>
      </c>
      <c r="B5475" s="3" t="s">
        <v>5502</v>
      </c>
      <c r="C5475" s="3" t="s">
        <v>222</v>
      </c>
      <c r="D5475" s="3">
        <v>407.0</v>
      </c>
      <c r="E5475" s="3">
        <v>7.33</v>
      </c>
      <c r="F5475" s="3">
        <v>7.62</v>
      </c>
      <c r="G5475" s="3">
        <v>79.68</v>
      </c>
    </row>
    <row r="5476">
      <c r="A5476" s="3">
        <v>172986.0</v>
      </c>
      <c r="B5476" s="3" t="s">
        <v>5503</v>
      </c>
      <c r="C5476" s="3" t="s">
        <v>222</v>
      </c>
      <c r="D5476" s="3">
        <v>372.0</v>
      </c>
      <c r="E5476" s="3">
        <v>5.04</v>
      </c>
      <c r="F5476" s="3">
        <v>11.45</v>
      </c>
      <c r="G5476" s="3">
        <v>75.41</v>
      </c>
    </row>
    <row r="5477">
      <c r="A5477" s="3">
        <v>172987.0</v>
      </c>
      <c r="B5477" s="3" t="s">
        <v>5504</v>
      </c>
      <c r="C5477" s="3" t="s">
        <v>222</v>
      </c>
      <c r="D5477" s="3">
        <v>348.0</v>
      </c>
      <c r="E5477" s="3">
        <v>2.01</v>
      </c>
      <c r="F5477" s="3">
        <v>11.24</v>
      </c>
      <c r="G5477" s="3">
        <v>81.01</v>
      </c>
    </row>
    <row r="5478">
      <c r="A5478" s="3">
        <v>172988.0</v>
      </c>
      <c r="B5478" s="3" t="s">
        <v>5505</v>
      </c>
      <c r="C5478" s="3" t="s">
        <v>222</v>
      </c>
      <c r="D5478" s="3">
        <v>366.0</v>
      </c>
      <c r="E5478" s="3">
        <v>9.56</v>
      </c>
      <c r="F5478" s="3">
        <v>31.43</v>
      </c>
      <c r="G5478" s="3">
        <v>49.38</v>
      </c>
    </row>
    <row r="5479">
      <c r="A5479" s="3">
        <v>172989.0</v>
      </c>
      <c r="B5479" s="3" t="s">
        <v>5506</v>
      </c>
      <c r="C5479" s="3" t="s">
        <v>222</v>
      </c>
      <c r="D5479" s="3">
        <v>371.0</v>
      </c>
      <c r="E5479" s="3">
        <v>6.87</v>
      </c>
      <c r="F5479" s="3">
        <v>13.7</v>
      </c>
      <c r="G5479" s="3">
        <v>68.18</v>
      </c>
    </row>
    <row r="5480">
      <c r="A5480" s="3">
        <v>172990.0</v>
      </c>
      <c r="B5480" s="3" t="s">
        <v>5507</v>
      </c>
      <c r="C5480" s="3" t="s">
        <v>222</v>
      </c>
      <c r="D5480" s="3">
        <v>389.0</v>
      </c>
      <c r="E5480" s="3">
        <v>0.87</v>
      </c>
      <c r="F5480" s="3">
        <v>4.25</v>
      </c>
      <c r="G5480" s="3">
        <v>90.2</v>
      </c>
    </row>
    <row r="5481">
      <c r="A5481" s="3">
        <v>172991.0</v>
      </c>
      <c r="B5481" s="3" t="s">
        <v>5508</v>
      </c>
      <c r="C5481" s="3" t="s">
        <v>222</v>
      </c>
      <c r="D5481" s="3">
        <v>360.0</v>
      </c>
      <c r="E5481" s="3">
        <v>4.0</v>
      </c>
      <c r="F5481" s="3">
        <v>9.11</v>
      </c>
      <c r="G5481" s="3">
        <v>75.68</v>
      </c>
    </row>
    <row r="5482">
      <c r="A5482" s="3">
        <v>172992.0</v>
      </c>
      <c r="B5482" s="3" t="s">
        <v>5509</v>
      </c>
      <c r="C5482" s="3" t="s">
        <v>222</v>
      </c>
      <c r="D5482" s="3">
        <v>342.0</v>
      </c>
      <c r="E5482" s="3">
        <v>1.58</v>
      </c>
      <c r="F5482" s="3">
        <v>9.83</v>
      </c>
      <c r="G5482" s="3">
        <v>75.86</v>
      </c>
    </row>
    <row r="5483">
      <c r="A5483" s="3">
        <v>172993.0</v>
      </c>
      <c r="B5483" s="3" t="s">
        <v>5510</v>
      </c>
      <c r="C5483" s="3" t="s">
        <v>222</v>
      </c>
      <c r="D5483" s="3">
        <v>360.0</v>
      </c>
      <c r="E5483" s="3">
        <v>4.67</v>
      </c>
      <c r="F5483" s="3">
        <v>8.8</v>
      </c>
      <c r="G5483" s="3">
        <v>74.18</v>
      </c>
    </row>
    <row r="5484">
      <c r="A5484" s="3">
        <v>172994.0</v>
      </c>
      <c r="B5484" s="3" t="s">
        <v>5511</v>
      </c>
      <c r="C5484" s="3" t="s">
        <v>222</v>
      </c>
      <c r="D5484" s="3">
        <v>355.0</v>
      </c>
      <c r="E5484" s="3">
        <v>4.68</v>
      </c>
      <c r="F5484" s="3">
        <v>10.73</v>
      </c>
      <c r="G5484" s="3">
        <v>71.08</v>
      </c>
    </row>
    <row r="5485">
      <c r="A5485" s="3">
        <v>172995.0</v>
      </c>
      <c r="B5485" s="3" t="s">
        <v>5512</v>
      </c>
      <c r="C5485" s="3" t="s">
        <v>222</v>
      </c>
      <c r="D5485" s="3">
        <v>398.0</v>
      </c>
      <c r="E5485" s="3">
        <v>9.97</v>
      </c>
      <c r="F5485" s="3">
        <v>4.46</v>
      </c>
      <c r="G5485" s="3">
        <v>74.68</v>
      </c>
    </row>
    <row r="5486">
      <c r="A5486" s="3">
        <v>172996.0</v>
      </c>
      <c r="B5486" s="3" t="s">
        <v>5513</v>
      </c>
      <c r="C5486" s="3" t="s">
        <v>222</v>
      </c>
      <c r="D5486" s="3">
        <v>342.0</v>
      </c>
      <c r="E5486" s="3">
        <v>1.87</v>
      </c>
      <c r="F5486" s="3">
        <v>7.63</v>
      </c>
      <c r="G5486" s="3">
        <v>80.37</v>
      </c>
    </row>
    <row r="5487">
      <c r="A5487" s="3">
        <v>172997.0</v>
      </c>
      <c r="B5487" s="3" t="s">
        <v>5514</v>
      </c>
      <c r="C5487" s="3" t="s">
        <v>222</v>
      </c>
      <c r="D5487" s="3">
        <v>443.0</v>
      </c>
      <c r="E5487" s="3">
        <v>11.48</v>
      </c>
      <c r="F5487" s="3">
        <v>4.9</v>
      </c>
      <c r="G5487" s="3">
        <v>79.91</v>
      </c>
    </row>
    <row r="5488">
      <c r="A5488" s="3">
        <v>172998.0</v>
      </c>
      <c r="B5488" s="3" t="s">
        <v>5515</v>
      </c>
      <c r="C5488" s="3" t="s">
        <v>222</v>
      </c>
      <c r="D5488" s="3">
        <v>365.0</v>
      </c>
      <c r="E5488" s="3">
        <v>0.49</v>
      </c>
      <c r="F5488" s="3">
        <v>10.48</v>
      </c>
      <c r="G5488" s="3">
        <v>77.2</v>
      </c>
    </row>
    <row r="5489">
      <c r="A5489" s="3">
        <v>172999.0</v>
      </c>
      <c r="B5489" s="3" t="s">
        <v>5516</v>
      </c>
      <c r="C5489" s="3" t="s">
        <v>222</v>
      </c>
      <c r="D5489" s="3">
        <v>368.0</v>
      </c>
      <c r="E5489" s="3">
        <v>0.47</v>
      </c>
      <c r="F5489" s="3">
        <v>8.82</v>
      </c>
      <c r="G5489" s="3">
        <v>80.52</v>
      </c>
    </row>
    <row r="5490">
      <c r="A5490" s="3">
        <v>173000.0</v>
      </c>
      <c r="B5490" s="3" t="s">
        <v>5517</v>
      </c>
      <c r="C5490" s="3" t="s">
        <v>222</v>
      </c>
      <c r="D5490" s="3">
        <v>354.0</v>
      </c>
      <c r="E5490" s="3">
        <v>1.94</v>
      </c>
      <c r="F5490" s="3">
        <v>9.09</v>
      </c>
      <c r="G5490" s="3">
        <v>81.81</v>
      </c>
    </row>
    <row r="5491">
      <c r="A5491" s="3">
        <v>173001.0</v>
      </c>
      <c r="B5491" s="3" t="s">
        <v>5518</v>
      </c>
      <c r="C5491" s="3" t="s">
        <v>222</v>
      </c>
      <c r="D5491" s="3">
        <v>404.0</v>
      </c>
      <c r="E5491" s="3">
        <v>3.15</v>
      </c>
      <c r="F5491" s="3">
        <v>3.9</v>
      </c>
      <c r="G5491" s="3">
        <v>90.1</v>
      </c>
    </row>
    <row r="5492">
      <c r="A5492" s="3">
        <v>173002.0</v>
      </c>
      <c r="B5492" s="3" t="s">
        <v>5519</v>
      </c>
      <c r="C5492" s="3" t="s">
        <v>222</v>
      </c>
      <c r="D5492" s="3">
        <v>390.0</v>
      </c>
      <c r="E5492" s="3">
        <v>3.36</v>
      </c>
      <c r="F5492" s="3">
        <v>10.21</v>
      </c>
      <c r="G5492" s="3">
        <v>79.77</v>
      </c>
    </row>
    <row r="5493">
      <c r="A5493" s="3">
        <v>173003.0</v>
      </c>
      <c r="B5493" s="3" t="s">
        <v>5520</v>
      </c>
      <c r="C5493" s="3" t="s">
        <v>222</v>
      </c>
      <c r="D5493" s="3">
        <v>376.0</v>
      </c>
      <c r="E5493" s="3">
        <v>1.05</v>
      </c>
      <c r="F5493" s="3">
        <v>5.83</v>
      </c>
      <c r="G5493" s="3">
        <v>85.79</v>
      </c>
    </row>
    <row r="5494">
      <c r="A5494" s="3">
        <v>173004.0</v>
      </c>
      <c r="B5494" s="3" t="s">
        <v>5521</v>
      </c>
      <c r="C5494" s="3" t="s">
        <v>222</v>
      </c>
      <c r="D5494" s="3">
        <v>47.0</v>
      </c>
      <c r="E5494" s="3">
        <v>0.1</v>
      </c>
      <c r="F5494" s="3">
        <v>1.37</v>
      </c>
      <c r="G5494" s="3">
        <v>9.22</v>
      </c>
    </row>
    <row r="5495">
      <c r="A5495" s="3">
        <v>173005.0</v>
      </c>
      <c r="B5495" s="3" t="s">
        <v>5522</v>
      </c>
      <c r="C5495" s="3" t="s">
        <v>222</v>
      </c>
      <c r="D5495" s="3">
        <v>384.0</v>
      </c>
      <c r="E5495" s="3">
        <v>5.9</v>
      </c>
      <c r="F5495" s="3">
        <v>8.9</v>
      </c>
      <c r="G5495" s="3">
        <v>76.6</v>
      </c>
    </row>
    <row r="5496">
      <c r="A5496" s="3">
        <v>173006.0</v>
      </c>
      <c r="B5496" s="3" t="s">
        <v>5523</v>
      </c>
      <c r="C5496" s="3" t="s">
        <v>33</v>
      </c>
      <c r="D5496" s="3">
        <v>409.0</v>
      </c>
      <c r="E5496" s="3">
        <v>9.09</v>
      </c>
      <c r="F5496" s="3">
        <v>9.09</v>
      </c>
      <c r="G5496" s="3">
        <v>72.73</v>
      </c>
    </row>
    <row r="5497">
      <c r="A5497" s="3">
        <v>173007.0</v>
      </c>
      <c r="B5497" s="3" t="s">
        <v>5524</v>
      </c>
      <c r="C5497" s="3" t="s">
        <v>222</v>
      </c>
      <c r="D5497" s="3">
        <v>373.0</v>
      </c>
      <c r="E5497" s="3">
        <v>4.14</v>
      </c>
      <c r="F5497" s="3">
        <v>9.33</v>
      </c>
      <c r="G5497" s="3">
        <v>78.56</v>
      </c>
    </row>
    <row r="5498">
      <c r="A5498" s="3">
        <v>173008.0</v>
      </c>
      <c r="B5498" s="3" t="s">
        <v>5525</v>
      </c>
      <c r="C5498" s="3" t="s">
        <v>222</v>
      </c>
      <c r="D5498" s="3">
        <v>56.0</v>
      </c>
      <c r="E5498" s="3">
        <v>0.2</v>
      </c>
      <c r="F5498" s="3">
        <v>1.44</v>
      </c>
      <c r="G5498" s="3">
        <v>11.74</v>
      </c>
    </row>
    <row r="5499">
      <c r="A5499" s="3">
        <v>173009.0</v>
      </c>
      <c r="B5499" s="3" t="s">
        <v>5526</v>
      </c>
      <c r="C5499" s="3" t="s">
        <v>222</v>
      </c>
      <c r="D5499" s="3">
        <v>52.0</v>
      </c>
      <c r="E5499" s="3">
        <v>0.37</v>
      </c>
      <c r="F5499" s="3">
        <v>1.88</v>
      </c>
      <c r="G5499" s="3">
        <v>10.1</v>
      </c>
    </row>
    <row r="5500">
      <c r="A5500" s="3">
        <v>173010.0</v>
      </c>
      <c r="B5500" s="3" t="s">
        <v>5527</v>
      </c>
      <c r="C5500" s="3" t="s">
        <v>222</v>
      </c>
      <c r="D5500" s="3">
        <v>359.0</v>
      </c>
      <c r="E5500" s="3">
        <v>1.47</v>
      </c>
      <c r="F5500" s="3">
        <v>11.77</v>
      </c>
      <c r="G5500" s="3">
        <v>72.63</v>
      </c>
    </row>
    <row r="5501">
      <c r="A5501" s="3">
        <v>173011.0</v>
      </c>
      <c r="B5501" s="3" t="s">
        <v>5528</v>
      </c>
      <c r="C5501" s="3" t="s">
        <v>222</v>
      </c>
      <c r="D5501" s="3">
        <v>56.0</v>
      </c>
      <c r="E5501" s="3">
        <v>0.42</v>
      </c>
      <c r="F5501" s="3">
        <v>1.65</v>
      </c>
      <c r="G5501" s="3">
        <v>11.16</v>
      </c>
    </row>
    <row r="5502">
      <c r="A5502" s="3">
        <v>173012.0</v>
      </c>
      <c r="B5502" s="3" t="s">
        <v>5529</v>
      </c>
      <c r="C5502" s="3" t="s">
        <v>222</v>
      </c>
      <c r="D5502" s="3">
        <v>55.0</v>
      </c>
      <c r="E5502" s="3">
        <v>0.37</v>
      </c>
      <c r="F5502" s="3">
        <v>1.95</v>
      </c>
      <c r="G5502" s="3">
        <v>10.67</v>
      </c>
    </row>
    <row r="5503">
      <c r="A5503" s="3">
        <v>173013.0</v>
      </c>
      <c r="B5503" s="3" t="s">
        <v>5530</v>
      </c>
      <c r="C5503" s="3" t="s">
        <v>222</v>
      </c>
      <c r="D5503" s="3">
        <v>395.0</v>
      </c>
      <c r="E5503" s="3">
        <v>3.99</v>
      </c>
      <c r="F5503" s="3">
        <v>4.6</v>
      </c>
      <c r="G5503" s="3">
        <v>87.1</v>
      </c>
    </row>
    <row r="5504">
      <c r="A5504" s="3">
        <v>173014.0</v>
      </c>
      <c r="B5504" s="3" t="s">
        <v>5531</v>
      </c>
      <c r="C5504" s="3" t="s">
        <v>222</v>
      </c>
      <c r="D5504" s="3">
        <v>380.0</v>
      </c>
      <c r="E5504" s="3">
        <v>4.83</v>
      </c>
      <c r="F5504" s="3">
        <v>11.3</v>
      </c>
      <c r="G5504" s="3">
        <v>78.04</v>
      </c>
    </row>
    <row r="5505">
      <c r="A5505" s="3">
        <v>173015.0</v>
      </c>
      <c r="B5505" s="3" t="s">
        <v>5532</v>
      </c>
      <c r="C5505" s="3" t="s">
        <v>222</v>
      </c>
      <c r="D5505" s="3">
        <v>394.0</v>
      </c>
      <c r="E5505" s="3">
        <v>5.1</v>
      </c>
      <c r="F5505" s="3">
        <v>7.9</v>
      </c>
      <c r="G5505" s="3">
        <v>81.8</v>
      </c>
    </row>
    <row r="5506">
      <c r="A5506" s="3">
        <v>173016.0</v>
      </c>
      <c r="B5506" s="3" t="s">
        <v>5533</v>
      </c>
      <c r="C5506" s="3" t="s">
        <v>222</v>
      </c>
      <c r="D5506" s="3">
        <v>358.0</v>
      </c>
      <c r="E5506" s="3">
        <v>6.11</v>
      </c>
      <c r="F5506" s="3">
        <v>11.26</v>
      </c>
      <c r="G5506" s="3">
        <v>69.45</v>
      </c>
    </row>
    <row r="5507">
      <c r="A5507" s="3">
        <v>173017.0</v>
      </c>
      <c r="B5507" s="3" t="s">
        <v>5534</v>
      </c>
      <c r="C5507" s="3" t="s">
        <v>222</v>
      </c>
      <c r="D5507" s="3">
        <v>350.0</v>
      </c>
      <c r="E5507" s="3">
        <v>5.46</v>
      </c>
      <c r="F5507" s="3">
        <v>11.91</v>
      </c>
      <c r="G5507" s="3">
        <v>75.27</v>
      </c>
    </row>
    <row r="5508">
      <c r="A5508" s="3">
        <v>173018.0</v>
      </c>
      <c r="B5508" s="3" t="s">
        <v>5535</v>
      </c>
      <c r="C5508" s="3" t="s">
        <v>222</v>
      </c>
      <c r="D5508" s="3">
        <v>333.0</v>
      </c>
      <c r="E5508" s="3">
        <v>3.7</v>
      </c>
      <c r="F5508" s="3">
        <v>7.41</v>
      </c>
      <c r="G5508" s="3">
        <v>84.0</v>
      </c>
    </row>
    <row r="5509">
      <c r="A5509" s="3">
        <v>173019.0</v>
      </c>
      <c r="B5509" s="3" t="s">
        <v>5536</v>
      </c>
      <c r="C5509" s="3" t="s">
        <v>222</v>
      </c>
      <c r="D5509" s="3">
        <v>399.0</v>
      </c>
      <c r="E5509" s="3">
        <v>4.9</v>
      </c>
      <c r="F5509" s="3">
        <v>6.7</v>
      </c>
      <c r="G5509" s="3">
        <v>83.3</v>
      </c>
    </row>
    <row r="5510">
      <c r="A5510" s="3">
        <v>173020.0</v>
      </c>
      <c r="B5510" s="3" t="s">
        <v>5537</v>
      </c>
      <c r="C5510" s="3" t="s">
        <v>222</v>
      </c>
      <c r="D5510" s="3">
        <v>400.0</v>
      </c>
      <c r="E5510" s="3">
        <v>5.0</v>
      </c>
      <c r="F5510" s="3">
        <v>7.1</v>
      </c>
      <c r="G5510" s="3">
        <v>82.8</v>
      </c>
    </row>
    <row r="5511">
      <c r="A5511" s="3">
        <v>173021.0</v>
      </c>
      <c r="B5511" s="3" t="s">
        <v>5538</v>
      </c>
      <c r="C5511" s="3" t="s">
        <v>257</v>
      </c>
      <c r="D5511" s="3">
        <v>74.0</v>
      </c>
      <c r="E5511" s="3">
        <v>0.3</v>
      </c>
      <c r="F5511" s="3">
        <v>0.75</v>
      </c>
      <c r="G5511" s="3">
        <v>19.18</v>
      </c>
    </row>
    <row r="5512">
      <c r="A5512" s="3">
        <v>173022.0</v>
      </c>
      <c r="B5512" s="3" t="s">
        <v>5539</v>
      </c>
      <c r="C5512" s="3" t="s">
        <v>257</v>
      </c>
      <c r="D5512" s="3">
        <v>53.0</v>
      </c>
      <c r="E5512" s="3">
        <v>0.1</v>
      </c>
      <c r="F5512" s="3">
        <v>0.4</v>
      </c>
      <c r="G5512" s="3">
        <v>13.99</v>
      </c>
    </row>
    <row r="5513">
      <c r="A5513" s="3">
        <v>173023.0</v>
      </c>
      <c r="B5513" s="3" t="s">
        <v>5540</v>
      </c>
      <c r="C5513" s="3" t="s">
        <v>257</v>
      </c>
      <c r="D5513" s="3">
        <v>69.0</v>
      </c>
      <c r="E5513" s="3">
        <v>0.1</v>
      </c>
      <c r="F5513" s="3">
        <v>0.39</v>
      </c>
      <c r="G5513" s="3">
        <v>17.95</v>
      </c>
    </row>
    <row r="5514">
      <c r="A5514" s="3">
        <v>173024.0</v>
      </c>
      <c r="B5514" s="3" t="s">
        <v>5541</v>
      </c>
      <c r="C5514" s="3" t="s">
        <v>257</v>
      </c>
      <c r="D5514" s="3">
        <v>88.0</v>
      </c>
      <c r="E5514" s="3">
        <v>0.1</v>
      </c>
      <c r="F5514" s="3">
        <v>0.38</v>
      </c>
      <c r="G5514" s="3">
        <v>22.9</v>
      </c>
    </row>
    <row r="5515">
      <c r="A5515" s="3">
        <v>173025.0</v>
      </c>
      <c r="B5515" s="3" t="s">
        <v>5542</v>
      </c>
      <c r="C5515" s="3" t="s">
        <v>257</v>
      </c>
      <c r="D5515" s="3">
        <v>107.0</v>
      </c>
      <c r="E5515" s="3">
        <v>0.1</v>
      </c>
      <c r="F5515" s="3">
        <v>0.38</v>
      </c>
      <c r="G5515" s="3">
        <v>27.86</v>
      </c>
    </row>
    <row r="5516">
      <c r="A5516" s="3">
        <v>173026.0</v>
      </c>
      <c r="B5516" s="3" t="s">
        <v>5543</v>
      </c>
      <c r="C5516" s="3" t="s">
        <v>257</v>
      </c>
      <c r="D5516" s="3">
        <v>45.0</v>
      </c>
      <c r="E5516" s="3">
        <v>0.07</v>
      </c>
      <c r="F5516" s="3">
        <v>0.4</v>
      </c>
      <c r="G5516" s="3">
        <v>11.63</v>
      </c>
    </row>
    <row r="5517">
      <c r="A5517" s="3">
        <v>173027.0</v>
      </c>
      <c r="B5517" s="3" t="s">
        <v>5544</v>
      </c>
      <c r="C5517" s="3" t="s">
        <v>257</v>
      </c>
      <c r="D5517" s="3">
        <v>57.0</v>
      </c>
      <c r="E5517" s="3">
        <v>0.07</v>
      </c>
      <c r="F5517" s="3">
        <v>0.4</v>
      </c>
      <c r="G5517" s="3">
        <v>14.93</v>
      </c>
    </row>
    <row r="5518">
      <c r="A5518" s="3">
        <v>173028.0</v>
      </c>
      <c r="B5518" s="3" t="s">
        <v>5545</v>
      </c>
      <c r="C5518" s="3" t="s">
        <v>257</v>
      </c>
      <c r="D5518" s="3">
        <v>73.0</v>
      </c>
      <c r="E5518" s="3">
        <v>0.07</v>
      </c>
      <c r="F5518" s="3">
        <v>0.39</v>
      </c>
      <c r="G5518" s="3">
        <v>18.91</v>
      </c>
    </row>
    <row r="5519">
      <c r="A5519" s="3">
        <v>173029.0</v>
      </c>
      <c r="B5519" s="3" t="s">
        <v>5546</v>
      </c>
      <c r="C5519" s="3" t="s">
        <v>257</v>
      </c>
      <c r="D5519" s="3">
        <v>88.0</v>
      </c>
      <c r="E5519" s="3">
        <v>0.07</v>
      </c>
      <c r="F5519" s="3">
        <v>0.39</v>
      </c>
      <c r="G5519" s="3">
        <v>22.89</v>
      </c>
    </row>
    <row r="5520">
      <c r="A5520" s="3">
        <v>173030.0</v>
      </c>
      <c r="B5520" s="3" t="s">
        <v>5547</v>
      </c>
      <c r="C5520" s="3" t="s">
        <v>257</v>
      </c>
      <c r="D5520" s="3">
        <v>44.0</v>
      </c>
      <c r="E5520" s="3">
        <v>0.58</v>
      </c>
      <c r="F5520" s="3">
        <v>0.88</v>
      </c>
      <c r="G5520" s="3">
        <v>10.18</v>
      </c>
    </row>
    <row r="5521">
      <c r="A5521" s="3">
        <v>173031.0</v>
      </c>
      <c r="B5521" s="3" t="s">
        <v>5548</v>
      </c>
      <c r="C5521" s="3" t="s">
        <v>257</v>
      </c>
      <c r="D5521" s="3">
        <v>73.0</v>
      </c>
      <c r="E5521" s="3">
        <v>0.2</v>
      </c>
      <c r="F5521" s="3">
        <v>0.65</v>
      </c>
      <c r="G5521" s="3">
        <v>18.75</v>
      </c>
    </row>
    <row r="5522">
      <c r="A5522" s="3">
        <v>173032.0</v>
      </c>
      <c r="B5522" s="3" t="s">
        <v>5549</v>
      </c>
      <c r="C5522" s="3" t="s">
        <v>257</v>
      </c>
      <c r="D5522" s="3">
        <v>349.0</v>
      </c>
      <c r="E5522" s="3">
        <v>0.39</v>
      </c>
      <c r="F5522" s="3">
        <v>14.26</v>
      </c>
      <c r="G5522" s="3">
        <v>77.06</v>
      </c>
    </row>
    <row r="5523">
      <c r="A5523" s="3">
        <v>173033.0</v>
      </c>
      <c r="B5523" s="3" t="s">
        <v>5550</v>
      </c>
      <c r="C5523" s="3" t="s">
        <v>257</v>
      </c>
      <c r="D5523" s="3">
        <v>32.0</v>
      </c>
      <c r="E5523" s="3">
        <v>0.1</v>
      </c>
      <c r="F5523" s="3">
        <v>0.63</v>
      </c>
      <c r="G5523" s="3">
        <v>8.08</v>
      </c>
    </row>
    <row r="5524">
      <c r="A5524" s="3">
        <v>173034.0</v>
      </c>
      <c r="B5524" s="3" t="s">
        <v>5551</v>
      </c>
      <c r="C5524" s="3" t="s">
        <v>257</v>
      </c>
      <c r="D5524" s="3">
        <v>32.0</v>
      </c>
      <c r="E5524" s="3">
        <v>0.1</v>
      </c>
      <c r="F5524" s="3">
        <v>0.63</v>
      </c>
      <c r="G5524" s="3">
        <v>8.19</v>
      </c>
    </row>
    <row r="5525">
      <c r="A5525" s="3">
        <v>173035.0</v>
      </c>
      <c r="B5525" s="3" t="s">
        <v>5552</v>
      </c>
      <c r="C5525" s="3" t="s">
        <v>257</v>
      </c>
      <c r="D5525" s="3">
        <v>36.0</v>
      </c>
      <c r="E5525" s="3">
        <v>0.1</v>
      </c>
      <c r="F5525" s="3">
        <v>0.58</v>
      </c>
      <c r="G5525" s="3">
        <v>9.15</v>
      </c>
    </row>
    <row r="5526">
      <c r="A5526" s="3">
        <v>173036.0</v>
      </c>
      <c r="B5526" s="3" t="s">
        <v>5553</v>
      </c>
      <c r="C5526" s="3" t="s">
        <v>257</v>
      </c>
      <c r="D5526" s="3">
        <v>37.0</v>
      </c>
      <c r="E5526" s="3">
        <v>0.09</v>
      </c>
      <c r="F5526" s="3">
        <v>0.7</v>
      </c>
      <c r="G5526" s="3">
        <v>9.21</v>
      </c>
    </row>
    <row r="5527">
      <c r="A5527" s="3">
        <v>173037.0</v>
      </c>
      <c r="B5527" s="3" t="s">
        <v>5554</v>
      </c>
      <c r="C5527" s="3" t="s">
        <v>257</v>
      </c>
      <c r="D5527" s="3">
        <v>60.0</v>
      </c>
      <c r="E5527" s="3">
        <v>0.1</v>
      </c>
      <c r="F5527" s="3">
        <v>0.56</v>
      </c>
      <c r="G5527" s="3">
        <v>15.44</v>
      </c>
    </row>
    <row r="5528">
      <c r="A5528" s="3">
        <v>173038.0</v>
      </c>
      <c r="B5528" s="3" t="s">
        <v>5555</v>
      </c>
      <c r="C5528" s="3" t="s">
        <v>257</v>
      </c>
      <c r="D5528" s="3">
        <v>39.0</v>
      </c>
      <c r="E5528" s="3">
        <v>0.68</v>
      </c>
      <c r="F5528" s="3">
        <v>0.51</v>
      </c>
      <c r="G5528" s="3">
        <v>7.74</v>
      </c>
    </row>
    <row r="5529">
      <c r="A5529" s="3">
        <v>173039.0</v>
      </c>
      <c r="B5529" s="3" t="s">
        <v>5556</v>
      </c>
      <c r="C5529" s="3" t="s">
        <v>257</v>
      </c>
      <c r="D5529" s="3">
        <v>39.0</v>
      </c>
      <c r="E5529" s="3">
        <v>0.1</v>
      </c>
      <c r="F5529" s="3">
        <v>0.5</v>
      </c>
      <c r="G5529" s="3">
        <v>9.2</v>
      </c>
    </row>
    <row r="5530">
      <c r="A5530" s="3">
        <v>173040.0</v>
      </c>
      <c r="B5530" s="3" t="s">
        <v>5557</v>
      </c>
      <c r="C5530" s="3" t="s">
        <v>257</v>
      </c>
      <c r="D5530" s="3">
        <v>57.0</v>
      </c>
      <c r="E5530" s="3">
        <v>0.47</v>
      </c>
      <c r="F5530" s="3">
        <v>0.81</v>
      </c>
      <c r="G5530" s="3">
        <v>13.93</v>
      </c>
    </row>
    <row r="5531">
      <c r="A5531" s="3">
        <v>173041.0</v>
      </c>
      <c r="B5531" s="3" t="s">
        <v>5558</v>
      </c>
      <c r="C5531" s="3" t="s">
        <v>257</v>
      </c>
      <c r="D5531" s="3">
        <v>60.0</v>
      </c>
      <c r="E5531" s="3">
        <v>0.13</v>
      </c>
      <c r="F5531" s="3">
        <v>0.37</v>
      </c>
      <c r="G5531" s="3">
        <v>14.77</v>
      </c>
    </row>
    <row r="5532">
      <c r="A5532" s="3">
        <v>173042.0</v>
      </c>
      <c r="B5532" s="3" t="s">
        <v>5559</v>
      </c>
      <c r="C5532" s="3" t="s">
        <v>257</v>
      </c>
      <c r="D5532" s="3">
        <v>60.0</v>
      </c>
      <c r="E5532" s="3">
        <v>0.13</v>
      </c>
      <c r="F5532" s="3">
        <v>0.37</v>
      </c>
      <c r="G5532" s="3">
        <v>14.77</v>
      </c>
    </row>
    <row r="5533">
      <c r="A5533" s="3">
        <v>173043.0</v>
      </c>
      <c r="B5533" s="3" t="s">
        <v>5560</v>
      </c>
      <c r="C5533" s="3" t="s">
        <v>257</v>
      </c>
      <c r="D5533" s="3">
        <v>53.0</v>
      </c>
      <c r="E5533" s="3">
        <v>0.7</v>
      </c>
      <c r="F5533" s="3">
        <v>1.9</v>
      </c>
      <c r="G5533" s="3">
        <v>11.2</v>
      </c>
    </row>
    <row r="5534">
      <c r="A5534" s="3">
        <v>173044.0</v>
      </c>
      <c r="B5534" s="3" t="s">
        <v>5561</v>
      </c>
      <c r="C5534" s="3" t="s">
        <v>257</v>
      </c>
      <c r="D5534" s="3">
        <v>68.0</v>
      </c>
      <c r="E5534" s="3">
        <v>0.95</v>
      </c>
      <c r="F5534" s="3">
        <v>2.55</v>
      </c>
      <c r="G5534" s="3">
        <v>14.32</v>
      </c>
    </row>
    <row r="5535">
      <c r="A5535" s="3">
        <v>173045.0</v>
      </c>
      <c r="B5535" s="3" t="s">
        <v>5562</v>
      </c>
      <c r="C5535" s="3" t="s">
        <v>257</v>
      </c>
      <c r="D5535" s="3">
        <v>69.0</v>
      </c>
      <c r="E5535" s="3">
        <v>0.6</v>
      </c>
      <c r="F5535" s="3">
        <v>0.58</v>
      </c>
      <c r="G5535" s="3">
        <v>17.36</v>
      </c>
    </row>
    <row r="5536">
      <c r="A5536" s="3">
        <v>173046.0</v>
      </c>
      <c r="B5536" s="3" t="s">
        <v>5563</v>
      </c>
      <c r="C5536" s="3" t="s">
        <v>189</v>
      </c>
      <c r="D5536" s="3">
        <v>195.0</v>
      </c>
      <c r="E5536" s="3">
        <v>8.76</v>
      </c>
      <c r="F5536" s="3">
        <v>28.33</v>
      </c>
      <c r="G5536" s="3">
        <v>0.82</v>
      </c>
    </row>
    <row r="5537">
      <c r="A5537" s="3">
        <v>173047.0</v>
      </c>
      <c r="B5537" s="3" t="s">
        <v>5564</v>
      </c>
      <c r="C5537" s="3" t="s">
        <v>189</v>
      </c>
      <c r="D5537" s="3">
        <v>206.0</v>
      </c>
      <c r="E5537" s="3">
        <v>9.97</v>
      </c>
      <c r="F5537" s="3">
        <v>28.24</v>
      </c>
      <c r="G5537" s="3">
        <v>0.88</v>
      </c>
    </row>
    <row r="5538">
      <c r="A5538" s="3">
        <v>173048.0</v>
      </c>
      <c r="B5538" s="3" t="s">
        <v>5565</v>
      </c>
      <c r="C5538" s="3" t="s">
        <v>189</v>
      </c>
      <c r="D5538" s="3">
        <v>179.0</v>
      </c>
      <c r="E5538" s="3">
        <v>6.95</v>
      </c>
      <c r="F5538" s="3">
        <v>28.48</v>
      </c>
      <c r="G5538" s="3">
        <v>0.74</v>
      </c>
    </row>
    <row r="5539">
      <c r="A5539" s="3">
        <v>173049.0</v>
      </c>
      <c r="B5539" s="3" t="s">
        <v>5566</v>
      </c>
      <c r="C5539" s="3" t="s">
        <v>189</v>
      </c>
      <c r="D5539" s="3">
        <v>143.0</v>
      </c>
      <c r="E5539" s="3">
        <v>5.84</v>
      </c>
      <c r="F5539" s="3">
        <v>22.61</v>
      </c>
      <c r="G5539" s="3">
        <v>0.0</v>
      </c>
    </row>
    <row r="5540">
      <c r="A5540" s="3">
        <v>173050.0</v>
      </c>
      <c r="B5540" s="3" t="s">
        <v>5567</v>
      </c>
      <c r="C5540" s="3" t="s">
        <v>189</v>
      </c>
      <c r="D5540" s="3">
        <v>165.0</v>
      </c>
      <c r="E5540" s="3">
        <v>4.68</v>
      </c>
      <c r="F5540" s="3">
        <v>30.78</v>
      </c>
      <c r="G5540" s="3">
        <v>0.0</v>
      </c>
    </row>
    <row r="5541">
      <c r="A5541" s="3">
        <v>173051.0</v>
      </c>
      <c r="B5541" s="3" t="s">
        <v>5568</v>
      </c>
      <c r="C5541" s="3" t="s">
        <v>189</v>
      </c>
      <c r="D5541" s="3">
        <v>170.0</v>
      </c>
      <c r="E5541" s="3">
        <v>5.92</v>
      </c>
      <c r="F5541" s="3">
        <v>29.12</v>
      </c>
      <c r="G5541" s="3">
        <v>0.0</v>
      </c>
    </row>
    <row r="5542">
      <c r="A5542" s="3">
        <v>173052.0</v>
      </c>
      <c r="B5542" s="3" t="s">
        <v>5569</v>
      </c>
      <c r="C5542" s="3" t="s">
        <v>189</v>
      </c>
      <c r="D5542" s="3">
        <v>165.0</v>
      </c>
      <c r="E5542" s="3">
        <v>5.25</v>
      </c>
      <c r="F5542" s="3">
        <v>29.35</v>
      </c>
      <c r="G5542" s="3">
        <v>0.0</v>
      </c>
    </row>
    <row r="5543">
      <c r="A5543" s="3">
        <v>173053.0</v>
      </c>
      <c r="B5543" s="3" t="s">
        <v>5570</v>
      </c>
      <c r="C5543" s="3" t="s">
        <v>189</v>
      </c>
      <c r="D5543" s="3">
        <v>128.0</v>
      </c>
      <c r="E5543" s="3">
        <v>3.98</v>
      </c>
      <c r="F5543" s="3">
        <v>23.04</v>
      </c>
      <c r="G5543" s="3">
        <v>0.0</v>
      </c>
    </row>
    <row r="5544">
      <c r="A5544" s="3">
        <v>173054.0</v>
      </c>
      <c r="B5544" s="3" t="s">
        <v>5571</v>
      </c>
      <c r="C5544" s="3" t="s">
        <v>189</v>
      </c>
      <c r="D5544" s="3">
        <v>246.0</v>
      </c>
      <c r="E5544" s="3">
        <v>15.7</v>
      </c>
      <c r="F5544" s="3">
        <v>24.66</v>
      </c>
      <c r="G5544" s="3">
        <v>1.53</v>
      </c>
    </row>
    <row r="5545">
      <c r="A5545" s="3">
        <v>173055.0</v>
      </c>
      <c r="B5545" s="3" t="s">
        <v>5572</v>
      </c>
      <c r="C5545" s="3" t="s">
        <v>189</v>
      </c>
      <c r="D5545" s="3">
        <v>259.0</v>
      </c>
      <c r="E5545" s="3">
        <v>17.21</v>
      </c>
      <c r="F5545" s="3">
        <v>24.24</v>
      </c>
      <c r="G5545" s="3">
        <v>1.81</v>
      </c>
    </row>
    <row r="5546">
      <c r="A5546" s="3">
        <v>173056.0</v>
      </c>
      <c r="B5546" s="3" t="s">
        <v>5573</v>
      </c>
      <c r="C5546" s="3" t="s">
        <v>189</v>
      </c>
      <c r="D5546" s="3">
        <v>226.0</v>
      </c>
      <c r="E5546" s="3">
        <v>13.43</v>
      </c>
      <c r="F5546" s="3">
        <v>25.28</v>
      </c>
      <c r="G5546" s="3">
        <v>1.1</v>
      </c>
    </row>
    <row r="5547">
      <c r="A5547" s="3">
        <v>173057.0</v>
      </c>
      <c r="B5547" s="3" t="s">
        <v>5574</v>
      </c>
      <c r="C5547" s="3" t="s">
        <v>189</v>
      </c>
      <c r="D5547" s="3">
        <v>180.0</v>
      </c>
      <c r="E5547" s="3">
        <v>10.6</v>
      </c>
      <c r="F5547" s="3">
        <v>19.7</v>
      </c>
      <c r="G5547" s="3">
        <v>1.51</v>
      </c>
    </row>
    <row r="5548">
      <c r="A5548" s="3">
        <v>173058.0</v>
      </c>
      <c r="B5548" s="3" t="s">
        <v>5575</v>
      </c>
      <c r="C5548" s="3" t="s">
        <v>189</v>
      </c>
      <c r="D5548" s="3">
        <v>178.0</v>
      </c>
      <c r="E5548" s="3">
        <v>7.31</v>
      </c>
      <c r="F5548" s="3">
        <v>28.15</v>
      </c>
      <c r="G5548" s="3">
        <v>0.0</v>
      </c>
    </row>
    <row r="5549">
      <c r="A5549" s="3">
        <v>173059.0</v>
      </c>
      <c r="B5549" s="3" t="s">
        <v>5576</v>
      </c>
      <c r="C5549" s="3" t="s">
        <v>189</v>
      </c>
      <c r="D5549" s="3">
        <v>188.0</v>
      </c>
      <c r="E5549" s="3">
        <v>8.42</v>
      </c>
      <c r="F5549" s="3">
        <v>28.0</v>
      </c>
      <c r="G5549" s="3">
        <v>0.0</v>
      </c>
    </row>
    <row r="5550">
      <c r="A5550" s="3">
        <v>173060.0</v>
      </c>
      <c r="B5550" s="3" t="s">
        <v>5577</v>
      </c>
      <c r="C5550" s="3" t="s">
        <v>189</v>
      </c>
      <c r="D5550" s="3">
        <v>164.0</v>
      </c>
      <c r="E5550" s="3">
        <v>5.65</v>
      </c>
      <c r="F5550" s="3">
        <v>28.37</v>
      </c>
      <c r="G5550" s="3">
        <v>0.0</v>
      </c>
    </row>
    <row r="5551">
      <c r="A5551" s="3">
        <v>173061.0</v>
      </c>
      <c r="B5551" s="3" t="s">
        <v>5578</v>
      </c>
      <c r="C5551" s="3" t="s">
        <v>189</v>
      </c>
      <c r="D5551" s="3">
        <v>242.0</v>
      </c>
      <c r="E5551" s="3">
        <v>15.0</v>
      </c>
      <c r="F5551" s="3">
        <v>26.0</v>
      </c>
      <c r="G5551" s="3">
        <v>0.8</v>
      </c>
    </row>
    <row r="5552">
      <c r="A5552" s="3">
        <v>173062.0</v>
      </c>
      <c r="B5552" s="3" t="s">
        <v>5579</v>
      </c>
      <c r="C5552" s="3" t="s">
        <v>189</v>
      </c>
      <c r="D5552" s="3">
        <v>179.0</v>
      </c>
      <c r="E5552" s="3">
        <v>10.9</v>
      </c>
      <c r="F5552" s="3">
        <v>20.1</v>
      </c>
      <c r="G5552" s="3">
        <v>0.0</v>
      </c>
    </row>
    <row r="5553">
      <c r="A5553" s="3">
        <v>173063.0</v>
      </c>
      <c r="B5553" s="3" t="s">
        <v>5580</v>
      </c>
      <c r="C5553" s="3" t="s">
        <v>189</v>
      </c>
      <c r="D5553" s="3">
        <v>239.0</v>
      </c>
      <c r="E5553" s="3">
        <v>14.1</v>
      </c>
      <c r="F5553" s="3">
        <v>27.4</v>
      </c>
      <c r="G5553" s="3">
        <v>0.6</v>
      </c>
    </row>
    <row r="5554">
      <c r="A5554" s="3">
        <v>173064.0</v>
      </c>
      <c r="B5554" s="3" t="s">
        <v>5581</v>
      </c>
      <c r="C5554" s="3" t="s">
        <v>189</v>
      </c>
      <c r="D5554" s="3">
        <v>253.0</v>
      </c>
      <c r="E5554" s="3">
        <v>15.9</v>
      </c>
      <c r="F5554" s="3">
        <v>26.8</v>
      </c>
      <c r="G5554" s="3">
        <v>0.6</v>
      </c>
    </row>
    <row r="5555">
      <c r="A5555" s="3">
        <v>173065.0</v>
      </c>
      <c r="B5555" s="3" t="s">
        <v>5582</v>
      </c>
      <c r="C5555" s="3" t="s">
        <v>189</v>
      </c>
      <c r="D5555" s="3">
        <v>219.0</v>
      </c>
      <c r="E5555" s="3">
        <v>11.6</v>
      </c>
      <c r="F5555" s="3">
        <v>28.3</v>
      </c>
      <c r="G5555" s="3">
        <v>0.4</v>
      </c>
    </row>
    <row r="5556">
      <c r="A5556" s="3">
        <v>173066.0</v>
      </c>
      <c r="B5556" s="3" t="s">
        <v>5583</v>
      </c>
      <c r="C5556" s="3" t="s">
        <v>189</v>
      </c>
      <c r="D5556" s="3">
        <v>199.0</v>
      </c>
      <c r="E5556" s="3">
        <v>12.6</v>
      </c>
      <c r="F5556" s="3">
        <v>20.8</v>
      </c>
      <c r="G5556" s="3">
        <v>0.6</v>
      </c>
    </row>
    <row r="5557">
      <c r="A5557" s="3">
        <v>173067.0</v>
      </c>
      <c r="B5557" s="3" t="s">
        <v>5584</v>
      </c>
      <c r="C5557" s="3" t="s">
        <v>189</v>
      </c>
      <c r="D5557" s="3">
        <v>170.0</v>
      </c>
      <c r="E5557" s="3">
        <v>9.3</v>
      </c>
      <c r="F5557" s="3">
        <v>21.6</v>
      </c>
      <c r="G5557" s="3">
        <v>0.0</v>
      </c>
    </row>
    <row r="5558">
      <c r="A5558" s="3">
        <v>173068.0</v>
      </c>
      <c r="B5558" s="3" t="s">
        <v>5585</v>
      </c>
      <c r="C5558" s="3" t="s">
        <v>189</v>
      </c>
      <c r="D5558" s="3">
        <v>239.0</v>
      </c>
      <c r="E5558" s="3">
        <v>18.12</v>
      </c>
      <c r="F5558" s="3">
        <v>17.72</v>
      </c>
      <c r="G5558" s="3">
        <v>0.0</v>
      </c>
    </row>
    <row r="5559">
      <c r="A5559" s="3">
        <v>173069.0</v>
      </c>
      <c r="B5559" s="3" t="s">
        <v>5586</v>
      </c>
      <c r="C5559" s="3" t="s">
        <v>189</v>
      </c>
      <c r="D5559" s="3">
        <v>208.0</v>
      </c>
      <c r="E5559" s="3">
        <v>10.34</v>
      </c>
      <c r="F5559" s="3">
        <v>28.66</v>
      </c>
      <c r="G5559" s="3">
        <v>0.0</v>
      </c>
    </row>
    <row r="5560">
      <c r="A5560" s="3">
        <v>173070.0</v>
      </c>
      <c r="B5560" s="3" t="s">
        <v>5587</v>
      </c>
      <c r="C5560" s="3" t="s">
        <v>189</v>
      </c>
      <c r="D5560" s="3">
        <v>184.0</v>
      </c>
      <c r="E5560" s="3">
        <v>7.26</v>
      </c>
      <c r="F5560" s="3">
        <v>29.67</v>
      </c>
      <c r="G5560" s="3">
        <v>0.0</v>
      </c>
    </row>
    <row r="5561">
      <c r="A5561" s="3">
        <v>173071.0</v>
      </c>
      <c r="B5561" s="3" t="s">
        <v>5588</v>
      </c>
      <c r="C5561" s="3" t="s">
        <v>189</v>
      </c>
      <c r="D5561" s="3">
        <v>198.0</v>
      </c>
      <c r="E5561" s="3">
        <v>9.11</v>
      </c>
      <c r="F5561" s="3">
        <v>29.06</v>
      </c>
      <c r="G5561" s="3">
        <v>0.0</v>
      </c>
    </row>
    <row r="5562">
      <c r="A5562" s="3">
        <v>173072.0</v>
      </c>
      <c r="B5562" s="3" t="s">
        <v>5589</v>
      </c>
      <c r="C5562" s="3" t="s">
        <v>189</v>
      </c>
      <c r="D5562" s="3">
        <v>205.0</v>
      </c>
      <c r="E5562" s="3">
        <v>13.36</v>
      </c>
      <c r="F5562" s="3">
        <v>21.13</v>
      </c>
      <c r="G5562" s="3">
        <v>0.0</v>
      </c>
    </row>
    <row r="5563">
      <c r="A5563" s="3">
        <v>173073.0</v>
      </c>
      <c r="B5563" s="3" t="s">
        <v>5590</v>
      </c>
      <c r="C5563" s="3" t="s">
        <v>189</v>
      </c>
      <c r="D5563" s="3">
        <v>202.0</v>
      </c>
      <c r="E5563" s="3">
        <v>7.05</v>
      </c>
      <c r="F5563" s="3">
        <v>34.51</v>
      </c>
      <c r="G5563" s="3">
        <v>0.0</v>
      </c>
    </row>
    <row r="5564">
      <c r="A5564" s="3">
        <v>173074.0</v>
      </c>
      <c r="B5564" s="3" t="s">
        <v>5591</v>
      </c>
      <c r="C5564" s="3" t="s">
        <v>189</v>
      </c>
      <c r="D5564" s="3">
        <v>125.0</v>
      </c>
      <c r="E5564" s="3">
        <v>4.62</v>
      </c>
      <c r="F5564" s="3">
        <v>20.92</v>
      </c>
      <c r="G5564" s="3">
        <v>0.0</v>
      </c>
    </row>
    <row r="5565">
      <c r="A5565" s="3">
        <v>173075.0</v>
      </c>
      <c r="B5565" s="3" t="s">
        <v>5592</v>
      </c>
      <c r="C5565" s="3" t="s">
        <v>189</v>
      </c>
      <c r="D5565" s="3">
        <v>131.0</v>
      </c>
      <c r="E5565" s="3">
        <v>5.41</v>
      </c>
      <c r="F5565" s="3">
        <v>20.46</v>
      </c>
      <c r="G5565" s="3">
        <v>0.0</v>
      </c>
    </row>
    <row r="5566">
      <c r="A5566" s="3">
        <v>173076.0</v>
      </c>
      <c r="B5566" s="3" t="s">
        <v>5593</v>
      </c>
      <c r="C5566" s="3" t="s">
        <v>189</v>
      </c>
      <c r="D5566" s="3">
        <v>208.0</v>
      </c>
      <c r="E5566" s="3">
        <v>8.89</v>
      </c>
      <c r="F5566" s="3">
        <v>32.08</v>
      </c>
      <c r="G5566" s="3">
        <v>0.0</v>
      </c>
    </row>
    <row r="5567">
      <c r="A5567" s="3">
        <v>173077.0</v>
      </c>
      <c r="B5567" s="3" t="s">
        <v>5594</v>
      </c>
      <c r="C5567" s="3" t="s">
        <v>189</v>
      </c>
      <c r="D5567" s="3">
        <v>194.0</v>
      </c>
      <c r="E5567" s="3">
        <v>7.92</v>
      </c>
      <c r="F5567" s="3">
        <v>30.75</v>
      </c>
      <c r="G5567" s="3">
        <v>0.0</v>
      </c>
    </row>
    <row r="5568">
      <c r="A5568" s="3">
        <v>173078.0</v>
      </c>
      <c r="B5568" s="3" t="s">
        <v>5595</v>
      </c>
      <c r="C5568" s="3" t="s">
        <v>189</v>
      </c>
      <c r="D5568" s="3">
        <v>142.0</v>
      </c>
      <c r="E5568" s="3">
        <v>6.67</v>
      </c>
      <c r="F5568" s="3">
        <v>20.53</v>
      </c>
      <c r="G5568" s="3">
        <v>0.0</v>
      </c>
    </row>
    <row r="5569">
      <c r="A5569" s="3">
        <v>173079.0</v>
      </c>
      <c r="B5569" s="3" t="s">
        <v>5596</v>
      </c>
      <c r="C5569" s="3" t="s">
        <v>189</v>
      </c>
      <c r="D5569" s="3">
        <v>226.0</v>
      </c>
      <c r="E5569" s="3">
        <v>10.3</v>
      </c>
      <c r="F5569" s="3">
        <v>33.22</v>
      </c>
      <c r="G5569" s="3">
        <v>0.0</v>
      </c>
    </row>
    <row r="5570">
      <c r="A5570" s="3">
        <v>173080.0</v>
      </c>
      <c r="B5570" s="3" t="s">
        <v>5597</v>
      </c>
      <c r="C5570" s="3" t="s">
        <v>189</v>
      </c>
      <c r="D5570" s="3">
        <v>154.0</v>
      </c>
      <c r="E5570" s="3">
        <v>7.69</v>
      </c>
      <c r="F5570" s="3">
        <v>21.3</v>
      </c>
      <c r="G5570" s="3">
        <v>0.0</v>
      </c>
    </row>
    <row r="5571">
      <c r="A5571" s="3">
        <v>173081.0</v>
      </c>
      <c r="B5571" s="3" t="s">
        <v>5598</v>
      </c>
      <c r="C5571" s="3" t="s">
        <v>189</v>
      </c>
      <c r="D5571" s="3">
        <v>179.0</v>
      </c>
      <c r="E5571" s="3">
        <v>6.0</v>
      </c>
      <c r="F5571" s="3">
        <v>31.29</v>
      </c>
      <c r="G5571" s="3">
        <v>0.0</v>
      </c>
    </row>
    <row r="5572">
      <c r="A5572" s="3">
        <v>173082.0</v>
      </c>
      <c r="B5572" s="3" t="s">
        <v>5599</v>
      </c>
      <c r="C5572" s="3" t="s">
        <v>189</v>
      </c>
      <c r="D5572" s="3">
        <v>560.0</v>
      </c>
      <c r="E5572" s="3">
        <v>57.22</v>
      </c>
      <c r="F5572" s="3">
        <v>7.9</v>
      </c>
      <c r="G5572" s="3">
        <v>3.39</v>
      </c>
    </row>
    <row r="5573">
      <c r="A5573" s="3">
        <v>173083.0</v>
      </c>
      <c r="B5573" s="3" t="s">
        <v>5600</v>
      </c>
      <c r="C5573" s="3" t="s">
        <v>189</v>
      </c>
      <c r="D5573" s="3">
        <v>602.0</v>
      </c>
      <c r="E5573" s="3">
        <v>63.78</v>
      </c>
      <c r="F5573" s="3">
        <v>6.97</v>
      </c>
      <c r="G5573" s="3">
        <v>0.01</v>
      </c>
    </row>
    <row r="5574">
      <c r="A5574" s="3">
        <v>173084.0</v>
      </c>
      <c r="B5574" s="3" t="s">
        <v>5601</v>
      </c>
      <c r="C5574" s="3" t="s">
        <v>189</v>
      </c>
      <c r="D5574" s="3">
        <v>157.0</v>
      </c>
      <c r="E5574" s="3">
        <v>5.27</v>
      </c>
      <c r="F5574" s="3">
        <v>27.28</v>
      </c>
      <c r="G5574" s="3">
        <v>0.0</v>
      </c>
    </row>
    <row r="5575">
      <c r="A5575" s="3">
        <v>173085.0</v>
      </c>
      <c r="B5575" s="3" t="s">
        <v>5602</v>
      </c>
      <c r="C5575" s="3" t="s">
        <v>189</v>
      </c>
      <c r="D5575" s="3">
        <v>178.0</v>
      </c>
      <c r="E5575" s="3">
        <v>7.58</v>
      </c>
      <c r="F5575" s="3">
        <v>27.51</v>
      </c>
      <c r="G5575" s="3">
        <v>0.0</v>
      </c>
    </row>
    <row r="5576">
      <c r="A5576" s="3">
        <v>173086.0</v>
      </c>
      <c r="B5576" s="3" t="s">
        <v>5603</v>
      </c>
      <c r="C5576" s="3" t="s">
        <v>189</v>
      </c>
      <c r="D5576" s="3">
        <v>119.0</v>
      </c>
      <c r="E5576" s="3">
        <v>3.68</v>
      </c>
      <c r="F5576" s="3">
        <v>21.23</v>
      </c>
      <c r="G5576" s="3">
        <v>0.23</v>
      </c>
    </row>
    <row r="5577">
      <c r="A5577" s="3">
        <v>173087.0</v>
      </c>
      <c r="B5577" s="3" t="s">
        <v>5604</v>
      </c>
      <c r="C5577" s="3" t="s">
        <v>189</v>
      </c>
      <c r="D5577" s="3">
        <v>196.0</v>
      </c>
      <c r="E5577" s="3">
        <v>8.46</v>
      </c>
      <c r="F5577" s="3">
        <v>29.87</v>
      </c>
      <c r="G5577" s="3">
        <v>0.0</v>
      </c>
    </row>
    <row r="5578">
      <c r="A5578" s="3">
        <v>173088.0</v>
      </c>
      <c r="B5578" s="3" t="s">
        <v>5605</v>
      </c>
      <c r="C5578" s="3" t="s">
        <v>189</v>
      </c>
      <c r="D5578" s="3">
        <v>155.0</v>
      </c>
      <c r="E5578" s="3">
        <v>7.56</v>
      </c>
      <c r="F5578" s="3">
        <v>21.83</v>
      </c>
      <c r="G5578" s="3">
        <v>0.0</v>
      </c>
    </row>
    <row r="5579">
      <c r="A5579" s="3">
        <v>173089.0</v>
      </c>
      <c r="B5579" s="3" t="s">
        <v>5606</v>
      </c>
      <c r="C5579" s="3" t="s">
        <v>189</v>
      </c>
      <c r="D5579" s="3">
        <v>197.0</v>
      </c>
      <c r="E5579" s="3">
        <v>9.74</v>
      </c>
      <c r="F5579" s="3">
        <v>27.23</v>
      </c>
      <c r="G5579" s="3">
        <v>0.09</v>
      </c>
    </row>
    <row r="5580">
      <c r="A5580" s="3">
        <v>173090.0</v>
      </c>
      <c r="B5580" s="3" t="s">
        <v>5607</v>
      </c>
      <c r="C5580" s="3" t="s">
        <v>189</v>
      </c>
      <c r="D5580" s="3">
        <v>731.0</v>
      </c>
      <c r="E5580" s="3">
        <v>78.3</v>
      </c>
      <c r="F5580" s="3">
        <v>6.5</v>
      </c>
      <c r="G5580" s="3">
        <v>0.0</v>
      </c>
    </row>
    <row r="5581">
      <c r="A5581" s="3">
        <v>173091.0</v>
      </c>
      <c r="B5581" s="3" t="s">
        <v>5608</v>
      </c>
      <c r="C5581" s="3" t="s">
        <v>189</v>
      </c>
      <c r="D5581" s="3">
        <v>685.0</v>
      </c>
      <c r="E5581" s="3">
        <v>72.38</v>
      </c>
      <c r="F5581" s="3">
        <v>8.5</v>
      </c>
      <c r="G5581" s="3">
        <v>0.0</v>
      </c>
    </row>
    <row r="5582">
      <c r="A5582" s="3">
        <v>173092.0</v>
      </c>
      <c r="B5582" s="3" t="s">
        <v>5609</v>
      </c>
      <c r="C5582" s="3" t="s">
        <v>189</v>
      </c>
      <c r="D5582" s="3">
        <v>318.0</v>
      </c>
      <c r="E5582" s="3">
        <v>29.79</v>
      </c>
      <c r="F5582" s="3">
        <v>12.53</v>
      </c>
      <c r="G5582" s="3">
        <v>0.0</v>
      </c>
    </row>
    <row r="5583">
      <c r="A5583" s="3">
        <v>173093.0</v>
      </c>
      <c r="B5583" s="3" t="s">
        <v>5610</v>
      </c>
      <c r="C5583" s="3" t="s">
        <v>189</v>
      </c>
      <c r="D5583" s="3">
        <v>303.0</v>
      </c>
      <c r="E5583" s="3">
        <v>28.6</v>
      </c>
      <c r="F5583" s="3">
        <v>11.51</v>
      </c>
      <c r="G5583" s="3">
        <v>0.0</v>
      </c>
    </row>
    <row r="5584">
      <c r="A5584" s="3">
        <v>173094.0</v>
      </c>
      <c r="B5584" s="3" t="s">
        <v>5611</v>
      </c>
      <c r="C5584" s="3" t="s">
        <v>189</v>
      </c>
      <c r="D5584" s="3">
        <v>200.0</v>
      </c>
      <c r="E5584" s="3">
        <v>9.01</v>
      </c>
      <c r="F5584" s="3">
        <v>29.37</v>
      </c>
      <c r="G5584" s="3">
        <v>0.27</v>
      </c>
    </row>
    <row r="5585">
      <c r="A5585" s="3">
        <v>173095.0</v>
      </c>
      <c r="B5585" s="3" t="s">
        <v>5612</v>
      </c>
      <c r="C5585" s="3" t="s">
        <v>189</v>
      </c>
      <c r="D5585" s="3">
        <v>103.0</v>
      </c>
      <c r="E5585" s="3">
        <v>2.98</v>
      </c>
      <c r="F5585" s="3">
        <v>19.0</v>
      </c>
      <c r="G5585" s="3">
        <v>0.0</v>
      </c>
    </row>
    <row r="5586">
      <c r="A5586" s="3">
        <v>173096.0</v>
      </c>
      <c r="B5586" s="3" t="s">
        <v>5613</v>
      </c>
      <c r="C5586" s="3" t="s">
        <v>189</v>
      </c>
      <c r="D5586" s="3">
        <v>77.0</v>
      </c>
      <c r="E5586" s="3">
        <v>1.98</v>
      </c>
      <c r="F5586" s="3">
        <v>14.86</v>
      </c>
      <c r="G5586" s="3">
        <v>0.0</v>
      </c>
    </row>
    <row r="5587">
      <c r="A5587" s="3">
        <v>173097.0</v>
      </c>
      <c r="B5587" s="3" t="s">
        <v>5614</v>
      </c>
      <c r="C5587" s="3" t="s">
        <v>189</v>
      </c>
      <c r="D5587" s="3">
        <v>228.0</v>
      </c>
      <c r="E5587" s="3">
        <v>11.37</v>
      </c>
      <c r="F5587" s="3">
        <v>31.3</v>
      </c>
      <c r="G5587" s="3">
        <v>0.0</v>
      </c>
    </row>
    <row r="5588">
      <c r="A5588" s="3">
        <v>173098.0</v>
      </c>
      <c r="B5588" s="3" t="s">
        <v>5615</v>
      </c>
      <c r="C5588" s="3" t="s">
        <v>189</v>
      </c>
      <c r="D5588" s="3">
        <v>159.0</v>
      </c>
      <c r="E5588" s="3">
        <v>8.22</v>
      </c>
      <c r="F5588" s="3">
        <v>21.29</v>
      </c>
      <c r="G5588" s="3">
        <v>0.0</v>
      </c>
    </row>
    <row r="5589">
      <c r="A5589" s="3">
        <v>173099.0</v>
      </c>
      <c r="B5589" s="3" t="s">
        <v>5616</v>
      </c>
      <c r="C5589" s="3" t="s">
        <v>189</v>
      </c>
      <c r="D5589" s="3">
        <v>252.0</v>
      </c>
      <c r="E5589" s="3">
        <v>14.74</v>
      </c>
      <c r="F5589" s="3">
        <v>29.92</v>
      </c>
      <c r="G5589" s="3">
        <v>0.0</v>
      </c>
    </row>
    <row r="5590">
      <c r="A5590" s="3">
        <v>173100.0</v>
      </c>
      <c r="B5590" s="3" t="s">
        <v>5617</v>
      </c>
      <c r="C5590" s="3" t="s">
        <v>189</v>
      </c>
      <c r="D5590" s="3">
        <v>181.0</v>
      </c>
      <c r="E5590" s="3">
        <v>11.45</v>
      </c>
      <c r="F5590" s="3">
        <v>19.38</v>
      </c>
      <c r="G5590" s="3">
        <v>0.0</v>
      </c>
    </row>
    <row r="5591">
      <c r="A5591" s="3">
        <v>173101.0</v>
      </c>
      <c r="B5591" s="3" t="s">
        <v>5618</v>
      </c>
      <c r="C5591" s="3" t="s">
        <v>189</v>
      </c>
      <c r="D5591" s="3">
        <v>286.0</v>
      </c>
      <c r="E5591" s="3">
        <v>19.45</v>
      </c>
      <c r="F5591" s="3">
        <v>27.79</v>
      </c>
      <c r="G5591" s="3">
        <v>0.03</v>
      </c>
    </row>
    <row r="5592">
      <c r="A5592" s="3">
        <v>173102.0</v>
      </c>
      <c r="B5592" s="3" t="s">
        <v>5619</v>
      </c>
      <c r="C5592" s="3" t="s">
        <v>189</v>
      </c>
      <c r="D5592" s="3">
        <v>225.0</v>
      </c>
      <c r="E5592" s="3">
        <v>16.31</v>
      </c>
      <c r="F5592" s="3">
        <v>18.22</v>
      </c>
      <c r="G5592" s="3">
        <v>1.26</v>
      </c>
    </row>
    <row r="5593">
      <c r="A5593" s="3">
        <v>173103.0</v>
      </c>
      <c r="B5593" s="3" t="s">
        <v>5620</v>
      </c>
      <c r="C5593" s="3" t="s">
        <v>189</v>
      </c>
      <c r="D5593" s="3">
        <v>177.0</v>
      </c>
      <c r="E5593" s="3">
        <v>10.55</v>
      </c>
      <c r="F5593" s="3">
        <v>20.57</v>
      </c>
      <c r="G5593" s="3">
        <v>0.0</v>
      </c>
    </row>
    <row r="5594">
      <c r="A5594" s="3">
        <v>173104.0</v>
      </c>
      <c r="B5594" s="3" t="s">
        <v>5621</v>
      </c>
      <c r="C5594" s="3" t="s">
        <v>189</v>
      </c>
      <c r="D5594" s="3">
        <v>196.0</v>
      </c>
      <c r="E5594" s="3">
        <v>8.5</v>
      </c>
      <c r="F5594" s="3">
        <v>29.82</v>
      </c>
      <c r="G5594" s="3">
        <v>0.07</v>
      </c>
    </row>
    <row r="5595">
      <c r="A5595" s="3">
        <v>173105.0</v>
      </c>
      <c r="B5595" s="3" t="s">
        <v>5622</v>
      </c>
      <c r="C5595" s="3" t="s">
        <v>189</v>
      </c>
      <c r="D5595" s="3">
        <v>147.0</v>
      </c>
      <c r="E5595" s="3">
        <v>7.2</v>
      </c>
      <c r="F5595" s="3">
        <v>20.61</v>
      </c>
      <c r="G5595" s="3">
        <v>0.0</v>
      </c>
    </row>
    <row r="5596">
      <c r="A5596" s="3">
        <v>173106.0</v>
      </c>
      <c r="B5596" s="3" t="s">
        <v>5623</v>
      </c>
      <c r="C5596" s="3" t="s">
        <v>189</v>
      </c>
      <c r="D5596" s="3">
        <v>197.0</v>
      </c>
      <c r="E5596" s="3">
        <v>8.68</v>
      </c>
      <c r="F5596" s="3">
        <v>29.79</v>
      </c>
      <c r="G5596" s="3">
        <v>0.0</v>
      </c>
    </row>
    <row r="5597">
      <c r="A5597" s="3">
        <v>173107.0</v>
      </c>
      <c r="B5597" s="3" t="s">
        <v>5624</v>
      </c>
      <c r="C5597" s="3" t="s">
        <v>189</v>
      </c>
      <c r="D5597" s="3">
        <v>252.0</v>
      </c>
      <c r="E5597" s="3">
        <v>19.53</v>
      </c>
      <c r="F5597" s="3">
        <v>18.49</v>
      </c>
      <c r="G5597" s="3">
        <v>0.6</v>
      </c>
    </row>
    <row r="5598">
      <c r="A5598" s="3">
        <v>173108.0</v>
      </c>
      <c r="B5598" s="3" t="s">
        <v>5625</v>
      </c>
      <c r="C5598" s="3" t="s">
        <v>189</v>
      </c>
      <c r="D5598" s="3">
        <v>202.0</v>
      </c>
      <c r="E5598" s="3">
        <v>9.35</v>
      </c>
      <c r="F5598" s="3">
        <v>29.26</v>
      </c>
      <c r="G5598" s="3">
        <v>0.27</v>
      </c>
    </row>
    <row r="5599">
      <c r="A5599" s="3">
        <v>173109.0</v>
      </c>
      <c r="B5599" s="3" t="s">
        <v>5626</v>
      </c>
      <c r="C5599" s="3" t="s">
        <v>189</v>
      </c>
      <c r="D5599" s="3">
        <v>146.0</v>
      </c>
      <c r="E5599" s="3">
        <v>6.88</v>
      </c>
      <c r="F5599" s="3">
        <v>21.04</v>
      </c>
      <c r="G5599" s="3">
        <v>0.0</v>
      </c>
    </row>
    <row r="5600">
      <c r="A5600" s="3">
        <v>173110.0</v>
      </c>
      <c r="B5600" s="3" t="s">
        <v>5627</v>
      </c>
      <c r="C5600" s="3" t="s">
        <v>189</v>
      </c>
      <c r="D5600" s="3">
        <v>152.0</v>
      </c>
      <c r="E5600" s="3">
        <v>7.0</v>
      </c>
      <c r="F5600" s="3">
        <v>20.85</v>
      </c>
      <c r="G5600" s="3">
        <v>0.0</v>
      </c>
    </row>
    <row r="5601">
      <c r="A5601" s="3">
        <v>173111.0</v>
      </c>
      <c r="B5601" s="3" t="s">
        <v>5628</v>
      </c>
      <c r="C5601" s="3" t="s">
        <v>189</v>
      </c>
      <c r="D5601" s="3">
        <v>121.0</v>
      </c>
      <c r="E5601" s="3">
        <v>3.0</v>
      </c>
      <c r="F5601" s="3">
        <v>21.98</v>
      </c>
      <c r="G5601" s="3">
        <v>0.0</v>
      </c>
    </row>
    <row r="5602">
      <c r="A5602" s="3">
        <v>173112.0</v>
      </c>
      <c r="B5602" s="3" t="s">
        <v>5629</v>
      </c>
      <c r="C5602" s="3" t="s">
        <v>189</v>
      </c>
      <c r="D5602" s="3">
        <v>153.0</v>
      </c>
      <c r="E5602" s="3">
        <v>4.46</v>
      </c>
      <c r="F5602" s="3">
        <v>26.36</v>
      </c>
      <c r="G5602" s="3">
        <v>0.0</v>
      </c>
    </row>
    <row r="5603">
      <c r="A5603" s="3">
        <v>173113.0</v>
      </c>
      <c r="B5603" s="3" t="s">
        <v>5630</v>
      </c>
      <c r="C5603" s="3" t="s">
        <v>189</v>
      </c>
      <c r="D5603" s="3">
        <v>144.0</v>
      </c>
      <c r="E5603" s="3">
        <v>3.65</v>
      </c>
      <c r="F5603" s="3">
        <v>26.03</v>
      </c>
      <c r="G5603" s="3">
        <v>0.0</v>
      </c>
    </row>
    <row r="5604">
      <c r="A5604" s="3">
        <v>173114.0</v>
      </c>
      <c r="B5604" s="3" t="s">
        <v>5631</v>
      </c>
      <c r="C5604" s="3" t="s">
        <v>189</v>
      </c>
      <c r="D5604" s="3">
        <v>154.0</v>
      </c>
      <c r="E5604" s="3">
        <v>4.06</v>
      </c>
      <c r="F5604" s="3">
        <v>27.58</v>
      </c>
      <c r="G5604" s="3">
        <v>0.0</v>
      </c>
    </row>
    <row r="5605">
      <c r="A5605" s="3">
        <v>173115.0</v>
      </c>
      <c r="B5605" s="3" t="s">
        <v>5632</v>
      </c>
      <c r="C5605" s="3" t="s">
        <v>189</v>
      </c>
      <c r="D5605" s="3">
        <v>228.0</v>
      </c>
      <c r="E5605" s="3">
        <v>9.02</v>
      </c>
      <c r="F5605" s="3">
        <v>34.22</v>
      </c>
      <c r="G5605" s="3">
        <v>0.0</v>
      </c>
    </row>
    <row r="5606">
      <c r="A5606" s="3">
        <v>173116.0</v>
      </c>
      <c r="B5606" s="3" t="s">
        <v>5633</v>
      </c>
      <c r="C5606" s="3" t="s">
        <v>189</v>
      </c>
      <c r="D5606" s="3">
        <v>155.0</v>
      </c>
      <c r="E5606" s="3">
        <v>6.43</v>
      </c>
      <c r="F5606" s="3">
        <v>22.78</v>
      </c>
      <c r="G5606" s="3">
        <v>0.0</v>
      </c>
    </row>
    <row r="5607">
      <c r="A5607" s="3">
        <v>173117.0</v>
      </c>
      <c r="B5607" s="3" t="s">
        <v>5634</v>
      </c>
      <c r="C5607" s="3" t="s">
        <v>189</v>
      </c>
      <c r="D5607" s="3">
        <v>206.0</v>
      </c>
      <c r="E5607" s="3">
        <v>9.1</v>
      </c>
      <c r="F5607" s="3">
        <v>29.01</v>
      </c>
      <c r="G5607" s="3">
        <v>0.0</v>
      </c>
    </row>
    <row r="5608">
      <c r="A5608" s="3">
        <v>173118.0</v>
      </c>
      <c r="B5608" s="3" t="s">
        <v>5635</v>
      </c>
      <c r="C5608" s="3" t="s">
        <v>189</v>
      </c>
      <c r="D5608" s="3">
        <v>187.0</v>
      </c>
      <c r="E5608" s="3">
        <v>6.72</v>
      </c>
      <c r="F5608" s="3">
        <v>29.51</v>
      </c>
      <c r="G5608" s="3">
        <v>0.0</v>
      </c>
    </row>
    <row r="5609">
      <c r="A5609" s="3">
        <v>173119.0</v>
      </c>
      <c r="B5609" s="3" t="s">
        <v>5636</v>
      </c>
      <c r="C5609" s="3" t="s">
        <v>189</v>
      </c>
      <c r="D5609" s="3">
        <v>201.0</v>
      </c>
      <c r="E5609" s="3">
        <v>8.45</v>
      </c>
      <c r="F5609" s="3">
        <v>29.16</v>
      </c>
      <c r="G5609" s="3">
        <v>0.0</v>
      </c>
    </row>
    <row r="5610">
      <c r="A5610" s="3">
        <v>173120.0</v>
      </c>
      <c r="B5610" s="3" t="s">
        <v>5637</v>
      </c>
      <c r="C5610" s="3" t="s">
        <v>189</v>
      </c>
      <c r="D5610" s="3">
        <v>119.0</v>
      </c>
      <c r="E5610" s="3">
        <v>2.62</v>
      </c>
      <c r="F5610" s="3">
        <v>22.31</v>
      </c>
      <c r="G5610" s="3">
        <v>0.0</v>
      </c>
    </row>
    <row r="5611">
      <c r="A5611" s="3">
        <v>173121.0</v>
      </c>
      <c r="B5611" s="3" t="s">
        <v>5638</v>
      </c>
      <c r="C5611" s="3" t="s">
        <v>189</v>
      </c>
      <c r="D5611" s="3">
        <v>129.0</v>
      </c>
      <c r="E5611" s="3">
        <v>3.37</v>
      </c>
      <c r="F5611" s="3">
        <v>23.13</v>
      </c>
      <c r="G5611" s="3">
        <v>0.0</v>
      </c>
    </row>
    <row r="5612">
      <c r="A5612" s="3">
        <v>173122.0</v>
      </c>
      <c r="B5612" s="3" t="s">
        <v>5639</v>
      </c>
      <c r="C5612" s="3" t="s">
        <v>189</v>
      </c>
      <c r="D5612" s="3">
        <v>128.0</v>
      </c>
      <c r="E5612" s="3">
        <v>3.66</v>
      </c>
      <c r="F5612" s="3">
        <v>22.18</v>
      </c>
      <c r="G5612" s="3">
        <v>0.0</v>
      </c>
    </row>
    <row r="5613">
      <c r="A5613" s="3">
        <v>173123.0</v>
      </c>
      <c r="B5613" s="3" t="s">
        <v>5640</v>
      </c>
      <c r="C5613" s="3" t="s">
        <v>189</v>
      </c>
      <c r="D5613" s="3">
        <v>195.0</v>
      </c>
      <c r="E5613" s="3">
        <v>7.63</v>
      </c>
      <c r="F5613" s="3">
        <v>29.58</v>
      </c>
      <c r="G5613" s="3">
        <v>0.0</v>
      </c>
    </row>
    <row r="5614">
      <c r="A5614" s="3">
        <v>173124.0</v>
      </c>
      <c r="B5614" s="3" t="s">
        <v>5641</v>
      </c>
      <c r="C5614" s="3" t="s">
        <v>189</v>
      </c>
      <c r="D5614" s="3">
        <v>129.0</v>
      </c>
      <c r="E5614" s="3">
        <v>4.21</v>
      </c>
      <c r="F5614" s="3">
        <v>21.34</v>
      </c>
      <c r="G5614" s="3">
        <v>0.0</v>
      </c>
    </row>
    <row r="5615">
      <c r="A5615" s="3">
        <v>173125.0</v>
      </c>
      <c r="B5615" s="3" t="s">
        <v>5642</v>
      </c>
      <c r="C5615" s="3" t="s">
        <v>189</v>
      </c>
      <c r="D5615" s="3">
        <v>126.0</v>
      </c>
      <c r="E5615" s="3">
        <v>3.95</v>
      </c>
      <c r="F5615" s="3">
        <v>21.07</v>
      </c>
      <c r="G5615" s="3">
        <v>0.0</v>
      </c>
    </row>
    <row r="5616">
      <c r="A5616" s="3">
        <v>173126.0</v>
      </c>
      <c r="B5616" s="3" t="s">
        <v>5643</v>
      </c>
      <c r="C5616" s="3" t="s">
        <v>189</v>
      </c>
      <c r="D5616" s="3">
        <v>130.0</v>
      </c>
      <c r="E5616" s="3">
        <v>4.55</v>
      </c>
      <c r="F5616" s="3">
        <v>20.76</v>
      </c>
      <c r="G5616" s="3">
        <v>0.0</v>
      </c>
    </row>
    <row r="5617">
      <c r="A5617" s="3">
        <v>173127.0</v>
      </c>
      <c r="B5617" s="3" t="s">
        <v>5644</v>
      </c>
      <c r="C5617" s="3" t="s">
        <v>189</v>
      </c>
      <c r="D5617" s="3">
        <v>122.0</v>
      </c>
      <c r="E5617" s="3">
        <v>3.35</v>
      </c>
      <c r="F5617" s="3">
        <v>21.38</v>
      </c>
      <c r="G5617" s="3">
        <v>0.0</v>
      </c>
    </row>
    <row r="5618">
      <c r="A5618" s="3">
        <v>173128.0</v>
      </c>
      <c r="B5618" s="3" t="s">
        <v>5645</v>
      </c>
      <c r="C5618" s="3" t="s">
        <v>189</v>
      </c>
      <c r="D5618" s="3">
        <v>278.0</v>
      </c>
      <c r="E5618" s="3">
        <v>22.15</v>
      </c>
      <c r="F5618" s="3">
        <v>18.12</v>
      </c>
      <c r="G5618" s="3">
        <v>0.12</v>
      </c>
    </row>
    <row r="5619">
      <c r="A5619" s="3">
        <v>173129.0</v>
      </c>
      <c r="B5619" s="3" t="s">
        <v>5646</v>
      </c>
      <c r="C5619" s="3" t="s">
        <v>189</v>
      </c>
      <c r="D5619" s="3">
        <v>276.0</v>
      </c>
      <c r="E5619" s="3">
        <v>22.21</v>
      </c>
      <c r="F5619" s="3">
        <v>17.77</v>
      </c>
      <c r="G5619" s="3">
        <v>0.0</v>
      </c>
    </row>
    <row r="5620">
      <c r="A5620" s="3">
        <v>173130.0</v>
      </c>
      <c r="B5620" s="3" t="s">
        <v>5647</v>
      </c>
      <c r="C5620" s="3" t="s">
        <v>189</v>
      </c>
      <c r="D5620" s="3">
        <v>298.0</v>
      </c>
      <c r="E5620" s="3">
        <v>19.47</v>
      </c>
      <c r="F5620" s="3">
        <v>28.66</v>
      </c>
      <c r="G5620" s="3">
        <v>0.0</v>
      </c>
    </row>
    <row r="5621">
      <c r="A5621" s="3">
        <v>173131.0</v>
      </c>
      <c r="B5621" s="3" t="s">
        <v>5648</v>
      </c>
      <c r="C5621" s="3" t="s">
        <v>33</v>
      </c>
      <c r="D5621" s="3">
        <v>402.0</v>
      </c>
      <c r="E5621" s="3">
        <v>6.1</v>
      </c>
      <c r="F5621" s="3">
        <v>10.72</v>
      </c>
      <c r="G5621" s="3">
        <v>76.04</v>
      </c>
    </row>
    <row r="5622">
      <c r="A5622" s="3">
        <v>173132.0</v>
      </c>
      <c r="B5622" s="3" t="s">
        <v>5649</v>
      </c>
      <c r="C5622" s="3" t="s">
        <v>33</v>
      </c>
      <c r="D5622" s="3">
        <v>377.0</v>
      </c>
      <c r="E5622" s="3">
        <v>8.99</v>
      </c>
      <c r="F5622" s="3">
        <v>22.35</v>
      </c>
      <c r="G5622" s="3">
        <v>51.66</v>
      </c>
    </row>
    <row r="5623">
      <c r="A5623" s="3">
        <v>173133.0</v>
      </c>
      <c r="B5623" s="3" t="s">
        <v>5650</v>
      </c>
      <c r="C5623" s="3" t="s">
        <v>33</v>
      </c>
      <c r="D5623" s="3">
        <v>463.0</v>
      </c>
      <c r="E5623" s="3">
        <v>20.78</v>
      </c>
      <c r="F5623" s="3">
        <v>5.88</v>
      </c>
      <c r="G5623" s="3">
        <v>64.69</v>
      </c>
    </row>
    <row r="5624">
      <c r="A5624" s="3">
        <v>173134.0</v>
      </c>
      <c r="B5624" s="3" t="s">
        <v>5651</v>
      </c>
      <c r="C5624" s="3" t="s">
        <v>33</v>
      </c>
      <c r="D5624" s="3">
        <v>381.0</v>
      </c>
      <c r="E5624" s="3">
        <v>7.87</v>
      </c>
      <c r="F5624" s="3">
        <v>22.5</v>
      </c>
      <c r="G5624" s="3">
        <v>55.13</v>
      </c>
    </row>
    <row r="5625">
      <c r="A5625" s="3">
        <v>173135.0</v>
      </c>
      <c r="B5625" s="3" t="s">
        <v>5652</v>
      </c>
      <c r="C5625" s="3" t="s">
        <v>33</v>
      </c>
      <c r="D5625" s="3">
        <v>415.0</v>
      </c>
      <c r="E5625" s="3">
        <v>11.95</v>
      </c>
      <c r="F5625" s="3">
        <v>3.78</v>
      </c>
      <c r="G5625" s="3">
        <v>73.01</v>
      </c>
    </row>
    <row r="5626">
      <c r="A5626" s="3">
        <v>173136.0</v>
      </c>
      <c r="B5626" s="3" t="s">
        <v>5653</v>
      </c>
      <c r="C5626" s="3" t="s">
        <v>33</v>
      </c>
      <c r="D5626" s="3">
        <v>386.0</v>
      </c>
      <c r="E5626" s="3">
        <v>10.79</v>
      </c>
      <c r="F5626" s="3">
        <v>21.91</v>
      </c>
      <c r="G5626" s="3">
        <v>50.3</v>
      </c>
    </row>
    <row r="5627">
      <c r="A5627" s="3">
        <v>173137.0</v>
      </c>
      <c r="B5627" s="3" t="s">
        <v>5654</v>
      </c>
      <c r="C5627" s="3" t="s">
        <v>33</v>
      </c>
      <c r="D5627" s="3">
        <v>363.0</v>
      </c>
      <c r="E5627" s="3">
        <v>3.11</v>
      </c>
      <c r="F5627" s="3">
        <v>14.15</v>
      </c>
      <c r="G5627" s="3">
        <v>69.63</v>
      </c>
    </row>
    <row r="5628">
      <c r="A5628" s="3">
        <v>173138.0</v>
      </c>
      <c r="B5628" s="3" t="s">
        <v>5655</v>
      </c>
      <c r="C5628" s="3" t="s">
        <v>33</v>
      </c>
      <c r="D5628" s="3">
        <v>325.0</v>
      </c>
      <c r="E5628" s="3">
        <v>9.27</v>
      </c>
      <c r="F5628" s="3">
        <v>6.21</v>
      </c>
      <c r="G5628" s="3">
        <v>57.87</v>
      </c>
    </row>
    <row r="5629">
      <c r="A5629" s="3">
        <v>173139.0</v>
      </c>
      <c r="B5629" s="3" t="s">
        <v>5656</v>
      </c>
      <c r="C5629" s="3" t="s">
        <v>33</v>
      </c>
      <c r="D5629" s="3">
        <v>386.0</v>
      </c>
      <c r="E5629" s="3">
        <v>8.92</v>
      </c>
      <c r="F5629" s="3">
        <v>16.19</v>
      </c>
      <c r="G5629" s="3">
        <v>60.21</v>
      </c>
    </row>
    <row r="5630">
      <c r="A5630" s="3">
        <v>173140.0</v>
      </c>
      <c r="B5630" s="3" t="s">
        <v>5657</v>
      </c>
      <c r="C5630" s="3" t="s">
        <v>33</v>
      </c>
      <c r="D5630" s="3">
        <v>385.0</v>
      </c>
      <c r="E5630" s="3">
        <v>7.35</v>
      </c>
      <c r="F5630" s="3">
        <v>26.5</v>
      </c>
      <c r="G5630" s="3">
        <v>53.15</v>
      </c>
    </row>
    <row r="5631">
      <c r="A5631" s="3">
        <v>173141.0</v>
      </c>
      <c r="B5631" s="3" t="s">
        <v>5658</v>
      </c>
      <c r="C5631" s="3" t="s">
        <v>33</v>
      </c>
      <c r="D5631" s="3">
        <v>535.0</v>
      </c>
      <c r="E5631" s="3">
        <v>30.22</v>
      </c>
      <c r="F5631" s="3">
        <v>8.38</v>
      </c>
      <c r="G5631" s="3">
        <v>57.26</v>
      </c>
    </row>
    <row r="5632">
      <c r="A5632" s="3">
        <v>173142.0</v>
      </c>
      <c r="B5632" s="3" t="s">
        <v>5659</v>
      </c>
      <c r="C5632" s="3" t="s">
        <v>33</v>
      </c>
      <c r="D5632" s="3">
        <v>531.0</v>
      </c>
      <c r="E5632" s="3">
        <v>29.59</v>
      </c>
      <c r="F5632" s="3">
        <v>2.28</v>
      </c>
      <c r="G5632" s="3">
        <v>63.84</v>
      </c>
    </row>
    <row r="5633">
      <c r="A5633" s="3">
        <v>173143.0</v>
      </c>
      <c r="B5633" s="3" t="s">
        <v>5660</v>
      </c>
      <c r="C5633" s="3" t="s">
        <v>33</v>
      </c>
      <c r="D5633" s="3">
        <v>497.0</v>
      </c>
      <c r="E5633" s="3">
        <v>22.33</v>
      </c>
      <c r="F5633" s="3">
        <v>6.62</v>
      </c>
      <c r="G5633" s="3">
        <v>67.38</v>
      </c>
    </row>
    <row r="5634">
      <c r="A5634" s="3">
        <v>173144.0</v>
      </c>
      <c r="B5634" s="3" t="s">
        <v>5661</v>
      </c>
      <c r="C5634" s="3" t="s">
        <v>33</v>
      </c>
      <c r="D5634" s="3">
        <v>393.0</v>
      </c>
      <c r="E5634" s="3">
        <v>9.23</v>
      </c>
      <c r="F5634" s="3">
        <v>17.88</v>
      </c>
      <c r="G5634" s="3">
        <v>59.58</v>
      </c>
    </row>
    <row r="5635">
      <c r="A5635" s="3">
        <v>173145.0</v>
      </c>
      <c r="B5635" s="3" t="s">
        <v>5662</v>
      </c>
      <c r="C5635" s="3" t="s">
        <v>33</v>
      </c>
      <c r="D5635" s="3">
        <v>412.0</v>
      </c>
      <c r="E5635" s="3">
        <v>12.5</v>
      </c>
      <c r="F5635" s="3">
        <v>5.55</v>
      </c>
      <c r="G5635" s="3">
        <v>69.4</v>
      </c>
    </row>
    <row r="5636">
      <c r="A5636" s="3">
        <v>173146.0</v>
      </c>
      <c r="B5636" s="3" t="s">
        <v>5663</v>
      </c>
      <c r="C5636" s="3" t="s">
        <v>33</v>
      </c>
      <c r="D5636" s="3">
        <v>451.0</v>
      </c>
      <c r="E5636" s="3">
        <v>17.5</v>
      </c>
      <c r="F5636" s="3">
        <v>7.17</v>
      </c>
      <c r="G5636" s="3">
        <v>66.27</v>
      </c>
    </row>
    <row r="5637">
      <c r="A5637" s="3">
        <v>173147.0</v>
      </c>
      <c r="B5637" s="3" t="s">
        <v>5664</v>
      </c>
      <c r="C5637" s="3" t="s">
        <v>33</v>
      </c>
      <c r="D5637" s="3">
        <v>457.0</v>
      </c>
      <c r="E5637" s="3">
        <v>15.2</v>
      </c>
      <c r="F5637" s="3">
        <v>11.79</v>
      </c>
      <c r="G5637" s="3">
        <v>68.26</v>
      </c>
    </row>
    <row r="5638">
      <c r="A5638" s="3">
        <v>173148.0</v>
      </c>
      <c r="B5638" s="3" t="s">
        <v>5665</v>
      </c>
      <c r="C5638" s="3" t="s">
        <v>33</v>
      </c>
      <c r="D5638" s="3">
        <v>455.0</v>
      </c>
      <c r="E5638" s="3">
        <v>20.0</v>
      </c>
      <c r="F5638" s="3">
        <v>8.6</v>
      </c>
      <c r="G5638" s="3">
        <v>60.13</v>
      </c>
    </row>
    <row r="5639">
      <c r="A5639" s="3">
        <v>173149.0</v>
      </c>
      <c r="B5639" s="3" t="s">
        <v>5666</v>
      </c>
      <c r="C5639" s="3" t="s">
        <v>33</v>
      </c>
      <c r="D5639" s="3">
        <v>389.0</v>
      </c>
      <c r="E5639" s="3">
        <v>10.0</v>
      </c>
      <c r="F5639" s="3">
        <v>5.0</v>
      </c>
      <c r="G5639" s="3">
        <v>69.82</v>
      </c>
    </row>
    <row r="5640">
      <c r="A5640" s="3">
        <v>173150.0</v>
      </c>
      <c r="B5640" s="3" t="s">
        <v>5667</v>
      </c>
      <c r="C5640" s="3" t="s">
        <v>33</v>
      </c>
      <c r="D5640" s="3">
        <v>451.0</v>
      </c>
      <c r="E5640" s="3">
        <v>15.14</v>
      </c>
      <c r="F5640" s="3">
        <v>12.34</v>
      </c>
      <c r="G5640" s="3">
        <v>66.36</v>
      </c>
    </row>
    <row r="5641">
      <c r="A5641" s="3">
        <v>173151.0</v>
      </c>
      <c r="B5641" s="3" t="s">
        <v>5668</v>
      </c>
      <c r="C5641" s="3" t="s">
        <v>33</v>
      </c>
      <c r="D5641" s="3">
        <v>403.0</v>
      </c>
      <c r="E5641" s="3">
        <v>10.93</v>
      </c>
      <c r="F5641" s="3">
        <v>9.38</v>
      </c>
      <c r="G5641" s="3">
        <v>66.72</v>
      </c>
    </row>
    <row r="5642">
      <c r="A5642" s="3">
        <v>173152.0</v>
      </c>
      <c r="B5642" s="3" t="s">
        <v>5669</v>
      </c>
      <c r="C5642" s="3" t="s">
        <v>33</v>
      </c>
      <c r="D5642" s="3">
        <v>515.0</v>
      </c>
      <c r="E5642" s="3">
        <v>25.91</v>
      </c>
      <c r="F5642" s="3">
        <v>1.34</v>
      </c>
      <c r="G5642" s="3">
        <v>69.23</v>
      </c>
    </row>
    <row r="5643">
      <c r="A5643" s="3">
        <v>173153.0</v>
      </c>
      <c r="B5643" s="3" t="s">
        <v>5670</v>
      </c>
      <c r="C5643" s="3" t="s">
        <v>33</v>
      </c>
      <c r="D5643" s="3">
        <v>415.0</v>
      </c>
      <c r="E5643" s="3">
        <v>11.43</v>
      </c>
      <c r="F5643" s="3">
        <v>5.71</v>
      </c>
      <c r="G5643" s="3">
        <v>72.27</v>
      </c>
    </row>
    <row r="5644">
      <c r="A5644" s="3">
        <v>173154.0</v>
      </c>
      <c r="B5644" s="3" t="s">
        <v>5671</v>
      </c>
      <c r="C5644" s="3" t="s">
        <v>33</v>
      </c>
      <c r="D5644" s="3">
        <v>480.0</v>
      </c>
      <c r="E5644" s="3">
        <v>20.42</v>
      </c>
      <c r="F5644" s="3">
        <v>7.52</v>
      </c>
      <c r="G5644" s="3">
        <v>64.96</v>
      </c>
    </row>
    <row r="5645">
      <c r="A5645" s="3">
        <v>173155.0</v>
      </c>
      <c r="B5645" s="3" t="s">
        <v>5672</v>
      </c>
      <c r="C5645" s="3" t="s">
        <v>33</v>
      </c>
      <c r="D5645" s="3">
        <v>384.0</v>
      </c>
      <c r="E5645" s="3">
        <v>2.8</v>
      </c>
      <c r="F5645" s="3">
        <v>8.2</v>
      </c>
      <c r="G5645" s="3">
        <v>81.5</v>
      </c>
    </row>
    <row r="5646">
      <c r="A5646" s="3">
        <v>173156.0</v>
      </c>
      <c r="B5646" s="3" t="s">
        <v>5673</v>
      </c>
      <c r="C5646" s="3" t="s">
        <v>33</v>
      </c>
      <c r="D5646" s="3">
        <v>467.0</v>
      </c>
      <c r="E5646" s="3">
        <v>17.64</v>
      </c>
      <c r="F5646" s="3">
        <v>7.05</v>
      </c>
      <c r="G5646" s="3">
        <v>70.07</v>
      </c>
    </row>
    <row r="5647">
      <c r="A5647" s="3">
        <v>173157.0</v>
      </c>
      <c r="B5647" s="3" t="s">
        <v>5674</v>
      </c>
      <c r="C5647" s="3" t="s">
        <v>33</v>
      </c>
      <c r="D5647" s="3">
        <v>432.0</v>
      </c>
      <c r="E5647" s="3">
        <v>14.11</v>
      </c>
      <c r="F5647" s="3">
        <v>14.11</v>
      </c>
      <c r="G5647" s="3">
        <v>62.2</v>
      </c>
    </row>
    <row r="5648">
      <c r="A5648" s="3">
        <v>173158.0</v>
      </c>
      <c r="B5648" s="3" t="s">
        <v>5675</v>
      </c>
      <c r="C5648" s="3" t="s">
        <v>33</v>
      </c>
      <c r="D5648" s="3">
        <v>412.0</v>
      </c>
      <c r="E5648" s="3">
        <v>15.17</v>
      </c>
      <c r="F5648" s="3">
        <v>30.34</v>
      </c>
      <c r="G5648" s="3">
        <v>38.4</v>
      </c>
    </row>
    <row r="5649">
      <c r="A5649" s="3">
        <v>173159.0</v>
      </c>
      <c r="B5649" s="3" t="s">
        <v>5676</v>
      </c>
      <c r="C5649" s="3" t="s">
        <v>33</v>
      </c>
      <c r="D5649" s="3">
        <v>415.0</v>
      </c>
      <c r="E5649" s="3">
        <v>12.0</v>
      </c>
      <c r="F5649" s="3">
        <v>28.0</v>
      </c>
      <c r="G5649" s="3">
        <v>48.73</v>
      </c>
    </row>
    <row r="5650">
      <c r="A5650" s="3">
        <v>173160.0</v>
      </c>
      <c r="B5650" s="3" t="s">
        <v>5677</v>
      </c>
      <c r="C5650" s="3" t="s">
        <v>33</v>
      </c>
      <c r="D5650" s="3">
        <v>426.0</v>
      </c>
      <c r="E5650" s="3">
        <v>17.86</v>
      </c>
      <c r="F5650" s="3">
        <v>7.14</v>
      </c>
      <c r="G5650" s="3">
        <v>59.09</v>
      </c>
    </row>
    <row r="5651">
      <c r="A5651" s="3">
        <v>173161.0</v>
      </c>
      <c r="B5651" s="3" t="s">
        <v>5678</v>
      </c>
      <c r="C5651" s="3" t="s">
        <v>33</v>
      </c>
      <c r="D5651" s="3">
        <v>416.0</v>
      </c>
      <c r="E5651" s="3">
        <v>5.0</v>
      </c>
      <c r="F5651" s="3">
        <v>10.0</v>
      </c>
      <c r="G5651" s="3">
        <v>82.64</v>
      </c>
    </row>
    <row r="5652">
      <c r="A5652" s="3">
        <v>173162.0</v>
      </c>
      <c r="B5652" s="3" t="s">
        <v>5679</v>
      </c>
      <c r="C5652" s="3" t="s">
        <v>183</v>
      </c>
      <c r="D5652" s="3">
        <v>5.0</v>
      </c>
      <c r="E5652" s="3">
        <v>0.0</v>
      </c>
      <c r="F5652" s="3">
        <v>0.0</v>
      </c>
      <c r="G5652" s="3">
        <v>1.38</v>
      </c>
    </row>
    <row r="5653">
      <c r="A5653" s="3">
        <v>173163.0</v>
      </c>
      <c r="B5653" s="3" t="s">
        <v>5680</v>
      </c>
      <c r="C5653" s="3" t="s">
        <v>183</v>
      </c>
      <c r="D5653" s="3">
        <v>383.0</v>
      </c>
      <c r="E5653" s="3">
        <v>0.1</v>
      </c>
      <c r="F5653" s="3">
        <v>0.6</v>
      </c>
      <c r="G5653" s="3">
        <v>97.3</v>
      </c>
    </row>
    <row r="5654">
      <c r="A5654" s="3">
        <v>173164.0</v>
      </c>
      <c r="B5654" s="3" t="s">
        <v>5681</v>
      </c>
      <c r="C5654" s="3" t="s">
        <v>183</v>
      </c>
      <c r="D5654" s="3">
        <v>164.0</v>
      </c>
      <c r="E5654" s="3">
        <v>0.02</v>
      </c>
      <c r="F5654" s="3">
        <v>0.1</v>
      </c>
      <c r="G5654" s="3">
        <v>15.85</v>
      </c>
    </row>
    <row r="5655">
      <c r="A5655" s="3">
        <v>173165.0</v>
      </c>
      <c r="B5655" s="3" t="s">
        <v>5682</v>
      </c>
      <c r="C5655" s="3" t="s">
        <v>183</v>
      </c>
      <c r="D5655" s="3">
        <v>44.0</v>
      </c>
      <c r="E5655" s="3">
        <v>0.0</v>
      </c>
      <c r="F5655" s="3">
        <v>0.0</v>
      </c>
      <c r="G5655" s="3">
        <v>11.25</v>
      </c>
    </row>
    <row r="5656">
      <c r="A5656" s="3">
        <v>173166.0</v>
      </c>
      <c r="B5656" s="3" t="s">
        <v>5683</v>
      </c>
      <c r="C5656" s="3" t="s">
        <v>183</v>
      </c>
      <c r="D5656" s="3">
        <v>5.0</v>
      </c>
      <c r="E5656" s="3">
        <v>0.0</v>
      </c>
      <c r="F5656" s="3">
        <v>0.0</v>
      </c>
      <c r="G5656" s="3">
        <v>1.25</v>
      </c>
    </row>
    <row r="5657">
      <c r="A5657" s="3">
        <v>173167.0</v>
      </c>
      <c r="B5657" s="3" t="s">
        <v>5684</v>
      </c>
      <c r="C5657" s="3" t="s">
        <v>183</v>
      </c>
      <c r="D5657" s="3">
        <v>385.0</v>
      </c>
      <c r="E5657" s="3">
        <v>5.13</v>
      </c>
      <c r="F5657" s="3">
        <v>66.67</v>
      </c>
      <c r="G5657" s="3">
        <v>17.95</v>
      </c>
    </row>
    <row r="5658">
      <c r="A5658" s="3">
        <v>173168.0</v>
      </c>
      <c r="B5658" s="3" t="s">
        <v>5685</v>
      </c>
      <c r="C5658" s="3" t="s">
        <v>183</v>
      </c>
      <c r="D5658" s="3">
        <v>371.0</v>
      </c>
      <c r="E5658" s="3">
        <v>0.3</v>
      </c>
      <c r="F5658" s="3">
        <v>0.0</v>
      </c>
      <c r="G5658" s="3">
        <v>41.6</v>
      </c>
    </row>
    <row r="5659">
      <c r="A5659" s="3">
        <v>173169.0</v>
      </c>
      <c r="B5659" s="3" t="s">
        <v>5686</v>
      </c>
      <c r="C5659" s="3" t="s">
        <v>183</v>
      </c>
      <c r="D5659" s="3">
        <v>138.0</v>
      </c>
      <c r="E5659" s="3">
        <v>5.38</v>
      </c>
      <c r="F5659" s="3">
        <v>5.38</v>
      </c>
      <c r="G5659" s="3">
        <v>17.29</v>
      </c>
    </row>
    <row r="5660">
      <c r="A5660" s="3">
        <v>173170.0</v>
      </c>
      <c r="B5660" s="3" t="s">
        <v>5687</v>
      </c>
      <c r="C5660" s="3" t="s">
        <v>183</v>
      </c>
      <c r="D5660" s="3">
        <v>61.0</v>
      </c>
      <c r="E5660" s="3">
        <v>3.38</v>
      </c>
      <c r="F5660" s="3">
        <v>6.59</v>
      </c>
      <c r="G5660" s="3">
        <v>0.85</v>
      </c>
    </row>
    <row r="5661">
      <c r="A5661" s="3">
        <v>173171.0</v>
      </c>
      <c r="B5661" s="3" t="s">
        <v>5688</v>
      </c>
      <c r="C5661" s="3" t="s">
        <v>183</v>
      </c>
      <c r="D5661" s="3">
        <v>57.0</v>
      </c>
      <c r="E5661" s="3">
        <v>1.93</v>
      </c>
      <c r="F5661" s="3">
        <v>3.32</v>
      </c>
      <c r="G5661" s="3">
        <v>7.74</v>
      </c>
    </row>
    <row r="5662">
      <c r="A5662" s="3">
        <v>173172.0</v>
      </c>
      <c r="B5662" s="3" t="s">
        <v>5689</v>
      </c>
      <c r="C5662" s="3" t="s">
        <v>183</v>
      </c>
      <c r="D5662" s="3">
        <v>448.0</v>
      </c>
      <c r="E5662" s="3">
        <v>13.34</v>
      </c>
      <c r="F5662" s="3">
        <v>8.13</v>
      </c>
      <c r="G5662" s="3">
        <v>73.92</v>
      </c>
    </row>
    <row r="5663">
      <c r="A5663" s="3">
        <v>173173.0</v>
      </c>
      <c r="B5663" s="3" t="s">
        <v>5690</v>
      </c>
      <c r="C5663" s="3" t="s">
        <v>183</v>
      </c>
      <c r="D5663" s="3">
        <v>38.0</v>
      </c>
      <c r="E5663" s="3">
        <v>0.06</v>
      </c>
      <c r="F5663" s="3">
        <v>0.68</v>
      </c>
      <c r="G5663" s="3">
        <v>9.2</v>
      </c>
    </row>
    <row r="5664">
      <c r="A5664" s="3">
        <v>173174.0</v>
      </c>
      <c r="B5664" s="3" t="s">
        <v>5691</v>
      </c>
      <c r="C5664" s="3" t="s">
        <v>183</v>
      </c>
      <c r="D5664" s="3">
        <v>433.0</v>
      </c>
      <c r="E5664" s="3">
        <v>13.46</v>
      </c>
      <c r="F5664" s="3">
        <v>27.87</v>
      </c>
      <c r="G5664" s="3">
        <v>50.0</v>
      </c>
    </row>
    <row r="5665">
      <c r="A5665" s="3">
        <v>173175.0</v>
      </c>
      <c r="B5665" s="3" t="s">
        <v>5692</v>
      </c>
      <c r="C5665" s="3" t="s">
        <v>183</v>
      </c>
      <c r="D5665" s="3">
        <v>62.0</v>
      </c>
      <c r="E5665" s="3">
        <v>0.83</v>
      </c>
      <c r="F5665" s="3">
        <v>0.83</v>
      </c>
      <c r="G5665" s="3">
        <v>12.83</v>
      </c>
    </row>
    <row r="5666">
      <c r="A5666" s="3">
        <v>173176.0</v>
      </c>
      <c r="B5666" s="3" t="s">
        <v>5693</v>
      </c>
      <c r="C5666" s="3" t="s">
        <v>183</v>
      </c>
      <c r="D5666" s="3">
        <v>160.0</v>
      </c>
      <c r="E5666" s="3">
        <v>0.0</v>
      </c>
      <c r="F5666" s="3">
        <v>0.2</v>
      </c>
      <c r="G5666" s="3">
        <v>13.69</v>
      </c>
    </row>
    <row r="5667">
      <c r="A5667" s="3">
        <v>173177.0</v>
      </c>
      <c r="B5667" s="3" t="s">
        <v>5694</v>
      </c>
      <c r="C5667" s="3" t="s">
        <v>183</v>
      </c>
      <c r="D5667" s="3">
        <v>359.0</v>
      </c>
      <c r="E5667" s="3">
        <v>1.16</v>
      </c>
      <c r="F5667" s="3">
        <v>58.14</v>
      </c>
      <c r="G5667" s="3">
        <v>29.07</v>
      </c>
    </row>
    <row r="5668">
      <c r="A5668" s="3">
        <v>173178.0</v>
      </c>
      <c r="B5668" s="3" t="s">
        <v>5695</v>
      </c>
      <c r="C5668" s="3" t="s">
        <v>183</v>
      </c>
      <c r="D5668" s="3">
        <v>21.0</v>
      </c>
      <c r="E5668" s="3">
        <v>0.0</v>
      </c>
      <c r="F5668" s="3">
        <v>0.21</v>
      </c>
      <c r="G5668" s="3">
        <v>5.42</v>
      </c>
    </row>
    <row r="5669">
      <c r="A5669" s="3">
        <v>173179.0</v>
      </c>
      <c r="B5669" s="3" t="s">
        <v>5696</v>
      </c>
      <c r="C5669" s="3" t="s">
        <v>183</v>
      </c>
      <c r="D5669" s="3">
        <v>45.0</v>
      </c>
      <c r="E5669" s="3">
        <v>0.0</v>
      </c>
      <c r="F5669" s="3">
        <v>0.0</v>
      </c>
      <c r="G5669" s="3">
        <v>12.5</v>
      </c>
    </row>
    <row r="5670">
      <c r="A5670" s="3">
        <v>173180.0</v>
      </c>
      <c r="B5670" s="3" t="s">
        <v>5697</v>
      </c>
      <c r="C5670" s="3" t="s">
        <v>183</v>
      </c>
      <c r="D5670" s="3">
        <v>352.0</v>
      </c>
      <c r="E5670" s="3">
        <v>1.56</v>
      </c>
      <c r="F5670" s="3">
        <v>78.13</v>
      </c>
      <c r="G5670" s="3">
        <v>6.25</v>
      </c>
    </row>
    <row r="5671">
      <c r="A5671" s="3">
        <v>173181.0</v>
      </c>
      <c r="B5671" s="3" t="s">
        <v>5698</v>
      </c>
      <c r="C5671" s="3" t="s">
        <v>183</v>
      </c>
      <c r="D5671" s="3">
        <v>388.0</v>
      </c>
      <c r="E5671" s="3">
        <v>5.56</v>
      </c>
      <c r="F5671" s="3">
        <v>55.56</v>
      </c>
      <c r="G5671" s="3">
        <v>28.89</v>
      </c>
    </row>
    <row r="5672">
      <c r="A5672" s="3">
        <v>173182.0</v>
      </c>
      <c r="B5672" s="3" t="s">
        <v>5699</v>
      </c>
      <c r="C5672" s="3" t="s">
        <v>183</v>
      </c>
      <c r="D5672" s="3">
        <v>372.0</v>
      </c>
      <c r="E5672" s="3">
        <v>0.0</v>
      </c>
      <c r="F5672" s="3">
        <v>0.0</v>
      </c>
      <c r="G5672" s="3">
        <v>92.96</v>
      </c>
    </row>
    <row r="5673">
      <c r="A5673" s="3">
        <v>173183.0</v>
      </c>
      <c r="B5673" s="3" t="s">
        <v>5700</v>
      </c>
      <c r="C5673" s="3" t="s">
        <v>183</v>
      </c>
      <c r="D5673" s="3">
        <v>0.0</v>
      </c>
      <c r="E5673" s="3">
        <v>0.0</v>
      </c>
      <c r="F5673" s="3">
        <v>0.0</v>
      </c>
      <c r="G5673" s="3">
        <v>0.0</v>
      </c>
    </row>
    <row r="5674">
      <c r="A5674" s="3">
        <v>173184.0</v>
      </c>
      <c r="B5674" s="3" t="s">
        <v>5701</v>
      </c>
      <c r="C5674" s="3" t="s">
        <v>183</v>
      </c>
      <c r="D5674" s="3">
        <v>49.0</v>
      </c>
      <c r="E5674" s="3">
        <v>0.17</v>
      </c>
      <c r="F5674" s="3">
        <v>3.25</v>
      </c>
      <c r="G5674" s="3">
        <v>8.64</v>
      </c>
    </row>
    <row r="5675">
      <c r="A5675" s="3">
        <v>173185.0</v>
      </c>
      <c r="B5675" s="3" t="s">
        <v>5702</v>
      </c>
      <c r="C5675" s="3" t="s">
        <v>183</v>
      </c>
      <c r="D5675" s="3">
        <v>83.0</v>
      </c>
      <c r="E5675" s="3">
        <v>0.0</v>
      </c>
      <c r="F5675" s="3">
        <v>0.07</v>
      </c>
      <c r="G5675" s="3">
        <v>2.72</v>
      </c>
    </row>
    <row r="5676">
      <c r="A5676" s="3">
        <v>173186.0</v>
      </c>
      <c r="B5676" s="3" t="s">
        <v>5703</v>
      </c>
      <c r="C5676" s="3" t="s">
        <v>183</v>
      </c>
      <c r="D5676" s="3">
        <v>37.0</v>
      </c>
      <c r="E5676" s="3">
        <v>0.0</v>
      </c>
      <c r="F5676" s="3">
        <v>1.22</v>
      </c>
      <c r="G5676" s="3">
        <v>7.76</v>
      </c>
    </row>
    <row r="5677">
      <c r="A5677" s="3">
        <v>173187.0</v>
      </c>
      <c r="B5677" s="3" t="s">
        <v>5704</v>
      </c>
      <c r="C5677" s="3" t="s">
        <v>183</v>
      </c>
      <c r="D5677" s="3">
        <v>21.0</v>
      </c>
      <c r="E5677" s="3">
        <v>1.46</v>
      </c>
      <c r="F5677" s="3">
        <v>0.83</v>
      </c>
      <c r="G5677" s="3">
        <v>1.25</v>
      </c>
    </row>
    <row r="5678">
      <c r="A5678" s="3">
        <v>173188.0</v>
      </c>
      <c r="B5678" s="3" t="s">
        <v>5705</v>
      </c>
      <c r="C5678" s="3" t="s">
        <v>183</v>
      </c>
      <c r="D5678" s="3">
        <v>0.0</v>
      </c>
      <c r="E5678" s="3">
        <v>0.0</v>
      </c>
      <c r="F5678" s="3">
        <v>0.0</v>
      </c>
      <c r="G5678" s="3">
        <v>0.0</v>
      </c>
    </row>
    <row r="5679">
      <c r="A5679" s="3">
        <v>173189.0</v>
      </c>
      <c r="B5679" s="3" t="s">
        <v>5706</v>
      </c>
      <c r="C5679" s="3" t="s">
        <v>183</v>
      </c>
      <c r="D5679" s="3">
        <v>50.0</v>
      </c>
      <c r="E5679" s="3">
        <v>0.0</v>
      </c>
      <c r="F5679" s="3">
        <v>0.0</v>
      </c>
      <c r="G5679" s="3">
        <v>13.75</v>
      </c>
    </row>
    <row r="5680">
      <c r="A5680" s="3">
        <v>173190.0</v>
      </c>
      <c r="B5680" s="3" t="s">
        <v>5707</v>
      </c>
      <c r="C5680" s="3" t="s">
        <v>183</v>
      </c>
      <c r="D5680" s="3">
        <v>85.0</v>
      </c>
      <c r="E5680" s="3">
        <v>0.0</v>
      </c>
      <c r="F5680" s="3">
        <v>0.07</v>
      </c>
      <c r="G5680" s="3">
        <v>2.61</v>
      </c>
    </row>
    <row r="5681">
      <c r="A5681" s="3">
        <v>173191.0</v>
      </c>
      <c r="B5681" s="3" t="s">
        <v>5708</v>
      </c>
      <c r="C5681" s="3" t="s">
        <v>183</v>
      </c>
      <c r="D5681" s="3">
        <v>85.0</v>
      </c>
      <c r="E5681" s="3">
        <v>0.0</v>
      </c>
      <c r="F5681" s="3">
        <v>0.07</v>
      </c>
      <c r="G5681" s="3">
        <v>2.79</v>
      </c>
    </row>
    <row r="5682">
      <c r="A5682" s="3">
        <v>173192.0</v>
      </c>
      <c r="B5682" s="3" t="s">
        <v>5709</v>
      </c>
      <c r="C5682" s="3" t="s">
        <v>183</v>
      </c>
      <c r="D5682" s="3">
        <v>88.0</v>
      </c>
      <c r="E5682" s="3">
        <v>0.0</v>
      </c>
      <c r="F5682" s="3">
        <v>0.07</v>
      </c>
      <c r="G5682" s="3">
        <v>2.86</v>
      </c>
    </row>
    <row r="5683">
      <c r="A5683" s="3">
        <v>173193.0</v>
      </c>
      <c r="B5683" s="3" t="s">
        <v>5710</v>
      </c>
      <c r="C5683" s="3" t="s">
        <v>183</v>
      </c>
      <c r="D5683" s="3">
        <v>85.0</v>
      </c>
      <c r="E5683" s="3">
        <v>0.0</v>
      </c>
      <c r="F5683" s="3">
        <v>0.07</v>
      </c>
      <c r="G5683" s="3">
        <v>2.68</v>
      </c>
    </row>
    <row r="5684">
      <c r="A5684" s="3">
        <v>173194.0</v>
      </c>
      <c r="B5684" s="3" t="s">
        <v>5711</v>
      </c>
      <c r="C5684" s="3" t="s">
        <v>183</v>
      </c>
      <c r="D5684" s="3">
        <v>83.0</v>
      </c>
      <c r="E5684" s="3">
        <v>0.0</v>
      </c>
      <c r="F5684" s="3">
        <v>0.07</v>
      </c>
      <c r="G5684" s="3">
        <v>3.01</v>
      </c>
    </row>
    <row r="5685">
      <c r="A5685" s="3">
        <v>173195.0</v>
      </c>
      <c r="B5685" s="3" t="s">
        <v>5712</v>
      </c>
      <c r="C5685" s="3" t="s">
        <v>183</v>
      </c>
      <c r="D5685" s="3">
        <v>80.0</v>
      </c>
      <c r="E5685" s="3">
        <v>0.0</v>
      </c>
      <c r="F5685" s="3">
        <v>0.07</v>
      </c>
      <c r="G5685" s="3">
        <v>3.31</v>
      </c>
    </row>
    <row r="5686">
      <c r="A5686" s="3">
        <v>173196.0</v>
      </c>
      <c r="B5686" s="3" t="s">
        <v>5713</v>
      </c>
      <c r="C5686" s="3" t="s">
        <v>183</v>
      </c>
      <c r="D5686" s="3">
        <v>82.0</v>
      </c>
      <c r="E5686" s="3">
        <v>0.0</v>
      </c>
      <c r="F5686" s="3">
        <v>0.07</v>
      </c>
      <c r="G5686" s="3">
        <v>2.27</v>
      </c>
    </row>
    <row r="5687">
      <c r="A5687" s="3">
        <v>173197.0</v>
      </c>
      <c r="B5687" s="3" t="s">
        <v>5714</v>
      </c>
      <c r="C5687" s="3" t="s">
        <v>183</v>
      </c>
      <c r="D5687" s="3">
        <v>29.0</v>
      </c>
      <c r="E5687" s="3">
        <v>0.01</v>
      </c>
      <c r="F5687" s="3">
        <v>0.04</v>
      </c>
      <c r="G5687" s="3">
        <v>7.47</v>
      </c>
    </row>
    <row r="5688">
      <c r="A5688" s="3">
        <v>173198.0</v>
      </c>
      <c r="B5688" s="3" t="s">
        <v>5715</v>
      </c>
      <c r="C5688" s="3" t="s">
        <v>183</v>
      </c>
      <c r="D5688" s="3">
        <v>76.0</v>
      </c>
      <c r="E5688" s="3">
        <v>0.0</v>
      </c>
      <c r="F5688" s="3">
        <v>0.07</v>
      </c>
      <c r="G5688" s="3">
        <v>3.48</v>
      </c>
    </row>
    <row r="5689">
      <c r="A5689" s="3">
        <v>173199.0</v>
      </c>
      <c r="B5689" s="3" t="s">
        <v>5716</v>
      </c>
      <c r="C5689" s="3" t="s">
        <v>183</v>
      </c>
      <c r="D5689" s="3">
        <v>51.0</v>
      </c>
      <c r="E5689" s="3">
        <v>0.0</v>
      </c>
      <c r="F5689" s="3">
        <v>0.0</v>
      </c>
      <c r="G5689" s="3">
        <v>13.3</v>
      </c>
    </row>
    <row r="5690">
      <c r="A5690" s="3">
        <v>173200.0</v>
      </c>
      <c r="B5690" s="3" t="s">
        <v>5717</v>
      </c>
      <c r="C5690" s="3" t="s">
        <v>183</v>
      </c>
      <c r="D5690" s="3">
        <v>80.0</v>
      </c>
      <c r="E5690" s="3">
        <v>0.0</v>
      </c>
      <c r="F5690" s="3">
        <v>0.07</v>
      </c>
      <c r="G5690" s="3">
        <v>3.74</v>
      </c>
    </row>
    <row r="5691">
      <c r="A5691" s="3">
        <v>173201.0</v>
      </c>
      <c r="B5691" s="3" t="s">
        <v>5718</v>
      </c>
      <c r="C5691" s="3" t="s">
        <v>183</v>
      </c>
      <c r="D5691" s="3">
        <v>81.0</v>
      </c>
      <c r="E5691" s="3">
        <v>0.0</v>
      </c>
      <c r="F5691" s="3">
        <v>0.07</v>
      </c>
      <c r="G5691" s="3">
        <v>2.05</v>
      </c>
    </row>
    <row r="5692">
      <c r="A5692" s="3">
        <v>173202.0</v>
      </c>
      <c r="B5692" s="3" t="s">
        <v>5719</v>
      </c>
      <c r="C5692" s="3" t="s">
        <v>183</v>
      </c>
      <c r="D5692" s="3">
        <v>112.0</v>
      </c>
      <c r="E5692" s="3">
        <v>0.0</v>
      </c>
      <c r="F5692" s="3">
        <v>0.07</v>
      </c>
      <c r="G5692" s="3">
        <v>13.39</v>
      </c>
    </row>
    <row r="5693">
      <c r="A5693" s="3">
        <v>173203.0</v>
      </c>
      <c r="B5693" s="3" t="s">
        <v>5720</v>
      </c>
      <c r="C5693" s="3" t="s">
        <v>183</v>
      </c>
      <c r="D5693" s="3">
        <v>43.0</v>
      </c>
      <c r="E5693" s="3">
        <v>0.0</v>
      </c>
      <c r="F5693" s="3">
        <v>0.0</v>
      </c>
      <c r="G5693" s="3">
        <v>11.2</v>
      </c>
    </row>
    <row r="5694">
      <c r="A5694" s="3">
        <v>173204.0</v>
      </c>
      <c r="B5694" s="3" t="s">
        <v>5721</v>
      </c>
      <c r="C5694" s="3" t="s">
        <v>183</v>
      </c>
      <c r="D5694" s="3">
        <v>0.0</v>
      </c>
      <c r="E5694" s="3">
        <v>0.0</v>
      </c>
      <c r="F5694" s="3">
        <v>0.1</v>
      </c>
      <c r="G5694" s="3">
        <v>0.0</v>
      </c>
    </row>
    <row r="5695">
      <c r="A5695" s="3">
        <v>173205.0</v>
      </c>
      <c r="B5695" s="3" t="s">
        <v>5722</v>
      </c>
      <c r="C5695" s="3" t="s">
        <v>183</v>
      </c>
      <c r="D5695" s="3">
        <v>41.0</v>
      </c>
      <c r="E5695" s="3">
        <v>0.0</v>
      </c>
      <c r="F5695" s="3">
        <v>0.09</v>
      </c>
      <c r="G5695" s="3">
        <v>10.42</v>
      </c>
    </row>
    <row r="5696">
      <c r="A5696" s="3">
        <v>173206.0</v>
      </c>
      <c r="B5696" s="3" t="s">
        <v>5723</v>
      </c>
      <c r="C5696" s="3" t="s">
        <v>183</v>
      </c>
      <c r="D5696" s="3">
        <v>40.0</v>
      </c>
      <c r="E5696" s="3">
        <v>0.02</v>
      </c>
      <c r="F5696" s="3">
        <v>0.05</v>
      </c>
      <c r="G5696" s="3">
        <v>10.14</v>
      </c>
    </row>
    <row r="5697">
      <c r="A5697" s="3">
        <v>173207.0</v>
      </c>
      <c r="B5697" s="3" t="s">
        <v>5724</v>
      </c>
      <c r="C5697" s="3" t="s">
        <v>183</v>
      </c>
      <c r="D5697" s="3">
        <v>0.0</v>
      </c>
      <c r="E5697" s="3">
        <v>0.0</v>
      </c>
      <c r="F5697" s="3">
        <v>0.1</v>
      </c>
      <c r="G5697" s="3">
        <v>0.0</v>
      </c>
    </row>
    <row r="5698">
      <c r="A5698" s="3">
        <v>173208.0</v>
      </c>
      <c r="B5698" s="3" t="s">
        <v>5725</v>
      </c>
      <c r="C5698" s="3" t="s">
        <v>183</v>
      </c>
      <c r="D5698" s="3">
        <v>86.0</v>
      </c>
      <c r="E5698" s="3">
        <v>0.0</v>
      </c>
      <c r="F5698" s="3">
        <v>0.07</v>
      </c>
      <c r="G5698" s="3">
        <v>3.69</v>
      </c>
    </row>
    <row r="5699">
      <c r="A5699" s="3">
        <v>173209.0</v>
      </c>
      <c r="B5699" s="3" t="s">
        <v>5726</v>
      </c>
      <c r="C5699" s="3" t="s">
        <v>183</v>
      </c>
      <c r="D5699" s="3">
        <v>41.0</v>
      </c>
      <c r="E5699" s="3">
        <v>0.1</v>
      </c>
      <c r="F5699" s="3">
        <v>0.0</v>
      </c>
      <c r="G5699" s="3">
        <v>10.4</v>
      </c>
    </row>
    <row r="5700">
      <c r="A5700" s="3">
        <v>173210.0</v>
      </c>
      <c r="B5700" s="3" t="s">
        <v>5727</v>
      </c>
      <c r="C5700" s="3" t="s">
        <v>183</v>
      </c>
      <c r="D5700" s="3">
        <v>43.0</v>
      </c>
      <c r="E5700" s="3">
        <v>0.0</v>
      </c>
      <c r="F5700" s="3">
        <v>0.46</v>
      </c>
      <c r="G5700" s="3">
        <v>10.23</v>
      </c>
    </row>
    <row r="5701">
      <c r="A5701" s="3">
        <v>173211.0</v>
      </c>
      <c r="B5701" s="3" t="s">
        <v>5728</v>
      </c>
      <c r="C5701" s="3" t="s">
        <v>183</v>
      </c>
      <c r="D5701" s="3">
        <v>0.0</v>
      </c>
      <c r="E5701" s="3">
        <v>0.0</v>
      </c>
      <c r="F5701" s="3">
        <v>0.0</v>
      </c>
      <c r="G5701" s="3">
        <v>0.83</v>
      </c>
    </row>
    <row r="5702">
      <c r="A5702" s="3">
        <v>173212.0</v>
      </c>
      <c r="B5702" s="3" t="s">
        <v>5729</v>
      </c>
      <c r="C5702" s="3" t="s">
        <v>183</v>
      </c>
      <c r="D5702" s="3">
        <v>38.0</v>
      </c>
      <c r="E5702" s="3">
        <v>0.0</v>
      </c>
      <c r="F5702" s="3">
        <v>0.0</v>
      </c>
      <c r="G5702" s="3">
        <v>8.75</v>
      </c>
    </row>
    <row r="5703">
      <c r="A5703" s="3">
        <v>173213.0</v>
      </c>
      <c r="B5703" s="3" t="s">
        <v>5730</v>
      </c>
      <c r="C5703" s="3" t="s">
        <v>183</v>
      </c>
      <c r="D5703" s="3">
        <v>57.0</v>
      </c>
      <c r="E5703" s="3">
        <v>0.0</v>
      </c>
      <c r="F5703" s="3">
        <v>0.0</v>
      </c>
      <c r="G5703" s="3">
        <v>14.55</v>
      </c>
    </row>
    <row r="5704">
      <c r="A5704" s="3">
        <v>173214.0</v>
      </c>
      <c r="B5704" s="3" t="s">
        <v>5731</v>
      </c>
      <c r="C5704" s="3" t="s">
        <v>183</v>
      </c>
      <c r="D5704" s="3">
        <v>52.0</v>
      </c>
      <c r="E5704" s="3">
        <v>0.34</v>
      </c>
      <c r="F5704" s="3">
        <v>0.0</v>
      </c>
      <c r="G5704" s="3">
        <v>12.25</v>
      </c>
    </row>
    <row r="5705">
      <c r="A5705" s="3">
        <v>173215.0</v>
      </c>
      <c r="B5705" s="3" t="s">
        <v>5732</v>
      </c>
      <c r="C5705" s="3" t="s">
        <v>183</v>
      </c>
      <c r="D5705" s="3">
        <v>2.0</v>
      </c>
      <c r="E5705" s="3">
        <v>0.0</v>
      </c>
      <c r="F5705" s="3">
        <v>0.1</v>
      </c>
      <c r="G5705" s="3">
        <v>0.1</v>
      </c>
    </row>
    <row r="5706">
      <c r="A5706" s="3">
        <v>173216.0</v>
      </c>
      <c r="B5706" s="3" t="s">
        <v>5733</v>
      </c>
      <c r="C5706" s="3" t="s">
        <v>183</v>
      </c>
      <c r="D5706" s="3">
        <v>196.0</v>
      </c>
      <c r="E5706" s="3">
        <v>0.7</v>
      </c>
      <c r="F5706" s="3">
        <v>0.22</v>
      </c>
      <c r="G5706" s="3">
        <v>49.89</v>
      </c>
    </row>
    <row r="5707">
      <c r="A5707" s="3">
        <v>173217.0</v>
      </c>
      <c r="B5707" s="3" t="s">
        <v>5734</v>
      </c>
      <c r="C5707" s="3" t="s">
        <v>183</v>
      </c>
      <c r="D5707" s="3">
        <v>40.0</v>
      </c>
      <c r="E5707" s="3">
        <v>0.04</v>
      </c>
      <c r="F5707" s="3">
        <v>0.07</v>
      </c>
      <c r="G5707" s="3">
        <v>10.42</v>
      </c>
    </row>
    <row r="5708">
      <c r="A5708" s="3">
        <v>173218.0</v>
      </c>
      <c r="B5708" s="3" t="s">
        <v>5735</v>
      </c>
      <c r="C5708" s="3" t="s">
        <v>183</v>
      </c>
      <c r="D5708" s="3">
        <v>2.0</v>
      </c>
      <c r="E5708" s="3">
        <v>0.0</v>
      </c>
      <c r="F5708" s="3">
        <v>0.1</v>
      </c>
      <c r="G5708" s="3">
        <v>0.1</v>
      </c>
    </row>
    <row r="5709">
      <c r="A5709" s="3">
        <v>173219.0</v>
      </c>
      <c r="B5709" s="3" t="s">
        <v>5736</v>
      </c>
      <c r="C5709" s="3" t="s">
        <v>183</v>
      </c>
      <c r="D5709" s="3">
        <v>86.0</v>
      </c>
      <c r="E5709" s="3">
        <v>3.21</v>
      </c>
      <c r="F5709" s="3">
        <v>3.67</v>
      </c>
      <c r="G5709" s="3">
        <v>10.67</v>
      </c>
    </row>
    <row r="5710">
      <c r="A5710" s="3">
        <v>173220.0</v>
      </c>
      <c r="B5710" s="3" t="s">
        <v>5737</v>
      </c>
      <c r="C5710" s="3" t="s">
        <v>183</v>
      </c>
      <c r="D5710" s="3">
        <v>428.0</v>
      </c>
      <c r="E5710" s="3">
        <v>9.52</v>
      </c>
      <c r="F5710" s="3">
        <v>14.29</v>
      </c>
      <c r="G5710" s="3">
        <v>71.21</v>
      </c>
    </row>
    <row r="5711">
      <c r="A5711" s="3">
        <v>173221.0</v>
      </c>
      <c r="B5711" s="3" t="s">
        <v>5738</v>
      </c>
      <c r="C5711" s="3" t="s">
        <v>183</v>
      </c>
      <c r="D5711" s="3">
        <v>88.0</v>
      </c>
      <c r="E5711" s="3">
        <v>3.62</v>
      </c>
      <c r="F5711" s="3">
        <v>3.86</v>
      </c>
      <c r="G5711" s="3">
        <v>10.23</v>
      </c>
    </row>
    <row r="5712">
      <c r="A5712" s="3">
        <v>173222.0</v>
      </c>
      <c r="B5712" s="3" t="s">
        <v>5739</v>
      </c>
      <c r="C5712" s="3" t="s">
        <v>183</v>
      </c>
      <c r="D5712" s="3">
        <v>372.0</v>
      </c>
      <c r="E5712" s="3">
        <v>0.0</v>
      </c>
      <c r="F5712" s="3">
        <v>0.0</v>
      </c>
      <c r="G5712" s="3">
        <v>92.96</v>
      </c>
    </row>
    <row r="5713">
      <c r="A5713" s="3">
        <v>173223.0</v>
      </c>
      <c r="B5713" s="3" t="s">
        <v>5740</v>
      </c>
      <c r="C5713" s="3" t="s">
        <v>183</v>
      </c>
      <c r="D5713" s="3">
        <v>51.0</v>
      </c>
      <c r="E5713" s="3">
        <v>0.1</v>
      </c>
      <c r="F5713" s="3">
        <v>0.3</v>
      </c>
      <c r="G5713" s="3">
        <v>12.7</v>
      </c>
    </row>
    <row r="5714">
      <c r="A5714" s="3">
        <v>173224.0</v>
      </c>
      <c r="B5714" s="3" t="s">
        <v>5741</v>
      </c>
      <c r="C5714" s="3" t="s">
        <v>183</v>
      </c>
      <c r="D5714" s="3">
        <v>47.0</v>
      </c>
      <c r="E5714" s="3">
        <v>0.1</v>
      </c>
      <c r="F5714" s="3">
        <v>0.2</v>
      </c>
      <c r="G5714" s="3">
        <v>11.6</v>
      </c>
    </row>
    <row r="5715">
      <c r="A5715" s="3">
        <v>173225.0</v>
      </c>
      <c r="B5715" s="3" t="s">
        <v>5742</v>
      </c>
      <c r="C5715" s="3" t="s">
        <v>183</v>
      </c>
      <c r="D5715" s="3">
        <v>50.0</v>
      </c>
      <c r="E5715" s="3">
        <v>0.0</v>
      </c>
      <c r="F5715" s="3">
        <v>1.3</v>
      </c>
      <c r="G5715" s="3">
        <v>11.8</v>
      </c>
    </row>
    <row r="5716">
      <c r="A5716" s="3">
        <v>173226.0</v>
      </c>
      <c r="B5716" s="3" t="s">
        <v>5743</v>
      </c>
      <c r="C5716" s="3" t="s">
        <v>183</v>
      </c>
      <c r="D5716" s="3">
        <v>148.0</v>
      </c>
      <c r="E5716" s="3">
        <v>6.52</v>
      </c>
      <c r="F5716" s="3">
        <v>3.37</v>
      </c>
      <c r="G5716" s="3">
        <v>19.59</v>
      </c>
    </row>
    <row r="5717">
      <c r="A5717" s="3">
        <v>173227.0</v>
      </c>
      <c r="B5717" s="3" t="s">
        <v>5744</v>
      </c>
      <c r="C5717" s="3" t="s">
        <v>183</v>
      </c>
      <c r="D5717" s="3">
        <v>1.0</v>
      </c>
      <c r="E5717" s="3">
        <v>0.0</v>
      </c>
      <c r="F5717" s="3">
        <v>0.0</v>
      </c>
      <c r="G5717" s="3">
        <v>0.3</v>
      </c>
    </row>
    <row r="5718">
      <c r="A5718" s="3">
        <v>173228.0</v>
      </c>
      <c r="B5718" s="3" t="s">
        <v>5745</v>
      </c>
      <c r="C5718" s="3" t="s">
        <v>183</v>
      </c>
      <c r="D5718" s="3">
        <v>338.0</v>
      </c>
      <c r="E5718" s="3">
        <v>0.6</v>
      </c>
      <c r="F5718" s="3">
        <v>3.3</v>
      </c>
      <c r="G5718" s="3">
        <v>85.4</v>
      </c>
    </row>
    <row r="5719">
      <c r="A5719" s="3">
        <v>173229.0</v>
      </c>
      <c r="B5719" s="3" t="s">
        <v>5746</v>
      </c>
      <c r="C5719" s="3" t="s">
        <v>183</v>
      </c>
      <c r="D5719" s="3">
        <v>401.0</v>
      </c>
      <c r="E5719" s="3">
        <v>0.73</v>
      </c>
      <c r="F5719" s="3">
        <v>0.12</v>
      </c>
      <c r="G5719" s="3">
        <v>98.55</v>
      </c>
    </row>
    <row r="5720">
      <c r="A5720" s="3">
        <v>173230.0</v>
      </c>
      <c r="B5720" s="3" t="s">
        <v>5747</v>
      </c>
      <c r="C5720" s="3" t="s">
        <v>183</v>
      </c>
      <c r="D5720" s="3">
        <v>315.0</v>
      </c>
      <c r="E5720" s="3">
        <v>0.0</v>
      </c>
      <c r="F5720" s="3">
        <v>20.21</v>
      </c>
      <c r="G5720" s="3">
        <v>58.66</v>
      </c>
    </row>
    <row r="5721">
      <c r="A5721" s="3">
        <v>173231.0</v>
      </c>
      <c r="B5721" s="3" t="s">
        <v>5748</v>
      </c>
      <c r="C5721" s="3" t="s">
        <v>183</v>
      </c>
      <c r="D5721" s="3">
        <v>2.0</v>
      </c>
      <c r="E5721" s="3">
        <v>0.0</v>
      </c>
      <c r="F5721" s="3">
        <v>0.02</v>
      </c>
      <c r="G5721" s="3">
        <v>0.44</v>
      </c>
    </row>
    <row r="5722">
      <c r="A5722" s="3">
        <v>173232.0</v>
      </c>
      <c r="B5722" s="3" t="s">
        <v>5749</v>
      </c>
      <c r="C5722" s="3" t="s">
        <v>183</v>
      </c>
      <c r="D5722" s="3">
        <v>1.0</v>
      </c>
      <c r="E5722" s="3">
        <v>0.0</v>
      </c>
      <c r="F5722" s="3">
        <v>0.0</v>
      </c>
      <c r="G5722" s="3">
        <v>0.2</v>
      </c>
    </row>
    <row r="5723">
      <c r="A5723" s="3">
        <v>173233.0</v>
      </c>
      <c r="B5723" s="3" t="s">
        <v>5750</v>
      </c>
      <c r="C5723" s="3" t="s">
        <v>183</v>
      </c>
      <c r="D5723" s="3">
        <v>0.0</v>
      </c>
      <c r="E5723" s="3">
        <v>0.0</v>
      </c>
      <c r="F5723" s="3">
        <v>0.0</v>
      </c>
      <c r="G5723" s="3">
        <v>0.0</v>
      </c>
    </row>
    <row r="5724">
      <c r="A5724" s="3">
        <v>173234.0</v>
      </c>
      <c r="B5724" s="3" t="s">
        <v>5751</v>
      </c>
      <c r="C5724" s="3" t="s">
        <v>183</v>
      </c>
      <c r="D5724" s="3">
        <v>0.0</v>
      </c>
      <c r="E5724" s="3">
        <v>0.0</v>
      </c>
      <c r="F5724" s="3">
        <v>0.0</v>
      </c>
      <c r="G5724" s="3">
        <v>0.0</v>
      </c>
    </row>
    <row r="5725">
      <c r="A5725" s="3">
        <v>173235.0</v>
      </c>
      <c r="B5725" s="3" t="s">
        <v>5752</v>
      </c>
      <c r="C5725" s="3" t="s">
        <v>183</v>
      </c>
      <c r="D5725" s="3">
        <v>386.0</v>
      </c>
      <c r="E5725" s="3">
        <v>0.0</v>
      </c>
      <c r="F5725" s="3">
        <v>0.0</v>
      </c>
      <c r="G5725" s="3">
        <v>98.94</v>
      </c>
    </row>
    <row r="5726">
      <c r="A5726" s="3">
        <v>173236.0</v>
      </c>
      <c r="B5726" s="3" t="s">
        <v>5753</v>
      </c>
      <c r="C5726" s="3" t="s">
        <v>183</v>
      </c>
      <c r="D5726" s="3">
        <v>49.0</v>
      </c>
      <c r="E5726" s="3">
        <v>0.0</v>
      </c>
      <c r="F5726" s="3">
        <v>0.0</v>
      </c>
      <c r="G5726" s="3">
        <v>12.65</v>
      </c>
    </row>
    <row r="5727">
      <c r="A5727" s="3">
        <v>173237.0</v>
      </c>
      <c r="B5727" s="3" t="s">
        <v>5754</v>
      </c>
      <c r="C5727" s="3" t="s">
        <v>183</v>
      </c>
      <c r="D5727" s="3">
        <v>217.0</v>
      </c>
      <c r="E5727" s="3">
        <v>0.0</v>
      </c>
      <c r="F5727" s="3">
        <v>3.6</v>
      </c>
      <c r="G5727" s="3">
        <v>85.9</v>
      </c>
    </row>
    <row r="5728">
      <c r="A5728" s="3">
        <v>173238.0</v>
      </c>
      <c r="B5728" s="3" t="s">
        <v>5755</v>
      </c>
      <c r="C5728" s="3" t="s">
        <v>8</v>
      </c>
      <c r="D5728" s="3">
        <v>235.0</v>
      </c>
      <c r="E5728" s="3">
        <v>1.8</v>
      </c>
      <c r="F5728" s="3">
        <v>7.7</v>
      </c>
      <c r="G5728" s="3">
        <v>46.0</v>
      </c>
    </row>
    <row r="5729">
      <c r="A5729" s="3">
        <v>173239.0</v>
      </c>
      <c r="B5729" s="3" t="s">
        <v>5756</v>
      </c>
      <c r="C5729" s="3" t="s">
        <v>8</v>
      </c>
      <c r="D5729" s="3">
        <v>237.0</v>
      </c>
      <c r="E5729" s="3">
        <v>11.0</v>
      </c>
      <c r="F5729" s="3">
        <v>1.9</v>
      </c>
      <c r="G5729" s="3">
        <v>34.0</v>
      </c>
    </row>
    <row r="5730">
      <c r="A5730" s="3">
        <v>173240.0</v>
      </c>
      <c r="B5730" s="3" t="s">
        <v>5757</v>
      </c>
      <c r="C5730" s="3" t="s">
        <v>8</v>
      </c>
      <c r="D5730" s="3">
        <v>316.0</v>
      </c>
      <c r="E5730" s="3">
        <v>16.1</v>
      </c>
      <c r="F5730" s="3">
        <v>3.0</v>
      </c>
      <c r="G5730" s="3">
        <v>42.6</v>
      </c>
    </row>
    <row r="5731">
      <c r="A5731" s="3">
        <v>173241.0</v>
      </c>
      <c r="B5731" s="3" t="s">
        <v>5758</v>
      </c>
      <c r="C5731" s="3" t="s">
        <v>8</v>
      </c>
      <c r="D5731" s="3">
        <v>222.0</v>
      </c>
      <c r="E5731" s="3">
        <v>2.5</v>
      </c>
      <c r="F5731" s="3">
        <v>5.7</v>
      </c>
      <c r="G5731" s="3">
        <v>46.6</v>
      </c>
    </row>
    <row r="5732">
      <c r="A5732" s="3">
        <v>173242.0</v>
      </c>
      <c r="B5732" s="3" t="s">
        <v>5759</v>
      </c>
      <c r="C5732" s="3" t="s">
        <v>8</v>
      </c>
      <c r="D5732" s="3">
        <v>325.0</v>
      </c>
      <c r="E5732" s="3">
        <v>7.1</v>
      </c>
      <c r="F5732" s="3">
        <v>8.7</v>
      </c>
      <c r="G5732" s="3">
        <v>55.6</v>
      </c>
    </row>
    <row r="5733">
      <c r="A5733" s="3">
        <v>173243.0</v>
      </c>
      <c r="B5733" s="3" t="s">
        <v>5760</v>
      </c>
      <c r="C5733" s="3" t="s">
        <v>8</v>
      </c>
      <c r="D5733" s="3">
        <v>283.0</v>
      </c>
      <c r="E5733" s="3">
        <v>1.2</v>
      </c>
      <c r="F5733" s="3">
        <v>5.4</v>
      </c>
      <c r="G5733" s="3">
        <v>61.0</v>
      </c>
    </row>
    <row r="5734">
      <c r="A5734" s="3">
        <v>173244.0</v>
      </c>
      <c r="B5734" s="3" t="s">
        <v>5761</v>
      </c>
      <c r="C5734" s="3" t="s">
        <v>8</v>
      </c>
      <c r="D5734" s="3">
        <v>404.0</v>
      </c>
      <c r="E5734" s="3">
        <v>5.5</v>
      </c>
      <c r="F5734" s="3">
        <v>4.7</v>
      </c>
      <c r="G5734" s="3">
        <v>84.1</v>
      </c>
    </row>
    <row r="5735">
      <c r="A5735" s="3">
        <v>173245.0</v>
      </c>
      <c r="B5735" s="3" t="s">
        <v>5762</v>
      </c>
      <c r="C5735" s="3" t="s">
        <v>8</v>
      </c>
      <c r="D5735" s="3">
        <v>460.0</v>
      </c>
      <c r="E5735" s="3">
        <v>22.55</v>
      </c>
      <c r="F5735" s="3">
        <v>3.02</v>
      </c>
      <c r="G5735" s="3">
        <v>61.23</v>
      </c>
    </row>
    <row r="5736">
      <c r="A5736" s="3">
        <v>173246.0</v>
      </c>
      <c r="B5736" s="3" t="s">
        <v>5763</v>
      </c>
      <c r="C5736" s="3" t="s">
        <v>8</v>
      </c>
      <c r="D5736" s="3">
        <v>400.0</v>
      </c>
      <c r="E5736" s="3">
        <v>12.05</v>
      </c>
      <c r="F5736" s="3">
        <v>4.67</v>
      </c>
      <c r="G5736" s="3">
        <v>68.16</v>
      </c>
    </row>
    <row r="5737">
      <c r="A5737" s="3">
        <v>173247.0</v>
      </c>
      <c r="B5737" s="3" t="s">
        <v>5764</v>
      </c>
      <c r="C5737" s="3" t="s">
        <v>8</v>
      </c>
      <c r="D5737" s="3">
        <v>431.0</v>
      </c>
      <c r="E5737" s="3">
        <v>14.99</v>
      </c>
      <c r="F5737" s="3">
        <v>4.5</v>
      </c>
      <c r="G5737" s="3">
        <v>69.44</v>
      </c>
    </row>
    <row r="5738">
      <c r="A5738" s="3">
        <v>173248.0</v>
      </c>
      <c r="B5738" s="3" t="s">
        <v>5765</v>
      </c>
      <c r="C5738" s="3" t="s">
        <v>8</v>
      </c>
      <c r="D5738" s="3">
        <v>430.0</v>
      </c>
      <c r="E5738" s="3">
        <v>17.11</v>
      </c>
      <c r="F5738" s="3">
        <v>4.41</v>
      </c>
      <c r="G5738" s="3">
        <v>64.78</v>
      </c>
    </row>
    <row r="5739">
      <c r="A5739" s="3">
        <v>173249.0</v>
      </c>
      <c r="B5739" s="3" t="s">
        <v>5766</v>
      </c>
      <c r="C5739" s="3" t="s">
        <v>8</v>
      </c>
      <c r="D5739" s="3">
        <v>420.0</v>
      </c>
      <c r="E5739" s="3">
        <v>14.43</v>
      </c>
      <c r="F5739" s="3">
        <v>3.5</v>
      </c>
      <c r="G5739" s="3">
        <v>69.12</v>
      </c>
    </row>
    <row r="5740">
      <c r="A5740" s="3">
        <v>173250.0</v>
      </c>
      <c r="B5740" s="3" t="s">
        <v>5767</v>
      </c>
      <c r="C5740" s="3" t="s">
        <v>8</v>
      </c>
      <c r="D5740" s="3">
        <v>406.0</v>
      </c>
      <c r="E5740" s="3">
        <v>11.83</v>
      </c>
      <c r="F5740" s="3">
        <v>4.27</v>
      </c>
      <c r="G5740" s="3">
        <v>70.55</v>
      </c>
    </row>
    <row r="5741">
      <c r="A5741" s="3">
        <v>173251.0</v>
      </c>
      <c r="B5741" s="3" t="s">
        <v>5768</v>
      </c>
      <c r="C5741" s="3" t="s">
        <v>8</v>
      </c>
      <c r="D5741" s="3">
        <v>468.0</v>
      </c>
      <c r="E5741" s="3">
        <v>17.55</v>
      </c>
      <c r="F5741" s="3">
        <v>5.17</v>
      </c>
      <c r="G5741" s="3">
        <v>72.23</v>
      </c>
    </row>
    <row r="5742">
      <c r="A5742" s="3">
        <v>173252.0</v>
      </c>
      <c r="B5742" s="3" t="s">
        <v>5769</v>
      </c>
      <c r="C5742" s="3" t="s">
        <v>8</v>
      </c>
      <c r="D5742" s="3">
        <v>480.0</v>
      </c>
      <c r="E5742" s="3">
        <v>24.28</v>
      </c>
      <c r="F5742" s="3">
        <v>9.0</v>
      </c>
      <c r="G5742" s="3">
        <v>58.48</v>
      </c>
    </row>
    <row r="5743">
      <c r="A5743" s="3">
        <v>173253.0</v>
      </c>
      <c r="B5743" s="3" t="s">
        <v>5770</v>
      </c>
      <c r="C5743" s="3" t="s">
        <v>8</v>
      </c>
      <c r="D5743" s="3">
        <v>400.0</v>
      </c>
      <c r="E5743" s="3">
        <v>13.26</v>
      </c>
      <c r="F5743" s="3">
        <v>4.35</v>
      </c>
      <c r="G5743" s="3">
        <v>65.92</v>
      </c>
    </row>
    <row r="5744">
      <c r="A5744" s="3">
        <v>173254.0</v>
      </c>
      <c r="B5744" s="3" t="s">
        <v>5771</v>
      </c>
      <c r="C5744" s="3" t="s">
        <v>8</v>
      </c>
      <c r="D5744" s="3">
        <v>390.0</v>
      </c>
      <c r="E5744" s="3">
        <v>5.1</v>
      </c>
      <c r="F5744" s="3">
        <v>13.3</v>
      </c>
      <c r="G5744" s="3">
        <v>72.7</v>
      </c>
    </row>
    <row r="5745">
      <c r="A5745" s="3">
        <v>173255.0</v>
      </c>
      <c r="B5745" s="3" t="s">
        <v>5772</v>
      </c>
      <c r="C5745" s="3" t="s">
        <v>8</v>
      </c>
      <c r="D5745" s="3">
        <v>465.0</v>
      </c>
      <c r="E5745" s="3">
        <v>16.6</v>
      </c>
      <c r="F5745" s="3">
        <v>7.1</v>
      </c>
      <c r="G5745" s="3">
        <v>71.8</v>
      </c>
    </row>
    <row r="5746">
      <c r="A5746" s="3">
        <v>173256.0</v>
      </c>
      <c r="B5746" s="3" t="s">
        <v>5773</v>
      </c>
      <c r="C5746" s="3" t="s">
        <v>8</v>
      </c>
      <c r="D5746" s="3">
        <v>418.0</v>
      </c>
      <c r="E5746" s="3">
        <v>10.3</v>
      </c>
      <c r="F5746" s="3">
        <v>5.6</v>
      </c>
      <c r="G5746" s="3">
        <v>75.6</v>
      </c>
    </row>
    <row r="5747">
      <c r="A5747" s="3">
        <v>173257.0</v>
      </c>
      <c r="B5747" s="3" t="s">
        <v>5774</v>
      </c>
      <c r="C5747" s="3" t="s">
        <v>8</v>
      </c>
      <c r="D5747" s="3">
        <v>548.0</v>
      </c>
      <c r="E5747" s="3">
        <v>32.8</v>
      </c>
      <c r="F5747" s="3">
        <v>8.0</v>
      </c>
      <c r="G5747" s="3">
        <v>55.2</v>
      </c>
    </row>
    <row r="5748">
      <c r="A5748" s="3">
        <v>173258.0</v>
      </c>
      <c r="B5748" s="3" t="s">
        <v>5775</v>
      </c>
      <c r="C5748" s="3" t="s">
        <v>8</v>
      </c>
      <c r="D5748" s="3">
        <v>492.0</v>
      </c>
      <c r="E5748" s="3">
        <v>23.21</v>
      </c>
      <c r="F5748" s="3">
        <v>7.23</v>
      </c>
      <c r="G5748" s="3">
        <v>63.51</v>
      </c>
    </row>
    <row r="5749">
      <c r="A5749" s="3">
        <v>173259.0</v>
      </c>
      <c r="B5749" s="3" t="s">
        <v>5776</v>
      </c>
      <c r="C5749" s="3" t="s">
        <v>8</v>
      </c>
      <c r="D5749" s="3">
        <v>236.0</v>
      </c>
      <c r="E5749" s="3">
        <v>2.79</v>
      </c>
      <c r="F5749" s="3">
        <v>6.4</v>
      </c>
      <c r="G5749" s="3">
        <v>47.07</v>
      </c>
    </row>
    <row r="5750">
      <c r="A5750" s="3">
        <v>173260.0</v>
      </c>
      <c r="B5750" s="3" t="s">
        <v>5777</v>
      </c>
      <c r="C5750" s="3" t="s">
        <v>8</v>
      </c>
      <c r="D5750" s="3">
        <v>450.0</v>
      </c>
      <c r="E5750" s="3">
        <v>21.26</v>
      </c>
      <c r="F5750" s="3">
        <v>3.82</v>
      </c>
      <c r="G5750" s="3">
        <v>60.75</v>
      </c>
    </row>
    <row r="5751">
      <c r="A5751" s="3">
        <v>173261.0</v>
      </c>
      <c r="B5751" s="3" t="s">
        <v>5778</v>
      </c>
      <c r="C5751" s="3" t="s">
        <v>8</v>
      </c>
      <c r="D5751" s="3">
        <v>243.0</v>
      </c>
      <c r="E5751" s="3">
        <v>2.88</v>
      </c>
      <c r="F5751" s="3">
        <v>8.59</v>
      </c>
      <c r="G5751" s="3">
        <v>46.35</v>
      </c>
    </row>
    <row r="5752">
      <c r="A5752" s="3">
        <v>173262.0</v>
      </c>
      <c r="B5752" s="3" t="s">
        <v>5779</v>
      </c>
      <c r="C5752" s="3" t="s">
        <v>660</v>
      </c>
      <c r="D5752" s="3">
        <v>357.0</v>
      </c>
      <c r="E5752" s="3">
        <v>1.24</v>
      </c>
      <c r="F5752" s="3">
        <v>9.53</v>
      </c>
      <c r="G5752" s="3">
        <v>76.85</v>
      </c>
    </row>
    <row r="5753">
      <c r="A5753" s="3">
        <v>173263.0</v>
      </c>
      <c r="B5753" s="3" t="s">
        <v>5780</v>
      </c>
      <c r="C5753" s="3" t="s">
        <v>660</v>
      </c>
      <c r="D5753" s="3">
        <v>147.0</v>
      </c>
      <c r="E5753" s="3">
        <v>0.85</v>
      </c>
      <c r="F5753" s="3">
        <v>3.09</v>
      </c>
      <c r="G5753" s="3">
        <v>31.33</v>
      </c>
    </row>
    <row r="5754">
      <c r="A5754" s="3">
        <v>173264.0</v>
      </c>
      <c r="B5754" s="3" t="s">
        <v>5781</v>
      </c>
      <c r="C5754" s="3" t="s">
        <v>660</v>
      </c>
      <c r="D5754" s="3">
        <v>200.0</v>
      </c>
      <c r="E5754" s="3">
        <v>1.7</v>
      </c>
      <c r="F5754" s="3">
        <v>4.21</v>
      </c>
      <c r="G5754" s="3">
        <v>40.75</v>
      </c>
    </row>
    <row r="5755">
      <c r="A5755" s="3">
        <v>173265.0</v>
      </c>
      <c r="B5755" s="3" t="s">
        <v>5782</v>
      </c>
      <c r="C5755" s="3" t="s">
        <v>660</v>
      </c>
      <c r="D5755" s="3">
        <v>179.0</v>
      </c>
      <c r="E5755" s="3">
        <v>1.0</v>
      </c>
      <c r="F5755" s="3">
        <v>3.2</v>
      </c>
      <c r="G5755" s="3">
        <v>38.05</v>
      </c>
    </row>
    <row r="5756">
      <c r="A5756" s="3">
        <v>173266.0</v>
      </c>
      <c r="B5756" s="3" t="s">
        <v>5783</v>
      </c>
      <c r="C5756" s="3" t="s">
        <v>2807</v>
      </c>
      <c r="D5756" s="3">
        <v>305.0</v>
      </c>
      <c r="E5756" s="3">
        <v>20.73</v>
      </c>
      <c r="F5756" s="3">
        <v>11.33</v>
      </c>
      <c r="G5756" s="3">
        <v>19.06</v>
      </c>
    </row>
    <row r="5757">
      <c r="A5757" s="3">
        <v>173267.0</v>
      </c>
      <c r="B5757" s="3" t="s">
        <v>5784</v>
      </c>
      <c r="C5757" s="3" t="s">
        <v>2807</v>
      </c>
      <c r="D5757" s="3">
        <v>233.0</v>
      </c>
      <c r="E5757" s="3">
        <v>14.08</v>
      </c>
      <c r="F5757" s="3">
        <v>10.64</v>
      </c>
      <c r="G5757" s="3">
        <v>16.37</v>
      </c>
    </row>
    <row r="5758">
      <c r="A5758" s="3">
        <v>173268.0</v>
      </c>
      <c r="B5758" s="3" t="s">
        <v>5785</v>
      </c>
      <c r="C5758" s="3" t="s">
        <v>2807</v>
      </c>
      <c r="D5758" s="3">
        <v>300.0</v>
      </c>
      <c r="E5758" s="3">
        <v>14.93</v>
      </c>
      <c r="F5758" s="3">
        <v>11.93</v>
      </c>
      <c r="G5758" s="3">
        <v>30.56</v>
      </c>
    </row>
    <row r="5759">
      <c r="A5759" s="3">
        <v>173269.0</v>
      </c>
      <c r="B5759" s="3" t="s">
        <v>5786</v>
      </c>
      <c r="C5759" s="3" t="s">
        <v>2807</v>
      </c>
      <c r="D5759" s="3">
        <v>289.0</v>
      </c>
      <c r="E5759" s="3">
        <v>16.4</v>
      </c>
      <c r="F5759" s="3">
        <v>12.92</v>
      </c>
      <c r="G5759" s="3">
        <v>22.5</v>
      </c>
    </row>
    <row r="5760">
      <c r="A5760" s="3">
        <v>173270.0</v>
      </c>
      <c r="B5760" s="3" t="s">
        <v>5787</v>
      </c>
      <c r="C5760" s="3" t="s">
        <v>2807</v>
      </c>
      <c r="D5760" s="3">
        <v>261.0</v>
      </c>
      <c r="E5760" s="3">
        <v>14.95</v>
      </c>
      <c r="F5760" s="3">
        <v>12.45</v>
      </c>
      <c r="G5760" s="3">
        <v>18.98</v>
      </c>
    </row>
    <row r="5761">
      <c r="A5761" s="3">
        <v>173271.0</v>
      </c>
      <c r="B5761" s="3" t="s">
        <v>5788</v>
      </c>
      <c r="C5761" s="3" t="s">
        <v>2807</v>
      </c>
      <c r="D5761" s="3">
        <v>308.0</v>
      </c>
      <c r="E5761" s="3">
        <v>21.78</v>
      </c>
      <c r="F5761" s="3">
        <v>12.09</v>
      </c>
      <c r="G5761" s="3">
        <v>15.9</v>
      </c>
    </row>
    <row r="5762">
      <c r="A5762" s="3">
        <v>173272.0</v>
      </c>
      <c r="B5762" s="3" t="s">
        <v>5789</v>
      </c>
      <c r="C5762" s="3" t="s">
        <v>2807</v>
      </c>
      <c r="D5762" s="3">
        <v>212.0</v>
      </c>
      <c r="E5762" s="3">
        <v>16.18</v>
      </c>
      <c r="F5762" s="3">
        <v>13.84</v>
      </c>
      <c r="G5762" s="3">
        <v>2.08</v>
      </c>
    </row>
    <row r="5763">
      <c r="A5763" s="3">
        <v>173273.0</v>
      </c>
      <c r="B5763" s="3" t="s">
        <v>5790</v>
      </c>
      <c r="C5763" s="3" t="s">
        <v>2807</v>
      </c>
      <c r="D5763" s="3">
        <v>272.0</v>
      </c>
      <c r="E5763" s="3">
        <v>17.04</v>
      </c>
      <c r="F5763" s="3">
        <v>2.58</v>
      </c>
      <c r="G5763" s="3">
        <v>28.88</v>
      </c>
    </row>
    <row r="5764">
      <c r="A5764" s="3">
        <v>173274.0</v>
      </c>
      <c r="B5764" s="3" t="s">
        <v>5791</v>
      </c>
      <c r="C5764" s="3" t="s">
        <v>2807</v>
      </c>
      <c r="D5764" s="3">
        <v>163.0</v>
      </c>
      <c r="E5764" s="3">
        <v>4.86</v>
      </c>
      <c r="F5764" s="3">
        <v>4.24</v>
      </c>
      <c r="G5764" s="3">
        <v>26.36</v>
      </c>
    </row>
    <row r="5765">
      <c r="A5765" s="3">
        <v>173275.0</v>
      </c>
      <c r="B5765" s="3" t="s">
        <v>5792</v>
      </c>
      <c r="C5765" s="3" t="s">
        <v>2807</v>
      </c>
      <c r="D5765" s="3">
        <v>196.0</v>
      </c>
      <c r="E5765" s="3">
        <v>5.98</v>
      </c>
      <c r="F5765" s="3">
        <v>4.71</v>
      </c>
      <c r="G5765" s="3">
        <v>31.81</v>
      </c>
    </row>
    <row r="5766">
      <c r="A5766" s="3">
        <v>173276.0</v>
      </c>
      <c r="B5766" s="3" t="s">
        <v>5793</v>
      </c>
      <c r="C5766" s="3" t="s">
        <v>2807</v>
      </c>
      <c r="D5766" s="3">
        <v>180.0</v>
      </c>
      <c r="E5766" s="3">
        <v>5.46</v>
      </c>
      <c r="F5766" s="3">
        <v>3.57</v>
      </c>
      <c r="G5766" s="3">
        <v>30.17</v>
      </c>
    </row>
    <row r="5767">
      <c r="A5767" s="3">
        <v>173277.0</v>
      </c>
      <c r="B5767" s="3" t="s">
        <v>5794</v>
      </c>
      <c r="C5767" s="3" t="s">
        <v>2807</v>
      </c>
      <c r="D5767" s="3">
        <v>191.0</v>
      </c>
      <c r="E5767" s="3">
        <v>7.47</v>
      </c>
      <c r="F5767" s="3">
        <v>11.52</v>
      </c>
      <c r="G5767" s="3">
        <v>19.52</v>
      </c>
    </row>
    <row r="5768">
      <c r="A5768" s="3">
        <v>173278.0</v>
      </c>
      <c r="B5768" s="3" t="s">
        <v>5795</v>
      </c>
      <c r="C5768" s="3" t="s">
        <v>2807</v>
      </c>
      <c r="D5768" s="3">
        <v>180.0</v>
      </c>
      <c r="E5768" s="3">
        <v>6.8</v>
      </c>
      <c r="F5768" s="3">
        <v>7.03</v>
      </c>
      <c r="G5768" s="3">
        <v>23.37</v>
      </c>
    </row>
    <row r="5769">
      <c r="A5769" s="3">
        <v>173279.0</v>
      </c>
      <c r="B5769" s="3" t="s">
        <v>5796</v>
      </c>
      <c r="C5769" s="3" t="s">
        <v>2807</v>
      </c>
      <c r="D5769" s="3">
        <v>280.0</v>
      </c>
      <c r="E5769" s="3">
        <v>11.38</v>
      </c>
      <c r="F5769" s="3">
        <v>12.86</v>
      </c>
      <c r="G5769" s="3">
        <v>31.55</v>
      </c>
    </row>
    <row r="5770">
      <c r="A5770" s="3">
        <v>173280.0</v>
      </c>
      <c r="B5770" s="3" t="s">
        <v>5797</v>
      </c>
      <c r="C5770" s="3" t="s">
        <v>2807</v>
      </c>
      <c r="D5770" s="3">
        <v>298.0</v>
      </c>
      <c r="E5770" s="3">
        <v>14.21</v>
      </c>
      <c r="F5770" s="3">
        <v>11.97</v>
      </c>
      <c r="G5770" s="3">
        <v>30.49</v>
      </c>
    </row>
    <row r="5771">
      <c r="A5771" s="3">
        <v>173281.0</v>
      </c>
      <c r="B5771" s="3" t="s">
        <v>5798</v>
      </c>
      <c r="C5771" s="3" t="s">
        <v>2807</v>
      </c>
      <c r="D5771" s="3">
        <v>243.0</v>
      </c>
      <c r="E5771" s="3">
        <v>10.72</v>
      </c>
      <c r="F5771" s="3">
        <v>10.9</v>
      </c>
      <c r="G5771" s="3">
        <v>25.62</v>
      </c>
    </row>
    <row r="5772">
      <c r="A5772" s="3">
        <v>173282.0</v>
      </c>
      <c r="B5772" s="3" t="s">
        <v>5799</v>
      </c>
      <c r="C5772" s="3" t="s">
        <v>2807</v>
      </c>
      <c r="D5772" s="3">
        <v>257.0</v>
      </c>
      <c r="E5772" s="3">
        <v>8.97</v>
      </c>
      <c r="F5772" s="3">
        <v>10.8</v>
      </c>
      <c r="G5772" s="3">
        <v>33.24</v>
      </c>
    </row>
    <row r="5773">
      <c r="A5773" s="3">
        <v>173283.0</v>
      </c>
      <c r="B5773" s="3" t="s">
        <v>5800</v>
      </c>
      <c r="C5773" s="3" t="s">
        <v>2807</v>
      </c>
      <c r="D5773" s="3">
        <v>265.0</v>
      </c>
      <c r="E5773" s="3">
        <v>9.83</v>
      </c>
      <c r="F5773" s="3">
        <v>10.76</v>
      </c>
      <c r="G5773" s="3">
        <v>33.48</v>
      </c>
    </row>
    <row r="5774">
      <c r="A5774" s="3">
        <v>173284.0</v>
      </c>
      <c r="B5774" s="3" t="s">
        <v>5801</v>
      </c>
      <c r="C5774" s="3" t="s">
        <v>2807</v>
      </c>
      <c r="D5774" s="3">
        <v>260.0</v>
      </c>
      <c r="E5774" s="3">
        <v>9.25</v>
      </c>
      <c r="F5774" s="3">
        <v>11.53</v>
      </c>
      <c r="G5774" s="3">
        <v>32.74</v>
      </c>
    </row>
    <row r="5775">
      <c r="A5775" s="3">
        <v>173285.0</v>
      </c>
      <c r="B5775" s="3" t="s">
        <v>5802</v>
      </c>
      <c r="C5775" s="3" t="s">
        <v>2807</v>
      </c>
      <c r="D5775" s="3">
        <v>275.0</v>
      </c>
      <c r="E5775" s="3">
        <v>11.86</v>
      </c>
      <c r="F5775" s="3">
        <v>11.97</v>
      </c>
      <c r="G5775" s="3">
        <v>30.04</v>
      </c>
    </row>
    <row r="5776">
      <c r="A5776" s="3">
        <v>173286.0</v>
      </c>
      <c r="B5776" s="3" t="s">
        <v>5803</v>
      </c>
      <c r="C5776" s="3" t="s">
        <v>2807</v>
      </c>
      <c r="D5776" s="3">
        <v>240.0</v>
      </c>
      <c r="E5776" s="3">
        <v>10.21</v>
      </c>
      <c r="F5776" s="3">
        <v>10.27</v>
      </c>
      <c r="G5776" s="3">
        <v>26.69</v>
      </c>
    </row>
    <row r="5777">
      <c r="A5777" s="3">
        <v>173287.0</v>
      </c>
      <c r="B5777" s="3" t="s">
        <v>5804</v>
      </c>
      <c r="C5777" s="3" t="s">
        <v>2807</v>
      </c>
      <c r="D5777" s="3">
        <v>295.0</v>
      </c>
      <c r="E5777" s="3">
        <v>15.66</v>
      </c>
      <c r="F5777" s="3">
        <v>12.29</v>
      </c>
      <c r="G5777" s="3">
        <v>26.26</v>
      </c>
    </row>
    <row r="5778">
      <c r="A5778" s="3">
        <v>173288.0</v>
      </c>
      <c r="B5778" s="3" t="s">
        <v>5805</v>
      </c>
      <c r="C5778" s="3" t="s">
        <v>2807</v>
      </c>
      <c r="D5778" s="3">
        <v>265.0</v>
      </c>
      <c r="E5778" s="3">
        <v>10.81</v>
      </c>
      <c r="F5778" s="3">
        <v>12.93</v>
      </c>
      <c r="G5778" s="3">
        <v>29.03</v>
      </c>
    </row>
    <row r="5779">
      <c r="A5779" s="3">
        <v>173289.0</v>
      </c>
      <c r="B5779" s="3" t="s">
        <v>5806</v>
      </c>
      <c r="C5779" s="3" t="s">
        <v>2807</v>
      </c>
      <c r="D5779" s="3">
        <v>309.0</v>
      </c>
      <c r="E5779" s="3">
        <v>16.99</v>
      </c>
      <c r="F5779" s="3">
        <v>16.23</v>
      </c>
      <c r="G5779" s="3">
        <v>22.85</v>
      </c>
    </row>
    <row r="5780">
      <c r="A5780" s="3">
        <v>173290.0</v>
      </c>
      <c r="B5780" s="3" t="s">
        <v>5807</v>
      </c>
      <c r="C5780" s="3" t="s">
        <v>2807</v>
      </c>
      <c r="D5780" s="3">
        <v>275.0</v>
      </c>
      <c r="E5780" s="3">
        <v>10.42</v>
      </c>
      <c r="F5780" s="3">
        <v>11.98</v>
      </c>
      <c r="G5780" s="3">
        <v>33.42</v>
      </c>
    </row>
    <row r="5781">
      <c r="A5781" s="3">
        <v>173291.0</v>
      </c>
      <c r="B5781" s="3" t="s">
        <v>5808</v>
      </c>
      <c r="C5781" s="3" t="s">
        <v>2807</v>
      </c>
      <c r="D5781" s="3">
        <v>276.0</v>
      </c>
      <c r="E5781" s="3">
        <v>11.25</v>
      </c>
      <c r="F5781" s="3">
        <v>10.85</v>
      </c>
      <c r="G5781" s="3">
        <v>32.85</v>
      </c>
    </row>
    <row r="5782">
      <c r="A5782" s="3">
        <v>173292.0</v>
      </c>
      <c r="B5782" s="3" t="s">
        <v>5809</v>
      </c>
      <c r="C5782" s="3" t="s">
        <v>2807</v>
      </c>
      <c r="D5782" s="3">
        <v>266.0</v>
      </c>
      <c r="E5782" s="3">
        <v>9.69</v>
      </c>
      <c r="F5782" s="3">
        <v>11.39</v>
      </c>
      <c r="G5782" s="3">
        <v>33.33</v>
      </c>
    </row>
    <row r="5783">
      <c r="A5783" s="3">
        <v>173293.0</v>
      </c>
      <c r="B5783" s="3" t="s">
        <v>5810</v>
      </c>
      <c r="C5783" s="3" t="s">
        <v>2807</v>
      </c>
      <c r="D5783" s="3">
        <v>271.0</v>
      </c>
      <c r="E5783" s="3">
        <v>10.54</v>
      </c>
      <c r="F5783" s="3">
        <v>10.81</v>
      </c>
      <c r="G5783" s="3">
        <v>33.17</v>
      </c>
    </row>
    <row r="5784">
      <c r="A5784" s="3">
        <v>173294.0</v>
      </c>
      <c r="B5784" s="3" t="s">
        <v>5811</v>
      </c>
      <c r="C5784" s="3" t="s">
        <v>2807</v>
      </c>
      <c r="D5784" s="3">
        <v>302.0</v>
      </c>
      <c r="E5784" s="3">
        <v>13.95</v>
      </c>
      <c r="F5784" s="3">
        <v>12.85</v>
      </c>
      <c r="G5784" s="3">
        <v>31.2</v>
      </c>
    </row>
    <row r="5785">
      <c r="A5785" s="3">
        <v>173295.0</v>
      </c>
      <c r="B5785" s="3" t="s">
        <v>5812</v>
      </c>
      <c r="C5785" s="3" t="s">
        <v>2807</v>
      </c>
      <c r="D5785" s="3">
        <v>282.0</v>
      </c>
      <c r="E5785" s="3">
        <v>11.91</v>
      </c>
      <c r="F5785" s="3">
        <v>11.74</v>
      </c>
      <c r="G5785" s="3">
        <v>31.98</v>
      </c>
    </row>
    <row r="5786">
      <c r="A5786" s="3">
        <v>173296.0</v>
      </c>
      <c r="B5786" s="3" t="s">
        <v>5813</v>
      </c>
      <c r="C5786" s="3" t="s">
        <v>2807</v>
      </c>
      <c r="D5786" s="3">
        <v>287.0</v>
      </c>
      <c r="E5786" s="3">
        <v>12.58</v>
      </c>
      <c r="F5786" s="3">
        <v>11.49</v>
      </c>
      <c r="G5786" s="3">
        <v>31.84</v>
      </c>
    </row>
    <row r="5787">
      <c r="A5787" s="3">
        <v>173297.0</v>
      </c>
      <c r="B5787" s="3" t="s">
        <v>5814</v>
      </c>
      <c r="C5787" s="3" t="s">
        <v>2807</v>
      </c>
      <c r="D5787" s="3">
        <v>302.0</v>
      </c>
      <c r="E5787" s="3">
        <v>19.81</v>
      </c>
      <c r="F5787" s="3">
        <v>15.79</v>
      </c>
      <c r="G5787" s="3">
        <v>15.09</v>
      </c>
    </row>
    <row r="5788">
      <c r="A5788" s="3">
        <v>173298.0</v>
      </c>
      <c r="B5788" s="3" t="s">
        <v>5815</v>
      </c>
      <c r="C5788" s="3" t="s">
        <v>2807</v>
      </c>
      <c r="D5788" s="3">
        <v>271.0</v>
      </c>
      <c r="E5788" s="3">
        <v>16.3</v>
      </c>
      <c r="F5788" s="3">
        <v>2.48</v>
      </c>
      <c r="G5788" s="3">
        <v>28.56</v>
      </c>
    </row>
    <row r="5789">
      <c r="A5789" s="3">
        <v>173299.0</v>
      </c>
      <c r="B5789" s="3" t="s">
        <v>5816</v>
      </c>
      <c r="C5789" s="3" t="s">
        <v>2807</v>
      </c>
      <c r="D5789" s="3">
        <v>228.0</v>
      </c>
      <c r="E5789" s="3">
        <v>5.84</v>
      </c>
      <c r="F5789" s="3">
        <v>6.0</v>
      </c>
      <c r="G5789" s="3">
        <v>38.27</v>
      </c>
    </row>
    <row r="5790">
      <c r="A5790" s="3">
        <v>173300.0</v>
      </c>
      <c r="B5790" s="3" t="s">
        <v>5817</v>
      </c>
      <c r="C5790" s="3" t="s">
        <v>2807</v>
      </c>
      <c r="D5790" s="3">
        <v>272.0</v>
      </c>
      <c r="E5790" s="3">
        <v>13.19</v>
      </c>
      <c r="F5790" s="3">
        <v>12.03</v>
      </c>
      <c r="G5790" s="3">
        <v>26.19</v>
      </c>
    </row>
    <row r="5791">
      <c r="A5791" s="3">
        <v>173301.0</v>
      </c>
      <c r="B5791" s="3" t="s">
        <v>5818</v>
      </c>
      <c r="C5791" s="3" t="s">
        <v>2807</v>
      </c>
      <c r="D5791" s="3">
        <v>188.0</v>
      </c>
      <c r="E5791" s="3">
        <v>4.89</v>
      </c>
      <c r="F5791" s="3">
        <v>3.58</v>
      </c>
      <c r="G5791" s="3">
        <v>33.36</v>
      </c>
    </row>
    <row r="5792">
      <c r="A5792" s="3">
        <v>173302.0</v>
      </c>
      <c r="B5792" s="3" t="s">
        <v>5819</v>
      </c>
      <c r="C5792" s="3" t="s">
        <v>2807</v>
      </c>
      <c r="D5792" s="3">
        <v>186.0</v>
      </c>
      <c r="E5792" s="3">
        <v>5.91</v>
      </c>
      <c r="F5792" s="3">
        <v>4.14</v>
      </c>
      <c r="G5792" s="3">
        <v>30.05</v>
      </c>
    </row>
    <row r="5793">
      <c r="A5793" s="3">
        <v>173303.0</v>
      </c>
      <c r="B5793" s="3" t="s">
        <v>5820</v>
      </c>
      <c r="C5793" s="3" t="s">
        <v>2807</v>
      </c>
      <c r="D5793" s="3">
        <v>177.0</v>
      </c>
      <c r="E5793" s="3">
        <v>6.46</v>
      </c>
      <c r="F5793" s="3">
        <v>4.02</v>
      </c>
      <c r="G5793" s="3">
        <v>26.82</v>
      </c>
    </row>
    <row r="5794">
      <c r="A5794" s="3">
        <v>173304.0</v>
      </c>
      <c r="B5794" s="3" t="s">
        <v>5821</v>
      </c>
      <c r="C5794" s="3" t="s">
        <v>2807</v>
      </c>
      <c r="D5794" s="3">
        <v>165.0</v>
      </c>
      <c r="E5794" s="3">
        <v>5.66</v>
      </c>
      <c r="F5794" s="3">
        <v>3.97</v>
      </c>
      <c r="G5794" s="3">
        <v>25.55</v>
      </c>
    </row>
    <row r="5795">
      <c r="A5795" s="3">
        <v>173305.0</v>
      </c>
      <c r="B5795" s="3" t="s">
        <v>5822</v>
      </c>
      <c r="C5795" s="3" t="s">
        <v>2807</v>
      </c>
      <c r="D5795" s="3">
        <v>273.0</v>
      </c>
      <c r="E5795" s="3">
        <v>13.21</v>
      </c>
      <c r="F5795" s="3">
        <v>10.43</v>
      </c>
      <c r="G5795" s="3">
        <v>27.97</v>
      </c>
    </row>
    <row r="5796">
      <c r="A5796" s="3">
        <v>173306.0</v>
      </c>
      <c r="B5796" s="3" t="s">
        <v>5823</v>
      </c>
      <c r="C5796" s="3" t="s">
        <v>2807</v>
      </c>
      <c r="D5796" s="3">
        <v>240.0</v>
      </c>
      <c r="E5796" s="3">
        <v>8.46</v>
      </c>
      <c r="F5796" s="3">
        <v>11.08</v>
      </c>
      <c r="G5796" s="3">
        <v>30.95</v>
      </c>
    </row>
    <row r="5797">
      <c r="A5797" s="3">
        <v>173307.0</v>
      </c>
      <c r="B5797" s="3" t="s">
        <v>5824</v>
      </c>
      <c r="C5797" s="3" t="s">
        <v>2807</v>
      </c>
      <c r="D5797" s="3">
        <v>228.0</v>
      </c>
      <c r="E5797" s="3">
        <v>9.66</v>
      </c>
      <c r="F5797" s="3">
        <v>13.64</v>
      </c>
      <c r="G5797" s="3">
        <v>21.67</v>
      </c>
    </row>
    <row r="5798">
      <c r="A5798" s="3">
        <v>173308.0</v>
      </c>
      <c r="B5798" s="3" t="s">
        <v>5825</v>
      </c>
      <c r="C5798" s="3" t="s">
        <v>2807</v>
      </c>
      <c r="D5798" s="3">
        <v>333.0</v>
      </c>
      <c r="E5798" s="3">
        <v>21.06</v>
      </c>
      <c r="F5798" s="3">
        <v>12.66</v>
      </c>
      <c r="G5798" s="3">
        <v>24.52</v>
      </c>
    </row>
    <row r="5799">
      <c r="A5799" s="3">
        <v>173309.0</v>
      </c>
      <c r="B5799" s="3" t="s">
        <v>5826</v>
      </c>
      <c r="C5799" s="3" t="s">
        <v>2807</v>
      </c>
      <c r="D5799" s="3">
        <v>285.0</v>
      </c>
      <c r="E5799" s="3">
        <v>15.23</v>
      </c>
      <c r="F5799" s="3">
        <v>7.56</v>
      </c>
      <c r="G5799" s="3">
        <v>29.48</v>
      </c>
    </row>
    <row r="5800">
      <c r="A5800" s="3">
        <v>173310.0</v>
      </c>
      <c r="B5800" s="3" t="s">
        <v>5827</v>
      </c>
      <c r="C5800" s="3" t="s">
        <v>2807</v>
      </c>
      <c r="D5800" s="3">
        <v>294.0</v>
      </c>
      <c r="E5800" s="3">
        <v>12.5</v>
      </c>
      <c r="F5800" s="3">
        <v>7.81</v>
      </c>
      <c r="G5800" s="3">
        <v>37.55</v>
      </c>
    </row>
    <row r="5801">
      <c r="A5801" s="3">
        <v>173311.0</v>
      </c>
      <c r="B5801" s="3" t="s">
        <v>5828</v>
      </c>
      <c r="C5801" s="3" t="s">
        <v>2807</v>
      </c>
      <c r="D5801" s="3">
        <v>272.0</v>
      </c>
      <c r="E5801" s="3">
        <v>8.06</v>
      </c>
      <c r="F5801" s="3">
        <v>4.05</v>
      </c>
      <c r="G5801" s="3">
        <v>46.08</v>
      </c>
    </row>
    <row r="5802">
      <c r="A5802" s="3">
        <v>173312.0</v>
      </c>
      <c r="B5802" s="3" t="s">
        <v>5829</v>
      </c>
      <c r="C5802" s="3" t="s">
        <v>2807</v>
      </c>
      <c r="D5802" s="3">
        <v>81.0</v>
      </c>
      <c r="E5802" s="3">
        <v>3.14</v>
      </c>
      <c r="F5802" s="3">
        <v>10.28</v>
      </c>
      <c r="G5802" s="3">
        <v>3.64</v>
      </c>
    </row>
    <row r="5803">
      <c r="A5803" s="3">
        <v>173313.0</v>
      </c>
      <c r="B5803" s="3" t="s">
        <v>5830</v>
      </c>
      <c r="C5803" s="3" t="s">
        <v>2807</v>
      </c>
      <c r="D5803" s="3">
        <v>90.0</v>
      </c>
      <c r="E5803" s="3">
        <v>1.13</v>
      </c>
      <c r="F5803" s="3">
        <v>2.47</v>
      </c>
      <c r="G5803" s="3">
        <v>17.67</v>
      </c>
    </row>
    <row r="5804">
      <c r="A5804" s="3">
        <v>173314.0</v>
      </c>
      <c r="B5804" s="3" t="s">
        <v>5831</v>
      </c>
      <c r="C5804" s="3" t="s">
        <v>2807</v>
      </c>
      <c r="D5804" s="3">
        <v>243.0</v>
      </c>
      <c r="E5804" s="3">
        <v>7.62</v>
      </c>
      <c r="F5804" s="3">
        <v>12.47</v>
      </c>
      <c r="G5804" s="3">
        <v>31.08</v>
      </c>
    </row>
    <row r="5805">
      <c r="A5805" s="3">
        <v>173315.0</v>
      </c>
      <c r="B5805" s="3" t="s">
        <v>5832</v>
      </c>
      <c r="C5805" s="3" t="s">
        <v>2807</v>
      </c>
      <c r="D5805" s="3">
        <v>308.0</v>
      </c>
      <c r="E5805" s="3">
        <v>21.78</v>
      </c>
      <c r="F5805" s="3">
        <v>12.09</v>
      </c>
      <c r="G5805" s="3">
        <v>15.9</v>
      </c>
    </row>
    <row r="5806">
      <c r="A5806" s="3">
        <v>173316.0</v>
      </c>
      <c r="B5806" s="3" t="s">
        <v>5833</v>
      </c>
      <c r="C5806" s="3" t="s">
        <v>2807</v>
      </c>
      <c r="D5806" s="3">
        <v>376.0</v>
      </c>
      <c r="E5806" s="3">
        <v>25.45</v>
      </c>
      <c r="F5806" s="3">
        <v>13.73</v>
      </c>
      <c r="G5806" s="3">
        <v>23.0</v>
      </c>
    </row>
    <row r="5807">
      <c r="A5807" s="3">
        <v>173317.0</v>
      </c>
      <c r="B5807" s="3" t="s">
        <v>5834</v>
      </c>
      <c r="C5807" s="3" t="s">
        <v>2807</v>
      </c>
      <c r="D5807" s="3">
        <v>226.0</v>
      </c>
      <c r="E5807" s="3">
        <v>12.37</v>
      </c>
      <c r="F5807" s="3">
        <v>11.34</v>
      </c>
      <c r="G5807" s="3">
        <v>17.33</v>
      </c>
    </row>
    <row r="5808">
      <c r="A5808" s="3">
        <v>173318.0</v>
      </c>
      <c r="B5808" s="3" t="s">
        <v>5835</v>
      </c>
      <c r="C5808" s="3" t="s">
        <v>2807</v>
      </c>
      <c r="D5808" s="3">
        <v>259.0</v>
      </c>
      <c r="E5808" s="3">
        <v>13.3</v>
      </c>
      <c r="F5808" s="3">
        <v>12.17</v>
      </c>
      <c r="G5808" s="3">
        <v>22.69</v>
      </c>
    </row>
    <row r="5809">
      <c r="A5809" s="3">
        <v>173319.0</v>
      </c>
      <c r="B5809" s="3" t="s">
        <v>5836</v>
      </c>
      <c r="C5809" s="3" t="s">
        <v>2807</v>
      </c>
      <c r="D5809" s="3">
        <v>282.0</v>
      </c>
      <c r="E5809" s="3">
        <v>16.18</v>
      </c>
      <c r="F5809" s="3">
        <v>16.24</v>
      </c>
      <c r="G5809" s="3">
        <v>17.97</v>
      </c>
    </row>
    <row r="5810">
      <c r="A5810" s="3">
        <v>173320.0</v>
      </c>
      <c r="B5810" s="3" t="s">
        <v>5837</v>
      </c>
      <c r="C5810" s="3" t="s">
        <v>2807</v>
      </c>
      <c r="D5810" s="3">
        <v>272.0</v>
      </c>
      <c r="E5810" s="3">
        <v>16.22</v>
      </c>
      <c r="F5810" s="3">
        <v>16.96</v>
      </c>
      <c r="G5810" s="3">
        <v>14.43</v>
      </c>
    </row>
    <row r="5811">
      <c r="A5811" s="3">
        <v>173321.0</v>
      </c>
      <c r="B5811" s="3" t="s">
        <v>5838</v>
      </c>
      <c r="C5811" s="3" t="s">
        <v>2807</v>
      </c>
      <c r="D5811" s="3">
        <v>271.0</v>
      </c>
      <c r="E5811" s="3">
        <v>13.95</v>
      </c>
      <c r="F5811" s="3">
        <v>19.22</v>
      </c>
      <c r="G5811" s="3">
        <v>17.25</v>
      </c>
    </row>
    <row r="5812">
      <c r="A5812" s="3">
        <v>173322.0</v>
      </c>
      <c r="B5812" s="3" t="s">
        <v>5839</v>
      </c>
      <c r="C5812" s="3" t="s">
        <v>2807</v>
      </c>
      <c r="D5812" s="3">
        <v>295.0</v>
      </c>
      <c r="E5812" s="3">
        <v>16.97</v>
      </c>
      <c r="F5812" s="3">
        <v>12.98</v>
      </c>
      <c r="G5812" s="3">
        <v>22.64</v>
      </c>
    </row>
    <row r="5813">
      <c r="A5813" s="3">
        <v>173323.0</v>
      </c>
      <c r="B5813" s="3" t="s">
        <v>5840</v>
      </c>
      <c r="C5813" s="3" t="s">
        <v>2807</v>
      </c>
      <c r="D5813" s="3">
        <v>282.0</v>
      </c>
      <c r="E5813" s="3">
        <v>14.07</v>
      </c>
      <c r="F5813" s="3">
        <v>15.95</v>
      </c>
      <c r="G5813" s="3">
        <v>22.99</v>
      </c>
    </row>
    <row r="5814">
      <c r="A5814" s="3">
        <v>173324.0</v>
      </c>
      <c r="B5814" s="3" t="s">
        <v>5841</v>
      </c>
      <c r="C5814" s="3" t="s">
        <v>2807</v>
      </c>
      <c r="D5814" s="3">
        <v>182.0</v>
      </c>
      <c r="E5814" s="3">
        <v>6.46</v>
      </c>
      <c r="F5814" s="3">
        <v>4.02</v>
      </c>
      <c r="G5814" s="3">
        <v>26.82</v>
      </c>
    </row>
    <row r="5815">
      <c r="A5815" s="3">
        <v>173325.0</v>
      </c>
      <c r="B5815" s="3" t="s">
        <v>5842</v>
      </c>
      <c r="C5815" s="3" t="s">
        <v>1464</v>
      </c>
      <c r="D5815" s="3">
        <v>82.0</v>
      </c>
      <c r="E5815" s="3">
        <v>2.46</v>
      </c>
      <c r="F5815" s="3">
        <v>3.38</v>
      </c>
      <c r="G5815" s="3">
        <v>11.52</v>
      </c>
    </row>
    <row r="5816">
      <c r="A5816" s="3">
        <v>173326.0</v>
      </c>
      <c r="B5816" s="3" t="s">
        <v>5843</v>
      </c>
      <c r="C5816" s="3" t="s">
        <v>1464</v>
      </c>
      <c r="D5816" s="3">
        <v>235.0</v>
      </c>
      <c r="E5816" s="3">
        <v>8.6</v>
      </c>
      <c r="F5816" s="3">
        <v>8.9</v>
      </c>
      <c r="G5816" s="3">
        <v>30.4</v>
      </c>
    </row>
    <row r="5817">
      <c r="A5817" s="3">
        <v>173327.0</v>
      </c>
      <c r="B5817" s="3" t="s">
        <v>5844</v>
      </c>
      <c r="C5817" s="3" t="s">
        <v>1464</v>
      </c>
      <c r="D5817" s="3">
        <v>270.0</v>
      </c>
      <c r="E5817" s="3">
        <v>15.0</v>
      </c>
      <c r="F5817" s="3">
        <v>9.16</v>
      </c>
      <c r="G5817" s="3">
        <v>24.69</v>
      </c>
    </row>
    <row r="5818">
      <c r="A5818" s="3">
        <v>173328.0</v>
      </c>
      <c r="B5818" s="3" t="s">
        <v>5845</v>
      </c>
      <c r="C5818" s="3" t="s">
        <v>1464</v>
      </c>
      <c r="D5818" s="3">
        <v>77.0</v>
      </c>
      <c r="E5818" s="3">
        <v>1.45</v>
      </c>
      <c r="F5818" s="3">
        <v>2.48</v>
      </c>
      <c r="G5818" s="3">
        <v>13.64</v>
      </c>
    </row>
    <row r="5819">
      <c r="A5819" s="3">
        <v>173329.0</v>
      </c>
      <c r="B5819" s="3" t="s">
        <v>5846</v>
      </c>
      <c r="C5819" s="3" t="s">
        <v>1464</v>
      </c>
      <c r="D5819" s="3">
        <v>97.0</v>
      </c>
      <c r="E5819" s="3">
        <v>3.41</v>
      </c>
      <c r="F5819" s="3">
        <v>3.24</v>
      </c>
      <c r="G5819" s="3">
        <v>13.26</v>
      </c>
    </row>
    <row r="5820">
      <c r="A5820" s="3">
        <v>173330.0</v>
      </c>
      <c r="B5820" s="3" t="s">
        <v>5847</v>
      </c>
      <c r="C5820" s="3" t="s">
        <v>1464</v>
      </c>
      <c r="D5820" s="3">
        <v>99.0</v>
      </c>
      <c r="E5820" s="3">
        <v>5.53</v>
      </c>
      <c r="F5820" s="3">
        <v>4.41</v>
      </c>
      <c r="G5820" s="3">
        <v>7.85</v>
      </c>
    </row>
    <row r="5821">
      <c r="A5821" s="3">
        <v>173331.0</v>
      </c>
      <c r="B5821" s="3" t="s">
        <v>5848</v>
      </c>
      <c r="C5821" s="3" t="s">
        <v>1464</v>
      </c>
      <c r="D5821" s="3">
        <v>204.0</v>
      </c>
      <c r="E5821" s="3">
        <v>11.85</v>
      </c>
      <c r="F5821" s="3">
        <v>5.11</v>
      </c>
      <c r="G5821" s="3">
        <v>19.21</v>
      </c>
    </row>
    <row r="5822">
      <c r="A5822" s="3">
        <v>173332.0</v>
      </c>
      <c r="B5822" s="3" t="s">
        <v>5849</v>
      </c>
      <c r="C5822" s="3" t="s">
        <v>1464</v>
      </c>
      <c r="D5822" s="3">
        <v>164.0</v>
      </c>
      <c r="E5822" s="3">
        <v>10.24</v>
      </c>
      <c r="F5822" s="3">
        <v>8.73</v>
      </c>
      <c r="G5822" s="3">
        <v>9.27</v>
      </c>
    </row>
    <row r="5823">
      <c r="A5823" s="3">
        <v>173333.0</v>
      </c>
      <c r="B5823" s="3" t="s">
        <v>5850</v>
      </c>
      <c r="C5823" s="3" t="s">
        <v>1464</v>
      </c>
      <c r="D5823" s="3">
        <v>130.0</v>
      </c>
      <c r="E5823" s="3">
        <v>5.33</v>
      </c>
      <c r="F5823" s="3">
        <v>6.54</v>
      </c>
      <c r="G5823" s="3">
        <v>13.84</v>
      </c>
    </row>
    <row r="5824">
      <c r="A5824" s="3">
        <v>173334.0</v>
      </c>
      <c r="B5824" s="3" t="s">
        <v>5851</v>
      </c>
      <c r="C5824" s="3" t="s">
        <v>1464</v>
      </c>
      <c r="D5824" s="3">
        <v>124.0</v>
      </c>
      <c r="E5824" s="3">
        <v>4.42</v>
      </c>
      <c r="F5824" s="3">
        <v>6.63</v>
      </c>
      <c r="G5824" s="3">
        <v>14.39</v>
      </c>
    </row>
    <row r="5825">
      <c r="A5825" s="3">
        <v>173335.0</v>
      </c>
      <c r="B5825" s="3" t="s">
        <v>5852</v>
      </c>
      <c r="C5825" s="3" t="s">
        <v>1464</v>
      </c>
      <c r="D5825" s="3">
        <v>239.0</v>
      </c>
      <c r="E5825" s="3">
        <v>9.61</v>
      </c>
      <c r="F5825" s="3">
        <v>7.26</v>
      </c>
      <c r="G5825" s="3">
        <v>30.84</v>
      </c>
    </row>
    <row r="5826">
      <c r="A5826" s="3">
        <v>173336.0</v>
      </c>
      <c r="B5826" s="3" t="s">
        <v>5853</v>
      </c>
      <c r="C5826" s="3" t="s">
        <v>1464</v>
      </c>
      <c r="D5826" s="3">
        <v>221.0</v>
      </c>
      <c r="E5826" s="3">
        <v>6.3</v>
      </c>
      <c r="F5826" s="3">
        <v>7.07</v>
      </c>
      <c r="G5826" s="3">
        <v>34.01</v>
      </c>
    </row>
    <row r="5827">
      <c r="A5827" s="3">
        <v>173337.0</v>
      </c>
      <c r="B5827" s="3" t="s">
        <v>5854</v>
      </c>
      <c r="C5827" s="3" t="s">
        <v>1464</v>
      </c>
      <c r="D5827" s="3">
        <v>134.0</v>
      </c>
      <c r="E5827" s="3">
        <v>5.99</v>
      </c>
      <c r="F5827" s="3">
        <v>5.98</v>
      </c>
      <c r="G5827" s="3">
        <v>13.96</v>
      </c>
    </row>
    <row r="5828">
      <c r="A5828" s="3">
        <v>173338.0</v>
      </c>
      <c r="B5828" s="3" t="s">
        <v>5855</v>
      </c>
      <c r="C5828" s="3" t="s">
        <v>1464</v>
      </c>
      <c r="D5828" s="3">
        <v>128.0</v>
      </c>
      <c r="E5828" s="3">
        <v>3.89</v>
      </c>
      <c r="F5828" s="3">
        <v>6.97</v>
      </c>
      <c r="G5828" s="3">
        <v>16.32</v>
      </c>
    </row>
    <row r="5829">
      <c r="A5829" s="3">
        <v>173339.0</v>
      </c>
      <c r="B5829" s="3" t="s">
        <v>5856</v>
      </c>
      <c r="C5829" s="3" t="s">
        <v>1464</v>
      </c>
      <c r="D5829" s="3">
        <v>126.0</v>
      </c>
      <c r="E5829" s="3">
        <v>1.56</v>
      </c>
      <c r="F5829" s="3">
        <v>5.65</v>
      </c>
      <c r="G5829" s="3">
        <v>22.46</v>
      </c>
    </row>
    <row r="5830">
      <c r="A5830" s="3">
        <v>173340.0</v>
      </c>
      <c r="B5830" s="3" t="s">
        <v>5857</v>
      </c>
      <c r="C5830" s="3" t="s">
        <v>1464</v>
      </c>
      <c r="D5830" s="3">
        <v>379.0</v>
      </c>
      <c r="E5830" s="3">
        <v>4.82</v>
      </c>
      <c r="F5830" s="3">
        <v>13.86</v>
      </c>
      <c r="G5830" s="3">
        <v>70.12</v>
      </c>
    </row>
    <row r="5831">
      <c r="A5831" s="3">
        <v>173341.0</v>
      </c>
      <c r="B5831" s="3" t="s">
        <v>5858</v>
      </c>
      <c r="C5831" s="3" t="s">
        <v>1464</v>
      </c>
      <c r="D5831" s="3">
        <v>190.0</v>
      </c>
      <c r="E5831" s="3">
        <v>8.28</v>
      </c>
      <c r="F5831" s="3">
        <v>4.89</v>
      </c>
      <c r="G5831" s="3">
        <v>23.93</v>
      </c>
    </row>
    <row r="5832">
      <c r="A5832" s="3">
        <v>173342.0</v>
      </c>
      <c r="B5832" s="3" t="s">
        <v>5859</v>
      </c>
      <c r="C5832" s="3" t="s">
        <v>1464</v>
      </c>
      <c r="D5832" s="3">
        <v>149.0</v>
      </c>
      <c r="E5832" s="3">
        <v>6.41</v>
      </c>
      <c r="F5832" s="3">
        <v>5.6</v>
      </c>
      <c r="G5832" s="3">
        <v>17.28</v>
      </c>
    </row>
    <row r="5833">
      <c r="A5833" s="3">
        <v>173343.0</v>
      </c>
      <c r="B5833" s="3" t="s">
        <v>5860</v>
      </c>
      <c r="C5833" s="3" t="s">
        <v>1464</v>
      </c>
      <c r="D5833" s="3">
        <v>157.0</v>
      </c>
      <c r="E5833" s="3">
        <v>9.4</v>
      </c>
      <c r="F5833" s="3">
        <v>1.96</v>
      </c>
      <c r="G5833" s="3">
        <v>16.18</v>
      </c>
    </row>
    <row r="5834">
      <c r="A5834" s="3">
        <v>173344.0</v>
      </c>
      <c r="B5834" s="3" t="s">
        <v>5861</v>
      </c>
      <c r="C5834" s="3" t="s">
        <v>1464</v>
      </c>
      <c r="D5834" s="3">
        <v>168.0</v>
      </c>
      <c r="E5834" s="3">
        <v>4.42</v>
      </c>
      <c r="F5834" s="3">
        <v>13.19</v>
      </c>
      <c r="G5834" s="3">
        <v>18.74</v>
      </c>
    </row>
    <row r="5835">
      <c r="A5835" s="3">
        <v>173345.0</v>
      </c>
      <c r="B5835" s="3" t="s">
        <v>5862</v>
      </c>
      <c r="C5835" s="3" t="s">
        <v>1464</v>
      </c>
      <c r="D5835" s="3">
        <v>250.0</v>
      </c>
      <c r="E5835" s="3">
        <v>12.02</v>
      </c>
      <c r="F5835" s="3">
        <v>8.57</v>
      </c>
      <c r="G5835" s="3">
        <v>26.96</v>
      </c>
    </row>
    <row r="5836">
      <c r="A5836" s="3">
        <v>173346.0</v>
      </c>
      <c r="B5836" s="3" t="s">
        <v>5863</v>
      </c>
      <c r="C5836" s="3" t="s">
        <v>1464</v>
      </c>
      <c r="D5836" s="3">
        <v>240.0</v>
      </c>
      <c r="E5836" s="3">
        <v>13.58</v>
      </c>
      <c r="F5836" s="3">
        <v>14.62</v>
      </c>
      <c r="G5836" s="3">
        <v>14.86</v>
      </c>
    </row>
    <row r="5837">
      <c r="A5837" s="3">
        <v>173347.0</v>
      </c>
      <c r="B5837" s="3" t="s">
        <v>5864</v>
      </c>
      <c r="C5837" s="3" t="s">
        <v>1464</v>
      </c>
      <c r="D5837" s="3">
        <v>356.0</v>
      </c>
      <c r="E5837" s="3">
        <v>1.04</v>
      </c>
      <c r="F5837" s="3">
        <v>10.64</v>
      </c>
      <c r="G5837" s="3">
        <v>76.08</v>
      </c>
    </row>
    <row r="5838">
      <c r="A5838" s="3">
        <v>173348.0</v>
      </c>
      <c r="B5838" s="3" t="s">
        <v>5865</v>
      </c>
      <c r="C5838" s="3" t="s">
        <v>1464</v>
      </c>
      <c r="D5838" s="3">
        <v>136.0</v>
      </c>
      <c r="E5838" s="3">
        <v>3.45</v>
      </c>
      <c r="F5838" s="3">
        <v>2.65</v>
      </c>
      <c r="G5838" s="3">
        <v>23.54</v>
      </c>
    </row>
    <row r="5839">
      <c r="A5839" s="3">
        <v>173349.0</v>
      </c>
      <c r="B5839" s="3" t="s">
        <v>5866</v>
      </c>
      <c r="C5839" s="3" t="s">
        <v>189</v>
      </c>
      <c r="D5839" s="3">
        <v>130.0</v>
      </c>
      <c r="E5839" s="3">
        <v>4.97</v>
      </c>
      <c r="F5839" s="3">
        <v>21.39</v>
      </c>
      <c r="G5839" s="3">
        <v>0.0</v>
      </c>
    </row>
    <row r="5840">
      <c r="A5840" s="3">
        <v>173350.0</v>
      </c>
      <c r="B5840" s="3" t="s">
        <v>5867</v>
      </c>
      <c r="C5840" s="3" t="s">
        <v>189</v>
      </c>
      <c r="D5840" s="3">
        <v>214.0</v>
      </c>
      <c r="E5840" s="3">
        <v>14.06</v>
      </c>
      <c r="F5840" s="3">
        <v>20.49</v>
      </c>
      <c r="G5840" s="3">
        <v>0.0</v>
      </c>
    </row>
    <row r="5841">
      <c r="A5841" s="3">
        <v>173351.0</v>
      </c>
      <c r="B5841" s="3" t="s">
        <v>5868</v>
      </c>
      <c r="C5841" s="3" t="s">
        <v>189</v>
      </c>
      <c r="D5841" s="3">
        <v>289.0</v>
      </c>
      <c r="E5841" s="3">
        <v>20.36</v>
      </c>
      <c r="F5841" s="3">
        <v>24.6</v>
      </c>
      <c r="G5841" s="3">
        <v>0.0</v>
      </c>
    </row>
    <row r="5842">
      <c r="A5842" s="3">
        <v>173352.0</v>
      </c>
      <c r="B5842" s="3" t="s">
        <v>5869</v>
      </c>
      <c r="C5842" s="3" t="s">
        <v>189</v>
      </c>
      <c r="D5842" s="3">
        <v>215.0</v>
      </c>
      <c r="E5842" s="3">
        <v>14.19</v>
      </c>
      <c r="F5842" s="3">
        <v>20.28</v>
      </c>
      <c r="G5842" s="3">
        <v>0.0</v>
      </c>
    </row>
    <row r="5843">
      <c r="A5843" s="3">
        <v>173353.0</v>
      </c>
      <c r="B5843" s="3" t="s">
        <v>5870</v>
      </c>
      <c r="C5843" s="3" t="s">
        <v>189</v>
      </c>
      <c r="D5843" s="3">
        <v>281.0</v>
      </c>
      <c r="E5843" s="3">
        <v>19.22</v>
      </c>
      <c r="F5843" s="3">
        <v>25.18</v>
      </c>
      <c r="G5843" s="3">
        <v>0.0</v>
      </c>
    </row>
    <row r="5844">
      <c r="A5844" s="3">
        <v>173354.0</v>
      </c>
      <c r="B5844" s="3" t="s">
        <v>5871</v>
      </c>
      <c r="C5844" s="3" t="s">
        <v>189</v>
      </c>
      <c r="D5844" s="3">
        <v>133.0</v>
      </c>
      <c r="E5844" s="3">
        <v>4.66</v>
      </c>
      <c r="F5844" s="3">
        <v>21.41</v>
      </c>
      <c r="G5844" s="3">
        <v>0.0</v>
      </c>
    </row>
    <row r="5845">
      <c r="A5845" s="3">
        <v>173355.0</v>
      </c>
      <c r="B5845" s="3" t="s">
        <v>5872</v>
      </c>
      <c r="C5845" s="3" t="s">
        <v>189</v>
      </c>
      <c r="D5845" s="3">
        <v>181.0</v>
      </c>
      <c r="E5845" s="3">
        <v>7.68</v>
      </c>
      <c r="F5845" s="3">
        <v>26.07</v>
      </c>
      <c r="G5845" s="3">
        <v>0.0</v>
      </c>
    </row>
    <row r="5846">
      <c r="A5846" s="3">
        <v>173356.0</v>
      </c>
      <c r="B5846" s="3" t="s">
        <v>5873</v>
      </c>
      <c r="C5846" s="3" t="s">
        <v>189</v>
      </c>
      <c r="D5846" s="3">
        <v>142.0</v>
      </c>
      <c r="E5846" s="3">
        <v>5.79</v>
      </c>
      <c r="F5846" s="3">
        <v>20.93</v>
      </c>
      <c r="G5846" s="3">
        <v>0.0</v>
      </c>
    </row>
    <row r="5847">
      <c r="A5847" s="3">
        <v>173357.0</v>
      </c>
      <c r="B5847" s="3" t="s">
        <v>5874</v>
      </c>
      <c r="C5847" s="3" t="s">
        <v>189</v>
      </c>
      <c r="D5847" s="3">
        <v>143.0</v>
      </c>
      <c r="E5847" s="3">
        <v>6.12</v>
      </c>
      <c r="F5847" s="3">
        <v>20.39</v>
      </c>
      <c r="G5847" s="3">
        <v>0.0</v>
      </c>
    </row>
    <row r="5848">
      <c r="A5848" s="3">
        <v>173358.0</v>
      </c>
      <c r="B5848" s="3" t="s">
        <v>5875</v>
      </c>
      <c r="C5848" s="3" t="s">
        <v>189</v>
      </c>
      <c r="D5848" s="3">
        <v>184.0</v>
      </c>
      <c r="E5848" s="3">
        <v>8.11</v>
      </c>
      <c r="F5848" s="3">
        <v>26.07</v>
      </c>
      <c r="G5848" s="3">
        <v>0.0</v>
      </c>
    </row>
    <row r="5849">
      <c r="A5849" s="3">
        <v>173359.0</v>
      </c>
      <c r="B5849" s="3" t="s">
        <v>5876</v>
      </c>
      <c r="C5849" s="3" t="s">
        <v>189</v>
      </c>
      <c r="D5849" s="3">
        <v>166.0</v>
      </c>
      <c r="E5849" s="3">
        <v>9.22</v>
      </c>
      <c r="F5849" s="3">
        <v>19.38</v>
      </c>
      <c r="G5849" s="3">
        <v>0.0</v>
      </c>
    </row>
    <row r="5850">
      <c r="A5850" s="3">
        <v>173360.0</v>
      </c>
      <c r="B5850" s="3" t="s">
        <v>5877</v>
      </c>
      <c r="C5850" s="3" t="s">
        <v>189</v>
      </c>
      <c r="D5850" s="3">
        <v>212.0</v>
      </c>
      <c r="E5850" s="3">
        <v>11.52</v>
      </c>
      <c r="F5850" s="3">
        <v>25.29</v>
      </c>
      <c r="G5850" s="3">
        <v>0.0</v>
      </c>
    </row>
    <row r="5851">
      <c r="A5851" s="3">
        <v>173361.0</v>
      </c>
      <c r="B5851" s="3" t="s">
        <v>5878</v>
      </c>
      <c r="C5851" s="3" t="s">
        <v>189</v>
      </c>
      <c r="D5851" s="3">
        <v>150.0</v>
      </c>
      <c r="E5851" s="3">
        <v>6.85</v>
      </c>
      <c r="F5851" s="3">
        <v>20.74</v>
      </c>
      <c r="G5851" s="3">
        <v>0.0</v>
      </c>
    </row>
    <row r="5852">
      <c r="A5852" s="3">
        <v>173362.0</v>
      </c>
      <c r="B5852" s="3" t="s">
        <v>5879</v>
      </c>
      <c r="C5852" s="3" t="s">
        <v>189</v>
      </c>
      <c r="D5852" s="3">
        <v>188.0</v>
      </c>
      <c r="E5852" s="3">
        <v>8.13</v>
      </c>
      <c r="F5852" s="3">
        <v>26.88</v>
      </c>
      <c r="G5852" s="3">
        <v>0.0</v>
      </c>
    </row>
    <row r="5853">
      <c r="A5853" s="3">
        <v>173363.0</v>
      </c>
      <c r="B5853" s="3" t="s">
        <v>5880</v>
      </c>
      <c r="C5853" s="3" t="s">
        <v>189</v>
      </c>
      <c r="D5853" s="3">
        <v>137.0</v>
      </c>
      <c r="E5853" s="3">
        <v>5.21</v>
      </c>
      <c r="F5853" s="3">
        <v>20.98</v>
      </c>
      <c r="G5853" s="3">
        <v>0.0</v>
      </c>
    </row>
    <row r="5854">
      <c r="A5854" s="3">
        <v>173364.0</v>
      </c>
      <c r="B5854" s="3" t="s">
        <v>5881</v>
      </c>
      <c r="C5854" s="3" t="s">
        <v>189</v>
      </c>
      <c r="D5854" s="3">
        <v>166.0</v>
      </c>
      <c r="E5854" s="3">
        <v>5.17</v>
      </c>
      <c r="F5854" s="3">
        <v>28.01</v>
      </c>
      <c r="G5854" s="3">
        <v>0.0</v>
      </c>
    </row>
    <row r="5855">
      <c r="A5855" s="3">
        <v>173365.0</v>
      </c>
      <c r="B5855" s="3" t="s">
        <v>5882</v>
      </c>
      <c r="C5855" s="3" t="s">
        <v>189</v>
      </c>
      <c r="D5855" s="3">
        <v>144.0</v>
      </c>
      <c r="E5855" s="3">
        <v>6.22</v>
      </c>
      <c r="F5855" s="3">
        <v>20.54</v>
      </c>
      <c r="G5855" s="3">
        <v>0.0</v>
      </c>
    </row>
    <row r="5856">
      <c r="A5856" s="3">
        <v>173366.0</v>
      </c>
      <c r="B5856" s="3" t="s">
        <v>5883</v>
      </c>
      <c r="C5856" s="3" t="s">
        <v>189</v>
      </c>
      <c r="D5856" s="3">
        <v>177.0</v>
      </c>
      <c r="E5856" s="3">
        <v>7.2</v>
      </c>
      <c r="F5856" s="3">
        <v>26.22</v>
      </c>
      <c r="G5856" s="3">
        <v>0.0</v>
      </c>
    </row>
    <row r="5857">
      <c r="A5857" s="3">
        <v>173367.0</v>
      </c>
      <c r="B5857" s="3" t="s">
        <v>5884</v>
      </c>
      <c r="C5857" s="3" t="s">
        <v>189</v>
      </c>
      <c r="D5857" s="3">
        <v>129.0</v>
      </c>
      <c r="E5857" s="3">
        <v>4.0</v>
      </c>
      <c r="F5857" s="3">
        <v>21.69</v>
      </c>
      <c r="G5857" s="3">
        <v>0.0</v>
      </c>
    </row>
    <row r="5858">
      <c r="A5858" s="3">
        <v>173368.0</v>
      </c>
      <c r="B5858" s="3" t="s">
        <v>5885</v>
      </c>
      <c r="C5858" s="3" t="s">
        <v>189</v>
      </c>
      <c r="D5858" s="3">
        <v>222.0</v>
      </c>
      <c r="E5858" s="3">
        <v>12.79</v>
      </c>
      <c r="F5858" s="3">
        <v>24.93</v>
      </c>
      <c r="G5858" s="3">
        <v>0.0</v>
      </c>
    </row>
    <row r="5859">
      <c r="A5859" s="3">
        <v>173369.0</v>
      </c>
      <c r="B5859" s="3" t="s">
        <v>5886</v>
      </c>
      <c r="C5859" s="3" t="s">
        <v>189</v>
      </c>
      <c r="D5859" s="3">
        <v>143.0</v>
      </c>
      <c r="E5859" s="3">
        <v>5.89</v>
      </c>
      <c r="F5859" s="3">
        <v>20.93</v>
      </c>
      <c r="G5859" s="3">
        <v>0.0</v>
      </c>
    </row>
    <row r="5860">
      <c r="A5860" s="3">
        <v>173370.0</v>
      </c>
      <c r="B5860" s="3" t="s">
        <v>5887</v>
      </c>
      <c r="C5860" s="3" t="s">
        <v>189</v>
      </c>
      <c r="D5860" s="3">
        <v>177.0</v>
      </c>
      <c r="E5860" s="3">
        <v>6.78</v>
      </c>
      <c r="F5860" s="3">
        <v>27.12</v>
      </c>
      <c r="G5860" s="3">
        <v>0.0</v>
      </c>
    </row>
    <row r="5861">
      <c r="A5861" s="3">
        <v>173371.0</v>
      </c>
      <c r="B5861" s="3" t="s">
        <v>5888</v>
      </c>
      <c r="C5861" s="3" t="s">
        <v>189</v>
      </c>
      <c r="D5861" s="3">
        <v>142.0</v>
      </c>
      <c r="E5861" s="3">
        <v>5.53</v>
      </c>
      <c r="F5861" s="3">
        <v>21.59</v>
      </c>
      <c r="G5861" s="3">
        <v>0.0</v>
      </c>
    </row>
    <row r="5862">
      <c r="A5862" s="3">
        <v>173372.0</v>
      </c>
      <c r="B5862" s="3" t="s">
        <v>5889</v>
      </c>
      <c r="C5862" s="3" t="s">
        <v>189</v>
      </c>
      <c r="D5862" s="3">
        <v>202.0</v>
      </c>
      <c r="E5862" s="3">
        <v>9.68</v>
      </c>
      <c r="F5862" s="3">
        <v>28.72</v>
      </c>
      <c r="G5862" s="3">
        <v>0.0</v>
      </c>
    </row>
    <row r="5863">
      <c r="A5863" s="3">
        <v>173373.0</v>
      </c>
      <c r="B5863" s="3" t="s">
        <v>5890</v>
      </c>
      <c r="C5863" s="3" t="s">
        <v>189</v>
      </c>
      <c r="D5863" s="3">
        <v>234.0</v>
      </c>
      <c r="E5863" s="3">
        <v>12.69</v>
      </c>
      <c r="F5863" s="3">
        <v>29.99</v>
      </c>
      <c r="G5863" s="3">
        <v>0.0</v>
      </c>
    </row>
    <row r="5864">
      <c r="A5864" s="3">
        <v>173374.0</v>
      </c>
      <c r="B5864" s="3" t="s">
        <v>5891</v>
      </c>
      <c r="C5864" s="3" t="s">
        <v>189</v>
      </c>
      <c r="D5864" s="3">
        <v>164.0</v>
      </c>
      <c r="E5864" s="3">
        <v>8.82</v>
      </c>
      <c r="F5864" s="3">
        <v>21.17</v>
      </c>
      <c r="G5864" s="3">
        <v>0.0</v>
      </c>
    </row>
    <row r="5865">
      <c r="A5865" s="3">
        <v>173375.0</v>
      </c>
      <c r="B5865" s="3" t="s">
        <v>5892</v>
      </c>
      <c r="C5865" s="3" t="s">
        <v>189</v>
      </c>
      <c r="D5865" s="3">
        <v>242.0</v>
      </c>
      <c r="E5865" s="3">
        <v>13.72</v>
      </c>
      <c r="F5865" s="3">
        <v>29.56</v>
      </c>
      <c r="G5865" s="3">
        <v>0.0</v>
      </c>
    </row>
    <row r="5866">
      <c r="A5866" s="3">
        <v>173376.0</v>
      </c>
      <c r="B5866" s="3" t="s">
        <v>5893</v>
      </c>
      <c r="C5866" s="3" t="s">
        <v>189</v>
      </c>
      <c r="D5866" s="3">
        <v>206.0</v>
      </c>
      <c r="E5866" s="3">
        <v>14.53</v>
      </c>
      <c r="F5866" s="3">
        <v>18.74</v>
      </c>
      <c r="G5866" s="3">
        <v>0.19</v>
      </c>
    </row>
    <row r="5867">
      <c r="A5867" s="3">
        <v>173377.0</v>
      </c>
      <c r="B5867" s="3" t="s">
        <v>5894</v>
      </c>
      <c r="C5867" s="3" t="s">
        <v>189</v>
      </c>
      <c r="D5867" s="3">
        <v>291.0</v>
      </c>
      <c r="E5867" s="3">
        <v>20.28</v>
      </c>
      <c r="F5867" s="3">
        <v>27.03</v>
      </c>
      <c r="G5867" s="3">
        <v>0.0</v>
      </c>
    </row>
    <row r="5868">
      <c r="A5868" s="3">
        <v>173378.0</v>
      </c>
      <c r="B5868" s="3" t="s">
        <v>5895</v>
      </c>
      <c r="C5868" s="3" t="s">
        <v>189</v>
      </c>
      <c r="D5868" s="3">
        <v>212.0</v>
      </c>
      <c r="E5868" s="3">
        <v>15.26</v>
      </c>
      <c r="F5868" s="3">
        <v>18.47</v>
      </c>
      <c r="G5868" s="3">
        <v>0.17</v>
      </c>
    </row>
    <row r="5869">
      <c r="A5869" s="3">
        <v>173379.0</v>
      </c>
      <c r="B5869" s="3" t="s">
        <v>5896</v>
      </c>
      <c r="C5869" s="3" t="s">
        <v>189</v>
      </c>
      <c r="D5869" s="3">
        <v>268.0</v>
      </c>
      <c r="E5869" s="3">
        <v>17.1</v>
      </c>
      <c r="F5869" s="3">
        <v>28.65</v>
      </c>
      <c r="G5869" s="3">
        <v>0.0</v>
      </c>
    </row>
    <row r="5870">
      <c r="A5870" s="3">
        <v>173380.0</v>
      </c>
      <c r="B5870" s="3" t="s">
        <v>5897</v>
      </c>
      <c r="C5870" s="3" t="s">
        <v>189</v>
      </c>
      <c r="D5870" s="3">
        <v>162.0</v>
      </c>
      <c r="E5870" s="3">
        <v>8.5</v>
      </c>
      <c r="F5870" s="3">
        <v>21.44</v>
      </c>
      <c r="G5870" s="3">
        <v>0.0</v>
      </c>
    </row>
    <row r="5871">
      <c r="A5871" s="3">
        <v>173381.0</v>
      </c>
      <c r="B5871" s="3" t="s">
        <v>5898</v>
      </c>
      <c r="C5871" s="3" t="s">
        <v>189</v>
      </c>
      <c r="D5871" s="3">
        <v>191.0</v>
      </c>
      <c r="E5871" s="3">
        <v>8.31</v>
      </c>
      <c r="F5871" s="3">
        <v>29.18</v>
      </c>
      <c r="G5871" s="3">
        <v>0.0</v>
      </c>
    </row>
    <row r="5872">
      <c r="A5872" s="3">
        <v>173382.0</v>
      </c>
      <c r="B5872" s="3" t="s">
        <v>5899</v>
      </c>
      <c r="C5872" s="3" t="s">
        <v>189</v>
      </c>
      <c r="D5872" s="3">
        <v>142.0</v>
      </c>
      <c r="E5872" s="3">
        <v>5.78</v>
      </c>
      <c r="F5872" s="3">
        <v>22.46</v>
      </c>
      <c r="G5872" s="3">
        <v>0.0</v>
      </c>
    </row>
    <row r="5873">
      <c r="A5873" s="3">
        <v>173383.0</v>
      </c>
      <c r="B5873" s="3" t="s">
        <v>5900</v>
      </c>
      <c r="C5873" s="3" t="s">
        <v>189</v>
      </c>
      <c r="D5873" s="3">
        <v>299.0</v>
      </c>
      <c r="E5873" s="3">
        <v>20.57</v>
      </c>
      <c r="F5873" s="3">
        <v>28.36</v>
      </c>
      <c r="G5873" s="3">
        <v>0.0</v>
      </c>
    </row>
    <row r="5874">
      <c r="A5874" s="3">
        <v>173384.0</v>
      </c>
      <c r="B5874" s="3" t="s">
        <v>5901</v>
      </c>
      <c r="C5874" s="3" t="s">
        <v>189</v>
      </c>
      <c r="D5874" s="3">
        <v>221.0</v>
      </c>
      <c r="E5874" s="3">
        <v>15.73</v>
      </c>
      <c r="F5874" s="3">
        <v>19.71</v>
      </c>
      <c r="G5874" s="3">
        <v>0.2</v>
      </c>
    </row>
    <row r="5875">
      <c r="A5875" s="3">
        <v>173385.0</v>
      </c>
      <c r="B5875" s="3" t="s">
        <v>5902</v>
      </c>
      <c r="C5875" s="3" t="s">
        <v>189</v>
      </c>
      <c r="D5875" s="3">
        <v>313.0</v>
      </c>
      <c r="E5875" s="3">
        <v>24.7</v>
      </c>
      <c r="F5875" s="3">
        <v>22.71</v>
      </c>
      <c r="G5875" s="3">
        <v>0.0</v>
      </c>
    </row>
    <row r="5876">
      <c r="A5876" s="3">
        <v>173386.0</v>
      </c>
      <c r="B5876" s="3" t="s">
        <v>5903</v>
      </c>
      <c r="C5876" s="3" t="s">
        <v>189</v>
      </c>
      <c r="D5876" s="3">
        <v>304.0</v>
      </c>
      <c r="E5876" s="3">
        <v>23.47</v>
      </c>
      <c r="F5876" s="3">
        <v>23.19</v>
      </c>
      <c r="G5876" s="3">
        <v>0.0</v>
      </c>
    </row>
    <row r="5877">
      <c r="A5877" s="3">
        <v>173387.0</v>
      </c>
      <c r="B5877" s="3" t="s">
        <v>5904</v>
      </c>
      <c r="C5877" s="3" t="s">
        <v>189</v>
      </c>
      <c r="D5877" s="3">
        <v>309.0</v>
      </c>
      <c r="E5877" s="3">
        <v>24.2</v>
      </c>
      <c r="F5877" s="3">
        <v>22.9</v>
      </c>
      <c r="G5877" s="3">
        <v>0.0</v>
      </c>
    </row>
    <row r="5878">
      <c r="A5878" s="3">
        <v>173388.0</v>
      </c>
      <c r="B5878" s="3" t="s">
        <v>5905</v>
      </c>
      <c r="C5878" s="3" t="s">
        <v>189</v>
      </c>
      <c r="D5878" s="3">
        <v>307.0</v>
      </c>
      <c r="E5878" s="3">
        <v>23.61</v>
      </c>
      <c r="F5878" s="3">
        <v>23.53</v>
      </c>
      <c r="G5878" s="3">
        <v>0.0</v>
      </c>
    </row>
    <row r="5879">
      <c r="A5879" s="3">
        <v>173389.0</v>
      </c>
      <c r="B5879" s="3" t="s">
        <v>5906</v>
      </c>
      <c r="C5879" s="3" t="s">
        <v>189</v>
      </c>
      <c r="D5879" s="3">
        <v>248.0</v>
      </c>
      <c r="E5879" s="3">
        <v>19.34</v>
      </c>
      <c r="F5879" s="3">
        <v>18.44</v>
      </c>
      <c r="G5879" s="3">
        <v>0.0</v>
      </c>
    </row>
    <row r="5880">
      <c r="A5880" s="3">
        <v>173390.0</v>
      </c>
      <c r="B5880" s="3" t="s">
        <v>5907</v>
      </c>
      <c r="C5880" s="3" t="s">
        <v>189</v>
      </c>
      <c r="D5880" s="3">
        <v>303.0</v>
      </c>
      <c r="E5880" s="3">
        <v>23.52</v>
      </c>
      <c r="F5880" s="3">
        <v>22.92</v>
      </c>
      <c r="G5880" s="3">
        <v>0.0</v>
      </c>
    </row>
    <row r="5881">
      <c r="A5881" s="3">
        <v>173391.0</v>
      </c>
      <c r="B5881" s="3" t="s">
        <v>5908</v>
      </c>
      <c r="C5881" s="3" t="s">
        <v>189</v>
      </c>
      <c r="D5881" s="3">
        <v>273.0</v>
      </c>
      <c r="E5881" s="3">
        <v>19.25</v>
      </c>
      <c r="F5881" s="3">
        <v>24.83</v>
      </c>
      <c r="G5881" s="3">
        <v>0.0</v>
      </c>
    </row>
    <row r="5882">
      <c r="A5882" s="3">
        <v>173392.0</v>
      </c>
      <c r="B5882" s="3" t="s">
        <v>5909</v>
      </c>
      <c r="C5882" s="3" t="s">
        <v>189</v>
      </c>
      <c r="D5882" s="3">
        <v>291.0</v>
      </c>
      <c r="E5882" s="3">
        <v>21.81</v>
      </c>
      <c r="F5882" s="3">
        <v>23.69</v>
      </c>
      <c r="G5882" s="3">
        <v>0.0</v>
      </c>
    </row>
    <row r="5883">
      <c r="A5883" s="3">
        <v>173393.0</v>
      </c>
      <c r="B5883" s="3" t="s">
        <v>5910</v>
      </c>
      <c r="C5883" s="3" t="s">
        <v>189</v>
      </c>
      <c r="D5883" s="3">
        <v>253.0</v>
      </c>
      <c r="E5883" s="3">
        <v>19.95</v>
      </c>
      <c r="F5883" s="3">
        <v>18.39</v>
      </c>
      <c r="G5883" s="3">
        <v>0.0</v>
      </c>
    </row>
    <row r="5884">
      <c r="A5884" s="3">
        <v>173394.0</v>
      </c>
      <c r="B5884" s="3" t="s">
        <v>5911</v>
      </c>
      <c r="C5884" s="3" t="s">
        <v>189</v>
      </c>
      <c r="D5884" s="3">
        <v>230.0</v>
      </c>
      <c r="E5884" s="3">
        <v>16.9</v>
      </c>
      <c r="F5884" s="3">
        <v>19.55</v>
      </c>
      <c r="G5884" s="3">
        <v>0.0</v>
      </c>
    </row>
    <row r="5885">
      <c r="A5885" s="3">
        <v>173395.0</v>
      </c>
      <c r="B5885" s="3" t="s">
        <v>5912</v>
      </c>
      <c r="C5885" s="3" t="s">
        <v>189</v>
      </c>
      <c r="D5885" s="3">
        <v>245.0</v>
      </c>
      <c r="E5885" s="3">
        <v>14.2</v>
      </c>
      <c r="F5885" s="3">
        <v>29.36</v>
      </c>
      <c r="G5885" s="3">
        <v>0.0</v>
      </c>
    </row>
    <row r="5886">
      <c r="A5886" s="3">
        <v>173396.0</v>
      </c>
      <c r="B5886" s="3" t="s">
        <v>5913</v>
      </c>
      <c r="C5886" s="3" t="s">
        <v>189</v>
      </c>
      <c r="D5886" s="3">
        <v>253.0</v>
      </c>
      <c r="E5886" s="3">
        <v>15.3</v>
      </c>
      <c r="F5886" s="3">
        <v>28.9</v>
      </c>
      <c r="G5886" s="3">
        <v>0.0</v>
      </c>
    </row>
    <row r="5887">
      <c r="A5887" s="3">
        <v>173397.0</v>
      </c>
      <c r="B5887" s="3" t="s">
        <v>5914</v>
      </c>
      <c r="C5887" s="3" t="s">
        <v>189</v>
      </c>
      <c r="D5887" s="3">
        <v>292.0</v>
      </c>
      <c r="E5887" s="3">
        <v>20.47</v>
      </c>
      <c r="F5887" s="3">
        <v>27.06</v>
      </c>
      <c r="G5887" s="3">
        <v>0.0</v>
      </c>
    </row>
    <row r="5888">
      <c r="A5888" s="3">
        <v>173398.0</v>
      </c>
      <c r="B5888" s="3" t="s">
        <v>5915</v>
      </c>
      <c r="C5888" s="3" t="s">
        <v>189</v>
      </c>
      <c r="D5888" s="3">
        <v>300.0</v>
      </c>
      <c r="E5888" s="3">
        <v>21.62</v>
      </c>
      <c r="F5888" s="3">
        <v>26.46</v>
      </c>
      <c r="G5888" s="3">
        <v>0.0</v>
      </c>
    </row>
    <row r="5889">
      <c r="A5889" s="3">
        <v>173399.0</v>
      </c>
      <c r="B5889" s="3" t="s">
        <v>5916</v>
      </c>
      <c r="C5889" s="3" t="s">
        <v>189</v>
      </c>
      <c r="D5889" s="3">
        <v>281.0</v>
      </c>
      <c r="E5889" s="3">
        <v>18.75</v>
      </c>
      <c r="F5889" s="3">
        <v>27.95</v>
      </c>
      <c r="G5889" s="3">
        <v>0.0</v>
      </c>
    </row>
    <row r="5890">
      <c r="A5890" s="3">
        <v>173400.0</v>
      </c>
      <c r="B5890" s="3" t="s">
        <v>5917</v>
      </c>
      <c r="C5890" s="3" t="s">
        <v>189</v>
      </c>
      <c r="D5890" s="3">
        <v>232.0</v>
      </c>
      <c r="E5890" s="3">
        <v>17.59</v>
      </c>
      <c r="F5890" s="3">
        <v>17.98</v>
      </c>
      <c r="G5890" s="3">
        <v>0.35</v>
      </c>
    </row>
    <row r="5891">
      <c r="A5891" s="3">
        <v>173401.0</v>
      </c>
      <c r="B5891" s="3" t="s">
        <v>5918</v>
      </c>
      <c r="C5891" s="3" t="s">
        <v>189</v>
      </c>
      <c r="D5891" s="3">
        <v>248.0</v>
      </c>
      <c r="E5891" s="3">
        <v>15.9</v>
      </c>
      <c r="F5891" s="3">
        <v>26.29</v>
      </c>
      <c r="G5891" s="3">
        <v>0.0</v>
      </c>
    </row>
    <row r="5892">
      <c r="A5892" s="3">
        <v>173402.0</v>
      </c>
      <c r="B5892" s="3" t="s">
        <v>5919</v>
      </c>
      <c r="C5892" s="3" t="s">
        <v>189</v>
      </c>
      <c r="D5892" s="3">
        <v>228.0</v>
      </c>
      <c r="E5892" s="3">
        <v>16.71</v>
      </c>
      <c r="F5892" s="3">
        <v>19.26</v>
      </c>
      <c r="G5892" s="3">
        <v>0.12</v>
      </c>
    </row>
    <row r="5893">
      <c r="A5893" s="3">
        <v>173403.0</v>
      </c>
      <c r="B5893" s="3" t="s">
        <v>5920</v>
      </c>
      <c r="C5893" s="3" t="s">
        <v>189</v>
      </c>
      <c r="D5893" s="3">
        <v>241.0</v>
      </c>
      <c r="E5893" s="3">
        <v>18.43</v>
      </c>
      <c r="F5893" s="3">
        <v>18.69</v>
      </c>
      <c r="G5893" s="3">
        <v>0.2</v>
      </c>
    </row>
    <row r="5894">
      <c r="A5894" s="3">
        <v>173404.0</v>
      </c>
      <c r="B5894" s="3" t="s">
        <v>5921</v>
      </c>
      <c r="C5894" s="3" t="s">
        <v>189</v>
      </c>
      <c r="D5894" s="3">
        <v>208.0</v>
      </c>
      <c r="E5894" s="3">
        <v>14.14</v>
      </c>
      <c r="F5894" s="3">
        <v>20.12</v>
      </c>
      <c r="G5894" s="3">
        <v>0.0</v>
      </c>
    </row>
    <row r="5895">
      <c r="A5895" s="3">
        <v>173405.0</v>
      </c>
      <c r="B5895" s="3" t="s">
        <v>5922</v>
      </c>
      <c r="C5895" s="3" t="s">
        <v>189</v>
      </c>
      <c r="D5895" s="3">
        <v>336.0</v>
      </c>
      <c r="E5895" s="3">
        <v>29.89</v>
      </c>
      <c r="F5895" s="3">
        <v>15.75</v>
      </c>
      <c r="G5895" s="3">
        <v>0.9</v>
      </c>
    </row>
    <row r="5896">
      <c r="A5896" s="3">
        <v>173406.0</v>
      </c>
      <c r="B5896" s="3" t="s">
        <v>5923</v>
      </c>
      <c r="C5896" s="3" t="s">
        <v>189</v>
      </c>
      <c r="D5896" s="3">
        <v>305.0</v>
      </c>
      <c r="E5896" s="3">
        <v>26.23</v>
      </c>
      <c r="F5896" s="3">
        <v>16.75</v>
      </c>
      <c r="G5896" s="3">
        <v>0.6</v>
      </c>
    </row>
    <row r="5897">
      <c r="A5897" s="3">
        <v>173407.0</v>
      </c>
      <c r="B5897" s="3" t="s">
        <v>5924</v>
      </c>
      <c r="C5897" s="3" t="s">
        <v>189</v>
      </c>
      <c r="D5897" s="3">
        <v>173.0</v>
      </c>
      <c r="E5897" s="3">
        <v>6.37</v>
      </c>
      <c r="F5897" s="3">
        <v>28.97</v>
      </c>
      <c r="G5897" s="3">
        <v>0.0</v>
      </c>
    </row>
    <row r="5898">
      <c r="A5898" s="3">
        <v>173408.0</v>
      </c>
      <c r="B5898" s="3" t="s">
        <v>5925</v>
      </c>
      <c r="C5898" s="3" t="s">
        <v>189</v>
      </c>
      <c r="D5898" s="3">
        <v>132.0</v>
      </c>
      <c r="E5898" s="3">
        <v>4.4</v>
      </c>
      <c r="F5898" s="3">
        <v>23.03</v>
      </c>
      <c r="G5898" s="3">
        <v>0.0</v>
      </c>
    </row>
    <row r="5899">
      <c r="A5899" s="3">
        <v>173409.0</v>
      </c>
      <c r="B5899" s="3" t="s">
        <v>5926</v>
      </c>
      <c r="C5899" s="3" t="s">
        <v>189</v>
      </c>
      <c r="D5899" s="3">
        <v>128.0</v>
      </c>
      <c r="E5899" s="3">
        <v>4.68</v>
      </c>
      <c r="F5899" s="3">
        <v>21.44</v>
      </c>
      <c r="G5899" s="3">
        <v>0.0</v>
      </c>
    </row>
    <row r="5900">
      <c r="A5900" s="3">
        <v>173410.0</v>
      </c>
      <c r="B5900" s="3" t="s">
        <v>5927</v>
      </c>
      <c r="C5900" s="3" t="s">
        <v>192</v>
      </c>
      <c r="D5900" s="3">
        <v>717.0</v>
      </c>
      <c r="E5900" s="3">
        <v>81.11</v>
      </c>
      <c r="F5900" s="3">
        <v>0.85</v>
      </c>
      <c r="G5900" s="3">
        <v>0.06</v>
      </c>
    </row>
    <row r="5901">
      <c r="A5901" s="3">
        <v>173411.0</v>
      </c>
      <c r="B5901" s="3" t="s">
        <v>5928</v>
      </c>
      <c r="C5901" s="3" t="s">
        <v>192</v>
      </c>
      <c r="D5901" s="3">
        <v>731.0</v>
      </c>
      <c r="E5901" s="3">
        <v>78.3</v>
      </c>
      <c r="F5901" s="3">
        <v>0.49</v>
      </c>
      <c r="G5901" s="3">
        <v>0.0</v>
      </c>
    </row>
    <row r="5902">
      <c r="A5902" s="3">
        <v>173412.0</v>
      </c>
      <c r="B5902" s="3" t="s">
        <v>5929</v>
      </c>
      <c r="C5902" s="3" t="s">
        <v>192</v>
      </c>
      <c r="D5902" s="3">
        <v>876.0</v>
      </c>
      <c r="E5902" s="3">
        <v>99.48</v>
      </c>
      <c r="F5902" s="3">
        <v>0.28</v>
      </c>
      <c r="G5902" s="3">
        <v>0.0</v>
      </c>
    </row>
    <row r="5903">
      <c r="A5903" s="3">
        <v>173413.0</v>
      </c>
      <c r="B5903" s="3" t="s">
        <v>5930</v>
      </c>
      <c r="C5903" s="3" t="s">
        <v>192</v>
      </c>
      <c r="D5903" s="3">
        <v>376.0</v>
      </c>
      <c r="E5903" s="3">
        <v>29.2</v>
      </c>
      <c r="F5903" s="3">
        <v>25.18</v>
      </c>
      <c r="G5903" s="3">
        <v>3.06</v>
      </c>
    </row>
    <row r="5904">
      <c r="A5904" s="3">
        <v>173414.0</v>
      </c>
      <c r="B5904" s="3" t="s">
        <v>5931</v>
      </c>
      <c r="C5904" s="3" t="s">
        <v>192</v>
      </c>
      <c r="D5904" s="3">
        <v>403.0</v>
      </c>
      <c r="E5904" s="3">
        <v>33.31</v>
      </c>
      <c r="F5904" s="3">
        <v>22.87</v>
      </c>
      <c r="G5904" s="3">
        <v>3.37</v>
      </c>
    </row>
    <row r="5905">
      <c r="A5905" s="3">
        <v>173415.0</v>
      </c>
      <c r="B5905" s="3" t="s">
        <v>5932</v>
      </c>
      <c r="C5905" s="3" t="s">
        <v>192</v>
      </c>
      <c r="D5905" s="3">
        <v>387.0</v>
      </c>
      <c r="E5905" s="3">
        <v>30.6</v>
      </c>
      <c r="F5905" s="3">
        <v>23.37</v>
      </c>
      <c r="G5905" s="3">
        <v>4.78</v>
      </c>
    </row>
    <row r="5906">
      <c r="A5906" s="3">
        <v>173416.0</v>
      </c>
      <c r="B5906" s="3" t="s">
        <v>5933</v>
      </c>
      <c r="C5906" s="3" t="s">
        <v>192</v>
      </c>
      <c r="D5906" s="3">
        <v>394.0</v>
      </c>
      <c r="E5906" s="3">
        <v>32.11</v>
      </c>
      <c r="F5906" s="3">
        <v>23.76</v>
      </c>
      <c r="G5906" s="3">
        <v>2.57</v>
      </c>
    </row>
    <row r="5907">
      <c r="A5907" s="3">
        <v>173417.0</v>
      </c>
      <c r="B5907" s="3" t="s">
        <v>5934</v>
      </c>
      <c r="C5907" s="3" t="s">
        <v>192</v>
      </c>
      <c r="D5907" s="3">
        <v>72.0</v>
      </c>
      <c r="E5907" s="3">
        <v>1.02</v>
      </c>
      <c r="F5907" s="3">
        <v>12.39</v>
      </c>
      <c r="G5907" s="3">
        <v>2.72</v>
      </c>
    </row>
    <row r="5908">
      <c r="A5908" s="3">
        <v>173418.0</v>
      </c>
      <c r="B5908" s="3" t="s">
        <v>5935</v>
      </c>
      <c r="C5908" s="3" t="s">
        <v>192</v>
      </c>
      <c r="D5908" s="3">
        <v>350.0</v>
      </c>
      <c r="E5908" s="3">
        <v>34.44</v>
      </c>
      <c r="F5908" s="3">
        <v>6.15</v>
      </c>
      <c r="G5908" s="3">
        <v>5.52</v>
      </c>
    </row>
    <row r="5909">
      <c r="A5909" s="3">
        <v>173419.0</v>
      </c>
      <c r="B5909" s="3" t="s">
        <v>5936</v>
      </c>
      <c r="C5909" s="3" t="s">
        <v>192</v>
      </c>
      <c r="D5909" s="3">
        <v>357.0</v>
      </c>
      <c r="E5909" s="3">
        <v>28.57</v>
      </c>
      <c r="F5909" s="3">
        <v>24.99</v>
      </c>
      <c r="G5909" s="3">
        <v>1.43</v>
      </c>
    </row>
    <row r="5910">
      <c r="A5910" s="3">
        <v>173420.0</v>
      </c>
      <c r="B5910" s="3" t="s">
        <v>5937</v>
      </c>
      <c r="C5910" s="3" t="s">
        <v>192</v>
      </c>
      <c r="D5910" s="3">
        <v>265.0</v>
      </c>
      <c r="E5910" s="3">
        <v>21.49</v>
      </c>
      <c r="F5910" s="3">
        <v>14.21</v>
      </c>
      <c r="G5910" s="3">
        <v>3.88</v>
      </c>
    </row>
    <row r="5911">
      <c r="A5911" s="3">
        <v>173421.0</v>
      </c>
      <c r="B5911" s="3" t="s">
        <v>5938</v>
      </c>
      <c r="C5911" s="3" t="s">
        <v>192</v>
      </c>
      <c r="D5911" s="3">
        <v>296.0</v>
      </c>
      <c r="E5911" s="3">
        <v>25.6</v>
      </c>
      <c r="F5911" s="3">
        <v>15.53</v>
      </c>
      <c r="G5911" s="3">
        <v>0.81</v>
      </c>
    </row>
    <row r="5912">
      <c r="A5912" s="3">
        <v>173422.0</v>
      </c>
      <c r="B5912" s="3" t="s">
        <v>5939</v>
      </c>
      <c r="C5912" s="3" t="s">
        <v>192</v>
      </c>
      <c r="D5912" s="3">
        <v>307.0</v>
      </c>
      <c r="E5912" s="3">
        <v>22.82</v>
      </c>
      <c r="F5912" s="3">
        <v>13.87</v>
      </c>
      <c r="G5912" s="3">
        <v>10.95</v>
      </c>
    </row>
    <row r="5913">
      <c r="A5913" s="3">
        <v>173423.0</v>
      </c>
      <c r="B5913" s="3" t="s">
        <v>5940</v>
      </c>
      <c r="C5913" s="3" t="s">
        <v>192</v>
      </c>
      <c r="D5913" s="3">
        <v>196.0</v>
      </c>
      <c r="E5913" s="3">
        <v>14.84</v>
      </c>
      <c r="F5913" s="3">
        <v>13.61</v>
      </c>
      <c r="G5913" s="3">
        <v>0.83</v>
      </c>
    </row>
    <row r="5914">
      <c r="A5914" s="3">
        <v>173424.0</v>
      </c>
      <c r="B5914" s="3" t="s">
        <v>5941</v>
      </c>
      <c r="C5914" s="3" t="s">
        <v>192</v>
      </c>
      <c r="D5914" s="3">
        <v>155.0</v>
      </c>
      <c r="E5914" s="3">
        <v>10.61</v>
      </c>
      <c r="F5914" s="3">
        <v>12.58</v>
      </c>
      <c r="G5914" s="3">
        <v>1.12</v>
      </c>
    </row>
    <row r="5915">
      <c r="A5915" s="3">
        <v>173425.0</v>
      </c>
      <c r="B5915" s="3" t="s">
        <v>5942</v>
      </c>
      <c r="C5915" s="3" t="s">
        <v>192</v>
      </c>
      <c r="D5915" s="3">
        <v>615.0</v>
      </c>
      <c r="E5915" s="3">
        <v>43.95</v>
      </c>
      <c r="F5915" s="3">
        <v>48.17</v>
      </c>
      <c r="G5915" s="3">
        <v>2.38</v>
      </c>
    </row>
    <row r="5916">
      <c r="A5916" s="3">
        <v>173426.0</v>
      </c>
      <c r="B5916" s="3" t="s">
        <v>5943</v>
      </c>
      <c r="C5916" s="3" t="s">
        <v>192</v>
      </c>
      <c r="D5916" s="3">
        <v>351.0</v>
      </c>
      <c r="E5916" s="3">
        <v>0.04</v>
      </c>
      <c r="F5916" s="3">
        <v>76.92</v>
      </c>
      <c r="G5916" s="3">
        <v>4.17</v>
      </c>
    </row>
    <row r="5917">
      <c r="A5917" s="3">
        <v>173427.0</v>
      </c>
      <c r="B5917" s="3" t="s">
        <v>5944</v>
      </c>
      <c r="C5917" s="3" t="s">
        <v>192</v>
      </c>
      <c r="D5917" s="3">
        <v>376.0</v>
      </c>
      <c r="E5917" s="3">
        <v>0.04</v>
      </c>
      <c r="F5917" s="3">
        <v>82.4</v>
      </c>
      <c r="G5917" s="3">
        <v>4.47</v>
      </c>
    </row>
    <row r="5918">
      <c r="A5918" s="3">
        <v>173428.0</v>
      </c>
      <c r="B5918" s="3" t="s">
        <v>5945</v>
      </c>
      <c r="C5918" s="3" t="s">
        <v>192</v>
      </c>
      <c r="D5918" s="3">
        <v>669.0</v>
      </c>
      <c r="E5918" s="3">
        <v>59.13</v>
      </c>
      <c r="F5918" s="3">
        <v>33.63</v>
      </c>
      <c r="G5918" s="3">
        <v>0.66</v>
      </c>
    </row>
    <row r="5919">
      <c r="A5919" s="3">
        <v>173429.0</v>
      </c>
      <c r="B5919" s="3" t="s">
        <v>5946</v>
      </c>
      <c r="C5919" s="3" t="s">
        <v>192</v>
      </c>
      <c r="D5919" s="3">
        <v>444.0</v>
      </c>
      <c r="E5919" s="3">
        <v>13.0</v>
      </c>
      <c r="F5919" s="3">
        <v>55.5</v>
      </c>
      <c r="G5919" s="3">
        <v>21.8</v>
      </c>
    </row>
    <row r="5920">
      <c r="A5920" s="3">
        <v>173430.0</v>
      </c>
      <c r="B5920" s="3" t="s">
        <v>5947</v>
      </c>
      <c r="C5920" s="3" t="s">
        <v>192</v>
      </c>
      <c r="D5920" s="3">
        <v>717.0</v>
      </c>
      <c r="E5920" s="3">
        <v>81.11</v>
      </c>
      <c r="F5920" s="3">
        <v>0.85</v>
      </c>
      <c r="G5920" s="3">
        <v>0.06</v>
      </c>
    </row>
    <row r="5921">
      <c r="A5921" s="3">
        <v>173431.0</v>
      </c>
      <c r="B5921" s="3" t="s">
        <v>5948</v>
      </c>
      <c r="C5921" s="3" t="s">
        <v>192</v>
      </c>
      <c r="D5921" s="3">
        <v>415.0</v>
      </c>
      <c r="E5921" s="3">
        <v>27.34</v>
      </c>
      <c r="F5921" s="3">
        <v>37.86</v>
      </c>
      <c r="G5921" s="3">
        <v>3.41</v>
      </c>
    </row>
    <row r="5922">
      <c r="A5922" s="3">
        <v>173432.0</v>
      </c>
      <c r="B5922" s="3" t="s">
        <v>5949</v>
      </c>
      <c r="C5922" s="3" t="s">
        <v>192</v>
      </c>
      <c r="D5922" s="3">
        <v>35.0</v>
      </c>
      <c r="E5922" s="3">
        <v>0.18</v>
      </c>
      <c r="F5922" s="3">
        <v>3.37</v>
      </c>
      <c r="G5922" s="3">
        <v>4.86</v>
      </c>
    </row>
    <row r="5923">
      <c r="A5923" s="3">
        <v>173433.0</v>
      </c>
      <c r="B5923" s="3" t="s">
        <v>5950</v>
      </c>
      <c r="C5923" s="3" t="s">
        <v>192</v>
      </c>
      <c r="D5923" s="3">
        <v>364.0</v>
      </c>
      <c r="E5923" s="3">
        <v>29.84</v>
      </c>
      <c r="F5923" s="3">
        <v>21.58</v>
      </c>
      <c r="G5923" s="3">
        <v>0.12</v>
      </c>
    </row>
    <row r="5924">
      <c r="A5924" s="3">
        <v>173434.0</v>
      </c>
      <c r="B5924" s="3" t="s">
        <v>5951</v>
      </c>
      <c r="C5924" s="3" t="s">
        <v>318</v>
      </c>
      <c r="D5924" s="3">
        <v>92.0</v>
      </c>
      <c r="E5924" s="3">
        <v>1.47</v>
      </c>
      <c r="F5924" s="3">
        <v>7.75</v>
      </c>
      <c r="G5924" s="3">
        <v>11.91</v>
      </c>
    </row>
    <row r="5925">
      <c r="A5925" s="3">
        <v>173435.0</v>
      </c>
      <c r="B5925" s="3" t="s">
        <v>5952</v>
      </c>
      <c r="C5925" s="3" t="s">
        <v>192</v>
      </c>
      <c r="D5925" s="3">
        <v>264.0</v>
      </c>
      <c r="E5925" s="3">
        <v>21.08</v>
      </c>
      <c r="F5925" s="3">
        <v>18.52</v>
      </c>
      <c r="G5925" s="3">
        <v>0.0</v>
      </c>
    </row>
    <row r="5926">
      <c r="A5926" s="3">
        <v>173436.0</v>
      </c>
      <c r="B5926" s="3" t="s">
        <v>5953</v>
      </c>
      <c r="C5926" s="3" t="s">
        <v>192</v>
      </c>
      <c r="D5926" s="3">
        <v>275.0</v>
      </c>
      <c r="E5926" s="3">
        <v>22.93</v>
      </c>
      <c r="F5926" s="3">
        <v>14.07</v>
      </c>
      <c r="G5926" s="3">
        <v>1.77</v>
      </c>
    </row>
    <row r="5927">
      <c r="A5927" s="3">
        <v>173437.0</v>
      </c>
      <c r="B5927" s="3" t="s">
        <v>5954</v>
      </c>
      <c r="C5927" s="3" t="s">
        <v>192</v>
      </c>
      <c r="D5927" s="3">
        <v>356.0</v>
      </c>
      <c r="E5927" s="3">
        <v>25.0</v>
      </c>
      <c r="F5927" s="3">
        <v>22.6</v>
      </c>
      <c r="G5927" s="3">
        <v>4.13</v>
      </c>
    </row>
    <row r="5928">
      <c r="A5928" s="3">
        <v>173438.0</v>
      </c>
      <c r="B5928" s="3" t="s">
        <v>5955</v>
      </c>
      <c r="C5928" s="3" t="s">
        <v>192</v>
      </c>
      <c r="D5928" s="3">
        <v>374.0</v>
      </c>
      <c r="E5928" s="3">
        <v>29.68</v>
      </c>
      <c r="F5928" s="3">
        <v>21.56</v>
      </c>
      <c r="G5928" s="3">
        <v>5.56</v>
      </c>
    </row>
    <row r="5929">
      <c r="A5929" s="3">
        <v>173439.0</v>
      </c>
      <c r="B5929" s="3" t="s">
        <v>5956</v>
      </c>
      <c r="C5929" s="3" t="s">
        <v>192</v>
      </c>
      <c r="D5929" s="3">
        <v>173.0</v>
      </c>
      <c r="E5929" s="3">
        <v>7.0</v>
      </c>
      <c r="F5929" s="3">
        <v>24.35</v>
      </c>
      <c r="G5929" s="3">
        <v>1.91</v>
      </c>
    </row>
    <row r="5930">
      <c r="A5930" s="3">
        <v>173440.0</v>
      </c>
      <c r="B5930" s="3" t="s">
        <v>5957</v>
      </c>
      <c r="C5930" s="3" t="s">
        <v>192</v>
      </c>
      <c r="D5930" s="3">
        <v>398.0</v>
      </c>
      <c r="E5930" s="3">
        <v>32.62</v>
      </c>
      <c r="F5930" s="3">
        <v>24.35</v>
      </c>
      <c r="G5930" s="3">
        <v>1.91</v>
      </c>
    </row>
    <row r="5931">
      <c r="A5931" s="3">
        <v>173441.0</v>
      </c>
      <c r="B5931" s="3" t="s">
        <v>5958</v>
      </c>
      <c r="C5931" s="3" t="s">
        <v>192</v>
      </c>
      <c r="D5931" s="3">
        <v>42.0</v>
      </c>
      <c r="E5931" s="3">
        <v>0.97</v>
      </c>
      <c r="F5931" s="3">
        <v>3.37</v>
      </c>
      <c r="G5931" s="3">
        <v>4.99</v>
      </c>
    </row>
    <row r="5932">
      <c r="A5932" s="3">
        <v>173442.0</v>
      </c>
      <c r="B5932" s="3" t="s">
        <v>5959</v>
      </c>
      <c r="C5932" s="3" t="s">
        <v>192</v>
      </c>
      <c r="D5932" s="3">
        <v>181.0</v>
      </c>
      <c r="E5932" s="3">
        <v>14.1</v>
      </c>
      <c r="F5932" s="3">
        <v>7.0</v>
      </c>
      <c r="G5932" s="3">
        <v>7.0</v>
      </c>
    </row>
    <row r="5933">
      <c r="A5933" s="3">
        <v>173443.0</v>
      </c>
      <c r="B5933" s="3" t="s">
        <v>5960</v>
      </c>
      <c r="C5933" s="3" t="s">
        <v>192</v>
      </c>
      <c r="D5933" s="3">
        <v>136.0</v>
      </c>
      <c r="E5933" s="3">
        <v>10.6</v>
      </c>
      <c r="F5933" s="3">
        <v>3.5</v>
      </c>
      <c r="G5933" s="3">
        <v>7.1</v>
      </c>
    </row>
    <row r="5934">
      <c r="A5934" s="3">
        <v>173444.0</v>
      </c>
      <c r="B5934" s="3" t="s">
        <v>5961</v>
      </c>
      <c r="C5934" s="3" t="s">
        <v>192</v>
      </c>
      <c r="D5934" s="3">
        <v>74.0</v>
      </c>
      <c r="E5934" s="3">
        <v>0.0</v>
      </c>
      <c r="F5934" s="3">
        <v>3.1</v>
      </c>
      <c r="G5934" s="3">
        <v>15.6</v>
      </c>
    </row>
    <row r="5935">
      <c r="A5935" s="3">
        <v>173445.0</v>
      </c>
      <c r="B5935" s="3" t="s">
        <v>5962</v>
      </c>
      <c r="C5935" s="3" t="s">
        <v>192</v>
      </c>
      <c r="D5935" s="3">
        <v>43.0</v>
      </c>
      <c r="E5935" s="3">
        <v>0.18</v>
      </c>
      <c r="F5935" s="3">
        <v>3.86</v>
      </c>
      <c r="G5935" s="3">
        <v>7.5</v>
      </c>
    </row>
    <row r="5936">
      <c r="A5936" s="3">
        <v>173446.0</v>
      </c>
      <c r="B5936" s="3" t="s">
        <v>5963</v>
      </c>
      <c r="C5936" s="3" t="s">
        <v>192</v>
      </c>
      <c r="D5936" s="3">
        <v>215.0</v>
      </c>
      <c r="E5936" s="3">
        <v>9.5</v>
      </c>
      <c r="F5936" s="3">
        <v>16.3</v>
      </c>
      <c r="G5936" s="3">
        <v>16.2</v>
      </c>
    </row>
    <row r="5937">
      <c r="A5937" s="3">
        <v>173447.0</v>
      </c>
      <c r="B5937" s="3" t="s">
        <v>5964</v>
      </c>
      <c r="C5937" s="3" t="s">
        <v>192</v>
      </c>
      <c r="D5937" s="3">
        <v>148.0</v>
      </c>
      <c r="E5937" s="3">
        <v>1.0</v>
      </c>
      <c r="F5937" s="3">
        <v>22.7</v>
      </c>
      <c r="G5937" s="3">
        <v>11.7</v>
      </c>
    </row>
    <row r="5938">
      <c r="A5938" s="3">
        <v>173448.0</v>
      </c>
      <c r="B5938" s="3" t="s">
        <v>5965</v>
      </c>
      <c r="C5938" s="3" t="s">
        <v>192</v>
      </c>
      <c r="D5938" s="3">
        <v>303.0</v>
      </c>
      <c r="E5938" s="3">
        <v>22.0</v>
      </c>
      <c r="F5938" s="3">
        <v>16.3</v>
      </c>
      <c r="G5938" s="3">
        <v>9.8</v>
      </c>
    </row>
    <row r="5939">
      <c r="A5939" s="3">
        <v>173449.0</v>
      </c>
      <c r="B5939" s="3" t="s">
        <v>5966</v>
      </c>
      <c r="C5939" s="3" t="s">
        <v>192</v>
      </c>
      <c r="D5939" s="3">
        <v>222.0</v>
      </c>
      <c r="E5939" s="3">
        <v>10.6</v>
      </c>
      <c r="F5939" s="3">
        <v>19.6</v>
      </c>
      <c r="G5939" s="3">
        <v>11.8</v>
      </c>
    </row>
    <row r="5940">
      <c r="A5940" s="3">
        <v>173450.0</v>
      </c>
      <c r="B5940" s="3" t="s">
        <v>5967</v>
      </c>
      <c r="C5940" s="3" t="s">
        <v>192</v>
      </c>
      <c r="D5940" s="3">
        <v>78.0</v>
      </c>
      <c r="E5940" s="3">
        <v>1.9</v>
      </c>
      <c r="F5940" s="3">
        <v>2.99</v>
      </c>
      <c r="G5940" s="3">
        <v>12.13</v>
      </c>
    </row>
    <row r="5941">
      <c r="A5941" s="3">
        <v>173451.0</v>
      </c>
      <c r="B5941" s="3" t="s">
        <v>5968</v>
      </c>
      <c r="C5941" s="3" t="s">
        <v>192</v>
      </c>
      <c r="D5941" s="3">
        <v>105.0</v>
      </c>
      <c r="E5941" s="3">
        <v>1.41</v>
      </c>
      <c r="F5941" s="3">
        <v>4.86</v>
      </c>
      <c r="G5941" s="3">
        <v>18.6</v>
      </c>
    </row>
    <row r="5942">
      <c r="A5942" s="3">
        <v>173452.0</v>
      </c>
      <c r="B5942" s="3" t="s">
        <v>5969</v>
      </c>
      <c r="C5942" s="3" t="s">
        <v>192</v>
      </c>
      <c r="D5942" s="3">
        <v>265.0</v>
      </c>
      <c r="E5942" s="3">
        <v>20.0</v>
      </c>
      <c r="F5942" s="3">
        <v>20.0</v>
      </c>
      <c r="G5942" s="3">
        <v>1.37</v>
      </c>
    </row>
    <row r="5943">
      <c r="A5943" s="3">
        <v>173453.0</v>
      </c>
      <c r="B5943" s="3" t="s">
        <v>5970</v>
      </c>
      <c r="C5943" s="3" t="s">
        <v>192</v>
      </c>
      <c r="D5943" s="3">
        <v>251.0</v>
      </c>
      <c r="E5943" s="3">
        <v>13.5</v>
      </c>
      <c r="F5943" s="3">
        <v>0.69</v>
      </c>
      <c r="G5943" s="3">
        <v>35.07</v>
      </c>
    </row>
    <row r="5944">
      <c r="A5944" s="3">
        <v>173454.0</v>
      </c>
      <c r="B5944" s="3" t="s">
        <v>5971</v>
      </c>
      <c r="C5944" s="3" t="s">
        <v>192</v>
      </c>
      <c r="D5944" s="3">
        <v>496.0</v>
      </c>
      <c r="E5944" s="3">
        <v>26.71</v>
      </c>
      <c r="F5944" s="3">
        <v>26.32</v>
      </c>
      <c r="G5944" s="3">
        <v>38.42</v>
      </c>
    </row>
    <row r="5945">
      <c r="A5945" s="3">
        <v>173455.0</v>
      </c>
      <c r="B5945" s="3" t="s">
        <v>5972</v>
      </c>
      <c r="C5945" s="3" t="s">
        <v>192</v>
      </c>
      <c r="D5945" s="3">
        <v>240.0</v>
      </c>
      <c r="E5945" s="3">
        <v>14.1</v>
      </c>
      <c r="F5945" s="3">
        <v>17.6</v>
      </c>
      <c r="G5945" s="3">
        <v>10.6</v>
      </c>
    </row>
    <row r="5946">
      <c r="A5946" s="3">
        <v>173456.0</v>
      </c>
      <c r="B5946" s="3" t="s">
        <v>5973</v>
      </c>
      <c r="C5946" s="3" t="s">
        <v>192</v>
      </c>
      <c r="D5946" s="3">
        <v>99.0</v>
      </c>
      <c r="E5946" s="3">
        <v>1.15</v>
      </c>
      <c r="F5946" s="3">
        <v>3.98</v>
      </c>
      <c r="G5946" s="3">
        <v>18.64</v>
      </c>
    </row>
    <row r="5947">
      <c r="A5947" s="3">
        <v>173457.0</v>
      </c>
      <c r="B5947" s="3" t="s">
        <v>5974</v>
      </c>
      <c r="C5947" s="3" t="s">
        <v>192</v>
      </c>
      <c r="D5947" s="3">
        <v>102.0</v>
      </c>
      <c r="E5947" s="3">
        <v>1.08</v>
      </c>
      <c r="F5947" s="3">
        <v>4.37</v>
      </c>
      <c r="G5947" s="3">
        <v>19.05</v>
      </c>
    </row>
    <row r="5948">
      <c r="A5948" s="3">
        <v>173458.0</v>
      </c>
      <c r="B5948" s="3" t="s">
        <v>5975</v>
      </c>
      <c r="C5948" s="3" t="s">
        <v>192</v>
      </c>
      <c r="D5948" s="3">
        <v>95.0</v>
      </c>
      <c r="E5948" s="3">
        <v>0.2</v>
      </c>
      <c r="F5948" s="3">
        <v>4.4</v>
      </c>
      <c r="G5948" s="3">
        <v>19.0</v>
      </c>
    </row>
    <row r="5949">
      <c r="A5949" s="3">
        <v>173459.0</v>
      </c>
      <c r="B5949" s="3" t="s">
        <v>5976</v>
      </c>
      <c r="C5949" s="3" t="s">
        <v>192</v>
      </c>
      <c r="D5949" s="3">
        <v>411.0</v>
      </c>
      <c r="E5949" s="3">
        <v>17.14</v>
      </c>
      <c r="F5949" s="3">
        <v>45.71</v>
      </c>
      <c r="G5949" s="3">
        <v>18.5</v>
      </c>
    </row>
    <row r="5950">
      <c r="A5950" s="3">
        <v>173460.0</v>
      </c>
      <c r="B5950" s="3" t="s">
        <v>5977</v>
      </c>
      <c r="C5950" s="3" t="s">
        <v>192</v>
      </c>
      <c r="D5950" s="3">
        <v>396.0</v>
      </c>
      <c r="E5950" s="3">
        <v>12.0</v>
      </c>
      <c r="F5950" s="3">
        <v>50.0</v>
      </c>
      <c r="G5950" s="3">
        <v>22.0</v>
      </c>
    </row>
    <row r="5951">
      <c r="A5951" s="3">
        <v>173461.0</v>
      </c>
      <c r="B5951" s="3" t="s">
        <v>5978</v>
      </c>
      <c r="C5951" s="3" t="s">
        <v>192</v>
      </c>
      <c r="D5951" s="3">
        <v>315.0</v>
      </c>
      <c r="E5951" s="3">
        <v>7.35</v>
      </c>
      <c r="F5951" s="3">
        <v>6.84</v>
      </c>
      <c r="G5951" s="3">
        <v>55.35</v>
      </c>
    </row>
    <row r="5952">
      <c r="A5952" s="3">
        <v>173462.0</v>
      </c>
      <c r="B5952" s="3" t="s">
        <v>5979</v>
      </c>
      <c r="C5952" s="3" t="s">
        <v>192</v>
      </c>
      <c r="D5952" s="3">
        <v>48.0</v>
      </c>
      <c r="E5952" s="3">
        <v>0.0</v>
      </c>
      <c r="F5952" s="3">
        <v>10.0</v>
      </c>
      <c r="G5952" s="3">
        <v>2.0</v>
      </c>
    </row>
    <row r="5953">
      <c r="A5953" s="3">
        <v>173463.0</v>
      </c>
      <c r="B5953" s="3" t="s">
        <v>5980</v>
      </c>
      <c r="C5953" s="3" t="s">
        <v>192</v>
      </c>
      <c r="D5953" s="3">
        <v>86.0</v>
      </c>
      <c r="E5953" s="3">
        <v>1.25</v>
      </c>
      <c r="F5953" s="3">
        <v>4.93</v>
      </c>
      <c r="G5953" s="3">
        <v>13.8</v>
      </c>
    </row>
    <row r="5954">
      <c r="A5954" s="3">
        <v>173464.0</v>
      </c>
      <c r="B5954" s="3" t="s">
        <v>5981</v>
      </c>
      <c r="C5954" s="3" t="s">
        <v>192</v>
      </c>
      <c r="D5954" s="3">
        <v>104.0</v>
      </c>
      <c r="E5954" s="3">
        <v>0.8</v>
      </c>
      <c r="F5954" s="3">
        <v>4.4</v>
      </c>
      <c r="G5954" s="3">
        <v>19.7</v>
      </c>
    </row>
    <row r="5955">
      <c r="A5955" s="3">
        <v>173465.0</v>
      </c>
      <c r="B5955" s="3" t="s">
        <v>5982</v>
      </c>
      <c r="C5955" s="3" t="s">
        <v>192</v>
      </c>
      <c r="D5955" s="3">
        <v>222.0</v>
      </c>
      <c r="E5955" s="3">
        <v>13.0</v>
      </c>
      <c r="F5955" s="3">
        <v>4.1</v>
      </c>
      <c r="G5955" s="3">
        <v>22.2</v>
      </c>
    </row>
    <row r="5956">
      <c r="A5956" s="3">
        <v>173466.0</v>
      </c>
      <c r="B5956" s="3" t="s">
        <v>5983</v>
      </c>
      <c r="C5956" s="3" t="s">
        <v>192</v>
      </c>
      <c r="D5956" s="3">
        <v>331.0</v>
      </c>
      <c r="E5956" s="3">
        <v>24.1</v>
      </c>
      <c r="F5956" s="3">
        <v>4.1</v>
      </c>
      <c r="G5956" s="3">
        <v>24.5</v>
      </c>
    </row>
    <row r="5957">
      <c r="A5957" s="3">
        <v>173467.0</v>
      </c>
      <c r="B5957" s="3" t="s">
        <v>5984</v>
      </c>
      <c r="C5957" s="3" t="s">
        <v>192</v>
      </c>
      <c r="D5957" s="3">
        <v>133.0</v>
      </c>
      <c r="E5957" s="3">
        <v>0.0</v>
      </c>
      <c r="F5957" s="3">
        <v>4.41</v>
      </c>
      <c r="G5957" s="3">
        <v>28.86</v>
      </c>
    </row>
    <row r="5958">
      <c r="A5958" s="3">
        <v>173468.0</v>
      </c>
      <c r="B5958" s="3" t="s">
        <v>5985</v>
      </c>
      <c r="C5958" s="3" t="s">
        <v>3434</v>
      </c>
      <c r="D5958" s="3">
        <v>0.0</v>
      </c>
      <c r="E5958" s="3">
        <v>0.0</v>
      </c>
      <c r="F5958" s="3">
        <v>0.0</v>
      </c>
      <c r="G5958" s="3">
        <v>0.0</v>
      </c>
    </row>
    <row r="5959">
      <c r="A5959" s="3">
        <v>173469.0</v>
      </c>
      <c r="B5959" s="3" t="s">
        <v>5986</v>
      </c>
      <c r="C5959" s="3" t="s">
        <v>3434</v>
      </c>
      <c r="D5959" s="3">
        <v>21.0</v>
      </c>
      <c r="E5959" s="3">
        <v>0.0</v>
      </c>
      <c r="F5959" s="3">
        <v>0.0</v>
      </c>
      <c r="G5959" s="3">
        <v>0.93</v>
      </c>
    </row>
    <row r="5960">
      <c r="A5960" s="3">
        <v>173470.0</v>
      </c>
      <c r="B5960" s="3" t="s">
        <v>5987</v>
      </c>
      <c r="C5960" s="3" t="s">
        <v>3434</v>
      </c>
      <c r="D5960" s="3">
        <v>101.0</v>
      </c>
      <c r="E5960" s="3">
        <v>1.68</v>
      </c>
      <c r="F5960" s="3">
        <v>5.56</v>
      </c>
      <c r="G5960" s="3">
        <v>24.45</v>
      </c>
    </row>
    <row r="5961">
      <c r="A5961" s="3">
        <v>173471.0</v>
      </c>
      <c r="B5961" s="3" t="s">
        <v>5988</v>
      </c>
      <c r="C5961" s="3" t="s">
        <v>3434</v>
      </c>
      <c r="D5961" s="3">
        <v>288.0</v>
      </c>
      <c r="E5961" s="3">
        <v>0.06</v>
      </c>
      <c r="F5961" s="3">
        <v>0.06</v>
      </c>
      <c r="G5961" s="3">
        <v>12.65</v>
      </c>
    </row>
    <row r="5962">
      <c r="A5962" s="3">
        <v>173472.0</v>
      </c>
      <c r="B5962" s="3" t="s">
        <v>5989</v>
      </c>
      <c r="C5962" s="3" t="s">
        <v>3434</v>
      </c>
      <c r="D5962" s="3">
        <v>48.0</v>
      </c>
      <c r="E5962" s="3">
        <v>0.69</v>
      </c>
      <c r="F5962" s="3">
        <v>1.18</v>
      </c>
      <c r="G5962" s="3">
        <v>11.29</v>
      </c>
    </row>
    <row r="5963">
      <c r="A5963" s="3">
        <v>173473.0</v>
      </c>
      <c r="B5963" s="3" t="s">
        <v>5990</v>
      </c>
      <c r="C5963" s="3" t="s">
        <v>3434</v>
      </c>
      <c r="D5963" s="3">
        <v>131.0</v>
      </c>
      <c r="E5963" s="3">
        <v>5.86</v>
      </c>
      <c r="F5963" s="3">
        <v>3.31</v>
      </c>
      <c r="G5963" s="3">
        <v>20.7</v>
      </c>
    </row>
    <row r="5964">
      <c r="A5964" s="3">
        <v>173474.0</v>
      </c>
      <c r="B5964" s="3" t="s">
        <v>5991</v>
      </c>
      <c r="C5964" s="3" t="s">
        <v>3434</v>
      </c>
      <c r="D5964" s="3">
        <v>70.0</v>
      </c>
      <c r="E5964" s="3">
        <v>0.94</v>
      </c>
      <c r="F5964" s="3">
        <v>3.75</v>
      </c>
      <c r="G5964" s="3">
        <v>14.89</v>
      </c>
    </row>
    <row r="5965">
      <c r="A5965" s="3">
        <v>173475.0</v>
      </c>
      <c r="B5965" s="3" t="s">
        <v>5992</v>
      </c>
      <c r="C5965" s="3" t="s">
        <v>3434</v>
      </c>
      <c r="D5965" s="3">
        <v>44.0</v>
      </c>
      <c r="E5965" s="3">
        <v>0.73</v>
      </c>
      <c r="F5965" s="3">
        <v>3.29</v>
      </c>
      <c r="G5965" s="3">
        <v>8.41</v>
      </c>
    </row>
    <row r="5966">
      <c r="A5966" s="3">
        <v>173476.0</v>
      </c>
      <c r="B5966" s="3" t="s">
        <v>5993</v>
      </c>
      <c r="C5966" s="3" t="s">
        <v>3434</v>
      </c>
      <c r="D5966" s="3">
        <v>335.0</v>
      </c>
      <c r="E5966" s="3">
        <v>7.3</v>
      </c>
      <c r="F5966" s="3">
        <v>10.82</v>
      </c>
      <c r="G5966" s="3">
        <v>56.56</v>
      </c>
    </row>
    <row r="5967">
      <c r="A5967" s="3">
        <v>173477.0</v>
      </c>
      <c r="B5967" s="3" t="s">
        <v>5994</v>
      </c>
      <c r="C5967" s="3" t="s">
        <v>196</v>
      </c>
      <c r="D5967" s="3">
        <v>416.0</v>
      </c>
      <c r="E5967" s="3">
        <v>9.72</v>
      </c>
      <c r="F5967" s="3">
        <v>5.55</v>
      </c>
      <c r="G5967" s="3">
        <v>74.72</v>
      </c>
    </row>
    <row r="5968">
      <c r="A5968" s="3">
        <v>173478.0</v>
      </c>
      <c r="B5968" s="3" t="s">
        <v>5995</v>
      </c>
      <c r="C5968" s="3" t="s">
        <v>196</v>
      </c>
      <c r="D5968" s="3">
        <v>347.0</v>
      </c>
      <c r="E5968" s="3">
        <v>0.02</v>
      </c>
      <c r="F5968" s="3">
        <v>0.0</v>
      </c>
      <c r="G5968" s="3">
        <v>86.68</v>
      </c>
    </row>
    <row r="5969">
      <c r="A5969" s="3">
        <v>173479.0</v>
      </c>
      <c r="B5969" s="3" t="s">
        <v>5996</v>
      </c>
      <c r="C5969" s="3" t="s">
        <v>196</v>
      </c>
      <c r="D5969" s="3">
        <v>81.0</v>
      </c>
      <c r="E5969" s="3">
        <v>2.52</v>
      </c>
      <c r="F5969" s="3">
        <v>12.03</v>
      </c>
      <c r="G5969" s="3">
        <v>2.43</v>
      </c>
    </row>
    <row r="5970">
      <c r="A5970" s="3">
        <v>173480.0</v>
      </c>
      <c r="B5970" s="3" t="s">
        <v>5997</v>
      </c>
      <c r="C5970" s="3" t="s">
        <v>196</v>
      </c>
      <c r="D5970" s="3">
        <v>97.0</v>
      </c>
      <c r="E5970" s="3">
        <v>3.8</v>
      </c>
      <c r="F5970" s="3">
        <v>11.3</v>
      </c>
      <c r="G5970" s="3">
        <v>3.7</v>
      </c>
    </row>
    <row r="5971">
      <c r="A5971" s="3">
        <v>173481.0</v>
      </c>
      <c r="B5971" s="3" t="s">
        <v>5998</v>
      </c>
      <c r="C5971" s="3" t="s">
        <v>196</v>
      </c>
      <c r="D5971" s="3">
        <v>94.0</v>
      </c>
      <c r="E5971" s="3">
        <v>3.41</v>
      </c>
      <c r="F5971" s="3">
        <v>14.07</v>
      </c>
      <c r="G5971" s="3">
        <v>0.85</v>
      </c>
    </row>
    <row r="5972">
      <c r="A5972" s="3">
        <v>173482.0</v>
      </c>
      <c r="B5972" s="3" t="s">
        <v>5999</v>
      </c>
      <c r="C5972" s="3" t="s">
        <v>196</v>
      </c>
      <c r="D5972" s="3">
        <v>112.0</v>
      </c>
      <c r="E5972" s="3">
        <v>5.2</v>
      </c>
      <c r="F5972" s="3">
        <v>15.2</v>
      </c>
      <c r="G5972" s="3">
        <v>0.0</v>
      </c>
    </row>
    <row r="5973">
      <c r="A5973" s="3">
        <v>173483.0</v>
      </c>
      <c r="B5973" s="3" t="s">
        <v>6000</v>
      </c>
      <c r="C5973" s="3" t="s">
        <v>196</v>
      </c>
      <c r="D5973" s="3">
        <v>130.0</v>
      </c>
      <c r="E5973" s="3">
        <v>7.9</v>
      </c>
      <c r="F5973" s="3">
        <v>13.7</v>
      </c>
      <c r="G5973" s="3">
        <v>0.1</v>
      </c>
    </row>
    <row r="5974">
      <c r="A5974" s="3">
        <v>173484.0</v>
      </c>
      <c r="B5974" s="3" t="s">
        <v>6001</v>
      </c>
      <c r="C5974" s="3" t="s">
        <v>196</v>
      </c>
      <c r="D5974" s="3">
        <v>188.0</v>
      </c>
      <c r="E5974" s="3">
        <v>14.2</v>
      </c>
      <c r="F5974" s="3">
        <v>13.7</v>
      </c>
      <c r="G5974" s="3">
        <v>1.4</v>
      </c>
    </row>
    <row r="5975">
      <c r="A5975" s="3">
        <v>173485.0</v>
      </c>
      <c r="B5975" s="3" t="s">
        <v>6002</v>
      </c>
      <c r="C5975" s="3" t="s">
        <v>196</v>
      </c>
      <c r="D5975" s="3">
        <v>330.0</v>
      </c>
      <c r="E5975" s="3">
        <v>2.24</v>
      </c>
      <c r="F5975" s="3">
        <v>0.82</v>
      </c>
      <c r="G5975" s="3">
        <v>76.61</v>
      </c>
    </row>
    <row r="5976">
      <c r="A5976" s="3">
        <v>173486.0</v>
      </c>
      <c r="B5976" s="3" t="s">
        <v>6003</v>
      </c>
      <c r="C5976" s="3" t="s">
        <v>196</v>
      </c>
      <c r="D5976" s="3">
        <v>184.0</v>
      </c>
      <c r="E5976" s="3">
        <v>14.6</v>
      </c>
      <c r="F5976" s="3">
        <v>13.4</v>
      </c>
      <c r="G5976" s="3">
        <v>1.1</v>
      </c>
    </row>
    <row r="5977">
      <c r="A5977" s="3">
        <v>173487.0</v>
      </c>
      <c r="B5977" s="3" t="s">
        <v>6004</v>
      </c>
      <c r="C5977" s="3" t="s">
        <v>196</v>
      </c>
      <c r="D5977" s="3">
        <v>64.0</v>
      </c>
      <c r="E5977" s="3">
        <v>0.0</v>
      </c>
      <c r="F5977" s="3">
        <v>1.1</v>
      </c>
      <c r="G5977" s="3">
        <v>14.82</v>
      </c>
    </row>
    <row r="5978">
      <c r="A5978" s="3">
        <v>173488.0</v>
      </c>
      <c r="B5978" s="3" t="s">
        <v>6005</v>
      </c>
      <c r="C5978" s="3" t="s">
        <v>196</v>
      </c>
      <c r="D5978" s="3">
        <v>48.0</v>
      </c>
      <c r="E5978" s="3">
        <v>0.8</v>
      </c>
      <c r="F5978" s="3">
        <v>2.1</v>
      </c>
      <c r="G5978" s="3">
        <v>8.0</v>
      </c>
    </row>
    <row r="5979">
      <c r="A5979" s="3">
        <v>173489.0</v>
      </c>
      <c r="B5979" s="3" t="s">
        <v>6006</v>
      </c>
      <c r="C5979" s="3" t="s">
        <v>196</v>
      </c>
      <c r="D5979" s="3">
        <v>77.0</v>
      </c>
      <c r="E5979" s="3">
        <v>2.1</v>
      </c>
      <c r="F5979" s="3">
        <v>4.2</v>
      </c>
      <c r="G5979" s="3">
        <v>10.0</v>
      </c>
    </row>
    <row r="5980">
      <c r="A5980" s="3">
        <v>173490.0</v>
      </c>
      <c r="B5980" s="3" t="s">
        <v>6007</v>
      </c>
      <c r="C5980" s="3" t="s">
        <v>196</v>
      </c>
      <c r="D5980" s="3">
        <v>61.0</v>
      </c>
      <c r="E5980" s="3">
        <v>1.47</v>
      </c>
      <c r="F5980" s="3">
        <v>2.36</v>
      </c>
      <c r="G5980" s="3">
        <v>9.45</v>
      </c>
    </row>
    <row r="5981">
      <c r="A5981" s="3">
        <v>173491.0</v>
      </c>
      <c r="B5981" s="3" t="s">
        <v>6008</v>
      </c>
      <c r="C5981" s="3" t="s">
        <v>196</v>
      </c>
      <c r="D5981" s="3">
        <v>59.0</v>
      </c>
      <c r="E5981" s="3">
        <v>1.1</v>
      </c>
      <c r="F5981" s="3">
        <v>2.5</v>
      </c>
      <c r="G5981" s="3">
        <v>9.4</v>
      </c>
    </row>
    <row r="5982">
      <c r="A5982" s="3">
        <v>173492.0</v>
      </c>
      <c r="B5982" s="3" t="s">
        <v>6009</v>
      </c>
      <c r="C5982" s="3" t="s">
        <v>196</v>
      </c>
      <c r="D5982" s="3">
        <v>68.0</v>
      </c>
      <c r="E5982" s="3">
        <v>1.37</v>
      </c>
      <c r="F5982" s="3">
        <v>2.57</v>
      </c>
      <c r="G5982" s="3">
        <v>11.42</v>
      </c>
    </row>
    <row r="5983">
      <c r="A5983" s="3">
        <v>173493.0</v>
      </c>
      <c r="B5983" s="3" t="s">
        <v>6010</v>
      </c>
      <c r="C5983" s="3" t="s">
        <v>196</v>
      </c>
      <c r="D5983" s="3">
        <v>75.0</v>
      </c>
      <c r="E5983" s="3">
        <v>1.0</v>
      </c>
      <c r="F5983" s="3">
        <v>5.3</v>
      </c>
      <c r="G5983" s="3">
        <v>10.8</v>
      </c>
    </row>
    <row r="5984">
      <c r="A5984" s="3">
        <v>173494.0</v>
      </c>
      <c r="B5984" s="3" t="s">
        <v>6011</v>
      </c>
      <c r="C5984" s="3" t="s">
        <v>196</v>
      </c>
      <c r="D5984" s="3">
        <v>77.0</v>
      </c>
      <c r="E5984" s="3">
        <v>3.6</v>
      </c>
      <c r="F5984" s="3">
        <v>2.21</v>
      </c>
      <c r="G5984" s="3">
        <v>8.84</v>
      </c>
    </row>
    <row r="5985">
      <c r="A5985" s="3">
        <v>173495.0</v>
      </c>
      <c r="B5985" s="3" t="s">
        <v>6012</v>
      </c>
      <c r="C5985" s="3" t="s">
        <v>196</v>
      </c>
      <c r="D5985" s="3">
        <v>77.0</v>
      </c>
      <c r="E5985" s="3">
        <v>3.6</v>
      </c>
      <c r="F5985" s="3">
        <v>2.21</v>
      </c>
      <c r="G5985" s="3">
        <v>8.84</v>
      </c>
    </row>
    <row r="5986">
      <c r="A5986" s="3">
        <v>173496.0</v>
      </c>
      <c r="B5986" s="3" t="s">
        <v>6013</v>
      </c>
      <c r="C5986" s="3" t="s">
        <v>196</v>
      </c>
      <c r="D5986" s="3">
        <v>50.0</v>
      </c>
      <c r="E5986" s="3">
        <v>1.7</v>
      </c>
      <c r="F5986" s="3">
        <v>1.6</v>
      </c>
      <c r="G5986" s="3">
        <v>7.2</v>
      </c>
    </row>
    <row r="5987">
      <c r="A5987" s="3">
        <v>173497.0</v>
      </c>
      <c r="B5987" s="3" t="s">
        <v>6014</v>
      </c>
      <c r="C5987" s="3" t="s">
        <v>196</v>
      </c>
      <c r="D5987" s="3">
        <v>78.0</v>
      </c>
      <c r="E5987" s="3">
        <v>3.7</v>
      </c>
      <c r="F5987" s="3">
        <v>5.2</v>
      </c>
      <c r="G5987" s="3">
        <v>6.4</v>
      </c>
    </row>
    <row r="5988">
      <c r="A5988" s="3">
        <v>173498.0</v>
      </c>
      <c r="B5988" s="3" t="s">
        <v>6015</v>
      </c>
      <c r="C5988" s="3" t="s">
        <v>196</v>
      </c>
      <c r="D5988" s="3">
        <v>59.0</v>
      </c>
      <c r="E5988" s="3">
        <v>1.73</v>
      </c>
      <c r="F5988" s="3">
        <v>2.47</v>
      </c>
      <c r="G5988" s="3">
        <v>8.42</v>
      </c>
    </row>
    <row r="5989">
      <c r="A5989" s="3">
        <v>173499.0</v>
      </c>
      <c r="B5989" s="3" t="s">
        <v>6016</v>
      </c>
      <c r="C5989" s="3" t="s">
        <v>196</v>
      </c>
      <c r="D5989" s="3">
        <v>63.0</v>
      </c>
      <c r="E5989" s="3">
        <v>2.5</v>
      </c>
      <c r="F5989" s="3">
        <v>2.0</v>
      </c>
      <c r="G5989" s="3">
        <v>7.9</v>
      </c>
    </row>
    <row r="5990">
      <c r="A5990" s="3">
        <v>173500.0</v>
      </c>
      <c r="B5990" s="3" t="s">
        <v>6017</v>
      </c>
      <c r="C5990" s="3" t="s">
        <v>196</v>
      </c>
      <c r="D5990" s="3">
        <v>56.0</v>
      </c>
      <c r="E5990" s="3">
        <v>0.92</v>
      </c>
      <c r="F5990" s="3">
        <v>2.37</v>
      </c>
      <c r="G5990" s="3">
        <v>9.57</v>
      </c>
    </row>
    <row r="5991">
      <c r="A5991" s="3">
        <v>173501.0</v>
      </c>
      <c r="B5991" s="3" t="s">
        <v>6018</v>
      </c>
      <c r="C5991" s="3" t="s">
        <v>196</v>
      </c>
      <c r="D5991" s="3">
        <v>48.0</v>
      </c>
      <c r="E5991" s="3">
        <v>0.9</v>
      </c>
      <c r="F5991" s="3">
        <v>2.32</v>
      </c>
      <c r="G5991" s="3">
        <v>7.62</v>
      </c>
    </row>
    <row r="5992">
      <c r="A5992" s="3">
        <v>173502.0</v>
      </c>
      <c r="B5992" s="3" t="s">
        <v>6019</v>
      </c>
      <c r="C5992" s="3" t="s">
        <v>196</v>
      </c>
      <c r="D5992" s="3">
        <v>53.0</v>
      </c>
      <c r="E5992" s="3">
        <v>1.74</v>
      </c>
      <c r="F5992" s="3">
        <v>1.72</v>
      </c>
      <c r="G5992" s="3">
        <v>7.55</v>
      </c>
    </row>
    <row r="5993">
      <c r="A5993" s="3">
        <v>173503.0</v>
      </c>
      <c r="B5993" s="3" t="s">
        <v>6020</v>
      </c>
      <c r="C5993" s="3" t="s">
        <v>196</v>
      </c>
      <c r="D5993" s="3">
        <v>67.0</v>
      </c>
      <c r="E5993" s="3">
        <v>2.11</v>
      </c>
      <c r="F5993" s="3">
        <v>3.14</v>
      </c>
      <c r="G5993" s="3">
        <v>8.95</v>
      </c>
    </row>
    <row r="5994">
      <c r="A5994" s="3">
        <v>173504.0</v>
      </c>
      <c r="B5994" s="3" t="s">
        <v>6021</v>
      </c>
      <c r="C5994" s="3" t="s">
        <v>196</v>
      </c>
      <c r="D5994" s="3">
        <v>62.0</v>
      </c>
      <c r="E5994" s="3">
        <v>1.9</v>
      </c>
      <c r="F5994" s="3">
        <v>2.2</v>
      </c>
      <c r="G5994" s="3">
        <v>9.0</v>
      </c>
    </row>
    <row r="5995">
      <c r="A5995" s="3">
        <v>173505.0</v>
      </c>
      <c r="B5995" s="3" t="s">
        <v>6022</v>
      </c>
      <c r="C5995" s="3" t="s">
        <v>196</v>
      </c>
      <c r="D5995" s="3">
        <v>34.0</v>
      </c>
      <c r="E5995" s="3">
        <v>0.1</v>
      </c>
      <c r="F5995" s="3">
        <v>1.3</v>
      </c>
      <c r="G5995" s="3">
        <v>7.7</v>
      </c>
    </row>
    <row r="5996">
      <c r="A5996" s="3">
        <v>173506.0</v>
      </c>
      <c r="B5996" s="3" t="s">
        <v>6023</v>
      </c>
      <c r="C5996" s="3" t="s">
        <v>196</v>
      </c>
      <c r="D5996" s="3">
        <v>26.0</v>
      </c>
      <c r="E5996" s="3">
        <v>0.1</v>
      </c>
      <c r="F5996" s="3">
        <v>0.8</v>
      </c>
      <c r="G5996" s="3">
        <v>6.0</v>
      </c>
    </row>
    <row r="5997">
      <c r="A5997" s="3">
        <v>173507.0</v>
      </c>
      <c r="B5997" s="3" t="s">
        <v>6024</v>
      </c>
      <c r="C5997" s="3" t="s">
        <v>196</v>
      </c>
      <c r="D5997" s="3">
        <v>32.0</v>
      </c>
      <c r="E5997" s="3">
        <v>0.2</v>
      </c>
      <c r="F5997" s="3">
        <v>0.8</v>
      </c>
      <c r="G5997" s="3">
        <v>7.2</v>
      </c>
    </row>
    <row r="5998">
      <c r="A5998" s="3">
        <v>173508.0</v>
      </c>
      <c r="B5998" s="3" t="s">
        <v>6025</v>
      </c>
      <c r="C5998" s="3" t="s">
        <v>196</v>
      </c>
      <c r="D5998" s="3">
        <v>52.0</v>
      </c>
      <c r="E5998" s="3">
        <v>0.1</v>
      </c>
      <c r="F5998" s="3">
        <v>1.0</v>
      </c>
      <c r="G5998" s="3">
        <v>11.73</v>
      </c>
    </row>
    <row r="5999">
      <c r="A5999" s="3">
        <v>173509.0</v>
      </c>
      <c r="B5999" s="3" t="s">
        <v>6026</v>
      </c>
      <c r="C5999" s="3" t="s">
        <v>318</v>
      </c>
      <c r="D5999" s="3">
        <v>396.0</v>
      </c>
      <c r="E5999" s="3">
        <v>6.42</v>
      </c>
      <c r="F5999" s="3">
        <v>10.94</v>
      </c>
      <c r="G5999" s="3">
        <v>73.57</v>
      </c>
    </row>
    <row r="6000">
      <c r="A6000" s="3">
        <v>173510.0</v>
      </c>
      <c r="B6000" s="3" t="s">
        <v>6027</v>
      </c>
      <c r="C6000" s="3" t="s">
        <v>196</v>
      </c>
      <c r="D6000" s="3">
        <v>50.0</v>
      </c>
      <c r="E6000" s="3">
        <v>0.6</v>
      </c>
      <c r="F6000" s="3">
        <v>2.0</v>
      </c>
      <c r="G6000" s="3">
        <v>9.26</v>
      </c>
    </row>
    <row r="6001">
      <c r="A6001" s="3">
        <v>173511.0</v>
      </c>
      <c r="B6001" s="3" t="s">
        <v>6028</v>
      </c>
      <c r="C6001" s="3" t="s">
        <v>196</v>
      </c>
      <c r="D6001" s="3">
        <v>50.0</v>
      </c>
      <c r="E6001" s="3">
        <v>0.36</v>
      </c>
      <c r="F6001" s="3">
        <v>0.19</v>
      </c>
      <c r="G6001" s="3">
        <v>11.56</v>
      </c>
    </row>
    <row r="6002">
      <c r="A6002" s="3">
        <v>173512.0</v>
      </c>
      <c r="B6002" s="3" t="s">
        <v>6029</v>
      </c>
      <c r="C6002" s="3" t="s">
        <v>196</v>
      </c>
      <c r="D6002" s="3">
        <v>41.0</v>
      </c>
      <c r="E6002" s="3">
        <v>0.2</v>
      </c>
      <c r="F6002" s="3">
        <v>0.2</v>
      </c>
      <c r="G6002" s="3">
        <v>10.8</v>
      </c>
    </row>
    <row r="6003">
      <c r="A6003" s="3">
        <v>173513.0</v>
      </c>
      <c r="B6003" s="3" t="s">
        <v>6030</v>
      </c>
      <c r="C6003" s="3" t="s">
        <v>196</v>
      </c>
      <c r="D6003" s="3">
        <v>53.0</v>
      </c>
      <c r="E6003" s="3">
        <v>1.12</v>
      </c>
      <c r="F6003" s="3">
        <v>2.04</v>
      </c>
      <c r="G6003" s="3">
        <v>8.66</v>
      </c>
    </row>
    <row r="6004">
      <c r="A6004" s="3">
        <v>173514.0</v>
      </c>
      <c r="B6004" s="3" t="s">
        <v>6031</v>
      </c>
      <c r="C6004" s="3" t="s">
        <v>196</v>
      </c>
      <c r="D6004" s="3">
        <v>41.0</v>
      </c>
      <c r="E6004" s="3">
        <v>0.1</v>
      </c>
      <c r="F6004" s="3">
        <v>1.2</v>
      </c>
      <c r="G6004" s="3">
        <v>9.5</v>
      </c>
    </row>
    <row r="6005">
      <c r="A6005" s="3">
        <v>173515.0</v>
      </c>
      <c r="B6005" s="3" t="s">
        <v>6032</v>
      </c>
      <c r="C6005" s="3" t="s">
        <v>196</v>
      </c>
      <c r="D6005" s="3">
        <v>36.0</v>
      </c>
      <c r="E6005" s="3">
        <v>0.5</v>
      </c>
      <c r="F6005" s="3">
        <v>1.0</v>
      </c>
      <c r="G6005" s="3">
        <v>8.25</v>
      </c>
    </row>
    <row r="6006">
      <c r="A6006" s="3">
        <v>173516.0</v>
      </c>
      <c r="B6006" s="3" t="s">
        <v>6033</v>
      </c>
      <c r="C6006" s="3" t="s">
        <v>196</v>
      </c>
      <c r="D6006" s="3">
        <v>57.0</v>
      </c>
      <c r="E6006" s="3">
        <v>1.9</v>
      </c>
      <c r="F6006" s="3">
        <v>2.5</v>
      </c>
      <c r="G6006" s="3">
        <v>7.3</v>
      </c>
    </row>
    <row r="6007">
      <c r="A6007" s="3">
        <v>173517.0</v>
      </c>
      <c r="B6007" s="3" t="s">
        <v>6034</v>
      </c>
      <c r="C6007" s="3" t="s">
        <v>196</v>
      </c>
      <c r="D6007" s="3">
        <v>62.0</v>
      </c>
      <c r="E6007" s="3">
        <v>0.9</v>
      </c>
      <c r="F6007" s="3">
        <v>2.6</v>
      </c>
      <c r="G6007" s="3">
        <v>10.9</v>
      </c>
    </row>
    <row r="6008">
      <c r="A6008" s="3">
        <v>173518.0</v>
      </c>
      <c r="B6008" s="3" t="s">
        <v>6035</v>
      </c>
      <c r="C6008" s="3" t="s">
        <v>196</v>
      </c>
      <c r="D6008" s="3">
        <v>59.0</v>
      </c>
      <c r="E6008" s="3">
        <v>2.5</v>
      </c>
      <c r="F6008" s="3">
        <v>3.4</v>
      </c>
      <c r="G6008" s="3">
        <v>5.7</v>
      </c>
    </row>
    <row r="6009">
      <c r="A6009" s="3">
        <v>173519.0</v>
      </c>
      <c r="B6009" s="3" t="s">
        <v>6036</v>
      </c>
      <c r="C6009" s="3" t="s">
        <v>196</v>
      </c>
      <c r="D6009" s="3">
        <v>29.0</v>
      </c>
      <c r="E6009" s="3">
        <v>0.0</v>
      </c>
      <c r="F6009" s="3">
        <v>0.0</v>
      </c>
      <c r="G6009" s="3">
        <v>7.35</v>
      </c>
    </row>
    <row r="6010">
      <c r="A6010" s="3">
        <v>173520.0</v>
      </c>
      <c r="B6010" s="3" t="s">
        <v>6037</v>
      </c>
      <c r="C6010" s="3" t="s">
        <v>196</v>
      </c>
      <c r="D6010" s="3">
        <v>380.0</v>
      </c>
      <c r="E6010" s="3">
        <v>4.0</v>
      </c>
      <c r="F6010" s="3">
        <v>14.29</v>
      </c>
      <c r="G6010" s="3">
        <v>71.82</v>
      </c>
    </row>
    <row r="6011">
      <c r="A6011" s="3">
        <v>173521.0</v>
      </c>
      <c r="B6011" s="3" t="s">
        <v>6038</v>
      </c>
      <c r="C6011" s="3" t="s">
        <v>196</v>
      </c>
      <c r="D6011" s="3">
        <v>74.0</v>
      </c>
      <c r="E6011" s="3">
        <v>2.17</v>
      </c>
      <c r="F6011" s="3">
        <v>2.51</v>
      </c>
      <c r="G6011" s="3">
        <v>11.04</v>
      </c>
    </row>
    <row r="6012">
      <c r="A6012" s="3">
        <v>173522.0</v>
      </c>
      <c r="B6012" s="3" t="s">
        <v>6039</v>
      </c>
      <c r="C6012" s="3" t="s">
        <v>318</v>
      </c>
      <c r="D6012" s="3">
        <v>71.0</v>
      </c>
      <c r="E6012" s="3">
        <v>4.1</v>
      </c>
      <c r="F6012" s="3">
        <v>1.64</v>
      </c>
      <c r="G6012" s="3">
        <v>6.93</v>
      </c>
    </row>
    <row r="6013">
      <c r="A6013" s="3">
        <v>173523.0</v>
      </c>
      <c r="B6013" s="3" t="s">
        <v>6040</v>
      </c>
      <c r="C6013" s="3" t="s">
        <v>318</v>
      </c>
      <c r="D6013" s="3">
        <v>514.0</v>
      </c>
      <c r="E6013" s="3">
        <v>27.0</v>
      </c>
      <c r="F6013" s="3">
        <v>10.5</v>
      </c>
      <c r="G6013" s="3">
        <v>57.2</v>
      </c>
    </row>
    <row r="6014">
      <c r="A6014" s="3">
        <v>173524.0</v>
      </c>
      <c r="B6014" s="3" t="s">
        <v>6041</v>
      </c>
      <c r="C6014" s="3" t="s">
        <v>318</v>
      </c>
      <c r="D6014" s="3">
        <v>68.0</v>
      </c>
      <c r="E6014" s="3">
        <v>3.5</v>
      </c>
      <c r="F6014" s="3">
        <v>1.51</v>
      </c>
      <c r="G6014" s="3">
        <v>7.6</v>
      </c>
    </row>
    <row r="6015">
      <c r="A6015" s="3">
        <v>173525.0</v>
      </c>
      <c r="B6015" s="3" t="s">
        <v>6042</v>
      </c>
      <c r="C6015" s="3" t="s">
        <v>318</v>
      </c>
      <c r="D6015" s="3">
        <v>68.0</v>
      </c>
      <c r="E6015" s="3">
        <v>3.5</v>
      </c>
      <c r="F6015" s="3">
        <v>1.5</v>
      </c>
      <c r="G6015" s="3">
        <v>7.61</v>
      </c>
    </row>
    <row r="6016">
      <c r="A6016" s="3">
        <v>173526.0</v>
      </c>
      <c r="B6016" s="3" t="s">
        <v>6043</v>
      </c>
      <c r="C6016" s="3" t="s">
        <v>318</v>
      </c>
      <c r="D6016" s="3">
        <v>485.0</v>
      </c>
      <c r="E6016" s="3">
        <v>21.0</v>
      </c>
      <c r="F6016" s="3">
        <v>12.0</v>
      </c>
      <c r="G6016" s="3">
        <v>61.97</v>
      </c>
    </row>
    <row r="6017">
      <c r="A6017" s="3">
        <v>173527.0</v>
      </c>
      <c r="B6017" s="3" t="s">
        <v>6044</v>
      </c>
      <c r="C6017" s="3" t="s">
        <v>318</v>
      </c>
      <c r="D6017" s="3">
        <v>69.0</v>
      </c>
      <c r="E6017" s="3">
        <v>3.7</v>
      </c>
      <c r="F6017" s="3">
        <v>1.84</v>
      </c>
      <c r="G6017" s="3">
        <v>7.0</v>
      </c>
    </row>
    <row r="6018">
      <c r="A6018" s="3">
        <v>173528.0</v>
      </c>
      <c r="B6018" s="3" t="s">
        <v>6045</v>
      </c>
      <c r="C6018" s="3" t="s">
        <v>196</v>
      </c>
      <c r="D6018" s="3">
        <v>111.0</v>
      </c>
      <c r="E6018" s="3">
        <v>3.8</v>
      </c>
      <c r="F6018" s="3">
        <v>8.7</v>
      </c>
      <c r="G6018" s="3">
        <v>11.6</v>
      </c>
    </row>
    <row r="6019">
      <c r="A6019" s="3">
        <v>173529.0</v>
      </c>
      <c r="B6019" s="3" t="s">
        <v>6046</v>
      </c>
      <c r="C6019" s="3" t="s">
        <v>196</v>
      </c>
      <c r="D6019" s="3">
        <v>96.0</v>
      </c>
      <c r="E6019" s="3">
        <v>3.38</v>
      </c>
      <c r="F6019" s="3">
        <v>4.14</v>
      </c>
      <c r="G6019" s="3">
        <v>12.3</v>
      </c>
    </row>
    <row r="6020">
      <c r="A6020" s="3">
        <v>173530.0</v>
      </c>
      <c r="B6020" s="3" t="s">
        <v>6047</v>
      </c>
      <c r="C6020" s="3" t="s">
        <v>196</v>
      </c>
      <c r="D6020" s="3">
        <v>86.0</v>
      </c>
      <c r="E6020" s="3">
        <v>3.46</v>
      </c>
      <c r="F6020" s="3">
        <v>3.82</v>
      </c>
      <c r="G6020" s="3">
        <v>10.0</v>
      </c>
    </row>
    <row r="6021">
      <c r="A6021" s="3">
        <v>173531.0</v>
      </c>
      <c r="B6021" s="3" t="s">
        <v>6048</v>
      </c>
      <c r="C6021" s="3" t="s">
        <v>196</v>
      </c>
      <c r="D6021" s="3">
        <v>116.0</v>
      </c>
      <c r="E6021" s="3">
        <v>4.1</v>
      </c>
      <c r="F6021" s="3">
        <v>5.0</v>
      </c>
      <c r="G6021" s="3">
        <v>15.3</v>
      </c>
    </row>
    <row r="6022">
      <c r="A6022" s="3">
        <v>173532.0</v>
      </c>
      <c r="B6022" s="3" t="s">
        <v>6049</v>
      </c>
      <c r="C6022" s="3" t="s">
        <v>196</v>
      </c>
      <c r="D6022" s="3">
        <v>115.0</v>
      </c>
      <c r="E6022" s="3">
        <v>3.6</v>
      </c>
      <c r="F6022" s="3">
        <v>5.0</v>
      </c>
      <c r="G6022" s="3">
        <v>15.9</v>
      </c>
    </row>
    <row r="6023">
      <c r="A6023" s="3">
        <v>173533.0</v>
      </c>
      <c r="B6023" s="3" t="s">
        <v>6050</v>
      </c>
      <c r="C6023" s="3" t="s">
        <v>196</v>
      </c>
      <c r="D6023" s="3">
        <v>112.0</v>
      </c>
      <c r="E6023" s="3">
        <v>3.9</v>
      </c>
      <c r="F6023" s="3">
        <v>6.9</v>
      </c>
      <c r="G6023" s="3">
        <v>13.4</v>
      </c>
    </row>
    <row r="6024">
      <c r="A6024" s="3">
        <v>173534.0</v>
      </c>
      <c r="B6024" s="3" t="s">
        <v>6051</v>
      </c>
      <c r="C6024" s="3" t="s">
        <v>196</v>
      </c>
      <c r="D6024" s="3">
        <v>86.0</v>
      </c>
      <c r="E6024" s="3">
        <v>3.32</v>
      </c>
      <c r="F6024" s="3">
        <v>3.57</v>
      </c>
      <c r="G6024" s="3">
        <v>10.49</v>
      </c>
    </row>
    <row r="6025">
      <c r="A6025" s="3">
        <v>173535.0</v>
      </c>
      <c r="B6025" s="3" t="s">
        <v>6052</v>
      </c>
      <c r="C6025" s="3" t="s">
        <v>196</v>
      </c>
      <c r="D6025" s="3">
        <v>127.0</v>
      </c>
      <c r="E6025" s="3">
        <v>6.5</v>
      </c>
      <c r="F6025" s="3">
        <v>2.79</v>
      </c>
      <c r="G6025" s="3">
        <v>14.2</v>
      </c>
    </row>
    <row r="6026">
      <c r="A6026" s="3">
        <v>173536.0</v>
      </c>
      <c r="B6026" s="3" t="s">
        <v>6053</v>
      </c>
      <c r="C6026" s="3" t="s">
        <v>196</v>
      </c>
      <c r="D6026" s="3">
        <v>509.0</v>
      </c>
      <c r="E6026" s="3">
        <v>26.1</v>
      </c>
      <c r="F6026" s="3">
        <v>11.3</v>
      </c>
      <c r="G6026" s="3">
        <v>57.32</v>
      </c>
    </row>
    <row r="6027">
      <c r="A6027" s="3">
        <v>173537.0</v>
      </c>
      <c r="B6027" s="3" t="s">
        <v>6054</v>
      </c>
      <c r="C6027" s="3" t="s">
        <v>196</v>
      </c>
      <c r="D6027" s="3">
        <v>131.0</v>
      </c>
      <c r="E6027" s="3">
        <v>7.16</v>
      </c>
      <c r="F6027" s="3">
        <v>2.76</v>
      </c>
      <c r="G6027" s="3">
        <v>14.24</v>
      </c>
    </row>
    <row r="6028">
      <c r="A6028" s="3">
        <v>173538.0</v>
      </c>
      <c r="B6028" s="3" t="s">
        <v>6055</v>
      </c>
      <c r="C6028" s="3" t="s">
        <v>196</v>
      </c>
      <c r="D6028" s="3">
        <v>517.0</v>
      </c>
      <c r="E6028" s="3">
        <v>28.0</v>
      </c>
      <c r="F6028" s="3">
        <v>14.0</v>
      </c>
      <c r="G6028" s="3">
        <v>52.2</v>
      </c>
    </row>
    <row r="6029">
      <c r="A6029" s="3">
        <v>173539.0</v>
      </c>
      <c r="B6029" s="3" t="s">
        <v>6056</v>
      </c>
      <c r="C6029" s="3" t="s">
        <v>196</v>
      </c>
      <c r="D6029" s="3">
        <v>67.0</v>
      </c>
      <c r="E6029" s="3">
        <v>3.7</v>
      </c>
      <c r="F6029" s="3">
        <v>1.86</v>
      </c>
      <c r="G6029" s="3">
        <v>6.54</v>
      </c>
    </row>
    <row r="6030">
      <c r="A6030" s="3">
        <v>173540.0</v>
      </c>
      <c r="B6030" s="3" t="s">
        <v>6057</v>
      </c>
      <c r="C6030" s="3" t="s">
        <v>196</v>
      </c>
      <c r="D6030" s="3">
        <v>63.0</v>
      </c>
      <c r="E6030" s="3">
        <v>3.5</v>
      </c>
      <c r="F6030" s="3">
        <v>1.64</v>
      </c>
      <c r="G6030" s="3">
        <v>6.11</v>
      </c>
    </row>
    <row r="6031">
      <c r="A6031" s="3">
        <v>173541.0</v>
      </c>
      <c r="B6031" s="3" t="s">
        <v>6058</v>
      </c>
      <c r="C6031" s="3" t="s">
        <v>196</v>
      </c>
      <c r="D6031" s="3">
        <v>66.0</v>
      </c>
      <c r="E6031" s="3">
        <v>3.59</v>
      </c>
      <c r="F6031" s="3">
        <v>1.61</v>
      </c>
      <c r="G6031" s="3">
        <v>6.7</v>
      </c>
    </row>
    <row r="6032">
      <c r="A6032" s="3">
        <v>173542.0</v>
      </c>
      <c r="B6032" s="3" t="s">
        <v>6059</v>
      </c>
      <c r="C6032" s="3" t="s">
        <v>196</v>
      </c>
      <c r="D6032" s="3">
        <v>128.0</v>
      </c>
      <c r="E6032" s="3">
        <v>6.98</v>
      </c>
      <c r="F6032" s="3">
        <v>3.13</v>
      </c>
      <c r="G6032" s="3">
        <v>13.21</v>
      </c>
    </row>
    <row r="6033">
      <c r="A6033" s="3">
        <v>173543.0</v>
      </c>
      <c r="B6033" s="3" t="s">
        <v>6060</v>
      </c>
      <c r="C6033" s="3" t="s">
        <v>196</v>
      </c>
      <c r="D6033" s="3">
        <v>517.0</v>
      </c>
      <c r="E6033" s="3">
        <v>28.09</v>
      </c>
      <c r="F6033" s="3">
        <v>12.6</v>
      </c>
      <c r="G6033" s="3">
        <v>53.57</v>
      </c>
    </row>
    <row r="6034">
      <c r="A6034" s="3">
        <v>173544.0</v>
      </c>
      <c r="B6034" s="3" t="s">
        <v>6061</v>
      </c>
      <c r="C6034" s="3" t="s">
        <v>196</v>
      </c>
      <c r="D6034" s="3">
        <v>68.0</v>
      </c>
      <c r="E6034" s="3">
        <v>3.5</v>
      </c>
      <c r="F6034" s="3">
        <v>1.84</v>
      </c>
      <c r="G6034" s="3">
        <v>7.2</v>
      </c>
    </row>
    <row r="6035">
      <c r="A6035" s="3">
        <v>173545.0</v>
      </c>
      <c r="B6035" s="3" t="s">
        <v>6062</v>
      </c>
      <c r="C6035" s="3" t="s">
        <v>196</v>
      </c>
      <c r="D6035" s="3">
        <v>512.0</v>
      </c>
      <c r="E6035" s="3">
        <v>27.0</v>
      </c>
      <c r="F6035" s="3">
        <v>12.7</v>
      </c>
      <c r="G6035" s="3">
        <v>54.6</v>
      </c>
    </row>
    <row r="6036">
      <c r="A6036" s="3">
        <v>173546.0</v>
      </c>
      <c r="B6036" s="3" t="s">
        <v>6063</v>
      </c>
      <c r="C6036" s="3" t="s">
        <v>196</v>
      </c>
      <c r="D6036" s="3">
        <v>522.0</v>
      </c>
      <c r="E6036" s="3">
        <v>28.87</v>
      </c>
      <c r="F6036" s="3">
        <v>10.89</v>
      </c>
      <c r="G6036" s="3">
        <v>54.73</v>
      </c>
    </row>
    <row r="6037">
      <c r="A6037" s="3">
        <v>173547.0</v>
      </c>
      <c r="B6037" s="3" t="s">
        <v>6064</v>
      </c>
      <c r="C6037" s="3" t="s">
        <v>196</v>
      </c>
      <c r="D6037" s="3">
        <v>67.0</v>
      </c>
      <c r="E6037" s="3">
        <v>3.4</v>
      </c>
      <c r="F6037" s="3">
        <v>1.63</v>
      </c>
      <c r="G6037" s="3">
        <v>7.58</v>
      </c>
    </row>
    <row r="6038">
      <c r="A6038" s="3">
        <v>173548.0</v>
      </c>
      <c r="B6038" s="3" t="s">
        <v>6065</v>
      </c>
      <c r="C6038" s="3" t="s">
        <v>196</v>
      </c>
      <c r="D6038" s="3">
        <v>64.0</v>
      </c>
      <c r="E6038" s="3">
        <v>3.5</v>
      </c>
      <c r="F6038" s="3">
        <v>1.64</v>
      </c>
      <c r="G6038" s="3">
        <v>6.47</v>
      </c>
    </row>
    <row r="6039">
      <c r="A6039" s="3">
        <v>173549.0</v>
      </c>
      <c r="B6039" s="3" t="s">
        <v>6066</v>
      </c>
      <c r="C6039" s="3" t="s">
        <v>196</v>
      </c>
      <c r="D6039" s="3">
        <v>64.0</v>
      </c>
      <c r="E6039" s="3">
        <v>3.28</v>
      </c>
      <c r="F6039" s="3">
        <v>1.6</v>
      </c>
      <c r="G6039" s="3">
        <v>7.13</v>
      </c>
    </row>
    <row r="6040">
      <c r="A6040" s="3">
        <v>173550.0</v>
      </c>
      <c r="B6040" s="3" t="s">
        <v>6067</v>
      </c>
      <c r="C6040" s="3" t="s">
        <v>196</v>
      </c>
      <c r="D6040" s="3">
        <v>99.0</v>
      </c>
      <c r="E6040" s="3">
        <v>4.7</v>
      </c>
      <c r="F6040" s="3">
        <v>2.8</v>
      </c>
      <c r="G6040" s="3">
        <v>11.28</v>
      </c>
    </row>
    <row r="6041">
      <c r="A6041" s="3">
        <v>173551.0</v>
      </c>
      <c r="B6041" s="3" t="s">
        <v>6068</v>
      </c>
      <c r="C6041" s="3" t="s">
        <v>196</v>
      </c>
      <c r="D6041" s="3">
        <v>502.0</v>
      </c>
      <c r="E6041" s="3">
        <v>25.5</v>
      </c>
      <c r="F6041" s="3">
        <v>12.5</v>
      </c>
      <c r="G6041" s="3">
        <v>55.7</v>
      </c>
    </row>
    <row r="6042">
      <c r="A6042" s="3">
        <v>173552.0</v>
      </c>
      <c r="B6042" s="3" t="s">
        <v>6069</v>
      </c>
      <c r="C6042" s="3" t="s">
        <v>196</v>
      </c>
      <c r="D6042" s="3">
        <v>480.0</v>
      </c>
      <c r="E6042" s="3">
        <v>21.0</v>
      </c>
      <c r="F6042" s="3">
        <v>15.6</v>
      </c>
      <c r="G6042" s="3">
        <v>57.1</v>
      </c>
    </row>
    <row r="6043">
      <c r="A6043" s="3">
        <v>173553.0</v>
      </c>
      <c r="B6043" s="3" t="s">
        <v>6070</v>
      </c>
      <c r="C6043" s="3" t="s">
        <v>196</v>
      </c>
      <c r="D6043" s="3">
        <v>67.0</v>
      </c>
      <c r="E6043" s="3">
        <v>2.91</v>
      </c>
      <c r="F6043" s="3">
        <v>2.14</v>
      </c>
      <c r="G6043" s="3">
        <v>8.08</v>
      </c>
    </row>
    <row r="6044">
      <c r="A6044" s="3">
        <v>173554.0</v>
      </c>
      <c r="B6044" s="3" t="s">
        <v>6071</v>
      </c>
      <c r="C6044" s="3" t="s">
        <v>196</v>
      </c>
      <c r="D6044" s="3">
        <v>524.0</v>
      </c>
      <c r="E6044" s="3">
        <v>28.0</v>
      </c>
      <c r="F6044" s="3">
        <v>12.0</v>
      </c>
      <c r="G6044" s="3">
        <v>56.0</v>
      </c>
    </row>
    <row r="6045">
      <c r="A6045" s="3">
        <v>173555.0</v>
      </c>
      <c r="B6045" s="3" t="s">
        <v>6072</v>
      </c>
      <c r="C6045" s="3" t="s">
        <v>196</v>
      </c>
      <c r="D6045" s="3">
        <v>63.0</v>
      </c>
      <c r="E6045" s="3">
        <v>3.5</v>
      </c>
      <c r="F6045" s="3">
        <v>1.8</v>
      </c>
      <c r="G6045" s="3">
        <v>6.09</v>
      </c>
    </row>
    <row r="6046">
      <c r="A6046" s="3">
        <v>173556.0</v>
      </c>
      <c r="B6046" s="3" t="s">
        <v>6073</v>
      </c>
      <c r="C6046" s="3" t="s">
        <v>196</v>
      </c>
      <c r="D6046" s="3">
        <v>126.0</v>
      </c>
      <c r="E6046" s="3">
        <v>7.0</v>
      </c>
      <c r="F6046" s="3">
        <v>3.6</v>
      </c>
      <c r="G6046" s="3">
        <v>12.18</v>
      </c>
    </row>
    <row r="6047">
      <c r="A6047" s="3">
        <v>173557.0</v>
      </c>
      <c r="B6047" s="3" t="s">
        <v>6074</v>
      </c>
      <c r="C6047" s="3" t="s">
        <v>196</v>
      </c>
      <c r="D6047" s="3">
        <v>508.0</v>
      </c>
      <c r="E6047" s="3">
        <v>27.2</v>
      </c>
      <c r="F6047" s="3">
        <v>13.6</v>
      </c>
      <c r="G6047" s="3">
        <v>52.2</v>
      </c>
    </row>
    <row r="6048">
      <c r="A6048" s="3">
        <v>173558.0</v>
      </c>
      <c r="B6048" s="3" t="s">
        <v>6075</v>
      </c>
      <c r="C6048" s="3" t="s">
        <v>196</v>
      </c>
      <c r="D6048" s="3">
        <v>128.0</v>
      </c>
      <c r="E6048" s="3">
        <v>6.95</v>
      </c>
      <c r="F6048" s="3">
        <v>2.73</v>
      </c>
      <c r="G6048" s="3">
        <v>13.64</v>
      </c>
    </row>
    <row r="6049">
      <c r="A6049" s="3">
        <v>173559.0</v>
      </c>
      <c r="B6049" s="3" t="s">
        <v>6076</v>
      </c>
      <c r="C6049" s="3" t="s">
        <v>196</v>
      </c>
      <c r="D6049" s="3">
        <v>520.0</v>
      </c>
      <c r="E6049" s="3">
        <v>28.14</v>
      </c>
      <c r="F6049" s="3">
        <v>11.13</v>
      </c>
      <c r="G6049" s="3">
        <v>55.67</v>
      </c>
    </row>
    <row r="6050">
      <c r="A6050" s="3">
        <v>173560.0</v>
      </c>
      <c r="B6050" s="3" t="s">
        <v>6077</v>
      </c>
      <c r="C6050" s="3" t="s">
        <v>196</v>
      </c>
      <c r="D6050" s="3">
        <v>66.0</v>
      </c>
      <c r="E6050" s="3">
        <v>3.7</v>
      </c>
      <c r="F6050" s="3">
        <v>1.36</v>
      </c>
      <c r="G6050" s="3">
        <v>6.77</v>
      </c>
    </row>
    <row r="6051">
      <c r="A6051" s="3">
        <v>173561.0</v>
      </c>
      <c r="B6051" s="3" t="s">
        <v>6078</v>
      </c>
      <c r="C6051" s="3" t="s">
        <v>196</v>
      </c>
      <c r="D6051" s="3">
        <v>522.0</v>
      </c>
      <c r="E6051" s="3">
        <v>28.87</v>
      </c>
      <c r="F6051" s="3">
        <v>10.89</v>
      </c>
      <c r="G6051" s="3">
        <v>54.73</v>
      </c>
    </row>
    <row r="6052">
      <c r="A6052" s="3">
        <v>173562.0</v>
      </c>
      <c r="B6052" s="3" t="s">
        <v>6079</v>
      </c>
      <c r="C6052" s="3" t="s">
        <v>187</v>
      </c>
      <c r="D6052" s="3">
        <v>484.0</v>
      </c>
      <c r="E6052" s="3">
        <v>51.1</v>
      </c>
      <c r="F6052" s="3">
        <v>1.37</v>
      </c>
      <c r="G6052" s="3">
        <v>4.77</v>
      </c>
    </row>
    <row r="6053">
      <c r="A6053" s="3">
        <v>173563.0</v>
      </c>
      <c r="B6053" s="3" t="s">
        <v>6080</v>
      </c>
      <c r="C6053" s="3" t="s">
        <v>187</v>
      </c>
      <c r="D6053" s="3">
        <v>884.0</v>
      </c>
      <c r="E6053" s="3">
        <v>100.0</v>
      </c>
      <c r="F6053" s="3">
        <v>0.0</v>
      </c>
      <c r="G6053" s="3">
        <v>0.0</v>
      </c>
    </row>
    <row r="6054">
      <c r="A6054" s="3">
        <v>173564.0</v>
      </c>
      <c r="B6054" s="3" t="s">
        <v>6081</v>
      </c>
      <c r="C6054" s="3" t="s">
        <v>187</v>
      </c>
      <c r="D6054" s="3">
        <v>900.0</v>
      </c>
      <c r="E6054" s="3">
        <v>99.8</v>
      </c>
      <c r="F6054" s="3">
        <v>0.0</v>
      </c>
      <c r="G6054" s="3">
        <v>0.0</v>
      </c>
    </row>
    <row r="6055">
      <c r="A6055" s="3">
        <v>173565.0</v>
      </c>
      <c r="B6055" s="3" t="s">
        <v>6082</v>
      </c>
      <c r="C6055" s="3" t="s">
        <v>187</v>
      </c>
      <c r="D6055" s="3">
        <v>884.0</v>
      </c>
      <c r="E6055" s="3">
        <v>100.0</v>
      </c>
      <c r="F6055" s="3">
        <v>0.0</v>
      </c>
      <c r="G6055" s="3">
        <v>0.0</v>
      </c>
    </row>
    <row r="6056">
      <c r="A6056" s="3">
        <v>173566.0</v>
      </c>
      <c r="B6056" s="3" t="s">
        <v>6083</v>
      </c>
      <c r="C6056" s="3" t="s">
        <v>187</v>
      </c>
      <c r="D6056" s="3">
        <v>900.0</v>
      </c>
      <c r="E6056" s="3">
        <v>100.0</v>
      </c>
      <c r="F6056" s="3">
        <v>0.0</v>
      </c>
      <c r="G6056" s="3">
        <v>0.0</v>
      </c>
    </row>
    <row r="6057">
      <c r="A6057" s="3">
        <v>173567.0</v>
      </c>
      <c r="B6057" s="3" t="s">
        <v>6084</v>
      </c>
      <c r="C6057" s="3" t="s">
        <v>187</v>
      </c>
      <c r="D6057" s="3">
        <v>900.0</v>
      </c>
      <c r="E6057" s="3">
        <v>100.0</v>
      </c>
      <c r="F6057" s="3">
        <v>0.0</v>
      </c>
      <c r="G6057" s="3">
        <v>0.0</v>
      </c>
    </row>
    <row r="6058">
      <c r="A6058" s="3">
        <v>173568.0</v>
      </c>
      <c r="B6058" s="3" t="s">
        <v>6085</v>
      </c>
      <c r="C6058" s="3" t="s">
        <v>187</v>
      </c>
      <c r="D6058" s="3">
        <v>884.0</v>
      </c>
      <c r="E6058" s="3">
        <v>100.0</v>
      </c>
      <c r="F6058" s="3">
        <v>0.0</v>
      </c>
      <c r="G6058" s="3">
        <v>0.0</v>
      </c>
    </row>
    <row r="6059">
      <c r="A6059" s="3">
        <v>173569.0</v>
      </c>
      <c r="B6059" s="3" t="s">
        <v>6086</v>
      </c>
      <c r="C6059" s="3" t="s">
        <v>187</v>
      </c>
      <c r="D6059" s="3">
        <v>884.0</v>
      </c>
      <c r="E6059" s="3">
        <v>100.0</v>
      </c>
      <c r="F6059" s="3">
        <v>0.0</v>
      </c>
      <c r="G6059" s="3">
        <v>0.0</v>
      </c>
    </row>
    <row r="6060">
      <c r="A6060" s="3">
        <v>173570.0</v>
      </c>
      <c r="B6060" s="3" t="s">
        <v>6087</v>
      </c>
      <c r="C6060" s="3" t="s">
        <v>187</v>
      </c>
      <c r="D6060" s="3">
        <v>884.0</v>
      </c>
      <c r="E6060" s="3">
        <v>100.0</v>
      </c>
      <c r="F6060" s="3">
        <v>0.0</v>
      </c>
      <c r="G6060" s="3">
        <v>0.0</v>
      </c>
    </row>
    <row r="6061">
      <c r="A6061" s="3">
        <v>173571.0</v>
      </c>
      <c r="B6061" s="3" t="s">
        <v>6088</v>
      </c>
      <c r="C6061" s="3" t="s">
        <v>187</v>
      </c>
      <c r="D6061" s="3">
        <v>900.0</v>
      </c>
      <c r="E6061" s="3">
        <v>99.8</v>
      </c>
      <c r="F6061" s="3">
        <v>0.0</v>
      </c>
      <c r="G6061" s="3">
        <v>0.0</v>
      </c>
    </row>
    <row r="6062">
      <c r="A6062" s="3">
        <v>173572.0</v>
      </c>
      <c r="B6062" s="3" t="s">
        <v>6089</v>
      </c>
      <c r="C6062" s="3" t="s">
        <v>187</v>
      </c>
      <c r="D6062" s="3">
        <v>900.0</v>
      </c>
      <c r="E6062" s="3">
        <v>99.8</v>
      </c>
      <c r="F6062" s="3">
        <v>0.0</v>
      </c>
      <c r="G6062" s="3">
        <v>0.0</v>
      </c>
    </row>
    <row r="6063">
      <c r="A6063" s="3">
        <v>173573.0</v>
      </c>
      <c r="B6063" s="3" t="s">
        <v>6090</v>
      </c>
      <c r="C6063" s="3" t="s">
        <v>187</v>
      </c>
      <c r="D6063" s="3">
        <v>884.0</v>
      </c>
      <c r="E6063" s="3">
        <v>100.0</v>
      </c>
      <c r="F6063" s="3">
        <v>0.0</v>
      </c>
      <c r="G6063" s="3">
        <v>0.0</v>
      </c>
    </row>
    <row r="6064">
      <c r="A6064" s="3">
        <v>173574.0</v>
      </c>
      <c r="B6064" s="3" t="s">
        <v>6091</v>
      </c>
      <c r="C6064" s="3" t="s">
        <v>187</v>
      </c>
      <c r="D6064" s="3">
        <v>884.0</v>
      </c>
      <c r="E6064" s="3">
        <v>100.0</v>
      </c>
      <c r="F6064" s="3">
        <v>0.0</v>
      </c>
      <c r="G6064" s="3">
        <v>0.0</v>
      </c>
    </row>
    <row r="6065">
      <c r="A6065" s="3">
        <v>173575.0</v>
      </c>
      <c r="B6065" s="3" t="s">
        <v>6092</v>
      </c>
      <c r="C6065" s="3" t="s">
        <v>187</v>
      </c>
      <c r="D6065" s="3">
        <v>884.0</v>
      </c>
      <c r="E6065" s="3">
        <v>100.0</v>
      </c>
      <c r="F6065" s="3">
        <v>0.0</v>
      </c>
      <c r="G6065" s="3">
        <v>0.0</v>
      </c>
    </row>
    <row r="6066">
      <c r="A6066" s="3">
        <v>173576.0</v>
      </c>
      <c r="B6066" s="3" t="s">
        <v>6093</v>
      </c>
      <c r="C6066" s="3" t="s">
        <v>187</v>
      </c>
      <c r="D6066" s="3">
        <v>884.0</v>
      </c>
      <c r="E6066" s="3">
        <v>100.0</v>
      </c>
      <c r="F6066" s="3">
        <v>0.0</v>
      </c>
      <c r="G6066" s="3">
        <v>0.0</v>
      </c>
    </row>
    <row r="6067">
      <c r="A6067" s="3">
        <v>173577.0</v>
      </c>
      <c r="B6067" s="3" t="s">
        <v>6094</v>
      </c>
      <c r="C6067" s="3" t="s">
        <v>187</v>
      </c>
      <c r="D6067" s="3">
        <v>902.0</v>
      </c>
      <c r="E6067" s="3">
        <v>100.0</v>
      </c>
      <c r="F6067" s="3">
        <v>0.0</v>
      </c>
      <c r="G6067" s="3">
        <v>0.0</v>
      </c>
    </row>
    <row r="6068">
      <c r="A6068" s="3">
        <v>173578.0</v>
      </c>
      <c r="B6068" s="3" t="s">
        <v>6095</v>
      </c>
      <c r="C6068" s="3" t="s">
        <v>187</v>
      </c>
      <c r="D6068" s="3">
        <v>902.0</v>
      </c>
      <c r="E6068" s="3">
        <v>100.0</v>
      </c>
      <c r="F6068" s="3">
        <v>0.0</v>
      </c>
      <c r="G6068" s="3">
        <v>0.0</v>
      </c>
    </row>
    <row r="6069">
      <c r="A6069" s="3">
        <v>173579.0</v>
      </c>
      <c r="B6069" s="3" t="s">
        <v>6096</v>
      </c>
      <c r="C6069" s="3" t="s">
        <v>187</v>
      </c>
      <c r="D6069" s="3">
        <v>884.0</v>
      </c>
      <c r="E6069" s="3">
        <v>100.0</v>
      </c>
      <c r="F6069" s="3">
        <v>0.0</v>
      </c>
      <c r="G6069" s="3">
        <v>0.0</v>
      </c>
    </row>
    <row r="6070">
      <c r="A6070" s="3">
        <v>173580.0</v>
      </c>
      <c r="B6070" s="3" t="s">
        <v>6097</v>
      </c>
      <c r="C6070" s="3" t="s">
        <v>187</v>
      </c>
      <c r="D6070" s="3">
        <v>362.0</v>
      </c>
      <c r="E6070" s="3">
        <v>40.0</v>
      </c>
      <c r="F6070" s="3">
        <v>1.0</v>
      </c>
      <c r="G6070" s="3">
        <v>1.0</v>
      </c>
    </row>
    <row r="6071">
      <c r="A6071" s="3">
        <v>173581.0</v>
      </c>
      <c r="B6071" s="3" t="s">
        <v>6098</v>
      </c>
      <c r="C6071" s="3" t="s">
        <v>187</v>
      </c>
      <c r="D6071" s="3">
        <v>499.0</v>
      </c>
      <c r="E6071" s="3">
        <v>55.1</v>
      </c>
      <c r="F6071" s="3">
        <v>3.3</v>
      </c>
      <c r="G6071" s="3">
        <v>0.0</v>
      </c>
    </row>
    <row r="6072">
      <c r="A6072" s="3">
        <v>173582.0</v>
      </c>
      <c r="B6072" s="3" t="s">
        <v>6099</v>
      </c>
      <c r="C6072" s="3" t="s">
        <v>187</v>
      </c>
      <c r="D6072" s="3">
        <v>533.0</v>
      </c>
      <c r="E6072" s="3">
        <v>59.81</v>
      </c>
      <c r="F6072" s="3">
        <v>0.17</v>
      </c>
      <c r="G6072" s="3">
        <v>0.86</v>
      </c>
    </row>
    <row r="6073">
      <c r="A6073" s="3">
        <v>173583.0</v>
      </c>
      <c r="B6073" s="3" t="s">
        <v>6100</v>
      </c>
      <c r="C6073" s="3" t="s">
        <v>187</v>
      </c>
      <c r="D6073" s="3">
        <v>526.0</v>
      </c>
      <c r="E6073" s="3">
        <v>59.17</v>
      </c>
      <c r="F6073" s="3">
        <v>0.6</v>
      </c>
      <c r="G6073" s="3">
        <v>0.0</v>
      </c>
    </row>
    <row r="6074">
      <c r="A6074" s="3">
        <v>173584.0</v>
      </c>
      <c r="B6074" s="3" t="s">
        <v>6101</v>
      </c>
      <c r="C6074" s="3" t="s">
        <v>187</v>
      </c>
      <c r="D6074" s="3">
        <v>884.0</v>
      </c>
      <c r="E6074" s="3">
        <v>99.97</v>
      </c>
      <c r="F6074" s="3">
        <v>0.0</v>
      </c>
      <c r="G6074" s="3">
        <v>0.0</v>
      </c>
    </row>
    <row r="6075">
      <c r="A6075" s="3">
        <v>173585.0</v>
      </c>
      <c r="B6075" s="3" t="s">
        <v>6102</v>
      </c>
      <c r="C6075" s="3" t="s">
        <v>187</v>
      </c>
      <c r="D6075" s="3">
        <v>717.0</v>
      </c>
      <c r="E6075" s="3">
        <v>80.71</v>
      </c>
      <c r="F6075" s="3">
        <v>0.16</v>
      </c>
      <c r="G6075" s="3">
        <v>0.7</v>
      </c>
    </row>
    <row r="6076">
      <c r="A6076" s="3">
        <v>173586.0</v>
      </c>
      <c r="B6076" s="3" t="s">
        <v>6103</v>
      </c>
      <c r="C6076" s="3" t="s">
        <v>187</v>
      </c>
      <c r="D6076" s="3">
        <v>330.0</v>
      </c>
      <c r="E6076" s="3">
        <v>35.0</v>
      </c>
      <c r="F6076" s="3">
        <v>2.0</v>
      </c>
      <c r="G6076" s="3">
        <v>2.0</v>
      </c>
    </row>
    <row r="6077">
      <c r="A6077" s="3">
        <v>173587.0</v>
      </c>
      <c r="B6077" s="3" t="s">
        <v>6104</v>
      </c>
      <c r="C6077" s="3" t="s">
        <v>187</v>
      </c>
      <c r="D6077" s="3">
        <v>717.0</v>
      </c>
      <c r="E6077" s="3">
        <v>80.71</v>
      </c>
      <c r="F6077" s="3">
        <v>0.16</v>
      </c>
      <c r="G6077" s="3">
        <v>0.7</v>
      </c>
    </row>
    <row r="6078">
      <c r="A6078" s="3">
        <v>173588.0</v>
      </c>
      <c r="B6078" s="3" t="s">
        <v>6105</v>
      </c>
      <c r="C6078" s="3" t="s">
        <v>187</v>
      </c>
      <c r="D6078" s="3">
        <v>628.0</v>
      </c>
      <c r="E6078" s="3">
        <v>70.22</v>
      </c>
      <c r="F6078" s="3">
        <v>0.26</v>
      </c>
      <c r="G6078" s="3">
        <v>1.53</v>
      </c>
    </row>
    <row r="6079">
      <c r="A6079" s="3">
        <v>173589.0</v>
      </c>
      <c r="B6079" s="3" t="s">
        <v>6106</v>
      </c>
      <c r="C6079" s="3" t="s">
        <v>187</v>
      </c>
      <c r="D6079" s="3">
        <v>401.0</v>
      </c>
      <c r="E6079" s="3">
        <v>44.46</v>
      </c>
      <c r="F6079" s="3">
        <v>0.27</v>
      </c>
      <c r="G6079" s="3">
        <v>0.0</v>
      </c>
    </row>
    <row r="6080">
      <c r="A6080" s="3">
        <v>173590.0</v>
      </c>
      <c r="B6080" s="3" t="s">
        <v>6107</v>
      </c>
      <c r="C6080" s="3" t="s">
        <v>187</v>
      </c>
      <c r="D6080" s="3">
        <v>47.0</v>
      </c>
      <c r="E6080" s="3">
        <v>0.87</v>
      </c>
      <c r="F6080" s="3">
        <v>0.97</v>
      </c>
      <c r="G6080" s="3">
        <v>8.75</v>
      </c>
    </row>
    <row r="6081">
      <c r="A6081" s="3">
        <v>173591.0</v>
      </c>
      <c r="B6081" s="3" t="s">
        <v>6108</v>
      </c>
      <c r="C6081" s="3" t="s">
        <v>187</v>
      </c>
      <c r="D6081" s="3">
        <v>119.0</v>
      </c>
      <c r="E6081" s="3">
        <v>1.92</v>
      </c>
      <c r="F6081" s="3">
        <v>0.25</v>
      </c>
      <c r="G6081" s="3">
        <v>26.51</v>
      </c>
    </row>
    <row r="6082">
      <c r="A6082" s="3">
        <v>173592.0</v>
      </c>
      <c r="B6082" s="3" t="s">
        <v>6109</v>
      </c>
      <c r="C6082" s="3" t="s">
        <v>187</v>
      </c>
      <c r="D6082" s="3">
        <v>430.0</v>
      </c>
      <c r="E6082" s="3">
        <v>44.54</v>
      </c>
      <c r="F6082" s="3">
        <v>1.32</v>
      </c>
      <c r="G6082" s="3">
        <v>5.9</v>
      </c>
    </row>
    <row r="6083">
      <c r="A6083" s="3">
        <v>173593.0</v>
      </c>
      <c r="B6083" s="3" t="s">
        <v>6110</v>
      </c>
      <c r="C6083" s="3" t="s">
        <v>187</v>
      </c>
      <c r="D6083" s="3">
        <v>196.0</v>
      </c>
      <c r="E6083" s="3">
        <v>12.42</v>
      </c>
      <c r="F6083" s="3">
        <v>1.25</v>
      </c>
      <c r="G6083" s="3">
        <v>21.33</v>
      </c>
    </row>
    <row r="6084">
      <c r="A6084" s="3">
        <v>173594.0</v>
      </c>
      <c r="B6084" s="3" t="s">
        <v>6111</v>
      </c>
      <c r="C6084" s="3" t="s">
        <v>187</v>
      </c>
      <c r="D6084" s="3">
        <v>238.0</v>
      </c>
      <c r="E6084" s="3">
        <v>22.22</v>
      </c>
      <c r="F6084" s="3">
        <v>0.37</v>
      </c>
      <c r="G6084" s="3">
        <v>9.23</v>
      </c>
    </row>
    <row r="6085">
      <c r="A6085" s="3">
        <v>173595.0</v>
      </c>
      <c r="B6085" s="3" t="s">
        <v>6112</v>
      </c>
      <c r="C6085" s="3" t="s">
        <v>187</v>
      </c>
      <c r="D6085" s="3">
        <v>884.0</v>
      </c>
      <c r="E6085" s="3">
        <v>100.0</v>
      </c>
      <c r="F6085" s="3">
        <v>0.0</v>
      </c>
      <c r="G6085" s="3">
        <v>0.0</v>
      </c>
    </row>
    <row r="6086">
      <c r="A6086" s="3">
        <v>173596.0</v>
      </c>
      <c r="B6086" s="3" t="s">
        <v>6113</v>
      </c>
      <c r="C6086" s="3" t="s">
        <v>187</v>
      </c>
      <c r="D6086" s="3">
        <v>884.0</v>
      </c>
      <c r="E6086" s="3">
        <v>100.0</v>
      </c>
      <c r="F6086" s="3">
        <v>0.0</v>
      </c>
      <c r="G6086" s="3">
        <v>0.0</v>
      </c>
    </row>
    <row r="6087">
      <c r="A6087" s="3">
        <v>173597.0</v>
      </c>
      <c r="B6087" s="3" t="s">
        <v>6114</v>
      </c>
      <c r="C6087" s="3" t="s">
        <v>187</v>
      </c>
      <c r="D6087" s="3">
        <v>884.0</v>
      </c>
      <c r="E6087" s="3">
        <v>100.0</v>
      </c>
      <c r="F6087" s="3">
        <v>0.0</v>
      </c>
      <c r="G6087" s="3">
        <v>0.0</v>
      </c>
    </row>
    <row r="6088">
      <c r="A6088" s="3">
        <v>173598.0</v>
      </c>
      <c r="B6088" s="3" t="s">
        <v>6115</v>
      </c>
      <c r="C6088" s="3" t="s">
        <v>187</v>
      </c>
      <c r="D6088" s="3">
        <v>884.0</v>
      </c>
      <c r="E6088" s="3">
        <v>100.0</v>
      </c>
      <c r="F6088" s="3">
        <v>0.0</v>
      </c>
      <c r="G6088" s="3">
        <v>0.0</v>
      </c>
    </row>
    <row r="6089">
      <c r="A6089" s="3">
        <v>173599.0</v>
      </c>
      <c r="B6089" s="3" t="s">
        <v>6116</v>
      </c>
      <c r="C6089" s="3" t="s">
        <v>187</v>
      </c>
      <c r="D6089" s="3">
        <v>628.0</v>
      </c>
      <c r="E6089" s="3">
        <v>71.0</v>
      </c>
      <c r="F6089" s="3">
        <v>0.0</v>
      </c>
      <c r="G6089" s="3">
        <v>0.0</v>
      </c>
    </row>
    <row r="6090">
      <c r="A6090" s="3">
        <v>173600.0</v>
      </c>
      <c r="B6090" s="3" t="s">
        <v>6117</v>
      </c>
      <c r="C6090" s="3" t="s">
        <v>187</v>
      </c>
      <c r="D6090" s="3">
        <v>884.0</v>
      </c>
      <c r="E6090" s="3">
        <v>100.0</v>
      </c>
      <c r="F6090" s="3">
        <v>0.0</v>
      </c>
      <c r="G6090" s="3">
        <v>0.0</v>
      </c>
    </row>
    <row r="6091">
      <c r="A6091" s="3">
        <v>173601.0</v>
      </c>
      <c r="B6091" s="3" t="s">
        <v>6118</v>
      </c>
      <c r="C6091" s="3" t="s">
        <v>187</v>
      </c>
      <c r="D6091" s="3">
        <v>884.0</v>
      </c>
      <c r="E6091" s="3">
        <v>100.0</v>
      </c>
      <c r="F6091" s="3">
        <v>0.0</v>
      </c>
      <c r="G6091" s="3">
        <v>0.0</v>
      </c>
    </row>
    <row r="6092">
      <c r="A6092" s="3">
        <v>173602.0</v>
      </c>
      <c r="B6092" s="3" t="s">
        <v>6119</v>
      </c>
      <c r="C6092" s="3" t="s">
        <v>187</v>
      </c>
      <c r="D6092" s="3">
        <v>884.0</v>
      </c>
      <c r="E6092" s="3">
        <v>100.0</v>
      </c>
      <c r="F6092" s="3">
        <v>0.0</v>
      </c>
      <c r="G6092" s="3">
        <v>0.0</v>
      </c>
    </row>
    <row r="6093">
      <c r="A6093" s="3">
        <v>173603.0</v>
      </c>
      <c r="B6093" s="3" t="s">
        <v>6120</v>
      </c>
      <c r="C6093" s="3" t="s">
        <v>187</v>
      </c>
      <c r="D6093" s="3">
        <v>884.0</v>
      </c>
      <c r="E6093" s="3">
        <v>100.0</v>
      </c>
      <c r="F6093" s="3">
        <v>0.0</v>
      </c>
      <c r="G6093" s="3">
        <v>0.0</v>
      </c>
    </row>
    <row r="6094">
      <c r="A6094" s="3">
        <v>173604.0</v>
      </c>
      <c r="B6094" s="3" t="s">
        <v>6121</v>
      </c>
      <c r="C6094" s="3" t="s">
        <v>187</v>
      </c>
      <c r="D6094" s="3">
        <v>884.0</v>
      </c>
      <c r="E6094" s="3">
        <v>100.0</v>
      </c>
      <c r="F6094" s="3">
        <v>0.0</v>
      </c>
      <c r="G6094" s="3">
        <v>0.0</v>
      </c>
    </row>
    <row r="6095">
      <c r="A6095" s="3">
        <v>173605.0</v>
      </c>
      <c r="B6095" s="3" t="s">
        <v>6122</v>
      </c>
      <c r="C6095" s="3" t="s">
        <v>187</v>
      </c>
      <c r="D6095" s="3">
        <v>714.0</v>
      </c>
      <c r="E6095" s="3">
        <v>80.2</v>
      </c>
      <c r="F6095" s="3">
        <v>1.9</v>
      </c>
      <c r="G6095" s="3">
        <v>0.0</v>
      </c>
    </row>
    <row r="6096">
      <c r="A6096" s="3">
        <v>173606.0</v>
      </c>
      <c r="B6096" s="3" t="s">
        <v>6123</v>
      </c>
      <c r="C6096" s="3" t="s">
        <v>187</v>
      </c>
      <c r="D6096" s="3">
        <v>884.0</v>
      </c>
      <c r="E6096" s="3">
        <v>100.0</v>
      </c>
      <c r="F6096" s="3">
        <v>0.0</v>
      </c>
      <c r="G6096" s="3">
        <v>0.0</v>
      </c>
    </row>
    <row r="6097">
      <c r="A6097" s="3">
        <v>173607.0</v>
      </c>
      <c r="B6097" s="3" t="s">
        <v>6124</v>
      </c>
      <c r="C6097" s="3" t="s">
        <v>187</v>
      </c>
      <c r="D6097" s="3">
        <v>884.0</v>
      </c>
      <c r="E6097" s="3">
        <v>100.0</v>
      </c>
      <c r="F6097" s="3">
        <v>0.0</v>
      </c>
      <c r="G6097" s="3">
        <v>0.0</v>
      </c>
    </row>
    <row r="6098">
      <c r="A6098" s="3">
        <v>173608.0</v>
      </c>
      <c r="B6098" s="3" t="s">
        <v>6125</v>
      </c>
      <c r="C6098" s="3" t="s">
        <v>187</v>
      </c>
      <c r="D6098" s="3">
        <v>158.0</v>
      </c>
      <c r="E6098" s="3">
        <v>17.1</v>
      </c>
      <c r="F6098" s="3">
        <v>0.0</v>
      </c>
      <c r="G6098" s="3">
        <v>0.0</v>
      </c>
    </row>
    <row r="6099">
      <c r="A6099" s="3">
        <v>173609.0</v>
      </c>
      <c r="B6099" s="3" t="s">
        <v>6126</v>
      </c>
      <c r="C6099" s="3" t="s">
        <v>187</v>
      </c>
      <c r="D6099" s="3">
        <v>47.0</v>
      </c>
      <c r="E6099" s="3">
        <v>2.1</v>
      </c>
      <c r="F6099" s="3">
        <v>0.0</v>
      </c>
      <c r="G6099" s="3">
        <v>7.1</v>
      </c>
    </row>
    <row r="6100">
      <c r="A6100" s="3">
        <v>173610.0</v>
      </c>
      <c r="B6100" s="3" t="s">
        <v>6127</v>
      </c>
      <c r="C6100" s="3" t="s">
        <v>187</v>
      </c>
      <c r="D6100" s="3">
        <v>605.0</v>
      </c>
      <c r="E6100" s="3">
        <v>70.95</v>
      </c>
      <c r="F6100" s="3">
        <v>0.13</v>
      </c>
      <c r="G6100" s="3">
        <v>0.16</v>
      </c>
    </row>
    <row r="6101">
      <c r="A6101" s="3">
        <v>173611.0</v>
      </c>
      <c r="B6101" s="3" t="s">
        <v>6128</v>
      </c>
      <c r="C6101" s="3" t="s">
        <v>189</v>
      </c>
      <c r="D6101" s="3">
        <v>245.0</v>
      </c>
      <c r="E6101" s="3">
        <v>13.72</v>
      </c>
      <c r="F6101" s="3">
        <v>26.96</v>
      </c>
      <c r="G6101" s="3">
        <v>1.63</v>
      </c>
    </row>
    <row r="6102">
      <c r="A6102" s="3">
        <v>173612.0</v>
      </c>
      <c r="B6102" s="3" t="s">
        <v>6129</v>
      </c>
      <c r="C6102" s="3" t="s">
        <v>189</v>
      </c>
      <c r="D6102" s="3">
        <v>191.0</v>
      </c>
      <c r="E6102" s="3">
        <v>10.15</v>
      </c>
      <c r="F6102" s="3">
        <v>23.35</v>
      </c>
      <c r="G6102" s="3">
        <v>0.0</v>
      </c>
    </row>
    <row r="6103">
      <c r="A6103" s="3">
        <v>173613.0</v>
      </c>
      <c r="B6103" s="3" t="s">
        <v>6130</v>
      </c>
      <c r="C6103" s="3" t="s">
        <v>189</v>
      </c>
      <c r="D6103" s="3">
        <v>204.0</v>
      </c>
      <c r="E6103" s="3">
        <v>10.64</v>
      </c>
      <c r="F6103" s="3">
        <v>25.32</v>
      </c>
      <c r="G6103" s="3">
        <v>0.0</v>
      </c>
    </row>
    <row r="6104">
      <c r="A6104" s="3">
        <v>173614.0</v>
      </c>
      <c r="B6104" s="3" t="s">
        <v>6131</v>
      </c>
      <c r="C6104" s="3" t="s">
        <v>189</v>
      </c>
      <c r="D6104" s="3">
        <v>116.0</v>
      </c>
      <c r="E6104" s="3">
        <v>3.71</v>
      </c>
      <c r="F6104" s="3">
        <v>19.41</v>
      </c>
      <c r="G6104" s="3">
        <v>0.0</v>
      </c>
    </row>
    <row r="6105">
      <c r="A6105" s="3">
        <v>173615.0</v>
      </c>
      <c r="B6105" s="3" t="s">
        <v>6132</v>
      </c>
      <c r="C6105" s="3" t="s">
        <v>189</v>
      </c>
      <c r="D6105" s="3">
        <v>273.0</v>
      </c>
      <c r="E6105" s="3">
        <v>16.17</v>
      </c>
      <c r="F6105" s="3">
        <v>21.77</v>
      </c>
      <c r="G6105" s="3">
        <v>8.72</v>
      </c>
    </row>
    <row r="6106">
      <c r="A6106" s="3">
        <v>173616.0</v>
      </c>
      <c r="B6106" s="3" t="s">
        <v>6133</v>
      </c>
      <c r="C6106" s="3" t="s">
        <v>189</v>
      </c>
      <c r="D6106" s="3">
        <v>254.0</v>
      </c>
      <c r="E6106" s="3">
        <v>14.43</v>
      </c>
      <c r="F6106" s="3">
        <v>26.84</v>
      </c>
      <c r="G6106" s="3">
        <v>2.5</v>
      </c>
    </row>
    <row r="6107">
      <c r="A6107" s="3">
        <v>173617.0</v>
      </c>
      <c r="B6107" s="3" t="s">
        <v>6134</v>
      </c>
      <c r="C6107" s="3" t="s">
        <v>189</v>
      </c>
      <c r="D6107" s="3">
        <v>184.0</v>
      </c>
      <c r="E6107" s="3">
        <v>8.99</v>
      </c>
      <c r="F6107" s="3">
        <v>24.03</v>
      </c>
      <c r="G6107" s="3">
        <v>0.0</v>
      </c>
    </row>
    <row r="6108">
      <c r="A6108" s="3">
        <v>173618.0</v>
      </c>
      <c r="B6108" s="3" t="s">
        <v>6135</v>
      </c>
      <c r="C6108" s="3" t="s">
        <v>189</v>
      </c>
      <c r="D6108" s="3">
        <v>220.0</v>
      </c>
      <c r="E6108" s="3">
        <v>12.92</v>
      </c>
      <c r="F6108" s="3">
        <v>24.17</v>
      </c>
      <c r="G6108" s="3">
        <v>0.0</v>
      </c>
    </row>
    <row r="6109">
      <c r="A6109" s="3">
        <v>173619.0</v>
      </c>
      <c r="B6109" s="3" t="s">
        <v>6136</v>
      </c>
      <c r="C6109" s="3" t="s">
        <v>189</v>
      </c>
      <c r="D6109" s="3">
        <v>120.0</v>
      </c>
      <c r="E6109" s="3">
        <v>4.22</v>
      </c>
      <c r="F6109" s="3">
        <v>19.16</v>
      </c>
      <c r="G6109" s="3">
        <v>0.0</v>
      </c>
    </row>
    <row r="6110">
      <c r="A6110" s="3">
        <v>173620.0</v>
      </c>
      <c r="B6110" s="3" t="s">
        <v>6137</v>
      </c>
      <c r="C6110" s="3" t="s">
        <v>189</v>
      </c>
      <c r="D6110" s="3">
        <v>330.0</v>
      </c>
      <c r="E6110" s="3">
        <v>23.52</v>
      </c>
      <c r="F6110" s="3">
        <v>19.82</v>
      </c>
      <c r="G6110" s="3">
        <v>8.7</v>
      </c>
    </row>
    <row r="6111">
      <c r="A6111" s="3">
        <v>173621.0</v>
      </c>
      <c r="B6111" s="3" t="s">
        <v>6138</v>
      </c>
      <c r="C6111" s="3" t="s">
        <v>189</v>
      </c>
      <c r="D6111" s="3">
        <v>332.0</v>
      </c>
      <c r="E6111" s="3">
        <v>23.61</v>
      </c>
      <c r="F6111" s="3">
        <v>24.01</v>
      </c>
      <c r="G6111" s="3">
        <v>4.24</v>
      </c>
    </row>
    <row r="6112">
      <c r="A6112" s="3">
        <v>173622.0</v>
      </c>
      <c r="B6112" s="3" t="s">
        <v>6139</v>
      </c>
      <c r="C6112" s="3" t="s">
        <v>189</v>
      </c>
      <c r="D6112" s="3">
        <v>247.0</v>
      </c>
      <c r="E6112" s="3">
        <v>18.1</v>
      </c>
      <c r="F6112" s="3">
        <v>19.61</v>
      </c>
      <c r="G6112" s="3">
        <v>0.0</v>
      </c>
    </row>
    <row r="6113">
      <c r="A6113" s="3">
        <v>173623.0</v>
      </c>
      <c r="B6113" s="3" t="s">
        <v>6140</v>
      </c>
      <c r="C6113" s="3" t="s">
        <v>189</v>
      </c>
      <c r="D6113" s="3">
        <v>154.0</v>
      </c>
      <c r="E6113" s="3">
        <v>8.78</v>
      </c>
      <c r="F6113" s="3">
        <v>17.55</v>
      </c>
      <c r="G6113" s="3">
        <v>0.0</v>
      </c>
    </row>
    <row r="6114">
      <c r="A6114" s="3">
        <v>173624.0</v>
      </c>
      <c r="B6114" s="3" t="s">
        <v>6141</v>
      </c>
      <c r="C6114" s="3" t="s">
        <v>189</v>
      </c>
      <c r="D6114" s="3">
        <v>262.0</v>
      </c>
      <c r="E6114" s="3">
        <v>14.98</v>
      </c>
      <c r="F6114" s="3">
        <v>26.75</v>
      </c>
      <c r="G6114" s="3">
        <v>3.18</v>
      </c>
    </row>
    <row r="6115">
      <c r="A6115" s="3">
        <v>173625.0</v>
      </c>
      <c r="B6115" s="3" t="s">
        <v>6142</v>
      </c>
      <c r="C6115" s="3" t="s">
        <v>189</v>
      </c>
      <c r="D6115" s="3">
        <v>232.0</v>
      </c>
      <c r="E6115" s="3">
        <v>14.71</v>
      </c>
      <c r="F6115" s="3">
        <v>23.26</v>
      </c>
      <c r="G6115" s="3">
        <v>0.0</v>
      </c>
    </row>
    <row r="6116">
      <c r="A6116" s="3">
        <v>173626.0</v>
      </c>
      <c r="B6116" s="3" t="s">
        <v>6143</v>
      </c>
      <c r="C6116" s="3" t="s">
        <v>189</v>
      </c>
      <c r="D6116" s="3">
        <v>232.0</v>
      </c>
      <c r="E6116" s="3">
        <v>14.74</v>
      </c>
      <c r="F6116" s="3">
        <v>23.26</v>
      </c>
      <c r="G6116" s="3">
        <v>0.0</v>
      </c>
    </row>
    <row r="6117">
      <c r="A6117" s="3">
        <v>173627.0</v>
      </c>
      <c r="B6117" s="3" t="s">
        <v>6144</v>
      </c>
      <c r="C6117" s="3" t="s">
        <v>189</v>
      </c>
      <c r="D6117" s="3">
        <v>121.0</v>
      </c>
      <c r="E6117" s="3">
        <v>4.12</v>
      </c>
      <c r="F6117" s="3">
        <v>19.66</v>
      </c>
      <c r="G6117" s="3">
        <v>0.0</v>
      </c>
    </row>
    <row r="6118">
      <c r="A6118" s="3">
        <v>173628.0</v>
      </c>
      <c r="B6118" s="3" t="s">
        <v>6145</v>
      </c>
      <c r="C6118" s="3" t="s">
        <v>189</v>
      </c>
      <c r="D6118" s="3">
        <v>324.0</v>
      </c>
      <c r="E6118" s="3">
        <v>21.81</v>
      </c>
      <c r="F6118" s="3">
        <v>19.87</v>
      </c>
      <c r="G6118" s="3">
        <v>10.94</v>
      </c>
    </row>
    <row r="6119">
      <c r="A6119" s="3">
        <v>173629.0</v>
      </c>
      <c r="B6119" s="3" t="s">
        <v>6146</v>
      </c>
      <c r="C6119" s="3" t="s">
        <v>189</v>
      </c>
      <c r="D6119" s="3">
        <v>321.0</v>
      </c>
      <c r="E6119" s="3">
        <v>22.16</v>
      </c>
      <c r="F6119" s="3">
        <v>26.11</v>
      </c>
      <c r="G6119" s="3">
        <v>2.39</v>
      </c>
    </row>
    <row r="6120">
      <c r="A6120" s="3">
        <v>173630.0</v>
      </c>
      <c r="B6120" s="3" t="s">
        <v>6147</v>
      </c>
      <c r="C6120" s="3" t="s">
        <v>189</v>
      </c>
      <c r="D6120" s="3">
        <v>254.0</v>
      </c>
      <c r="E6120" s="3">
        <v>16.87</v>
      </c>
      <c r="F6120" s="3">
        <v>23.79</v>
      </c>
      <c r="G6120" s="3">
        <v>0.0</v>
      </c>
    </row>
    <row r="6121">
      <c r="A6121" s="3">
        <v>173631.0</v>
      </c>
      <c r="B6121" s="3" t="s">
        <v>6148</v>
      </c>
      <c r="C6121" s="3" t="s">
        <v>189</v>
      </c>
      <c r="D6121" s="3">
        <v>249.0</v>
      </c>
      <c r="E6121" s="3">
        <v>16.82</v>
      </c>
      <c r="F6121" s="3">
        <v>22.78</v>
      </c>
      <c r="G6121" s="3">
        <v>0.0</v>
      </c>
    </row>
    <row r="6122">
      <c r="A6122" s="3">
        <v>173632.0</v>
      </c>
      <c r="B6122" s="3" t="s">
        <v>6149</v>
      </c>
      <c r="C6122" s="3" t="s">
        <v>189</v>
      </c>
      <c r="D6122" s="3">
        <v>126.0</v>
      </c>
      <c r="E6122" s="3">
        <v>3.54</v>
      </c>
      <c r="F6122" s="3">
        <v>21.97</v>
      </c>
      <c r="G6122" s="3">
        <v>0.0</v>
      </c>
    </row>
    <row r="6123">
      <c r="A6123" s="3">
        <v>173633.0</v>
      </c>
      <c r="B6123" s="3" t="s">
        <v>6150</v>
      </c>
      <c r="C6123" s="3" t="s">
        <v>189</v>
      </c>
      <c r="D6123" s="3">
        <v>220.0</v>
      </c>
      <c r="E6123" s="3">
        <v>13.07</v>
      </c>
      <c r="F6123" s="3">
        <v>23.96</v>
      </c>
      <c r="G6123" s="3">
        <v>0.05</v>
      </c>
    </row>
    <row r="6124">
      <c r="A6124" s="3">
        <v>173634.0</v>
      </c>
      <c r="B6124" s="3" t="s">
        <v>6151</v>
      </c>
      <c r="C6124" s="3" t="s">
        <v>189</v>
      </c>
      <c r="D6124" s="3">
        <v>133.0</v>
      </c>
      <c r="E6124" s="3">
        <v>4.02</v>
      </c>
      <c r="F6124" s="3">
        <v>24.31</v>
      </c>
      <c r="G6124" s="3">
        <v>0.0</v>
      </c>
    </row>
    <row r="6125">
      <c r="A6125" s="3">
        <v>173635.0</v>
      </c>
      <c r="B6125" s="3" t="s">
        <v>6152</v>
      </c>
      <c r="C6125" s="3" t="s">
        <v>189</v>
      </c>
      <c r="D6125" s="3">
        <v>223.0</v>
      </c>
      <c r="E6125" s="3">
        <v>13.39</v>
      </c>
      <c r="F6125" s="3">
        <v>23.97</v>
      </c>
      <c r="G6125" s="3">
        <v>0.0</v>
      </c>
    </row>
    <row r="6126">
      <c r="A6126" s="3">
        <v>173636.0</v>
      </c>
      <c r="B6126" s="3" t="s">
        <v>6153</v>
      </c>
      <c r="C6126" s="3" t="s">
        <v>189</v>
      </c>
      <c r="D6126" s="3">
        <v>111.0</v>
      </c>
      <c r="E6126" s="3">
        <v>2.7</v>
      </c>
      <c r="F6126" s="3">
        <v>20.33</v>
      </c>
      <c r="G6126" s="3">
        <v>0.0</v>
      </c>
    </row>
    <row r="6127">
      <c r="A6127" s="3">
        <v>173637.0</v>
      </c>
      <c r="B6127" s="3" t="s">
        <v>6154</v>
      </c>
      <c r="C6127" s="3" t="s">
        <v>189</v>
      </c>
      <c r="D6127" s="3">
        <v>153.0</v>
      </c>
      <c r="E6127" s="3">
        <v>4.07</v>
      </c>
      <c r="F6127" s="3">
        <v>27.13</v>
      </c>
      <c r="G6127" s="3">
        <v>0.0</v>
      </c>
    </row>
    <row r="6128">
      <c r="A6128" s="3">
        <v>173638.0</v>
      </c>
      <c r="B6128" s="3" t="s">
        <v>6155</v>
      </c>
      <c r="C6128" s="3" t="s">
        <v>189</v>
      </c>
      <c r="D6128" s="3">
        <v>113.0</v>
      </c>
      <c r="E6128" s="3">
        <v>3.61</v>
      </c>
      <c r="F6128" s="3">
        <v>18.74</v>
      </c>
      <c r="G6128" s="3">
        <v>0.0</v>
      </c>
    </row>
    <row r="6129">
      <c r="A6129" s="3">
        <v>173639.0</v>
      </c>
      <c r="B6129" s="3" t="s">
        <v>6156</v>
      </c>
      <c r="C6129" s="3" t="s">
        <v>189</v>
      </c>
      <c r="D6129" s="3">
        <v>178.0</v>
      </c>
      <c r="E6129" s="3">
        <v>8.75</v>
      </c>
      <c r="F6129" s="3">
        <v>23.25</v>
      </c>
      <c r="G6129" s="3">
        <v>0.0</v>
      </c>
    </row>
    <row r="6130">
      <c r="A6130" s="3">
        <v>173640.0</v>
      </c>
      <c r="B6130" s="3" t="s">
        <v>6157</v>
      </c>
      <c r="C6130" s="3" t="s">
        <v>189</v>
      </c>
      <c r="D6130" s="3">
        <v>251.0</v>
      </c>
      <c r="E6130" s="3">
        <v>19.52</v>
      </c>
      <c r="F6130" s="3">
        <v>17.48</v>
      </c>
      <c r="G6130" s="3">
        <v>0.19</v>
      </c>
    </row>
    <row r="6131">
      <c r="A6131" s="3">
        <v>173641.0</v>
      </c>
      <c r="B6131" s="3" t="s">
        <v>6158</v>
      </c>
      <c r="C6131" s="3" t="s">
        <v>189</v>
      </c>
      <c r="D6131" s="3">
        <v>168.0</v>
      </c>
      <c r="E6131" s="3">
        <v>9.21</v>
      </c>
      <c r="F6131" s="3">
        <v>17.89</v>
      </c>
      <c r="G6131" s="3">
        <v>2.13</v>
      </c>
    </row>
    <row r="6132">
      <c r="A6132" s="3">
        <v>173642.0</v>
      </c>
      <c r="B6132" s="3" t="s">
        <v>6159</v>
      </c>
      <c r="C6132" s="3" t="s">
        <v>189</v>
      </c>
      <c r="D6132" s="3">
        <v>194.0</v>
      </c>
      <c r="E6132" s="3">
        <v>9.3</v>
      </c>
      <c r="F6132" s="3">
        <v>25.73</v>
      </c>
      <c r="G6132" s="3">
        <v>0.11</v>
      </c>
    </row>
    <row r="6133">
      <c r="A6133" s="3">
        <v>173643.0</v>
      </c>
      <c r="B6133" s="3" t="s">
        <v>6160</v>
      </c>
      <c r="C6133" s="3" t="s">
        <v>189</v>
      </c>
      <c r="D6133" s="3">
        <v>137.0</v>
      </c>
      <c r="E6133" s="3">
        <v>4.21</v>
      </c>
      <c r="F6133" s="3">
        <v>23.1</v>
      </c>
      <c r="G6133" s="3">
        <v>0.0</v>
      </c>
    </row>
    <row r="6134">
      <c r="A6134" s="3">
        <v>173644.0</v>
      </c>
      <c r="B6134" s="3" t="s">
        <v>6161</v>
      </c>
      <c r="C6134" s="3" t="s">
        <v>189</v>
      </c>
      <c r="D6134" s="3">
        <v>213.0</v>
      </c>
      <c r="E6134" s="3">
        <v>7.98</v>
      </c>
      <c r="F6134" s="3">
        <v>33.04</v>
      </c>
      <c r="G6134" s="3">
        <v>0.0</v>
      </c>
    </row>
    <row r="6135">
      <c r="A6135" s="3">
        <v>173645.0</v>
      </c>
      <c r="B6135" s="3" t="s">
        <v>6162</v>
      </c>
      <c r="C6135" s="3" t="s">
        <v>189</v>
      </c>
      <c r="D6135" s="3">
        <v>234.0</v>
      </c>
      <c r="E6135" s="3">
        <v>17.07</v>
      </c>
      <c r="F6135" s="3">
        <v>18.77</v>
      </c>
      <c r="G6135" s="3">
        <v>0.0</v>
      </c>
    </row>
    <row r="6136">
      <c r="A6136" s="3">
        <v>173646.0</v>
      </c>
      <c r="B6136" s="3" t="s">
        <v>6163</v>
      </c>
      <c r="C6136" s="3" t="s">
        <v>189</v>
      </c>
      <c r="D6136" s="3">
        <v>229.0</v>
      </c>
      <c r="E6136" s="3">
        <v>11.65</v>
      </c>
      <c r="F6136" s="3">
        <v>28.96</v>
      </c>
      <c r="G6136" s="3">
        <v>0.0</v>
      </c>
    </row>
    <row r="6137">
      <c r="A6137" s="3">
        <v>173647.0</v>
      </c>
      <c r="B6137" s="3" t="s">
        <v>6164</v>
      </c>
      <c r="C6137" s="3" t="s">
        <v>183</v>
      </c>
      <c r="D6137" s="3">
        <v>0.0</v>
      </c>
      <c r="E6137" s="3">
        <v>0.0</v>
      </c>
      <c r="F6137" s="3">
        <v>0.0</v>
      </c>
      <c r="G6137" s="3">
        <v>0.0</v>
      </c>
    </row>
    <row r="6138">
      <c r="A6138" s="3">
        <v>173648.0</v>
      </c>
      <c r="B6138" s="3" t="s">
        <v>6165</v>
      </c>
      <c r="C6138" s="3" t="s">
        <v>183</v>
      </c>
      <c r="D6138" s="3">
        <v>65.0</v>
      </c>
      <c r="E6138" s="3">
        <v>3.3</v>
      </c>
      <c r="F6138" s="3">
        <v>3.3</v>
      </c>
      <c r="G6138" s="3">
        <v>5.6</v>
      </c>
    </row>
    <row r="6139">
      <c r="A6139" s="3">
        <v>173649.0</v>
      </c>
      <c r="B6139" s="3" t="s">
        <v>6166</v>
      </c>
      <c r="C6139" s="3" t="s">
        <v>183</v>
      </c>
      <c r="D6139" s="3">
        <v>329.0</v>
      </c>
      <c r="E6139" s="3">
        <v>2.6</v>
      </c>
      <c r="F6139" s="3">
        <v>25.0</v>
      </c>
      <c r="G6139" s="3">
        <v>51.4</v>
      </c>
    </row>
    <row r="6140">
      <c r="A6140" s="3">
        <v>173650.0</v>
      </c>
      <c r="B6140" s="3" t="s">
        <v>6167</v>
      </c>
      <c r="C6140" s="3" t="s">
        <v>183</v>
      </c>
      <c r="D6140" s="3">
        <v>29.0</v>
      </c>
      <c r="E6140" s="3">
        <v>0.23</v>
      </c>
      <c r="F6140" s="3">
        <v>2.19</v>
      </c>
      <c r="G6140" s="3">
        <v>4.51</v>
      </c>
    </row>
    <row r="6141">
      <c r="A6141" s="3">
        <v>173651.0</v>
      </c>
      <c r="B6141" s="3" t="s">
        <v>6168</v>
      </c>
      <c r="C6141" s="3" t="s">
        <v>183</v>
      </c>
      <c r="D6141" s="3">
        <v>172.0</v>
      </c>
      <c r="E6141" s="3">
        <v>0.5</v>
      </c>
      <c r="F6141" s="3">
        <v>0.1</v>
      </c>
      <c r="G6141" s="3">
        <v>42.9</v>
      </c>
    </row>
    <row r="6142">
      <c r="A6142" s="3">
        <v>173652.0</v>
      </c>
      <c r="B6142" s="3" t="s">
        <v>6169</v>
      </c>
      <c r="C6142" s="3" t="s">
        <v>183</v>
      </c>
      <c r="D6142" s="3">
        <v>49.0</v>
      </c>
      <c r="E6142" s="3">
        <v>0.14</v>
      </c>
      <c r="F6142" s="3">
        <v>0.03</v>
      </c>
      <c r="G6142" s="3">
        <v>12.21</v>
      </c>
    </row>
    <row r="6143">
      <c r="A6143" s="3">
        <v>173653.0</v>
      </c>
      <c r="B6143" s="3" t="s">
        <v>6170</v>
      </c>
      <c r="C6143" s="3" t="s">
        <v>183</v>
      </c>
      <c r="D6143" s="3">
        <v>201.0</v>
      </c>
      <c r="E6143" s="3">
        <v>0.0</v>
      </c>
      <c r="F6143" s="3">
        <v>0.05</v>
      </c>
      <c r="G6143" s="3">
        <v>51.45</v>
      </c>
    </row>
    <row r="6144">
      <c r="A6144" s="3">
        <v>173654.0</v>
      </c>
      <c r="B6144" s="3" t="s">
        <v>6171</v>
      </c>
      <c r="C6144" s="3" t="s">
        <v>183</v>
      </c>
      <c r="D6144" s="3">
        <v>47.0</v>
      </c>
      <c r="E6144" s="3">
        <v>0.0</v>
      </c>
      <c r="F6144" s="3">
        <v>0.01</v>
      </c>
      <c r="G6144" s="3">
        <v>11.81</v>
      </c>
    </row>
    <row r="6145">
      <c r="A6145" s="3">
        <v>173655.0</v>
      </c>
      <c r="B6145" s="3" t="s">
        <v>6172</v>
      </c>
      <c r="C6145" s="3" t="s">
        <v>183</v>
      </c>
      <c r="D6145" s="3">
        <v>0.0</v>
      </c>
      <c r="E6145" s="3">
        <v>0.0</v>
      </c>
      <c r="F6145" s="3">
        <v>0.0</v>
      </c>
      <c r="G6145" s="3">
        <v>0.0</v>
      </c>
    </row>
    <row r="6146">
      <c r="A6146" s="3">
        <v>173656.0</v>
      </c>
      <c r="B6146" s="3" t="s">
        <v>6173</v>
      </c>
      <c r="C6146" s="3" t="s">
        <v>183</v>
      </c>
      <c r="D6146" s="3">
        <v>0.0</v>
      </c>
      <c r="E6146" s="3">
        <v>0.0</v>
      </c>
      <c r="F6146" s="3">
        <v>0.0</v>
      </c>
      <c r="G6146" s="3">
        <v>0.0</v>
      </c>
    </row>
    <row r="6147">
      <c r="A6147" s="3">
        <v>173657.0</v>
      </c>
      <c r="B6147" s="3" t="s">
        <v>6174</v>
      </c>
      <c r="C6147" s="3" t="s">
        <v>183</v>
      </c>
      <c r="D6147" s="3">
        <v>0.0</v>
      </c>
      <c r="E6147" s="3">
        <v>0.0</v>
      </c>
      <c r="F6147" s="3">
        <v>0.0</v>
      </c>
      <c r="G6147" s="3">
        <v>0.0</v>
      </c>
    </row>
    <row r="6148">
      <c r="A6148" s="3">
        <v>173658.0</v>
      </c>
      <c r="B6148" s="3" t="s">
        <v>6175</v>
      </c>
      <c r="C6148" s="3" t="s">
        <v>183</v>
      </c>
      <c r="D6148" s="3">
        <v>0.0</v>
      </c>
      <c r="E6148" s="3">
        <v>0.0</v>
      </c>
      <c r="F6148" s="3">
        <v>0.0</v>
      </c>
      <c r="G6148" s="3">
        <v>0.03</v>
      </c>
    </row>
    <row r="6149">
      <c r="A6149" s="3">
        <v>173659.0</v>
      </c>
      <c r="B6149" s="3" t="s">
        <v>6176</v>
      </c>
      <c r="C6149" s="3" t="s">
        <v>183</v>
      </c>
      <c r="D6149" s="3">
        <v>388.0</v>
      </c>
      <c r="E6149" s="3">
        <v>1.23</v>
      </c>
      <c r="F6149" s="3">
        <v>0.0</v>
      </c>
      <c r="G6149" s="3">
        <v>94.11</v>
      </c>
    </row>
    <row r="6150">
      <c r="A6150" s="3">
        <v>173660.0</v>
      </c>
      <c r="B6150" s="3" t="s">
        <v>6177</v>
      </c>
      <c r="C6150" s="3" t="s">
        <v>183</v>
      </c>
      <c r="D6150" s="3">
        <v>26.0</v>
      </c>
      <c r="E6150" s="3">
        <v>0.0</v>
      </c>
      <c r="F6150" s="3">
        <v>0.0</v>
      </c>
      <c r="G6150" s="3">
        <v>6.43</v>
      </c>
    </row>
    <row r="6151">
      <c r="A6151" s="3">
        <v>173661.0</v>
      </c>
      <c r="B6151" s="3" t="s">
        <v>6178</v>
      </c>
      <c r="C6151" s="3" t="s">
        <v>183</v>
      </c>
      <c r="D6151" s="3">
        <v>84.0</v>
      </c>
      <c r="E6151" s="3">
        <v>0.1</v>
      </c>
      <c r="F6151" s="3">
        <v>0.1</v>
      </c>
      <c r="G6151" s="3">
        <v>21.4</v>
      </c>
    </row>
    <row r="6152">
      <c r="A6152" s="3">
        <v>173662.0</v>
      </c>
      <c r="B6152" s="3" t="s">
        <v>6179</v>
      </c>
      <c r="C6152" s="3" t="s">
        <v>183</v>
      </c>
      <c r="D6152" s="3">
        <v>149.0</v>
      </c>
      <c r="E6152" s="3">
        <v>0.03</v>
      </c>
      <c r="F6152" s="3">
        <v>0.0</v>
      </c>
      <c r="G6152" s="3">
        <v>13.17</v>
      </c>
    </row>
    <row r="6153">
      <c r="A6153" s="3">
        <v>173663.0</v>
      </c>
      <c r="B6153" s="3" t="s">
        <v>6180</v>
      </c>
      <c r="C6153" s="3" t="s">
        <v>183</v>
      </c>
      <c r="D6153" s="3">
        <v>275.0</v>
      </c>
      <c r="E6153" s="3">
        <v>0.0</v>
      </c>
      <c r="F6153" s="3">
        <v>0.0</v>
      </c>
      <c r="G6153" s="3">
        <v>0.0</v>
      </c>
    </row>
    <row r="6154">
      <c r="A6154" s="3">
        <v>173664.0</v>
      </c>
      <c r="B6154" s="3" t="s">
        <v>6181</v>
      </c>
      <c r="C6154" s="3" t="s">
        <v>183</v>
      </c>
      <c r="D6154" s="3">
        <v>295.0</v>
      </c>
      <c r="E6154" s="3">
        <v>0.0</v>
      </c>
      <c r="F6154" s="3">
        <v>0.0</v>
      </c>
      <c r="G6154" s="3">
        <v>0.0</v>
      </c>
    </row>
    <row r="6155">
      <c r="A6155" s="3">
        <v>173665.0</v>
      </c>
      <c r="B6155" s="3" t="s">
        <v>6182</v>
      </c>
      <c r="C6155" s="3" t="s">
        <v>183</v>
      </c>
      <c r="D6155" s="3">
        <v>308.0</v>
      </c>
      <c r="E6155" s="3">
        <v>0.3</v>
      </c>
      <c r="F6155" s="3">
        <v>0.1</v>
      </c>
      <c r="G6155" s="3">
        <v>32.2</v>
      </c>
    </row>
    <row r="6156">
      <c r="A6156" s="3">
        <v>173666.0</v>
      </c>
      <c r="B6156" s="3" t="s">
        <v>6183</v>
      </c>
      <c r="C6156" s="3" t="s">
        <v>183</v>
      </c>
      <c r="D6156" s="3">
        <v>192.0</v>
      </c>
      <c r="E6156" s="3">
        <v>0.69</v>
      </c>
      <c r="F6156" s="3">
        <v>0.22</v>
      </c>
      <c r="G6156" s="3">
        <v>48.86</v>
      </c>
    </row>
    <row r="6157">
      <c r="A6157" s="3">
        <v>173667.0</v>
      </c>
      <c r="B6157" s="3" t="s">
        <v>6184</v>
      </c>
      <c r="C6157" s="3" t="s">
        <v>183</v>
      </c>
      <c r="D6157" s="3">
        <v>43.0</v>
      </c>
      <c r="E6157" s="3">
        <v>0.15</v>
      </c>
      <c r="F6157" s="3">
        <v>0.05</v>
      </c>
      <c r="G6157" s="3">
        <v>10.81</v>
      </c>
    </row>
    <row r="6158">
      <c r="A6158" s="3">
        <v>173668.0</v>
      </c>
      <c r="B6158" s="3" t="s">
        <v>6185</v>
      </c>
      <c r="C6158" s="3" t="s">
        <v>252</v>
      </c>
      <c r="D6158" s="3">
        <v>217.0</v>
      </c>
      <c r="E6158" s="3">
        <v>12.37</v>
      </c>
      <c r="F6158" s="3">
        <v>24.58</v>
      </c>
      <c r="G6158" s="3">
        <v>0.0</v>
      </c>
    </row>
    <row r="6159">
      <c r="A6159" s="3">
        <v>173669.0</v>
      </c>
      <c r="B6159" s="3" t="s">
        <v>6186</v>
      </c>
      <c r="C6159" s="3" t="s">
        <v>252</v>
      </c>
      <c r="D6159" s="3">
        <v>195.0</v>
      </c>
      <c r="E6159" s="3">
        <v>13.88</v>
      </c>
      <c r="F6159" s="3">
        <v>16.39</v>
      </c>
      <c r="G6159" s="3">
        <v>0.0</v>
      </c>
    </row>
    <row r="6160">
      <c r="A6160" s="3">
        <v>173670.0</v>
      </c>
      <c r="B6160" s="3" t="s">
        <v>6187</v>
      </c>
      <c r="C6160" s="3" t="s">
        <v>252</v>
      </c>
      <c r="D6160" s="3">
        <v>87.0</v>
      </c>
      <c r="E6160" s="3">
        <v>0.64</v>
      </c>
      <c r="F6160" s="3">
        <v>18.99</v>
      </c>
      <c r="G6160" s="3">
        <v>0.0</v>
      </c>
    </row>
    <row r="6161">
      <c r="A6161" s="3">
        <v>173671.0</v>
      </c>
      <c r="B6161" s="3" t="s">
        <v>6188</v>
      </c>
      <c r="C6161" s="3" t="s">
        <v>252</v>
      </c>
      <c r="D6161" s="3">
        <v>85.0</v>
      </c>
      <c r="E6161" s="3">
        <v>1.06</v>
      </c>
      <c r="F6161" s="3">
        <v>17.66</v>
      </c>
      <c r="G6161" s="3">
        <v>0.0</v>
      </c>
    </row>
    <row r="6162">
      <c r="A6162" s="3">
        <v>173672.0</v>
      </c>
      <c r="B6162" s="3" t="s">
        <v>6189</v>
      </c>
      <c r="C6162" s="3" t="s">
        <v>252</v>
      </c>
      <c r="D6162" s="3">
        <v>158.0</v>
      </c>
      <c r="E6162" s="3">
        <v>7.89</v>
      </c>
      <c r="F6162" s="3">
        <v>20.07</v>
      </c>
      <c r="G6162" s="3">
        <v>0.0</v>
      </c>
    </row>
    <row r="6163">
      <c r="A6163" s="3">
        <v>173673.0</v>
      </c>
      <c r="B6163" s="3" t="s">
        <v>6190</v>
      </c>
      <c r="C6163" s="3" t="s">
        <v>252</v>
      </c>
      <c r="D6163" s="3">
        <v>139.0</v>
      </c>
      <c r="E6163" s="3">
        <v>6.3</v>
      </c>
      <c r="F6163" s="3">
        <v>19.29</v>
      </c>
      <c r="G6163" s="3">
        <v>0.0</v>
      </c>
    </row>
    <row r="6164">
      <c r="A6164" s="3">
        <v>173674.0</v>
      </c>
      <c r="B6164" s="3" t="s">
        <v>6191</v>
      </c>
      <c r="C6164" s="3" t="s">
        <v>252</v>
      </c>
      <c r="D6164" s="3">
        <v>158.0</v>
      </c>
      <c r="E6164" s="3">
        <v>6.32</v>
      </c>
      <c r="F6164" s="3">
        <v>23.59</v>
      </c>
      <c r="G6164" s="3">
        <v>0.0</v>
      </c>
    </row>
    <row r="6165">
      <c r="A6165" s="3">
        <v>173675.0</v>
      </c>
      <c r="B6165" s="3" t="s">
        <v>6192</v>
      </c>
      <c r="C6165" s="3" t="s">
        <v>252</v>
      </c>
      <c r="D6165" s="3">
        <v>148.0</v>
      </c>
      <c r="E6165" s="3">
        <v>6.73</v>
      </c>
      <c r="F6165" s="3">
        <v>20.53</v>
      </c>
      <c r="G6165" s="3">
        <v>0.0</v>
      </c>
    </row>
    <row r="6166">
      <c r="A6166" s="3">
        <v>173676.0</v>
      </c>
      <c r="B6166" s="3" t="s">
        <v>6193</v>
      </c>
      <c r="C6166" s="3" t="s">
        <v>252</v>
      </c>
      <c r="D6166" s="3">
        <v>76.0</v>
      </c>
      <c r="E6166" s="3">
        <v>1.52</v>
      </c>
      <c r="F6166" s="3">
        <v>14.48</v>
      </c>
      <c r="G6166" s="3">
        <v>0.0</v>
      </c>
    </row>
    <row r="6167">
      <c r="A6167" s="3">
        <v>173677.0</v>
      </c>
      <c r="B6167" s="3" t="s">
        <v>6194</v>
      </c>
      <c r="C6167" s="3" t="s">
        <v>252</v>
      </c>
      <c r="D6167" s="3">
        <v>79.0</v>
      </c>
      <c r="E6167" s="3">
        <v>0.91</v>
      </c>
      <c r="F6167" s="3">
        <v>16.64</v>
      </c>
      <c r="G6167" s="3">
        <v>0.0</v>
      </c>
    </row>
    <row r="6168">
      <c r="A6168" s="3">
        <v>173678.0</v>
      </c>
      <c r="B6168" s="3" t="s">
        <v>6195</v>
      </c>
      <c r="C6168" s="3" t="s">
        <v>252</v>
      </c>
      <c r="D6168" s="3">
        <v>91.0</v>
      </c>
      <c r="E6168" s="3">
        <v>0.92</v>
      </c>
      <c r="F6168" s="3">
        <v>19.39</v>
      </c>
      <c r="G6168" s="3">
        <v>0.0</v>
      </c>
    </row>
    <row r="6169">
      <c r="A6169" s="3">
        <v>173679.0</v>
      </c>
      <c r="B6169" s="3" t="s">
        <v>6196</v>
      </c>
      <c r="C6169" s="3" t="s">
        <v>252</v>
      </c>
      <c r="D6169" s="3">
        <v>117.0</v>
      </c>
      <c r="E6169" s="3">
        <v>1.18</v>
      </c>
      <c r="F6169" s="3">
        <v>24.86</v>
      </c>
      <c r="G6169" s="3">
        <v>0.0</v>
      </c>
    </row>
    <row r="6170">
      <c r="A6170" s="3">
        <v>173680.0</v>
      </c>
      <c r="B6170" s="3" t="s">
        <v>6197</v>
      </c>
      <c r="C6170" s="3" t="s">
        <v>252</v>
      </c>
      <c r="D6170" s="3">
        <v>88.0</v>
      </c>
      <c r="E6170" s="3">
        <v>0.69</v>
      </c>
      <c r="F6170" s="3">
        <v>19.26</v>
      </c>
      <c r="G6170" s="3">
        <v>0.0</v>
      </c>
    </row>
    <row r="6171">
      <c r="A6171" s="3">
        <v>173681.0</v>
      </c>
      <c r="B6171" s="3" t="s">
        <v>6198</v>
      </c>
      <c r="C6171" s="3" t="s">
        <v>252</v>
      </c>
      <c r="D6171" s="3">
        <v>111.0</v>
      </c>
      <c r="E6171" s="3">
        <v>1.18</v>
      </c>
      <c r="F6171" s="3">
        <v>23.48</v>
      </c>
      <c r="G6171" s="3">
        <v>0.0</v>
      </c>
    </row>
    <row r="6172">
      <c r="A6172" s="3">
        <v>173682.0</v>
      </c>
      <c r="B6172" s="3" t="s">
        <v>6199</v>
      </c>
      <c r="C6172" s="3" t="s">
        <v>252</v>
      </c>
      <c r="D6172" s="3">
        <v>164.0</v>
      </c>
      <c r="E6172" s="3">
        <v>9.47</v>
      </c>
      <c r="F6172" s="3">
        <v>18.48</v>
      </c>
      <c r="G6172" s="3">
        <v>0.0</v>
      </c>
    </row>
    <row r="6173">
      <c r="A6173" s="3">
        <v>173683.0</v>
      </c>
      <c r="B6173" s="3" t="s">
        <v>6200</v>
      </c>
      <c r="C6173" s="3" t="s">
        <v>252</v>
      </c>
      <c r="D6173" s="3">
        <v>211.0</v>
      </c>
      <c r="E6173" s="3">
        <v>12.14</v>
      </c>
      <c r="F6173" s="3">
        <v>23.69</v>
      </c>
      <c r="G6173" s="3">
        <v>0.0</v>
      </c>
    </row>
    <row r="6174">
      <c r="A6174" s="3">
        <v>173684.0</v>
      </c>
      <c r="B6174" s="3" t="s">
        <v>6201</v>
      </c>
      <c r="C6174" s="3" t="s">
        <v>252</v>
      </c>
      <c r="D6174" s="3">
        <v>90.0</v>
      </c>
      <c r="E6174" s="3">
        <v>1.34</v>
      </c>
      <c r="F6174" s="3">
        <v>18.36</v>
      </c>
      <c r="G6174" s="3">
        <v>0.0</v>
      </c>
    </row>
    <row r="6175">
      <c r="A6175" s="3">
        <v>173685.0</v>
      </c>
      <c r="B6175" s="3" t="s">
        <v>6202</v>
      </c>
      <c r="C6175" s="3" t="s">
        <v>252</v>
      </c>
      <c r="D6175" s="3">
        <v>257.0</v>
      </c>
      <c r="E6175" s="3">
        <v>20.14</v>
      </c>
      <c r="F6175" s="3">
        <v>17.65</v>
      </c>
      <c r="G6175" s="3">
        <v>0.0</v>
      </c>
    </row>
    <row r="6176">
      <c r="A6176" s="3">
        <v>173686.0</v>
      </c>
      <c r="B6176" s="3" t="s">
        <v>6203</v>
      </c>
      <c r="C6176" s="3" t="s">
        <v>252</v>
      </c>
      <c r="D6176" s="3">
        <v>142.0</v>
      </c>
      <c r="E6176" s="3">
        <v>6.34</v>
      </c>
      <c r="F6176" s="3">
        <v>19.84</v>
      </c>
      <c r="G6176" s="3">
        <v>0.0</v>
      </c>
    </row>
    <row r="6177">
      <c r="A6177" s="3">
        <v>173687.0</v>
      </c>
      <c r="B6177" s="3" t="s">
        <v>6204</v>
      </c>
      <c r="C6177" s="3" t="s">
        <v>252</v>
      </c>
      <c r="D6177" s="3">
        <v>117.0</v>
      </c>
      <c r="E6177" s="3">
        <v>4.32</v>
      </c>
      <c r="F6177" s="3">
        <v>18.28</v>
      </c>
      <c r="G6177" s="3">
        <v>0.0</v>
      </c>
    </row>
    <row r="6178">
      <c r="A6178" s="3">
        <v>173688.0</v>
      </c>
      <c r="B6178" s="3" t="s">
        <v>6205</v>
      </c>
      <c r="C6178" s="3" t="s">
        <v>252</v>
      </c>
      <c r="D6178" s="3">
        <v>179.0</v>
      </c>
      <c r="E6178" s="3">
        <v>10.43</v>
      </c>
      <c r="F6178" s="3">
        <v>19.93</v>
      </c>
      <c r="G6178" s="3">
        <v>0.0</v>
      </c>
    </row>
    <row r="6179">
      <c r="A6179" s="3">
        <v>173689.0</v>
      </c>
      <c r="B6179" s="3" t="s">
        <v>6206</v>
      </c>
      <c r="C6179" s="3" t="s">
        <v>252</v>
      </c>
      <c r="D6179" s="3">
        <v>120.0</v>
      </c>
      <c r="E6179" s="3">
        <v>3.77</v>
      </c>
      <c r="F6179" s="3">
        <v>20.14</v>
      </c>
      <c r="G6179" s="3">
        <v>0.0</v>
      </c>
    </row>
    <row r="6180">
      <c r="A6180" s="3">
        <v>173690.0</v>
      </c>
      <c r="B6180" s="3" t="s">
        <v>6207</v>
      </c>
      <c r="C6180" s="3" t="s">
        <v>252</v>
      </c>
      <c r="D6180" s="3">
        <v>129.0</v>
      </c>
      <c r="E6180" s="3">
        <v>4.97</v>
      </c>
      <c r="F6180" s="3">
        <v>19.68</v>
      </c>
      <c r="G6180" s="3">
        <v>0.0</v>
      </c>
    </row>
    <row r="6181">
      <c r="A6181" s="3">
        <v>173691.0</v>
      </c>
      <c r="B6181" s="3" t="s">
        <v>6208</v>
      </c>
      <c r="C6181" s="3" t="s">
        <v>252</v>
      </c>
      <c r="D6181" s="3">
        <v>131.0</v>
      </c>
      <c r="E6181" s="3">
        <v>4.69</v>
      </c>
      <c r="F6181" s="3">
        <v>22.25</v>
      </c>
      <c r="G6181" s="3">
        <v>0.0</v>
      </c>
    </row>
    <row r="6182">
      <c r="A6182" s="3">
        <v>173692.0</v>
      </c>
      <c r="B6182" s="3" t="s">
        <v>6209</v>
      </c>
      <c r="C6182" s="3" t="s">
        <v>252</v>
      </c>
      <c r="D6182" s="3">
        <v>156.0</v>
      </c>
      <c r="E6182" s="3">
        <v>5.57</v>
      </c>
      <c r="F6182" s="3">
        <v>26.48</v>
      </c>
      <c r="G6182" s="3">
        <v>0.0</v>
      </c>
    </row>
    <row r="6183">
      <c r="A6183" s="3">
        <v>173693.0</v>
      </c>
      <c r="B6183" s="3" t="s">
        <v>6210</v>
      </c>
      <c r="C6183" s="3" t="s">
        <v>252</v>
      </c>
      <c r="D6183" s="3">
        <v>167.0</v>
      </c>
      <c r="E6183" s="3">
        <v>7.39</v>
      </c>
      <c r="F6183" s="3">
        <v>23.59</v>
      </c>
      <c r="G6183" s="3">
        <v>0.0</v>
      </c>
    </row>
    <row r="6184">
      <c r="A6184" s="3">
        <v>173694.0</v>
      </c>
      <c r="B6184" s="3" t="s">
        <v>6211</v>
      </c>
      <c r="C6184" s="3" t="s">
        <v>252</v>
      </c>
      <c r="D6184" s="3">
        <v>124.0</v>
      </c>
      <c r="E6184" s="3">
        <v>2.56</v>
      </c>
      <c r="F6184" s="3">
        <v>23.63</v>
      </c>
      <c r="G6184" s="3">
        <v>0.0</v>
      </c>
    </row>
    <row r="6185">
      <c r="A6185" s="3">
        <v>173695.0</v>
      </c>
      <c r="B6185" s="3" t="s">
        <v>6212</v>
      </c>
      <c r="C6185" s="3" t="s">
        <v>252</v>
      </c>
      <c r="D6185" s="3">
        <v>104.0</v>
      </c>
      <c r="E6185" s="3">
        <v>3.61</v>
      </c>
      <c r="F6185" s="3">
        <v>16.74</v>
      </c>
      <c r="G6185" s="3">
        <v>0.0</v>
      </c>
    </row>
    <row r="6186">
      <c r="A6186" s="3">
        <v>173696.0</v>
      </c>
      <c r="B6186" s="3" t="s">
        <v>6213</v>
      </c>
      <c r="C6186" s="3" t="s">
        <v>252</v>
      </c>
      <c r="D6186" s="3">
        <v>197.0</v>
      </c>
      <c r="E6186" s="3">
        <v>13.77</v>
      </c>
      <c r="F6186" s="3">
        <v>16.93</v>
      </c>
      <c r="G6186" s="3">
        <v>0.0</v>
      </c>
    </row>
    <row r="6187">
      <c r="A6187" s="3">
        <v>173697.0</v>
      </c>
      <c r="B6187" s="3" t="s">
        <v>6214</v>
      </c>
      <c r="C6187" s="3" t="s">
        <v>252</v>
      </c>
      <c r="D6187" s="3">
        <v>130.0</v>
      </c>
      <c r="E6187" s="3">
        <v>4.51</v>
      </c>
      <c r="F6187" s="3">
        <v>20.98</v>
      </c>
      <c r="G6187" s="3">
        <v>0.0</v>
      </c>
    </row>
    <row r="6188">
      <c r="A6188" s="3">
        <v>173698.0</v>
      </c>
      <c r="B6188" s="3" t="s">
        <v>6215</v>
      </c>
      <c r="C6188" s="3" t="s">
        <v>252</v>
      </c>
      <c r="D6188" s="3">
        <v>100.0</v>
      </c>
      <c r="E6188" s="3">
        <v>1.34</v>
      </c>
      <c r="F6188" s="3">
        <v>20.51</v>
      </c>
      <c r="G6188" s="3">
        <v>0.0</v>
      </c>
    </row>
    <row r="6189">
      <c r="A6189" s="3">
        <v>173699.0</v>
      </c>
      <c r="B6189" s="3" t="s">
        <v>6216</v>
      </c>
      <c r="C6189" s="3" t="s">
        <v>252</v>
      </c>
      <c r="D6189" s="3">
        <v>128.0</v>
      </c>
      <c r="E6189" s="3">
        <v>1.72</v>
      </c>
      <c r="F6189" s="3">
        <v>26.3</v>
      </c>
      <c r="G6189" s="3">
        <v>0.0</v>
      </c>
    </row>
    <row r="6190">
      <c r="A6190" s="3">
        <v>173700.0</v>
      </c>
      <c r="B6190" s="3" t="s">
        <v>6217</v>
      </c>
      <c r="C6190" s="3" t="s">
        <v>252</v>
      </c>
      <c r="D6190" s="3">
        <v>123.0</v>
      </c>
      <c r="E6190" s="3">
        <v>4.9</v>
      </c>
      <c r="F6190" s="3">
        <v>18.51</v>
      </c>
      <c r="G6190" s="3">
        <v>0.0</v>
      </c>
    </row>
    <row r="6191">
      <c r="A6191" s="3">
        <v>173701.0</v>
      </c>
      <c r="B6191" s="3" t="s">
        <v>6218</v>
      </c>
      <c r="C6191" s="3" t="s">
        <v>252</v>
      </c>
      <c r="D6191" s="3">
        <v>105.0</v>
      </c>
      <c r="E6191" s="3">
        <v>4.04</v>
      </c>
      <c r="F6191" s="3">
        <v>16.14</v>
      </c>
      <c r="G6191" s="3">
        <v>0.0</v>
      </c>
    </row>
    <row r="6192">
      <c r="A6192" s="3">
        <v>173702.0</v>
      </c>
      <c r="B6192" s="3" t="s">
        <v>6219</v>
      </c>
      <c r="C6192" s="3" t="s">
        <v>252</v>
      </c>
      <c r="D6192" s="3">
        <v>99.0</v>
      </c>
      <c r="E6192" s="3">
        <v>0.9</v>
      </c>
      <c r="F6192" s="3">
        <v>15.18</v>
      </c>
      <c r="G6192" s="3">
        <v>6.85</v>
      </c>
    </row>
    <row r="6193">
      <c r="A6193" s="3">
        <v>173703.0</v>
      </c>
      <c r="B6193" s="3" t="s">
        <v>6220</v>
      </c>
      <c r="C6193" s="3" t="s">
        <v>252</v>
      </c>
      <c r="D6193" s="3">
        <v>144.0</v>
      </c>
      <c r="E6193" s="3">
        <v>6.65</v>
      </c>
      <c r="F6193" s="3">
        <v>19.66</v>
      </c>
      <c r="G6193" s="3">
        <v>0.0</v>
      </c>
    </row>
    <row r="6194">
      <c r="A6194" s="3">
        <v>173704.0</v>
      </c>
      <c r="B6194" s="3" t="s">
        <v>6221</v>
      </c>
      <c r="C6194" s="3" t="s">
        <v>252</v>
      </c>
      <c r="D6194" s="3">
        <v>172.0</v>
      </c>
      <c r="E6194" s="3">
        <v>7.93</v>
      </c>
      <c r="F6194" s="3">
        <v>23.45</v>
      </c>
      <c r="G6194" s="3">
        <v>0.0</v>
      </c>
    </row>
    <row r="6195">
      <c r="A6195" s="3">
        <v>173705.0</v>
      </c>
      <c r="B6195" s="3" t="s">
        <v>6222</v>
      </c>
      <c r="C6195" s="3" t="s">
        <v>252</v>
      </c>
      <c r="D6195" s="3">
        <v>96.0</v>
      </c>
      <c r="E6195" s="3">
        <v>2.31</v>
      </c>
      <c r="F6195" s="3">
        <v>17.5</v>
      </c>
      <c r="G6195" s="3">
        <v>0.0</v>
      </c>
    </row>
    <row r="6196">
      <c r="A6196" s="3">
        <v>173706.0</v>
      </c>
      <c r="B6196" s="3" t="s">
        <v>6223</v>
      </c>
      <c r="C6196" s="3" t="s">
        <v>252</v>
      </c>
      <c r="D6196" s="3">
        <v>144.0</v>
      </c>
      <c r="E6196" s="3">
        <v>4.9</v>
      </c>
      <c r="F6196" s="3">
        <v>23.33</v>
      </c>
      <c r="G6196" s="3">
        <v>0.0</v>
      </c>
    </row>
    <row r="6197">
      <c r="A6197" s="3">
        <v>173707.0</v>
      </c>
      <c r="B6197" s="3" t="s">
        <v>6224</v>
      </c>
      <c r="C6197" s="3" t="s">
        <v>252</v>
      </c>
      <c r="D6197" s="3">
        <v>184.0</v>
      </c>
      <c r="E6197" s="3">
        <v>6.28</v>
      </c>
      <c r="F6197" s="3">
        <v>29.91</v>
      </c>
      <c r="G6197" s="3">
        <v>0.0</v>
      </c>
    </row>
    <row r="6198">
      <c r="A6198" s="3">
        <v>173708.0</v>
      </c>
      <c r="B6198" s="3" t="s">
        <v>6225</v>
      </c>
      <c r="C6198" s="3" t="s">
        <v>252</v>
      </c>
      <c r="D6198" s="3">
        <v>198.0</v>
      </c>
      <c r="E6198" s="3">
        <v>8.21</v>
      </c>
      <c r="F6198" s="3">
        <v>29.13</v>
      </c>
      <c r="G6198" s="3">
        <v>0.0</v>
      </c>
    </row>
    <row r="6199">
      <c r="A6199" s="3">
        <v>173709.0</v>
      </c>
      <c r="B6199" s="3" t="s">
        <v>6226</v>
      </c>
      <c r="C6199" s="3" t="s">
        <v>252</v>
      </c>
      <c r="D6199" s="3">
        <v>86.0</v>
      </c>
      <c r="E6199" s="3">
        <v>0.96</v>
      </c>
      <c r="F6199" s="3">
        <v>19.44</v>
      </c>
      <c r="G6199" s="3">
        <v>0.0</v>
      </c>
    </row>
    <row r="6200">
      <c r="A6200" s="3">
        <v>173710.0</v>
      </c>
      <c r="B6200" s="3" t="s">
        <v>6227</v>
      </c>
      <c r="C6200" s="3" t="s">
        <v>252</v>
      </c>
      <c r="D6200" s="3">
        <v>95.0</v>
      </c>
      <c r="E6200" s="3">
        <v>2.95</v>
      </c>
      <c r="F6200" s="3">
        <v>16.05</v>
      </c>
      <c r="G6200" s="3">
        <v>0.0</v>
      </c>
    </row>
    <row r="6201">
      <c r="A6201" s="3">
        <v>173711.0</v>
      </c>
      <c r="B6201" s="3" t="s">
        <v>6228</v>
      </c>
      <c r="C6201" s="3" t="s">
        <v>252</v>
      </c>
      <c r="D6201" s="3">
        <v>134.0</v>
      </c>
      <c r="E6201" s="3">
        <v>5.86</v>
      </c>
      <c r="F6201" s="3">
        <v>19.09</v>
      </c>
      <c r="G6201" s="3">
        <v>0.0</v>
      </c>
    </row>
    <row r="6202">
      <c r="A6202" s="3">
        <v>173712.0</v>
      </c>
      <c r="B6202" s="3" t="s">
        <v>6229</v>
      </c>
      <c r="C6202" s="3" t="s">
        <v>252</v>
      </c>
      <c r="D6202" s="3">
        <v>108.0</v>
      </c>
      <c r="E6202" s="3">
        <v>0.93</v>
      </c>
      <c r="F6202" s="3">
        <v>23.4</v>
      </c>
      <c r="G6202" s="3">
        <v>0.0</v>
      </c>
    </row>
    <row r="6203">
      <c r="A6203" s="3">
        <v>173713.0</v>
      </c>
      <c r="B6203" s="3" t="s">
        <v>6230</v>
      </c>
      <c r="C6203" s="3" t="s">
        <v>252</v>
      </c>
      <c r="D6203" s="3">
        <v>90.0</v>
      </c>
      <c r="E6203" s="3">
        <v>1.31</v>
      </c>
      <c r="F6203" s="3">
        <v>18.31</v>
      </c>
      <c r="G6203" s="3">
        <v>0.0</v>
      </c>
    </row>
    <row r="6204">
      <c r="A6204" s="3">
        <v>173714.0</v>
      </c>
      <c r="B6204" s="3" t="s">
        <v>6231</v>
      </c>
      <c r="C6204" s="3" t="s">
        <v>252</v>
      </c>
      <c r="D6204" s="3">
        <v>105.0</v>
      </c>
      <c r="E6204" s="3">
        <v>2.85</v>
      </c>
      <c r="F6204" s="3">
        <v>18.47</v>
      </c>
      <c r="G6204" s="3">
        <v>0.0</v>
      </c>
    </row>
    <row r="6205">
      <c r="A6205" s="3">
        <v>173715.0</v>
      </c>
      <c r="B6205" s="3" t="s">
        <v>6232</v>
      </c>
      <c r="C6205" s="3" t="s">
        <v>252</v>
      </c>
      <c r="D6205" s="3">
        <v>160.0</v>
      </c>
      <c r="E6205" s="3">
        <v>7.67</v>
      </c>
      <c r="F6205" s="3">
        <v>21.27</v>
      </c>
      <c r="G6205" s="3">
        <v>0.0</v>
      </c>
    </row>
    <row r="6206">
      <c r="A6206" s="3">
        <v>173716.0</v>
      </c>
      <c r="B6206" s="3" t="s">
        <v>6233</v>
      </c>
      <c r="C6206" s="3" t="s">
        <v>252</v>
      </c>
      <c r="D6206" s="3">
        <v>178.0</v>
      </c>
      <c r="E6206" s="3">
        <v>8.23</v>
      </c>
      <c r="F6206" s="3">
        <v>24.3</v>
      </c>
      <c r="G6206" s="3">
        <v>0.0</v>
      </c>
    </row>
    <row r="6207">
      <c r="A6207" s="3">
        <v>173717.0</v>
      </c>
      <c r="B6207" s="3" t="s">
        <v>6234</v>
      </c>
      <c r="C6207" s="3" t="s">
        <v>252</v>
      </c>
      <c r="D6207" s="3">
        <v>141.0</v>
      </c>
      <c r="E6207" s="3">
        <v>6.18</v>
      </c>
      <c r="F6207" s="3">
        <v>19.94</v>
      </c>
      <c r="G6207" s="3">
        <v>0.0</v>
      </c>
    </row>
    <row r="6208">
      <c r="A6208" s="3">
        <v>173718.0</v>
      </c>
      <c r="B6208" s="3" t="s">
        <v>6235</v>
      </c>
      <c r="C6208" s="3" t="s">
        <v>252</v>
      </c>
      <c r="D6208" s="3">
        <v>168.0</v>
      </c>
      <c r="E6208" s="3">
        <v>7.38</v>
      </c>
      <c r="F6208" s="3">
        <v>23.8</v>
      </c>
      <c r="G6208" s="3">
        <v>0.0</v>
      </c>
    </row>
    <row r="6209">
      <c r="A6209" s="3">
        <v>173719.0</v>
      </c>
      <c r="B6209" s="3" t="s">
        <v>6236</v>
      </c>
      <c r="C6209" s="3" t="s">
        <v>252</v>
      </c>
      <c r="D6209" s="3">
        <v>139.0</v>
      </c>
      <c r="E6209" s="3">
        <v>4.3</v>
      </c>
      <c r="F6209" s="3">
        <v>23.45</v>
      </c>
      <c r="G6209" s="3">
        <v>0.0</v>
      </c>
    </row>
    <row r="6210">
      <c r="A6210" s="3">
        <v>173720.0</v>
      </c>
      <c r="B6210" s="3" t="s">
        <v>6237</v>
      </c>
      <c r="C6210" s="3" t="s">
        <v>252</v>
      </c>
      <c r="D6210" s="3">
        <v>130.0</v>
      </c>
      <c r="E6210" s="3">
        <v>1.2</v>
      </c>
      <c r="F6210" s="3">
        <v>26.3</v>
      </c>
      <c r="G6210" s="3">
        <v>1.7</v>
      </c>
    </row>
    <row r="6211">
      <c r="A6211" s="3">
        <v>173721.0</v>
      </c>
      <c r="B6211" s="3" t="s">
        <v>6238</v>
      </c>
      <c r="C6211" s="3" t="s">
        <v>252</v>
      </c>
      <c r="D6211" s="3">
        <v>212.0</v>
      </c>
      <c r="E6211" s="3">
        <v>11.72</v>
      </c>
      <c r="F6211" s="3">
        <v>12.69</v>
      </c>
      <c r="G6211" s="3">
        <v>13.96</v>
      </c>
    </row>
    <row r="6212">
      <c r="A6212" s="3">
        <v>173722.0</v>
      </c>
      <c r="B6212" s="3" t="s">
        <v>6239</v>
      </c>
      <c r="C6212" s="3" t="s">
        <v>252</v>
      </c>
      <c r="D6212" s="3">
        <v>189.0</v>
      </c>
      <c r="E6212" s="3">
        <v>10.43</v>
      </c>
      <c r="F6212" s="3">
        <v>11.97</v>
      </c>
      <c r="G6212" s="3">
        <v>11.85</v>
      </c>
    </row>
    <row r="6213">
      <c r="A6213" s="3">
        <v>173723.0</v>
      </c>
      <c r="B6213" s="3" t="s">
        <v>6240</v>
      </c>
      <c r="C6213" s="3" t="s">
        <v>252</v>
      </c>
      <c r="D6213" s="3">
        <v>158.0</v>
      </c>
      <c r="E6213" s="3">
        <v>5.87</v>
      </c>
      <c r="F6213" s="3">
        <v>26.33</v>
      </c>
      <c r="G6213" s="3">
        <v>0.0</v>
      </c>
    </row>
    <row r="6214">
      <c r="A6214" s="3">
        <v>173724.0</v>
      </c>
      <c r="B6214" s="3" t="s">
        <v>6241</v>
      </c>
      <c r="C6214" s="3" t="s">
        <v>252</v>
      </c>
      <c r="D6214" s="3">
        <v>136.0</v>
      </c>
      <c r="E6214" s="3">
        <v>4.21</v>
      </c>
      <c r="F6214" s="3">
        <v>24.62</v>
      </c>
      <c r="G6214" s="3">
        <v>0.0</v>
      </c>
    </row>
    <row r="6215">
      <c r="A6215" s="3">
        <v>173725.0</v>
      </c>
      <c r="B6215" s="3" t="s">
        <v>6242</v>
      </c>
      <c r="C6215" s="3" t="s">
        <v>252</v>
      </c>
      <c r="D6215" s="3">
        <v>76.0</v>
      </c>
      <c r="E6215" s="3">
        <v>0.82</v>
      </c>
      <c r="F6215" s="3">
        <v>17.17</v>
      </c>
      <c r="G6215" s="3">
        <v>0.0</v>
      </c>
    </row>
    <row r="6216">
      <c r="A6216" s="3">
        <v>173726.0</v>
      </c>
      <c r="B6216" s="3" t="s">
        <v>6243</v>
      </c>
      <c r="C6216" s="3" t="s">
        <v>252</v>
      </c>
      <c r="D6216" s="3">
        <v>86.616</v>
      </c>
      <c r="E6216" s="3">
        <v>0.995</v>
      </c>
      <c r="F6216" s="3">
        <v>19.42</v>
      </c>
      <c r="G6216" s="3">
        <v>0.0</v>
      </c>
    </row>
    <row r="6217">
      <c r="A6217" s="3">
        <v>173727.0</v>
      </c>
      <c r="B6217" s="3" t="s">
        <v>6244</v>
      </c>
      <c r="C6217" s="3" t="s">
        <v>228</v>
      </c>
      <c r="D6217" s="3">
        <v>329.0</v>
      </c>
      <c r="E6217" s="3">
        <v>0.53</v>
      </c>
      <c r="F6217" s="3">
        <v>19.87</v>
      </c>
      <c r="G6217" s="3">
        <v>62.9</v>
      </c>
    </row>
    <row r="6218">
      <c r="A6218" s="3">
        <v>173728.0</v>
      </c>
      <c r="B6218" s="3" t="s">
        <v>6245</v>
      </c>
      <c r="C6218" s="3" t="s">
        <v>228</v>
      </c>
      <c r="D6218" s="3">
        <v>128.0</v>
      </c>
      <c r="E6218" s="3">
        <v>0.1</v>
      </c>
      <c r="F6218" s="3">
        <v>7.52</v>
      </c>
      <c r="G6218" s="3">
        <v>24.77</v>
      </c>
    </row>
    <row r="6219">
      <c r="A6219" s="3">
        <v>173729.0</v>
      </c>
      <c r="B6219" s="3" t="s">
        <v>6246</v>
      </c>
      <c r="C6219" s="3" t="s">
        <v>228</v>
      </c>
      <c r="D6219" s="3">
        <v>237.0</v>
      </c>
      <c r="E6219" s="3">
        <v>0.03</v>
      </c>
      <c r="F6219" s="3">
        <v>3.8</v>
      </c>
      <c r="G6219" s="3">
        <v>55.01</v>
      </c>
    </row>
    <row r="6220">
      <c r="A6220" s="3">
        <v>173730.0</v>
      </c>
      <c r="B6220" s="3" t="s">
        <v>6247</v>
      </c>
      <c r="C6220" s="3" t="s">
        <v>228</v>
      </c>
      <c r="D6220" s="3">
        <v>260.0</v>
      </c>
      <c r="E6220" s="3">
        <v>0.12</v>
      </c>
      <c r="F6220" s="3">
        <v>3.29</v>
      </c>
      <c r="G6220" s="3">
        <v>60.72</v>
      </c>
    </row>
    <row r="6221">
      <c r="A6221" s="3">
        <v>173731.0</v>
      </c>
      <c r="B6221" s="3" t="s">
        <v>6248</v>
      </c>
      <c r="C6221" s="3" t="s">
        <v>228</v>
      </c>
      <c r="D6221" s="3">
        <v>155.0</v>
      </c>
      <c r="E6221" s="3">
        <v>5.15</v>
      </c>
      <c r="F6221" s="3">
        <v>5.54</v>
      </c>
      <c r="G6221" s="3">
        <v>21.63</v>
      </c>
    </row>
    <row r="6222">
      <c r="A6222" s="3">
        <v>173732.0</v>
      </c>
      <c r="B6222" s="3" t="s">
        <v>6249</v>
      </c>
      <c r="C6222" s="3" t="s">
        <v>228</v>
      </c>
      <c r="D6222" s="3">
        <v>105.0</v>
      </c>
      <c r="E6222" s="3">
        <v>0.89</v>
      </c>
      <c r="F6222" s="3">
        <v>4.52</v>
      </c>
      <c r="G6222" s="3">
        <v>21.57</v>
      </c>
    </row>
    <row r="6223">
      <c r="A6223" s="3">
        <v>173733.0</v>
      </c>
      <c r="B6223" s="3" t="s">
        <v>6250</v>
      </c>
      <c r="C6223" s="3" t="s">
        <v>228</v>
      </c>
      <c r="D6223" s="3">
        <v>94.0</v>
      </c>
      <c r="E6223" s="3">
        <v>0.93</v>
      </c>
      <c r="F6223" s="3">
        <v>5.15</v>
      </c>
      <c r="G6223" s="3">
        <v>18.69</v>
      </c>
    </row>
    <row r="6224">
      <c r="A6224" s="3">
        <v>173734.0</v>
      </c>
      <c r="B6224" s="3" t="s">
        <v>6251</v>
      </c>
      <c r="C6224" s="3" t="s">
        <v>228</v>
      </c>
      <c r="D6224" s="3">
        <v>341.0</v>
      </c>
      <c r="E6224" s="3">
        <v>1.42</v>
      </c>
      <c r="F6224" s="3">
        <v>21.6</v>
      </c>
      <c r="G6224" s="3">
        <v>62.36</v>
      </c>
    </row>
    <row r="6225">
      <c r="A6225" s="3">
        <v>173735.0</v>
      </c>
      <c r="B6225" s="3" t="s">
        <v>6252</v>
      </c>
      <c r="C6225" s="3" t="s">
        <v>228</v>
      </c>
      <c r="D6225" s="3">
        <v>132.0</v>
      </c>
      <c r="E6225" s="3">
        <v>0.54</v>
      </c>
      <c r="F6225" s="3">
        <v>8.86</v>
      </c>
      <c r="G6225" s="3">
        <v>23.71</v>
      </c>
    </row>
    <row r="6226">
      <c r="A6226" s="3">
        <v>173736.0</v>
      </c>
      <c r="B6226" s="3" t="s">
        <v>6253</v>
      </c>
      <c r="C6226" s="3" t="s">
        <v>228</v>
      </c>
      <c r="D6226" s="3">
        <v>136.0</v>
      </c>
      <c r="E6226" s="3">
        <v>0.46</v>
      </c>
      <c r="F6226" s="3">
        <v>9.34</v>
      </c>
      <c r="G6226" s="3">
        <v>24.46</v>
      </c>
    </row>
    <row r="6227">
      <c r="A6227" s="3">
        <v>173737.0</v>
      </c>
      <c r="B6227" s="3" t="s">
        <v>6254</v>
      </c>
      <c r="C6227" s="3" t="s">
        <v>228</v>
      </c>
      <c r="D6227" s="3">
        <v>83.0</v>
      </c>
      <c r="E6227" s="3">
        <v>0.28</v>
      </c>
      <c r="F6227" s="3">
        <v>5.54</v>
      </c>
      <c r="G6227" s="3">
        <v>15.12</v>
      </c>
    </row>
    <row r="6228">
      <c r="A6228" s="3">
        <v>173738.0</v>
      </c>
      <c r="B6228" s="3" t="s">
        <v>6255</v>
      </c>
      <c r="C6228" s="3" t="s">
        <v>228</v>
      </c>
      <c r="D6228" s="3">
        <v>343.0</v>
      </c>
      <c r="E6228" s="3">
        <v>2.02</v>
      </c>
      <c r="F6228" s="3">
        <v>18.81</v>
      </c>
      <c r="G6228" s="3">
        <v>64.11</v>
      </c>
    </row>
    <row r="6229">
      <c r="A6229" s="3">
        <v>173739.0</v>
      </c>
      <c r="B6229" s="3" t="s">
        <v>6256</v>
      </c>
      <c r="C6229" s="3" t="s">
        <v>228</v>
      </c>
      <c r="D6229" s="3">
        <v>129.0</v>
      </c>
      <c r="E6229" s="3">
        <v>0.76</v>
      </c>
      <c r="F6229" s="3">
        <v>7.05</v>
      </c>
      <c r="G6229" s="3">
        <v>24.02</v>
      </c>
    </row>
    <row r="6230">
      <c r="A6230" s="3">
        <v>173740.0</v>
      </c>
      <c r="B6230" s="3" t="s">
        <v>6257</v>
      </c>
      <c r="C6230" s="3" t="s">
        <v>228</v>
      </c>
      <c r="D6230" s="3">
        <v>127.0</v>
      </c>
      <c r="E6230" s="3">
        <v>0.5</v>
      </c>
      <c r="F6230" s="3">
        <v>8.67</v>
      </c>
      <c r="G6230" s="3">
        <v>22.8</v>
      </c>
    </row>
    <row r="6231">
      <c r="A6231" s="3">
        <v>173741.0</v>
      </c>
      <c r="B6231" s="3" t="s">
        <v>6258</v>
      </c>
      <c r="C6231" s="3" t="s">
        <v>228</v>
      </c>
      <c r="D6231" s="3">
        <v>84.0</v>
      </c>
      <c r="E6231" s="3">
        <v>0.6</v>
      </c>
      <c r="F6231" s="3">
        <v>5.22</v>
      </c>
      <c r="G6231" s="3">
        <v>14.5</v>
      </c>
    </row>
    <row r="6232">
      <c r="A6232" s="3">
        <v>173742.0</v>
      </c>
      <c r="B6232" s="3" t="s">
        <v>6259</v>
      </c>
      <c r="C6232" s="3" t="s">
        <v>228</v>
      </c>
      <c r="D6232" s="3">
        <v>330.0</v>
      </c>
      <c r="E6232" s="3">
        <v>0.25</v>
      </c>
      <c r="F6232" s="3">
        <v>24.37</v>
      </c>
      <c r="G6232" s="3">
        <v>59.8</v>
      </c>
    </row>
    <row r="6233">
      <c r="A6233" s="3">
        <v>173743.0</v>
      </c>
      <c r="B6233" s="3" t="s">
        <v>6260</v>
      </c>
      <c r="C6233" s="3" t="s">
        <v>228</v>
      </c>
      <c r="D6233" s="3">
        <v>124.0</v>
      </c>
      <c r="E6233" s="3">
        <v>0.09</v>
      </c>
      <c r="F6233" s="3">
        <v>9.13</v>
      </c>
      <c r="G6233" s="3">
        <v>22.41</v>
      </c>
    </row>
    <row r="6234">
      <c r="A6234" s="3">
        <v>173744.0</v>
      </c>
      <c r="B6234" s="3" t="s">
        <v>6261</v>
      </c>
      <c r="C6234" s="3" t="s">
        <v>228</v>
      </c>
      <c r="D6234" s="3">
        <v>337.0</v>
      </c>
      <c r="E6234" s="3">
        <v>1.06</v>
      </c>
      <c r="F6234" s="3">
        <v>22.53</v>
      </c>
      <c r="G6234" s="3">
        <v>61.29</v>
      </c>
    </row>
    <row r="6235">
      <c r="A6235" s="3">
        <v>173745.0</v>
      </c>
      <c r="B6235" s="3" t="s">
        <v>6262</v>
      </c>
      <c r="C6235" s="3" t="s">
        <v>228</v>
      </c>
      <c r="D6235" s="3">
        <v>337.0</v>
      </c>
      <c r="E6235" s="3">
        <v>1.5</v>
      </c>
      <c r="F6235" s="3">
        <v>22.33</v>
      </c>
      <c r="G6235" s="3">
        <v>60.75</v>
      </c>
    </row>
    <row r="6236">
      <c r="A6236" s="3">
        <v>173746.0</v>
      </c>
      <c r="B6236" s="3" t="s">
        <v>6263</v>
      </c>
      <c r="C6236" s="3" t="s">
        <v>228</v>
      </c>
      <c r="D6236" s="3">
        <v>140.0</v>
      </c>
      <c r="E6236" s="3">
        <v>0.62</v>
      </c>
      <c r="F6236" s="3">
        <v>8.23</v>
      </c>
      <c r="G6236" s="3">
        <v>26.05</v>
      </c>
    </row>
    <row r="6237">
      <c r="A6237" s="3">
        <v>173747.0</v>
      </c>
      <c r="B6237" s="3" t="s">
        <v>6264</v>
      </c>
      <c r="C6237" s="3" t="s">
        <v>228</v>
      </c>
      <c r="D6237" s="3">
        <v>113.0</v>
      </c>
      <c r="E6237" s="3">
        <v>0.43</v>
      </c>
      <c r="F6237" s="3">
        <v>7.53</v>
      </c>
      <c r="G6237" s="3">
        <v>20.45</v>
      </c>
    </row>
    <row r="6238">
      <c r="A6238" s="3">
        <v>173748.0</v>
      </c>
      <c r="B6238" s="3" t="s">
        <v>6265</v>
      </c>
      <c r="C6238" s="3" t="s">
        <v>228</v>
      </c>
      <c r="D6238" s="3">
        <v>343.0</v>
      </c>
      <c r="E6238" s="3">
        <v>1.13</v>
      </c>
      <c r="F6238" s="3">
        <v>20.96</v>
      </c>
      <c r="G6238" s="3">
        <v>64.19</v>
      </c>
    </row>
    <row r="6239">
      <c r="A6239" s="3">
        <v>173749.0</v>
      </c>
      <c r="B6239" s="3" t="s">
        <v>6266</v>
      </c>
      <c r="C6239" s="3" t="s">
        <v>228</v>
      </c>
      <c r="D6239" s="3">
        <v>336.0</v>
      </c>
      <c r="E6239" s="3">
        <v>1.18</v>
      </c>
      <c r="F6239" s="3">
        <v>21.11</v>
      </c>
      <c r="G6239" s="3">
        <v>62.25</v>
      </c>
    </row>
    <row r="6240">
      <c r="A6240" s="3">
        <v>173750.0</v>
      </c>
      <c r="B6240" s="3" t="s">
        <v>6267</v>
      </c>
      <c r="C6240" s="3" t="s">
        <v>228</v>
      </c>
      <c r="D6240" s="3">
        <v>142.0</v>
      </c>
      <c r="E6240" s="3">
        <v>0.64</v>
      </c>
      <c r="F6240" s="3">
        <v>8.97</v>
      </c>
      <c r="G6240" s="3">
        <v>25.81</v>
      </c>
    </row>
    <row r="6241">
      <c r="A6241" s="3">
        <v>173751.0</v>
      </c>
      <c r="B6241" s="3" t="s">
        <v>6268</v>
      </c>
      <c r="C6241" s="3" t="s">
        <v>228</v>
      </c>
      <c r="D6241" s="3">
        <v>345.0</v>
      </c>
      <c r="E6241" s="3">
        <v>2.6</v>
      </c>
      <c r="F6241" s="3">
        <v>22.0</v>
      </c>
      <c r="G6241" s="3">
        <v>60.7</v>
      </c>
    </row>
    <row r="6242">
      <c r="A6242" s="3">
        <v>173752.0</v>
      </c>
      <c r="B6242" s="3" t="s">
        <v>6269</v>
      </c>
      <c r="C6242" s="3" t="s">
        <v>228</v>
      </c>
      <c r="D6242" s="3">
        <v>144.0</v>
      </c>
      <c r="E6242" s="3">
        <v>1.08</v>
      </c>
      <c r="F6242" s="3">
        <v>9.16</v>
      </c>
      <c r="G6242" s="3">
        <v>25.28</v>
      </c>
    </row>
    <row r="6243">
      <c r="A6243" s="3">
        <v>173753.0</v>
      </c>
      <c r="B6243" s="3" t="s">
        <v>6270</v>
      </c>
      <c r="C6243" s="3" t="s">
        <v>228</v>
      </c>
      <c r="D6243" s="3">
        <v>110.0</v>
      </c>
      <c r="E6243" s="3">
        <v>0.4</v>
      </c>
      <c r="F6243" s="3">
        <v>7.6</v>
      </c>
      <c r="G6243" s="3">
        <v>19.65</v>
      </c>
    </row>
    <row r="6244">
      <c r="A6244" s="3">
        <v>173754.0</v>
      </c>
      <c r="B6244" s="3" t="s">
        <v>6271</v>
      </c>
      <c r="C6244" s="3" t="s">
        <v>228</v>
      </c>
      <c r="D6244" s="3">
        <v>71.0</v>
      </c>
      <c r="E6244" s="3">
        <v>0.22</v>
      </c>
      <c r="F6244" s="3">
        <v>5.47</v>
      </c>
      <c r="G6244" s="3">
        <v>12.41</v>
      </c>
    </row>
    <row r="6245">
      <c r="A6245" s="3">
        <v>173755.0</v>
      </c>
      <c r="B6245" s="3" t="s">
        <v>6272</v>
      </c>
      <c r="C6245" s="3" t="s">
        <v>228</v>
      </c>
      <c r="D6245" s="3">
        <v>222.0</v>
      </c>
      <c r="E6245" s="3">
        <v>0.65</v>
      </c>
      <c r="F6245" s="3">
        <v>4.62</v>
      </c>
      <c r="G6245" s="3">
        <v>88.88</v>
      </c>
    </row>
    <row r="6246">
      <c r="A6246" s="3">
        <v>173756.0</v>
      </c>
      <c r="B6246" s="3" t="s">
        <v>6273</v>
      </c>
      <c r="C6246" s="3" t="s">
        <v>228</v>
      </c>
      <c r="D6246" s="3">
        <v>378.0</v>
      </c>
      <c r="E6246" s="3">
        <v>6.04</v>
      </c>
      <c r="F6246" s="3">
        <v>20.47</v>
      </c>
      <c r="G6246" s="3">
        <v>62.95</v>
      </c>
    </row>
    <row r="6247">
      <c r="A6247" s="3">
        <v>173757.0</v>
      </c>
      <c r="B6247" s="3" t="s">
        <v>6274</v>
      </c>
      <c r="C6247" s="3" t="s">
        <v>228</v>
      </c>
      <c r="D6247" s="3">
        <v>164.0</v>
      </c>
      <c r="E6247" s="3">
        <v>2.59</v>
      </c>
      <c r="F6247" s="3">
        <v>8.86</v>
      </c>
      <c r="G6247" s="3">
        <v>27.42</v>
      </c>
    </row>
    <row r="6248">
      <c r="A6248" s="3">
        <v>173758.0</v>
      </c>
      <c r="B6248" s="3" t="s">
        <v>6275</v>
      </c>
      <c r="C6248" s="3" t="s">
        <v>228</v>
      </c>
      <c r="D6248" s="3">
        <v>336.0</v>
      </c>
      <c r="E6248" s="3">
        <v>1.26</v>
      </c>
      <c r="F6248" s="3">
        <v>23.52</v>
      </c>
      <c r="G6248" s="3">
        <v>60.03</v>
      </c>
    </row>
    <row r="6249">
      <c r="A6249" s="3">
        <v>173759.0</v>
      </c>
      <c r="B6249" s="3" t="s">
        <v>6276</v>
      </c>
      <c r="C6249" s="3" t="s">
        <v>228</v>
      </c>
      <c r="D6249" s="3">
        <v>116.0</v>
      </c>
      <c r="E6249" s="3">
        <v>0.53</v>
      </c>
      <c r="F6249" s="3">
        <v>7.73</v>
      </c>
      <c r="G6249" s="3">
        <v>20.76</v>
      </c>
    </row>
    <row r="6250">
      <c r="A6250" s="3">
        <v>173760.0</v>
      </c>
      <c r="B6250" s="3" t="s">
        <v>6277</v>
      </c>
      <c r="C6250" s="3" t="s">
        <v>228</v>
      </c>
      <c r="D6250" s="3">
        <v>77.0</v>
      </c>
      <c r="E6250" s="3">
        <v>0.55</v>
      </c>
      <c r="F6250" s="3">
        <v>4.74</v>
      </c>
      <c r="G6250" s="3">
        <v>13.63</v>
      </c>
    </row>
    <row r="6251">
      <c r="A6251" s="3">
        <v>173761.0</v>
      </c>
      <c r="B6251" s="3" t="s">
        <v>6278</v>
      </c>
      <c r="C6251" s="3" t="s">
        <v>228</v>
      </c>
      <c r="D6251" s="3">
        <v>83.0</v>
      </c>
      <c r="E6251" s="3">
        <v>1.6</v>
      </c>
      <c r="F6251" s="3">
        <v>2.74</v>
      </c>
      <c r="G6251" s="3">
        <v>16.53</v>
      </c>
    </row>
    <row r="6252">
      <c r="A6252" s="3">
        <v>173762.0</v>
      </c>
      <c r="B6252" s="3" t="s">
        <v>6279</v>
      </c>
      <c r="C6252" s="3" t="s">
        <v>228</v>
      </c>
      <c r="D6252" s="3">
        <v>98.0</v>
      </c>
      <c r="E6252" s="3">
        <v>5.2</v>
      </c>
      <c r="F6252" s="3">
        <v>10.1</v>
      </c>
      <c r="G6252" s="3">
        <v>2.6</v>
      </c>
    </row>
    <row r="6253">
      <c r="A6253" s="3">
        <v>173763.0</v>
      </c>
      <c r="B6253" s="3" t="s">
        <v>6280</v>
      </c>
      <c r="C6253" s="3" t="s">
        <v>228</v>
      </c>
      <c r="D6253" s="3">
        <v>84.0</v>
      </c>
      <c r="E6253" s="3">
        <v>4.4</v>
      </c>
      <c r="F6253" s="3">
        <v>8.9</v>
      </c>
      <c r="G6253" s="3">
        <v>2.3</v>
      </c>
    </row>
    <row r="6254">
      <c r="A6254" s="3">
        <v>173764.0</v>
      </c>
      <c r="B6254" s="3" t="s">
        <v>6281</v>
      </c>
      <c r="C6254" s="3" t="s">
        <v>228</v>
      </c>
      <c r="D6254" s="3">
        <v>47.0</v>
      </c>
      <c r="E6254" s="3">
        <v>2.5</v>
      </c>
      <c r="F6254" s="3">
        <v>4.8</v>
      </c>
      <c r="G6254" s="3">
        <v>1.4</v>
      </c>
    </row>
    <row r="6255">
      <c r="A6255" s="3">
        <v>173765.0</v>
      </c>
      <c r="B6255" s="3" t="s">
        <v>6282</v>
      </c>
      <c r="C6255" s="3" t="s">
        <v>228</v>
      </c>
      <c r="D6255" s="3">
        <v>45.0</v>
      </c>
      <c r="E6255" s="3">
        <v>1.99</v>
      </c>
      <c r="F6255" s="3">
        <v>2.94</v>
      </c>
      <c r="G6255" s="3">
        <v>3.45</v>
      </c>
    </row>
    <row r="6256">
      <c r="A6256" s="3">
        <v>173766.0</v>
      </c>
      <c r="B6256" s="3" t="s">
        <v>6283</v>
      </c>
      <c r="C6256" s="3" t="s">
        <v>228</v>
      </c>
      <c r="D6256" s="3">
        <v>30.0</v>
      </c>
      <c r="E6256" s="3">
        <v>0.77</v>
      </c>
      <c r="F6256" s="3">
        <v>2.38</v>
      </c>
      <c r="G6256" s="3">
        <v>3.51</v>
      </c>
    </row>
    <row r="6257">
      <c r="A6257" s="3">
        <v>173767.0</v>
      </c>
      <c r="B6257" s="3" t="s">
        <v>6284</v>
      </c>
      <c r="C6257" s="3" t="s">
        <v>228</v>
      </c>
      <c r="D6257" s="3">
        <v>47.0</v>
      </c>
      <c r="E6257" s="3">
        <v>0.64</v>
      </c>
      <c r="F6257" s="3">
        <v>2.1</v>
      </c>
      <c r="G6257" s="3">
        <v>8.24</v>
      </c>
    </row>
    <row r="6258">
      <c r="A6258" s="3">
        <v>173768.0</v>
      </c>
      <c r="B6258" s="3" t="s">
        <v>6285</v>
      </c>
      <c r="C6258" s="3" t="s">
        <v>228</v>
      </c>
      <c r="D6258" s="3">
        <v>34.0</v>
      </c>
      <c r="E6258" s="3">
        <v>0.85</v>
      </c>
      <c r="F6258" s="3">
        <v>2.62</v>
      </c>
      <c r="G6258" s="3">
        <v>3.85</v>
      </c>
    </row>
    <row r="6259">
      <c r="A6259" s="3">
        <v>173769.0</v>
      </c>
      <c r="B6259" s="3" t="s">
        <v>6286</v>
      </c>
      <c r="C6259" s="3" t="s">
        <v>228</v>
      </c>
      <c r="D6259" s="3">
        <v>43.0</v>
      </c>
      <c r="E6259" s="3">
        <v>0.62</v>
      </c>
      <c r="F6259" s="3">
        <v>1.65</v>
      </c>
      <c r="G6259" s="3">
        <v>7.2</v>
      </c>
    </row>
    <row r="6260">
      <c r="A6260" s="3">
        <v>173770.0</v>
      </c>
      <c r="B6260" s="3" t="s">
        <v>6287</v>
      </c>
      <c r="C6260" s="3" t="s">
        <v>228</v>
      </c>
      <c r="D6260" s="3">
        <v>58.0</v>
      </c>
      <c r="E6260" s="3">
        <v>1.44</v>
      </c>
      <c r="F6260" s="3">
        <v>2.06</v>
      </c>
      <c r="G6260" s="3">
        <v>9.47</v>
      </c>
    </row>
    <row r="6261">
      <c r="A6261" s="3">
        <v>173771.0</v>
      </c>
      <c r="B6261" s="3" t="s">
        <v>6288</v>
      </c>
      <c r="C6261" s="3" t="s">
        <v>228</v>
      </c>
      <c r="D6261" s="3">
        <v>29.0</v>
      </c>
      <c r="E6261" s="3">
        <v>0.82</v>
      </c>
      <c r="F6261" s="3">
        <v>2.47</v>
      </c>
      <c r="G6261" s="3">
        <v>3.29</v>
      </c>
    </row>
    <row r="6262">
      <c r="A6262" s="3">
        <v>173772.0</v>
      </c>
      <c r="B6262" s="3" t="s">
        <v>6289</v>
      </c>
      <c r="C6262" s="3" t="s">
        <v>228</v>
      </c>
      <c r="D6262" s="3">
        <v>33.0</v>
      </c>
      <c r="E6262" s="3">
        <v>0.82</v>
      </c>
      <c r="F6262" s="3">
        <v>2.47</v>
      </c>
      <c r="G6262" s="3">
        <v>4.12</v>
      </c>
    </row>
    <row r="6263">
      <c r="A6263" s="3">
        <v>173773.0</v>
      </c>
      <c r="B6263" s="3" t="s">
        <v>6290</v>
      </c>
      <c r="C6263" s="3" t="s">
        <v>228</v>
      </c>
      <c r="D6263" s="3">
        <v>49.0</v>
      </c>
      <c r="E6263" s="3">
        <v>0.62</v>
      </c>
      <c r="F6263" s="3">
        <v>2.06</v>
      </c>
      <c r="G6263" s="3">
        <v>9.05</v>
      </c>
    </row>
    <row r="6264">
      <c r="A6264" s="3">
        <v>173774.0</v>
      </c>
      <c r="B6264" s="3" t="s">
        <v>6291</v>
      </c>
      <c r="C6264" s="3" t="s">
        <v>228</v>
      </c>
      <c r="D6264" s="3">
        <v>53.0</v>
      </c>
      <c r="E6264" s="3">
        <v>1.65</v>
      </c>
      <c r="F6264" s="3">
        <v>2.47</v>
      </c>
      <c r="G6264" s="3">
        <v>7.82</v>
      </c>
    </row>
    <row r="6265">
      <c r="A6265" s="3">
        <v>173775.0</v>
      </c>
      <c r="B6265" s="3" t="s">
        <v>6292</v>
      </c>
      <c r="C6265" s="3" t="s">
        <v>228</v>
      </c>
      <c r="D6265" s="3">
        <v>74.0</v>
      </c>
      <c r="E6265" s="3">
        <v>1.64</v>
      </c>
      <c r="F6265" s="3">
        <v>2.46</v>
      </c>
      <c r="G6265" s="3">
        <v>12.3</v>
      </c>
    </row>
    <row r="6266">
      <c r="A6266" s="3">
        <v>173776.0</v>
      </c>
      <c r="B6266" s="3" t="s">
        <v>6293</v>
      </c>
      <c r="C6266" s="3" t="s">
        <v>228</v>
      </c>
      <c r="D6266" s="3">
        <v>53.0</v>
      </c>
      <c r="E6266" s="3">
        <v>1.44</v>
      </c>
      <c r="F6266" s="3">
        <v>2.47</v>
      </c>
      <c r="G6266" s="3">
        <v>7.82</v>
      </c>
    </row>
    <row r="6267">
      <c r="A6267" s="3">
        <v>173777.0</v>
      </c>
      <c r="B6267" s="3" t="s">
        <v>6294</v>
      </c>
      <c r="C6267" s="3" t="s">
        <v>228</v>
      </c>
      <c r="D6267" s="3">
        <v>58.0</v>
      </c>
      <c r="E6267" s="3">
        <v>1.44</v>
      </c>
      <c r="F6267" s="3">
        <v>2.06</v>
      </c>
      <c r="G6267" s="3">
        <v>9.05</v>
      </c>
    </row>
    <row r="6268">
      <c r="A6268" s="3">
        <v>173778.0</v>
      </c>
      <c r="B6268" s="3" t="s">
        <v>6295</v>
      </c>
      <c r="C6268" s="3" t="s">
        <v>228</v>
      </c>
      <c r="D6268" s="3">
        <v>88.0</v>
      </c>
      <c r="E6268" s="3">
        <v>1.18</v>
      </c>
      <c r="F6268" s="3">
        <v>2.35</v>
      </c>
      <c r="G6268" s="3">
        <v>17.65</v>
      </c>
    </row>
    <row r="6269">
      <c r="A6269" s="3">
        <v>173779.0</v>
      </c>
      <c r="B6269" s="3" t="s">
        <v>6296</v>
      </c>
      <c r="C6269" s="3" t="s">
        <v>228</v>
      </c>
      <c r="D6269" s="3">
        <v>94.0</v>
      </c>
      <c r="E6269" s="3">
        <v>1.18</v>
      </c>
      <c r="F6269" s="3">
        <v>2.35</v>
      </c>
      <c r="G6269" s="3">
        <v>18.82</v>
      </c>
    </row>
    <row r="6270">
      <c r="A6270" s="3">
        <v>173780.0</v>
      </c>
      <c r="B6270" s="3" t="s">
        <v>6297</v>
      </c>
      <c r="C6270" s="3" t="s">
        <v>228</v>
      </c>
      <c r="D6270" s="3">
        <v>88.0</v>
      </c>
      <c r="E6270" s="3">
        <v>1.18</v>
      </c>
      <c r="F6270" s="3">
        <v>2.35</v>
      </c>
      <c r="G6270" s="3">
        <v>17.06</v>
      </c>
    </row>
    <row r="6271">
      <c r="A6271" s="3">
        <v>173781.0</v>
      </c>
      <c r="B6271" s="3" t="s">
        <v>6298</v>
      </c>
      <c r="C6271" s="3" t="s">
        <v>228</v>
      </c>
      <c r="D6271" s="3">
        <v>88.0</v>
      </c>
      <c r="E6271" s="3">
        <v>1.18</v>
      </c>
      <c r="F6271" s="3">
        <v>2.35</v>
      </c>
      <c r="G6271" s="3">
        <v>17.06</v>
      </c>
    </row>
    <row r="6272">
      <c r="A6272" s="3">
        <v>173782.0</v>
      </c>
      <c r="B6272" s="3" t="s">
        <v>6299</v>
      </c>
      <c r="C6272" s="3" t="s">
        <v>228</v>
      </c>
      <c r="D6272" s="3">
        <v>133.0</v>
      </c>
      <c r="E6272" s="3">
        <v>6.67</v>
      </c>
      <c r="F6272" s="3">
        <v>0.0</v>
      </c>
      <c r="G6272" s="3">
        <v>20.0</v>
      </c>
    </row>
    <row r="6273">
      <c r="A6273" s="3">
        <v>173783.0</v>
      </c>
      <c r="B6273" s="3" t="s">
        <v>6300</v>
      </c>
      <c r="C6273" s="3" t="s">
        <v>228</v>
      </c>
      <c r="D6273" s="3">
        <v>70.0</v>
      </c>
      <c r="E6273" s="3">
        <v>3.5</v>
      </c>
      <c r="F6273" s="3">
        <v>8.76</v>
      </c>
      <c r="G6273" s="3">
        <v>0.74</v>
      </c>
    </row>
    <row r="6274">
      <c r="A6274" s="3">
        <v>173784.0</v>
      </c>
      <c r="B6274" s="3" t="s">
        <v>6301</v>
      </c>
      <c r="C6274" s="3" t="s">
        <v>228</v>
      </c>
      <c r="D6274" s="3">
        <v>43.0</v>
      </c>
      <c r="E6274" s="3">
        <v>1.1</v>
      </c>
      <c r="F6274" s="3">
        <v>8.21</v>
      </c>
      <c r="G6274" s="3">
        <v>0.0</v>
      </c>
    </row>
    <row r="6275">
      <c r="A6275" s="3">
        <v>173785.0</v>
      </c>
      <c r="B6275" s="3" t="s">
        <v>6302</v>
      </c>
      <c r="C6275" s="3" t="s">
        <v>228</v>
      </c>
      <c r="D6275" s="3">
        <v>92.0</v>
      </c>
      <c r="E6275" s="3">
        <v>4.9</v>
      </c>
      <c r="F6275" s="3">
        <v>10.18</v>
      </c>
      <c r="G6275" s="3">
        <v>1.82</v>
      </c>
    </row>
    <row r="6276">
      <c r="A6276" s="3">
        <v>173786.0</v>
      </c>
      <c r="B6276" s="3" t="s">
        <v>6303</v>
      </c>
      <c r="C6276" s="3" t="s">
        <v>228</v>
      </c>
      <c r="D6276" s="3">
        <v>43.0</v>
      </c>
      <c r="E6276" s="3">
        <v>2.4</v>
      </c>
      <c r="F6276" s="3">
        <v>4.82</v>
      </c>
      <c r="G6276" s="3">
        <v>0.58</v>
      </c>
    </row>
    <row r="6277">
      <c r="A6277" s="3">
        <v>173787.0</v>
      </c>
      <c r="B6277" s="3" t="s">
        <v>6304</v>
      </c>
      <c r="C6277" s="3" t="s">
        <v>228</v>
      </c>
      <c r="D6277" s="3">
        <v>59.0</v>
      </c>
      <c r="E6277" s="3">
        <v>2.71</v>
      </c>
      <c r="F6277" s="3">
        <v>6.38</v>
      </c>
      <c r="G6277" s="3">
        <v>2.19</v>
      </c>
    </row>
    <row r="6278">
      <c r="A6278" s="3">
        <v>173788.0</v>
      </c>
      <c r="B6278" s="3" t="s">
        <v>6305</v>
      </c>
      <c r="C6278" s="3" t="s">
        <v>228</v>
      </c>
      <c r="D6278" s="3">
        <v>85.0</v>
      </c>
      <c r="E6278" s="3">
        <v>4.19</v>
      </c>
      <c r="F6278" s="3">
        <v>10.92</v>
      </c>
      <c r="G6278" s="3">
        <v>0.97</v>
      </c>
    </row>
    <row r="6279">
      <c r="A6279" s="3">
        <v>173789.0</v>
      </c>
      <c r="B6279" s="3" t="s">
        <v>6306</v>
      </c>
      <c r="C6279" s="3" t="s">
        <v>228</v>
      </c>
      <c r="D6279" s="3">
        <v>128.0</v>
      </c>
      <c r="E6279" s="3">
        <v>0.1</v>
      </c>
      <c r="F6279" s="3">
        <v>7.52</v>
      </c>
      <c r="G6279" s="3">
        <v>24.77</v>
      </c>
    </row>
    <row r="6280">
      <c r="A6280" s="3">
        <v>173790.0</v>
      </c>
      <c r="B6280" s="3" t="s">
        <v>6307</v>
      </c>
      <c r="C6280" s="3" t="s">
        <v>228</v>
      </c>
      <c r="D6280" s="3">
        <v>118.0</v>
      </c>
      <c r="E6280" s="3">
        <v>0.45</v>
      </c>
      <c r="F6280" s="3">
        <v>8.33</v>
      </c>
      <c r="G6280" s="3">
        <v>21.09</v>
      </c>
    </row>
    <row r="6281">
      <c r="A6281" s="3">
        <v>173791.0</v>
      </c>
      <c r="B6281" s="3" t="s">
        <v>6308</v>
      </c>
      <c r="C6281" s="3" t="s">
        <v>228</v>
      </c>
      <c r="D6281" s="3">
        <v>114.0</v>
      </c>
      <c r="E6281" s="3">
        <v>0.39</v>
      </c>
      <c r="F6281" s="3">
        <v>7.37</v>
      </c>
      <c r="G6281" s="3">
        <v>21.02</v>
      </c>
    </row>
    <row r="6282">
      <c r="A6282" s="3">
        <v>173792.0</v>
      </c>
      <c r="B6282" s="3" t="s">
        <v>6309</v>
      </c>
      <c r="C6282" s="3" t="s">
        <v>228</v>
      </c>
      <c r="D6282" s="3">
        <v>127.0</v>
      </c>
      <c r="E6282" s="3">
        <v>0.5</v>
      </c>
      <c r="F6282" s="3">
        <v>8.67</v>
      </c>
      <c r="G6282" s="3">
        <v>22.8</v>
      </c>
    </row>
    <row r="6283">
      <c r="A6283" s="3">
        <v>173793.0</v>
      </c>
      <c r="B6283" s="3" t="s">
        <v>6310</v>
      </c>
      <c r="C6283" s="3" t="s">
        <v>228</v>
      </c>
      <c r="D6283" s="3">
        <v>124.0</v>
      </c>
      <c r="E6283" s="3">
        <v>0.09</v>
      </c>
      <c r="F6283" s="3">
        <v>9.13</v>
      </c>
      <c r="G6283" s="3">
        <v>22.41</v>
      </c>
    </row>
    <row r="6284">
      <c r="A6284" s="3">
        <v>173794.0</v>
      </c>
      <c r="B6284" s="3" t="s">
        <v>6311</v>
      </c>
      <c r="C6284" s="3" t="s">
        <v>228</v>
      </c>
      <c r="D6284" s="3">
        <v>140.0</v>
      </c>
      <c r="E6284" s="3">
        <v>0.62</v>
      </c>
      <c r="F6284" s="3">
        <v>8.23</v>
      </c>
      <c r="G6284" s="3">
        <v>26.05</v>
      </c>
    </row>
    <row r="6285">
      <c r="A6285" s="3">
        <v>173795.0</v>
      </c>
      <c r="B6285" s="3" t="s">
        <v>6312</v>
      </c>
      <c r="C6285" s="3" t="s">
        <v>228</v>
      </c>
      <c r="D6285" s="3">
        <v>149.0</v>
      </c>
      <c r="E6285" s="3">
        <v>0.49</v>
      </c>
      <c r="F6285" s="3">
        <v>9.06</v>
      </c>
      <c r="G6285" s="3">
        <v>27.91</v>
      </c>
    </row>
    <row r="6286">
      <c r="A6286" s="3">
        <v>173796.0</v>
      </c>
      <c r="B6286" s="3" t="s">
        <v>6313</v>
      </c>
      <c r="C6286" s="3" t="s">
        <v>228</v>
      </c>
      <c r="D6286" s="3">
        <v>143.0</v>
      </c>
      <c r="E6286" s="3">
        <v>0.65</v>
      </c>
      <c r="F6286" s="3">
        <v>9.01</v>
      </c>
      <c r="G6286" s="3">
        <v>26.22</v>
      </c>
    </row>
    <row r="6287">
      <c r="A6287" s="3">
        <v>173797.0</v>
      </c>
      <c r="B6287" s="3" t="s">
        <v>6314</v>
      </c>
      <c r="C6287" s="3" t="s">
        <v>228</v>
      </c>
      <c r="D6287" s="3">
        <v>117.0</v>
      </c>
      <c r="E6287" s="3">
        <v>0.97</v>
      </c>
      <c r="F6287" s="3">
        <v>7.04</v>
      </c>
      <c r="G6287" s="3">
        <v>20.77</v>
      </c>
    </row>
    <row r="6288">
      <c r="A6288" s="3">
        <v>173798.0</v>
      </c>
      <c r="B6288" s="3" t="s">
        <v>6315</v>
      </c>
      <c r="C6288" s="3" t="s">
        <v>228</v>
      </c>
      <c r="D6288" s="3">
        <v>110.0</v>
      </c>
      <c r="E6288" s="3">
        <v>0.4</v>
      </c>
      <c r="F6288" s="3">
        <v>7.6</v>
      </c>
      <c r="G6288" s="3">
        <v>19.65</v>
      </c>
    </row>
    <row r="6289">
      <c r="A6289" s="3">
        <v>173799.0</v>
      </c>
      <c r="B6289" s="3" t="s">
        <v>6316</v>
      </c>
      <c r="C6289" s="3" t="s">
        <v>228</v>
      </c>
      <c r="D6289" s="3">
        <v>164.0</v>
      </c>
      <c r="E6289" s="3">
        <v>2.59</v>
      </c>
      <c r="F6289" s="3">
        <v>8.86</v>
      </c>
      <c r="G6289" s="3">
        <v>27.42</v>
      </c>
    </row>
    <row r="6290">
      <c r="A6290" s="3">
        <v>173800.0</v>
      </c>
      <c r="B6290" s="3" t="s">
        <v>6317</v>
      </c>
      <c r="C6290" s="3" t="s">
        <v>228</v>
      </c>
      <c r="D6290" s="3">
        <v>139.0</v>
      </c>
      <c r="E6290" s="3">
        <v>2.77</v>
      </c>
      <c r="F6290" s="3">
        <v>7.05</v>
      </c>
      <c r="G6290" s="3">
        <v>22.53</v>
      </c>
    </row>
    <row r="6291">
      <c r="A6291" s="3">
        <v>173801.0</v>
      </c>
      <c r="B6291" s="3" t="s">
        <v>6318</v>
      </c>
      <c r="C6291" s="3" t="s">
        <v>228</v>
      </c>
      <c r="D6291" s="3">
        <v>138.0</v>
      </c>
      <c r="E6291" s="3">
        <v>2.47</v>
      </c>
      <c r="F6291" s="3">
        <v>7.04</v>
      </c>
      <c r="G6291" s="3">
        <v>22.87</v>
      </c>
    </row>
    <row r="6292">
      <c r="A6292" s="3">
        <v>173802.0</v>
      </c>
      <c r="B6292" s="3" t="s">
        <v>6319</v>
      </c>
      <c r="C6292" s="3" t="s">
        <v>228</v>
      </c>
      <c r="D6292" s="3">
        <v>115.0</v>
      </c>
      <c r="E6292" s="3">
        <v>0.38</v>
      </c>
      <c r="F6292" s="3">
        <v>7.8</v>
      </c>
      <c r="G6292" s="3">
        <v>20.88</v>
      </c>
    </row>
    <row r="6293">
      <c r="A6293" s="3">
        <v>173803.0</v>
      </c>
      <c r="B6293" s="3" t="s">
        <v>6320</v>
      </c>
      <c r="C6293" s="3" t="s">
        <v>228</v>
      </c>
      <c r="D6293" s="3">
        <v>126.0</v>
      </c>
      <c r="E6293" s="3">
        <v>0.38</v>
      </c>
      <c r="F6293" s="3">
        <v>8.04</v>
      </c>
      <c r="G6293" s="3">
        <v>23.31</v>
      </c>
    </row>
    <row r="6294">
      <c r="A6294" s="3">
        <v>173804.0</v>
      </c>
      <c r="B6294" s="3" t="s">
        <v>6321</v>
      </c>
      <c r="C6294" s="3" t="s">
        <v>228</v>
      </c>
      <c r="D6294" s="3">
        <v>116.0</v>
      </c>
      <c r="E6294" s="3">
        <v>2.92</v>
      </c>
      <c r="F6294" s="3">
        <v>15.57</v>
      </c>
      <c r="G6294" s="3">
        <v>9.29</v>
      </c>
    </row>
    <row r="6295">
      <c r="A6295" s="3">
        <v>173805.0</v>
      </c>
      <c r="B6295" s="3" t="s">
        <v>6322</v>
      </c>
      <c r="C6295" s="3" t="s">
        <v>228</v>
      </c>
      <c r="D6295" s="3">
        <v>117.0</v>
      </c>
      <c r="E6295" s="3">
        <v>0.55</v>
      </c>
      <c r="F6295" s="3">
        <v>7.81</v>
      </c>
      <c r="G6295" s="3">
        <v>20.96</v>
      </c>
    </row>
    <row r="6296">
      <c r="A6296" s="3">
        <v>173806.0</v>
      </c>
      <c r="B6296" s="3" t="s">
        <v>6323</v>
      </c>
      <c r="C6296" s="3" t="s">
        <v>1099</v>
      </c>
      <c r="D6296" s="3">
        <v>587.0</v>
      </c>
      <c r="E6296" s="3">
        <v>49.66</v>
      </c>
      <c r="F6296" s="3">
        <v>24.35</v>
      </c>
      <c r="G6296" s="3">
        <v>21.26</v>
      </c>
    </row>
    <row r="6297">
      <c r="A6297" s="3">
        <v>173807.0</v>
      </c>
      <c r="B6297" s="3" t="s">
        <v>6324</v>
      </c>
      <c r="C6297" s="3" t="s">
        <v>228</v>
      </c>
      <c r="D6297" s="3">
        <v>579.0</v>
      </c>
      <c r="E6297" s="3">
        <v>49.04</v>
      </c>
      <c r="F6297" s="3">
        <v>28.01</v>
      </c>
      <c r="G6297" s="3">
        <v>17.45</v>
      </c>
    </row>
    <row r="6298">
      <c r="A6298" s="3">
        <v>173808.0</v>
      </c>
      <c r="B6298" s="3" t="s">
        <v>6325</v>
      </c>
      <c r="C6298" s="3" t="s">
        <v>228</v>
      </c>
      <c r="D6298" s="3">
        <v>589.0</v>
      </c>
      <c r="E6298" s="3">
        <v>51.24</v>
      </c>
      <c r="F6298" s="3">
        <v>27.04</v>
      </c>
      <c r="G6298" s="3">
        <v>16.3</v>
      </c>
    </row>
    <row r="6299">
      <c r="A6299" s="3">
        <v>173809.0</v>
      </c>
      <c r="B6299" s="3" t="s">
        <v>6326</v>
      </c>
      <c r="C6299" s="3" t="s">
        <v>228</v>
      </c>
      <c r="D6299" s="3">
        <v>578.0</v>
      </c>
      <c r="E6299" s="3">
        <v>48.62</v>
      </c>
      <c r="F6299" s="3">
        <v>25.87</v>
      </c>
      <c r="G6299" s="3">
        <v>19.86</v>
      </c>
    </row>
    <row r="6300">
      <c r="A6300" s="3">
        <v>173810.0</v>
      </c>
      <c r="B6300" s="3" t="s">
        <v>6327</v>
      </c>
      <c r="C6300" s="3" t="s">
        <v>189</v>
      </c>
      <c r="D6300" s="3">
        <v>142.0</v>
      </c>
      <c r="E6300" s="3">
        <v>6.88</v>
      </c>
      <c r="F6300" s="3">
        <v>19.98</v>
      </c>
      <c r="G6300" s="3">
        <v>0.0</v>
      </c>
    </row>
    <row r="6301">
      <c r="A6301" s="3">
        <v>173811.0</v>
      </c>
      <c r="B6301" s="3" t="s">
        <v>6328</v>
      </c>
      <c r="C6301" s="3" t="s">
        <v>189</v>
      </c>
      <c r="D6301" s="3">
        <v>199.0</v>
      </c>
      <c r="E6301" s="3">
        <v>8.24</v>
      </c>
      <c r="F6301" s="3">
        <v>29.31</v>
      </c>
      <c r="G6301" s="3">
        <v>0.0</v>
      </c>
    </row>
    <row r="6302">
      <c r="A6302" s="3">
        <v>173812.0</v>
      </c>
      <c r="B6302" s="3" t="s">
        <v>6329</v>
      </c>
      <c r="C6302" s="3" t="s">
        <v>189</v>
      </c>
      <c r="D6302" s="3">
        <v>240.0</v>
      </c>
      <c r="E6302" s="3">
        <v>18.52</v>
      </c>
      <c r="F6302" s="3">
        <v>18.12</v>
      </c>
      <c r="G6302" s="3">
        <v>0.13</v>
      </c>
    </row>
    <row r="6303">
      <c r="A6303" s="3">
        <v>173813.0</v>
      </c>
      <c r="B6303" s="3" t="s">
        <v>6330</v>
      </c>
      <c r="C6303" s="3" t="s">
        <v>189</v>
      </c>
      <c r="D6303" s="3">
        <v>253.0</v>
      </c>
      <c r="E6303" s="3">
        <v>18.29</v>
      </c>
      <c r="F6303" s="3">
        <v>22.06</v>
      </c>
      <c r="G6303" s="3">
        <v>0.04</v>
      </c>
    </row>
    <row r="6304">
      <c r="A6304" s="3">
        <v>173814.0</v>
      </c>
      <c r="B6304" s="3" t="s">
        <v>6331</v>
      </c>
      <c r="C6304" s="3" t="s">
        <v>189</v>
      </c>
      <c r="D6304" s="3">
        <v>285.0</v>
      </c>
      <c r="E6304" s="3">
        <v>15.5</v>
      </c>
      <c r="F6304" s="3">
        <v>34.06</v>
      </c>
      <c r="G6304" s="3">
        <v>0.0</v>
      </c>
    </row>
    <row r="6305">
      <c r="A6305" s="3">
        <v>173815.0</v>
      </c>
      <c r="B6305" s="3" t="s">
        <v>6332</v>
      </c>
      <c r="C6305" s="3" t="s">
        <v>189</v>
      </c>
      <c r="D6305" s="3">
        <v>144.0</v>
      </c>
      <c r="E6305" s="3">
        <v>6.77</v>
      </c>
      <c r="F6305" s="3">
        <v>19.35</v>
      </c>
      <c r="G6305" s="3">
        <v>0.0</v>
      </c>
    </row>
    <row r="6306">
      <c r="A6306" s="3">
        <v>173816.0</v>
      </c>
      <c r="B6306" s="3" t="s">
        <v>6333</v>
      </c>
      <c r="C6306" s="3" t="s">
        <v>189</v>
      </c>
      <c r="D6306" s="3">
        <v>231.0</v>
      </c>
      <c r="E6306" s="3">
        <v>11.39</v>
      </c>
      <c r="F6306" s="3">
        <v>30.1</v>
      </c>
      <c r="G6306" s="3">
        <v>0.0</v>
      </c>
    </row>
    <row r="6307">
      <c r="A6307" s="3">
        <v>173817.0</v>
      </c>
      <c r="B6307" s="3" t="s">
        <v>6334</v>
      </c>
      <c r="C6307" s="3" t="s">
        <v>189</v>
      </c>
      <c r="D6307" s="3">
        <v>112.0</v>
      </c>
      <c r="E6307" s="3">
        <v>2.87</v>
      </c>
      <c r="F6307" s="3">
        <v>20.2</v>
      </c>
      <c r="G6307" s="3">
        <v>0.0</v>
      </c>
    </row>
    <row r="6308">
      <c r="A6308" s="3">
        <v>173818.0</v>
      </c>
      <c r="B6308" s="3" t="s">
        <v>6335</v>
      </c>
      <c r="C6308" s="3" t="s">
        <v>189</v>
      </c>
      <c r="D6308" s="3">
        <v>211.0</v>
      </c>
      <c r="E6308" s="3">
        <v>6.33</v>
      </c>
      <c r="F6308" s="3">
        <v>36.16</v>
      </c>
      <c r="G6308" s="3">
        <v>0.0</v>
      </c>
    </row>
    <row r="6309">
      <c r="A6309" s="3">
        <v>173819.0</v>
      </c>
      <c r="B6309" s="3" t="s">
        <v>6336</v>
      </c>
      <c r="C6309" s="3" t="s">
        <v>189</v>
      </c>
      <c r="D6309" s="3">
        <v>238.0</v>
      </c>
      <c r="E6309" s="3">
        <v>9.18</v>
      </c>
      <c r="F6309" s="3">
        <v>27.29</v>
      </c>
      <c r="G6309" s="3">
        <v>9.91</v>
      </c>
    </row>
    <row r="6310">
      <c r="A6310" s="3">
        <v>173820.0</v>
      </c>
      <c r="B6310" s="3" t="s">
        <v>6337</v>
      </c>
      <c r="C6310" s="3" t="s">
        <v>189</v>
      </c>
      <c r="D6310" s="3">
        <v>211.0</v>
      </c>
      <c r="E6310" s="3">
        <v>8.35</v>
      </c>
      <c r="F6310" s="3">
        <v>31.75</v>
      </c>
      <c r="G6310" s="3">
        <v>0.0</v>
      </c>
    </row>
    <row r="6311">
      <c r="A6311" s="3">
        <v>173821.0</v>
      </c>
      <c r="B6311" s="3" t="s">
        <v>6338</v>
      </c>
      <c r="C6311" s="3" t="s">
        <v>189</v>
      </c>
      <c r="D6311" s="3">
        <v>160.0</v>
      </c>
      <c r="E6311" s="3">
        <v>4.65</v>
      </c>
      <c r="F6311" s="3">
        <v>27.7</v>
      </c>
      <c r="G6311" s="3">
        <v>0.0</v>
      </c>
    </row>
    <row r="6312">
      <c r="A6312" s="3">
        <v>173822.0</v>
      </c>
      <c r="B6312" s="3" t="s">
        <v>6339</v>
      </c>
      <c r="C6312" s="3" t="s">
        <v>189</v>
      </c>
      <c r="D6312" s="3">
        <v>150.0</v>
      </c>
      <c r="E6312" s="3">
        <v>3.39</v>
      </c>
      <c r="F6312" s="3">
        <v>28.07</v>
      </c>
      <c r="G6312" s="3">
        <v>0.0</v>
      </c>
    </row>
    <row r="6313">
      <c r="A6313" s="3">
        <v>173823.0</v>
      </c>
      <c r="B6313" s="3" t="s">
        <v>6340</v>
      </c>
      <c r="C6313" s="3" t="s">
        <v>189</v>
      </c>
      <c r="D6313" s="3">
        <v>177.0</v>
      </c>
      <c r="E6313" s="3">
        <v>10.07</v>
      </c>
      <c r="F6313" s="3">
        <v>20.07</v>
      </c>
      <c r="G6313" s="3">
        <v>0.07</v>
      </c>
    </row>
    <row r="6314">
      <c r="A6314" s="3">
        <v>173824.0</v>
      </c>
      <c r="B6314" s="3" t="s">
        <v>6341</v>
      </c>
      <c r="C6314" s="3" t="s">
        <v>189</v>
      </c>
      <c r="D6314" s="3">
        <v>284.0</v>
      </c>
      <c r="E6314" s="3">
        <v>17.21</v>
      </c>
      <c r="F6314" s="3">
        <v>30.19</v>
      </c>
      <c r="G6314" s="3">
        <v>0.0</v>
      </c>
    </row>
    <row r="6315">
      <c r="A6315" s="3">
        <v>173825.0</v>
      </c>
      <c r="B6315" s="3" t="s">
        <v>6342</v>
      </c>
      <c r="C6315" s="3" t="s">
        <v>189</v>
      </c>
      <c r="D6315" s="3">
        <v>217.0</v>
      </c>
      <c r="E6315" s="3">
        <v>12.32</v>
      </c>
      <c r="F6315" s="3">
        <v>24.8</v>
      </c>
      <c r="G6315" s="3">
        <v>0.0</v>
      </c>
    </row>
    <row r="6316">
      <c r="A6316" s="3">
        <v>173826.0</v>
      </c>
      <c r="B6316" s="3" t="s">
        <v>6343</v>
      </c>
      <c r="C6316" s="3" t="s">
        <v>189</v>
      </c>
      <c r="D6316" s="3">
        <v>114.0</v>
      </c>
      <c r="E6316" s="3">
        <v>2.9</v>
      </c>
      <c r="F6316" s="3">
        <v>21.85</v>
      </c>
      <c r="G6316" s="3">
        <v>0.0</v>
      </c>
    </row>
    <row r="6317">
      <c r="A6317" s="3">
        <v>173827.0</v>
      </c>
      <c r="B6317" s="3" t="s">
        <v>6344</v>
      </c>
      <c r="C6317" s="3" t="s">
        <v>189</v>
      </c>
      <c r="D6317" s="3">
        <v>228.0</v>
      </c>
      <c r="E6317" s="3">
        <v>13.96</v>
      </c>
      <c r="F6317" s="3">
        <v>23.96</v>
      </c>
      <c r="G6317" s="3">
        <v>0.0</v>
      </c>
    </row>
    <row r="6318">
      <c r="A6318" s="3">
        <v>173828.0</v>
      </c>
      <c r="B6318" s="3" t="s">
        <v>6345</v>
      </c>
      <c r="C6318" s="3" t="s">
        <v>189</v>
      </c>
      <c r="D6318" s="3">
        <v>120.0</v>
      </c>
      <c r="E6318" s="3">
        <v>3.89</v>
      </c>
      <c r="F6318" s="3">
        <v>19.97</v>
      </c>
      <c r="G6318" s="3">
        <v>0.0</v>
      </c>
    </row>
    <row r="6319">
      <c r="A6319" s="3">
        <v>173829.0</v>
      </c>
      <c r="B6319" s="3" t="s">
        <v>6346</v>
      </c>
      <c r="C6319" s="3" t="s">
        <v>189</v>
      </c>
      <c r="D6319" s="3">
        <v>218.0</v>
      </c>
      <c r="E6319" s="3">
        <v>7.81</v>
      </c>
      <c r="F6319" s="3">
        <v>34.44</v>
      </c>
      <c r="G6319" s="3">
        <v>0.0</v>
      </c>
    </row>
    <row r="6320">
      <c r="A6320" s="3">
        <v>173830.0</v>
      </c>
      <c r="B6320" s="3" t="s">
        <v>6347</v>
      </c>
      <c r="C6320" s="3" t="s">
        <v>189</v>
      </c>
      <c r="D6320" s="3">
        <v>177.0</v>
      </c>
      <c r="E6320" s="3">
        <v>7.44</v>
      </c>
      <c r="F6320" s="3">
        <v>25.76</v>
      </c>
      <c r="G6320" s="3">
        <v>0.0</v>
      </c>
    </row>
    <row r="6321">
      <c r="A6321" s="3">
        <v>173831.0</v>
      </c>
      <c r="B6321" s="3" t="s">
        <v>6348</v>
      </c>
      <c r="C6321" s="3" t="s">
        <v>189</v>
      </c>
      <c r="D6321" s="3">
        <v>199.0</v>
      </c>
      <c r="E6321" s="3">
        <v>6.1</v>
      </c>
      <c r="F6321" s="3">
        <v>33.68</v>
      </c>
      <c r="G6321" s="3">
        <v>0.0</v>
      </c>
    </row>
    <row r="6322">
      <c r="A6322" s="3">
        <v>173832.0</v>
      </c>
      <c r="B6322" s="3" t="s">
        <v>6349</v>
      </c>
      <c r="C6322" s="3" t="s">
        <v>189</v>
      </c>
      <c r="D6322" s="3">
        <v>170.0</v>
      </c>
      <c r="E6322" s="3">
        <v>6.62</v>
      </c>
      <c r="F6322" s="3">
        <v>25.81</v>
      </c>
      <c r="G6322" s="3">
        <v>0.0</v>
      </c>
    </row>
    <row r="6323">
      <c r="A6323" s="3">
        <v>173833.0</v>
      </c>
      <c r="B6323" s="3" t="s">
        <v>6350</v>
      </c>
      <c r="C6323" s="3" t="s">
        <v>189</v>
      </c>
      <c r="D6323" s="3">
        <v>132.0</v>
      </c>
      <c r="E6323" s="3">
        <v>5.44</v>
      </c>
      <c r="F6323" s="3">
        <v>19.34</v>
      </c>
      <c r="G6323" s="3">
        <v>0.0</v>
      </c>
    </row>
    <row r="6324">
      <c r="A6324" s="3">
        <v>173834.0</v>
      </c>
      <c r="B6324" s="3" t="s">
        <v>6351</v>
      </c>
      <c r="C6324" s="3" t="s">
        <v>189</v>
      </c>
      <c r="D6324" s="3">
        <v>236.0</v>
      </c>
      <c r="E6324" s="3">
        <v>10.24</v>
      </c>
      <c r="F6324" s="3">
        <v>33.63</v>
      </c>
      <c r="G6324" s="3">
        <v>0.0</v>
      </c>
    </row>
    <row r="6325">
      <c r="A6325" s="3">
        <v>173835.0</v>
      </c>
      <c r="B6325" s="3" t="s">
        <v>6352</v>
      </c>
      <c r="C6325" s="3" t="s">
        <v>189</v>
      </c>
      <c r="D6325" s="3">
        <v>148.0</v>
      </c>
      <c r="E6325" s="3">
        <v>7.61</v>
      </c>
      <c r="F6325" s="3">
        <v>18.72</v>
      </c>
      <c r="G6325" s="3">
        <v>0.03</v>
      </c>
    </row>
    <row r="6326">
      <c r="A6326" s="3">
        <v>173836.0</v>
      </c>
      <c r="B6326" s="3" t="s">
        <v>6353</v>
      </c>
      <c r="C6326" s="3" t="s">
        <v>189</v>
      </c>
      <c r="D6326" s="3">
        <v>225.0</v>
      </c>
      <c r="E6326" s="3">
        <v>10.09</v>
      </c>
      <c r="F6326" s="3">
        <v>31.26</v>
      </c>
      <c r="G6326" s="3">
        <v>0.0</v>
      </c>
    </row>
    <row r="6327">
      <c r="A6327" s="3">
        <v>173837.0</v>
      </c>
      <c r="B6327" s="3" t="s">
        <v>6354</v>
      </c>
      <c r="C6327" s="3" t="s">
        <v>189</v>
      </c>
      <c r="D6327" s="3">
        <v>186.0</v>
      </c>
      <c r="E6327" s="3">
        <v>8.67</v>
      </c>
      <c r="F6327" s="3">
        <v>25.15</v>
      </c>
      <c r="G6327" s="3">
        <v>0.0</v>
      </c>
    </row>
    <row r="6328">
      <c r="A6328" s="3">
        <v>173838.0</v>
      </c>
      <c r="B6328" s="3" t="s">
        <v>6355</v>
      </c>
      <c r="C6328" s="3" t="s">
        <v>189</v>
      </c>
      <c r="D6328" s="3">
        <v>110.0</v>
      </c>
      <c r="E6328" s="3">
        <v>2.88</v>
      </c>
      <c r="F6328" s="3">
        <v>19.6</v>
      </c>
      <c r="G6328" s="3">
        <v>0.0</v>
      </c>
    </row>
    <row r="6329">
      <c r="A6329" s="3">
        <v>173839.0</v>
      </c>
      <c r="B6329" s="3" t="s">
        <v>6356</v>
      </c>
      <c r="C6329" s="3" t="s">
        <v>189</v>
      </c>
      <c r="D6329" s="3">
        <v>198.0</v>
      </c>
      <c r="E6329" s="3">
        <v>6.48</v>
      </c>
      <c r="F6329" s="3">
        <v>32.66</v>
      </c>
      <c r="G6329" s="3">
        <v>0.0</v>
      </c>
    </row>
    <row r="6330">
      <c r="A6330" s="3">
        <v>173840.0</v>
      </c>
      <c r="B6330" s="3" t="s">
        <v>6357</v>
      </c>
      <c r="C6330" s="3" t="s">
        <v>189</v>
      </c>
      <c r="D6330" s="3">
        <v>110.0</v>
      </c>
      <c r="E6330" s="3">
        <v>2.59</v>
      </c>
      <c r="F6330" s="3">
        <v>20.2</v>
      </c>
      <c r="G6330" s="3">
        <v>0.0</v>
      </c>
    </row>
    <row r="6331">
      <c r="A6331" s="3">
        <v>173841.0</v>
      </c>
      <c r="B6331" s="3" t="s">
        <v>6358</v>
      </c>
      <c r="C6331" s="3" t="s">
        <v>189</v>
      </c>
      <c r="D6331" s="3">
        <v>204.0</v>
      </c>
      <c r="E6331" s="3">
        <v>6.51</v>
      </c>
      <c r="F6331" s="3">
        <v>33.96</v>
      </c>
      <c r="G6331" s="3">
        <v>0.0</v>
      </c>
    </row>
    <row r="6332">
      <c r="A6332" s="3">
        <v>173842.0</v>
      </c>
      <c r="B6332" s="3" t="s">
        <v>6359</v>
      </c>
      <c r="C6332" s="3" t="s">
        <v>189</v>
      </c>
      <c r="D6332" s="3">
        <v>168.0</v>
      </c>
      <c r="E6332" s="3">
        <v>6.22</v>
      </c>
      <c r="F6332" s="3">
        <v>26.32</v>
      </c>
      <c r="G6332" s="3">
        <v>0.0</v>
      </c>
    </row>
    <row r="6333">
      <c r="A6333" s="3">
        <v>173843.0</v>
      </c>
      <c r="B6333" s="3" t="s">
        <v>6360</v>
      </c>
      <c r="C6333" s="3" t="s">
        <v>189</v>
      </c>
      <c r="D6333" s="3">
        <v>109.0</v>
      </c>
      <c r="E6333" s="3">
        <v>2.5</v>
      </c>
      <c r="F6333" s="3">
        <v>20.27</v>
      </c>
      <c r="G6333" s="3">
        <v>0.0</v>
      </c>
    </row>
    <row r="6334">
      <c r="A6334" s="3">
        <v>173844.0</v>
      </c>
      <c r="B6334" s="3" t="s">
        <v>6361</v>
      </c>
      <c r="C6334" s="3" t="s">
        <v>189</v>
      </c>
      <c r="D6334" s="3">
        <v>150.0</v>
      </c>
      <c r="E6334" s="3">
        <v>2.67</v>
      </c>
      <c r="F6334" s="3">
        <v>29.45</v>
      </c>
      <c r="G6334" s="3">
        <v>0.0</v>
      </c>
    </row>
    <row r="6335">
      <c r="A6335" s="3">
        <v>173845.0</v>
      </c>
      <c r="B6335" s="3" t="s">
        <v>6362</v>
      </c>
      <c r="C6335" s="3" t="s">
        <v>189</v>
      </c>
      <c r="D6335" s="3">
        <v>161.0</v>
      </c>
      <c r="E6335" s="3">
        <v>8.3</v>
      </c>
      <c r="F6335" s="3">
        <v>20.1</v>
      </c>
      <c r="G6335" s="3">
        <v>0.0</v>
      </c>
    </row>
    <row r="6336">
      <c r="A6336" s="3">
        <v>173846.0</v>
      </c>
      <c r="B6336" s="3" t="s">
        <v>6363</v>
      </c>
      <c r="C6336" s="3" t="s">
        <v>189</v>
      </c>
      <c r="D6336" s="3">
        <v>259.0</v>
      </c>
      <c r="E6336" s="3">
        <v>13.39</v>
      </c>
      <c r="F6336" s="3">
        <v>32.42</v>
      </c>
      <c r="G6336" s="3">
        <v>0.0</v>
      </c>
    </row>
    <row r="6337">
      <c r="A6337" s="3">
        <v>173847.0</v>
      </c>
      <c r="B6337" s="3" t="s">
        <v>6364</v>
      </c>
      <c r="C6337" s="3" t="s">
        <v>189</v>
      </c>
      <c r="D6337" s="3">
        <v>179.0</v>
      </c>
      <c r="E6337" s="3">
        <v>8.62</v>
      </c>
      <c r="F6337" s="3">
        <v>25.45</v>
      </c>
      <c r="G6337" s="3">
        <v>0.0</v>
      </c>
    </row>
    <row r="6338">
      <c r="A6338" s="3">
        <v>173848.0</v>
      </c>
      <c r="B6338" s="3" t="s">
        <v>6365</v>
      </c>
      <c r="C6338" s="3" t="s">
        <v>189</v>
      </c>
      <c r="D6338" s="3">
        <v>188.0</v>
      </c>
      <c r="E6338" s="3">
        <v>6.32</v>
      </c>
      <c r="F6338" s="3">
        <v>30.66</v>
      </c>
      <c r="G6338" s="3">
        <v>0.0</v>
      </c>
    </row>
    <row r="6339">
      <c r="A6339" s="3">
        <v>173849.0</v>
      </c>
      <c r="B6339" s="3" t="s">
        <v>6366</v>
      </c>
      <c r="C6339" s="3" t="s">
        <v>189</v>
      </c>
      <c r="D6339" s="3">
        <v>509.0</v>
      </c>
      <c r="E6339" s="3">
        <v>52.17</v>
      </c>
      <c r="F6339" s="3">
        <v>9.91</v>
      </c>
      <c r="G6339" s="3">
        <v>0.0</v>
      </c>
    </row>
    <row r="6340">
      <c r="A6340" s="3">
        <v>173850.0</v>
      </c>
      <c r="B6340" s="3" t="s">
        <v>6367</v>
      </c>
      <c r="C6340" s="3" t="s">
        <v>189</v>
      </c>
      <c r="D6340" s="3">
        <v>201.0</v>
      </c>
      <c r="E6340" s="3">
        <v>13.1</v>
      </c>
      <c r="F6340" s="3">
        <v>19.6</v>
      </c>
      <c r="G6340" s="3">
        <v>1.15</v>
      </c>
    </row>
    <row r="6341">
      <c r="A6341" s="3">
        <v>173851.0</v>
      </c>
      <c r="B6341" s="3" t="s">
        <v>6368</v>
      </c>
      <c r="C6341" s="3" t="s">
        <v>189</v>
      </c>
      <c r="D6341" s="3">
        <v>109.0</v>
      </c>
      <c r="E6341" s="3">
        <v>1.84</v>
      </c>
      <c r="F6341" s="3">
        <v>21.62</v>
      </c>
      <c r="G6341" s="3">
        <v>0.0</v>
      </c>
    </row>
    <row r="6342">
      <c r="A6342" s="3">
        <v>173852.0</v>
      </c>
      <c r="B6342" s="3" t="s">
        <v>6369</v>
      </c>
      <c r="C6342" s="3" t="s">
        <v>189</v>
      </c>
      <c r="D6342" s="3">
        <v>143.0</v>
      </c>
      <c r="E6342" s="3">
        <v>2.42</v>
      </c>
      <c r="F6342" s="3">
        <v>28.44</v>
      </c>
      <c r="G6342" s="3">
        <v>0.0</v>
      </c>
    </row>
    <row r="6343">
      <c r="A6343" s="3">
        <v>173853.0</v>
      </c>
      <c r="B6343" s="3" t="s">
        <v>6370</v>
      </c>
      <c r="C6343" s="3" t="s">
        <v>189</v>
      </c>
      <c r="D6343" s="3">
        <v>127.0</v>
      </c>
      <c r="E6343" s="3">
        <v>3.36</v>
      </c>
      <c r="F6343" s="3">
        <v>22.63</v>
      </c>
      <c r="G6343" s="3">
        <v>0.0</v>
      </c>
    </row>
    <row r="6344">
      <c r="A6344" s="3">
        <v>173854.0</v>
      </c>
      <c r="B6344" s="3" t="s">
        <v>6371</v>
      </c>
      <c r="C6344" s="3" t="s">
        <v>189</v>
      </c>
      <c r="D6344" s="3">
        <v>167.0</v>
      </c>
      <c r="E6344" s="3">
        <v>4.42</v>
      </c>
      <c r="F6344" s="3">
        <v>29.77</v>
      </c>
      <c r="G6344" s="3">
        <v>0.0</v>
      </c>
    </row>
    <row r="6345">
      <c r="A6345" s="3">
        <v>173855.0</v>
      </c>
      <c r="B6345" s="3" t="s">
        <v>6372</v>
      </c>
      <c r="C6345" s="3" t="s">
        <v>189</v>
      </c>
      <c r="D6345" s="3">
        <v>120.0</v>
      </c>
      <c r="E6345" s="3">
        <v>2.42</v>
      </c>
      <c r="F6345" s="3">
        <v>22.96</v>
      </c>
      <c r="G6345" s="3">
        <v>0.0</v>
      </c>
    </row>
    <row r="6346">
      <c r="A6346" s="3">
        <v>173856.0</v>
      </c>
      <c r="B6346" s="3" t="s">
        <v>6373</v>
      </c>
      <c r="C6346" s="3" t="s">
        <v>189</v>
      </c>
      <c r="D6346" s="3">
        <v>247.0</v>
      </c>
      <c r="E6346" s="3">
        <v>19.87</v>
      </c>
      <c r="F6346" s="3">
        <v>15.3</v>
      </c>
      <c r="G6346" s="3">
        <v>0.73</v>
      </c>
    </row>
    <row r="6347">
      <c r="A6347" s="3">
        <v>173857.0</v>
      </c>
      <c r="B6347" s="3" t="s">
        <v>6374</v>
      </c>
      <c r="C6347" s="3" t="s">
        <v>189</v>
      </c>
      <c r="D6347" s="3">
        <v>209.0</v>
      </c>
      <c r="E6347" s="3">
        <v>16.05</v>
      </c>
      <c r="F6347" s="3">
        <v>11.42</v>
      </c>
      <c r="G6347" s="3">
        <v>4.68</v>
      </c>
    </row>
    <row r="6348">
      <c r="A6348" s="3">
        <v>173858.0</v>
      </c>
      <c r="B6348" s="3" t="s">
        <v>6375</v>
      </c>
      <c r="C6348" s="3" t="s">
        <v>189</v>
      </c>
      <c r="D6348" s="3">
        <v>158.0</v>
      </c>
      <c r="E6348" s="3">
        <v>17.56</v>
      </c>
      <c r="F6348" s="3">
        <v>18.01</v>
      </c>
      <c r="G6348" s="3">
        <v>4.05</v>
      </c>
    </row>
    <row r="6349">
      <c r="A6349" s="3">
        <v>173859.0</v>
      </c>
      <c r="B6349" s="3" t="s">
        <v>6376</v>
      </c>
      <c r="C6349" s="3" t="s">
        <v>189</v>
      </c>
      <c r="D6349" s="3">
        <v>296.0</v>
      </c>
      <c r="E6349" s="3">
        <v>25.1</v>
      </c>
      <c r="F6349" s="3">
        <v>13.63</v>
      </c>
      <c r="G6349" s="3">
        <v>3.78</v>
      </c>
    </row>
    <row r="6350">
      <c r="A6350" s="3">
        <v>173860.0</v>
      </c>
      <c r="B6350" s="3" t="s">
        <v>6377</v>
      </c>
      <c r="C6350" s="3" t="s">
        <v>189</v>
      </c>
      <c r="D6350" s="3">
        <v>153.0</v>
      </c>
      <c r="E6350" s="3">
        <v>6.1</v>
      </c>
      <c r="F6350" s="3">
        <v>22.9</v>
      </c>
      <c r="G6350" s="3">
        <v>0.0</v>
      </c>
    </row>
    <row r="6351">
      <c r="A6351" s="3">
        <v>173861.0</v>
      </c>
      <c r="B6351" s="3" t="s">
        <v>6378</v>
      </c>
      <c r="C6351" s="3" t="s">
        <v>189</v>
      </c>
      <c r="D6351" s="3">
        <v>273.0</v>
      </c>
      <c r="E6351" s="3">
        <v>22.91</v>
      </c>
      <c r="F6351" s="3">
        <v>12.0</v>
      </c>
      <c r="G6351" s="3">
        <v>3.93</v>
      </c>
    </row>
    <row r="6352">
      <c r="A6352" s="3">
        <v>173862.0</v>
      </c>
      <c r="B6352" s="3" t="s">
        <v>6379</v>
      </c>
      <c r="C6352" s="3" t="s">
        <v>189</v>
      </c>
      <c r="D6352" s="3">
        <v>315.0</v>
      </c>
      <c r="E6352" s="3">
        <v>28.1</v>
      </c>
      <c r="F6352" s="3">
        <v>11.69</v>
      </c>
      <c r="G6352" s="3">
        <v>2.97</v>
      </c>
    </row>
    <row r="6353">
      <c r="A6353" s="3">
        <v>173863.0</v>
      </c>
      <c r="B6353" s="3" t="s">
        <v>6380</v>
      </c>
      <c r="C6353" s="3" t="s">
        <v>189</v>
      </c>
      <c r="D6353" s="3">
        <v>107.0</v>
      </c>
      <c r="E6353" s="3">
        <v>4.04</v>
      </c>
      <c r="F6353" s="3">
        <v>16.85</v>
      </c>
      <c r="G6353" s="3">
        <v>0.7</v>
      </c>
    </row>
    <row r="6354">
      <c r="A6354" s="3">
        <v>173864.0</v>
      </c>
      <c r="B6354" s="3" t="s">
        <v>6381</v>
      </c>
      <c r="C6354" s="3" t="s">
        <v>189</v>
      </c>
      <c r="D6354" s="3">
        <v>164.0</v>
      </c>
      <c r="E6354" s="3">
        <v>8.8</v>
      </c>
      <c r="F6354" s="3">
        <v>16.6</v>
      </c>
      <c r="G6354" s="3">
        <v>3.63</v>
      </c>
    </row>
    <row r="6355">
      <c r="A6355" s="3">
        <v>173865.0</v>
      </c>
      <c r="B6355" s="3" t="s">
        <v>6382</v>
      </c>
      <c r="C6355" s="3" t="s">
        <v>189</v>
      </c>
      <c r="D6355" s="3">
        <v>263.0</v>
      </c>
      <c r="E6355" s="3">
        <v>20.68</v>
      </c>
      <c r="F6355" s="3">
        <v>16.28</v>
      </c>
      <c r="G6355" s="3">
        <v>1.84</v>
      </c>
    </row>
    <row r="6356">
      <c r="A6356" s="3">
        <v>173866.0</v>
      </c>
      <c r="B6356" s="3" t="s">
        <v>6383</v>
      </c>
      <c r="C6356" s="3" t="s">
        <v>189</v>
      </c>
      <c r="D6356" s="3">
        <v>216.0</v>
      </c>
      <c r="E6356" s="3">
        <v>15.53</v>
      </c>
      <c r="F6356" s="3">
        <v>8.68</v>
      </c>
      <c r="G6356" s="3">
        <v>10.64</v>
      </c>
    </row>
    <row r="6357">
      <c r="A6357" s="3">
        <v>173867.0</v>
      </c>
      <c r="B6357" s="3" t="s">
        <v>6384</v>
      </c>
      <c r="C6357" s="3" t="s">
        <v>189</v>
      </c>
      <c r="D6357" s="3">
        <v>307.0</v>
      </c>
      <c r="E6357" s="3">
        <v>27.7</v>
      </c>
      <c r="F6357" s="3">
        <v>11.1</v>
      </c>
      <c r="G6357" s="3">
        <v>3.2</v>
      </c>
    </row>
    <row r="6358">
      <c r="A6358" s="3">
        <v>173868.0</v>
      </c>
      <c r="B6358" s="3" t="s">
        <v>6385</v>
      </c>
      <c r="C6358" s="3" t="s">
        <v>189</v>
      </c>
      <c r="D6358" s="3">
        <v>172.0</v>
      </c>
      <c r="E6358" s="3">
        <v>10.44</v>
      </c>
      <c r="F6358" s="3">
        <v>19.03</v>
      </c>
      <c r="G6358" s="3">
        <v>0.44</v>
      </c>
    </row>
    <row r="6359">
      <c r="A6359" s="3">
        <v>173869.0</v>
      </c>
      <c r="B6359" s="3" t="s">
        <v>6386</v>
      </c>
      <c r="C6359" s="3" t="s">
        <v>189</v>
      </c>
      <c r="D6359" s="3">
        <v>304.0</v>
      </c>
      <c r="E6359" s="3">
        <v>25.6</v>
      </c>
      <c r="F6359" s="3">
        <v>15.2</v>
      </c>
      <c r="G6359" s="3">
        <v>2.1</v>
      </c>
    </row>
    <row r="6360">
      <c r="A6360" s="3">
        <v>173870.0</v>
      </c>
      <c r="B6360" s="3" t="s">
        <v>6387</v>
      </c>
      <c r="C6360" s="3" t="s">
        <v>189</v>
      </c>
      <c r="D6360" s="3">
        <v>326.0</v>
      </c>
      <c r="E6360" s="3">
        <v>28.5</v>
      </c>
      <c r="F6360" s="3">
        <v>14.1</v>
      </c>
      <c r="G6360" s="3">
        <v>2.2</v>
      </c>
    </row>
    <row r="6361">
      <c r="A6361" s="3">
        <v>173871.0</v>
      </c>
      <c r="B6361" s="3" t="s">
        <v>6388</v>
      </c>
      <c r="C6361" s="3" t="s">
        <v>189</v>
      </c>
      <c r="D6361" s="3">
        <v>196.0</v>
      </c>
      <c r="E6361" s="3">
        <v>10.44</v>
      </c>
      <c r="F6361" s="3">
        <v>23.89</v>
      </c>
      <c r="G6361" s="3">
        <v>0.0</v>
      </c>
    </row>
    <row r="6362">
      <c r="A6362" s="3">
        <v>173872.0</v>
      </c>
      <c r="B6362" s="3" t="s">
        <v>6389</v>
      </c>
      <c r="C6362" s="3" t="s">
        <v>189</v>
      </c>
      <c r="D6362" s="3">
        <v>272.0</v>
      </c>
      <c r="E6362" s="3">
        <v>22.73</v>
      </c>
      <c r="F6362" s="3">
        <v>11.33</v>
      </c>
      <c r="G6362" s="3">
        <v>5.61</v>
      </c>
    </row>
    <row r="6363">
      <c r="A6363" s="3">
        <v>173873.0</v>
      </c>
      <c r="B6363" s="3" t="s">
        <v>6390</v>
      </c>
      <c r="C6363" s="3" t="s">
        <v>189</v>
      </c>
      <c r="D6363" s="3">
        <v>336.0</v>
      </c>
      <c r="E6363" s="3">
        <v>30.61</v>
      </c>
      <c r="F6363" s="3">
        <v>10.31</v>
      </c>
      <c r="G6363" s="3">
        <v>4.19</v>
      </c>
    </row>
    <row r="6364">
      <c r="A6364" s="3">
        <v>173874.0</v>
      </c>
      <c r="B6364" s="3" t="s">
        <v>6391</v>
      </c>
      <c r="C6364" s="3" t="s">
        <v>189</v>
      </c>
      <c r="D6364" s="3">
        <v>98.0</v>
      </c>
      <c r="E6364" s="3">
        <v>1.86</v>
      </c>
      <c r="F6364" s="3">
        <v>17.4</v>
      </c>
      <c r="G6364" s="3">
        <v>2.92</v>
      </c>
    </row>
    <row r="6365">
      <c r="A6365" s="3">
        <v>173875.0</v>
      </c>
      <c r="B6365" s="3" t="s">
        <v>6392</v>
      </c>
      <c r="C6365" s="3" t="s">
        <v>189</v>
      </c>
      <c r="D6365" s="3">
        <v>277.0</v>
      </c>
      <c r="E6365" s="3">
        <v>24.18</v>
      </c>
      <c r="F6365" s="3">
        <v>9.72</v>
      </c>
      <c r="G6365" s="3">
        <v>5.02</v>
      </c>
    </row>
    <row r="6366">
      <c r="A6366" s="3">
        <v>173876.0</v>
      </c>
      <c r="B6366" s="3" t="s">
        <v>6393</v>
      </c>
      <c r="C6366" s="3" t="s">
        <v>189</v>
      </c>
      <c r="D6366" s="3">
        <v>392.0</v>
      </c>
      <c r="E6366" s="3">
        <v>37.25</v>
      </c>
      <c r="F6366" s="3">
        <v>13.46</v>
      </c>
      <c r="G6366" s="3">
        <v>0.69</v>
      </c>
    </row>
    <row r="6367">
      <c r="A6367" s="3">
        <v>173877.0</v>
      </c>
      <c r="B6367" s="3" t="s">
        <v>6394</v>
      </c>
      <c r="C6367" s="3" t="s">
        <v>189</v>
      </c>
      <c r="D6367" s="3">
        <v>337.0</v>
      </c>
      <c r="E6367" s="3">
        <v>29.68</v>
      </c>
      <c r="F6367" s="3">
        <v>12.45</v>
      </c>
      <c r="G6367" s="3">
        <v>5.03</v>
      </c>
    </row>
    <row r="6368">
      <c r="A6368" s="3">
        <v>173878.0</v>
      </c>
      <c r="B6368" s="3" t="s">
        <v>6395</v>
      </c>
      <c r="C6368" s="3" t="s">
        <v>189</v>
      </c>
      <c r="D6368" s="3">
        <v>333.0</v>
      </c>
      <c r="E6368" s="3">
        <v>29.43</v>
      </c>
      <c r="F6368" s="3">
        <v>12.36</v>
      </c>
      <c r="G6368" s="3">
        <v>4.78</v>
      </c>
    </row>
    <row r="6369">
      <c r="A6369" s="3">
        <v>173879.0</v>
      </c>
      <c r="B6369" s="3" t="s">
        <v>6396</v>
      </c>
      <c r="C6369" s="3" t="s">
        <v>189</v>
      </c>
      <c r="D6369" s="3">
        <v>325.0</v>
      </c>
      <c r="E6369" s="3">
        <v>29.63</v>
      </c>
      <c r="F6369" s="3">
        <v>10.84</v>
      </c>
      <c r="G6369" s="3">
        <v>3.72</v>
      </c>
    </row>
    <row r="6370">
      <c r="A6370" s="3">
        <v>173880.0</v>
      </c>
      <c r="B6370" s="3" t="s">
        <v>6397</v>
      </c>
      <c r="C6370" s="3" t="s">
        <v>189</v>
      </c>
      <c r="D6370" s="3">
        <v>183.0</v>
      </c>
      <c r="E6370" s="3">
        <v>4.46</v>
      </c>
      <c r="F6370" s="3">
        <v>21.43</v>
      </c>
      <c r="G6370" s="3">
        <v>14.25</v>
      </c>
    </row>
    <row r="6371">
      <c r="A6371" s="3">
        <v>173881.0</v>
      </c>
      <c r="B6371" s="3" t="s">
        <v>6398</v>
      </c>
      <c r="C6371" s="3" t="s">
        <v>189</v>
      </c>
      <c r="D6371" s="3">
        <v>141.0</v>
      </c>
      <c r="E6371" s="3">
        <v>2.71</v>
      </c>
      <c r="F6371" s="3">
        <v>18.52</v>
      </c>
      <c r="G6371" s="3">
        <v>10.7</v>
      </c>
    </row>
    <row r="6372">
      <c r="A6372" s="3">
        <v>173882.0</v>
      </c>
      <c r="B6372" s="3" t="s">
        <v>6399</v>
      </c>
      <c r="C6372" s="3" t="s">
        <v>189</v>
      </c>
      <c r="D6372" s="3">
        <v>271.0</v>
      </c>
      <c r="E6372" s="3">
        <v>22.35</v>
      </c>
      <c r="F6372" s="3">
        <v>9.41</v>
      </c>
      <c r="G6372" s="3">
        <v>8.13</v>
      </c>
    </row>
    <row r="6373">
      <c r="A6373" s="3">
        <v>173883.0</v>
      </c>
      <c r="B6373" s="3" t="s">
        <v>6400</v>
      </c>
      <c r="C6373" s="3" t="s">
        <v>189</v>
      </c>
      <c r="D6373" s="3">
        <v>284.0</v>
      </c>
      <c r="E6373" s="3">
        <v>26.79</v>
      </c>
      <c r="F6373" s="3">
        <v>10.71</v>
      </c>
      <c r="G6373" s="3">
        <v>0.11</v>
      </c>
    </row>
    <row r="6374">
      <c r="A6374" s="3">
        <v>173884.0</v>
      </c>
      <c r="B6374" s="3" t="s">
        <v>6401</v>
      </c>
      <c r="C6374" s="3" t="s">
        <v>222</v>
      </c>
      <c r="D6374" s="3">
        <v>372.0</v>
      </c>
      <c r="E6374" s="3">
        <v>6.6</v>
      </c>
      <c r="F6374" s="3">
        <v>12.4</v>
      </c>
      <c r="G6374" s="3">
        <v>73.2</v>
      </c>
    </row>
    <row r="6375">
      <c r="A6375" s="3">
        <v>173885.0</v>
      </c>
      <c r="B6375" s="3" t="s">
        <v>6402</v>
      </c>
      <c r="C6375" s="3" t="s">
        <v>222</v>
      </c>
      <c r="D6375" s="3">
        <v>397.0</v>
      </c>
      <c r="E6375" s="3">
        <v>4.1</v>
      </c>
      <c r="F6375" s="3">
        <v>4.8</v>
      </c>
      <c r="G6375" s="3">
        <v>85.7</v>
      </c>
    </row>
    <row r="6376">
      <c r="A6376" s="3">
        <v>173886.0</v>
      </c>
      <c r="B6376" s="3" t="s">
        <v>6403</v>
      </c>
      <c r="C6376" s="3" t="s">
        <v>222</v>
      </c>
      <c r="D6376" s="3">
        <v>331.0</v>
      </c>
      <c r="E6376" s="3">
        <v>4.06</v>
      </c>
      <c r="F6376" s="3">
        <v>6.37</v>
      </c>
      <c r="G6376" s="3">
        <v>83.68</v>
      </c>
    </row>
    <row r="6377">
      <c r="A6377" s="3">
        <v>173887.0</v>
      </c>
      <c r="B6377" s="3" t="s">
        <v>6404</v>
      </c>
      <c r="C6377" s="3" t="s">
        <v>222</v>
      </c>
      <c r="D6377" s="3">
        <v>383.0</v>
      </c>
      <c r="E6377" s="3">
        <v>1.26</v>
      </c>
      <c r="F6377" s="3">
        <v>6.69</v>
      </c>
      <c r="G6377" s="3">
        <v>86.22</v>
      </c>
    </row>
    <row r="6378">
      <c r="A6378" s="3">
        <v>173888.0</v>
      </c>
      <c r="B6378" s="3" t="s">
        <v>6405</v>
      </c>
      <c r="C6378" s="3" t="s">
        <v>222</v>
      </c>
      <c r="D6378" s="3">
        <v>328.0</v>
      </c>
      <c r="E6378" s="3">
        <v>2.1</v>
      </c>
      <c r="F6378" s="3">
        <v>9.9</v>
      </c>
      <c r="G6378" s="3">
        <v>80.5</v>
      </c>
    </row>
    <row r="6379">
      <c r="A6379" s="3">
        <v>173889.0</v>
      </c>
      <c r="B6379" s="3" t="s">
        <v>6406</v>
      </c>
      <c r="C6379" s="3" t="s">
        <v>222</v>
      </c>
      <c r="D6379" s="3">
        <v>394.0</v>
      </c>
      <c r="E6379" s="3">
        <v>2.93</v>
      </c>
      <c r="F6379" s="3">
        <v>6.01</v>
      </c>
      <c r="G6379" s="3">
        <v>86.63</v>
      </c>
    </row>
    <row r="6380">
      <c r="A6380" s="3">
        <v>173890.0</v>
      </c>
      <c r="B6380" s="3" t="s">
        <v>6407</v>
      </c>
      <c r="C6380" s="3" t="s">
        <v>222</v>
      </c>
      <c r="D6380" s="3">
        <v>381.0</v>
      </c>
      <c r="E6380" s="3">
        <v>3.44</v>
      </c>
      <c r="F6380" s="3">
        <v>6.41</v>
      </c>
      <c r="G6380" s="3">
        <v>83.85</v>
      </c>
    </row>
    <row r="6381">
      <c r="A6381" s="3">
        <v>173891.0</v>
      </c>
      <c r="B6381" s="3" t="s">
        <v>6408</v>
      </c>
      <c r="C6381" s="3" t="s">
        <v>222</v>
      </c>
      <c r="D6381" s="3">
        <v>374.0</v>
      </c>
      <c r="E6381" s="3">
        <v>4.43</v>
      </c>
      <c r="F6381" s="3">
        <v>9.98</v>
      </c>
      <c r="G6381" s="3">
        <v>77.74</v>
      </c>
    </row>
    <row r="6382">
      <c r="A6382" s="3">
        <v>173892.0</v>
      </c>
      <c r="B6382" s="3" t="s">
        <v>6409</v>
      </c>
      <c r="C6382" s="3" t="s">
        <v>222</v>
      </c>
      <c r="D6382" s="3">
        <v>421.0</v>
      </c>
      <c r="E6382" s="3">
        <v>11.62</v>
      </c>
      <c r="F6382" s="3">
        <v>10.55</v>
      </c>
      <c r="G6382" s="3">
        <v>73.65</v>
      </c>
    </row>
    <row r="6383">
      <c r="A6383" s="3">
        <v>173893.0</v>
      </c>
      <c r="B6383" s="3" t="s">
        <v>6410</v>
      </c>
      <c r="C6383" s="3" t="s">
        <v>222</v>
      </c>
      <c r="D6383" s="3">
        <v>395.0</v>
      </c>
      <c r="E6383" s="3">
        <v>5.36</v>
      </c>
      <c r="F6383" s="3">
        <v>10.71</v>
      </c>
      <c r="G6383" s="3">
        <v>75.96</v>
      </c>
    </row>
    <row r="6384">
      <c r="A6384" s="3">
        <v>173894.0</v>
      </c>
      <c r="B6384" s="3" t="s">
        <v>6411</v>
      </c>
      <c r="C6384" s="3" t="s">
        <v>222</v>
      </c>
      <c r="D6384" s="3">
        <v>373.0</v>
      </c>
      <c r="E6384" s="3">
        <v>2.9</v>
      </c>
      <c r="F6384" s="3">
        <v>8.5</v>
      </c>
      <c r="G6384" s="3">
        <v>83.6</v>
      </c>
    </row>
    <row r="6385">
      <c r="A6385" s="3">
        <v>173895.0</v>
      </c>
      <c r="B6385" s="3" t="s">
        <v>6412</v>
      </c>
      <c r="C6385" s="3" t="s">
        <v>222</v>
      </c>
      <c r="D6385" s="3">
        <v>385.0</v>
      </c>
      <c r="E6385" s="3">
        <v>0.35</v>
      </c>
      <c r="F6385" s="3">
        <v>3.32</v>
      </c>
      <c r="G6385" s="3">
        <v>90.59</v>
      </c>
    </row>
    <row r="6386">
      <c r="A6386" s="3">
        <v>173896.0</v>
      </c>
      <c r="B6386" s="3" t="s">
        <v>6413</v>
      </c>
      <c r="C6386" s="3" t="s">
        <v>222</v>
      </c>
      <c r="D6386" s="3">
        <v>382.0</v>
      </c>
      <c r="E6386" s="3">
        <v>10.7</v>
      </c>
      <c r="F6386" s="3">
        <v>29.1</v>
      </c>
      <c r="G6386" s="3">
        <v>49.6</v>
      </c>
    </row>
    <row r="6387">
      <c r="A6387" s="3">
        <v>173897.0</v>
      </c>
      <c r="B6387" s="3" t="s">
        <v>6414</v>
      </c>
      <c r="C6387" s="3" t="s">
        <v>222</v>
      </c>
      <c r="D6387" s="3">
        <v>74.0</v>
      </c>
      <c r="E6387" s="3">
        <v>0.49</v>
      </c>
      <c r="F6387" s="3">
        <v>1.58</v>
      </c>
      <c r="G6387" s="3">
        <v>15.95</v>
      </c>
    </row>
    <row r="6388">
      <c r="A6388" s="3">
        <v>173898.0</v>
      </c>
      <c r="B6388" s="3" t="s">
        <v>6415</v>
      </c>
      <c r="C6388" s="3" t="s">
        <v>222</v>
      </c>
      <c r="D6388" s="3">
        <v>363.0</v>
      </c>
      <c r="E6388" s="3">
        <v>5.46</v>
      </c>
      <c r="F6388" s="3">
        <v>8.98</v>
      </c>
      <c r="G6388" s="3">
        <v>72.96</v>
      </c>
    </row>
    <row r="6389">
      <c r="A6389" s="3">
        <v>173899.0</v>
      </c>
      <c r="B6389" s="3" t="s">
        <v>6416</v>
      </c>
      <c r="C6389" s="3" t="s">
        <v>222</v>
      </c>
      <c r="D6389" s="3">
        <v>340.0</v>
      </c>
      <c r="E6389" s="3">
        <v>1.73</v>
      </c>
      <c r="F6389" s="3">
        <v>9.93</v>
      </c>
      <c r="G6389" s="3">
        <v>75.39</v>
      </c>
    </row>
    <row r="6390">
      <c r="A6390" s="3">
        <v>173900.0</v>
      </c>
      <c r="B6390" s="3" t="s">
        <v>6417</v>
      </c>
      <c r="C6390" s="3" t="s">
        <v>222</v>
      </c>
      <c r="D6390" s="3">
        <v>370.0</v>
      </c>
      <c r="E6390" s="3">
        <v>0.5</v>
      </c>
      <c r="F6390" s="3">
        <v>6.3</v>
      </c>
      <c r="G6390" s="3">
        <v>82.4</v>
      </c>
    </row>
    <row r="6391">
      <c r="A6391" s="3">
        <v>173901.0</v>
      </c>
      <c r="B6391" s="3" t="s">
        <v>6418</v>
      </c>
      <c r="C6391" s="3" t="s">
        <v>222</v>
      </c>
      <c r="D6391" s="3">
        <v>370.0</v>
      </c>
      <c r="E6391" s="3">
        <v>1.5</v>
      </c>
      <c r="F6391" s="3">
        <v>10.5</v>
      </c>
      <c r="G6391" s="3">
        <v>76.5</v>
      </c>
    </row>
    <row r="6392">
      <c r="A6392" s="3">
        <v>173902.0</v>
      </c>
      <c r="B6392" s="3" t="s">
        <v>6419</v>
      </c>
      <c r="C6392" s="3" t="s">
        <v>222</v>
      </c>
      <c r="D6392" s="3">
        <v>62.0</v>
      </c>
      <c r="E6392" s="3">
        <v>0.24</v>
      </c>
      <c r="F6392" s="3">
        <v>1.84</v>
      </c>
      <c r="G6392" s="3">
        <v>13.08</v>
      </c>
    </row>
    <row r="6393">
      <c r="A6393" s="3">
        <v>173903.0</v>
      </c>
      <c r="B6393" s="3" t="s">
        <v>6420</v>
      </c>
      <c r="C6393" s="3" t="s">
        <v>222</v>
      </c>
      <c r="D6393" s="3">
        <v>365.0</v>
      </c>
      <c r="E6393" s="3">
        <v>0.7</v>
      </c>
      <c r="F6393" s="3">
        <v>11.8</v>
      </c>
      <c r="G6393" s="3">
        <v>77.25</v>
      </c>
    </row>
    <row r="6394">
      <c r="A6394" s="3">
        <v>173904.0</v>
      </c>
      <c r="B6394" s="3" t="s">
        <v>6421</v>
      </c>
      <c r="C6394" s="3" t="s">
        <v>222</v>
      </c>
      <c r="D6394" s="3">
        <v>379.0</v>
      </c>
      <c r="E6394" s="3">
        <v>6.52</v>
      </c>
      <c r="F6394" s="3">
        <v>13.15</v>
      </c>
      <c r="G6394" s="3">
        <v>67.7</v>
      </c>
    </row>
    <row r="6395">
      <c r="A6395" s="3">
        <v>173905.0</v>
      </c>
      <c r="B6395" s="3" t="s">
        <v>6422</v>
      </c>
      <c r="C6395" s="3" t="s">
        <v>660</v>
      </c>
      <c r="D6395" s="3">
        <v>71.0</v>
      </c>
      <c r="E6395" s="3">
        <v>1.52</v>
      </c>
      <c r="F6395" s="3">
        <v>2.54</v>
      </c>
      <c r="G6395" s="3">
        <v>12.0</v>
      </c>
    </row>
    <row r="6396">
      <c r="A6396" s="3">
        <v>173906.0</v>
      </c>
      <c r="B6396" s="3" t="s">
        <v>6423</v>
      </c>
      <c r="C6396" s="3" t="s">
        <v>222</v>
      </c>
      <c r="D6396" s="3">
        <v>96.0</v>
      </c>
      <c r="E6396" s="3">
        <v>1.21</v>
      </c>
      <c r="F6396" s="3">
        <v>2.37</v>
      </c>
      <c r="G6396" s="3">
        <v>18.95</v>
      </c>
    </row>
    <row r="6397">
      <c r="A6397" s="3">
        <v>173907.0</v>
      </c>
      <c r="B6397" s="3" t="s">
        <v>6424</v>
      </c>
      <c r="C6397" s="3" t="s">
        <v>222</v>
      </c>
      <c r="D6397" s="3">
        <v>368.0</v>
      </c>
      <c r="E6397" s="3">
        <v>4.63</v>
      </c>
      <c r="F6397" s="3">
        <v>9.2</v>
      </c>
      <c r="G6397" s="3">
        <v>76.91</v>
      </c>
    </row>
    <row r="6398">
      <c r="A6398" s="3">
        <v>173908.0</v>
      </c>
      <c r="B6398" s="3" t="s">
        <v>6425</v>
      </c>
      <c r="C6398" s="3" t="s">
        <v>222</v>
      </c>
      <c r="D6398" s="3">
        <v>88.0</v>
      </c>
      <c r="E6398" s="3">
        <v>0.95</v>
      </c>
      <c r="F6398" s="3">
        <v>1.98</v>
      </c>
      <c r="G6398" s="3">
        <v>17.91</v>
      </c>
    </row>
    <row r="6399">
      <c r="A6399" s="3">
        <v>173909.0</v>
      </c>
      <c r="B6399" s="3" t="s">
        <v>6426</v>
      </c>
      <c r="C6399" s="3" t="s">
        <v>222</v>
      </c>
      <c r="D6399" s="3">
        <v>387.0</v>
      </c>
      <c r="E6399" s="3">
        <v>3.53</v>
      </c>
      <c r="F6399" s="3">
        <v>6.94</v>
      </c>
      <c r="G6399" s="3">
        <v>82.77</v>
      </c>
    </row>
    <row r="6400">
      <c r="A6400" s="3">
        <v>173910.0</v>
      </c>
      <c r="B6400" s="3" t="s">
        <v>6427</v>
      </c>
      <c r="C6400" s="3" t="s">
        <v>222</v>
      </c>
      <c r="D6400" s="3">
        <v>337.0</v>
      </c>
      <c r="E6400" s="3">
        <v>2.01</v>
      </c>
      <c r="F6400" s="3">
        <v>11.37</v>
      </c>
      <c r="G6400" s="3">
        <v>78.96</v>
      </c>
    </row>
    <row r="6401">
      <c r="A6401" s="3">
        <v>173911.0</v>
      </c>
      <c r="B6401" s="3" t="s">
        <v>6428</v>
      </c>
      <c r="C6401" s="3" t="s">
        <v>222</v>
      </c>
      <c r="D6401" s="3">
        <v>351.0</v>
      </c>
      <c r="E6401" s="3">
        <v>2.1</v>
      </c>
      <c r="F6401" s="3">
        <v>11.8</v>
      </c>
      <c r="G6401" s="3">
        <v>81.4</v>
      </c>
    </row>
    <row r="6402">
      <c r="A6402" s="3">
        <v>173912.0</v>
      </c>
      <c r="B6402" s="3" t="s">
        <v>6429</v>
      </c>
      <c r="C6402" s="3" t="s">
        <v>222</v>
      </c>
      <c r="D6402" s="3">
        <v>402.0</v>
      </c>
      <c r="E6402" s="3">
        <v>0.5</v>
      </c>
      <c r="F6402" s="3">
        <v>6.3</v>
      </c>
      <c r="G6402" s="3">
        <v>89.8</v>
      </c>
    </row>
    <row r="6403">
      <c r="A6403" s="3">
        <v>173913.0</v>
      </c>
      <c r="B6403" s="3" t="s">
        <v>6430</v>
      </c>
      <c r="C6403" s="3" t="s">
        <v>222</v>
      </c>
      <c r="D6403" s="3">
        <v>364.0</v>
      </c>
      <c r="E6403" s="3">
        <v>1.2</v>
      </c>
      <c r="F6403" s="3">
        <v>14.7</v>
      </c>
      <c r="G6403" s="3">
        <v>79.6</v>
      </c>
    </row>
    <row r="6404">
      <c r="A6404" s="3">
        <v>173914.0</v>
      </c>
      <c r="B6404" s="3" t="s">
        <v>6431</v>
      </c>
      <c r="C6404" s="3" t="s">
        <v>222</v>
      </c>
      <c r="D6404" s="3">
        <v>52.0</v>
      </c>
      <c r="E6404" s="3">
        <v>0.1</v>
      </c>
      <c r="F6404" s="3">
        <v>0.9</v>
      </c>
      <c r="G6404" s="3">
        <v>11.5</v>
      </c>
    </row>
    <row r="6405">
      <c r="A6405" s="3">
        <v>173915.0</v>
      </c>
      <c r="B6405" s="3" t="s">
        <v>6432</v>
      </c>
      <c r="C6405" s="3" t="s">
        <v>222</v>
      </c>
      <c r="D6405" s="3">
        <v>50.0</v>
      </c>
      <c r="E6405" s="3">
        <v>0.21</v>
      </c>
      <c r="F6405" s="3">
        <v>1.46</v>
      </c>
      <c r="G6405" s="3">
        <v>10.66</v>
      </c>
    </row>
    <row r="6406">
      <c r="A6406" s="3">
        <v>173916.0</v>
      </c>
      <c r="B6406" s="3" t="s">
        <v>6433</v>
      </c>
      <c r="C6406" s="3" t="s">
        <v>222</v>
      </c>
      <c r="D6406" s="3">
        <v>369.0</v>
      </c>
      <c r="E6406" s="3">
        <v>0.5</v>
      </c>
      <c r="F6406" s="3">
        <v>10.6</v>
      </c>
      <c r="G6406" s="3">
        <v>78.0</v>
      </c>
    </row>
    <row r="6407">
      <c r="A6407" s="3">
        <v>173917.0</v>
      </c>
      <c r="B6407" s="3" t="s">
        <v>6434</v>
      </c>
      <c r="C6407" s="3" t="s">
        <v>222</v>
      </c>
      <c r="D6407" s="3">
        <v>53.0</v>
      </c>
      <c r="E6407" s="3">
        <v>0.34</v>
      </c>
      <c r="F6407" s="3">
        <v>1.82</v>
      </c>
      <c r="G6407" s="3">
        <v>10.92</v>
      </c>
    </row>
    <row r="6408">
      <c r="A6408" s="3">
        <v>173918.0</v>
      </c>
      <c r="B6408" s="3" t="s">
        <v>6435</v>
      </c>
      <c r="C6408" s="3" t="s">
        <v>222</v>
      </c>
      <c r="D6408" s="3">
        <v>352.0</v>
      </c>
      <c r="E6408" s="3">
        <v>1.9</v>
      </c>
      <c r="F6408" s="3">
        <v>7.8</v>
      </c>
      <c r="G6408" s="3">
        <v>83.8</v>
      </c>
    </row>
    <row r="6409">
      <c r="A6409" s="3">
        <v>173919.0</v>
      </c>
      <c r="B6409" s="3" t="s">
        <v>6436</v>
      </c>
      <c r="C6409" s="3" t="s">
        <v>222</v>
      </c>
      <c r="D6409" s="3">
        <v>395.0</v>
      </c>
      <c r="E6409" s="3">
        <v>5.3</v>
      </c>
      <c r="F6409" s="3">
        <v>6.5</v>
      </c>
      <c r="G6409" s="3">
        <v>81.6</v>
      </c>
    </row>
    <row r="6410">
      <c r="A6410" s="3">
        <v>173920.0</v>
      </c>
      <c r="B6410" s="3" t="s">
        <v>6437</v>
      </c>
      <c r="C6410" s="3" t="s">
        <v>222</v>
      </c>
      <c r="D6410" s="3">
        <v>386.0</v>
      </c>
      <c r="E6410" s="3">
        <v>4.73</v>
      </c>
      <c r="F6410" s="3">
        <v>9.25</v>
      </c>
      <c r="G6410" s="3">
        <v>76.67</v>
      </c>
    </row>
    <row r="6411">
      <c r="A6411" s="3">
        <v>173921.0</v>
      </c>
      <c r="B6411" s="3" t="s">
        <v>6438</v>
      </c>
      <c r="C6411" s="3" t="s">
        <v>222</v>
      </c>
      <c r="D6411" s="3">
        <v>376.0</v>
      </c>
      <c r="E6411" s="3">
        <v>5.61</v>
      </c>
      <c r="F6411" s="3">
        <v>7.63</v>
      </c>
      <c r="G6411" s="3">
        <v>80.1</v>
      </c>
    </row>
    <row r="6412">
      <c r="A6412" s="3">
        <v>173922.0</v>
      </c>
      <c r="B6412" s="3" t="s">
        <v>6439</v>
      </c>
      <c r="C6412" s="3" t="s">
        <v>222</v>
      </c>
      <c r="D6412" s="3">
        <v>361.0</v>
      </c>
      <c r="E6412" s="3">
        <v>6.2</v>
      </c>
      <c r="F6412" s="3">
        <v>16.37</v>
      </c>
      <c r="G6412" s="3">
        <v>64.25</v>
      </c>
    </row>
    <row r="6413">
      <c r="A6413" s="3">
        <v>173923.0</v>
      </c>
      <c r="B6413" s="3" t="s">
        <v>6440</v>
      </c>
      <c r="C6413" s="3" t="s">
        <v>222</v>
      </c>
      <c r="D6413" s="3">
        <v>361.0</v>
      </c>
      <c r="E6413" s="3">
        <v>6.16</v>
      </c>
      <c r="F6413" s="3">
        <v>16.5</v>
      </c>
      <c r="G6413" s="3">
        <v>64.42</v>
      </c>
    </row>
    <row r="6414">
      <c r="A6414" s="3">
        <v>173924.0</v>
      </c>
      <c r="B6414" s="3" t="s">
        <v>6441</v>
      </c>
      <c r="C6414" s="3" t="s">
        <v>222</v>
      </c>
      <c r="D6414" s="3">
        <v>387.0</v>
      </c>
      <c r="E6414" s="3">
        <v>9.84</v>
      </c>
      <c r="F6414" s="3">
        <v>10.1</v>
      </c>
      <c r="G6414" s="3">
        <v>68.61</v>
      </c>
    </row>
    <row r="6415">
      <c r="A6415" s="3">
        <v>173925.0</v>
      </c>
      <c r="B6415" s="3" t="s">
        <v>6442</v>
      </c>
      <c r="C6415" s="3" t="s">
        <v>222</v>
      </c>
      <c r="D6415" s="3">
        <v>394.0</v>
      </c>
      <c r="E6415" s="3">
        <v>11.02</v>
      </c>
      <c r="F6415" s="3">
        <v>12.02</v>
      </c>
      <c r="G6415" s="3">
        <v>66.73</v>
      </c>
    </row>
    <row r="6416">
      <c r="A6416" s="3">
        <v>173926.0</v>
      </c>
      <c r="B6416" s="3" t="s">
        <v>6443</v>
      </c>
      <c r="C6416" s="3" t="s">
        <v>222</v>
      </c>
      <c r="D6416" s="3">
        <v>361.0</v>
      </c>
      <c r="E6416" s="3">
        <v>6.28</v>
      </c>
      <c r="F6416" s="3">
        <v>16.5</v>
      </c>
      <c r="G6416" s="3">
        <v>64.21</v>
      </c>
    </row>
    <row r="6417">
      <c r="A6417" s="3">
        <v>173927.0</v>
      </c>
      <c r="B6417" s="3" t="s">
        <v>6444</v>
      </c>
      <c r="C6417" s="3" t="s">
        <v>222</v>
      </c>
      <c r="D6417" s="3">
        <v>373.0</v>
      </c>
      <c r="E6417" s="3">
        <v>1.83</v>
      </c>
      <c r="F6417" s="3">
        <v>8.18</v>
      </c>
      <c r="G6417" s="3">
        <v>80.91</v>
      </c>
    </row>
    <row r="6418">
      <c r="A6418" s="3">
        <v>173928.0</v>
      </c>
      <c r="B6418" s="3" t="s">
        <v>6445</v>
      </c>
      <c r="C6418" s="3" t="s">
        <v>257</v>
      </c>
      <c r="D6418" s="3">
        <v>53.0</v>
      </c>
      <c r="E6418" s="3">
        <v>0.36</v>
      </c>
      <c r="F6418" s="3">
        <v>0.26</v>
      </c>
      <c r="G6418" s="3">
        <v>13.64</v>
      </c>
    </row>
    <row r="6419">
      <c r="A6419" s="3">
        <v>173929.0</v>
      </c>
      <c r="B6419" s="3" t="s">
        <v>6446</v>
      </c>
      <c r="C6419" s="3" t="s">
        <v>257</v>
      </c>
      <c r="D6419" s="3">
        <v>56.0</v>
      </c>
      <c r="E6419" s="3">
        <v>0.42</v>
      </c>
      <c r="F6419" s="3">
        <v>0.28</v>
      </c>
      <c r="G6419" s="3">
        <v>14.41</v>
      </c>
    </row>
    <row r="6420">
      <c r="A6420" s="3">
        <v>173930.0</v>
      </c>
      <c r="B6420" s="3" t="s">
        <v>6447</v>
      </c>
      <c r="C6420" s="3" t="s">
        <v>257</v>
      </c>
      <c r="D6420" s="3">
        <v>67.0</v>
      </c>
      <c r="E6420" s="3">
        <v>0.43</v>
      </c>
      <c r="F6420" s="3">
        <v>0.18</v>
      </c>
      <c r="G6420" s="3">
        <v>16.84</v>
      </c>
    </row>
    <row r="6421">
      <c r="A6421" s="3">
        <v>173931.0</v>
      </c>
      <c r="B6421" s="3" t="s">
        <v>6448</v>
      </c>
      <c r="C6421" s="3" t="s">
        <v>257</v>
      </c>
      <c r="D6421" s="3">
        <v>346.0</v>
      </c>
      <c r="E6421" s="3">
        <v>0.58</v>
      </c>
      <c r="F6421" s="3">
        <v>1.32</v>
      </c>
      <c r="G6421" s="3">
        <v>93.53</v>
      </c>
    </row>
    <row r="6422">
      <c r="A6422" s="3">
        <v>173932.0</v>
      </c>
      <c r="B6422" s="3" t="s">
        <v>6449</v>
      </c>
      <c r="C6422" s="3" t="s">
        <v>257</v>
      </c>
      <c r="D6422" s="3">
        <v>47.0</v>
      </c>
      <c r="E6422" s="3">
        <v>0.33</v>
      </c>
      <c r="F6422" s="3">
        <v>0.29</v>
      </c>
      <c r="G6422" s="3">
        <v>12.0</v>
      </c>
    </row>
    <row r="6423">
      <c r="A6423" s="3">
        <v>173933.0</v>
      </c>
      <c r="B6423" s="3" t="s">
        <v>6450</v>
      </c>
      <c r="C6423" s="3" t="s">
        <v>257</v>
      </c>
      <c r="D6423" s="3">
        <v>46.0</v>
      </c>
      <c r="E6423" s="3">
        <v>0.13</v>
      </c>
      <c r="F6423" s="3">
        <v>0.1</v>
      </c>
      <c r="G6423" s="3">
        <v>11.3</v>
      </c>
    </row>
    <row r="6424">
      <c r="A6424" s="3">
        <v>173934.0</v>
      </c>
      <c r="B6424" s="3" t="s">
        <v>6451</v>
      </c>
      <c r="C6424" s="3" t="s">
        <v>257</v>
      </c>
      <c r="D6424" s="3">
        <v>166.0</v>
      </c>
      <c r="E6424" s="3">
        <v>0.37</v>
      </c>
      <c r="F6424" s="3">
        <v>0.51</v>
      </c>
      <c r="G6424" s="3">
        <v>41.0</v>
      </c>
    </row>
    <row r="6425">
      <c r="A6425" s="3">
        <v>173935.0</v>
      </c>
      <c r="B6425" s="3" t="s">
        <v>6452</v>
      </c>
      <c r="C6425" s="3" t="s">
        <v>257</v>
      </c>
      <c r="D6425" s="3">
        <v>47.0</v>
      </c>
      <c r="E6425" s="3">
        <v>0.1</v>
      </c>
      <c r="F6425" s="3">
        <v>0.14</v>
      </c>
      <c r="G6425" s="3">
        <v>11.54</v>
      </c>
    </row>
    <row r="6426">
      <c r="A6426" s="3">
        <v>173936.0</v>
      </c>
      <c r="B6426" s="3" t="s">
        <v>6453</v>
      </c>
      <c r="C6426" s="3" t="s">
        <v>257</v>
      </c>
      <c r="D6426" s="3">
        <v>22.0</v>
      </c>
      <c r="E6426" s="3">
        <v>0.03</v>
      </c>
      <c r="F6426" s="3">
        <v>0.69</v>
      </c>
      <c r="G6426" s="3">
        <v>5.48</v>
      </c>
    </row>
    <row r="6427">
      <c r="A6427" s="3">
        <v>173937.0</v>
      </c>
      <c r="B6427" s="3" t="s">
        <v>6454</v>
      </c>
      <c r="C6427" s="3" t="s">
        <v>257</v>
      </c>
      <c r="D6427" s="3">
        <v>48.0</v>
      </c>
      <c r="E6427" s="3">
        <v>0.04</v>
      </c>
      <c r="F6427" s="3">
        <v>0.63</v>
      </c>
      <c r="G6427" s="3">
        <v>12.34</v>
      </c>
    </row>
    <row r="6428">
      <c r="A6428" s="3">
        <v>173938.0</v>
      </c>
      <c r="B6428" s="3" t="s">
        <v>6455</v>
      </c>
      <c r="C6428" s="3" t="s">
        <v>257</v>
      </c>
      <c r="D6428" s="3">
        <v>49.0</v>
      </c>
      <c r="E6428" s="3">
        <v>0.1</v>
      </c>
      <c r="F6428" s="3">
        <v>0.6</v>
      </c>
      <c r="G6428" s="3">
        <v>12.5</v>
      </c>
    </row>
    <row r="6429">
      <c r="A6429" s="3">
        <v>173939.0</v>
      </c>
      <c r="B6429" s="3" t="s">
        <v>6456</v>
      </c>
      <c r="C6429" s="3" t="s">
        <v>257</v>
      </c>
      <c r="D6429" s="3">
        <v>63.0</v>
      </c>
      <c r="E6429" s="3">
        <v>0.05</v>
      </c>
      <c r="F6429" s="3">
        <v>0.53</v>
      </c>
      <c r="G6429" s="3">
        <v>16.49</v>
      </c>
    </row>
    <row r="6430">
      <c r="A6430" s="3">
        <v>173940.0</v>
      </c>
      <c r="B6430" s="3" t="s">
        <v>6457</v>
      </c>
      <c r="C6430" s="3" t="s">
        <v>257</v>
      </c>
      <c r="D6430" s="3">
        <v>126.0</v>
      </c>
      <c r="E6430" s="3">
        <v>0.24</v>
      </c>
      <c r="F6430" s="3">
        <v>1.93</v>
      </c>
      <c r="G6430" s="3">
        <v>32.62</v>
      </c>
    </row>
    <row r="6431">
      <c r="A6431" s="3">
        <v>173941.0</v>
      </c>
      <c r="B6431" s="3" t="s">
        <v>6458</v>
      </c>
      <c r="C6431" s="3" t="s">
        <v>257</v>
      </c>
      <c r="D6431" s="3">
        <v>241.0</v>
      </c>
      <c r="E6431" s="3">
        <v>0.51</v>
      </c>
      <c r="F6431" s="3">
        <v>3.39</v>
      </c>
      <c r="G6431" s="3">
        <v>62.64</v>
      </c>
    </row>
    <row r="6432">
      <c r="A6432" s="3">
        <v>173942.0</v>
      </c>
      <c r="B6432" s="3" t="s">
        <v>6459</v>
      </c>
      <c r="C6432" s="3" t="s">
        <v>257</v>
      </c>
      <c r="D6432" s="3">
        <v>85.0</v>
      </c>
      <c r="E6432" s="3">
        <v>0.18</v>
      </c>
      <c r="F6432" s="3">
        <v>1.2</v>
      </c>
      <c r="G6432" s="3">
        <v>22.15</v>
      </c>
    </row>
    <row r="6433">
      <c r="A6433" s="3">
        <v>173943.0</v>
      </c>
      <c r="B6433" s="3" t="s">
        <v>6460</v>
      </c>
      <c r="C6433" s="3" t="s">
        <v>257</v>
      </c>
      <c r="D6433" s="3">
        <v>113.0</v>
      </c>
      <c r="E6433" s="3">
        <v>0.15</v>
      </c>
      <c r="F6433" s="3">
        <v>1.17</v>
      </c>
      <c r="G6433" s="3">
        <v>29.26</v>
      </c>
    </row>
    <row r="6434">
      <c r="A6434" s="3">
        <v>173944.0</v>
      </c>
      <c r="B6434" s="3" t="s">
        <v>6461</v>
      </c>
      <c r="C6434" s="3" t="s">
        <v>257</v>
      </c>
      <c r="D6434" s="3">
        <v>89.0</v>
      </c>
      <c r="E6434" s="3">
        <v>0.33</v>
      </c>
      <c r="F6434" s="3">
        <v>1.09</v>
      </c>
      <c r="G6434" s="3">
        <v>22.84</v>
      </c>
    </row>
    <row r="6435">
      <c r="A6435" s="3">
        <v>173945.0</v>
      </c>
      <c r="B6435" s="3" t="s">
        <v>6462</v>
      </c>
      <c r="C6435" s="3" t="s">
        <v>257</v>
      </c>
      <c r="D6435" s="3">
        <v>346.0</v>
      </c>
      <c r="E6435" s="3">
        <v>1.81</v>
      </c>
      <c r="F6435" s="3">
        <v>3.89</v>
      </c>
      <c r="G6435" s="3">
        <v>88.28</v>
      </c>
    </row>
    <row r="6436">
      <c r="A6436" s="3">
        <v>173946.0</v>
      </c>
      <c r="B6436" s="3" t="s">
        <v>6463</v>
      </c>
      <c r="C6436" s="3" t="s">
        <v>257</v>
      </c>
      <c r="D6436" s="3">
        <v>43.0</v>
      </c>
      <c r="E6436" s="3">
        <v>0.49</v>
      </c>
      <c r="F6436" s="3">
        <v>1.39</v>
      </c>
      <c r="G6436" s="3">
        <v>9.61</v>
      </c>
    </row>
    <row r="6437">
      <c r="A6437" s="3">
        <v>173947.0</v>
      </c>
      <c r="B6437" s="3" t="s">
        <v>6464</v>
      </c>
      <c r="C6437" s="3" t="s">
        <v>257</v>
      </c>
      <c r="D6437" s="3">
        <v>38.0</v>
      </c>
      <c r="E6437" s="3">
        <v>0.6</v>
      </c>
      <c r="F6437" s="3">
        <v>0.3</v>
      </c>
      <c r="G6437" s="3">
        <v>7.8</v>
      </c>
    </row>
    <row r="6438">
      <c r="A6438" s="3">
        <v>173948.0</v>
      </c>
      <c r="B6438" s="3" t="s">
        <v>6465</v>
      </c>
      <c r="C6438" s="3" t="s">
        <v>257</v>
      </c>
      <c r="D6438" s="3">
        <v>88.0</v>
      </c>
      <c r="E6438" s="3">
        <v>0.33</v>
      </c>
      <c r="F6438" s="3">
        <v>0.65</v>
      </c>
      <c r="G6438" s="3">
        <v>22.06</v>
      </c>
    </row>
    <row r="6439">
      <c r="A6439" s="3">
        <v>173949.0</v>
      </c>
      <c r="B6439" s="3" t="s">
        <v>6466</v>
      </c>
      <c r="C6439" s="3" t="s">
        <v>257</v>
      </c>
      <c r="D6439" s="3">
        <v>57.0</v>
      </c>
      <c r="E6439" s="3">
        <v>0.16</v>
      </c>
      <c r="F6439" s="3">
        <v>0.0</v>
      </c>
      <c r="G6439" s="3">
        <v>13.85</v>
      </c>
    </row>
    <row r="6440">
      <c r="A6440" s="3">
        <v>173950.0</v>
      </c>
      <c r="B6440" s="3" t="s">
        <v>6467</v>
      </c>
      <c r="C6440" s="3" t="s">
        <v>257</v>
      </c>
      <c r="D6440" s="3">
        <v>51.0</v>
      </c>
      <c r="E6440" s="3">
        <v>0.64</v>
      </c>
      <c r="F6440" s="3">
        <v>0.42</v>
      </c>
      <c r="G6440" s="3">
        <v>12.17</v>
      </c>
    </row>
    <row r="6441">
      <c r="A6441" s="3">
        <v>173951.0</v>
      </c>
      <c r="B6441" s="3" t="s">
        <v>6468</v>
      </c>
      <c r="C6441" s="3" t="s">
        <v>257</v>
      </c>
      <c r="D6441" s="3">
        <v>85.0</v>
      </c>
      <c r="E6441" s="3">
        <v>0.13</v>
      </c>
      <c r="F6441" s="3">
        <v>0.4</v>
      </c>
      <c r="G6441" s="3">
        <v>21.95</v>
      </c>
    </row>
    <row r="6442">
      <c r="A6442" s="3">
        <v>173952.0</v>
      </c>
      <c r="B6442" s="3" t="s">
        <v>6469</v>
      </c>
      <c r="C6442" s="3" t="s">
        <v>257</v>
      </c>
      <c r="D6442" s="3">
        <v>62.0</v>
      </c>
      <c r="E6442" s="3">
        <v>1.3</v>
      </c>
      <c r="F6442" s="3">
        <v>0.5</v>
      </c>
      <c r="G6442" s="3">
        <v>13.63</v>
      </c>
    </row>
    <row r="6443">
      <c r="A6443" s="3">
        <v>173953.0</v>
      </c>
      <c r="B6443" s="3" t="s">
        <v>6470</v>
      </c>
      <c r="C6443" s="3" t="s">
        <v>257</v>
      </c>
      <c r="D6443" s="3">
        <v>75.0</v>
      </c>
      <c r="E6443" s="3">
        <v>0.68</v>
      </c>
      <c r="F6443" s="3">
        <v>1.57</v>
      </c>
      <c r="G6443" s="3">
        <v>17.71</v>
      </c>
    </row>
    <row r="6444">
      <c r="A6444" s="3">
        <v>173954.0</v>
      </c>
      <c r="B6444" s="3" t="s">
        <v>6471</v>
      </c>
      <c r="C6444" s="3" t="s">
        <v>257</v>
      </c>
      <c r="D6444" s="3">
        <v>50.0</v>
      </c>
      <c r="E6444" s="3">
        <v>0.3</v>
      </c>
      <c r="F6444" s="3">
        <v>1.0</v>
      </c>
      <c r="G6444" s="3">
        <v>12.18</v>
      </c>
    </row>
    <row r="6445">
      <c r="A6445" s="3">
        <v>173955.0</v>
      </c>
      <c r="B6445" s="3" t="s">
        <v>6472</v>
      </c>
      <c r="C6445" s="3" t="s">
        <v>257</v>
      </c>
      <c r="D6445" s="3">
        <v>36.0</v>
      </c>
      <c r="E6445" s="3">
        <v>0.1</v>
      </c>
      <c r="F6445" s="3">
        <v>0.77</v>
      </c>
      <c r="G6445" s="3">
        <v>8.94</v>
      </c>
    </row>
    <row r="6446">
      <c r="A6446" s="3">
        <v>173956.0</v>
      </c>
      <c r="B6446" s="3" t="s">
        <v>6473</v>
      </c>
      <c r="C6446" s="3" t="s">
        <v>257</v>
      </c>
      <c r="D6446" s="3">
        <v>75.0</v>
      </c>
      <c r="E6446" s="3">
        <v>0.1</v>
      </c>
      <c r="F6446" s="3">
        <v>0.74</v>
      </c>
      <c r="G6446" s="3">
        <v>19.3</v>
      </c>
    </row>
    <row r="6447">
      <c r="A6447" s="3">
        <v>173957.0</v>
      </c>
      <c r="B6447" s="3" t="s">
        <v>6474</v>
      </c>
      <c r="C6447" s="3" t="s">
        <v>257</v>
      </c>
      <c r="D6447" s="3">
        <v>46.0</v>
      </c>
      <c r="E6447" s="3">
        <v>0.13</v>
      </c>
      <c r="F6447" s="3">
        <v>0.77</v>
      </c>
      <c r="G6447" s="3">
        <v>11.76</v>
      </c>
    </row>
    <row r="6448">
      <c r="A6448" s="3">
        <v>173958.0</v>
      </c>
      <c r="B6448" s="3" t="s">
        <v>6475</v>
      </c>
      <c r="C6448" s="3" t="s">
        <v>257</v>
      </c>
      <c r="D6448" s="3">
        <v>54.0</v>
      </c>
      <c r="E6448" s="3">
        <v>0.02</v>
      </c>
      <c r="F6448" s="3">
        <v>0.91</v>
      </c>
      <c r="G6448" s="3">
        <v>13.81</v>
      </c>
    </row>
    <row r="6449">
      <c r="A6449" s="3">
        <v>173959.0</v>
      </c>
      <c r="B6449" s="3" t="s">
        <v>6476</v>
      </c>
      <c r="C6449" s="3" t="s">
        <v>257</v>
      </c>
      <c r="D6449" s="3">
        <v>67.0</v>
      </c>
      <c r="E6449" s="3">
        <v>0.15</v>
      </c>
      <c r="F6449" s="3">
        <v>0.61</v>
      </c>
      <c r="G6449" s="3">
        <v>17.29</v>
      </c>
    </row>
    <row r="6450">
      <c r="A6450" s="3">
        <v>173960.0</v>
      </c>
      <c r="B6450" s="3" t="s">
        <v>6477</v>
      </c>
      <c r="C6450" s="3" t="s">
        <v>257</v>
      </c>
      <c r="D6450" s="3">
        <v>83.0</v>
      </c>
      <c r="E6450" s="3">
        <v>0.15</v>
      </c>
      <c r="F6450" s="3">
        <v>0.6</v>
      </c>
      <c r="G6450" s="3">
        <v>21.27</v>
      </c>
    </row>
    <row r="6451">
      <c r="A6451" s="3">
        <v>173961.0</v>
      </c>
      <c r="B6451" s="3" t="s">
        <v>6478</v>
      </c>
      <c r="C6451" s="3" t="s">
        <v>257</v>
      </c>
      <c r="D6451" s="3">
        <v>159.0</v>
      </c>
      <c r="E6451" s="3">
        <v>0.15</v>
      </c>
      <c r="F6451" s="3">
        <v>0.9</v>
      </c>
      <c r="G6451" s="3">
        <v>40.4</v>
      </c>
    </row>
    <row r="6452">
      <c r="A6452" s="3">
        <v>173962.0</v>
      </c>
      <c r="B6452" s="3" t="s">
        <v>6479</v>
      </c>
      <c r="C6452" s="3" t="s">
        <v>257</v>
      </c>
      <c r="D6452" s="3">
        <v>178.0</v>
      </c>
      <c r="E6452" s="3">
        <v>0.1</v>
      </c>
      <c r="F6452" s="3">
        <v>0.3</v>
      </c>
      <c r="G6452" s="3">
        <v>46.2</v>
      </c>
    </row>
    <row r="6453">
      <c r="A6453" s="3">
        <v>173963.0</v>
      </c>
      <c r="B6453" s="3" t="s">
        <v>6480</v>
      </c>
      <c r="C6453" s="3" t="s">
        <v>257</v>
      </c>
      <c r="D6453" s="3">
        <v>63.0</v>
      </c>
      <c r="E6453" s="3">
        <v>0.41</v>
      </c>
      <c r="F6453" s="3">
        <v>1.4</v>
      </c>
      <c r="G6453" s="3">
        <v>15.38</v>
      </c>
    </row>
    <row r="6454">
      <c r="A6454" s="3">
        <v>173964.0</v>
      </c>
      <c r="B6454" s="3" t="s">
        <v>6481</v>
      </c>
      <c r="C6454" s="3" t="s">
        <v>257</v>
      </c>
      <c r="D6454" s="3">
        <v>56.0</v>
      </c>
      <c r="E6454" s="3">
        <v>0.2</v>
      </c>
      <c r="F6454" s="3">
        <v>1.4</v>
      </c>
      <c r="G6454" s="3">
        <v>13.8</v>
      </c>
    </row>
    <row r="6455">
      <c r="A6455" s="3">
        <v>173965.0</v>
      </c>
      <c r="B6455" s="3" t="s">
        <v>6482</v>
      </c>
      <c r="C6455" s="3" t="s">
        <v>189</v>
      </c>
      <c r="D6455" s="3">
        <v>138.0</v>
      </c>
      <c r="E6455" s="3">
        <v>6.11</v>
      </c>
      <c r="F6455" s="3">
        <v>20.85</v>
      </c>
      <c r="G6455" s="3">
        <v>0.0</v>
      </c>
    </row>
    <row r="6456">
      <c r="A6456" s="3">
        <v>173966.0</v>
      </c>
      <c r="B6456" s="3" t="s">
        <v>6483</v>
      </c>
      <c r="C6456" s="3" t="s">
        <v>189</v>
      </c>
      <c r="D6456" s="3">
        <v>191.0</v>
      </c>
      <c r="E6456" s="3">
        <v>12.3</v>
      </c>
      <c r="F6456" s="3">
        <v>20.19</v>
      </c>
      <c r="G6456" s="3">
        <v>0.0</v>
      </c>
    </row>
    <row r="6457">
      <c r="A6457" s="3">
        <v>173967.0</v>
      </c>
      <c r="B6457" s="3" t="s">
        <v>6484</v>
      </c>
      <c r="C6457" s="3" t="s">
        <v>189</v>
      </c>
      <c r="D6457" s="3">
        <v>639.0</v>
      </c>
      <c r="E6457" s="3">
        <v>68.07</v>
      </c>
      <c r="F6457" s="3">
        <v>5.54</v>
      </c>
      <c r="G6457" s="3">
        <v>0.97</v>
      </c>
    </row>
    <row r="6458">
      <c r="A6458" s="3">
        <v>173968.0</v>
      </c>
      <c r="B6458" s="3" t="s">
        <v>6485</v>
      </c>
      <c r="C6458" s="3" t="s">
        <v>189</v>
      </c>
      <c r="D6458" s="3">
        <v>627.0</v>
      </c>
      <c r="E6458" s="3">
        <v>67.33</v>
      </c>
      <c r="F6458" s="3">
        <v>5.16</v>
      </c>
      <c r="G6458" s="3">
        <v>0.0</v>
      </c>
    </row>
    <row r="6459">
      <c r="A6459" s="3">
        <v>173969.0</v>
      </c>
      <c r="B6459" s="3" t="s">
        <v>6486</v>
      </c>
      <c r="C6459" s="3" t="s">
        <v>189</v>
      </c>
      <c r="D6459" s="3">
        <v>151.0</v>
      </c>
      <c r="E6459" s="3">
        <v>7.63</v>
      </c>
      <c r="F6459" s="3">
        <v>20.53</v>
      </c>
      <c r="G6459" s="3">
        <v>0.01</v>
      </c>
    </row>
    <row r="6460">
      <c r="A6460" s="3">
        <v>173970.0</v>
      </c>
      <c r="B6460" s="3" t="s">
        <v>6487</v>
      </c>
      <c r="C6460" s="3" t="s">
        <v>189</v>
      </c>
      <c r="D6460" s="3">
        <v>131.0</v>
      </c>
      <c r="E6460" s="3">
        <v>4.87</v>
      </c>
      <c r="F6460" s="3">
        <v>21.79</v>
      </c>
      <c r="G6460" s="3">
        <v>0.0</v>
      </c>
    </row>
    <row r="6461">
      <c r="A6461" s="3">
        <v>173971.0</v>
      </c>
      <c r="B6461" s="3" t="s">
        <v>6488</v>
      </c>
      <c r="C6461" s="3" t="s">
        <v>189</v>
      </c>
      <c r="D6461" s="3">
        <v>130.0</v>
      </c>
      <c r="E6461" s="3">
        <v>4.93</v>
      </c>
      <c r="F6461" s="3">
        <v>21.4</v>
      </c>
      <c r="G6461" s="3">
        <v>0.0</v>
      </c>
    </row>
    <row r="6462">
      <c r="A6462" s="3">
        <v>173972.0</v>
      </c>
      <c r="B6462" s="3" t="s">
        <v>6489</v>
      </c>
      <c r="C6462" s="3" t="s">
        <v>189</v>
      </c>
      <c r="D6462" s="3">
        <v>129.0</v>
      </c>
      <c r="E6462" s="3">
        <v>4.43</v>
      </c>
      <c r="F6462" s="3">
        <v>22.41</v>
      </c>
      <c r="G6462" s="3">
        <v>0.0</v>
      </c>
    </row>
    <row r="6463">
      <c r="A6463" s="3">
        <v>173973.0</v>
      </c>
      <c r="B6463" s="3" t="s">
        <v>6490</v>
      </c>
      <c r="C6463" s="3" t="s">
        <v>189</v>
      </c>
      <c r="D6463" s="3">
        <v>237.0</v>
      </c>
      <c r="E6463" s="3">
        <v>17.73</v>
      </c>
      <c r="F6463" s="3">
        <v>18.87</v>
      </c>
      <c r="G6463" s="3">
        <v>0.57</v>
      </c>
    </row>
    <row r="6464">
      <c r="A6464" s="3">
        <v>173974.0</v>
      </c>
      <c r="B6464" s="3" t="s">
        <v>6491</v>
      </c>
      <c r="C6464" s="3" t="s">
        <v>189</v>
      </c>
      <c r="D6464" s="3">
        <v>223.0</v>
      </c>
      <c r="E6464" s="3">
        <v>15.69</v>
      </c>
      <c r="F6464" s="3">
        <v>20.15</v>
      </c>
      <c r="G6464" s="3">
        <v>0.2</v>
      </c>
    </row>
    <row r="6465">
      <c r="A6465" s="3">
        <v>173975.0</v>
      </c>
      <c r="B6465" s="3" t="s">
        <v>6492</v>
      </c>
      <c r="C6465" s="3" t="s">
        <v>189</v>
      </c>
      <c r="D6465" s="3">
        <v>217.0</v>
      </c>
      <c r="E6465" s="3">
        <v>15.21</v>
      </c>
      <c r="F6465" s="3">
        <v>19.8</v>
      </c>
      <c r="G6465" s="3">
        <v>0.11</v>
      </c>
    </row>
    <row r="6466">
      <c r="A6466" s="3">
        <v>173976.0</v>
      </c>
      <c r="B6466" s="3" t="s">
        <v>6493</v>
      </c>
      <c r="C6466" s="3" t="s">
        <v>189</v>
      </c>
      <c r="D6466" s="3">
        <v>140.0</v>
      </c>
      <c r="E6466" s="3">
        <v>6.16</v>
      </c>
      <c r="F6466" s="3">
        <v>21.13</v>
      </c>
      <c r="G6466" s="3">
        <v>0.01</v>
      </c>
    </row>
    <row r="6467">
      <c r="A6467" s="3">
        <v>173977.0</v>
      </c>
      <c r="B6467" s="3" t="s">
        <v>6494</v>
      </c>
      <c r="C6467" s="3" t="s">
        <v>189</v>
      </c>
      <c r="D6467" s="3">
        <v>129.0</v>
      </c>
      <c r="E6467" s="3">
        <v>4.4</v>
      </c>
      <c r="F6467" s="3">
        <v>22.24</v>
      </c>
      <c r="G6467" s="3">
        <v>0.0</v>
      </c>
    </row>
    <row r="6468">
      <c r="A6468" s="3">
        <v>173978.0</v>
      </c>
      <c r="B6468" s="3" t="s">
        <v>6495</v>
      </c>
      <c r="C6468" s="3" t="s">
        <v>189</v>
      </c>
      <c r="D6468" s="3">
        <v>289.0</v>
      </c>
      <c r="E6468" s="3">
        <v>24.2</v>
      </c>
      <c r="F6468" s="3">
        <v>17.67</v>
      </c>
      <c r="G6468" s="3">
        <v>0.12</v>
      </c>
    </row>
    <row r="6469">
      <c r="A6469" s="3">
        <v>173979.0</v>
      </c>
      <c r="B6469" s="3" t="s">
        <v>6496</v>
      </c>
      <c r="C6469" s="3" t="s">
        <v>189</v>
      </c>
      <c r="D6469" s="3">
        <v>392.0</v>
      </c>
      <c r="E6469" s="3">
        <v>36.98</v>
      </c>
      <c r="F6469" s="3">
        <v>14.58</v>
      </c>
      <c r="G6469" s="3">
        <v>0.14</v>
      </c>
    </row>
    <row r="6470">
      <c r="A6470" s="3">
        <v>173980.0</v>
      </c>
      <c r="B6470" s="3" t="s">
        <v>6497</v>
      </c>
      <c r="C6470" s="3" t="s">
        <v>189</v>
      </c>
      <c r="D6470" s="3">
        <v>127.0</v>
      </c>
      <c r="E6470" s="3">
        <v>3.66</v>
      </c>
      <c r="F6470" s="3">
        <v>23.49</v>
      </c>
      <c r="G6470" s="3">
        <v>0.0</v>
      </c>
    </row>
    <row r="6471">
      <c r="A6471" s="3">
        <v>173981.0</v>
      </c>
      <c r="B6471" s="3" t="s">
        <v>6498</v>
      </c>
      <c r="C6471" s="3" t="s">
        <v>189</v>
      </c>
      <c r="D6471" s="3">
        <v>120.0</v>
      </c>
      <c r="E6471" s="3">
        <v>2.85</v>
      </c>
      <c r="F6471" s="3">
        <v>23.49</v>
      </c>
      <c r="G6471" s="3">
        <v>0.0</v>
      </c>
    </row>
    <row r="6472">
      <c r="A6472" s="3">
        <v>173982.0</v>
      </c>
      <c r="B6472" s="3" t="s">
        <v>6499</v>
      </c>
      <c r="C6472" s="3" t="s">
        <v>189</v>
      </c>
      <c r="D6472" s="3">
        <v>125.0</v>
      </c>
      <c r="E6472" s="3">
        <v>3.5</v>
      </c>
      <c r="F6472" s="3">
        <v>23.45</v>
      </c>
      <c r="G6472" s="3">
        <v>0.0</v>
      </c>
    </row>
    <row r="6473">
      <c r="A6473" s="3">
        <v>173983.0</v>
      </c>
      <c r="B6473" s="3" t="s">
        <v>6500</v>
      </c>
      <c r="C6473" s="3" t="s">
        <v>189</v>
      </c>
      <c r="D6473" s="3">
        <v>128.0</v>
      </c>
      <c r="E6473" s="3">
        <v>3.81</v>
      </c>
      <c r="F6473" s="3">
        <v>23.46</v>
      </c>
      <c r="G6473" s="3">
        <v>0.0</v>
      </c>
    </row>
    <row r="6474">
      <c r="A6474" s="3">
        <v>173984.0</v>
      </c>
      <c r="B6474" s="3" t="s">
        <v>6501</v>
      </c>
      <c r="C6474" s="3" t="s">
        <v>189</v>
      </c>
      <c r="D6474" s="3">
        <v>124.0</v>
      </c>
      <c r="E6474" s="3">
        <v>3.48</v>
      </c>
      <c r="F6474" s="3">
        <v>23.26</v>
      </c>
      <c r="G6474" s="3">
        <v>0.0</v>
      </c>
    </row>
    <row r="6475">
      <c r="A6475" s="3">
        <v>173985.0</v>
      </c>
      <c r="B6475" s="3" t="s">
        <v>6502</v>
      </c>
      <c r="C6475" s="3" t="s">
        <v>189</v>
      </c>
      <c r="D6475" s="3">
        <v>127.0</v>
      </c>
      <c r="E6475" s="3">
        <v>3.83</v>
      </c>
      <c r="F6475" s="3">
        <v>23.24</v>
      </c>
      <c r="G6475" s="3">
        <v>0.0</v>
      </c>
    </row>
    <row r="6476">
      <c r="A6476" s="3">
        <v>173986.0</v>
      </c>
      <c r="B6476" s="3" t="s">
        <v>6503</v>
      </c>
      <c r="C6476" s="3" t="s">
        <v>189</v>
      </c>
      <c r="D6476" s="3">
        <v>120.0</v>
      </c>
      <c r="E6476" s="3">
        <v>2.95</v>
      </c>
      <c r="F6476" s="3">
        <v>23.3</v>
      </c>
      <c r="G6476" s="3">
        <v>0.0</v>
      </c>
    </row>
    <row r="6477">
      <c r="A6477" s="3">
        <v>173987.0</v>
      </c>
      <c r="B6477" s="3" t="s">
        <v>6504</v>
      </c>
      <c r="C6477" s="3" t="s">
        <v>189</v>
      </c>
      <c r="D6477" s="3">
        <v>149.0</v>
      </c>
      <c r="E6477" s="3">
        <v>6.93</v>
      </c>
      <c r="F6477" s="3">
        <v>21.67</v>
      </c>
      <c r="G6477" s="3">
        <v>0.0</v>
      </c>
    </row>
    <row r="6478">
      <c r="A6478" s="3">
        <v>173988.0</v>
      </c>
      <c r="B6478" s="3" t="s">
        <v>6505</v>
      </c>
      <c r="C6478" s="3" t="s">
        <v>189</v>
      </c>
      <c r="D6478" s="3">
        <v>147.0</v>
      </c>
      <c r="E6478" s="3">
        <v>6.67</v>
      </c>
      <c r="F6478" s="3">
        <v>21.72</v>
      </c>
      <c r="G6478" s="3">
        <v>0.0</v>
      </c>
    </row>
    <row r="6479">
      <c r="A6479" s="3">
        <v>173989.0</v>
      </c>
      <c r="B6479" s="3" t="s">
        <v>6506</v>
      </c>
      <c r="C6479" s="3" t="s">
        <v>189</v>
      </c>
      <c r="D6479" s="3">
        <v>150.0</v>
      </c>
      <c r="E6479" s="3">
        <v>7.1</v>
      </c>
      <c r="F6479" s="3">
        <v>21.57</v>
      </c>
      <c r="G6479" s="3">
        <v>0.0</v>
      </c>
    </row>
    <row r="6480">
      <c r="A6480" s="3">
        <v>173990.0</v>
      </c>
      <c r="B6480" s="3" t="s">
        <v>6507</v>
      </c>
      <c r="C6480" s="3" t="s">
        <v>189</v>
      </c>
      <c r="D6480" s="3">
        <v>142.0</v>
      </c>
      <c r="E6480" s="3">
        <v>6.02</v>
      </c>
      <c r="F6480" s="3">
        <v>21.95</v>
      </c>
      <c r="G6480" s="3">
        <v>0.0</v>
      </c>
    </row>
    <row r="6481">
      <c r="A6481" s="3">
        <v>173991.0</v>
      </c>
      <c r="B6481" s="3" t="s">
        <v>6508</v>
      </c>
      <c r="C6481" s="3" t="s">
        <v>189</v>
      </c>
      <c r="D6481" s="3">
        <v>183.0</v>
      </c>
      <c r="E6481" s="3">
        <v>8.14</v>
      </c>
      <c r="F6481" s="3">
        <v>27.31</v>
      </c>
      <c r="G6481" s="3">
        <v>0.0</v>
      </c>
    </row>
    <row r="6482">
      <c r="A6482" s="3">
        <v>173992.0</v>
      </c>
      <c r="B6482" s="3" t="s">
        <v>6509</v>
      </c>
      <c r="C6482" s="3" t="s">
        <v>189</v>
      </c>
      <c r="D6482" s="3">
        <v>157.0</v>
      </c>
      <c r="E6482" s="3">
        <v>3.72</v>
      </c>
      <c r="F6482" s="3">
        <v>30.97</v>
      </c>
      <c r="G6482" s="3">
        <v>0.0</v>
      </c>
    </row>
    <row r="6483">
      <c r="A6483" s="3">
        <v>173993.0</v>
      </c>
      <c r="B6483" s="3" t="s">
        <v>6510</v>
      </c>
      <c r="C6483" s="3" t="s">
        <v>189</v>
      </c>
      <c r="D6483" s="3">
        <v>159.0</v>
      </c>
      <c r="E6483" s="3">
        <v>4.47</v>
      </c>
      <c r="F6483" s="3">
        <v>29.66</v>
      </c>
      <c r="G6483" s="3">
        <v>0.0</v>
      </c>
    </row>
    <row r="6484">
      <c r="A6484" s="3">
        <v>173994.0</v>
      </c>
      <c r="B6484" s="3" t="s">
        <v>6511</v>
      </c>
      <c r="C6484" s="3" t="s">
        <v>189</v>
      </c>
      <c r="D6484" s="3">
        <v>163.0</v>
      </c>
      <c r="E6484" s="3">
        <v>4.83</v>
      </c>
      <c r="F6484" s="3">
        <v>29.79</v>
      </c>
      <c r="G6484" s="3">
        <v>0.0</v>
      </c>
    </row>
    <row r="6485">
      <c r="A6485" s="3">
        <v>173995.0</v>
      </c>
      <c r="B6485" s="3" t="s">
        <v>6512</v>
      </c>
      <c r="C6485" s="3" t="s">
        <v>189</v>
      </c>
      <c r="D6485" s="3">
        <v>154.0</v>
      </c>
      <c r="E6485" s="3">
        <v>3.98</v>
      </c>
      <c r="F6485" s="3">
        <v>29.47</v>
      </c>
      <c r="G6485" s="3">
        <v>0.0</v>
      </c>
    </row>
    <row r="6486">
      <c r="A6486" s="3">
        <v>173996.0</v>
      </c>
      <c r="B6486" s="3" t="s">
        <v>6513</v>
      </c>
      <c r="C6486" s="3" t="s">
        <v>189</v>
      </c>
      <c r="D6486" s="3">
        <v>124.0</v>
      </c>
      <c r="E6486" s="3">
        <v>3.26</v>
      </c>
      <c r="F6486" s="3">
        <v>23.59</v>
      </c>
      <c r="G6486" s="3">
        <v>0.0</v>
      </c>
    </row>
    <row r="6487">
      <c r="A6487" s="3">
        <v>173997.0</v>
      </c>
      <c r="B6487" s="3" t="s">
        <v>6514</v>
      </c>
      <c r="C6487" s="3" t="s">
        <v>189</v>
      </c>
      <c r="D6487" s="3">
        <v>116.0</v>
      </c>
      <c r="E6487" s="3">
        <v>2.45</v>
      </c>
      <c r="F6487" s="3">
        <v>23.59</v>
      </c>
      <c r="G6487" s="3">
        <v>0.0</v>
      </c>
    </row>
    <row r="6488">
      <c r="A6488" s="3">
        <v>173998.0</v>
      </c>
      <c r="B6488" s="3" t="s">
        <v>6515</v>
      </c>
      <c r="C6488" s="3" t="s">
        <v>189</v>
      </c>
      <c r="D6488" s="3">
        <v>121.0</v>
      </c>
      <c r="E6488" s="3">
        <v>3.04</v>
      </c>
      <c r="F6488" s="3">
        <v>23.37</v>
      </c>
      <c r="G6488" s="3">
        <v>0.0</v>
      </c>
    </row>
    <row r="6489">
      <c r="A6489" s="3">
        <v>173999.0</v>
      </c>
      <c r="B6489" s="3" t="s">
        <v>6516</v>
      </c>
      <c r="C6489" s="3" t="s">
        <v>189</v>
      </c>
      <c r="D6489" s="3">
        <v>124.0</v>
      </c>
      <c r="E6489" s="3">
        <v>3.38</v>
      </c>
      <c r="F6489" s="3">
        <v>23.35</v>
      </c>
      <c r="G6489" s="3">
        <v>0.0</v>
      </c>
    </row>
    <row r="6490">
      <c r="A6490" s="3">
        <v>174000.0</v>
      </c>
      <c r="B6490" s="3" t="s">
        <v>6517</v>
      </c>
      <c r="C6490" s="3" t="s">
        <v>189</v>
      </c>
      <c r="D6490" s="3">
        <v>143.0</v>
      </c>
      <c r="E6490" s="3">
        <v>6.16</v>
      </c>
      <c r="F6490" s="3">
        <v>21.78</v>
      </c>
      <c r="G6490" s="3">
        <v>0.0</v>
      </c>
    </row>
    <row r="6491">
      <c r="A6491" s="3">
        <v>174001.0</v>
      </c>
      <c r="B6491" s="3" t="s">
        <v>6518</v>
      </c>
      <c r="C6491" s="3" t="s">
        <v>189</v>
      </c>
      <c r="D6491" s="3">
        <v>135.0</v>
      </c>
      <c r="E6491" s="3">
        <v>5.1</v>
      </c>
      <c r="F6491" s="3">
        <v>22.16</v>
      </c>
      <c r="G6491" s="3">
        <v>0.0</v>
      </c>
    </row>
    <row r="6492">
      <c r="A6492" s="3">
        <v>174002.0</v>
      </c>
      <c r="B6492" s="3" t="s">
        <v>6519</v>
      </c>
      <c r="C6492" s="3" t="s">
        <v>189</v>
      </c>
      <c r="D6492" s="3">
        <v>143.0</v>
      </c>
      <c r="E6492" s="3">
        <v>5.67</v>
      </c>
      <c r="F6492" s="3">
        <v>23.07</v>
      </c>
      <c r="G6492" s="3">
        <v>0.0</v>
      </c>
    </row>
    <row r="6493">
      <c r="A6493" s="3">
        <v>174003.0</v>
      </c>
      <c r="B6493" s="3" t="s">
        <v>6520</v>
      </c>
      <c r="C6493" s="3" t="s">
        <v>189</v>
      </c>
      <c r="D6493" s="3">
        <v>149.0</v>
      </c>
      <c r="E6493" s="3">
        <v>6.34</v>
      </c>
      <c r="F6493" s="3">
        <v>22.93</v>
      </c>
      <c r="G6493" s="3">
        <v>0.0</v>
      </c>
    </row>
    <row r="6494">
      <c r="A6494" s="3">
        <v>174004.0</v>
      </c>
      <c r="B6494" s="3" t="s">
        <v>6521</v>
      </c>
      <c r="C6494" s="3" t="s">
        <v>189</v>
      </c>
      <c r="D6494" s="3">
        <v>177.0</v>
      </c>
      <c r="E6494" s="3">
        <v>7.49</v>
      </c>
      <c r="F6494" s="3">
        <v>27.51</v>
      </c>
      <c r="G6494" s="3">
        <v>0.0</v>
      </c>
    </row>
    <row r="6495">
      <c r="A6495" s="3">
        <v>174005.0</v>
      </c>
      <c r="B6495" s="3" t="s">
        <v>6522</v>
      </c>
      <c r="C6495" s="3" t="s">
        <v>189</v>
      </c>
      <c r="D6495" s="3">
        <v>183.0</v>
      </c>
      <c r="E6495" s="3">
        <v>8.13</v>
      </c>
      <c r="F6495" s="3">
        <v>27.48</v>
      </c>
      <c r="G6495" s="3">
        <v>0.0</v>
      </c>
    </row>
    <row r="6496">
      <c r="A6496" s="3">
        <v>174006.0</v>
      </c>
      <c r="B6496" s="3" t="s">
        <v>6523</v>
      </c>
      <c r="C6496" s="3" t="s">
        <v>189</v>
      </c>
      <c r="D6496" s="3">
        <v>169.0</v>
      </c>
      <c r="E6496" s="3">
        <v>6.54</v>
      </c>
      <c r="F6496" s="3">
        <v>27.55</v>
      </c>
      <c r="G6496" s="3">
        <v>0.0</v>
      </c>
    </row>
    <row r="6497">
      <c r="A6497" s="3">
        <v>174007.0</v>
      </c>
      <c r="B6497" s="3" t="s">
        <v>6524</v>
      </c>
      <c r="C6497" s="3" t="s">
        <v>189</v>
      </c>
      <c r="D6497" s="3">
        <v>162.0</v>
      </c>
      <c r="E6497" s="3">
        <v>3.77</v>
      </c>
      <c r="F6497" s="3">
        <v>30.09</v>
      </c>
      <c r="G6497" s="3">
        <v>0.0</v>
      </c>
    </row>
    <row r="6498">
      <c r="A6498" s="3">
        <v>174008.0</v>
      </c>
      <c r="B6498" s="3" t="s">
        <v>6525</v>
      </c>
      <c r="C6498" s="3" t="s">
        <v>189</v>
      </c>
      <c r="D6498" s="3">
        <v>149.0</v>
      </c>
      <c r="E6498" s="3">
        <v>3.43</v>
      </c>
      <c r="F6498" s="3">
        <v>29.52</v>
      </c>
      <c r="G6498" s="3">
        <v>0.0</v>
      </c>
    </row>
    <row r="6499">
      <c r="A6499" s="3">
        <v>174009.0</v>
      </c>
      <c r="B6499" s="3" t="s">
        <v>6526</v>
      </c>
      <c r="C6499" s="3" t="s">
        <v>189</v>
      </c>
      <c r="D6499" s="3">
        <v>135.0</v>
      </c>
      <c r="E6499" s="3">
        <v>4.66</v>
      </c>
      <c r="F6499" s="3">
        <v>23.3</v>
      </c>
      <c r="G6499" s="3">
        <v>0.0</v>
      </c>
    </row>
    <row r="6500">
      <c r="A6500" s="3">
        <v>174010.0</v>
      </c>
      <c r="B6500" s="3" t="s">
        <v>6527</v>
      </c>
      <c r="C6500" s="3" t="s">
        <v>189</v>
      </c>
      <c r="D6500" s="3">
        <v>149.0</v>
      </c>
      <c r="E6500" s="3">
        <v>6.34</v>
      </c>
      <c r="F6500" s="3">
        <v>22.93</v>
      </c>
      <c r="G6500" s="3">
        <v>0.0</v>
      </c>
    </row>
    <row r="6501">
      <c r="A6501" s="3">
        <v>174011.0</v>
      </c>
      <c r="B6501" s="3" t="s">
        <v>6528</v>
      </c>
      <c r="C6501" s="3" t="s">
        <v>189</v>
      </c>
      <c r="D6501" s="3">
        <v>143.0</v>
      </c>
      <c r="E6501" s="3">
        <v>5.67</v>
      </c>
      <c r="F6501" s="3">
        <v>23.07</v>
      </c>
      <c r="G6501" s="3">
        <v>0.0</v>
      </c>
    </row>
    <row r="6502">
      <c r="A6502" s="3">
        <v>174012.0</v>
      </c>
      <c r="B6502" s="3" t="s">
        <v>6529</v>
      </c>
      <c r="C6502" s="3" t="s">
        <v>189</v>
      </c>
      <c r="D6502" s="3">
        <v>142.0</v>
      </c>
      <c r="E6502" s="3">
        <v>6.05</v>
      </c>
      <c r="F6502" s="3">
        <v>22.01</v>
      </c>
      <c r="G6502" s="3">
        <v>0.0</v>
      </c>
    </row>
    <row r="6503">
      <c r="A6503" s="3">
        <v>174013.0</v>
      </c>
      <c r="B6503" s="3" t="s">
        <v>6530</v>
      </c>
      <c r="C6503" s="3" t="s">
        <v>189</v>
      </c>
      <c r="D6503" s="3">
        <v>203.0</v>
      </c>
      <c r="E6503" s="3">
        <v>9.16</v>
      </c>
      <c r="F6503" s="3">
        <v>28.73</v>
      </c>
      <c r="G6503" s="3">
        <v>0.0</v>
      </c>
    </row>
    <row r="6504">
      <c r="A6504" s="3">
        <v>174014.0</v>
      </c>
      <c r="B6504" s="3" t="s">
        <v>6531</v>
      </c>
      <c r="C6504" s="3" t="s">
        <v>189</v>
      </c>
      <c r="D6504" s="3">
        <v>176.0</v>
      </c>
      <c r="E6504" s="3">
        <v>10.08</v>
      </c>
      <c r="F6504" s="3">
        <v>21.34</v>
      </c>
      <c r="G6504" s="3">
        <v>0.0</v>
      </c>
    </row>
    <row r="6505">
      <c r="A6505" s="3">
        <v>174015.0</v>
      </c>
      <c r="B6505" s="3" t="s">
        <v>6532</v>
      </c>
      <c r="C6505" s="3" t="s">
        <v>189</v>
      </c>
      <c r="D6505" s="3">
        <v>151.0</v>
      </c>
      <c r="E6505" s="3">
        <v>7.24</v>
      </c>
      <c r="F6505" s="3">
        <v>21.55</v>
      </c>
      <c r="G6505" s="3">
        <v>0.0</v>
      </c>
    </row>
    <row r="6506">
      <c r="A6506" s="3">
        <v>174016.0</v>
      </c>
      <c r="B6506" s="3" t="s">
        <v>6533</v>
      </c>
      <c r="C6506" s="3" t="s">
        <v>189</v>
      </c>
      <c r="D6506" s="3">
        <v>159.0</v>
      </c>
      <c r="E6506" s="3">
        <v>5.42</v>
      </c>
      <c r="F6506" s="3">
        <v>25.9</v>
      </c>
      <c r="G6506" s="3">
        <v>0.0</v>
      </c>
    </row>
    <row r="6507">
      <c r="A6507" s="3">
        <v>174017.0</v>
      </c>
      <c r="B6507" s="3" t="s">
        <v>6534</v>
      </c>
      <c r="C6507" s="3" t="s">
        <v>189</v>
      </c>
      <c r="D6507" s="3">
        <v>203.0</v>
      </c>
      <c r="E6507" s="3">
        <v>10.16</v>
      </c>
      <c r="F6507" s="3">
        <v>26.13</v>
      </c>
      <c r="G6507" s="3">
        <v>0.0</v>
      </c>
    </row>
    <row r="6508">
      <c r="A6508" s="3">
        <v>174018.0</v>
      </c>
      <c r="B6508" s="3" t="s">
        <v>6535</v>
      </c>
      <c r="C6508" s="3" t="s">
        <v>189</v>
      </c>
      <c r="D6508" s="3">
        <v>129.0</v>
      </c>
      <c r="E6508" s="3">
        <v>5.02</v>
      </c>
      <c r="F6508" s="3">
        <v>19.63</v>
      </c>
      <c r="G6508" s="3">
        <v>0.0</v>
      </c>
    </row>
    <row r="6509">
      <c r="A6509" s="3">
        <v>174019.0</v>
      </c>
      <c r="B6509" s="3" t="s">
        <v>6536</v>
      </c>
      <c r="C6509" s="3" t="s">
        <v>189</v>
      </c>
      <c r="D6509" s="3">
        <v>172.0</v>
      </c>
      <c r="E6509" s="3">
        <v>6.34</v>
      </c>
      <c r="F6509" s="3">
        <v>26.82</v>
      </c>
      <c r="G6509" s="3">
        <v>0.0</v>
      </c>
    </row>
    <row r="6510">
      <c r="A6510" s="3">
        <v>174020.0</v>
      </c>
      <c r="B6510" s="3" t="s">
        <v>6537</v>
      </c>
      <c r="C6510" s="3" t="s">
        <v>189</v>
      </c>
      <c r="D6510" s="3">
        <v>159.0</v>
      </c>
      <c r="E6510" s="3">
        <v>5.24</v>
      </c>
      <c r="F6510" s="3">
        <v>26.08</v>
      </c>
      <c r="G6510" s="3">
        <v>0.0</v>
      </c>
    </row>
    <row r="6511">
      <c r="A6511" s="3">
        <v>174021.0</v>
      </c>
      <c r="B6511" s="3" t="s">
        <v>6538</v>
      </c>
      <c r="C6511" s="3" t="s">
        <v>189</v>
      </c>
      <c r="D6511" s="3">
        <v>227.0</v>
      </c>
      <c r="E6511" s="3">
        <v>12.93</v>
      </c>
      <c r="F6511" s="3">
        <v>25.77</v>
      </c>
      <c r="G6511" s="3">
        <v>0.0</v>
      </c>
    </row>
    <row r="6512">
      <c r="A6512" s="3">
        <v>174022.0</v>
      </c>
      <c r="B6512" s="3" t="s">
        <v>6539</v>
      </c>
      <c r="C6512" s="3" t="s">
        <v>189</v>
      </c>
      <c r="D6512" s="3">
        <v>200.0</v>
      </c>
      <c r="E6512" s="3">
        <v>9.99</v>
      </c>
      <c r="F6512" s="3">
        <v>25.67</v>
      </c>
      <c r="G6512" s="3">
        <v>0.0</v>
      </c>
    </row>
    <row r="6513">
      <c r="A6513" s="3">
        <v>174023.0</v>
      </c>
      <c r="B6513" s="3" t="s">
        <v>6540</v>
      </c>
      <c r="C6513" s="3" t="s">
        <v>189</v>
      </c>
      <c r="D6513" s="3">
        <v>216.0</v>
      </c>
      <c r="E6513" s="3">
        <v>12.26</v>
      </c>
      <c r="F6513" s="3">
        <v>24.61</v>
      </c>
      <c r="G6513" s="3">
        <v>0.0</v>
      </c>
    </row>
    <row r="6514">
      <c r="A6514" s="3">
        <v>174024.0</v>
      </c>
      <c r="B6514" s="3" t="s">
        <v>6541</v>
      </c>
      <c r="C6514" s="3" t="s">
        <v>189</v>
      </c>
      <c r="D6514" s="3">
        <v>265.0</v>
      </c>
      <c r="E6514" s="3">
        <v>15.18</v>
      </c>
      <c r="F6514" s="3">
        <v>29.97</v>
      </c>
      <c r="G6514" s="3">
        <v>0.0</v>
      </c>
    </row>
    <row r="6515">
      <c r="A6515" s="3">
        <v>174025.0</v>
      </c>
      <c r="B6515" s="3" t="s">
        <v>6542</v>
      </c>
      <c r="C6515" s="3" t="s">
        <v>189</v>
      </c>
      <c r="D6515" s="3">
        <v>160.0</v>
      </c>
      <c r="E6515" s="3">
        <v>5.52</v>
      </c>
      <c r="F6515" s="3">
        <v>25.87</v>
      </c>
      <c r="G6515" s="3">
        <v>0.0</v>
      </c>
    </row>
    <row r="6516">
      <c r="A6516" s="3">
        <v>174026.0</v>
      </c>
      <c r="B6516" s="3" t="s">
        <v>6543</v>
      </c>
      <c r="C6516" s="3" t="s">
        <v>189</v>
      </c>
      <c r="D6516" s="3">
        <v>216.0</v>
      </c>
      <c r="E6516" s="3">
        <v>11.73</v>
      </c>
      <c r="F6516" s="3">
        <v>25.73</v>
      </c>
      <c r="G6516" s="3">
        <v>0.0</v>
      </c>
    </row>
    <row r="6517">
      <c r="A6517" s="3">
        <v>174027.0</v>
      </c>
      <c r="B6517" s="3" t="s">
        <v>6544</v>
      </c>
      <c r="C6517" s="3" t="s">
        <v>189</v>
      </c>
      <c r="D6517" s="3">
        <v>207.0</v>
      </c>
      <c r="E6517" s="3">
        <v>10.84</v>
      </c>
      <c r="F6517" s="3">
        <v>25.7</v>
      </c>
      <c r="G6517" s="3">
        <v>0.0</v>
      </c>
    </row>
    <row r="6518">
      <c r="A6518" s="3">
        <v>174028.0</v>
      </c>
      <c r="B6518" s="3" t="s">
        <v>6545</v>
      </c>
      <c r="C6518" s="3" t="s">
        <v>189</v>
      </c>
      <c r="D6518" s="3">
        <v>193.0</v>
      </c>
      <c r="E6518" s="3">
        <v>7.58</v>
      </c>
      <c r="F6518" s="3">
        <v>29.17</v>
      </c>
      <c r="G6518" s="3">
        <v>0.0</v>
      </c>
    </row>
    <row r="6519">
      <c r="A6519" s="3">
        <v>174029.0</v>
      </c>
      <c r="B6519" s="3" t="s">
        <v>6546</v>
      </c>
      <c r="C6519" s="3" t="s">
        <v>189</v>
      </c>
      <c r="D6519" s="3">
        <v>174.0</v>
      </c>
      <c r="E6519" s="3">
        <v>6.37</v>
      </c>
      <c r="F6519" s="3">
        <v>27.31</v>
      </c>
      <c r="G6519" s="3">
        <v>0.0</v>
      </c>
    </row>
    <row r="6520">
      <c r="A6520" s="3">
        <v>174030.0</v>
      </c>
      <c r="B6520" s="3" t="s">
        <v>6547</v>
      </c>
      <c r="C6520" s="3" t="s">
        <v>189</v>
      </c>
      <c r="D6520" s="3">
        <v>176.0</v>
      </c>
      <c r="E6520" s="3">
        <v>10.0</v>
      </c>
      <c r="F6520" s="3">
        <v>20.0</v>
      </c>
      <c r="G6520" s="3">
        <v>0.0</v>
      </c>
    </row>
    <row r="6521">
      <c r="A6521" s="3">
        <v>174031.0</v>
      </c>
      <c r="B6521" s="3" t="s">
        <v>6548</v>
      </c>
      <c r="C6521" s="3" t="s">
        <v>189</v>
      </c>
      <c r="D6521" s="3">
        <v>217.0</v>
      </c>
      <c r="E6521" s="3">
        <v>11.75</v>
      </c>
      <c r="F6521" s="3">
        <v>26.11</v>
      </c>
      <c r="G6521" s="3">
        <v>0.0</v>
      </c>
    </row>
    <row r="6522">
      <c r="A6522" s="3">
        <v>174032.0</v>
      </c>
      <c r="B6522" s="3" t="s">
        <v>6549</v>
      </c>
      <c r="C6522" s="3" t="s">
        <v>189</v>
      </c>
      <c r="D6522" s="3">
        <v>250.0</v>
      </c>
      <c r="E6522" s="3">
        <v>15.41</v>
      </c>
      <c r="F6522" s="3">
        <v>25.93</v>
      </c>
      <c r="G6522" s="3">
        <v>0.0</v>
      </c>
    </row>
    <row r="6523">
      <c r="A6523" s="3">
        <v>174033.0</v>
      </c>
      <c r="B6523" s="3" t="s">
        <v>6550</v>
      </c>
      <c r="C6523" s="3" t="s">
        <v>189</v>
      </c>
      <c r="D6523" s="3">
        <v>232.0</v>
      </c>
      <c r="E6523" s="3">
        <v>14.02</v>
      </c>
      <c r="F6523" s="3">
        <v>24.62</v>
      </c>
      <c r="G6523" s="3">
        <v>0.0</v>
      </c>
    </row>
    <row r="6524">
      <c r="A6524" s="3">
        <v>174034.0</v>
      </c>
      <c r="B6524" s="3" t="s">
        <v>6551</v>
      </c>
      <c r="C6524" s="3" t="s">
        <v>189</v>
      </c>
      <c r="D6524" s="3">
        <v>256.0</v>
      </c>
      <c r="E6524" s="3">
        <v>15.3</v>
      </c>
      <c r="F6524" s="3">
        <v>27.73</v>
      </c>
      <c r="G6524" s="3">
        <v>0.0</v>
      </c>
    </row>
    <row r="6525">
      <c r="A6525" s="3">
        <v>174035.0</v>
      </c>
      <c r="B6525" s="3" t="s">
        <v>6552</v>
      </c>
      <c r="C6525" s="3" t="s">
        <v>189</v>
      </c>
      <c r="D6525" s="3">
        <v>240.0</v>
      </c>
      <c r="E6525" s="3">
        <v>14.36</v>
      </c>
      <c r="F6525" s="3">
        <v>25.93</v>
      </c>
      <c r="G6525" s="3">
        <v>0.0</v>
      </c>
    </row>
    <row r="6526">
      <c r="A6526" s="3">
        <v>174036.0</v>
      </c>
      <c r="B6526" s="3" t="s">
        <v>6553</v>
      </c>
      <c r="C6526" s="3" t="s">
        <v>189</v>
      </c>
      <c r="D6526" s="3">
        <v>254.0</v>
      </c>
      <c r="E6526" s="3">
        <v>20.0</v>
      </c>
      <c r="F6526" s="3">
        <v>17.17</v>
      </c>
      <c r="G6526" s="3">
        <v>0.0</v>
      </c>
    </row>
    <row r="6527">
      <c r="A6527" s="3">
        <v>174037.0</v>
      </c>
      <c r="B6527" s="3" t="s">
        <v>6554</v>
      </c>
      <c r="C6527" s="3" t="s">
        <v>189</v>
      </c>
      <c r="D6527" s="3">
        <v>293.0</v>
      </c>
      <c r="E6527" s="3">
        <v>25.0</v>
      </c>
      <c r="F6527" s="3">
        <v>15.76</v>
      </c>
      <c r="G6527" s="3">
        <v>0.0</v>
      </c>
    </row>
    <row r="6528">
      <c r="A6528" s="3">
        <v>174038.0</v>
      </c>
      <c r="B6528" s="3" t="s">
        <v>6555</v>
      </c>
      <c r="C6528" s="3" t="s">
        <v>189</v>
      </c>
      <c r="D6528" s="3">
        <v>279.0</v>
      </c>
      <c r="E6528" s="3">
        <v>18.87</v>
      </c>
      <c r="F6528" s="3">
        <v>25.56</v>
      </c>
      <c r="G6528" s="3">
        <v>0.0</v>
      </c>
    </row>
    <row r="6529">
      <c r="A6529" s="3">
        <v>174039.0</v>
      </c>
      <c r="B6529" s="3" t="s">
        <v>6556</v>
      </c>
      <c r="C6529" s="3" t="s">
        <v>189</v>
      </c>
      <c r="D6529" s="3">
        <v>248.0</v>
      </c>
      <c r="E6529" s="3">
        <v>16.44</v>
      </c>
      <c r="F6529" s="3">
        <v>23.45</v>
      </c>
      <c r="G6529" s="3">
        <v>0.0</v>
      </c>
    </row>
    <row r="6530">
      <c r="A6530" s="3">
        <v>174040.0</v>
      </c>
      <c r="B6530" s="3" t="s">
        <v>6557</v>
      </c>
      <c r="C6530" s="3" t="s">
        <v>189</v>
      </c>
      <c r="D6530" s="3">
        <v>277.0</v>
      </c>
      <c r="E6530" s="3">
        <v>18.21</v>
      </c>
      <c r="F6530" s="3">
        <v>26.28</v>
      </c>
      <c r="G6530" s="3">
        <v>0.0</v>
      </c>
    </row>
    <row r="6531">
      <c r="A6531" s="3">
        <v>174041.0</v>
      </c>
      <c r="B6531" s="3" t="s">
        <v>6558</v>
      </c>
      <c r="C6531" s="3" t="s">
        <v>189</v>
      </c>
      <c r="D6531" s="3">
        <v>133.0</v>
      </c>
      <c r="E6531" s="3">
        <v>3.88</v>
      </c>
      <c r="F6531" s="3">
        <v>23.07</v>
      </c>
      <c r="G6531" s="3">
        <v>0.0</v>
      </c>
    </row>
    <row r="6532">
      <c r="A6532" s="3">
        <v>174042.0</v>
      </c>
      <c r="B6532" s="3" t="s">
        <v>6559</v>
      </c>
      <c r="C6532" s="3" t="s">
        <v>189</v>
      </c>
      <c r="D6532" s="3">
        <v>188.0</v>
      </c>
      <c r="E6532" s="3">
        <v>6.22</v>
      </c>
      <c r="F6532" s="3">
        <v>30.87</v>
      </c>
      <c r="G6532" s="3">
        <v>0.0</v>
      </c>
    </row>
    <row r="6533">
      <c r="A6533" s="3">
        <v>174043.0</v>
      </c>
      <c r="B6533" s="3" t="s">
        <v>6560</v>
      </c>
      <c r="C6533" s="3" t="s">
        <v>189</v>
      </c>
      <c r="D6533" s="3">
        <v>194.0</v>
      </c>
      <c r="E6533" s="3">
        <v>7.76</v>
      </c>
      <c r="F6533" s="3">
        <v>29.07</v>
      </c>
      <c r="G6533" s="3">
        <v>0.0</v>
      </c>
    </row>
    <row r="6534">
      <c r="A6534" s="3">
        <v>174044.0</v>
      </c>
      <c r="B6534" s="3" t="s">
        <v>6561</v>
      </c>
      <c r="C6534" s="3" t="s">
        <v>189</v>
      </c>
      <c r="D6534" s="3">
        <v>170.0</v>
      </c>
      <c r="E6534" s="3">
        <v>4.96</v>
      </c>
      <c r="F6534" s="3">
        <v>29.34</v>
      </c>
      <c r="G6534" s="3">
        <v>0.0</v>
      </c>
    </row>
    <row r="6535">
      <c r="A6535" s="3">
        <v>174045.0</v>
      </c>
      <c r="B6535" s="3" t="s">
        <v>6562</v>
      </c>
      <c r="C6535" s="3" t="s">
        <v>189</v>
      </c>
      <c r="D6535" s="3">
        <v>205.0</v>
      </c>
      <c r="E6535" s="3">
        <v>6.43</v>
      </c>
      <c r="F6535" s="3">
        <v>34.46</v>
      </c>
      <c r="G6535" s="3">
        <v>0.0</v>
      </c>
    </row>
    <row r="6536">
      <c r="A6536" s="3">
        <v>174046.0</v>
      </c>
      <c r="B6536" s="3" t="s">
        <v>6563</v>
      </c>
      <c r="C6536" s="3" t="s">
        <v>189</v>
      </c>
      <c r="D6536" s="3">
        <v>128.0</v>
      </c>
      <c r="E6536" s="3">
        <v>4.31</v>
      </c>
      <c r="F6536" s="3">
        <v>22.19</v>
      </c>
      <c r="G6536" s="3">
        <v>0.0</v>
      </c>
    </row>
    <row r="6537">
      <c r="A6537" s="3">
        <v>174047.0</v>
      </c>
      <c r="B6537" s="3" t="s">
        <v>6564</v>
      </c>
      <c r="C6537" s="3" t="s">
        <v>189</v>
      </c>
      <c r="D6537" s="3">
        <v>196.0</v>
      </c>
      <c r="E6537" s="3">
        <v>6.0</v>
      </c>
      <c r="F6537" s="3">
        <v>33.15</v>
      </c>
      <c r="G6537" s="3">
        <v>0.0</v>
      </c>
    </row>
    <row r="6538">
      <c r="A6538" s="3">
        <v>174048.0</v>
      </c>
      <c r="B6538" s="3" t="s">
        <v>6565</v>
      </c>
      <c r="C6538" s="3" t="s">
        <v>189</v>
      </c>
      <c r="D6538" s="3">
        <v>127.0</v>
      </c>
      <c r="E6538" s="3">
        <v>3.84</v>
      </c>
      <c r="F6538" s="3">
        <v>21.57</v>
      </c>
      <c r="G6538" s="3">
        <v>0.0</v>
      </c>
    </row>
    <row r="6539">
      <c r="A6539" s="3">
        <v>174049.0</v>
      </c>
      <c r="B6539" s="3" t="s">
        <v>6566</v>
      </c>
      <c r="C6539" s="3" t="s">
        <v>189</v>
      </c>
      <c r="D6539" s="3">
        <v>124.0</v>
      </c>
      <c r="E6539" s="3">
        <v>3.0</v>
      </c>
      <c r="F6539" s="3">
        <v>22.6</v>
      </c>
      <c r="G6539" s="3">
        <v>0.0</v>
      </c>
    </row>
    <row r="6540">
      <c r="A6540" s="3">
        <v>174050.0</v>
      </c>
      <c r="B6540" s="3" t="s">
        <v>6567</v>
      </c>
      <c r="C6540" s="3" t="s">
        <v>189</v>
      </c>
      <c r="D6540" s="3">
        <v>214.0</v>
      </c>
      <c r="E6540" s="3">
        <v>7.36</v>
      </c>
      <c r="F6540" s="3">
        <v>34.66</v>
      </c>
      <c r="G6540" s="3">
        <v>0.0</v>
      </c>
    </row>
    <row r="6541">
      <c r="A6541" s="3">
        <v>174051.0</v>
      </c>
      <c r="B6541" s="3" t="s">
        <v>6568</v>
      </c>
      <c r="C6541" s="3" t="s">
        <v>189</v>
      </c>
      <c r="D6541" s="3">
        <v>132.0</v>
      </c>
      <c r="E6541" s="3">
        <v>4.19</v>
      </c>
      <c r="F6541" s="3">
        <v>22.11</v>
      </c>
      <c r="G6541" s="3">
        <v>0.0</v>
      </c>
    </row>
    <row r="6542">
      <c r="A6542" s="3">
        <v>174052.0</v>
      </c>
      <c r="B6542" s="3" t="s">
        <v>6569</v>
      </c>
      <c r="C6542" s="3" t="s">
        <v>189</v>
      </c>
      <c r="D6542" s="3">
        <v>163.0</v>
      </c>
      <c r="E6542" s="3">
        <v>5.72</v>
      </c>
      <c r="F6542" s="3">
        <v>28.0</v>
      </c>
      <c r="G6542" s="3">
        <v>0.0</v>
      </c>
    </row>
    <row r="6543">
      <c r="A6543" s="3">
        <v>174053.0</v>
      </c>
      <c r="B6543" s="3" t="s">
        <v>6570</v>
      </c>
      <c r="C6543" s="3" t="s">
        <v>189</v>
      </c>
      <c r="D6543" s="3">
        <v>216.0</v>
      </c>
      <c r="E6543" s="3">
        <v>7.73</v>
      </c>
      <c r="F6543" s="3">
        <v>34.34</v>
      </c>
      <c r="G6543" s="3">
        <v>0.0</v>
      </c>
    </row>
    <row r="6544">
      <c r="A6544" s="3">
        <v>174054.0</v>
      </c>
      <c r="B6544" s="3" t="s">
        <v>6571</v>
      </c>
      <c r="C6544" s="3" t="s">
        <v>189</v>
      </c>
      <c r="D6544" s="3">
        <v>178.0</v>
      </c>
      <c r="E6544" s="3">
        <v>5.84</v>
      </c>
      <c r="F6544" s="3">
        <v>29.42</v>
      </c>
      <c r="G6544" s="3">
        <v>0.0</v>
      </c>
    </row>
    <row r="6545">
      <c r="A6545" s="3">
        <v>174055.0</v>
      </c>
      <c r="B6545" s="3" t="s">
        <v>6572</v>
      </c>
      <c r="C6545" s="3" t="s">
        <v>189</v>
      </c>
      <c r="D6545" s="3">
        <v>131.0</v>
      </c>
      <c r="E6545" s="3">
        <v>4.08</v>
      </c>
      <c r="F6545" s="3">
        <v>22.09</v>
      </c>
      <c r="G6545" s="3">
        <v>0.0</v>
      </c>
    </row>
    <row r="6546">
      <c r="A6546" s="3">
        <v>174056.0</v>
      </c>
      <c r="B6546" s="3" t="s">
        <v>6573</v>
      </c>
      <c r="C6546" s="3" t="s">
        <v>189</v>
      </c>
      <c r="D6546" s="3">
        <v>139.0</v>
      </c>
      <c r="E6546" s="3">
        <v>5.05</v>
      </c>
      <c r="F6546" s="3">
        <v>21.96</v>
      </c>
      <c r="G6546" s="3">
        <v>0.0</v>
      </c>
    </row>
    <row r="6547">
      <c r="A6547" s="3">
        <v>174057.0</v>
      </c>
      <c r="B6547" s="3" t="s">
        <v>6574</v>
      </c>
      <c r="C6547" s="3" t="s">
        <v>189</v>
      </c>
      <c r="D6547" s="3">
        <v>129.0</v>
      </c>
      <c r="E6547" s="3">
        <v>4.06</v>
      </c>
      <c r="F6547" s="3">
        <v>21.69</v>
      </c>
      <c r="G6547" s="3">
        <v>0.0</v>
      </c>
    </row>
    <row r="6548">
      <c r="A6548" s="3">
        <v>174058.0</v>
      </c>
      <c r="B6548" s="3" t="s">
        <v>6575</v>
      </c>
      <c r="C6548" s="3" t="s">
        <v>189</v>
      </c>
      <c r="D6548" s="3">
        <v>140.0</v>
      </c>
      <c r="E6548" s="3">
        <v>4.96</v>
      </c>
      <c r="F6548" s="3">
        <v>22.22</v>
      </c>
      <c r="G6548" s="3">
        <v>0.0</v>
      </c>
    </row>
    <row r="6549">
      <c r="A6549" s="3">
        <v>174059.0</v>
      </c>
      <c r="B6549" s="3" t="s">
        <v>6576</v>
      </c>
      <c r="C6549" s="3" t="s">
        <v>189</v>
      </c>
      <c r="D6549" s="3">
        <v>179.0</v>
      </c>
      <c r="E6549" s="3">
        <v>6.77</v>
      </c>
      <c r="F6549" s="3">
        <v>27.56</v>
      </c>
      <c r="G6549" s="3">
        <v>0.0</v>
      </c>
    </row>
    <row r="6550">
      <c r="A6550" s="3">
        <v>174060.0</v>
      </c>
      <c r="B6550" s="3" t="s">
        <v>6577</v>
      </c>
      <c r="C6550" s="3" t="s">
        <v>189</v>
      </c>
      <c r="D6550" s="3">
        <v>175.0</v>
      </c>
      <c r="E6550" s="3">
        <v>5.3</v>
      </c>
      <c r="F6550" s="3">
        <v>29.87</v>
      </c>
      <c r="G6550" s="3">
        <v>0.0</v>
      </c>
    </row>
    <row r="6551">
      <c r="A6551" s="3">
        <v>174061.0</v>
      </c>
      <c r="B6551" s="3" t="s">
        <v>6578</v>
      </c>
      <c r="C6551" s="3" t="s">
        <v>189</v>
      </c>
      <c r="D6551" s="3">
        <v>193.0</v>
      </c>
      <c r="E6551" s="3">
        <v>6.25</v>
      </c>
      <c r="F6551" s="3">
        <v>32.04</v>
      </c>
      <c r="G6551" s="3">
        <v>0.0</v>
      </c>
    </row>
    <row r="6552">
      <c r="A6552" s="3">
        <v>174062.0</v>
      </c>
      <c r="B6552" s="3" t="s">
        <v>6579</v>
      </c>
      <c r="C6552" s="3" t="s">
        <v>225</v>
      </c>
      <c r="D6552" s="3">
        <v>79.0</v>
      </c>
      <c r="E6552" s="3">
        <v>3.94</v>
      </c>
      <c r="F6552" s="3">
        <v>2.61</v>
      </c>
      <c r="G6552" s="3">
        <v>8.28</v>
      </c>
    </row>
    <row r="6553">
      <c r="A6553" s="3">
        <v>174063.0</v>
      </c>
      <c r="B6553" s="3" t="s">
        <v>6580</v>
      </c>
      <c r="C6553" s="3" t="s">
        <v>225</v>
      </c>
      <c r="D6553" s="3">
        <v>70.0</v>
      </c>
      <c r="E6553" s="3">
        <v>4.23</v>
      </c>
      <c r="F6553" s="3">
        <v>2.33</v>
      </c>
      <c r="G6553" s="3">
        <v>5.68</v>
      </c>
    </row>
    <row r="6554">
      <c r="A6554" s="3">
        <v>174064.0</v>
      </c>
      <c r="B6554" s="3" t="s">
        <v>6581</v>
      </c>
      <c r="C6554" s="3" t="s">
        <v>225</v>
      </c>
      <c r="D6554" s="3">
        <v>41.0</v>
      </c>
      <c r="E6554" s="3">
        <v>1.34</v>
      </c>
      <c r="F6554" s="3">
        <v>3.29</v>
      </c>
      <c r="G6554" s="3">
        <v>3.84</v>
      </c>
    </row>
    <row r="6555">
      <c r="A6555" s="3">
        <v>174065.0</v>
      </c>
      <c r="B6555" s="3" t="s">
        <v>6582</v>
      </c>
      <c r="C6555" s="3" t="s">
        <v>225</v>
      </c>
      <c r="D6555" s="3">
        <v>42.0</v>
      </c>
      <c r="E6555" s="3">
        <v>0.95</v>
      </c>
      <c r="F6555" s="3">
        <v>3.26</v>
      </c>
      <c r="G6555" s="3">
        <v>4.99</v>
      </c>
    </row>
    <row r="6556">
      <c r="A6556" s="3">
        <v>174066.0</v>
      </c>
      <c r="B6556" s="3" t="s">
        <v>6583</v>
      </c>
      <c r="C6556" s="3" t="s">
        <v>225</v>
      </c>
      <c r="D6556" s="3">
        <v>154.0</v>
      </c>
      <c r="E6556" s="3">
        <v>0.02</v>
      </c>
      <c r="F6556" s="3">
        <v>0.27</v>
      </c>
      <c r="G6556" s="3">
        <v>38.22</v>
      </c>
    </row>
    <row r="6557">
      <c r="A6557" s="3">
        <v>174067.0</v>
      </c>
      <c r="B6557" s="3" t="s">
        <v>6584</v>
      </c>
      <c r="C6557" s="3" t="s">
        <v>225</v>
      </c>
      <c r="D6557" s="3">
        <v>128.0</v>
      </c>
      <c r="E6557" s="3">
        <v>1.05</v>
      </c>
      <c r="F6557" s="3">
        <v>1.36</v>
      </c>
      <c r="G6557" s="3">
        <v>28.22</v>
      </c>
    </row>
    <row r="6558">
      <c r="A6558" s="3">
        <v>174068.0</v>
      </c>
      <c r="B6558" s="3" t="s">
        <v>6585</v>
      </c>
      <c r="C6558" s="3" t="s">
        <v>225</v>
      </c>
      <c r="D6558" s="3">
        <v>143.0</v>
      </c>
      <c r="E6558" s="3">
        <v>9.51</v>
      </c>
      <c r="F6558" s="3">
        <v>3.14</v>
      </c>
      <c r="G6558" s="3">
        <v>11.14</v>
      </c>
    </row>
    <row r="6559">
      <c r="A6559" s="3">
        <v>174069.0</v>
      </c>
      <c r="B6559" s="3" t="s">
        <v>6586</v>
      </c>
      <c r="C6559" s="3" t="s">
        <v>225</v>
      </c>
      <c r="D6559" s="3">
        <v>133.0</v>
      </c>
      <c r="E6559" s="3">
        <v>8.26</v>
      </c>
      <c r="F6559" s="3">
        <v>2.92</v>
      </c>
      <c r="G6559" s="3">
        <v>11.72</v>
      </c>
    </row>
    <row r="6560">
      <c r="A6560" s="3">
        <v>174070.0</v>
      </c>
      <c r="B6560" s="3" t="s">
        <v>6587</v>
      </c>
      <c r="C6560" s="3" t="s">
        <v>225</v>
      </c>
      <c r="D6560" s="3">
        <v>257.0</v>
      </c>
      <c r="E6560" s="3">
        <v>16.02</v>
      </c>
      <c r="F6560" s="3">
        <v>6.31</v>
      </c>
      <c r="G6560" s="3">
        <v>22.02</v>
      </c>
    </row>
    <row r="6561">
      <c r="A6561" s="3">
        <v>174071.0</v>
      </c>
      <c r="B6561" s="3" t="s">
        <v>6588</v>
      </c>
      <c r="C6561" s="3" t="s">
        <v>225</v>
      </c>
      <c r="D6561" s="3">
        <v>50.0</v>
      </c>
      <c r="E6561" s="3">
        <v>0.51</v>
      </c>
      <c r="F6561" s="3">
        <v>1.16</v>
      </c>
      <c r="G6561" s="3">
        <v>10.28</v>
      </c>
    </row>
    <row r="6562">
      <c r="A6562" s="3">
        <v>174072.0</v>
      </c>
      <c r="B6562" s="3" t="s">
        <v>6589</v>
      </c>
      <c r="C6562" s="3" t="s">
        <v>225</v>
      </c>
      <c r="D6562" s="3">
        <v>46.0</v>
      </c>
      <c r="E6562" s="3">
        <v>2.57</v>
      </c>
      <c r="F6562" s="3">
        <v>0.67</v>
      </c>
      <c r="G6562" s="3">
        <v>5.01</v>
      </c>
    </row>
    <row r="6563">
      <c r="A6563" s="3">
        <v>174073.0</v>
      </c>
      <c r="B6563" s="3" t="s">
        <v>6590</v>
      </c>
      <c r="C6563" s="3" t="s">
        <v>225</v>
      </c>
      <c r="D6563" s="3">
        <v>52.0</v>
      </c>
      <c r="E6563" s="3">
        <v>0.96</v>
      </c>
      <c r="F6563" s="3">
        <v>2.81</v>
      </c>
      <c r="G6563" s="3">
        <v>7.94</v>
      </c>
    </row>
    <row r="6564">
      <c r="A6564" s="3">
        <v>174074.0</v>
      </c>
      <c r="B6564" s="3" t="s">
        <v>6591</v>
      </c>
      <c r="C6564" s="3" t="s">
        <v>225</v>
      </c>
      <c r="D6564" s="3">
        <v>30.0</v>
      </c>
      <c r="E6564" s="3">
        <v>0.91</v>
      </c>
      <c r="F6564" s="3">
        <v>0.62</v>
      </c>
      <c r="G6564" s="3">
        <v>4.87</v>
      </c>
    </row>
    <row r="6565">
      <c r="A6565" s="3">
        <v>174075.0</v>
      </c>
      <c r="B6565" s="3" t="s">
        <v>6592</v>
      </c>
      <c r="C6565" s="3" t="s">
        <v>8</v>
      </c>
      <c r="D6565" s="3">
        <v>299.0</v>
      </c>
      <c r="E6565" s="3">
        <v>9.2</v>
      </c>
      <c r="F6565" s="3">
        <v>7.85</v>
      </c>
      <c r="G6565" s="3">
        <v>46.13</v>
      </c>
    </row>
    <row r="6566">
      <c r="A6566" s="3">
        <v>174076.0</v>
      </c>
      <c r="B6566" s="3" t="s">
        <v>6593</v>
      </c>
      <c r="C6566" s="3" t="s">
        <v>8</v>
      </c>
      <c r="D6566" s="3">
        <v>326.0</v>
      </c>
      <c r="E6566" s="3">
        <v>13.2</v>
      </c>
      <c r="F6566" s="3">
        <v>6.36</v>
      </c>
      <c r="G6566" s="3">
        <v>45.35</v>
      </c>
    </row>
    <row r="6567">
      <c r="A6567" s="3">
        <v>174077.0</v>
      </c>
      <c r="B6567" s="3" t="s">
        <v>6594</v>
      </c>
      <c r="C6567" s="3" t="s">
        <v>8</v>
      </c>
      <c r="D6567" s="3">
        <v>286.0</v>
      </c>
      <c r="E6567" s="3">
        <v>6.7</v>
      </c>
      <c r="F6567" s="3">
        <v>10.2</v>
      </c>
      <c r="G6567" s="3">
        <v>46.21</v>
      </c>
    </row>
    <row r="6568">
      <c r="A6568" s="3">
        <v>174078.0</v>
      </c>
      <c r="B6568" s="3" t="s">
        <v>6595</v>
      </c>
      <c r="C6568" s="3" t="s">
        <v>8</v>
      </c>
      <c r="D6568" s="3">
        <v>318.0</v>
      </c>
      <c r="E6568" s="3">
        <v>5.8</v>
      </c>
      <c r="F6568" s="3">
        <v>10.65</v>
      </c>
      <c r="G6568" s="3">
        <v>55.77</v>
      </c>
    </row>
    <row r="6569">
      <c r="A6569" s="3">
        <v>174079.0</v>
      </c>
      <c r="B6569" s="3" t="s">
        <v>6596</v>
      </c>
      <c r="C6569" s="3" t="s">
        <v>8</v>
      </c>
      <c r="D6569" s="3">
        <v>503.0</v>
      </c>
      <c r="E6569" s="3">
        <v>23.5</v>
      </c>
      <c r="F6569" s="3">
        <v>4.1</v>
      </c>
      <c r="G6569" s="3">
        <v>68.83</v>
      </c>
    </row>
    <row r="6570">
      <c r="A6570" s="3">
        <v>174080.0</v>
      </c>
      <c r="B6570" s="3" t="s">
        <v>6597</v>
      </c>
      <c r="C6570" s="3" t="s">
        <v>8</v>
      </c>
      <c r="D6570" s="3">
        <v>507.0</v>
      </c>
      <c r="E6570" s="3">
        <v>24.2</v>
      </c>
      <c r="F6570" s="3">
        <v>4.5</v>
      </c>
      <c r="G6570" s="3">
        <v>67.87</v>
      </c>
    </row>
    <row r="6571">
      <c r="A6571" s="3">
        <v>174081.0</v>
      </c>
      <c r="B6571" s="3" t="s">
        <v>6598</v>
      </c>
      <c r="C6571" s="3" t="s">
        <v>8</v>
      </c>
      <c r="D6571" s="3">
        <v>310.0</v>
      </c>
      <c r="E6571" s="3">
        <v>9.76</v>
      </c>
      <c r="F6571" s="3">
        <v>9.76</v>
      </c>
      <c r="G6571" s="3">
        <v>45.89</v>
      </c>
    </row>
    <row r="6572">
      <c r="A6572" s="3">
        <v>174082.0</v>
      </c>
      <c r="B6572" s="3" t="s">
        <v>6599</v>
      </c>
      <c r="C6572" s="3" t="s">
        <v>8</v>
      </c>
      <c r="D6572" s="3">
        <v>409.0</v>
      </c>
      <c r="E6572" s="3">
        <v>13.0</v>
      </c>
      <c r="F6572" s="3">
        <v>3.71</v>
      </c>
      <c r="G6572" s="3">
        <v>69.37</v>
      </c>
    </row>
    <row r="6573">
      <c r="A6573" s="3">
        <v>174083.0</v>
      </c>
      <c r="B6573" s="3" t="s">
        <v>6600</v>
      </c>
      <c r="C6573" s="3" t="s">
        <v>8</v>
      </c>
      <c r="D6573" s="3">
        <v>386.0</v>
      </c>
      <c r="E6573" s="3">
        <v>5.71</v>
      </c>
      <c r="F6573" s="3">
        <v>5.71</v>
      </c>
      <c r="G6573" s="3">
        <v>77.96</v>
      </c>
    </row>
    <row r="6574">
      <c r="A6574" s="3">
        <v>174084.0</v>
      </c>
      <c r="B6574" s="3" t="s">
        <v>6601</v>
      </c>
      <c r="C6574" s="3" t="s">
        <v>8</v>
      </c>
      <c r="D6574" s="3">
        <v>412.0</v>
      </c>
      <c r="E6574" s="3">
        <v>16.03</v>
      </c>
      <c r="F6574" s="3">
        <v>9.62</v>
      </c>
      <c r="G6574" s="3">
        <v>57.29</v>
      </c>
    </row>
    <row r="6575">
      <c r="A6575" s="3">
        <v>174085.0</v>
      </c>
      <c r="B6575" s="3" t="s">
        <v>6602</v>
      </c>
      <c r="C6575" s="3" t="s">
        <v>8</v>
      </c>
      <c r="D6575" s="3">
        <v>257.0</v>
      </c>
      <c r="E6575" s="3">
        <v>3.57</v>
      </c>
      <c r="F6575" s="3">
        <v>7.14</v>
      </c>
      <c r="G6575" s="3">
        <v>49.16</v>
      </c>
    </row>
    <row r="6576">
      <c r="A6576" s="3">
        <v>174086.0</v>
      </c>
      <c r="B6576" s="3" t="s">
        <v>6603</v>
      </c>
      <c r="C6576" s="3" t="s">
        <v>8</v>
      </c>
      <c r="D6576" s="3">
        <v>269.0</v>
      </c>
      <c r="E6576" s="3">
        <v>1.9</v>
      </c>
      <c r="F6576" s="3">
        <v>5.71</v>
      </c>
      <c r="G6576" s="3">
        <v>57.32</v>
      </c>
    </row>
    <row r="6577">
      <c r="A6577" s="3">
        <v>174087.0</v>
      </c>
      <c r="B6577" s="3" t="s">
        <v>6604</v>
      </c>
      <c r="C6577" s="3" t="s">
        <v>8</v>
      </c>
      <c r="D6577" s="3">
        <v>451.0</v>
      </c>
      <c r="E6577" s="3">
        <v>14.0</v>
      </c>
      <c r="F6577" s="3">
        <v>5.37</v>
      </c>
      <c r="G6577" s="3">
        <v>75.99</v>
      </c>
    </row>
    <row r="6578">
      <c r="A6578" s="3">
        <v>174088.0</v>
      </c>
      <c r="B6578" s="3" t="s">
        <v>6605</v>
      </c>
      <c r="C6578" s="3" t="s">
        <v>8</v>
      </c>
      <c r="D6578" s="3">
        <v>526.0</v>
      </c>
      <c r="E6578" s="3">
        <v>27.59</v>
      </c>
      <c r="F6578" s="3">
        <v>3.45</v>
      </c>
      <c r="G6578" s="3">
        <v>65.99</v>
      </c>
    </row>
    <row r="6579">
      <c r="A6579" s="3">
        <v>174089.0</v>
      </c>
      <c r="B6579" s="3" t="s">
        <v>6606</v>
      </c>
      <c r="C6579" s="3" t="s">
        <v>8</v>
      </c>
      <c r="D6579" s="3">
        <v>269.0</v>
      </c>
      <c r="E6579" s="3">
        <v>3.61</v>
      </c>
      <c r="F6579" s="3">
        <v>11.69</v>
      </c>
      <c r="G6579" s="3">
        <v>47.31</v>
      </c>
    </row>
    <row r="6580">
      <c r="A6580" s="3">
        <v>174090.0</v>
      </c>
      <c r="B6580" s="3" t="s">
        <v>6607</v>
      </c>
      <c r="C6580" s="3" t="s">
        <v>8</v>
      </c>
      <c r="D6580" s="3">
        <v>269.0</v>
      </c>
      <c r="E6580" s="3">
        <v>4.38</v>
      </c>
      <c r="F6580" s="3">
        <v>12.38</v>
      </c>
      <c r="G6580" s="3">
        <v>44.93</v>
      </c>
    </row>
    <row r="6581">
      <c r="A6581" s="3">
        <v>174091.0</v>
      </c>
      <c r="B6581" s="3" t="s">
        <v>6608</v>
      </c>
      <c r="C6581" s="3" t="s">
        <v>8</v>
      </c>
      <c r="D6581" s="3">
        <v>239.0</v>
      </c>
      <c r="E6581" s="3">
        <v>1.04</v>
      </c>
      <c r="F6581" s="3">
        <v>8.33</v>
      </c>
      <c r="G6581" s="3">
        <v>49.1</v>
      </c>
    </row>
    <row r="6582">
      <c r="A6582" s="3">
        <v>174092.0</v>
      </c>
      <c r="B6582" s="3" t="s">
        <v>6609</v>
      </c>
      <c r="C6582" s="3" t="s">
        <v>8</v>
      </c>
      <c r="D6582" s="3">
        <v>255.0</v>
      </c>
      <c r="E6582" s="3">
        <v>0.0</v>
      </c>
      <c r="F6582" s="3">
        <v>9.3</v>
      </c>
      <c r="G6582" s="3">
        <v>54.52</v>
      </c>
    </row>
    <row r="6583">
      <c r="A6583" s="3">
        <v>174093.0</v>
      </c>
      <c r="B6583" s="3" t="s">
        <v>6610</v>
      </c>
      <c r="C6583" s="3" t="s">
        <v>8</v>
      </c>
      <c r="D6583" s="3">
        <v>245.0</v>
      </c>
      <c r="E6583" s="3">
        <v>1.75</v>
      </c>
      <c r="F6583" s="3">
        <v>7.02</v>
      </c>
      <c r="G6583" s="3">
        <v>50.17</v>
      </c>
    </row>
    <row r="6584">
      <c r="A6584" s="3">
        <v>174094.0</v>
      </c>
      <c r="B6584" s="3" t="s">
        <v>6611</v>
      </c>
      <c r="C6584" s="3" t="s">
        <v>8</v>
      </c>
      <c r="D6584" s="3">
        <v>255.0</v>
      </c>
      <c r="E6584" s="3">
        <v>3.49</v>
      </c>
      <c r="F6584" s="3">
        <v>9.3</v>
      </c>
      <c r="G6584" s="3">
        <v>46.5</v>
      </c>
    </row>
    <row r="6585">
      <c r="A6585" s="3">
        <v>174095.0</v>
      </c>
      <c r="B6585" s="3" t="s">
        <v>6612</v>
      </c>
      <c r="C6585" s="3" t="s">
        <v>8</v>
      </c>
      <c r="D6585" s="3">
        <v>425.0</v>
      </c>
      <c r="E6585" s="3">
        <v>17.65</v>
      </c>
      <c r="F6585" s="3">
        <v>2.94</v>
      </c>
      <c r="G6585" s="3">
        <v>63.52</v>
      </c>
    </row>
    <row r="6586">
      <c r="A6586" s="3">
        <v>174096.0</v>
      </c>
      <c r="B6586" s="3" t="s">
        <v>6613</v>
      </c>
      <c r="C6586" s="3" t="s">
        <v>8</v>
      </c>
      <c r="D6586" s="3">
        <v>440.0</v>
      </c>
      <c r="E6586" s="3">
        <v>19.35</v>
      </c>
      <c r="F6586" s="3">
        <v>3.23</v>
      </c>
      <c r="G6586" s="3">
        <v>63.26</v>
      </c>
    </row>
    <row r="6587">
      <c r="A6587" s="3">
        <v>174097.0</v>
      </c>
      <c r="B6587" s="3" t="s">
        <v>6614</v>
      </c>
      <c r="C6587" s="3" t="s">
        <v>8</v>
      </c>
      <c r="D6587" s="3">
        <v>435.0</v>
      </c>
      <c r="E6587" s="3">
        <v>18.18</v>
      </c>
      <c r="F6587" s="3">
        <v>4.55</v>
      </c>
      <c r="G6587" s="3">
        <v>63.26</v>
      </c>
    </row>
    <row r="6588">
      <c r="A6588" s="3">
        <v>174098.0</v>
      </c>
      <c r="B6588" s="3" t="s">
        <v>6615</v>
      </c>
      <c r="C6588" s="3" t="s">
        <v>8</v>
      </c>
      <c r="D6588" s="3">
        <v>463.0</v>
      </c>
      <c r="E6588" s="3">
        <v>17.71</v>
      </c>
      <c r="F6588" s="3">
        <v>10.16</v>
      </c>
      <c r="G6588" s="3">
        <v>65.67</v>
      </c>
    </row>
    <row r="6589">
      <c r="A6589" s="3">
        <v>174099.0</v>
      </c>
      <c r="B6589" s="3" t="s">
        <v>6616</v>
      </c>
      <c r="C6589" s="3" t="s">
        <v>8</v>
      </c>
      <c r="D6589" s="3">
        <v>320.0</v>
      </c>
      <c r="E6589" s="3">
        <v>10.7</v>
      </c>
      <c r="F6589" s="3">
        <v>3.13</v>
      </c>
      <c r="G6589" s="3">
        <v>52.83</v>
      </c>
    </row>
    <row r="6590">
      <c r="A6590" s="3">
        <v>174100.0</v>
      </c>
      <c r="B6590" s="3" t="s">
        <v>6617</v>
      </c>
      <c r="C6590" s="3" t="s">
        <v>8</v>
      </c>
      <c r="D6590" s="3">
        <v>248.0</v>
      </c>
      <c r="E6590" s="3">
        <v>5.24</v>
      </c>
      <c r="F6590" s="3">
        <v>4.31</v>
      </c>
      <c r="G6590" s="3">
        <v>45.78</v>
      </c>
    </row>
    <row r="6591">
      <c r="A6591" s="3">
        <v>174101.0</v>
      </c>
      <c r="B6591" s="3" t="s">
        <v>6618</v>
      </c>
      <c r="C6591" s="3" t="s">
        <v>8</v>
      </c>
      <c r="D6591" s="3">
        <v>298.0</v>
      </c>
      <c r="E6591" s="3">
        <v>8.02</v>
      </c>
      <c r="F6591" s="3">
        <v>5.4</v>
      </c>
      <c r="G6591" s="3">
        <v>51.15</v>
      </c>
    </row>
    <row r="6592">
      <c r="A6592" s="3">
        <v>174102.0</v>
      </c>
      <c r="B6592" s="3" t="s">
        <v>6619</v>
      </c>
      <c r="C6592" s="3" t="s">
        <v>8</v>
      </c>
      <c r="D6592" s="3">
        <v>309.0</v>
      </c>
      <c r="E6592" s="3">
        <v>9.34</v>
      </c>
      <c r="F6592" s="3">
        <v>7.25</v>
      </c>
      <c r="G6592" s="3">
        <v>49.09</v>
      </c>
    </row>
    <row r="6593">
      <c r="A6593" s="3">
        <v>174103.0</v>
      </c>
      <c r="B6593" s="3" t="s">
        <v>6620</v>
      </c>
      <c r="C6593" s="3" t="s">
        <v>8</v>
      </c>
      <c r="D6593" s="3">
        <v>456.0</v>
      </c>
      <c r="E6593" s="3">
        <v>15.41</v>
      </c>
      <c r="F6593" s="3">
        <v>2.5</v>
      </c>
      <c r="G6593" s="3">
        <v>76.94</v>
      </c>
    </row>
    <row r="6594">
      <c r="A6594" s="3">
        <v>174104.0</v>
      </c>
      <c r="B6594" s="3" t="s">
        <v>6621</v>
      </c>
      <c r="C6594" s="3" t="s">
        <v>8</v>
      </c>
      <c r="D6594" s="3">
        <v>453.0</v>
      </c>
      <c r="E6594" s="3">
        <v>15.84</v>
      </c>
      <c r="F6594" s="3">
        <v>11.25</v>
      </c>
      <c r="G6594" s="3">
        <v>66.3</v>
      </c>
    </row>
    <row r="6595">
      <c r="A6595" s="3">
        <v>174105.0</v>
      </c>
      <c r="B6595" s="3" t="s">
        <v>6622</v>
      </c>
      <c r="C6595" s="3" t="s">
        <v>8</v>
      </c>
      <c r="D6595" s="3">
        <v>263.0</v>
      </c>
      <c r="E6595" s="3">
        <v>8.84</v>
      </c>
      <c r="F6595" s="3">
        <v>2.72</v>
      </c>
      <c r="G6595" s="3">
        <v>43.05</v>
      </c>
    </row>
    <row r="6596">
      <c r="A6596" s="3">
        <v>174106.0</v>
      </c>
      <c r="B6596" s="3" t="s">
        <v>6623</v>
      </c>
      <c r="C6596" s="3" t="s">
        <v>8</v>
      </c>
      <c r="D6596" s="3">
        <v>215.0</v>
      </c>
      <c r="E6596" s="3">
        <v>4.55</v>
      </c>
      <c r="F6596" s="3">
        <v>3.31</v>
      </c>
      <c r="G6596" s="3">
        <v>40.32</v>
      </c>
    </row>
    <row r="6597">
      <c r="A6597" s="3">
        <v>174107.0</v>
      </c>
      <c r="B6597" s="3" t="s">
        <v>6624</v>
      </c>
      <c r="C6597" s="3" t="s">
        <v>8</v>
      </c>
      <c r="D6597" s="3">
        <v>321.0</v>
      </c>
      <c r="E6597" s="3">
        <v>7.37</v>
      </c>
      <c r="F6597" s="3">
        <v>10.04</v>
      </c>
      <c r="G6597" s="3">
        <v>53.58</v>
      </c>
    </row>
    <row r="6598">
      <c r="A6598" s="3">
        <v>174108.0</v>
      </c>
      <c r="B6598" s="3" t="s">
        <v>6625</v>
      </c>
      <c r="C6598" s="3" t="s">
        <v>183</v>
      </c>
      <c r="D6598" s="3">
        <v>45.0</v>
      </c>
      <c r="E6598" s="3">
        <v>0.0</v>
      </c>
      <c r="F6598" s="3">
        <v>0.0</v>
      </c>
      <c r="G6598" s="3">
        <v>11.27</v>
      </c>
    </row>
    <row r="6599">
      <c r="A6599" s="3">
        <v>174109.0</v>
      </c>
      <c r="B6599" s="3" t="s">
        <v>6626</v>
      </c>
      <c r="C6599" s="3" t="s">
        <v>183</v>
      </c>
      <c r="D6599" s="3">
        <v>88.0</v>
      </c>
      <c r="E6599" s="3">
        <v>0.0</v>
      </c>
      <c r="F6599" s="3">
        <v>0.07</v>
      </c>
      <c r="G6599" s="3">
        <v>2.64</v>
      </c>
    </row>
    <row r="6600">
      <c r="A6600" s="3">
        <v>174110.0</v>
      </c>
      <c r="B6600" s="3" t="s">
        <v>6627</v>
      </c>
      <c r="C6600" s="3" t="s">
        <v>183</v>
      </c>
      <c r="D6600" s="3">
        <v>84.0</v>
      </c>
      <c r="E6600" s="3">
        <v>0.0</v>
      </c>
      <c r="F6600" s="3">
        <v>0.07</v>
      </c>
      <c r="G6600" s="3">
        <v>2.16</v>
      </c>
    </row>
    <row r="6601">
      <c r="A6601" s="3">
        <v>174111.0</v>
      </c>
      <c r="B6601" s="3" t="s">
        <v>6628</v>
      </c>
      <c r="C6601" s="3" t="s">
        <v>183</v>
      </c>
      <c r="D6601" s="3">
        <v>47.0</v>
      </c>
      <c r="E6601" s="3">
        <v>0.0</v>
      </c>
      <c r="F6601" s="3">
        <v>0.0</v>
      </c>
      <c r="G6601" s="3">
        <v>12.26</v>
      </c>
    </row>
    <row r="6602">
      <c r="A6602" s="3">
        <v>174112.0</v>
      </c>
      <c r="B6602" s="3" t="s">
        <v>6629</v>
      </c>
      <c r="C6602" s="3" t="s">
        <v>183</v>
      </c>
      <c r="D6602" s="3">
        <v>22.0</v>
      </c>
      <c r="E6602" s="3">
        <v>0.1</v>
      </c>
      <c r="F6602" s="3">
        <v>0.0</v>
      </c>
      <c r="G6602" s="3">
        <v>5.1</v>
      </c>
    </row>
    <row r="6603">
      <c r="A6603" s="3">
        <v>174113.0</v>
      </c>
      <c r="B6603" s="3" t="s">
        <v>6630</v>
      </c>
      <c r="C6603" s="3" t="s">
        <v>183</v>
      </c>
      <c r="D6603" s="3">
        <v>0.0</v>
      </c>
      <c r="E6603" s="3">
        <v>0.0</v>
      </c>
      <c r="F6603" s="3">
        <v>0.0</v>
      </c>
      <c r="G6603" s="3">
        <v>0.14</v>
      </c>
    </row>
    <row r="6604">
      <c r="A6604" s="3">
        <v>174114.0</v>
      </c>
      <c r="B6604" s="3" t="s">
        <v>6631</v>
      </c>
      <c r="C6604" s="3" t="s">
        <v>183</v>
      </c>
      <c r="D6604" s="3">
        <v>372.0</v>
      </c>
      <c r="E6604" s="3">
        <v>0.2</v>
      </c>
      <c r="F6604" s="3">
        <v>1.8</v>
      </c>
      <c r="G6604" s="3">
        <v>93.3</v>
      </c>
    </row>
    <row r="6605">
      <c r="A6605" s="3">
        <v>174115.0</v>
      </c>
      <c r="B6605" s="3" t="s">
        <v>6632</v>
      </c>
      <c r="C6605" s="3" t="s">
        <v>183</v>
      </c>
      <c r="D6605" s="3">
        <v>75.0</v>
      </c>
      <c r="E6605" s="3">
        <v>3.11</v>
      </c>
      <c r="F6605" s="3">
        <v>3.16</v>
      </c>
      <c r="G6605" s="3">
        <v>8.68</v>
      </c>
    </row>
    <row r="6606">
      <c r="A6606" s="3">
        <v>174116.0</v>
      </c>
      <c r="B6606" s="3" t="s">
        <v>6633</v>
      </c>
      <c r="C6606" s="3" t="s">
        <v>183</v>
      </c>
      <c r="D6606" s="3">
        <v>31.0</v>
      </c>
      <c r="E6606" s="3">
        <v>2.08</v>
      </c>
      <c r="F6606" s="3">
        <v>0.21</v>
      </c>
      <c r="G6606" s="3">
        <v>2.92</v>
      </c>
    </row>
    <row r="6607">
      <c r="A6607" s="3">
        <v>174117.0</v>
      </c>
      <c r="B6607" s="3" t="s">
        <v>6634</v>
      </c>
      <c r="C6607" s="3" t="s">
        <v>183</v>
      </c>
      <c r="D6607" s="3">
        <v>279.0</v>
      </c>
      <c r="E6607" s="3">
        <v>1.13</v>
      </c>
      <c r="F6607" s="3">
        <v>2.1</v>
      </c>
      <c r="G6607" s="3">
        <v>65.1</v>
      </c>
    </row>
    <row r="6608">
      <c r="A6608" s="3">
        <v>174118.0</v>
      </c>
      <c r="B6608" s="3" t="s">
        <v>6635</v>
      </c>
      <c r="C6608" s="3" t="s">
        <v>183</v>
      </c>
      <c r="D6608" s="3">
        <v>90.0</v>
      </c>
      <c r="E6608" s="3">
        <v>2.96</v>
      </c>
      <c r="F6608" s="3">
        <v>3.07</v>
      </c>
      <c r="G6608" s="3">
        <v>12.78</v>
      </c>
    </row>
    <row r="6609">
      <c r="A6609" s="3">
        <v>174119.0</v>
      </c>
      <c r="B6609" s="3" t="s">
        <v>6636</v>
      </c>
      <c r="C6609" s="3" t="s">
        <v>183</v>
      </c>
      <c r="D6609" s="3">
        <v>60.0</v>
      </c>
      <c r="E6609" s="3">
        <v>0.98</v>
      </c>
      <c r="F6609" s="3">
        <v>1.48</v>
      </c>
      <c r="G6609" s="3">
        <v>11.42</v>
      </c>
    </row>
    <row r="6610">
      <c r="A6610" s="3">
        <v>174120.0</v>
      </c>
      <c r="B6610" s="3" t="s">
        <v>6637</v>
      </c>
      <c r="C6610" s="3" t="s">
        <v>183</v>
      </c>
      <c r="D6610" s="3">
        <v>1.0</v>
      </c>
      <c r="E6610" s="3">
        <v>0.0</v>
      </c>
      <c r="F6610" s="3">
        <v>0.0</v>
      </c>
      <c r="G6610" s="3">
        <v>0.15</v>
      </c>
    </row>
    <row r="6611">
      <c r="A6611" s="3">
        <v>174121.0</v>
      </c>
      <c r="B6611" s="3" t="s">
        <v>6638</v>
      </c>
      <c r="C6611" s="3" t="s">
        <v>183</v>
      </c>
      <c r="D6611" s="3">
        <v>1.0</v>
      </c>
      <c r="E6611" s="3">
        <v>0.0</v>
      </c>
      <c r="F6611" s="3">
        <v>0.0</v>
      </c>
      <c r="G6611" s="3">
        <v>0.31</v>
      </c>
    </row>
    <row r="6612">
      <c r="A6612" s="3">
        <v>174122.0</v>
      </c>
      <c r="B6612" s="3" t="s">
        <v>6639</v>
      </c>
      <c r="C6612" s="3" t="s">
        <v>183</v>
      </c>
      <c r="D6612" s="3">
        <v>398.0</v>
      </c>
      <c r="E6612" s="3">
        <v>4.0</v>
      </c>
      <c r="F6612" s="3">
        <v>6.67</v>
      </c>
      <c r="G6612" s="3">
        <v>83.73</v>
      </c>
    </row>
    <row r="6613">
      <c r="A6613" s="3">
        <v>174123.0</v>
      </c>
      <c r="B6613" s="3" t="s">
        <v>6640</v>
      </c>
      <c r="C6613" s="3" t="s">
        <v>183</v>
      </c>
      <c r="D6613" s="3">
        <v>55.0</v>
      </c>
      <c r="E6613" s="3">
        <v>0.55</v>
      </c>
      <c r="F6613" s="3">
        <v>0.92</v>
      </c>
      <c r="G6613" s="3">
        <v>11.54</v>
      </c>
    </row>
    <row r="6614">
      <c r="A6614" s="3">
        <v>174124.0</v>
      </c>
      <c r="B6614" s="3" t="s">
        <v>6641</v>
      </c>
      <c r="C6614" s="3" t="s">
        <v>183</v>
      </c>
      <c r="D6614" s="3">
        <v>400.0</v>
      </c>
      <c r="E6614" s="3">
        <v>15.0</v>
      </c>
      <c r="F6614" s="3">
        <v>2.8</v>
      </c>
      <c r="G6614" s="3">
        <v>75.0</v>
      </c>
    </row>
    <row r="6615">
      <c r="A6615" s="3">
        <v>174125.0</v>
      </c>
      <c r="B6615" s="3" t="s">
        <v>6642</v>
      </c>
      <c r="C6615" s="3" t="s">
        <v>183</v>
      </c>
      <c r="D6615" s="3">
        <v>9.0</v>
      </c>
      <c r="E6615" s="3">
        <v>0.18</v>
      </c>
      <c r="F6615" s="3">
        <v>0.1</v>
      </c>
      <c r="G6615" s="3">
        <v>1.69</v>
      </c>
    </row>
    <row r="6616">
      <c r="A6616" s="3">
        <v>174126.0</v>
      </c>
      <c r="B6616" s="3" t="s">
        <v>6643</v>
      </c>
      <c r="C6616" s="3" t="s">
        <v>183</v>
      </c>
      <c r="D6616" s="3">
        <v>352.0</v>
      </c>
      <c r="E6616" s="3">
        <v>0.5</v>
      </c>
      <c r="F6616" s="3">
        <v>14.42</v>
      </c>
      <c r="G6616" s="3">
        <v>73.18</v>
      </c>
    </row>
    <row r="6617">
      <c r="A6617" s="3">
        <v>174127.0</v>
      </c>
      <c r="B6617" s="3" t="s">
        <v>6644</v>
      </c>
      <c r="C6617" s="3" t="s">
        <v>183</v>
      </c>
      <c r="D6617" s="3">
        <v>440.0</v>
      </c>
      <c r="E6617" s="3">
        <v>13.21</v>
      </c>
      <c r="F6617" s="3">
        <v>9.0</v>
      </c>
      <c r="G6617" s="3">
        <v>71.4</v>
      </c>
    </row>
    <row r="6618">
      <c r="A6618" s="3">
        <v>174128.0</v>
      </c>
      <c r="B6618" s="3" t="s">
        <v>6645</v>
      </c>
      <c r="C6618" s="3" t="s">
        <v>183</v>
      </c>
      <c r="D6618" s="3">
        <v>27.0</v>
      </c>
      <c r="E6618" s="3">
        <v>0.22</v>
      </c>
      <c r="F6618" s="3">
        <v>0.0</v>
      </c>
      <c r="G6618" s="3">
        <v>6.2</v>
      </c>
    </row>
    <row r="6619">
      <c r="A6619" s="3">
        <v>174129.0</v>
      </c>
      <c r="B6619" s="3" t="s">
        <v>6646</v>
      </c>
      <c r="C6619" s="3" t="s">
        <v>183</v>
      </c>
      <c r="D6619" s="3">
        <v>2.0</v>
      </c>
      <c r="E6619" s="3">
        <v>0.0</v>
      </c>
      <c r="F6619" s="3">
        <v>0.0</v>
      </c>
      <c r="G6619" s="3">
        <v>0.41</v>
      </c>
    </row>
    <row r="6620">
      <c r="A6620" s="3">
        <v>174130.0</v>
      </c>
      <c r="B6620" s="3" t="s">
        <v>6647</v>
      </c>
      <c r="C6620" s="3" t="s">
        <v>183</v>
      </c>
      <c r="D6620" s="3">
        <v>2.0</v>
      </c>
      <c r="E6620" s="3">
        <v>0.0</v>
      </c>
      <c r="F6620" s="3">
        <v>0.1</v>
      </c>
      <c r="G6620" s="3">
        <v>0.34</v>
      </c>
    </row>
    <row r="6621">
      <c r="A6621" s="3">
        <v>174131.0</v>
      </c>
      <c r="B6621" s="3" t="s">
        <v>6648</v>
      </c>
      <c r="C6621" s="3" t="s">
        <v>183</v>
      </c>
      <c r="D6621" s="3">
        <v>15.0</v>
      </c>
      <c r="E6621" s="3">
        <v>0.0</v>
      </c>
      <c r="F6621" s="3">
        <v>0.0</v>
      </c>
      <c r="G6621" s="3">
        <v>3.75</v>
      </c>
    </row>
    <row r="6622">
      <c r="A6622" s="3">
        <v>174132.0</v>
      </c>
      <c r="B6622" s="3" t="s">
        <v>6649</v>
      </c>
      <c r="C6622" s="3" t="s">
        <v>183</v>
      </c>
      <c r="D6622" s="3">
        <v>54.0</v>
      </c>
      <c r="E6622" s="3">
        <v>0.0</v>
      </c>
      <c r="F6622" s="3">
        <v>0.21</v>
      </c>
      <c r="G6622" s="3">
        <v>13.16</v>
      </c>
    </row>
    <row r="6623">
      <c r="A6623" s="3">
        <v>174133.0</v>
      </c>
      <c r="B6623" s="3" t="s">
        <v>6650</v>
      </c>
      <c r="C6623" s="3" t="s">
        <v>183</v>
      </c>
      <c r="D6623" s="3">
        <v>351.0</v>
      </c>
      <c r="E6623" s="3">
        <v>0.2</v>
      </c>
      <c r="F6623" s="3">
        <v>11.6</v>
      </c>
      <c r="G6623" s="3">
        <v>76.0</v>
      </c>
    </row>
    <row r="6624">
      <c r="A6624" s="3">
        <v>174134.0</v>
      </c>
      <c r="B6624" s="3" t="s">
        <v>6651</v>
      </c>
      <c r="C6624" s="3" t="s">
        <v>183</v>
      </c>
      <c r="D6624" s="3">
        <v>3.0</v>
      </c>
      <c r="E6624" s="3">
        <v>0.0</v>
      </c>
      <c r="F6624" s="3">
        <v>0.09</v>
      </c>
      <c r="G6624" s="3">
        <v>0.75</v>
      </c>
    </row>
    <row r="6625">
      <c r="A6625" s="3">
        <v>174135.0</v>
      </c>
      <c r="B6625" s="3" t="s">
        <v>6652</v>
      </c>
      <c r="C6625" s="3" t="s">
        <v>183</v>
      </c>
      <c r="D6625" s="3">
        <v>460.0</v>
      </c>
      <c r="E6625" s="3">
        <v>15.87</v>
      </c>
      <c r="F6625" s="3">
        <v>5.29</v>
      </c>
      <c r="G6625" s="3">
        <v>74.04</v>
      </c>
    </row>
    <row r="6626">
      <c r="A6626" s="3">
        <v>174136.0</v>
      </c>
      <c r="B6626" s="3" t="s">
        <v>6653</v>
      </c>
      <c r="C6626" s="3" t="s">
        <v>183</v>
      </c>
      <c r="D6626" s="3">
        <v>26.0</v>
      </c>
      <c r="E6626" s="3">
        <v>0.0</v>
      </c>
      <c r="F6626" s="3">
        <v>0.73</v>
      </c>
      <c r="G6626" s="3">
        <v>5.77</v>
      </c>
    </row>
    <row r="6627">
      <c r="A6627" s="3">
        <v>174137.0</v>
      </c>
      <c r="B6627" s="3" t="s">
        <v>6654</v>
      </c>
      <c r="C6627" s="3" t="s">
        <v>183</v>
      </c>
      <c r="D6627" s="3">
        <v>49.0</v>
      </c>
      <c r="E6627" s="3">
        <v>0.01</v>
      </c>
      <c r="F6627" s="3">
        <v>0.22</v>
      </c>
      <c r="G6627" s="3">
        <v>11.98</v>
      </c>
    </row>
    <row r="6628">
      <c r="A6628" s="3">
        <v>174138.0</v>
      </c>
      <c r="B6628" s="3" t="s">
        <v>6655</v>
      </c>
      <c r="C6628" s="3" t="s">
        <v>183</v>
      </c>
      <c r="D6628" s="3">
        <v>360.0</v>
      </c>
      <c r="E6628" s="3">
        <v>2.52</v>
      </c>
      <c r="F6628" s="3">
        <v>6.01</v>
      </c>
      <c r="G6628" s="3">
        <v>78.42</v>
      </c>
    </row>
    <row r="6629">
      <c r="A6629" s="3">
        <v>174139.0</v>
      </c>
      <c r="B6629" s="3" t="s">
        <v>6656</v>
      </c>
      <c r="C6629" s="3" t="s">
        <v>183</v>
      </c>
      <c r="D6629" s="3">
        <v>6.0</v>
      </c>
      <c r="E6629" s="3">
        <v>0.04</v>
      </c>
      <c r="F6629" s="3">
        <v>0.1</v>
      </c>
      <c r="G6629" s="3">
        <v>1.3</v>
      </c>
    </row>
    <row r="6630">
      <c r="A6630" s="3">
        <v>174140.0</v>
      </c>
      <c r="B6630" s="3" t="s">
        <v>6657</v>
      </c>
      <c r="C6630" s="3" t="s">
        <v>183</v>
      </c>
      <c r="D6630" s="3">
        <v>63.0</v>
      </c>
      <c r="E6630" s="3">
        <v>0.11</v>
      </c>
      <c r="F6630" s="3">
        <v>0.0</v>
      </c>
      <c r="G6630" s="3">
        <v>15.85</v>
      </c>
    </row>
    <row r="6631">
      <c r="A6631" s="3">
        <v>174141.0</v>
      </c>
      <c r="B6631" s="3" t="s">
        <v>6658</v>
      </c>
      <c r="C6631" s="3" t="s">
        <v>183</v>
      </c>
      <c r="D6631" s="3">
        <v>68.0</v>
      </c>
      <c r="E6631" s="3">
        <v>0.0</v>
      </c>
      <c r="F6631" s="3">
        <v>0.0</v>
      </c>
      <c r="G6631" s="3">
        <v>10.07</v>
      </c>
    </row>
    <row r="6632">
      <c r="A6632" s="3">
        <v>174142.0</v>
      </c>
      <c r="B6632" s="3" t="s">
        <v>6659</v>
      </c>
      <c r="C6632" s="3" t="s">
        <v>183</v>
      </c>
      <c r="D6632" s="3">
        <v>64.0</v>
      </c>
      <c r="E6632" s="3">
        <v>0.0</v>
      </c>
      <c r="F6632" s="3">
        <v>0.2</v>
      </c>
      <c r="G6632" s="3">
        <v>16.2</v>
      </c>
    </row>
    <row r="6633">
      <c r="A6633" s="3">
        <v>174143.0</v>
      </c>
      <c r="B6633" s="3" t="s">
        <v>6660</v>
      </c>
      <c r="C6633" s="3" t="s">
        <v>183</v>
      </c>
      <c r="D6633" s="3">
        <v>378.0</v>
      </c>
      <c r="E6633" s="3">
        <v>0.0</v>
      </c>
      <c r="F6633" s="3">
        <v>0.0</v>
      </c>
      <c r="G6633" s="3">
        <v>94.45</v>
      </c>
    </row>
    <row r="6634">
      <c r="A6634" s="3">
        <v>174144.0</v>
      </c>
      <c r="B6634" s="3" t="s">
        <v>6661</v>
      </c>
      <c r="C6634" s="3" t="s">
        <v>183</v>
      </c>
      <c r="D6634" s="3">
        <v>0.0</v>
      </c>
      <c r="E6634" s="3">
        <v>0.0</v>
      </c>
      <c r="F6634" s="3">
        <v>0.0</v>
      </c>
      <c r="G6634" s="3">
        <v>0.0</v>
      </c>
    </row>
    <row r="6635">
      <c r="A6635" s="3">
        <v>174145.0</v>
      </c>
      <c r="B6635" s="3" t="s">
        <v>6662</v>
      </c>
      <c r="C6635" s="3" t="s">
        <v>183</v>
      </c>
      <c r="D6635" s="3">
        <v>46.0</v>
      </c>
      <c r="E6635" s="3">
        <v>0.0</v>
      </c>
      <c r="F6635" s="3">
        <v>0.25</v>
      </c>
      <c r="G6635" s="3">
        <v>0.77</v>
      </c>
    </row>
    <row r="6636">
      <c r="A6636" s="3">
        <v>174146.0</v>
      </c>
      <c r="B6636" s="3" t="s">
        <v>6663</v>
      </c>
      <c r="C6636" s="3" t="s">
        <v>183</v>
      </c>
      <c r="D6636" s="3">
        <v>56.0</v>
      </c>
      <c r="E6636" s="3">
        <v>0.0</v>
      </c>
      <c r="F6636" s="3">
        <v>0.0</v>
      </c>
      <c r="G6636" s="3">
        <v>5.92</v>
      </c>
    </row>
    <row r="6637">
      <c r="A6637" s="3">
        <v>174147.0</v>
      </c>
      <c r="B6637" s="3" t="s">
        <v>6664</v>
      </c>
      <c r="C6637" s="3" t="s">
        <v>183</v>
      </c>
      <c r="D6637" s="3">
        <v>46.0</v>
      </c>
      <c r="E6637" s="3">
        <v>0.0</v>
      </c>
      <c r="F6637" s="3">
        <v>0.19</v>
      </c>
      <c r="G6637" s="3">
        <v>12.76</v>
      </c>
    </row>
    <row r="6638">
      <c r="A6638" s="3">
        <v>174148.0</v>
      </c>
      <c r="B6638" s="3" t="s">
        <v>6665</v>
      </c>
      <c r="C6638" s="3" t="s">
        <v>183</v>
      </c>
      <c r="D6638" s="3">
        <v>19.0</v>
      </c>
      <c r="E6638" s="3">
        <v>0.01</v>
      </c>
      <c r="F6638" s="3">
        <v>0.22</v>
      </c>
      <c r="G6638" s="3">
        <v>4.72</v>
      </c>
    </row>
    <row r="6639">
      <c r="A6639" s="3">
        <v>174149.0</v>
      </c>
      <c r="B6639" s="3" t="s">
        <v>6666</v>
      </c>
      <c r="C6639" s="3" t="s">
        <v>183</v>
      </c>
      <c r="D6639" s="3">
        <v>45.0</v>
      </c>
      <c r="E6639" s="3">
        <v>0.01</v>
      </c>
      <c r="F6639" s="3">
        <v>0.13</v>
      </c>
      <c r="G6639" s="3">
        <v>11.88</v>
      </c>
    </row>
    <row r="6640">
      <c r="A6640" s="3">
        <v>174150.0</v>
      </c>
      <c r="B6640" s="3" t="s">
        <v>6667</v>
      </c>
      <c r="C6640" s="3" t="s">
        <v>183</v>
      </c>
      <c r="D6640" s="3">
        <v>23.0</v>
      </c>
      <c r="E6640" s="3">
        <v>0.02</v>
      </c>
      <c r="F6640" s="3">
        <v>0.36</v>
      </c>
      <c r="G6640" s="3">
        <v>5.78</v>
      </c>
    </row>
    <row r="6641">
      <c r="A6641" s="3">
        <v>174151.0</v>
      </c>
      <c r="B6641" s="3" t="s">
        <v>6668</v>
      </c>
      <c r="C6641" s="3" t="s">
        <v>183</v>
      </c>
      <c r="D6641" s="3">
        <v>47.0</v>
      </c>
      <c r="E6641" s="3">
        <v>0.0</v>
      </c>
      <c r="F6641" s="3">
        <v>0.0</v>
      </c>
      <c r="G6641" s="3">
        <v>11.94</v>
      </c>
    </row>
    <row r="6642">
      <c r="A6642" s="3">
        <v>174152.0</v>
      </c>
      <c r="B6642" s="3" t="s">
        <v>6669</v>
      </c>
      <c r="C6642" s="3" t="s">
        <v>183</v>
      </c>
      <c r="D6642" s="3">
        <v>162.0</v>
      </c>
      <c r="E6642" s="3">
        <v>0.0</v>
      </c>
      <c r="F6642" s="3">
        <v>0.2</v>
      </c>
      <c r="G6642" s="3">
        <v>41.4</v>
      </c>
    </row>
    <row r="6643">
      <c r="A6643" s="3">
        <v>174153.0</v>
      </c>
      <c r="B6643" s="3" t="s">
        <v>6670</v>
      </c>
      <c r="C6643" s="3" t="s">
        <v>183</v>
      </c>
      <c r="D6643" s="3">
        <v>46.0</v>
      </c>
      <c r="E6643" s="3">
        <v>0.0</v>
      </c>
      <c r="F6643" s="3">
        <v>0.06</v>
      </c>
      <c r="G6643" s="3">
        <v>11.66</v>
      </c>
    </row>
    <row r="6644">
      <c r="A6644" s="3">
        <v>174154.0</v>
      </c>
      <c r="B6644" s="3" t="s">
        <v>6671</v>
      </c>
      <c r="C6644" s="3" t="s">
        <v>183</v>
      </c>
      <c r="D6644" s="3">
        <v>465.0</v>
      </c>
      <c r="E6644" s="3">
        <v>13.33</v>
      </c>
      <c r="F6644" s="3">
        <v>0.0</v>
      </c>
      <c r="G6644" s="3">
        <v>86.28</v>
      </c>
    </row>
    <row r="6645">
      <c r="A6645" s="3">
        <v>174155.0</v>
      </c>
      <c r="B6645" s="3" t="s">
        <v>6672</v>
      </c>
      <c r="C6645" s="3" t="s">
        <v>183</v>
      </c>
      <c r="D6645" s="3">
        <v>1.0</v>
      </c>
      <c r="E6645" s="3">
        <v>0.0</v>
      </c>
      <c r="F6645" s="3">
        <v>0.0</v>
      </c>
      <c r="G6645" s="3">
        <v>0.3</v>
      </c>
    </row>
    <row r="6646">
      <c r="A6646" s="3">
        <v>174156.0</v>
      </c>
      <c r="B6646" s="3" t="s">
        <v>6673</v>
      </c>
      <c r="C6646" s="3" t="s">
        <v>183</v>
      </c>
      <c r="D6646" s="3">
        <v>1.0</v>
      </c>
      <c r="E6646" s="3">
        <v>0.0</v>
      </c>
      <c r="F6646" s="3">
        <v>0.0</v>
      </c>
      <c r="G6646" s="3">
        <v>0.2</v>
      </c>
    </row>
    <row r="6647">
      <c r="A6647" s="3">
        <v>174157.0</v>
      </c>
      <c r="B6647" s="3" t="s">
        <v>6674</v>
      </c>
      <c r="C6647" s="3" t="s">
        <v>183</v>
      </c>
      <c r="D6647" s="3">
        <v>6.0</v>
      </c>
      <c r="E6647" s="3">
        <v>0.0</v>
      </c>
      <c r="F6647" s="3">
        <v>0.5</v>
      </c>
      <c r="G6647" s="3">
        <v>1.1</v>
      </c>
    </row>
    <row r="6648">
      <c r="A6648" s="3">
        <v>174158.0</v>
      </c>
      <c r="B6648" s="3" t="s">
        <v>6675</v>
      </c>
      <c r="C6648" s="3" t="s">
        <v>183</v>
      </c>
      <c r="D6648" s="3">
        <v>0.0</v>
      </c>
      <c r="E6648" s="3">
        <v>0.0</v>
      </c>
      <c r="F6648" s="3">
        <v>0.0</v>
      </c>
      <c r="G6648" s="3">
        <v>0.0</v>
      </c>
    </row>
    <row r="6649">
      <c r="A6649" s="3">
        <v>174159.0</v>
      </c>
      <c r="B6649" s="3" t="s">
        <v>6676</v>
      </c>
      <c r="C6649" s="3" t="s">
        <v>183</v>
      </c>
      <c r="D6649" s="3">
        <v>400.0</v>
      </c>
      <c r="E6649" s="3">
        <v>2.27</v>
      </c>
      <c r="F6649" s="3">
        <v>4.55</v>
      </c>
      <c r="G6649" s="3">
        <v>90.28</v>
      </c>
    </row>
    <row r="6650">
      <c r="A6650" s="3">
        <v>174160.0</v>
      </c>
      <c r="B6650" s="3" t="s">
        <v>6677</v>
      </c>
      <c r="C6650" s="3" t="s">
        <v>183</v>
      </c>
      <c r="D6650" s="3">
        <v>89.0</v>
      </c>
      <c r="E6650" s="3">
        <v>3.17</v>
      </c>
      <c r="F6650" s="3">
        <v>3.27</v>
      </c>
      <c r="G6650" s="3">
        <v>11.87</v>
      </c>
    </row>
    <row r="6651">
      <c r="A6651" s="3">
        <v>174161.0</v>
      </c>
      <c r="B6651" s="3" t="s">
        <v>6678</v>
      </c>
      <c r="C6651" s="3" t="s">
        <v>183</v>
      </c>
      <c r="D6651" s="3">
        <v>22.0</v>
      </c>
      <c r="E6651" s="3">
        <v>0.0</v>
      </c>
      <c r="F6651" s="3">
        <v>0.0</v>
      </c>
      <c r="G6651" s="3">
        <v>5.49</v>
      </c>
    </row>
    <row r="6652">
      <c r="A6652" s="3">
        <v>174162.0</v>
      </c>
      <c r="B6652" s="3" t="s">
        <v>6679</v>
      </c>
      <c r="C6652" s="3" t="s">
        <v>183</v>
      </c>
      <c r="D6652" s="3">
        <v>4.0</v>
      </c>
      <c r="E6652" s="3">
        <v>0.0</v>
      </c>
      <c r="F6652" s="3">
        <v>0.0</v>
      </c>
      <c r="G6652" s="3">
        <v>1.23</v>
      </c>
    </row>
    <row r="6653">
      <c r="A6653" s="3">
        <v>174163.0</v>
      </c>
      <c r="B6653" s="3" t="s">
        <v>6680</v>
      </c>
      <c r="C6653" s="3" t="s">
        <v>183</v>
      </c>
      <c r="D6653" s="3">
        <v>4.0</v>
      </c>
      <c r="E6653" s="3">
        <v>0.0</v>
      </c>
      <c r="F6653" s="3">
        <v>0.0</v>
      </c>
      <c r="G6653" s="3">
        <v>1.26</v>
      </c>
    </row>
    <row r="6654">
      <c r="A6654" s="3">
        <v>174164.0</v>
      </c>
      <c r="B6654" s="3" t="s">
        <v>6681</v>
      </c>
      <c r="C6654" s="3" t="s">
        <v>183</v>
      </c>
      <c r="D6654" s="3">
        <v>4.0</v>
      </c>
      <c r="E6654" s="3">
        <v>0.0</v>
      </c>
      <c r="F6654" s="3">
        <v>0.0</v>
      </c>
      <c r="G6654" s="3">
        <v>1.26</v>
      </c>
    </row>
    <row r="6655">
      <c r="A6655" s="3">
        <v>174165.0</v>
      </c>
      <c r="B6655" s="3" t="s">
        <v>6682</v>
      </c>
      <c r="C6655" s="3" t="s">
        <v>183</v>
      </c>
      <c r="D6655" s="3">
        <v>33.0</v>
      </c>
      <c r="E6655" s="3">
        <v>0.0</v>
      </c>
      <c r="F6655" s="3">
        <v>0.0</v>
      </c>
      <c r="G6655" s="3">
        <v>8.23</v>
      </c>
    </row>
    <row r="6656">
      <c r="A6656" s="3">
        <v>174166.0</v>
      </c>
      <c r="B6656" s="3" t="s">
        <v>6683</v>
      </c>
      <c r="C6656" s="3" t="s">
        <v>183</v>
      </c>
      <c r="D6656" s="3">
        <v>29.0</v>
      </c>
      <c r="E6656" s="3">
        <v>0.0</v>
      </c>
      <c r="F6656" s="3">
        <v>0.0</v>
      </c>
      <c r="G6656" s="3">
        <v>7.41</v>
      </c>
    </row>
    <row r="6657">
      <c r="A6657" s="3">
        <v>174167.0</v>
      </c>
      <c r="B6657" s="3" t="s">
        <v>6684</v>
      </c>
      <c r="C6657" s="3" t="s">
        <v>183</v>
      </c>
      <c r="D6657" s="3">
        <v>33.0</v>
      </c>
      <c r="E6657" s="3">
        <v>0.0</v>
      </c>
      <c r="F6657" s="3">
        <v>0.0</v>
      </c>
      <c r="G6657" s="3">
        <v>7.82</v>
      </c>
    </row>
    <row r="6658">
      <c r="A6658" s="3">
        <v>174168.0</v>
      </c>
      <c r="B6658" s="3" t="s">
        <v>6685</v>
      </c>
      <c r="C6658" s="3" t="s">
        <v>183</v>
      </c>
      <c r="D6658" s="3">
        <v>29.0</v>
      </c>
      <c r="E6658" s="3">
        <v>0.0</v>
      </c>
      <c r="F6658" s="3">
        <v>0.0</v>
      </c>
      <c r="G6658" s="3">
        <v>7.41</v>
      </c>
    </row>
    <row r="6659">
      <c r="A6659" s="3">
        <v>174169.0</v>
      </c>
      <c r="B6659" s="3" t="s">
        <v>6686</v>
      </c>
      <c r="C6659" s="3" t="s">
        <v>183</v>
      </c>
      <c r="D6659" s="3">
        <v>49.0</v>
      </c>
      <c r="E6659" s="3">
        <v>0.0</v>
      </c>
      <c r="F6659" s="3">
        <v>0.41</v>
      </c>
      <c r="G6659" s="3">
        <v>11.38</v>
      </c>
    </row>
    <row r="6660">
      <c r="A6660" s="3">
        <v>174170.0</v>
      </c>
      <c r="B6660" s="3" t="s">
        <v>6687</v>
      </c>
      <c r="C6660" s="3" t="s">
        <v>183</v>
      </c>
      <c r="D6660" s="3">
        <v>45.0</v>
      </c>
      <c r="E6660" s="3">
        <v>0.0</v>
      </c>
      <c r="F6660" s="3">
        <v>0.0</v>
      </c>
      <c r="G6660" s="3">
        <v>10.98</v>
      </c>
    </row>
    <row r="6661">
      <c r="A6661" s="3">
        <v>174171.0</v>
      </c>
      <c r="B6661" s="3" t="s">
        <v>6688</v>
      </c>
      <c r="C6661" s="3" t="s">
        <v>183</v>
      </c>
      <c r="D6661" s="3">
        <v>46.0</v>
      </c>
      <c r="E6661" s="3">
        <v>0.08</v>
      </c>
      <c r="F6661" s="3">
        <v>0.25</v>
      </c>
      <c r="G6661" s="3">
        <v>12.08</v>
      </c>
    </row>
    <row r="6662">
      <c r="A6662" s="3">
        <v>174172.0</v>
      </c>
      <c r="B6662" s="3" t="s">
        <v>6689</v>
      </c>
      <c r="C6662" s="3" t="s">
        <v>183</v>
      </c>
      <c r="D6662" s="3">
        <v>46.0</v>
      </c>
      <c r="E6662" s="3">
        <v>0.08</v>
      </c>
      <c r="F6662" s="3">
        <v>0.25</v>
      </c>
      <c r="G6662" s="3">
        <v>12.08</v>
      </c>
    </row>
    <row r="6663">
      <c r="A6663" s="3">
        <v>174173.0</v>
      </c>
      <c r="B6663" s="3" t="s">
        <v>6690</v>
      </c>
      <c r="C6663" s="3" t="s">
        <v>183</v>
      </c>
      <c r="D6663" s="3">
        <v>4.0</v>
      </c>
      <c r="E6663" s="3">
        <v>0.0</v>
      </c>
      <c r="F6663" s="3">
        <v>0.0</v>
      </c>
      <c r="G6663" s="3">
        <v>1.1</v>
      </c>
    </row>
    <row r="6664">
      <c r="A6664" s="3">
        <v>174174.0</v>
      </c>
      <c r="B6664" s="3" t="s">
        <v>6691</v>
      </c>
      <c r="C6664" s="3" t="s">
        <v>183</v>
      </c>
      <c r="D6664" s="3">
        <v>77.0</v>
      </c>
      <c r="E6664" s="3">
        <v>1.83</v>
      </c>
      <c r="F6664" s="3">
        <v>3.05</v>
      </c>
      <c r="G6664" s="3">
        <v>12.08</v>
      </c>
    </row>
    <row r="6665">
      <c r="A6665" s="3">
        <v>174175.0</v>
      </c>
      <c r="B6665" s="3" t="s">
        <v>6692</v>
      </c>
      <c r="C6665" s="3" t="s">
        <v>183</v>
      </c>
      <c r="D6665" s="3">
        <v>46.0</v>
      </c>
      <c r="E6665" s="3">
        <v>0.01</v>
      </c>
      <c r="F6665" s="3">
        <v>0.3</v>
      </c>
      <c r="G6665" s="3">
        <v>11.15</v>
      </c>
    </row>
    <row r="6666">
      <c r="A6666" s="3">
        <v>174176.0</v>
      </c>
      <c r="B6666" s="3" t="s">
        <v>6693</v>
      </c>
      <c r="C6666" s="3" t="s">
        <v>183</v>
      </c>
      <c r="D6666" s="3">
        <v>39.0</v>
      </c>
      <c r="E6666" s="3">
        <v>0.07</v>
      </c>
      <c r="F6666" s="3">
        <v>0.0</v>
      </c>
      <c r="G6666" s="3">
        <v>10.0</v>
      </c>
    </row>
    <row r="6667">
      <c r="A6667" s="3">
        <v>174177.0</v>
      </c>
      <c r="B6667" s="3" t="s">
        <v>6694</v>
      </c>
      <c r="C6667" s="3" t="s">
        <v>183</v>
      </c>
      <c r="D6667" s="3">
        <v>1.0</v>
      </c>
      <c r="E6667" s="3">
        <v>0.08</v>
      </c>
      <c r="F6667" s="3">
        <v>0.25</v>
      </c>
      <c r="G6667" s="3">
        <v>0.7</v>
      </c>
    </row>
    <row r="6668">
      <c r="A6668" s="3">
        <v>174178.0</v>
      </c>
      <c r="B6668" s="3" t="s">
        <v>6695</v>
      </c>
      <c r="C6668" s="3" t="s">
        <v>183</v>
      </c>
      <c r="D6668" s="3">
        <v>8.0</v>
      </c>
      <c r="E6668" s="3">
        <v>0.01</v>
      </c>
      <c r="F6668" s="3">
        <v>0.05</v>
      </c>
      <c r="G6668" s="3">
        <v>1.94</v>
      </c>
    </row>
    <row r="6669">
      <c r="A6669" s="3">
        <v>174179.0</v>
      </c>
      <c r="B6669" s="3" t="s">
        <v>6696</v>
      </c>
      <c r="C6669" s="3" t="s">
        <v>183</v>
      </c>
      <c r="D6669" s="3">
        <v>64.0</v>
      </c>
      <c r="E6669" s="3">
        <v>0.0</v>
      </c>
      <c r="F6669" s="3">
        <v>0.0</v>
      </c>
      <c r="G6669" s="3">
        <v>16.03</v>
      </c>
    </row>
    <row r="6670">
      <c r="A6670" s="3">
        <v>174180.0</v>
      </c>
      <c r="B6670" s="3" t="s">
        <v>6697</v>
      </c>
      <c r="C6670" s="3" t="s">
        <v>183</v>
      </c>
      <c r="D6670" s="3">
        <v>27.0</v>
      </c>
      <c r="E6670" s="3">
        <v>0.0</v>
      </c>
      <c r="F6670" s="3">
        <v>0.0</v>
      </c>
      <c r="G6670" s="3">
        <v>6.67</v>
      </c>
    </row>
    <row r="6671">
      <c r="A6671" s="3">
        <v>174181.0</v>
      </c>
      <c r="B6671" s="3" t="s">
        <v>6698</v>
      </c>
      <c r="C6671" s="3" t="s">
        <v>183</v>
      </c>
      <c r="D6671" s="3">
        <v>392.0</v>
      </c>
      <c r="E6671" s="3">
        <v>10.71</v>
      </c>
      <c r="F6671" s="3">
        <v>53.57</v>
      </c>
      <c r="G6671" s="3">
        <v>20.38</v>
      </c>
    </row>
    <row r="6672">
      <c r="A6672" s="3">
        <v>174182.0</v>
      </c>
      <c r="B6672" s="3" t="s">
        <v>6699</v>
      </c>
      <c r="C6672" s="3" t="s">
        <v>252</v>
      </c>
      <c r="D6672" s="3">
        <v>131.0</v>
      </c>
      <c r="E6672" s="3">
        <v>4.84</v>
      </c>
      <c r="F6672" s="3">
        <v>20.35</v>
      </c>
      <c r="G6672" s="3">
        <v>0.0</v>
      </c>
    </row>
    <row r="6673">
      <c r="A6673" s="3">
        <v>174183.0</v>
      </c>
      <c r="B6673" s="3" t="s">
        <v>6700</v>
      </c>
      <c r="C6673" s="3" t="s">
        <v>252</v>
      </c>
      <c r="D6673" s="3">
        <v>210.0</v>
      </c>
      <c r="E6673" s="3">
        <v>9.71</v>
      </c>
      <c r="F6673" s="3">
        <v>28.89</v>
      </c>
      <c r="G6673" s="3">
        <v>0.0</v>
      </c>
    </row>
    <row r="6674">
      <c r="A6674" s="3">
        <v>174184.0</v>
      </c>
      <c r="B6674" s="3" t="s">
        <v>6701</v>
      </c>
      <c r="C6674" s="3" t="s">
        <v>252</v>
      </c>
      <c r="D6674" s="3">
        <v>114.0</v>
      </c>
      <c r="E6674" s="3">
        <v>3.69</v>
      </c>
      <c r="F6674" s="3">
        <v>18.86</v>
      </c>
      <c r="G6674" s="3">
        <v>0.0</v>
      </c>
    </row>
    <row r="6675">
      <c r="A6675" s="3">
        <v>174185.0</v>
      </c>
      <c r="B6675" s="3" t="s">
        <v>6702</v>
      </c>
      <c r="C6675" s="3" t="s">
        <v>252</v>
      </c>
      <c r="D6675" s="3">
        <v>162.0</v>
      </c>
      <c r="E6675" s="3">
        <v>7.17</v>
      </c>
      <c r="F6675" s="3">
        <v>22.86</v>
      </c>
      <c r="G6675" s="3">
        <v>0.0</v>
      </c>
    </row>
    <row r="6676">
      <c r="A6676" s="3">
        <v>174186.0</v>
      </c>
      <c r="B6676" s="3" t="s">
        <v>6703</v>
      </c>
      <c r="C6676" s="3" t="s">
        <v>252</v>
      </c>
      <c r="D6676" s="3">
        <v>95.0</v>
      </c>
      <c r="E6676" s="3">
        <v>2.82</v>
      </c>
      <c r="F6676" s="3">
        <v>16.38</v>
      </c>
      <c r="G6676" s="3">
        <v>0.0</v>
      </c>
    </row>
    <row r="6677">
      <c r="A6677" s="3">
        <v>174187.0</v>
      </c>
      <c r="B6677" s="3" t="s">
        <v>6704</v>
      </c>
      <c r="C6677" s="3" t="s">
        <v>252</v>
      </c>
      <c r="D6677" s="3">
        <v>229.0</v>
      </c>
      <c r="E6677" s="3">
        <v>13.33</v>
      </c>
      <c r="F6677" s="3">
        <v>18.09</v>
      </c>
      <c r="G6677" s="3">
        <v>8.04</v>
      </c>
    </row>
    <row r="6678">
      <c r="A6678" s="3">
        <v>174188.0</v>
      </c>
      <c r="B6678" s="3" t="s">
        <v>6705</v>
      </c>
      <c r="C6678" s="3" t="s">
        <v>252</v>
      </c>
      <c r="D6678" s="3">
        <v>264.0</v>
      </c>
      <c r="E6678" s="3">
        <v>17.9</v>
      </c>
      <c r="F6678" s="3">
        <v>24.6</v>
      </c>
      <c r="G6678" s="3">
        <v>4.0</v>
      </c>
    </row>
    <row r="6679">
      <c r="A6679" s="3">
        <v>174189.0</v>
      </c>
      <c r="B6679" s="3" t="s">
        <v>6706</v>
      </c>
      <c r="C6679" s="3" t="s">
        <v>252</v>
      </c>
      <c r="D6679" s="3">
        <v>105.0</v>
      </c>
      <c r="E6679" s="3">
        <v>0.86</v>
      </c>
      <c r="F6679" s="3">
        <v>22.76</v>
      </c>
      <c r="G6679" s="3">
        <v>0.0</v>
      </c>
    </row>
    <row r="6680">
      <c r="A6680" s="3">
        <v>174190.0</v>
      </c>
      <c r="B6680" s="3" t="s">
        <v>6707</v>
      </c>
      <c r="C6680" s="3" t="s">
        <v>252</v>
      </c>
      <c r="D6680" s="3">
        <v>290.0</v>
      </c>
      <c r="E6680" s="3">
        <v>2.37</v>
      </c>
      <c r="F6680" s="3">
        <v>62.82</v>
      </c>
      <c r="G6680" s="3">
        <v>0.0</v>
      </c>
    </row>
    <row r="6681">
      <c r="A6681" s="3">
        <v>174191.0</v>
      </c>
      <c r="B6681" s="3" t="s">
        <v>6708</v>
      </c>
      <c r="C6681" s="3" t="s">
        <v>252</v>
      </c>
      <c r="D6681" s="3">
        <v>69.0</v>
      </c>
      <c r="E6681" s="3">
        <v>0.41</v>
      </c>
      <c r="F6681" s="3">
        <v>15.27</v>
      </c>
      <c r="G6681" s="3">
        <v>0.0</v>
      </c>
    </row>
    <row r="6682">
      <c r="A6682" s="3">
        <v>174192.0</v>
      </c>
      <c r="B6682" s="3" t="s">
        <v>6709</v>
      </c>
      <c r="C6682" s="3" t="s">
        <v>252</v>
      </c>
      <c r="D6682" s="3">
        <v>104.0</v>
      </c>
      <c r="E6682" s="3">
        <v>3.17</v>
      </c>
      <c r="F6682" s="3">
        <v>17.78</v>
      </c>
      <c r="G6682" s="3">
        <v>0.0</v>
      </c>
    </row>
    <row r="6683">
      <c r="A6683" s="3">
        <v>174193.0</v>
      </c>
      <c r="B6683" s="3" t="s">
        <v>6710</v>
      </c>
      <c r="C6683" s="3" t="s">
        <v>252</v>
      </c>
      <c r="D6683" s="3">
        <v>184.0</v>
      </c>
      <c r="E6683" s="3">
        <v>11.66</v>
      </c>
      <c r="F6683" s="3">
        <v>18.44</v>
      </c>
      <c r="G6683" s="3">
        <v>0.0</v>
      </c>
    </row>
    <row r="6684">
      <c r="A6684" s="3">
        <v>174194.0</v>
      </c>
      <c r="B6684" s="3" t="s">
        <v>6711</v>
      </c>
      <c r="C6684" s="3" t="s">
        <v>252</v>
      </c>
      <c r="D6684" s="3">
        <v>236.0</v>
      </c>
      <c r="E6684" s="3">
        <v>14.95</v>
      </c>
      <c r="F6684" s="3">
        <v>23.65</v>
      </c>
      <c r="G6684" s="3">
        <v>0.0</v>
      </c>
    </row>
    <row r="6685">
      <c r="A6685" s="3">
        <v>174195.0</v>
      </c>
      <c r="B6685" s="3" t="s">
        <v>6712</v>
      </c>
      <c r="C6685" s="3" t="s">
        <v>252</v>
      </c>
      <c r="D6685" s="3">
        <v>277.0</v>
      </c>
      <c r="E6685" s="3">
        <v>16.23</v>
      </c>
      <c r="F6685" s="3">
        <v>11.01</v>
      </c>
      <c r="G6685" s="3">
        <v>21.66</v>
      </c>
    </row>
    <row r="6686">
      <c r="A6686" s="3">
        <v>174196.0</v>
      </c>
      <c r="B6686" s="3" t="s">
        <v>6713</v>
      </c>
      <c r="C6686" s="3" t="s">
        <v>252</v>
      </c>
      <c r="D6686" s="3">
        <v>70.0</v>
      </c>
      <c r="E6686" s="3">
        <v>1.93</v>
      </c>
      <c r="F6686" s="3">
        <v>12.41</v>
      </c>
      <c r="G6686" s="3">
        <v>0.0</v>
      </c>
    </row>
    <row r="6687">
      <c r="A6687" s="3">
        <v>174197.0</v>
      </c>
      <c r="B6687" s="3" t="s">
        <v>6714</v>
      </c>
      <c r="C6687" s="3" t="s">
        <v>252</v>
      </c>
      <c r="D6687" s="3">
        <v>86.0</v>
      </c>
      <c r="E6687" s="3">
        <v>2.37</v>
      </c>
      <c r="F6687" s="3">
        <v>15.24</v>
      </c>
      <c r="G6687" s="3">
        <v>0.0</v>
      </c>
    </row>
    <row r="6688">
      <c r="A6688" s="3">
        <v>174198.0</v>
      </c>
      <c r="B6688" s="3" t="s">
        <v>6715</v>
      </c>
      <c r="C6688" s="3" t="s">
        <v>252</v>
      </c>
      <c r="D6688" s="3">
        <v>90.0</v>
      </c>
      <c r="E6688" s="3">
        <v>0.55</v>
      </c>
      <c r="F6688" s="3">
        <v>19.99</v>
      </c>
      <c r="G6688" s="3">
        <v>0.0</v>
      </c>
    </row>
    <row r="6689">
      <c r="A6689" s="3">
        <v>174199.0</v>
      </c>
      <c r="B6689" s="3" t="s">
        <v>6716</v>
      </c>
      <c r="C6689" s="3" t="s">
        <v>252</v>
      </c>
      <c r="D6689" s="3">
        <v>116.0</v>
      </c>
      <c r="E6689" s="3">
        <v>0.96</v>
      </c>
      <c r="F6689" s="3">
        <v>25.23</v>
      </c>
      <c r="G6689" s="3">
        <v>0.0</v>
      </c>
    </row>
    <row r="6690">
      <c r="A6690" s="3">
        <v>174200.0</v>
      </c>
      <c r="B6690" s="3" t="s">
        <v>6717</v>
      </c>
      <c r="C6690" s="3" t="s">
        <v>252</v>
      </c>
      <c r="D6690" s="3">
        <v>91.0</v>
      </c>
      <c r="E6690" s="3">
        <v>1.33</v>
      </c>
      <c r="F6690" s="3">
        <v>18.56</v>
      </c>
      <c r="G6690" s="3">
        <v>0.0</v>
      </c>
    </row>
    <row r="6691">
      <c r="A6691" s="3">
        <v>174201.0</v>
      </c>
      <c r="B6691" s="3" t="s">
        <v>6718</v>
      </c>
      <c r="C6691" s="3" t="s">
        <v>252</v>
      </c>
      <c r="D6691" s="3">
        <v>111.0</v>
      </c>
      <c r="E6691" s="3">
        <v>1.61</v>
      </c>
      <c r="F6691" s="3">
        <v>22.54</v>
      </c>
      <c r="G6691" s="3">
        <v>0.0</v>
      </c>
    </row>
    <row r="6692">
      <c r="A6692" s="3">
        <v>174202.0</v>
      </c>
      <c r="B6692" s="3" t="s">
        <v>6719</v>
      </c>
      <c r="C6692" s="3" t="s">
        <v>252</v>
      </c>
      <c r="D6692" s="3">
        <v>97.0</v>
      </c>
      <c r="E6692" s="3">
        <v>1.54</v>
      </c>
      <c r="F6692" s="3">
        <v>19.35</v>
      </c>
      <c r="G6692" s="3">
        <v>0.0</v>
      </c>
    </row>
    <row r="6693">
      <c r="A6693" s="3">
        <v>174203.0</v>
      </c>
      <c r="B6693" s="3" t="s">
        <v>6720</v>
      </c>
      <c r="C6693" s="3" t="s">
        <v>252</v>
      </c>
      <c r="D6693" s="3">
        <v>95.0</v>
      </c>
      <c r="E6693" s="3">
        <v>0.46</v>
      </c>
      <c r="F6693" s="3">
        <v>7.62</v>
      </c>
      <c r="G6693" s="3">
        <v>15.0</v>
      </c>
    </row>
    <row r="6694">
      <c r="A6694" s="3">
        <v>174204.0</v>
      </c>
      <c r="B6694" s="3" t="s">
        <v>6721</v>
      </c>
      <c r="C6694" s="3" t="s">
        <v>252</v>
      </c>
      <c r="D6694" s="3">
        <v>87.0</v>
      </c>
      <c r="E6694" s="3">
        <v>1.08</v>
      </c>
      <c r="F6694" s="3">
        <v>18.06</v>
      </c>
      <c r="G6694" s="3">
        <v>0.04</v>
      </c>
    </row>
    <row r="6695">
      <c r="A6695" s="3">
        <v>174205.0</v>
      </c>
      <c r="B6695" s="3" t="s">
        <v>6722</v>
      </c>
      <c r="C6695" s="3" t="s">
        <v>252</v>
      </c>
      <c r="D6695" s="3">
        <v>83.0</v>
      </c>
      <c r="E6695" s="3">
        <v>0.74</v>
      </c>
      <c r="F6695" s="3">
        <v>17.88</v>
      </c>
      <c r="G6695" s="3">
        <v>0.0</v>
      </c>
    </row>
    <row r="6696">
      <c r="A6696" s="3">
        <v>174206.0</v>
      </c>
      <c r="B6696" s="3" t="s">
        <v>6723</v>
      </c>
      <c r="C6696" s="3" t="s">
        <v>252</v>
      </c>
      <c r="D6696" s="3">
        <v>77.0</v>
      </c>
      <c r="E6696" s="3">
        <v>0.95</v>
      </c>
      <c r="F6696" s="3">
        <v>15.97</v>
      </c>
      <c r="G6696" s="3">
        <v>0.0</v>
      </c>
    </row>
    <row r="6697">
      <c r="A6697" s="3">
        <v>174207.0</v>
      </c>
      <c r="B6697" s="3" t="s">
        <v>6724</v>
      </c>
      <c r="C6697" s="3" t="s">
        <v>252</v>
      </c>
      <c r="D6697" s="3">
        <v>82.0</v>
      </c>
      <c r="E6697" s="3">
        <v>1.2</v>
      </c>
      <c r="F6697" s="3">
        <v>16.77</v>
      </c>
      <c r="G6697" s="3">
        <v>0.0</v>
      </c>
    </row>
    <row r="6698">
      <c r="A6698" s="3">
        <v>174208.0</v>
      </c>
      <c r="B6698" s="3" t="s">
        <v>6725</v>
      </c>
      <c r="C6698" s="3" t="s">
        <v>252</v>
      </c>
      <c r="D6698" s="3">
        <v>77.0</v>
      </c>
      <c r="E6698" s="3">
        <v>0.75</v>
      </c>
      <c r="F6698" s="3">
        <v>16.52</v>
      </c>
      <c r="G6698" s="3">
        <v>0.0</v>
      </c>
    </row>
    <row r="6699">
      <c r="A6699" s="3">
        <v>174209.0</v>
      </c>
      <c r="B6699" s="3" t="s">
        <v>6726</v>
      </c>
      <c r="C6699" s="3" t="s">
        <v>252</v>
      </c>
      <c r="D6699" s="3">
        <v>89.0</v>
      </c>
      <c r="E6699" s="3">
        <v>0.86</v>
      </c>
      <c r="F6699" s="3">
        <v>19.0</v>
      </c>
      <c r="G6699" s="3">
        <v>0.0</v>
      </c>
    </row>
    <row r="6700">
      <c r="A6700" s="3">
        <v>174210.0</v>
      </c>
      <c r="B6700" s="3" t="s">
        <v>6727</v>
      </c>
      <c r="C6700" s="3" t="s">
        <v>252</v>
      </c>
      <c r="D6700" s="3">
        <v>71.0</v>
      </c>
      <c r="E6700" s="3">
        <v>1.01</v>
      </c>
      <c r="F6700" s="3">
        <v>13.61</v>
      </c>
      <c r="G6700" s="3">
        <v>0.91</v>
      </c>
    </row>
    <row r="6701">
      <c r="A6701" s="3">
        <v>174211.0</v>
      </c>
      <c r="B6701" s="3" t="s">
        <v>6728</v>
      </c>
      <c r="C6701" s="3" t="s">
        <v>252</v>
      </c>
      <c r="D6701" s="3">
        <v>112.0</v>
      </c>
      <c r="E6701" s="3">
        <v>1.51</v>
      </c>
      <c r="F6701" s="3">
        <v>20.6</v>
      </c>
      <c r="G6701" s="3">
        <v>2.43</v>
      </c>
    </row>
    <row r="6702">
      <c r="A6702" s="3">
        <v>174212.0</v>
      </c>
      <c r="B6702" s="3" t="s">
        <v>6729</v>
      </c>
      <c r="C6702" s="3" t="s">
        <v>252</v>
      </c>
      <c r="D6702" s="3">
        <v>105.0</v>
      </c>
      <c r="E6702" s="3">
        <v>0.76</v>
      </c>
      <c r="F6702" s="3">
        <v>17.1</v>
      </c>
      <c r="G6702" s="3">
        <v>6.01</v>
      </c>
    </row>
    <row r="6703">
      <c r="A6703" s="3">
        <v>174213.0</v>
      </c>
      <c r="B6703" s="3" t="s">
        <v>6730</v>
      </c>
      <c r="C6703" s="3" t="s">
        <v>252</v>
      </c>
      <c r="D6703" s="3">
        <v>189.0</v>
      </c>
      <c r="E6703" s="3">
        <v>6.78</v>
      </c>
      <c r="F6703" s="3">
        <v>19.63</v>
      </c>
      <c r="G6703" s="3">
        <v>11.05</v>
      </c>
    </row>
    <row r="6704">
      <c r="A6704" s="3">
        <v>174214.0</v>
      </c>
      <c r="B6704" s="3" t="s">
        <v>6731</v>
      </c>
      <c r="C6704" s="3" t="s">
        <v>252</v>
      </c>
      <c r="D6704" s="3">
        <v>86.0</v>
      </c>
      <c r="E6704" s="3">
        <v>0.96</v>
      </c>
      <c r="F6704" s="3">
        <v>14.67</v>
      </c>
      <c r="G6704" s="3">
        <v>3.57</v>
      </c>
    </row>
    <row r="6705">
      <c r="A6705" s="3">
        <v>174215.0</v>
      </c>
      <c r="B6705" s="3" t="s">
        <v>6732</v>
      </c>
      <c r="C6705" s="3" t="s">
        <v>252</v>
      </c>
      <c r="D6705" s="3">
        <v>79.0</v>
      </c>
      <c r="E6705" s="3">
        <v>0.7</v>
      </c>
      <c r="F6705" s="3">
        <v>16.24</v>
      </c>
      <c r="G6705" s="3">
        <v>0.82</v>
      </c>
    </row>
    <row r="6706">
      <c r="A6706" s="3">
        <v>174216.0</v>
      </c>
      <c r="B6706" s="3" t="s">
        <v>6733</v>
      </c>
      <c r="C6706" s="3" t="s">
        <v>252</v>
      </c>
      <c r="D6706" s="3">
        <v>86.0</v>
      </c>
      <c r="E6706" s="3">
        <v>2.24</v>
      </c>
      <c r="F6706" s="3">
        <v>11.9</v>
      </c>
      <c r="G6706" s="3">
        <v>3.69</v>
      </c>
    </row>
    <row r="6707">
      <c r="A6707" s="3">
        <v>174217.0</v>
      </c>
      <c r="B6707" s="3" t="s">
        <v>6734</v>
      </c>
      <c r="C6707" s="3" t="s">
        <v>252</v>
      </c>
      <c r="D6707" s="3">
        <v>172.0</v>
      </c>
      <c r="E6707" s="3">
        <v>4.48</v>
      </c>
      <c r="F6707" s="3">
        <v>23.8</v>
      </c>
      <c r="G6707" s="3">
        <v>7.39</v>
      </c>
    </row>
    <row r="6708">
      <c r="A6708" s="3">
        <v>174218.0</v>
      </c>
      <c r="B6708" s="3" t="s">
        <v>6735</v>
      </c>
      <c r="C6708" s="3" t="s">
        <v>252</v>
      </c>
      <c r="D6708" s="3">
        <v>82.0</v>
      </c>
      <c r="E6708" s="3">
        <v>1.04</v>
      </c>
      <c r="F6708" s="3">
        <v>14.91</v>
      </c>
      <c r="G6708" s="3">
        <v>2.2</v>
      </c>
    </row>
    <row r="6709">
      <c r="A6709" s="3">
        <v>174219.0</v>
      </c>
      <c r="B6709" s="3" t="s">
        <v>6736</v>
      </c>
      <c r="C6709" s="3" t="s">
        <v>252</v>
      </c>
      <c r="D6709" s="3">
        <v>81.0</v>
      </c>
      <c r="E6709" s="3">
        <v>2.3</v>
      </c>
      <c r="F6709" s="3">
        <v>9.45</v>
      </c>
      <c r="G6709" s="3">
        <v>4.95</v>
      </c>
    </row>
    <row r="6710">
      <c r="A6710" s="3">
        <v>174220.0</v>
      </c>
      <c r="B6710" s="3" t="s">
        <v>6737</v>
      </c>
      <c r="C6710" s="3" t="s">
        <v>252</v>
      </c>
      <c r="D6710" s="3">
        <v>69.0</v>
      </c>
      <c r="E6710" s="3">
        <v>0.49</v>
      </c>
      <c r="F6710" s="3">
        <v>12.06</v>
      </c>
      <c r="G6710" s="3">
        <v>3.18</v>
      </c>
    </row>
    <row r="6711">
      <c r="A6711" s="3">
        <v>174221.0</v>
      </c>
      <c r="B6711" s="3" t="s">
        <v>6738</v>
      </c>
      <c r="C6711" s="3" t="s">
        <v>252</v>
      </c>
      <c r="D6711" s="3">
        <v>216.0</v>
      </c>
      <c r="E6711" s="3">
        <v>10.94</v>
      </c>
      <c r="F6711" s="3">
        <v>18.07</v>
      </c>
      <c r="G6711" s="3">
        <v>10.13</v>
      </c>
    </row>
    <row r="6712">
      <c r="A6712" s="3">
        <v>174222.0</v>
      </c>
      <c r="B6712" s="3" t="s">
        <v>6739</v>
      </c>
      <c r="C6712" s="3" t="s">
        <v>252</v>
      </c>
      <c r="D6712" s="3">
        <v>99.0</v>
      </c>
      <c r="E6712" s="3">
        <v>0.41</v>
      </c>
      <c r="F6712" s="3">
        <v>12.77</v>
      </c>
      <c r="G6712" s="3">
        <v>10.62</v>
      </c>
    </row>
    <row r="6713">
      <c r="A6713" s="3">
        <v>174223.0</v>
      </c>
      <c r="B6713" s="3" t="s">
        <v>6740</v>
      </c>
      <c r="C6713" s="3" t="s">
        <v>252</v>
      </c>
      <c r="D6713" s="3">
        <v>92.0</v>
      </c>
      <c r="E6713" s="3">
        <v>1.38</v>
      </c>
      <c r="F6713" s="3">
        <v>15.58</v>
      </c>
      <c r="G6713" s="3">
        <v>3.08</v>
      </c>
    </row>
    <row r="6714">
      <c r="A6714" s="3">
        <v>174224.0</v>
      </c>
      <c r="B6714" s="3" t="s">
        <v>6741</v>
      </c>
      <c r="C6714" s="3" t="s">
        <v>252</v>
      </c>
      <c r="D6714" s="3">
        <v>141.0</v>
      </c>
      <c r="E6714" s="3">
        <v>5.5</v>
      </c>
      <c r="F6714" s="3">
        <v>21.43</v>
      </c>
      <c r="G6714" s="3">
        <v>0.0</v>
      </c>
    </row>
    <row r="6715">
      <c r="A6715" s="3">
        <v>174225.0</v>
      </c>
      <c r="B6715" s="3" t="s">
        <v>6742</v>
      </c>
      <c r="C6715" s="3" t="s">
        <v>252</v>
      </c>
      <c r="D6715" s="3">
        <v>139.0</v>
      </c>
      <c r="E6715" s="3">
        <v>6.05</v>
      </c>
      <c r="F6715" s="3">
        <v>19.78</v>
      </c>
      <c r="G6715" s="3">
        <v>0.0</v>
      </c>
    </row>
    <row r="6716">
      <c r="A6716" s="3">
        <v>174226.0</v>
      </c>
      <c r="B6716" s="3" t="s">
        <v>6743</v>
      </c>
      <c r="C6716" s="3" t="s">
        <v>252</v>
      </c>
      <c r="D6716" s="3">
        <v>153.0</v>
      </c>
      <c r="E6716" s="3">
        <v>7.31</v>
      </c>
      <c r="F6716" s="3">
        <v>20.47</v>
      </c>
      <c r="G6716" s="3">
        <v>0.0</v>
      </c>
    </row>
    <row r="6717">
      <c r="A6717" s="3">
        <v>174227.0</v>
      </c>
      <c r="B6717" s="3" t="s">
        <v>6744</v>
      </c>
      <c r="C6717" s="3" t="s">
        <v>252</v>
      </c>
      <c r="D6717" s="3">
        <v>198.0</v>
      </c>
      <c r="E6717" s="3">
        <v>8.21</v>
      </c>
      <c r="F6717" s="3">
        <v>29.13</v>
      </c>
      <c r="G6717" s="3">
        <v>0.0</v>
      </c>
    </row>
    <row r="6718">
      <c r="A6718" s="3">
        <v>174228.0</v>
      </c>
      <c r="B6718" s="3" t="s">
        <v>6745</v>
      </c>
      <c r="C6718" s="3" t="s">
        <v>252</v>
      </c>
      <c r="D6718" s="3">
        <v>124.0</v>
      </c>
      <c r="E6718" s="3">
        <v>2.99</v>
      </c>
      <c r="F6718" s="3">
        <v>22.73</v>
      </c>
      <c r="G6718" s="3">
        <v>0.0</v>
      </c>
    </row>
    <row r="6719">
      <c r="A6719" s="3">
        <v>174229.0</v>
      </c>
      <c r="B6719" s="3" t="s">
        <v>6746</v>
      </c>
      <c r="C6719" s="3" t="s">
        <v>252</v>
      </c>
      <c r="D6719" s="3">
        <v>159.0</v>
      </c>
      <c r="E6719" s="3">
        <v>5.44</v>
      </c>
      <c r="F6719" s="3">
        <v>25.69</v>
      </c>
      <c r="G6719" s="3">
        <v>0.0</v>
      </c>
    </row>
    <row r="6720">
      <c r="A6720" s="3">
        <v>174230.0</v>
      </c>
      <c r="B6720" s="3" t="s">
        <v>6747</v>
      </c>
      <c r="C6720" s="3" t="s">
        <v>252</v>
      </c>
      <c r="D6720" s="3">
        <v>115.0</v>
      </c>
      <c r="E6720" s="3">
        <v>1.04</v>
      </c>
      <c r="F6720" s="3">
        <v>24.76</v>
      </c>
      <c r="G6720" s="3">
        <v>0.0</v>
      </c>
    </row>
    <row r="6721">
      <c r="A6721" s="3">
        <v>174231.0</v>
      </c>
      <c r="B6721" s="3" t="s">
        <v>6748</v>
      </c>
      <c r="C6721" s="3" t="s">
        <v>252</v>
      </c>
      <c r="D6721" s="3">
        <v>187.0</v>
      </c>
      <c r="E6721" s="3">
        <v>10.28</v>
      </c>
      <c r="F6721" s="3">
        <v>22.15</v>
      </c>
      <c r="G6721" s="3">
        <v>0.0</v>
      </c>
    </row>
    <row r="6722">
      <c r="A6722" s="3">
        <v>174232.0</v>
      </c>
      <c r="B6722" s="3" t="s">
        <v>6749</v>
      </c>
      <c r="C6722" s="3" t="s">
        <v>252</v>
      </c>
      <c r="D6722" s="3">
        <v>239.0</v>
      </c>
      <c r="E6722" s="3">
        <v>17.74</v>
      </c>
      <c r="F6722" s="3">
        <v>18.42</v>
      </c>
      <c r="G6722" s="3">
        <v>0.0</v>
      </c>
    </row>
    <row r="6723">
      <c r="A6723" s="3">
        <v>174233.0</v>
      </c>
      <c r="B6723" s="3" t="s">
        <v>6750</v>
      </c>
      <c r="C6723" s="3" t="s">
        <v>252</v>
      </c>
      <c r="D6723" s="3">
        <v>250.0</v>
      </c>
      <c r="E6723" s="3">
        <v>17.79</v>
      </c>
      <c r="F6723" s="3">
        <v>21.01</v>
      </c>
      <c r="G6723" s="3">
        <v>0.0</v>
      </c>
    </row>
    <row r="6724">
      <c r="A6724" s="3">
        <v>174234.0</v>
      </c>
      <c r="B6724" s="3" t="s">
        <v>6751</v>
      </c>
      <c r="C6724" s="3" t="s">
        <v>252</v>
      </c>
      <c r="D6724" s="3">
        <v>111.0</v>
      </c>
      <c r="E6724" s="3">
        <v>0.82</v>
      </c>
      <c r="F6724" s="3">
        <v>24.35</v>
      </c>
      <c r="G6724" s="3">
        <v>0.0</v>
      </c>
    </row>
    <row r="6725">
      <c r="A6725" s="3">
        <v>174235.0</v>
      </c>
      <c r="B6725" s="3" t="s">
        <v>6752</v>
      </c>
      <c r="C6725" s="3" t="s">
        <v>252</v>
      </c>
      <c r="D6725" s="3">
        <v>109.0</v>
      </c>
      <c r="E6725" s="3">
        <v>1.36</v>
      </c>
      <c r="F6725" s="3">
        <v>22.64</v>
      </c>
      <c r="G6725" s="3">
        <v>0.0</v>
      </c>
    </row>
    <row r="6726">
      <c r="A6726" s="3">
        <v>174236.0</v>
      </c>
      <c r="B6726" s="3" t="s">
        <v>6753</v>
      </c>
      <c r="C6726" s="3" t="s">
        <v>252</v>
      </c>
      <c r="D6726" s="3">
        <v>134.0</v>
      </c>
      <c r="E6726" s="3">
        <v>2.56</v>
      </c>
      <c r="F6726" s="3">
        <v>26.0</v>
      </c>
      <c r="G6726" s="3">
        <v>0.0</v>
      </c>
    </row>
    <row r="6727">
      <c r="A6727" s="3">
        <v>174237.0</v>
      </c>
      <c r="B6727" s="3" t="s">
        <v>6754</v>
      </c>
      <c r="C6727" s="3" t="s">
        <v>252</v>
      </c>
      <c r="D6727" s="3">
        <v>118.0</v>
      </c>
      <c r="E6727" s="3">
        <v>1.26</v>
      </c>
      <c r="F6727" s="3">
        <v>24.92</v>
      </c>
      <c r="G6727" s="3">
        <v>0.0</v>
      </c>
    </row>
    <row r="6728">
      <c r="A6728" s="3">
        <v>174238.0</v>
      </c>
      <c r="B6728" s="3" t="s">
        <v>6755</v>
      </c>
      <c r="C6728" s="3" t="s">
        <v>252</v>
      </c>
      <c r="D6728" s="3">
        <v>102.0</v>
      </c>
      <c r="E6728" s="3">
        <v>1.17</v>
      </c>
      <c r="F6728" s="3">
        <v>21.33</v>
      </c>
      <c r="G6728" s="3">
        <v>0.0</v>
      </c>
    </row>
    <row r="6729">
      <c r="A6729" s="3">
        <v>174239.0</v>
      </c>
      <c r="B6729" s="3" t="s">
        <v>6756</v>
      </c>
      <c r="C6729" s="3" t="s">
        <v>252</v>
      </c>
      <c r="D6729" s="3">
        <v>204.0</v>
      </c>
      <c r="E6729" s="3">
        <v>8.23</v>
      </c>
      <c r="F6729" s="3">
        <v>28.62</v>
      </c>
      <c r="G6729" s="3">
        <v>1.92</v>
      </c>
    </row>
    <row r="6730">
      <c r="A6730" s="3">
        <v>174240.0</v>
      </c>
      <c r="B6730" s="3" t="s">
        <v>6757</v>
      </c>
      <c r="C6730" s="3" t="s">
        <v>252</v>
      </c>
      <c r="D6730" s="3">
        <v>250.0</v>
      </c>
      <c r="E6730" s="3">
        <v>19.62</v>
      </c>
      <c r="F6730" s="3">
        <v>17.19</v>
      </c>
      <c r="G6730" s="3">
        <v>0.0</v>
      </c>
    </row>
    <row r="6731">
      <c r="A6731" s="3">
        <v>174241.0</v>
      </c>
      <c r="B6731" s="3" t="s">
        <v>6758</v>
      </c>
      <c r="C6731" s="3" t="s">
        <v>252</v>
      </c>
      <c r="D6731" s="3">
        <v>135.0</v>
      </c>
      <c r="E6731" s="3">
        <v>3.5</v>
      </c>
      <c r="F6731" s="3">
        <v>24.21</v>
      </c>
      <c r="G6731" s="3">
        <v>0.0</v>
      </c>
    </row>
    <row r="6732">
      <c r="A6732" s="3">
        <v>174242.0</v>
      </c>
      <c r="B6732" s="3" t="s">
        <v>6759</v>
      </c>
      <c r="C6732" s="3" t="s">
        <v>252</v>
      </c>
      <c r="D6732" s="3">
        <v>133.0</v>
      </c>
      <c r="E6732" s="3">
        <v>4.63</v>
      </c>
      <c r="F6732" s="3">
        <v>21.46</v>
      </c>
      <c r="G6732" s="3">
        <v>0.0</v>
      </c>
    </row>
    <row r="6733">
      <c r="A6733" s="3">
        <v>174243.0</v>
      </c>
      <c r="B6733" s="3" t="s">
        <v>6760</v>
      </c>
      <c r="C6733" s="3" t="s">
        <v>252</v>
      </c>
      <c r="D6733" s="3">
        <v>252.0</v>
      </c>
      <c r="E6733" s="3">
        <v>17.65</v>
      </c>
      <c r="F6733" s="3">
        <v>21.71</v>
      </c>
      <c r="G6733" s="3">
        <v>0.0</v>
      </c>
    </row>
    <row r="6734">
      <c r="A6734" s="3">
        <v>174244.0</v>
      </c>
      <c r="B6734" s="3" t="s">
        <v>6761</v>
      </c>
      <c r="C6734" s="3" t="s">
        <v>252</v>
      </c>
      <c r="D6734" s="3">
        <v>158.0</v>
      </c>
      <c r="E6734" s="3">
        <v>6.28</v>
      </c>
      <c r="F6734" s="3">
        <v>23.73</v>
      </c>
      <c r="G6734" s="3">
        <v>0.0</v>
      </c>
    </row>
    <row r="6735">
      <c r="A6735" s="3">
        <v>174245.0</v>
      </c>
      <c r="B6735" s="3" t="s">
        <v>6762</v>
      </c>
      <c r="C6735" s="3" t="s">
        <v>252</v>
      </c>
      <c r="D6735" s="3">
        <v>122.0</v>
      </c>
      <c r="E6735" s="3">
        <v>3.78</v>
      </c>
      <c r="F6735" s="3">
        <v>20.58</v>
      </c>
      <c r="G6735" s="3">
        <v>0.0</v>
      </c>
    </row>
    <row r="6736">
      <c r="A6736" s="3">
        <v>174246.0</v>
      </c>
      <c r="B6736" s="3" t="s">
        <v>6763</v>
      </c>
      <c r="C6736" s="3" t="s">
        <v>252</v>
      </c>
      <c r="D6736" s="3">
        <v>172.0</v>
      </c>
      <c r="E6736" s="3">
        <v>7.51</v>
      </c>
      <c r="F6736" s="3">
        <v>24.47</v>
      </c>
      <c r="G6736" s="3">
        <v>0.0</v>
      </c>
    </row>
    <row r="6737">
      <c r="A6737" s="3">
        <v>174247.0</v>
      </c>
      <c r="B6737" s="3" t="s">
        <v>6764</v>
      </c>
      <c r="C6737" s="3" t="s">
        <v>252</v>
      </c>
      <c r="D6737" s="3">
        <v>123.0</v>
      </c>
      <c r="E6737" s="3">
        <v>3.06</v>
      </c>
      <c r="F6737" s="3">
        <v>22.44</v>
      </c>
      <c r="G6737" s="3">
        <v>0.0</v>
      </c>
    </row>
    <row r="6738">
      <c r="A6738" s="3">
        <v>174248.0</v>
      </c>
      <c r="B6738" s="3" t="s">
        <v>6765</v>
      </c>
      <c r="C6738" s="3" t="s">
        <v>252</v>
      </c>
      <c r="D6738" s="3">
        <v>187.0</v>
      </c>
      <c r="E6738" s="3">
        <v>6.72</v>
      </c>
      <c r="F6738" s="3">
        <v>29.67</v>
      </c>
      <c r="G6738" s="3">
        <v>0.0</v>
      </c>
    </row>
    <row r="6739">
      <c r="A6739" s="3">
        <v>174249.0</v>
      </c>
      <c r="B6739" s="3" t="s">
        <v>6766</v>
      </c>
      <c r="C6739" s="3" t="s">
        <v>252</v>
      </c>
      <c r="D6739" s="3">
        <v>164.0</v>
      </c>
      <c r="E6739" s="3">
        <v>2.08</v>
      </c>
      <c r="F6739" s="3">
        <v>29.82</v>
      </c>
      <c r="G6739" s="3">
        <v>4.4</v>
      </c>
    </row>
    <row r="6740">
      <c r="A6740" s="3">
        <v>174250.0</v>
      </c>
      <c r="B6740" s="3" t="s">
        <v>6767</v>
      </c>
      <c r="C6740" s="3" t="s">
        <v>252</v>
      </c>
      <c r="D6740" s="3">
        <v>163.0</v>
      </c>
      <c r="E6740" s="3">
        <v>4.6</v>
      </c>
      <c r="F6740" s="3">
        <v>18.9</v>
      </c>
      <c r="G6740" s="3">
        <v>9.9</v>
      </c>
    </row>
    <row r="6741">
      <c r="A6741" s="3">
        <v>174251.0</v>
      </c>
      <c r="B6741" s="3" t="s">
        <v>6768</v>
      </c>
      <c r="C6741" s="3" t="s">
        <v>252</v>
      </c>
      <c r="D6741" s="3">
        <v>105.0</v>
      </c>
      <c r="E6741" s="3">
        <v>0.9</v>
      </c>
      <c r="F6741" s="3">
        <v>22.64</v>
      </c>
      <c r="G6741" s="3">
        <v>0.0</v>
      </c>
    </row>
    <row r="6742">
      <c r="A6742" s="3">
        <v>174252.0</v>
      </c>
      <c r="B6742" s="3" t="s">
        <v>6769</v>
      </c>
      <c r="C6742" s="3" t="s">
        <v>228</v>
      </c>
      <c r="D6742" s="3">
        <v>338.0</v>
      </c>
      <c r="E6742" s="3">
        <v>0.69</v>
      </c>
      <c r="F6742" s="3">
        <v>21.46</v>
      </c>
      <c r="G6742" s="3">
        <v>63.38</v>
      </c>
    </row>
    <row r="6743">
      <c r="A6743" s="3">
        <v>174253.0</v>
      </c>
      <c r="B6743" s="3" t="s">
        <v>6770</v>
      </c>
      <c r="C6743" s="3" t="s">
        <v>228</v>
      </c>
      <c r="D6743" s="3">
        <v>115.0</v>
      </c>
      <c r="E6743" s="3">
        <v>0.38</v>
      </c>
      <c r="F6743" s="3">
        <v>7.8</v>
      </c>
      <c r="G6743" s="3">
        <v>20.88</v>
      </c>
    </row>
    <row r="6744">
      <c r="A6744" s="3">
        <v>174254.0</v>
      </c>
      <c r="B6744" s="3" t="s">
        <v>6771</v>
      </c>
      <c r="C6744" s="3" t="s">
        <v>228</v>
      </c>
      <c r="D6744" s="3">
        <v>79.0</v>
      </c>
      <c r="E6744" s="3">
        <v>0.17</v>
      </c>
      <c r="F6744" s="3">
        <v>4.93</v>
      </c>
      <c r="G6744" s="3">
        <v>14.91</v>
      </c>
    </row>
    <row r="6745">
      <c r="A6745" s="3">
        <v>174255.0</v>
      </c>
      <c r="B6745" s="3" t="s">
        <v>6772</v>
      </c>
      <c r="C6745" s="3" t="s">
        <v>228</v>
      </c>
      <c r="D6745" s="3">
        <v>335.0</v>
      </c>
      <c r="E6745" s="3">
        <v>0.93</v>
      </c>
      <c r="F6745" s="3">
        <v>20.62</v>
      </c>
      <c r="G6745" s="3">
        <v>62.83</v>
      </c>
    </row>
    <row r="6746">
      <c r="A6746" s="3">
        <v>174256.0</v>
      </c>
      <c r="B6746" s="3" t="s">
        <v>6773</v>
      </c>
      <c r="C6746" s="3" t="s">
        <v>228</v>
      </c>
      <c r="D6746" s="3">
        <v>347.0</v>
      </c>
      <c r="E6746" s="3">
        <v>1.15</v>
      </c>
      <c r="F6746" s="3">
        <v>23.86</v>
      </c>
      <c r="G6746" s="3">
        <v>62.62</v>
      </c>
    </row>
    <row r="6747">
      <c r="A6747" s="3">
        <v>174257.0</v>
      </c>
      <c r="B6747" s="3" t="s">
        <v>6774</v>
      </c>
      <c r="C6747" s="3" t="s">
        <v>228</v>
      </c>
      <c r="D6747" s="3">
        <v>105.0</v>
      </c>
      <c r="E6747" s="3">
        <v>0.38</v>
      </c>
      <c r="F6747" s="3">
        <v>7.02</v>
      </c>
      <c r="G6747" s="3">
        <v>19.15</v>
      </c>
    </row>
    <row r="6748">
      <c r="A6748" s="3">
        <v>174258.0</v>
      </c>
      <c r="B6748" s="3" t="s">
        <v>6775</v>
      </c>
      <c r="C6748" s="3" t="s">
        <v>228</v>
      </c>
      <c r="D6748" s="3">
        <v>351.0</v>
      </c>
      <c r="E6748" s="3">
        <v>0.06</v>
      </c>
      <c r="F6748" s="3">
        <v>0.16</v>
      </c>
      <c r="G6748" s="3">
        <v>86.09</v>
      </c>
    </row>
    <row r="6749">
      <c r="A6749" s="3">
        <v>174259.0</v>
      </c>
      <c r="B6749" s="3" t="s">
        <v>6776</v>
      </c>
      <c r="C6749" s="3" t="s">
        <v>228</v>
      </c>
      <c r="D6749" s="3">
        <v>341.0</v>
      </c>
      <c r="E6749" s="3">
        <v>1.64</v>
      </c>
      <c r="F6749" s="3">
        <v>25.21</v>
      </c>
      <c r="G6749" s="3">
        <v>58.99</v>
      </c>
    </row>
    <row r="6750">
      <c r="A6750" s="3">
        <v>174260.0</v>
      </c>
      <c r="B6750" s="3" t="s">
        <v>6777</v>
      </c>
      <c r="C6750" s="3" t="s">
        <v>228</v>
      </c>
      <c r="D6750" s="3">
        <v>318.0</v>
      </c>
      <c r="E6750" s="3">
        <v>22.01</v>
      </c>
      <c r="F6750" s="3">
        <v>13.5</v>
      </c>
      <c r="G6750" s="3">
        <v>21.26</v>
      </c>
    </row>
    <row r="6751">
      <c r="A6751" s="3">
        <v>174261.0</v>
      </c>
      <c r="B6751" s="3" t="s">
        <v>6778</v>
      </c>
      <c r="C6751" s="3" t="s">
        <v>228</v>
      </c>
      <c r="D6751" s="3">
        <v>599.0</v>
      </c>
      <c r="E6751" s="3">
        <v>52.5</v>
      </c>
      <c r="F6751" s="3">
        <v>28.03</v>
      </c>
      <c r="G6751" s="3">
        <v>15.26</v>
      </c>
    </row>
    <row r="6752">
      <c r="A6752" s="3">
        <v>174262.0</v>
      </c>
      <c r="B6752" s="3" t="s">
        <v>6779</v>
      </c>
      <c r="C6752" s="3" t="s">
        <v>228</v>
      </c>
      <c r="D6752" s="3">
        <v>587.0</v>
      </c>
      <c r="E6752" s="3">
        <v>49.66</v>
      </c>
      <c r="F6752" s="3">
        <v>24.35</v>
      </c>
      <c r="G6752" s="3">
        <v>21.26</v>
      </c>
    </row>
    <row r="6753">
      <c r="A6753" s="3">
        <v>174263.0</v>
      </c>
      <c r="B6753" s="3" t="s">
        <v>6780</v>
      </c>
      <c r="C6753" s="3" t="s">
        <v>228</v>
      </c>
      <c r="D6753" s="3">
        <v>570.0</v>
      </c>
      <c r="E6753" s="3">
        <v>49.6</v>
      </c>
      <c r="F6753" s="3">
        <v>26.15</v>
      </c>
      <c r="G6753" s="3">
        <v>15.83</v>
      </c>
    </row>
    <row r="6754">
      <c r="A6754" s="3">
        <v>174264.0</v>
      </c>
      <c r="B6754" s="3" t="s">
        <v>6781</v>
      </c>
      <c r="C6754" s="3" t="s">
        <v>228</v>
      </c>
      <c r="D6754" s="3">
        <v>578.0</v>
      </c>
      <c r="E6754" s="3">
        <v>48.62</v>
      </c>
      <c r="F6754" s="3">
        <v>25.87</v>
      </c>
      <c r="G6754" s="3">
        <v>19.86</v>
      </c>
    </row>
    <row r="6755">
      <c r="A6755" s="3">
        <v>174265.0</v>
      </c>
      <c r="B6755" s="3" t="s">
        <v>6782</v>
      </c>
      <c r="C6755" s="3" t="s">
        <v>228</v>
      </c>
      <c r="D6755" s="3">
        <v>589.0</v>
      </c>
      <c r="E6755" s="3">
        <v>49.94</v>
      </c>
      <c r="F6755" s="3">
        <v>24.06</v>
      </c>
      <c r="G6755" s="3">
        <v>21.57</v>
      </c>
    </row>
    <row r="6756">
      <c r="A6756" s="3">
        <v>174266.0</v>
      </c>
      <c r="B6756" s="3" t="s">
        <v>6783</v>
      </c>
      <c r="C6756" s="3" t="s">
        <v>228</v>
      </c>
      <c r="D6756" s="3">
        <v>598.0</v>
      </c>
      <c r="E6756" s="3">
        <v>51.36</v>
      </c>
      <c r="F6756" s="3">
        <v>22.21</v>
      </c>
      <c r="G6756" s="3">
        <v>22.31</v>
      </c>
    </row>
    <row r="6757">
      <c r="A6757" s="3">
        <v>174267.0</v>
      </c>
      <c r="B6757" s="3" t="s">
        <v>6784</v>
      </c>
      <c r="C6757" s="3" t="s">
        <v>228</v>
      </c>
      <c r="D6757" s="3">
        <v>327.0</v>
      </c>
      <c r="E6757" s="3">
        <v>0.55</v>
      </c>
      <c r="F6757" s="3">
        <v>52.2</v>
      </c>
      <c r="G6757" s="3">
        <v>34.7</v>
      </c>
    </row>
    <row r="6758">
      <c r="A6758" s="3">
        <v>174268.0</v>
      </c>
      <c r="B6758" s="3" t="s">
        <v>6785</v>
      </c>
      <c r="C6758" s="3" t="s">
        <v>228</v>
      </c>
      <c r="D6758" s="3">
        <v>311.0</v>
      </c>
      <c r="E6758" s="3">
        <v>2.97</v>
      </c>
      <c r="F6758" s="3">
        <v>41.71</v>
      </c>
      <c r="G6758" s="3">
        <v>34.71</v>
      </c>
    </row>
    <row r="6759">
      <c r="A6759" s="3">
        <v>174269.0</v>
      </c>
      <c r="B6759" s="3" t="s">
        <v>6786</v>
      </c>
      <c r="C6759" s="3" t="s">
        <v>228</v>
      </c>
      <c r="D6759" s="3">
        <v>255.0</v>
      </c>
      <c r="E6759" s="3">
        <v>18.16</v>
      </c>
      <c r="F6759" s="3">
        <v>20.28</v>
      </c>
      <c r="G6759" s="3">
        <v>8.09</v>
      </c>
    </row>
    <row r="6760">
      <c r="A6760" s="3">
        <v>174270.0</v>
      </c>
      <c r="B6760" s="3" t="s">
        <v>6787</v>
      </c>
      <c r="C6760" s="3" t="s">
        <v>228</v>
      </c>
      <c r="D6760" s="3">
        <v>446.0</v>
      </c>
      <c r="E6760" s="3">
        <v>19.94</v>
      </c>
      <c r="F6760" s="3">
        <v>36.49</v>
      </c>
      <c r="G6760" s="3">
        <v>30.16</v>
      </c>
    </row>
    <row r="6761">
      <c r="A6761" s="3">
        <v>174271.0</v>
      </c>
      <c r="B6761" s="3" t="s">
        <v>6788</v>
      </c>
      <c r="C6761" s="3" t="s">
        <v>228</v>
      </c>
      <c r="D6761" s="3">
        <v>172.0</v>
      </c>
      <c r="E6761" s="3">
        <v>8.97</v>
      </c>
      <c r="F6761" s="3">
        <v>18.21</v>
      </c>
      <c r="G6761" s="3">
        <v>8.36</v>
      </c>
    </row>
    <row r="6762">
      <c r="A6762" s="3">
        <v>174272.0</v>
      </c>
      <c r="B6762" s="3" t="s">
        <v>6789</v>
      </c>
      <c r="C6762" s="3" t="s">
        <v>228</v>
      </c>
      <c r="D6762" s="3">
        <v>192.0</v>
      </c>
      <c r="E6762" s="3">
        <v>10.8</v>
      </c>
      <c r="F6762" s="3">
        <v>20.29</v>
      </c>
      <c r="G6762" s="3">
        <v>7.64</v>
      </c>
    </row>
    <row r="6763">
      <c r="A6763" s="3">
        <v>174273.0</v>
      </c>
      <c r="B6763" s="3" t="s">
        <v>6790</v>
      </c>
      <c r="C6763" s="3" t="s">
        <v>228</v>
      </c>
      <c r="D6763" s="3">
        <v>434.0</v>
      </c>
      <c r="E6763" s="3">
        <v>20.65</v>
      </c>
      <c r="F6763" s="3">
        <v>37.81</v>
      </c>
      <c r="G6763" s="3">
        <v>31.92</v>
      </c>
    </row>
    <row r="6764">
      <c r="A6764" s="3">
        <v>174274.0</v>
      </c>
      <c r="B6764" s="3" t="s">
        <v>6791</v>
      </c>
      <c r="C6764" s="3" t="s">
        <v>228</v>
      </c>
      <c r="D6764" s="3">
        <v>439.0</v>
      </c>
      <c r="E6764" s="3">
        <v>21.86</v>
      </c>
      <c r="F6764" s="3">
        <v>38.09</v>
      </c>
      <c r="G6764" s="3">
        <v>30.38</v>
      </c>
    </row>
    <row r="6765">
      <c r="A6765" s="3">
        <v>174275.0</v>
      </c>
      <c r="B6765" s="3" t="s">
        <v>6792</v>
      </c>
      <c r="C6765" s="3" t="s">
        <v>228</v>
      </c>
      <c r="D6765" s="3">
        <v>327.0</v>
      </c>
      <c r="E6765" s="3">
        <v>1.22</v>
      </c>
      <c r="F6765" s="3">
        <v>51.46</v>
      </c>
      <c r="G6765" s="3">
        <v>33.92</v>
      </c>
    </row>
    <row r="6766">
      <c r="A6766" s="3">
        <v>174276.0</v>
      </c>
      <c r="B6766" s="3" t="s">
        <v>6793</v>
      </c>
      <c r="C6766" s="3" t="s">
        <v>228</v>
      </c>
      <c r="D6766" s="3">
        <v>335.0</v>
      </c>
      <c r="E6766" s="3">
        <v>3.39</v>
      </c>
      <c r="F6766" s="3">
        <v>88.32</v>
      </c>
      <c r="G6766" s="3">
        <v>0.0</v>
      </c>
    </row>
    <row r="6767">
      <c r="A6767" s="3">
        <v>174277.0</v>
      </c>
      <c r="B6767" s="3" t="s">
        <v>6794</v>
      </c>
      <c r="C6767" s="3" t="s">
        <v>228</v>
      </c>
      <c r="D6767" s="3">
        <v>53.0</v>
      </c>
      <c r="E6767" s="3">
        <v>0.57</v>
      </c>
      <c r="F6767" s="3">
        <v>8.14</v>
      </c>
      <c r="G6767" s="3">
        <v>4.93</v>
      </c>
    </row>
    <row r="6768">
      <c r="A6768" s="3">
        <v>174278.0</v>
      </c>
      <c r="B6768" s="3" t="s">
        <v>6795</v>
      </c>
      <c r="C6768" s="3" t="s">
        <v>228</v>
      </c>
      <c r="D6768" s="3">
        <v>60.0</v>
      </c>
      <c r="E6768" s="3">
        <v>0.1</v>
      </c>
      <c r="F6768" s="3">
        <v>10.51</v>
      </c>
      <c r="G6768" s="3">
        <v>5.57</v>
      </c>
    </row>
    <row r="6769">
      <c r="A6769" s="3">
        <v>174279.0</v>
      </c>
      <c r="B6769" s="3" t="s">
        <v>6796</v>
      </c>
      <c r="C6769" s="3" t="s">
        <v>228</v>
      </c>
      <c r="D6769" s="3">
        <v>60.0</v>
      </c>
      <c r="E6769" s="3">
        <v>0.51</v>
      </c>
      <c r="F6769" s="3">
        <v>7.0</v>
      </c>
      <c r="G6769" s="3">
        <v>7.84</v>
      </c>
    </row>
    <row r="6770">
      <c r="A6770" s="3">
        <v>174280.0</v>
      </c>
      <c r="B6770" s="3" t="s">
        <v>6797</v>
      </c>
      <c r="C6770" s="3" t="s">
        <v>228</v>
      </c>
      <c r="D6770" s="3">
        <v>116.0</v>
      </c>
      <c r="E6770" s="3">
        <v>8.0</v>
      </c>
      <c r="F6770" s="3">
        <v>8.92</v>
      </c>
      <c r="G6770" s="3">
        <v>4.38</v>
      </c>
    </row>
    <row r="6771">
      <c r="A6771" s="3">
        <v>174281.0</v>
      </c>
      <c r="B6771" s="3" t="s">
        <v>6798</v>
      </c>
      <c r="C6771" s="3" t="s">
        <v>228</v>
      </c>
      <c r="D6771" s="3">
        <v>347.0</v>
      </c>
      <c r="E6771" s="3">
        <v>1.31</v>
      </c>
      <c r="F6771" s="3">
        <v>24.33</v>
      </c>
      <c r="G6771" s="3">
        <v>61.91</v>
      </c>
    </row>
    <row r="6772">
      <c r="A6772" s="3">
        <v>174282.0</v>
      </c>
      <c r="B6772" s="3" t="s">
        <v>6799</v>
      </c>
      <c r="C6772" s="3" t="s">
        <v>228</v>
      </c>
      <c r="D6772" s="3">
        <v>118.0</v>
      </c>
      <c r="E6772" s="3">
        <v>0.45</v>
      </c>
      <c r="F6772" s="3">
        <v>8.29</v>
      </c>
      <c r="G6772" s="3">
        <v>21.09</v>
      </c>
    </row>
    <row r="6773">
      <c r="A6773" s="3">
        <v>174283.0</v>
      </c>
      <c r="B6773" s="3" t="s">
        <v>6800</v>
      </c>
      <c r="C6773" s="3" t="s">
        <v>228</v>
      </c>
      <c r="D6773" s="3">
        <v>409.0</v>
      </c>
      <c r="E6773" s="3">
        <v>16.32</v>
      </c>
      <c r="F6773" s="3">
        <v>29.65</v>
      </c>
      <c r="G6773" s="3">
        <v>41.71</v>
      </c>
    </row>
    <row r="6774">
      <c r="A6774" s="3">
        <v>174284.0</v>
      </c>
      <c r="B6774" s="3" t="s">
        <v>6801</v>
      </c>
      <c r="C6774" s="3" t="s">
        <v>228</v>
      </c>
      <c r="D6774" s="3">
        <v>358.0</v>
      </c>
      <c r="E6774" s="3">
        <v>2.17</v>
      </c>
      <c r="F6774" s="3">
        <v>23.91</v>
      </c>
      <c r="G6774" s="3">
        <v>63.1</v>
      </c>
    </row>
    <row r="6775">
      <c r="A6775" s="3">
        <v>174285.0</v>
      </c>
      <c r="B6775" s="3" t="s">
        <v>6802</v>
      </c>
      <c r="C6775" s="3" t="s">
        <v>228</v>
      </c>
      <c r="D6775" s="3">
        <v>124.0</v>
      </c>
      <c r="E6775" s="3">
        <v>1.05</v>
      </c>
      <c r="F6775" s="3">
        <v>7.98</v>
      </c>
      <c r="G6775" s="3">
        <v>21.49</v>
      </c>
    </row>
    <row r="6776">
      <c r="A6776" s="3">
        <v>174286.0</v>
      </c>
      <c r="B6776" s="3" t="s">
        <v>6803</v>
      </c>
      <c r="C6776" s="3" t="s">
        <v>228</v>
      </c>
      <c r="D6776" s="3">
        <v>114.0</v>
      </c>
      <c r="E6776" s="3">
        <v>0.9</v>
      </c>
      <c r="F6776" s="3">
        <v>6.99</v>
      </c>
      <c r="G6776" s="3">
        <v>20.22</v>
      </c>
    </row>
    <row r="6777">
      <c r="A6777" s="3">
        <v>174287.0</v>
      </c>
      <c r="B6777" s="3" t="s">
        <v>6804</v>
      </c>
      <c r="C6777" s="3" t="s">
        <v>228</v>
      </c>
      <c r="D6777" s="3">
        <v>177.0</v>
      </c>
      <c r="E6777" s="3">
        <v>6.3</v>
      </c>
      <c r="F6777" s="3">
        <v>15.7</v>
      </c>
      <c r="G6777" s="3">
        <v>14.27</v>
      </c>
    </row>
    <row r="6778">
      <c r="A6778" s="3">
        <v>174288.0</v>
      </c>
      <c r="B6778" s="3" t="s">
        <v>6805</v>
      </c>
      <c r="C6778" s="3" t="s">
        <v>228</v>
      </c>
      <c r="D6778" s="3">
        <v>387.0</v>
      </c>
      <c r="E6778" s="3">
        <v>6.69</v>
      </c>
      <c r="F6778" s="3">
        <v>22.39</v>
      </c>
      <c r="G6778" s="3">
        <v>57.82</v>
      </c>
    </row>
    <row r="6779">
      <c r="A6779" s="3">
        <v>174289.0</v>
      </c>
      <c r="B6779" s="3" t="s">
        <v>6806</v>
      </c>
      <c r="C6779" s="3" t="s">
        <v>228</v>
      </c>
      <c r="D6779" s="3">
        <v>237.0</v>
      </c>
      <c r="E6779" s="3">
        <v>17.82</v>
      </c>
      <c r="F6779" s="3">
        <v>7.78</v>
      </c>
      <c r="G6779" s="3">
        <v>15.0</v>
      </c>
    </row>
    <row r="6780">
      <c r="A6780" s="3">
        <v>174290.0</v>
      </c>
      <c r="B6780" s="3" t="s">
        <v>6807</v>
      </c>
      <c r="C6780" s="3" t="s">
        <v>228</v>
      </c>
      <c r="D6780" s="3">
        <v>83.0</v>
      </c>
      <c r="E6780" s="3">
        <v>5.26</v>
      </c>
      <c r="F6780" s="3">
        <v>9.98</v>
      </c>
      <c r="G6780" s="3">
        <v>1.18</v>
      </c>
    </row>
    <row r="6781">
      <c r="A6781" s="3">
        <v>174291.0</v>
      </c>
      <c r="B6781" s="3" t="s">
        <v>6808</v>
      </c>
      <c r="C6781" s="3" t="s">
        <v>228</v>
      </c>
      <c r="D6781" s="3">
        <v>145.0</v>
      </c>
      <c r="E6781" s="3">
        <v>9.99</v>
      </c>
      <c r="F6781" s="3">
        <v>12.68</v>
      </c>
      <c r="G6781" s="3">
        <v>4.39</v>
      </c>
    </row>
    <row r="6782">
      <c r="A6782" s="3">
        <v>174292.0</v>
      </c>
      <c r="B6782" s="3" t="s">
        <v>6809</v>
      </c>
      <c r="C6782" s="3" t="s">
        <v>228</v>
      </c>
      <c r="D6782" s="3">
        <v>55.0</v>
      </c>
      <c r="E6782" s="3">
        <v>2.7</v>
      </c>
      <c r="F6782" s="3">
        <v>4.8</v>
      </c>
      <c r="G6782" s="3">
        <v>2.9</v>
      </c>
    </row>
    <row r="6783">
      <c r="A6783" s="3">
        <v>174293.0</v>
      </c>
      <c r="B6783" s="3" t="s">
        <v>6810</v>
      </c>
      <c r="C6783" s="3" t="s">
        <v>228</v>
      </c>
      <c r="D6783" s="3">
        <v>63.0</v>
      </c>
      <c r="E6783" s="3">
        <v>1.53</v>
      </c>
      <c r="F6783" s="3">
        <v>2.26</v>
      </c>
      <c r="G6783" s="3">
        <v>9.95</v>
      </c>
    </row>
    <row r="6784">
      <c r="A6784" s="3">
        <v>174294.0</v>
      </c>
      <c r="B6784" s="3" t="s">
        <v>6811</v>
      </c>
      <c r="C6784" s="3" t="s">
        <v>228</v>
      </c>
      <c r="D6784" s="3">
        <v>588.0</v>
      </c>
      <c r="E6784" s="3">
        <v>49.54</v>
      </c>
      <c r="F6784" s="3">
        <v>21.93</v>
      </c>
      <c r="G6784" s="3">
        <v>23.98</v>
      </c>
    </row>
    <row r="6785">
      <c r="A6785" s="3">
        <v>174295.0</v>
      </c>
      <c r="B6785" s="3" t="s">
        <v>6812</v>
      </c>
      <c r="C6785" s="3" t="s">
        <v>228</v>
      </c>
      <c r="D6785" s="3">
        <v>63.0</v>
      </c>
      <c r="E6785" s="3">
        <v>1.53</v>
      </c>
      <c r="F6785" s="3">
        <v>2.26</v>
      </c>
      <c r="G6785" s="3">
        <v>9.95</v>
      </c>
    </row>
    <row r="6786">
      <c r="A6786" s="3">
        <v>174296.0</v>
      </c>
      <c r="B6786" s="3" t="s">
        <v>6813</v>
      </c>
      <c r="C6786" s="3" t="s">
        <v>228</v>
      </c>
      <c r="D6786" s="3">
        <v>83.0</v>
      </c>
      <c r="E6786" s="3">
        <v>0.87</v>
      </c>
      <c r="F6786" s="3">
        <v>5.28</v>
      </c>
      <c r="G6786" s="3">
        <v>13.5</v>
      </c>
    </row>
    <row r="6787">
      <c r="A6787" s="3">
        <v>174297.0</v>
      </c>
      <c r="B6787" s="3" t="s">
        <v>6814</v>
      </c>
      <c r="C6787" s="3" t="s">
        <v>228</v>
      </c>
      <c r="D6787" s="3">
        <v>118.0</v>
      </c>
      <c r="E6787" s="3">
        <v>6.3</v>
      </c>
      <c r="F6787" s="3">
        <v>12.4</v>
      </c>
      <c r="G6787" s="3">
        <v>2.8</v>
      </c>
    </row>
    <row r="6788">
      <c r="A6788" s="3">
        <v>174298.0</v>
      </c>
      <c r="B6788" s="3" t="s">
        <v>6815</v>
      </c>
      <c r="C6788" s="3" t="s">
        <v>228</v>
      </c>
      <c r="D6788" s="3">
        <v>89.0</v>
      </c>
      <c r="E6788" s="3">
        <v>2.01</v>
      </c>
      <c r="F6788" s="3">
        <v>4.98</v>
      </c>
      <c r="G6788" s="3">
        <v>13.55</v>
      </c>
    </row>
    <row r="6789">
      <c r="A6789" s="3">
        <v>174299.0</v>
      </c>
      <c r="B6789" s="3" t="s">
        <v>6816</v>
      </c>
      <c r="C6789" s="3" t="s">
        <v>228</v>
      </c>
      <c r="D6789" s="3">
        <v>172.0</v>
      </c>
      <c r="E6789" s="3">
        <v>8.97</v>
      </c>
      <c r="F6789" s="3">
        <v>18.21</v>
      </c>
      <c r="G6789" s="3">
        <v>8.36</v>
      </c>
    </row>
    <row r="6790">
      <c r="A6790" s="3">
        <v>174300.0</v>
      </c>
      <c r="B6790" s="3" t="s">
        <v>6817</v>
      </c>
      <c r="C6790" s="3" t="s">
        <v>228</v>
      </c>
      <c r="D6790" s="3">
        <v>469.0</v>
      </c>
      <c r="E6790" s="3">
        <v>25.4</v>
      </c>
      <c r="F6790" s="3">
        <v>38.55</v>
      </c>
      <c r="G6790" s="3">
        <v>30.22</v>
      </c>
    </row>
    <row r="6791">
      <c r="A6791" s="3">
        <v>174301.0</v>
      </c>
      <c r="B6791" s="3" t="s">
        <v>6818</v>
      </c>
      <c r="C6791" s="3" t="s">
        <v>228</v>
      </c>
      <c r="D6791" s="3">
        <v>328.0</v>
      </c>
      <c r="E6791" s="3">
        <v>0.46</v>
      </c>
      <c r="F6791" s="3">
        <v>63.63</v>
      </c>
      <c r="G6791" s="3">
        <v>25.41</v>
      </c>
    </row>
    <row r="6792">
      <c r="A6792" s="3">
        <v>174302.0</v>
      </c>
      <c r="B6792" s="3" t="s">
        <v>6819</v>
      </c>
      <c r="C6792" s="3" t="s">
        <v>228</v>
      </c>
      <c r="D6792" s="3">
        <v>321.0</v>
      </c>
      <c r="E6792" s="3">
        <v>0.53</v>
      </c>
      <c r="F6792" s="3">
        <v>88.32</v>
      </c>
      <c r="G6792" s="3">
        <v>2.59</v>
      </c>
    </row>
    <row r="6793">
      <c r="A6793" s="3">
        <v>174303.0</v>
      </c>
      <c r="B6793" s="3" t="s">
        <v>6820</v>
      </c>
      <c r="C6793" s="3" t="s">
        <v>228</v>
      </c>
      <c r="D6793" s="3">
        <v>470.0</v>
      </c>
      <c r="E6793" s="3">
        <v>30.34</v>
      </c>
      <c r="F6793" s="3">
        <v>52.43</v>
      </c>
      <c r="G6793" s="3">
        <v>8.3</v>
      </c>
    </row>
    <row r="6794">
      <c r="A6794" s="3">
        <v>174304.0</v>
      </c>
      <c r="B6794" s="3" t="s">
        <v>6821</v>
      </c>
      <c r="C6794" s="3" t="s">
        <v>228</v>
      </c>
      <c r="D6794" s="3">
        <v>270.0</v>
      </c>
      <c r="E6794" s="3">
        <v>20.18</v>
      </c>
      <c r="F6794" s="3">
        <v>18.82</v>
      </c>
      <c r="G6794" s="3">
        <v>8.86</v>
      </c>
    </row>
    <row r="6795">
      <c r="A6795" s="3">
        <v>174305.0</v>
      </c>
      <c r="B6795" s="3" t="s">
        <v>6822</v>
      </c>
      <c r="C6795" s="3" t="s">
        <v>228</v>
      </c>
      <c r="D6795" s="3">
        <v>116.0</v>
      </c>
      <c r="E6795" s="3">
        <v>8.0</v>
      </c>
      <c r="F6795" s="3">
        <v>8.15</v>
      </c>
      <c r="G6795" s="3">
        <v>5.15</v>
      </c>
    </row>
    <row r="6796">
      <c r="A6796" s="3">
        <v>174306.0</v>
      </c>
      <c r="B6796" s="3" t="s">
        <v>6823</v>
      </c>
      <c r="C6796" s="3" t="s">
        <v>228</v>
      </c>
      <c r="D6796" s="3">
        <v>118.0</v>
      </c>
      <c r="E6796" s="3">
        <v>0.45</v>
      </c>
      <c r="F6796" s="3">
        <v>8.29</v>
      </c>
      <c r="G6796" s="3">
        <v>21.09</v>
      </c>
    </row>
    <row r="6797">
      <c r="A6797" s="3">
        <v>174307.0</v>
      </c>
      <c r="B6797" s="3" t="s">
        <v>6824</v>
      </c>
      <c r="C6797" s="3" t="s">
        <v>189</v>
      </c>
      <c r="D6797" s="3">
        <v>134.0</v>
      </c>
      <c r="E6797" s="3">
        <v>5.25</v>
      </c>
      <c r="F6797" s="3">
        <v>20.29</v>
      </c>
      <c r="G6797" s="3">
        <v>0.0</v>
      </c>
    </row>
    <row r="6798">
      <c r="A6798" s="3">
        <v>174308.0</v>
      </c>
      <c r="B6798" s="3" t="s">
        <v>6825</v>
      </c>
      <c r="C6798" s="3" t="s">
        <v>189</v>
      </c>
      <c r="D6798" s="3">
        <v>206.0</v>
      </c>
      <c r="E6798" s="3">
        <v>9.52</v>
      </c>
      <c r="F6798" s="3">
        <v>28.22</v>
      </c>
      <c r="G6798" s="3">
        <v>0.0</v>
      </c>
    </row>
    <row r="6799">
      <c r="A6799" s="3">
        <v>174309.0</v>
      </c>
      <c r="B6799" s="3" t="s">
        <v>6826</v>
      </c>
      <c r="C6799" s="3" t="s">
        <v>189</v>
      </c>
      <c r="D6799" s="3">
        <v>665.0</v>
      </c>
      <c r="E6799" s="3">
        <v>70.61</v>
      </c>
      <c r="F6799" s="3">
        <v>6.65</v>
      </c>
      <c r="G6799" s="3">
        <v>0.0</v>
      </c>
    </row>
    <row r="6800">
      <c r="A6800" s="3">
        <v>174310.0</v>
      </c>
      <c r="B6800" s="3" t="s">
        <v>6827</v>
      </c>
      <c r="C6800" s="3" t="s">
        <v>189</v>
      </c>
      <c r="D6800" s="3">
        <v>586.0</v>
      </c>
      <c r="E6800" s="3">
        <v>59.18</v>
      </c>
      <c r="F6800" s="3">
        <v>12.16</v>
      </c>
      <c r="G6800" s="3">
        <v>0.0</v>
      </c>
    </row>
    <row r="6801">
      <c r="A6801" s="3">
        <v>174311.0</v>
      </c>
      <c r="B6801" s="3" t="s">
        <v>6828</v>
      </c>
      <c r="C6801" s="3" t="s">
        <v>189</v>
      </c>
      <c r="D6801" s="3">
        <v>230.0</v>
      </c>
      <c r="E6801" s="3">
        <v>17.07</v>
      </c>
      <c r="F6801" s="3">
        <v>17.91</v>
      </c>
      <c r="G6801" s="3">
        <v>0.0</v>
      </c>
    </row>
    <row r="6802">
      <c r="A6802" s="3">
        <v>174312.0</v>
      </c>
      <c r="B6802" s="3" t="s">
        <v>6829</v>
      </c>
      <c r="C6802" s="3" t="s">
        <v>189</v>
      </c>
      <c r="D6802" s="3">
        <v>258.0</v>
      </c>
      <c r="E6802" s="3">
        <v>16.48</v>
      </c>
      <c r="F6802" s="3">
        <v>25.55</v>
      </c>
      <c r="G6802" s="3">
        <v>0.0</v>
      </c>
    </row>
    <row r="6803">
      <c r="A6803" s="3">
        <v>174313.0</v>
      </c>
      <c r="B6803" s="3" t="s">
        <v>6830</v>
      </c>
      <c r="C6803" s="3" t="s">
        <v>189</v>
      </c>
      <c r="D6803" s="3">
        <v>128.0</v>
      </c>
      <c r="E6803" s="3">
        <v>4.51</v>
      </c>
      <c r="F6803" s="3">
        <v>20.56</v>
      </c>
      <c r="G6803" s="3">
        <v>0.0</v>
      </c>
    </row>
    <row r="6804">
      <c r="A6804" s="3">
        <v>174314.0</v>
      </c>
      <c r="B6804" s="3" t="s">
        <v>6831</v>
      </c>
      <c r="C6804" s="3" t="s">
        <v>189</v>
      </c>
      <c r="D6804" s="3">
        <v>191.0</v>
      </c>
      <c r="E6804" s="3">
        <v>7.74</v>
      </c>
      <c r="F6804" s="3">
        <v>28.3</v>
      </c>
      <c r="G6804" s="3">
        <v>0.0</v>
      </c>
    </row>
    <row r="6805">
      <c r="A6805" s="3">
        <v>174315.0</v>
      </c>
      <c r="B6805" s="3" t="s">
        <v>6832</v>
      </c>
      <c r="C6805" s="3" t="s">
        <v>189</v>
      </c>
      <c r="D6805" s="3">
        <v>201.0</v>
      </c>
      <c r="E6805" s="3">
        <v>13.49</v>
      </c>
      <c r="F6805" s="3">
        <v>18.58</v>
      </c>
      <c r="G6805" s="3">
        <v>0.0</v>
      </c>
    </row>
    <row r="6806">
      <c r="A6806" s="3">
        <v>174316.0</v>
      </c>
      <c r="B6806" s="3" t="s">
        <v>6833</v>
      </c>
      <c r="C6806" s="3" t="s">
        <v>189</v>
      </c>
      <c r="D6806" s="3">
        <v>292.0</v>
      </c>
      <c r="E6806" s="3">
        <v>20.67</v>
      </c>
      <c r="F6806" s="3">
        <v>24.63</v>
      </c>
      <c r="G6806" s="3">
        <v>0.0</v>
      </c>
    </row>
    <row r="6807">
      <c r="A6807" s="3">
        <v>174317.0</v>
      </c>
      <c r="B6807" s="3" t="s">
        <v>6834</v>
      </c>
      <c r="C6807" s="3" t="s">
        <v>189</v>
      </c>
      <c r="D6807" s="3">
        <v>134.0</v>
      </c>
      <c r="E6807" s="3">
        <v>5.08</v>
      </c>
      <c r="F6807" s="3">
        <v>20.55</v>
      </c>
      <c r="G6807" s="3">
        <v>0.0</v>
      </c>
    </row>
    <row r="6808">
      <c r="A6808" s="3">
        <v>174318.0</v>
      </c>
      <c r="B6808" s="3" t="s">
        <v>6835</v>
      </c>
      <c r="C6808" s="3" t="s">
        <v>189</v>
      </c>
      <c r="D6808" s="3">
        <v>204.0</v>
      </c>
      <c r="E6808" s="3">
        <v>9.17</v>
      </c>
      <c r="F6808" s="3">
        <v>28.35</v>
      </c>
      <c r="G6808" s="3">
        <v>0.0</v>
      </c>
    </row>
    <row r="6809">
      <c r="A6809" s="3">
        <v>174319.0</v>
      </c>
      <c r="B6809" s="3" t="s">
        <v>6836</v>
      </c>
      <c r="C6809" s="3" t="s">
        <v>189</v>
      </c>
      <c r="D6809" s="3">
        <v>310.0</v>
      </c>
      <c r="E6809" s="3">
        <v>26.63</v>
      </c>
      <c r="F6809" s="3">
        <v>16.32</v>
      </c>
      <c r="G6809" s="3">
        <v>0.0</v>
      </c>
    </row>
    <row r="6810">
      <c r="A6810" s="3">
        <v>174320.0</v>
      </c>
      <c r="B6810" s="3" t="s">
        <v>6837</v>
      </c>
      <c r="C6810" s="3" t="s">
        <v>189</v>
      </c>
      <c r="D6810" s="3">
        <v>202.0</v>
      </c>
      <c r="E6810" s="3">
        <v>9.76</v>
      </c>
      <c r="F6810" s="3">
        <v>26.59</v>
      </c>
      <c r="G6810" s="3">
        <v>0.0</v>
      </c>
    </row>
    <row r="6811">
      <c r="A6811" s="3">
        <v>174321.0</v>
      </c>
      <c r="B6811" s="3" t="s">
        <v>6838</v>
      </c>
      <c r="C6811" s="3" t="s">
        <v>189</v>
      </c>
      <c r="D6811" s="3">
        <v>372.0</v>
      </c>
      <c r="E6811" s="3">
        <v>34.39</v>
      </c>
      <c r="F6811" s="3">
        <v>14.52</v>
      </c>
      <c r="G6811" s="3">
        <v>0.0</v>
      </c>
    </row>
    <row r="6812">
      <c r="A6812" s="3">
        <v>174322.0</v>
      </c>
      <c r="B6812" s="3" t="s">
        <v>6839</v>
      </c>
      <c r="C6812" s="3" t="s">
        <v>189</v>
      </c>
      <c r="D6812" s="3">
        <v>361.0</v>
      </c>
      <c r="E6812" s="3">
        <v>29.59</v>
      </c>
      <c r="F6812" s="3">
        <v>22.13</v>
      </c>
      <c r="G6812" s="3">
        <v>0.0</v>
      </c>
    </row>
    <row r="6813">
      <c r="A6813" s="3">
        <v>174323.0</v>
      </c>
      <c r="B6813" s="3" t="s">
        <v>6840</v>
      </c>
      <c r="C6813" s="3" t="s">
        <v>189</v>
      </c>
      <c r="D6813" s="3">
        <v>359.0</v>
      </c>
      <c r="E6813" s="3">
        <v>29.82</v>
      </c>
      <c r="F6813" s="3">
        <v>21.12</v>
      </c>
      <c r="G6813" s="3">
        <v>0.0</v>
      </c>
    </row>
    <row r="6814">
      <c r="A6814" s="3">
        <v>174324.0</v>
      </c>
      <c r="B6814" s="3" t="s">
        <v>6841</v>
      </c>
      <c r="C6814" s="3" t="s">
        <v>189</v>
      </c>
      <c r="D6814" s="3">
        <v>278.0</v>
      </c>
      <c r="E6814" s="3">
        <v>19.26</v>
      </c>
      <c r="F6814" s="3">
        <v>24.42</v>
      </c>
      <c r="G6814" s="3">
        <v>0.0</v>
      </c>
    </row>
    <row r="6815">
      <c r="A6815" s="3">
        <v>174325.0</v>
      </c>
      <c r="B6815" s="3" t="s">
        <v>6842</v>
      </c>
      <c r="C6815" s="3" t="s">
        <v>189</v>
      </c>
      <c r="D6815" s="3">
        <v>276.0</v>
      </c>
      <c r="E6815" s="3">
        <v>19.97</v>
      </c>
      <c r="F6815" s="3">
        <v>22.51</v>
      </c>
      <c r="G6815" s="3">
        <v>0.0</v>
      </c>
    </row>
    <row r="6816">
      <c r="A6816" s="3">
        <v>174326.0</v>
      </c>
      <c r="B6816" s="3" t="s">
        <v>6843</v>
      </c>
      <c r="C6816" s="3" t="s">
        <v>189</v>
      </c>
      <c r="D6816" s="3">
        <v>144.0</v>
      </c>
      <c r="E6816" s="3">
        <v>6.76</v>
      </c>
      <c r="F6816" s="3">
        <v>19.55</v>
      </c>
      <c r="G6816" s="3">
        <v>0.0</v>
      </c>
    </row>
    <row r="6817">
      <c r="A6817" s="3">
        <v>174327.0</v>
      </c>
      <c r="B6817" s="3" t="s">
        <v>6844</v>
      </c>
      <c r="C6817" s="3" t="s">
        <v>189</v>
      </c>
      <c r="D6817" s="3">
        <v>283.0</v>
      </c>
      <c r="E6817" s="3">
        <v>15.89</v>
      </c>
      <c r="F6817" s="3">
        <v>32.81</v>
      </c>
      <c r="G6817" s="3">
        <v>0.0</v>
      </c>
    </row>
    <row r="6818">
      <c r="A6818" s="3">
        <v>174328.0</v>
      </c>
      <c r="B6818" s="3" t="s">
        <v>6845</v>
      </c>
      <c r="C6818" s="3" t="s">
        <v>189</v>
      </c>
      <c r="D6818" s="3">
        <v>281.0</v>
      </c>
      <c r="E6818" s="3">
        <v>19.55</v>
      </c>
      <c r="F6818" s="3">
        <v>24.44</v>
      </c>
      <c r="G6818" s="3">
        <v>0.0</v>
      </c>
    </row>
    <row r="6819">
      <c r="A6819" s="3">
        <v>174329.0</v>
      </c>
      <c r="B6819" s="3" t="s">
        <v>6846</v>
      </c>
      <c r="C6819" s="3" t="s">
        <v>189</v>
      </c>
      <c r="D6819" s="3">
        <v>279.0</v>
      </c>
      <c r="E6819" s="3">
        <v>20.24</v>
      </c>
      <c r="F6819" s="3">
        <v>22.53</v>
      </c>
      <c r="G6819" s="3">
        <v>0.0</v>
      </c>
    </row>
    <row r="6820">
      <c r="A6820" s="3">
        <v>174330.0</v>
      </c>
      <c r="B6820" s="3" t="s">
        <v>6847</v>
      </c>
      <c r="C6820" s="3" t="s">
        <v>189</v>
      </c>
      <c r="D6820" s="3">
        <v>132.0</v>
      </c>
      <c r="E6820" s="3">
        <v>5.2</v>
      </c>
      <c r="F6820" s="3">
        <v>19.99</v>
      </c>
      <c r="G6820" s="3">
        <v>0.0</v>
      </c>
    </row>
    <row r="6821">
      <c r="A6821" s="3">
        <v>174331.0</v>
      </c>
      <c r="B6821" s="3" t="s">
        <v>6848</v>
      </c>
      <c r="C6821" s="3" t="s">
        <v>189</v>
      </c>
      <c r="D6821" s="3">
        <v>279.0</v>
      </c>
      <c r="E6821" s="3">
        <v>14.08</v>
      </c>
      <c r="F6821" s="3">
        <v>35.54</v>
      </c>
      <c r="G6821" s="3">
        <v>0.0</v>
      </c>
    </row>
    <row r="6822">
      <c r="A6822" s="3">
        <v>174332.0</v>
      </c>
      <c r="B6822" s="3" t="s">
        <v>6849</v>
      </c>
      <c r="C6822" s="3" t="s">
        <v>189</v>
      </c>
      <c r="D6822" s="3">
        <v>278.0</v>
      </c>
      <c r="E6822" s="3">
        <v>19.94</v>
      </c>
      <c r="F6822" s="3">
        <v>23.08</v>
      </c>
      <c r="G6822" s="3">
        <v>0.0</v>
      </c>
    </row>
    <row r="6823">
      <c r="A6823" s="3">
        <v>174333.0</v>
      </c>
      <c r="B6823" s="3" t="s">
        <v>6850</v>
      </c>
      <c r="C6823" s="3" t="s">
        <v>189</v>
      </c>
      <c r="D6823" s="3">
        <v>281.0</v>
      </c>
      <c r="E6823" s="3">
        <v>20.61</v>
      </c>
      <c r="F6823" s="3">
        <v>22.25</v>
      </c>
      <c r="G6823" s="3">
        <v>0.0</v>
      </c>
    </row>
    <row r="6824">
      <c r="A6824" s="3">
        <v>174334.0</v>
      </c>
      <c r="B6824" s="3" t="s">
        <v>6851</v>
      </c>
      <c r="C6824" s="3" t="s">
        <v>189</v>
      </c>
      <c r="D6824" s="3">
        <v>151.0</v>
      </c>
      <c r="E6824" s="3">
        <v>7.63</v>
      </c>
      <c r="F6824" s="3">
        <v>19.29</v>
      </c>
      <c r="G6824" s="3">
        <v>0.0</v>
      </c>
    </row>
    <row r="6825">
      <c r="A6825" s="3">
        <v>174335.0</v>
      </c>
      <c r="B6825" s="3" t="s">
        <v>6852</v>
      </c>
      <c r="C6825" s="3" t="s">
        <v>189</v>
      </c>
      <c r="D6825" s="3">
        <v>288.0</v>
      </c>
      <c r="E6825" s="3">
        <v>16.64</v>
      </c>
      <c r="F6825" s="3">
        <v>32.35</v>
      </c>
      <c r="G6825" s="3">
        <v>0.0</v>
      </c>
    </row>
    <row r="6826">
      <c r="A6826" s="3">
        <v>174336.0</v>
      </c>
      <c r="B6826" s="3" t="s">
        <v>6853</v>
      </c>
      <c r="C6826" s="3" t="s">
        <v>189</v>
      </c>
      <c r="D6826" s="3">
        <v>277.0</v>
      </c>
      <c r="E6826" s="3">
        <v>22.74</v>
      </c>
      <c r="F6826" s="3">
        <v>16.74</v>
      </c>
      <c r="G6826" s="3">
        <v>0.0</v>
      </c>
    </row>
    <row r="6827">
      <c r="A6827" s="3">
        <v>174337.0</v>
      </c>
      <c r="B6827" s="3" t="s">
        <v>6854</v>
      </c>
      <c r="C6827" s="3" t="s">
        <v>189</v>
      </c>
      <c r="D6827" s="3">
        <v>305.0</v>
      </c>
      <c r="E6827" s="3">
        <v>22.26</v>
      </c>
      <c r="F6827" s="3">
        <v>24.42</v>
      </c>
      <c r="G6827" s="3">
        <v>0.0</v>
      </c>
    </row>
    <row r="6828">
      <c r="A6828" s="3">
        <v>174338.0</v>
      </c>
      <c r="B6828" s="3" t="s">
        <v>6855</v>
      </c>
      <c r="C6828" s="3" t="s">
        <v>189</v>
      </c>
      <c r="D6828" s="3">
        <v>128.0</v>
      </c>
      <c r="E6828" s="3">
        <v>4.41</v>
      </c>
      <c r="F6828" s="3">
        <v>20.75</v>
      </c>
      <c r="G6828" s="3">
        <v>0.0</v>
      </c>
    </row>
    <row r="6829">
      <c r="A6829" s="3">
        <v>174339.0</v>
      </c>
      <c r="B6829" s="3" t="s">
        <v>6856</v>
      </c>
      <c r="C6829" s="3" t="s">
        <v>189</v>
      </c>
      <c r="D6829" s="3">
        <v>206.0</v>
      </c>
      <c r="E6829" s="3">
        <v>8.86</v>
      </c>
      <c r="F6829" s="3">
        <v>29.59</v>
      </c>
      <c r="G6829" s="3">
        <v>0.0</v>
      </c>
    </row>
    <row r="6830">
      <c r="A6830" s="3">
        <v>174340.0</v>
      </c>
      <c r="B6830" s="3" t="s">
        <v>6857</v>
      </c>
      <c r="C6830" s="3" t="s">
        <v>189</v>
      </c>
      <c r="D6830" s="3">
        <v>122.0</v>
      </c>
      <c r="E6830" s="3">
        <v>3.77</v>
      </c>
      <c r="F6830" s="3">
        <v>22.05</v>
      </c>
      <c r="G6830" s="3">
        <v>0.0</v>
      </c>
    </row>
    <row r="6831">
      <c r="A6831" s="3">
        <v>174341.0</v>
      </c>
      <c r="B6831" s="3" t="s">
        <v>6858</v>
      </c>
      <c r="C6831" s="3" t="s">
        <v>189</v>
      </c>
      <c r="D6831" s="3">
        <v>209.0</v>
      </c>
      <c r="E6831" s="3">
        <v>8.4</v>
      </c>
      <c r="F6831" s="3">
        <v>33.31</v>
      </c>
      <c r="G6831" s="3">
        <v>0.0</v>
      </c>
    </row>
    <row r="6832">
      <c r="A6832" s="3">
        <v>174342.0</v>
      </c>
      <c r="B6832" s="3" t="s">
        <v>6859</v>
      </c>
      <c r="C6832" s="3" t="s">
        <v>189</v>
      </c>
      <c r="D6832" s="3">
        <v>206.0</v>
      </c>
      <c r="E6832" s="3">
        <v>14.52</v>
      </c>
      <c r="F6832" s="3">
        <v>18.64</v>
      </c>
      <c r="G6832" s="3">
        <v>0.13</v>
      </c>
    </row>
    <row r="6833">
      <c r="A6833" s="3">
        <v>174343.0</v>
      </c>
      <c r="B6833" s="3" t="s">
        <v>6860</v>
      </c>
      <c r="C6833" s="3" t="s">
        <v>189</v>
      </c>
      <c r="D6833" s="3">
        <v>246.0</v>
      </c>
      <c r="E6833" s="3">
        <v>15.56</v>
      </c>
      <c r="F6833" s="3">
        <v>24.81</v>
      </c>
      <c r="G6833" s="3">
        <v>0.0</v>
      </c>
    </row>
    <row r="6834">
      <c r="A6834" s="3">
        <v>174344.0</v>
      </c>
      <c r="B6834" s="3" t="s">
        <v>6861</v>
      </c>
      <c r="C6834" s="3" t="s">
        <v>189</v>
      </c>
      <c r="D6834" s="3">
        <v>102.0</v>
      </c>
      <c r="E6834" s="3">
        <v>0.74</v>
      </c>
      <c r="F6834" s="3">
        <v>22.24</v>
      </c>
      <c r="G6834" s="3">
        <v>0.0</v>
      </c>
    </row>
    <row r="6835">
      <c r="A6835" s="3">
        <v>174345.0</v>
      </c>
      <c r="B6835" s="3" t="s">
        <v>6862</v>
      </c>
      <c r="C6835" s="3" t="s">
        <v>189</v>
      </c>
      <c r="D6835" s="3">
        <v>134.0</v>
      </c>
      <c r="E6835" s="3">
        <v>0.97</v>
      </c>
      <c r="F6835" s="3">
        <v>29.27</v>
      </c>
      <c r="G6835" s="3">
        <v>0.0</v>
      </c>
    </row>
    <row r="6836">
      <c r="A6836" s="3">
        <v>174346.0</v>
      </c>
      <c r="B6836" s="3" t="s">
        <v>6863</v>
      </c>
      <c r="C6836" s="3" t="s">
        <v>189</v>
      </c>
      <c r="D6836" s="3">
        <v>206.0</v>
      </c>
      <c r="E6836" s="3">
        <v>8.41</v>
      </c>
      <c r="F6836" s="3">
        <v>30.38</v>
      </c>
      <c r="G6836" s="3">
        <v>0.0</v>
      </c>
    </row>
    <row r="6837">
      <c r="A6837" s="3">
        <v>174347.0</v>
      </c>
      <c r="B6837" s="3" t="s">
        <v>6864</v>
      </c>
      <c r="C6837" s="3" t="s">
        <v>189</v>
      </c>
      <c r="D6837" s="3">
        <v>114.0</v>
      </c>
      <c r="E6837" s="3">
        <v>2.32</v>
      </c>
      <c r="F6837" s="3">
        <v>21.79</v>
      </c>
      <c r="G6837" s="3">
        <v>0.0</v>
      </c>
    </row>
    <row r="6838">
      <c r="A6838" s="3">
        <v>174348.0</v>
      </c>
      <c r="B6838" s="3" t="s">
        <v>6865</v>
      </c>
      <c r="C6838" s="3" t="s">
        <v>189</v>
      </c>
      <c r="D6838" s="3">
        <v>173.0</v>
      </c>
      <c r="E6838" s="3">
        <v>3.51</v>
      </c>
      <c r="F6838" s="3">
        <v>33.02</v>
      </c>
      <c r="G6838" s="3">
        <v>0.0</v>
      </c>
    </row>
    <row r="6839">
      <c r="A6839" s="3">
        <v>174349.0</v>
      </c>
      <c r="B6839" s="3" t="s">
        <v>6866</v>
      </c>
      <c r="C6839" s="3" t="s">
        <v>189</v>
      </c>
      <c r="D6839" s="3">
        <v>255.0</v>
      </c>
      <c r="E6839" s="3">
        <v>14.5</v>
      </c>
      <c r="F6839" s="3">
        <v>29.2</v>
      </c>
      <c r="G6839" s="3">
        <v>0.0</v>
      </c>
    </row>
    <row r="6840">
      <c r="A6840" s="3">
        <v>174350.0</v>
      </c>
      <c r="B6840" s="3" t="s">
        <v>6867</v>
      </c>
      <c r="C6840" s="3" t="s">
        <v>189</v>
      </c>
      <c r="D6840" s="3">
        <v>273.0</v>
      </c>
      <c r="E6840" s="3">
        <v>22.19</v>
      </c>
      <c r="F6840" s="3">
        <v>16.97</v>
      </c>
      <c r="G6840" s="3">
        <v>0.0</v>
      </c>
    </row>
    <row r="6841">
      <c r="A6841" s="3">
        <v>174351.0</v>
      </c>
      <c r="B6841" s="3" t="s">
        <v>6868</v>
      </c>
      <c r="C6841" s="3" t="s">
        <v>189</v>
      </c>
      <c r="D6841" s="3">
        <v>118.0</v>
      </c>
      <c r="E6841" s="3">
        <v>8.21</v>
      </c>
      <c r="F6841" s="3">
        <v>10.32</v>
      </c>
      <c r="G6841" s="3">
        <v>0.0</v>
      </c>
    </row>
    <row r="6842">
      <c r="A6842" s="3">
        <v>174352.0</v>
      </c>
      <c r="B6842" s="3" t="s">
        <v>6869</v>
      </c>
      <c r="C6842" s="3" t="s">
        <v>189</v>
      </c>
      <c r="D6842" s="3">
        <v>136.0</v>
      </c>
      <c r="E6842" s="3">
        <v>9.63</v>
      </c>
      <c r="F6842" s="3">
        <v>11.48</v>
      </c>
      <c r="G6842" s="3">
        <v>0.0</v>
      </c>
    </row>
    <row r="6843">
      <c r="A6843" s="3">
        <v>174353.0</v>
      </c>
      <c r="B6843" s="3" t="s">
        <v>6870</v>
      </c>
      <c r="C6843" s="3" t="s">
        <v>189</v>
      </c>
      <c r="D6843" s="3">
        <v>213.0</v>
      </c>
      <c r="E6843" s="3">
        <v>16.75</v>
      </c>
      <c r="F6843" s="3">
        <v>14.48</v>
      </c>
      <c r="G6843" s="3">
        <v>0.0</v>
      </c>
    </row>
    <row r="6844">
      <c r="A6844" s="3">
        <v>174354.0</v>
      </c>
      <c r="B6844" s="3" t="s">
        <v>6871</v>
      </c>
      <c r="C6844" s="3" t="s">
        <v>189</v>
      </c>
      <c r="D6844" s="3">
        <v>97.0</v>
      </c>
      <c r="E6844" s="3">
        <v>2.95</v>
      </c>
      <c r="F6844" s="3">
        <v>15.74</v>
      </c>
      <c r="G6844" s="3">
        <v>0.82</v>
      </c>
    </row>
    <row r="6845">
      <c r="A6845" s="3">
        <v>174355.0</v>
      </c>
      <c r="B6845" s="3" t="s">
        <v>6872</v>
      </c>
      <c r="C6845" s="3" t="s">
        <v>189</v>
      </c>
      <c r="D6845" s="3">
        <v>137.0</v>
      </c>
      <c r="E6845" s="3">
        <v>3.62</v>
      </c>
      <c r="F6845" s="3">
        <v>23.65</v>
      </c>
      <c r="G6845" s="3">
        <v>0.99</v>
      </c>
    </row>
    <row r="6846">
      <c r="A6846" s="3">
        <v>174356.0</v>
      </c>
      <c r="B6846" s="3" t="s">
        <v>6873</v>
      </c>
      <c r="C6846" s="3" t="s">
        <v>189</v>
      </c>
      <c r="D6846" s="3">
        <v>99.0</v>
      </c>
      <c r="E6846" s="3">
        <v>3.12</v>
      </c>
      <c r="F6846" s="3">
        <v>15.76</v>
      </c>
      <c r="G6846" s="3">
        <v>0.85</v>
      </c>
    </row>
    <row r="6847">
      <c r="A6847" s="3">
        <v>174357.0</v>
      </c>
      <c r="B6847" s="3" t="s">
        <v>6874</v>
      </c>
      <c r="C6847" s="3" t="s">
        <v>189</v>
      </c>
      <c r="D6847" s="3">
        <v>163.0</v>
      </c>
      <c r="E6847" s="3">
        <v>5.66</v>
      </c>
      <c r="F6847" s="3">
        <v>26.32</v>
      </c>
      <c r="G6847" s="3">
        <v>0.0</v>
      </c>
    </row>
    <row r="6848">
      <c r="A6848" s="3">
        <v>174358.0</v>
      </c>
      <c r="B6848" s="3" t="s">
        <v>6875</v>
      </c>
      <c r="C6848" s="3" t="s">
        <v>189</v>
      </c>
      <c r="D6848" s="3">
        <v>193.0</v>
      </c>
      <c r="E6848" s="3">
        <v>6.51</v>
      </c>
      <c r="F6848" s="3">
        <v>27.37</v>
      </c>
      <c r="G6848" s="3">
        <v>4.47</v>
      </c>
    </row>
    <row r="6849">
      <c r="A6849" s="3">
        <v>174359.0</v>
      </c>
      <c r="B6849" s="3" t="s">
        <v>6876</v>
      </c>
      <c r="C6849" s="3" t="s">
        <v>189</v>
      </c>
      <c r="D6849" s="3">
        <v>95.0</v>
      </c>
      <c r="E6849" s="3">
        <v>2.6</v>
      </c>
      <c r="F6849" s="3">
        <v>16.7</v>
      </c>
      <c r="G6849" s="3">
        <v>0.0</v>
      </c>
    </row>
    <row r="6850">
      <c r="A6850" s="3">
        <v>174360.0</v>
      </c>
      <c r="B6850" s="3" t="s">
        <v>6877</v>
      </c>
      <c r="C6850" s="3" t="s">
        <v>189</v>
      </c>
      <c r="D6850" s="3">
        <v>113.0</v>
      </c>
      <c r="E6850" s="3">
        <v>3.1</v>
      </c>
      <c r="F6850" s="3">
        <v>19.88</v>
      </c>
      <c r="G6850" s="3">
        <v>0.0</v>
      </c>
    </row>
    <row r="6851">
      <c r="A6851" s="3">
        <v>174361.0</v>
      </c>
      <c r="B6851" s="3" t="s">
        <v>6878</v>
      </c>
      <c r="C6851" s="3" t="s">
        <v>189</v>
      </c>
      <c r="D6851" s="3">
        <v>90.0</v>
      </c>
      <c r="E6851" s="3">
        <v>2.3</v>
      </c>
      <c r="F6851" s="3">
        <v>16.3</v>
      </c>
      <c r="G6851" s="3">
        <v>0.0</v>
      </c>
    </row>
    <row r="6852">
      <c r="A6852" s="3">
        <v>174362.0</v>
      </c>
      <c r="B6852" s="3" t="s">
        <v>6879</v>
      </c>
      <c r="C6852" s="3" t="s">
        <v>189</v>
      </c>
      <c r="D6852" s="3">
        <v>182.0</v>
      </c>
      <c r="E6852" s="3">
        <v>13.1</v>
      </c>
      <c r="F6852" s="3">
        <v>15.0</v>
      </c>
      <c r="G6852" s="3">
        <v>0.0</v>
      </c>
    </row>
    <row r="6853">
      <c r="A6853" s="3">
        <v>174363.0</v>
      </c>
      <c r="B6853" s="3" t="s">
        <v>6880</v>
      </c>
      <c r="C6853" s="3" t="s">
        <v>189</v>
      </c>
      <c r="D6853" s="3">
        <v>256.0</v>
      </c>
      <c r="E6853" s="3">
        <v>14.6</v>
      </c>
      <c r="F6853" s="3">
        <v>29.1</v>
      </c>
      <c r="G6853" s="3">
        <v>0.0</v>
      </c>
    </row>
    <row r="6854">
      <c r="A6854" s="3">
        <v>174364.0</v>
      </c>
      <c r="B6854" s="3" t="s">
        <v>6881</v>
      </c>
      <c r="C6854" s="3" t="s">
        <v>189</v>
      </c>
      <c r="D6854" s="3">
        <v>101.0</v>
      </c>
      <c r="E6854" s="3">
        <v>3.1</v>
      </c>
      <c r="F6854" s="3">
        <v>17.2</v>
      </c>
      <c r="G6854" s="3">
        <v>0.0</v>
      </c>
    </row>
    <row r="6855">
      <c r="A6855" s="3">
        <v>174365.0</v>
      </c>
      <c r="B6855" s="3" t="s">
        <v>6882</v>
      </c>
      <c r="C6855" s="3" t="s">
        <v>189</v>
      </c>
      <c r="D6855" s="3">
        <v>156.0</v>
      </c>
      <c r="E6855" s="3">
        <v>4.77</v>
      </c>
      <c r="F6855" s="3">
        <v>26.46</v>
      </c>
      <c r="G6855" s="3">
        <v>0.0</v>
      </c>
    </row>
    <row r="6856">
      <c r="A6856" s="3">
        <v>174366.0</v>
      </c>
      <c r="B6856" s="3" t="s">
        <v>6883</v>
      </c>
      <c r="C6856" s="3" t="s">
        <v>189</v>
      </c>
      <c r="D6856" s="3">
        <v>222.0</v>
      </c>
      <c r="E6856" s="3">
        <v>17.17</v>
      </c>
      <c r="F6856" s="3">
        <v>15.7</v>
      </c>
      <c r="G6856" s="3">
        <v>0.0</v>
      </c>
    </row>
    <row r="6857">
      <c r="A6857" s="3">
        <v>174367.0</v>
      </c>
      <c r="B6857" s="3" t="s">
        <v>6884</v>
      </c>
      <c r="C6857" s="3" t="s">
        <v>189</v>
      </c>
      <c r="D6857" s="3">
        <v>275.0</v>
      </c>
      <c r="E6857" s="3">
        <v>20.28</v>
      </c>
      <c r="F6857" s="3">
        <v>21.57</v>
      </c>
      <c r="G6857" s="3">
        <v>0.0</v>
      </c>
    </row>
    <row r="6858">
      <c r="A6858" s="3">
        <v>174368.0</v>
      </c>
      <c r="B6858" s="3" t="s">
        <v>6885</v>
      </c>
      <c r="C6858" s="3" t="s">
        <v>189</v>
      </c>
      <c r="D6858" s="3">
        <v>131.0</v>
      </c>
      <c r="E6858" s="3">
        <v>5.48</v>
      </c>
      <c r="F6858" s="3">
        <v>17.18</v>
      </c>
      <c r="G6858" s="3">
        <v>1.91</v>
      </c>
    </row>
    <row r="6859">
      <c r="A6859" s="3">
        <v>174369.0</v>
      </c>
      <c r="B6859" s="3" t="s">
        <v>6886</v>
      </c>
      <c r="C6859" s="3" t="s">
        <v>189</v>
      </c>
      <c r="D6859" s="3">
        <v>202.0</v>
      </c>
      <c r="E6859" s="3">
        <v>10.1</v>
      </c>
      <c r="F6859" s="3">
        <v>25.85</v>
      </c>
      <c r="G6859" s="3">
        <v>0.0</v>
      </c>
    </row>
    <row r="6860">
      <c r="A6860" s="3">
        <v>174370.0</v>
      </c>
      <c r="B6860" s="3" t="s">
        <v>6887</v>
      </c>
      <c r="C6860" s="3" t="s">
        <v>189</v>
      </c>
      <c r="D6860" s="3">
        <v>282.0</v>
      </c>
      <c r="E6860" s="3">
        <v>23.41</v>
      </c>
      <c r="F6860" s="3">
        <v>16.56</v>
      </c>
      <c r="G6860" s="3">
        <v>0.0</v>
      </c>
    </row>
    <row r="6861">
      <c r="A6861" s="3">
        <v>174371.0</v>
      </c>
      <c r="B6861" s="3" t="s">
        <v>6888</v>
      </c>
      <c r="C6861" s="3" t="s">
        <v>189</v>
      </c>
      <c r="D6861" s="3">
        <v>243.0</v>
      </c>
      <c r="E6861" s="3">
        <v>13.46</v>
      </c>
      <c r="F6861" s="3">
        <v>28.37</v>
      </c>
      <c r="G6861" s="3">
        <v>0.0</v>
      </c>
    </row>
    <row r="6862">
      <c r="A6862" s="3">
        <v>174372.0</v>
      </c>
      <c r="B6862" s="3" t="s">
        <v>6889</v>
      </c>
      <c r="C6862" s="3" t="s">
        <v>189</v>
      </c>
      <c r="D6862" s="3">
        <v>209.0</v>
      </c>
      <c r="E6862" s="3">
        <v>14.42</v>
      </c>
      <c r="F6862" s="3">
        <v>18.47</v>
      </c>
      <c r="G6862" s="3">
        <v>0.0</v>
      </c>
    </row>
    <row r="6863">
      <c r="A6863" s="3">
        <v>174373.0</v>
      </c>
      <c r="B6863" s="3" t="s">
        <v>6890</v>
      </c>
      <c r="C6863" s="3" t="s">
        <v>189</v>
      </c>
      <c r="D6863" s="3">
        <v>242.0</v>
      </c>
      <c r="E6863" s="3">
        <v>14.42</v>
      </c>
      <c r="F6863" s="3">
        <v>26.2</v>
      </c>
      <c r="G6863" s="3">
        <v>0.0</v>
      </c>
    </row>
    <row r="6864">
      <c r="A6864" s="3">
        <v>174374.0</v>
      </c>
      <c r="B6864" s="3" t="s">
        <v>6891</v>
      </c>
      <c r="C6864" s="3" t="s">
        <v>189</v>
      </c>
      <c r="D6864" s="3">
        <v>185.0</v>
      </c>
      <c r="E6864" s="3">
        <v>11.5</v>
      </c>
      <c r="F6864" s="3">
        <v>18.99</v>
      </c>
      <c r="G6864" s="3">
        <v>0.0</v>
      </c>
    </row>
    <row r="6865">
      <c r="A6865" s="3">
        <v>174375.0</v>
      </c>
      <c r="B6865" s="3" t="s">
        <v>6892</v>
      </c>
      <c r="C6865" s="3" t="s">
        <v>189</v>
      </c>
      <c r="D6865" s="3">
        <v>297.0</v>
      </c>
      <c r="E6865" s="3">
        <v>20.61</v>
      </c>
      <c r="F6865" s="3">
        <v>26.06</v>
      </c>
      <c r="G6865" s="3">
        <v>0.0</v>
      </c>
    </row>
    <row r="6866">
      <c r="A6866" s="3">
        <v>174376.0</v>
      </c>
      <c r="B6866" s="3" t="s">
        <v>6893</v>
      </c>
      <c r="C6866" s="3" t="s">
        <v>189</v>
      </c>
      <c r="D6866" s="3">
        <v>290.0</v>
      </c>
      <c r="E6866" s="3">
        <v>21.12</v>
      </c>
      <c r="F6866" s="3">
        <v>23.27</v>
      </c>
      <c r="G6866" s="3">
        <v>0.0</v>
      </c>
    </row>
    <row r="6867">
      <c r="A6867" s="3">
        <v>174377.0</v>
      </c>
      <c r="B6867" s="3" t="s">
        <v>6894</v>
      </c>
      <c r="C6867" s="3" t="s">
        <v>189</v>
      </c>
      <c r="D6867" s="3">
        <v>342.0</v>
      </c>
      <c r="E6867" s="3">
        <v>30.71</v>
      </c>
      <c r="F6867" s="3">
        <v>15.32</v>
      </c>
      <c r="G6867" s="3">
        <v>0.0</v>
      </c>
    </row>
    <row r="6868">
      <c r="A6868" s="3">
        <v>174378.0</v>
      </c>
      <c r="B6868" s="3" t="s">
        <v>6895</v>
      </c>
      <c r="C6868" s="3" t="s">
        <v>189</v>
      </c>
      <c r="D6868" s="3">
        <v>340.0</v>
      </c>
      <c r="E6868" s="3">
        <v>26.82</v>
      </c>
      <c r="F6868" s="3">
        <v>23.06</v>
      </c>
      <c r="G6868" s="3">
        <v>0.0</v>
      </c>
    </row>
    <row r="6869">
      <c r="A6869" s="3">
        <v>174379.0</v>
      </c>
      <c r="B6869" s="3" t="s">
        <v>6896</v>
      </c>
      <c r="C6869" s="3" t="s">
        <v>189</v>
      </c>
      <c r="D6869" s="3">
        <v>269.0</v>
      </c>
      <c r="E6869" s="3">
        <v>19.08</v>
      </c>
      <c r="F6869" s="3">
        <v>22.7</v>
      </c>
      <c r="G6869" s="3">
        <v>0.0</v>
      </c>
    </row>
    <row r="6870">
      <c r="A6870" s="3">
        <v>174380.0</v>
      </c>
      <c r="B6870" s="3" t="s">
        <v>6897</v>
      </c>
      <c r="C6870" s="3" t="s">
        <v>189</v>
      </c>
      <c r="D6870" s="3">
        <v>244.0</v>
      </c>
      <c r="E6870" s="3">
        <v>18.94</v>
      </c>
      <c r="F6870" s="3">
        <v>17.19</v>
      </c>
      <c r="G6870" s="3">
        <v>0.0</v>
      </c>
    </row>
    <row r="6871">
      <c r="A6871" s="3">
        <v>174381.0</v>
      </c>
      <c r="B6871" s="3" t="s">
        <v>6898</v>
      </c>
      <c r="C6871" s="3" t="s">
        <v>189</v>
      </c>
      <c r="D6871" s="3">
        <v>337.0</v>
      </c>
      <c r="E6871" s="3">
        <v>22.65</v>
      </c>
      <c r="F6871" s="3">
        <v>31.1</v>
      </c>
      <c r="G6871" s="3">
        <v>0.0</v>
      </c>
    </row>
    <row r="6872">
      <c r="A6872" s="3">
        <v>174382.0</v>
      </c>
      <c r="B6872" s="3" t="s">
        <v>6899</v>
      </c>
      <c r="C6872" s="3" t="s">
        <v>189</v>
      </c>
      <c r="D6872" s="3">
        <v>269.0</v>
      </c>
      <c r="E6872" s="3">
        <v>18.05</v>
      </c>
      <c r="F6872" s="3">
        <v>24.91</v>
      </c>
      <c r="G6872" s="3">
        <v>0.0</v>
      </c>
    </row>
    <row r="6873">
      <c r="A6873" s="3">
        <v>174383.0</v>
      </c>
      <c r="B6873" s="3" t="s">
        <v>6900</v>
      </c>
      <c r="C6873" s="3" t="s">
        <v>189</v>
      </c>
      <c r="D6873" s="3">
        <v>267.0</v>
      </c>
      <c r="E6873" s="3">
        <v>18.75</v>
      </c>
      <c r="F6873" s="3">
        <v>22.93</v>
      </c>
      <c r="G6873" s="3">
        <v>0.0</v>
      </c>
    </row>
    <row r="6874">
      <c r="A6874" s="3">
        <v>174384.0</v>
      </c>
      <c r="B6874" s="3" t="s">
        <v>6901</v>
      </c>
      <c r="C6874" s="3" t="s">
        <v>189</v>
      </c>
      <c r="D6874" s="3">
        <v>232.0</v>
      </c>
      <c r="E6874" s="3">
        <v>17.2</v>
      </c>
      <c r="F6874" s="3">
        <v>17.95</v>
      </c>
      <c r="G6874" s="3">
        <v>0.0</v>
      </c>
    </row>
    <row r="6875">
      <c r="A6875" s="3">
        <v>174385.0</v>
      </c>
      <c r="B6875" s="3" t="s">
        <v>6902</v>
      </c>
      <c r="C6875" s="3" t="s">
        <v>189</v>
      </c>
      <c r="D6875" s="3">
        <v>270.0</v>
      </c>
      <c r="E6875" s="3">
        <v>17.98</v>
      </c>
      <c r="F6875" s="3">
        <v>25.26</v>
      </c>
      <c r="G6875" s="3">
        <v>0.0</v>
      </c>
    </row>
    <row r="6876">
      <c r="A6876" s="3">
        <v>174386.0</v>
      </c>
      <c r="B6876" s="3" t="s">
        <v>6903</v>
      </c>
      <c r="C6876" s="3" t="s">
        <v>189</v>
      </c>
      <c r="D6876" s="3">
        <v>223.0</v>
      </c>
      <c r="E6876" s="3">
        <v>16.15</v>
      </c>
      <c r="F6876" s="3">
        <v>18.04</v>
      </c>
      <c r="G6876" s="3">
        <v>0.0</v>
      </c>
    </row>
    <row r="6877">
      <c r="A6877" s="3">
        <v>174387.0</v>
      </c>
      <c r="B6877" s="3" t="s">
        <v>6904</v>
      </c>
      <c r="C6877" s="3" t="s">
        <v>189</v>
      </c>
      <c r="D6877" s="3">
        <v>258.0</v>
      </c>
      <c r="E6877" s="3">
        <v>15.83</v>
      </c>
      <c r="F6877" s="3">
        <v>26.97</v>
      </c>
      <c r="G6877" s="3">
        <v>0.0</v>
      </c>
    </row>
    <row r="6878">
      <c r="A6878" s="3">
        <v>174388.0</v>
      </c>
      <c r="B6878" s="3" t="s">
        <v>6905</v>
      </c>
      <c r="C6878" s="3" t="s">
        <v>189</v>
      </c>
      <c r="D6878" s="3">
        <v>311.0</v>
      </c>
      <c r="E6878" s="3">
        <v>27.0</v>
      </c>
      <c r="F6878" s="3">
        <v>15.87</v>
      </c>
      <c r="G6878" s="3">
        <v>0.0</v>
      </c>
    </row>
    <row r="6879">
      <c r="A6879" s="3">
        <v>174389.0</v>
      </c>
      <c r="B6879" s="3" t="s">
        <v>6906</v>
      </c>
      <c r="C6879" s="3" t="s">
        <v>189</v>
      </c>
      <c r="D6879" s="3">
        <v>317.0</v>
      </c>
      <c r="E6879" s="3">
        <v>25.74</v>
      </c>
      <c r="F6879" s="3">
        <v>19.86</v>
      </c>
      <c r="G6879" s="3">
        <v>0.0</v>
      </c>
    </row>
    <row r="6880">
      <c r="A6880" s="3">
        <v>174390.0</v>
      </c>
      <c r="B6880" s="3" t="s">
        <v>6907</v>
      </c>
      <c r="C6880" s="3" t="s">
        <v>189</v>
      </c>
      <c r="D6880" s="3">
        <v>251.0</v>
      </c>
      <c r="E6880" s="3">
        <v>19.74</v>
      </c>
      <c r="F6880" s="3">
        <v>17.19</v>
      </c>
      <c r="G6880" s="3">
        <v>0.0</v>
      </c>
    </row>
    <row r="6881">
      <c r="A6881" s="3">
        <v>174391.0</v>
      </c>
      <c r="B6881" s="3" t="s">
        <v>6908</v>
      </c>
      <c r="C6881" s="3" t="s">
        <v>189</v>
      </c>
      <c r="D6881" s="3">
        <v>342.0</v>
      </c>
      <c r="E6881" s="3">
        <v>24.03</v>
      </c>
      <c r="F6881" s="3">
        <v>29.43</v>
      </c>
      <c r="G6881" s="3">
        <v>0.0</v>
      </c>
    </row>
    <row r="6882">
      <c r="A6882" s="3">
        <v>174392.0</v>
      </c>
      <c r="B6882" s="3" t="s">
        <v>6909</v>
      </c>
      <c r="C6882" s="3" t="s">
        <v>189</v>
      </c>
      <c r="D6882" s="3">
        <v>208.0</v>
      </c>
      <c r="E6882" s="3">
        <v>14.75</v>
      </c>
      <c r="F6882" s="3">
        <v>17.47</v>
      </c>
      <c r="G6882" s="3">
        <v>0.0</v>
      </c>
    </row>
    <row r="6883">
      <c r="A6883" s="3">
        <v>174393.0</v>
      </c>
      <c r="B6883" s="3" t="s">
        <v>6910</v>
      </c>
      <c r="C6883" s="3" t="s">
        <v>189</v>
      </c>
      <c r="D6883" s="3">
        <v>266.0</v>
      </c>
      <c r="E6883" s="3">
        <v>16.77</v>
      </c>
      <c r="F6883" s="3">
        <v>26.97</v>
      </c>
      <c r="G6883" s="3">
        <v>0.0</v>
      </c>
    </row>
    <row r="6884">
      <c r="A6884" s="3">
        <v>174394.0</v>
      </c>
      <c r="B6884" s="3" t="s">
        <v>6911</v>
      </c>
      <c r="C6884" s="3" t="s">
        <v>189</v>
      </c>
      <c r="D6884" s="3">
        <v>282.0</v>
      </c>
      <c r="E6884" s="3">
        <v>18.95</v>
      </c>
      <c r="F6884" s="3">
        <v>25.93</v>
      </c>
      <c r="G6884" s="3">
        <v>0.0</v>
      </c>
    </row>
    <row r="6885">
      <c r="A6885" s="3">
        <v>174395.0</v>
      </c>
      <c r="B6885" s="3" t="s">
        <v>6912</v>
      </c>
      <c r="C6885" s="3" t="s">
        <v>189</v>
      </c>
      <c r="D6885" s="3">
        <v>248.0</v>
      </c>
      <c r="E6885" s="3">
        <v>14.16</v>
      </c>
      <c r="F6885" s="3">
        <v>28.23</v>
      </c>
      <c r="G6885" s="3">
        <v>0.0</v>
      </c>
    </row>
    <row r="6886">
      <c r="A6886" s="3">
        <v>174396.0</v>
      </c>
      <c r="B6886" s="3" t="s">
        <v>6913</v>
      </c>
      <c r="C6886" s="3" t="s">
        <v>189</v>
      </c>
      <c r="D6886" s="3">
        <v>218.0</v>
      </c>
      <c r="E6886" s="3">
        <v>9.8</v>
      </c>
      <c r="F6886" s="3">
        <v>30.32</v>
      </c>
      <c r="G6886" s="3">
        <v>0.0</v>
      </c>
    </row>
    <row r="6887">
      <c r="A6887" s="3">
        <v>174397.0</v>
      </c>
      <c r="B6887" s="3" t="s">
        <v>6914</v>
      </c>
      <c r="C6887" s="3" t="s">
        <v>189</v>
      </c>
      <c r="D6887" s="3">
        <v>229.0</v>
      </c>
      <c r="E6887" s="3">
        <v>16.97</v>
      </c>
      <c r="F6887" s="3">
        <v>17.84</v>
      </c>
      <c r="G6887" s="3">
        <v>0.0</v>
      </c>
    </row>
    <row r="6888">
      <c r="A6888" s="3">
        <v>174398.0</v>
      </c>
      <c r="B6888" s="3" t="s">
        <v>6915</v>
      </c>
      <c r="C6888" s="3" t="s">
        <v>189</v>
      </c>
      <c r="D6888" s="3">
        <v>256.0</v>
      </c>
      <c r="E6888" s="3">
        <v>16.82</v>
      </c>
      <c r="F6888" s="3">
        <v>24.52</v>
      </c>
      <c r="G6888" s="3">
        <v>0.0</v>
      </c>
    </row>
    <row r="6889">
      <c r="A6889" s="3">
        <v>174399.0</v>
      </c>
      <c r="B6889" s="3" t="s">
        <v>6916</v>
      </c>
      <c r="C6889" s="3" t="s">
        <v>189</v>
      </c>
      <c r="D6889" s="3">
        <v>142.0</v>
      </c>
      <c r="E6889" s="3">
        <v>6.18</v>
      </c>
      <c r="F6889" s="3">
        <v>20.25</v>
      </c>
      <c r="G6889" s="3">
        <v>0.0</v>
      </c>
    </row>
    <row r="6890">
      <c r="A6890" s="3">
        <v>174400.0</v>
      </c>
      <c r="B6890" s="3" t="s">
        <v>6917</v>
      </c>
      <c r="C6890" s="3" t="s">
        <v>189</v>
      </c>
      <c r="D6890" s="3">
        <v>201.0</v>
      </c>
      <c r="E6890" s="3">
        <v>9.63</v>
      </c>
      <c r="F6890" s="3">
        <v>26.71</v>
      </c>
      <c r="G6890" s="3">
        <v>0.0</v>
      </c>
    </row>
    <row r="6891">
      <c r="A6891" s="3">
        <v>174401.0</v>
      </c>
      <c r="B6891" s="3" t="s">
        <v>6918</v>
      </c>
      <c r="C6891" s="3" t="s">
        <v>189</v>
      </c>
      <c r="D6891" s="3">
        <v>123.0</v>
      </c>
      <c r="E6891" s="3">
        <v>3.81</v>
      </c>
      <c r="F6891" s="3">
        <v>20.83</v>
      </c>
      <c r="G6891" s="3">
        <v>0.0</v>
      </c>
    </row>
    <row r="6892">
      <c r="A6892" s="3">
        <v>174402.0</v>
      </c>
      <c r="B6892" s="3" t="s">
        <v>6919</v>
      </c>
      <c r="C6892" s="3" t="s">
        <v>189</v>
      </c>
      <c r="D6892" s="3">
        <v>165.0</v>
      </c>
      <c r="E6892" s="3">
        <v>5.22</v>
      </c>
      <c r="F6892" s="3">
        <v>27.5</v>
      </c>
      <c r="G6892" s="3">
        <v>0.0</v>
      </c>
    </row>
    <row r="6893">
      <c r="A6893" s="3">
        <v>174403.0</v>
      </c>
      <c r="B6893" s="3" t="s">
        <v>6920</v>
      </c>
      <c r="C6893" s="3" t="s">
        <v>189</v>
      </c>
      <c r="D6893" s="3">
        <v>215.0</v>
      </c>
      <c r="E6893" s="3">
        <v>15.19</v>
      </c>
      <c r="F6893" s="3">
        <v>18.24</v>
      </c>
      <c r="G6893" s="3">
        <v>0.0</v>
      </c>
    </row>
    <row r="6894">
      <c r="A6894" s="3">
        <v>174404.0</v>
      </c>
      <c r="B6894" s="3" t="s">
        <v>6921</v>
      </c>
      <c r="C6894" s="3" t="s">
        <v>189</v>
      </c>
      <c r="D6894" s="3">
        <v>244.0</v>
      </c>
      <c r="E6894" s="3">
        <v>15.13</v>
      </c>
      <c r="F6894" s="3">
        <v>25.16</v>
      </c>
      <c r="G6894" s="3">
        <v>0.0</v>
      </c>
    </row>
    <row r="6895">
      <c r="A6895" s="3">
        <v>174405.0</v>
      </c>
      <c r="B6895" s="3" t="s">
        <v>6922</v>
      </c>
      <c r="C6895" s="3" t="s">
        <v>189</v>
      </c>
      <c r="D6895" s="3">
        <v>182.0</v>
      </c>
      <c r="E6895" s="3">
        <v>7.27</v>
      </c>
      <c r="F6895" s="3">
        <v>27.18</v>
      </c>
      <c r="G6895" s="3">
        <v>0.0</v>
      </c>
    </row>
    <row r="6896">
      <c r="A6896" s="3">
        <v>174406.0</v>
      </c>
      <c r="B6896" s="3" t="s">
        <v>6923</v>
      </c>
      <c r="C6896" s="3" t="s">
        <v>189</v>
      </c>
      <c r="D6896" s="3">
        <v>254.0</v>
      </c>
      <c r="E6896" s="3">
        <v>20.0</v>
      </c>
      <c r="F6896" s="3">
        <v>17.25</v>
      </c>
      <c r="G6896" s="3">
        <v>0.0</v>
      </c>
    </row>
    <row r="6897">
      <c r="A6897" s="3">
        <v>174407.0</v>
      </c>
      <c r="B6897" s="3" t="s">
        <v>6924</v>
      </c>
      <c r="C6897" s="3" t="s">
        <v>189</v>
      </c>
      <c r="D6897" s="3">
        <v>281.0</v>
      </c>
      <c r="E6897" s="3">
        <v>19.38</v>
      </c>
      <c r="F6897" s="3">
        <v>24.88</v>
      </c>
      <c r="G6897" s="3">
        <v>0.0</v>
      </c>
    </row>
    <row r="6898">
      <c r="A6898" s="3">
        <v>174408.0</v>
      </c>
      <c r="B6898" s="3" t="s">
        <v>6925</v>
      </c>
      <c r="C6898" s="3" t="s">
        <v>189</v>
      </c>
      <c r="D6898" s="3">
        <v>138.0</v>
      </c>
      <c r="E6898" s="3">
        <v>5.64</v>
      </c>
      <c r="F6898" s="3">
        <v>20.48</v>
      </c>
      <c r="G6898" s="3">
        <v>0.0</v>
      </c>
    </row>
    <row r="6899">
      <c r="A6899" s="3">
        <v>174409.0</v>
      </c>
      <c r="B6899" s="3" t="s">
        <v>6926</v>
      </c>
      <c r="C6899" s="3" t="s">
        <v>189</v>
      </c>
      <c r="D6899" s="3">
        <v>188.0</v>
      </c>
      <c r="E6899" s="3">
        <v>7.8</v>
      </c>
      <c r="F6899" s="3">
        <v>27.63</v>
      </c>
      <c r="G6899" s="3">
        <v>0.0</v>
      </c>
    </row>
    <row r="6900">
      <c r="A6900" s="3">
        <v>174410.0</v>
      </c>
      <c r="B6900" s="3" t="s">
        <v>6927</v>
      </c>
      <c r="C6900" s="3" t="s">
        <v>189</v>
      </c>
      <c r="D6900" s="3">
        <v>195.0</v>
      </c>
      <c r="E6900" s="3">
        <v>12.56</v>
      </c>
      <c r="F6900" s="3">
        <v>19.17</v>
      </c>
      <c r="G6900" s="3">
        <v>0.0</v>
      </c>
    </row>
    <row r="6901">
      <c r="A6901" s="3">
        <v>174411.0</v>
      </c>
      <c r="B6901" s="3" t="s">
        <v>6928</v>
      </c>
      <c r="C6901" s="3" t="s">
        <v>189</v>
      </c>
      <c r="D6901" s="3">
        <v>215.0</v>
      </c>
      <c r="E6901" s="3">
        <v>11.78</v>
      </c>
      <c r="F6901" s="3">
        <v>25.54</v>
      </c>
      <c r="G6901" s="3">
        <v>0.0</v>
      </c>
    </row>
    <row r="6902">
      <c r="A6902" s="3">
        <v>174412.0</v>
      </c>
      <c r="B6902" s="3" t="s">
        <v>6929</v>
      </c>
      <c r="C6902" s="3" t="s">
        <v>189</v>
      </c>
      <c r="D6902" s="3">
        <v>143.0</v>
      </c>
      <c r="E6902" s="3">
        <v>6.08</v>
      </c>
      <c r="F6902" s="3">
        <v>20.65</v>
      </c>
      <c r="G6902" s="3">
        <v>0.0</v>
      </c>
    </row>
    <row r="6903">
      <c r="A6903" s="3">
        <v>174413.0</v>
      </c>
      <c r="B6903" s="3" t="s">
        <v>6930</v>
      </c>
      <c r="C6903" s="3" t="s">
        <v>189</v>
      </c>
      <c r="D6903" s="3">
        <v>192.0</v>
      </c>
      <c r="E6903" s="3">
        <v>8.75</v>
      </c>
      <c r="F6903" s="3">
        <v>26.53</v>
      </c>
      <c r="G6903" s="3">
        <v>0.0</v>
      </c>
    </row>
    <row r="6904">
      <c r="A6904" s="3">
        <v>174414.0</v>
      </c>
      <c r="B6904" s="3" t="s">
        <v>6931</v>
      </c>
      <c r="C6904" s="3" t="s">
        <v>189</v>
      </c>
      <c r="D6904" s="3">
        <v>237.0</v>
      </c>
      <c r="E6904" s="3">
        <v>16.89</v>
      </c>
      <c r="F6904" s="3">
        <v>21.26</v>
      </c>
      <c r="G6904" s="3">
        <v>0.0</v>
      </c>
    </row>
    <row r="6905">
      <c r="A6905" s="3">
        <v>174415.0</v>
      </c>
      <c r="B6905" s="3" t="s">
        <v>6932</v>
      </c>
      <c r="C6905" s="3" t="s">
        <v>189</v>
      </c>
      <c r="D6905" s="3">
        <v>305.0</v>
      </c>
      <c r="E6905" s="3">
        <v>21.2</v>
      </c>
      <c r="F6905" s="3">
        <v>28.48</v>
      </c>
      <c r="G6905" s="3">
        <v>0.0</v>
      </c>
    </row>
    <row r="6906">
      <c r="A6906" s="3">
        <v>174416.0</v>
      </c>
      <c r="B6906" s="3" t="s">
        <v>6933</v>
      </c>
      <c r="C6906" s="3" t="s">
        <v>189</v>
      </c>
      <c r="D6906" s="3">
        <v>147.0</v>
      </c>
      <c r="E6906" s="3">
        <v>5.59</v>
      </c>
      <c r="F6906" s="3">
        <v>24.07</v>
      </c>
      <c r="G6906" s="3">
        <v>0.0</v>
      </c>
    </row>
    <row r="6907">
      <c r="A6907" s="3">
        <v>174417.0</v>
      </c>
      <c r="B6907" s="3" t="s">
        <v>6934</v>
      </c>
      <c r="C6907" s="3" t="s">
        <v>189</v>
      </c>
      <c r="D6907" s="3">
        <v>243.0</v>
      </c>
      <c r="E6907" s="3">
        <v>18.89</v>
      </c>
      <c r="F6907" s="3">
        <v>17.06</v>
      </c>
      <c r="G6907" s="3">
        <v>0.0</v>
      </c>
    </row>
    <row r="6908">
      <c r="A6908" s="3">
        <v>174418.0</v>
      </c>
      <c r="B6908" s="3" t="s">
        <v>6935</v>
      </c>
      <c r="C6908" s="3" t="s">
        <v>189</v>
      </c>
      <c r="D6908" s="3">
        <v>311.0</v>
      </c>
      <c r="E6908" s="3">
        <v>20.38</v>
      </c>
      <c r="F6908" s="3">
        <v>29.7</v>
      </c>
      <c r="G6908" s="3">
        <v>0.0</v>
      </c>
    </row>
    <row r="6909">
      <c r="A6909" s="3">
        <v>174419.0</v>
      </c>
      <c r="B6909" s="3" t="s">
        <v>6936</v>
      </c>
      <c r="C6909" s="3" t="s">
        <v>189</v>
      </c>
      <c r="D6909" s="3">
        <v>137.0</v>
      </c>
      <c r="E6909" s="3">
        <v>5.81</v>
      </c>
      <c r="F6909" s="3">
        <v>19.88</v>
      </c>
      <c r="G6909" s="3">
        <v>0.0</v>
      </c>
    </row>
    <row r="6910">
      <c r="A6910" s="3">
        <v>174420.0</v>
      </c>
      <c r="B6910" s="3" t="s">
        <v>6937</v>
      </c>
      <c r="C6910" s="3" t="s">
        <v>189</v>
      </c>
      <c r="D6910" s="3">
        <v>238.0</v>
      </c>
      <c r="E6910" s="3">
        <v>10.23</v>
      </c>
      <c r="F6910" s="3">
        <v>34.17</v>
      </c>
      <c r="G6910" s="3">
        <v>0.0</v>
      </c>
    </row>
    <row r="6911">
      <c r="A6911" s="3">
        <v>174421.0</v>
      </c>
      <c r="B6911" s="3" t="s">
        <v>6938</v>
      </c>
      <c r="C6911" s="3" t="s">
        <v>189</v>
      </c>
      <c r="D6911" s="3">
        <v>223.0</v>
      </c>
      <c r="E6911" s="3">
        <v>15.93</v>
      </c>
      <c r="F6911" s="3">
        <v>18.67</v>
      </c>
      <c r="G6911" s="3">
        <v>0.0</v>
      </c>
    </row>
    <row r="6912">
      <c r="A6912" s="3">
        <v>174422.0</v>
      </c>
      <c r="B6912" s="3" t="s">
        <v>6939</v>
      </c>
      <c r="C6912" s="3" t="s">
        <v>189</v>
      </c>
      <c r="D6912" s="3">
        <v>238.0</v>
      </c>
      <c r="E6912" s="3">
        <v>15.13</v>
      </c>
      <c r="F6912" s="3">
        <v>23.77</v>
      </c>
      <c r="G6912" s="3">
        <v>0.0</v>
      </c>
    </row>
    <row r="6913">
      <c r="A6913" s="3">
        <v>174423.0</v>
      </c>
      <c r="B6913" s="3" t="s">
        <v>6940</v>
      </c>
      <c r="C6913" s="3" t="s">
        <v>189</v>
      </c>
      <c r="D6913" s="3">
        <v>171.0</v>
      </c>
      <c r="E6913" s="3">
        <v>5.65</v>
      </c>
      <c r="F6913" s="3">
        <v>28.05</v>
      </c>
      <c r="G6913" s="3">
        <v>0.0</v>
      </c>
    </row>
    <row r="6914">
      <c r="A6914" s="3">
        <v>174424.0</v>
      </c>
      <c r="B6914" s="3" t="s">
        <v>6941</v>
      </c>
      <c r="C6914" s="3" t="s">
        <v>189</v>
      </c>
      <c r="D6914" s="3">
        <v>193.0</v>
      </c>
      <c r="E6914" s="3">
        <v>5.43</v>
      </c>
      <c r="F6914" s="3">
        <v>33.78</v>
      </c>
      <c r="G6914" s="3">
        <v>0.0</v>
      </c>
    </row>
    <row r="6915">
      <c r="A6915" s="3">
        <v>174425.0</v>
      </c>
      <c r="B6915" s="3" t="s">
        <v>6942</v>
      </c>
      <c r="C6915" s="3" t="s">
        <v>189</v>
      </c>
      <c r="D6915" s="3">
        <v>172.0</v>
      </c>
      <c r="E6915" s="3">
        <v>8.82</v>
      </c>
      <c r="F6915" s="3">
        <v>21.76</v>
      </c>
      <c r="G6915" s="3">
        <v>0.0</v>
      </c>
    </row>
    <row r="6916">
      <c r="A6916" s="3">
        <v>174426.0</v>
      </c>
      <c r="B6916" s="3" t="s">
        <v>6943</v>
      </c>
      <c r="C6916" s="3" t="s">
        <v>189</v>
      </c>
      <c r="D6916" s="3">
        <v>193.0</v>
      </c>
      <c r="E6916" s="3">
        <v>8.74</v>
      </c>
      <c r="F6916" s="3">
        <v>26.64</v>
      </c>
      <c r="G6916" s="3">
        <v>0.0</v>
      </c>
    </row>
    <row r="6917">
      <c r="A6917" s="3">
        <v>174427.0</v>
      </c>
      <c r="B6917" s="3" t="s">
        <v>6944</v>
      </c>
      <c r="C6917" s="3" t="s">
        <v>189</v>
      </c>
      <c r="D6917" s="3">
        <v>167.0</v>
      </c>
      <c r="E6917" s="3">
        <v>3.84</v>
      </c>
      <c r="F6917" s="3">
        <v>31.0</v>
      </c>
      <c r="G6917" s="3">
        <v>0.0</v>
      </c>
    </row>
    <row r="6918">
      <c r="A6918" s="3">
        <v>174428.0</v>
      </c>
      <c r="B6918" s="3" t="s">
        <v>6945</v>
      </c>
      <c r="C6918" s="3" t="s">
        <v>189</v>
      </c>
      <c r="D6918" s="3">
        <v>156.0</v>
      </c>
      <c r="E6918" s="3">
        <v>2.64</v>
      </c>
      <c r="F6918" s="3">
        <v>30.94</v>
      </c>
      <c r="G6918" s="3">
        <v>0.0</v>
      </c>
    </row>
    <row r="6919">
      <c r="A6919" s="3">
        <v>174429.0</v>
      </c>
      <c r="B6919" s="3" t="s">
        <v>6946</v>
      </c>
      <c r="C6919" s="3" t="s">
        <v>189</v>
      </c>
      <c r="D6919" s="3">
        <v>162.0</v>
      </c>
      <c r="E6919" s="3">
        <v>3.41</v>
      </c>
      <c r="F6919" s="3">
        <v>30.76</v>
      </c>
      <c r="G6919" s="3">
        <v>0.0</v>
      </c>
    </row>
    <row r="6920">
      <c r="A6920" s="3">
        <v>174430.0</v>
      </c>
      <c r="B6920" s="3" t="s">
        <v>6947</v>
      </c>
      <c r="C6920" s="3" t="s">
        <v>189</v>
      </c>
      <c r="D6920" s="3">
        <v>149.0</v>
      </c>
      <c r="E6920" s="3">
        <v>2.35</v>
      </c>
      <c r="F6920" s="3">
        <v>29.9</v>
      </c>
      <c r="G6920" s="3">
        <v>0.0</v>
      </c>
    </row>
    <row r="6921">
      <c r="A6921" s="3">
        <v>174431.0</v>
      </c>
      <c r="B6921" s="3" t="s">
        <v>6948</v>
      </c>
      <c r="C6921" s="3" t="s">
        <v>189</v>
      </c>
      <c r="D6921" s="3">
        <v>152.0</v>
      </c>
      <c r="E6921" s="3">
        <v>1.92</v>
      </c>
      <c r="F6921" s="3">
        <v>31.47</v>
      </c>
      <c r="G6921" s="3">
        <v>0.0</v>
      </c>
    </row>
    <row r="6922">
      <c r="A6922" s="3">
        <v>174432.0</v>
      </c>
      <c r="B6922" s="3" t="s">
        <v>6949</v>
      </c>
      <c r="C6922" s="3" t="s">
        <v>189</v>
      </c>
      <c r="D6922" s="3">
        <v>123.0</v>
      </c>
      <c r="E6922" s="3">
        <v>4.65</v>
      </c>
      <c r="F6922" s="3">
        <v>20.18</v>
      </c>
      <c r="G6922" s="3">
        <v>0.0</v>
      </c>
    </row>
    <row r="6923">
      <c r="A6923" s="3">
        <v>174433.0</v>
      </c>
      <c r="B6923" s="3" t="s">
        <v>6950</v>
      </c>
      <c r="C6923" s="3" t="s">
        <v>189</v>
      </c>
      <c r="D6923" s="3">
        <v>145.0</v>
      </c>
      <c r="E6923" s="3">
        <v>7.42</v>
      </c>
      <c r="F6923" s="3">
        <v>19.58</v>
      </c>
      <c r="G6923" s="3">
        <v>0.0</v>
      </c>
    </row>
    <row r="6924">
      <c r="A6924" s="3">
        <v>174434.0</v>
      </c>
      <c r="B6924" s="3" t="s">
        <v>6951</v>
      </c>
      <c r="C6924" s="3" t="s">
        <v>189</v>
      </c>
      <c r="D6924" s="3">
        <v>640.0</v>
      </c>
      <c r="E6924" s="3">
        <v>68.53</v>
      </c>
      <c r="F6924" s="3">
        <v>4.63</v>
      </c>
      <c r="G6924" s="3">
        <v>1.26</v>
      </c>
    </row>
    <row r="6925">
      <c r="A6925" s="3">
        <v>174435.0</v>
      </c>
      <c r="B6925" s="3" t="s">
        <v>6952</v>
      </c>
      <c r="C6925" s="3" t="s">
        <v>189</v>
      </c>
      <c r="D6925" s="3">
        <v>703.0</v>
      </c>
      <c r="E6925" s="3">
        <v>76.16</v>
      </c>
      <c r="F6925" s="3">
        <v>3.87</v>
      </c>
      <c r="G6925" s="3">
        <v>0.55</v>
      </c>
    </row>
    <row r="6926">
      <c r="A6926" s="3">
        <v>174436.0</v>
      </c>
      <c r="B6926" s="3" t="s">
        <v>6953</v>
      </c>
      <c r="C6926" s="3" t="s">
        <v>189</v>
      </c>
      <c r="D6926" s="3">
        <v>154.0</v>
      </c>
      <c r="E6926" s="3">
        <v>10.92</v>
      </c>
      <c r="F6926" s="3">
        <v>14.03</v>
      </c>
      <c r="G6926" s="3">
        <v>0.0</v>
      </c>
    </row>
    <row r="6927">
      <c r="A6927" s="3">
        <v>174437.0</v>
      </c>
      <c r="B6927" s="3" t="s">
        <v>6954</v>
      </c>
      <c r="C6927" s="3" t="s">
        <v>189</v>
      </c>
      <c r="D6927" s="3">
        <v>118.0</v>
      </c>
      <c r="E6927" s="3">
        <v>8.03</v>
      </c>
      <c r="F6927" s="3">
        <v>11.33</v>
      </c>
      <c r="G6927" s="3">
        <v>0.0</v>
      </c>
    </row>
    <row r="6928">
      <c r="A6928" s="3">
        <v>174438.0</v>
      </c>
      <c r="B6928" s="3" t="s">
        <v>6955</v>
      </c>
      <c r="C6928" s="3" t="s">
        <v>189</v>
      </c>
      <c r="D6928" s="3">
        <v>121.0</v>
      </c>
      <c r="E6928" s="3">
        <v>3.83</v>
      </c>
      <c r="F6928" s="3">
        <v>21.68</v>
      </c>
      <c r="G6928" s="3">
        <v>0.0</v>
      </c>
    </row>
    <row r="6929">
      <c r="A6929" s="3">
        <v>174439.0</v>
      </c>
      <c r="B6929" s="3" t="s">
        <v>6956</v>
      </c>
      <c r="C6929" s="3" t="s">
        <v>189</v>
      </c>
      <c r="D6929" s="3">
        <v>112.0</v>
      </c>
      <c r="E6929" s="3">
        <v>3.56</v>
      </c>
      <c r="F6929" s="3">
        <v>19.78</v>
      </c>
      <c r="G6929" s="3">
        <v>0.18</v>
      </c>
    </row>
    <row r="6930">
      <c r="A6930" s="3">
        <v>174440.0</v>
      </c>
      <c r="B6930" s="3" t="s">
        <v>6957</v>
      </c>
      <c r="C6930" s="3" t="s">
        <v>189</v>
      </c>
      <c r="D6930" s="3">
        <v>234.0</v>
      </c>
      <c r="E6930" s="3">
        <v>13.6</v>
      </c>
      <c r="F6930" s="3">
        <v>27.88</v>
      </c>
      <c r="G6930" s="3">
        <v>0.0</v>
      </c>
    </row>
    <row r="6931">
      <c r="A6931" s="3">
        <v>174441.0</v>
      </c>
      <c r="B6931" s="3" t="s">
        <v>6958</v>
      </c>
      <c r="C6931" s="3" t="s">
        <v>189</v>
      </c>
      <c r="D6931" s="3">
        <v>180.0</v>
      </c>
      <c r="E6931" s="3">
        <v>10.31</v>
      </c>
      <c r="F6931" s="3">
        <v>21.72</v>
      </c>
      <c r="G6931" s="3">
        <v>0.0</v>
      </c>
    </row>
    <row r="6932">
      <c r="A6932" s="3">
        <v>174442.0</v>
      </c>
      <c r="B6932" s="3" t="s">
        <v>6959</v>
      </c>
      <c r="C6932" s="3" t="s">
        <v>189</v>
      </c>
      <c r="D6932" s="3">
        <v>84.0</v>
      </c>
      <c r="E6932" s="3">
        <v>2.54</v>
      </c>
      <c r="F6932" s="3">
        <v>15.21</v>
      </c>
      <c r="G6932" s="3">
        <v>0.03</v>
      </c>
    </row>
    <row r="6933">
      <c r="A6933" s="3">
        <v>174443.0</v>
      </c>
      <c r="B6933" s="3" t="s">
        <v>6960</v>
      </c>
      <c r="C6933" s="3" t="s">
        <v>189</v>
      </c>
      <c r="D6933" s="3">
        <v>161.0</v>
      </c>
      <c r="E6933" s="3">
        <v>6.21</v>
      </c>
      <c r="F6933" s="3">
        <v>26.26</v>
      </c>
      <c r="G6933" s="3">
        <v>0.0</v>
      </c>
    </row>
    <row r="6934">
      <c r="A6934" s="3">
        <v>174444.0</v>
      </c>
      <c r="B6934" s="3" t="s">
        <v>6961</v>
      </c>
      <c r="C6934" s="3" t="s">
        <v>189</v>
      </c>
      <c r="D6934" s="3">
        <v>105.0</v>
      </c>
      <c r="E6934" s="3">
        <v>3.68</v>
      </c>
      <c r="F6934" s="3">
        <v>18.09</v>
      </c>
      <c r="G6934" s="3">
        <v>0.0</v>
      </c>
    </row>
    <row r="6935">
      <c r="A6935" s="3">
        <v>174445.0</v>
      </c>
      <c r="B6935" s="3" t="s">
        <v>6962</v>
      </c>
      <c r="C6935" s="3" t="s">
        <v>189</v>
      </c>
      <c r="D6935" s="3">
        <v>144.0</v>
      </c>
      <c r="E6935" s="3">
        <v>6.61</v>
      </c>
      <c r="F6935" s="3">
        <v>21.13</v>
      </c>
      <c r="G6935" s="3">
        <v>0.0</v>
      </c>
    </row>
    <row r="6936">
      <c r="A6936" s="3">
        <v>174446.0</v>
      </c>
      <c r="B6936" s="3" t="s">
        <v>6963</v>
      </c>
      <c r="C6936" s="3" t="s">
        <v>189</v>
      </c>
      <c r="D6936" s="3">
        <v>72.0</v>
      </c>
      <c r="E6936" s="3">
        <v>3.16</v>
      </c>
      <c r="F6936" s="3">
        <v>11.0</v>
      </c>
      <c r="G6936" s="3">
        <v>0.0</v>
      </c>
    </row>
    <row r="6937">
      <c r="A6937" s="3">
        <v>174447.0</v>
      </c>
      <c r="B6937" s="3" t="s">
        <v>6964</v>
      </c>
      <c r="C6937" s="3" t="s">
        <v>189</v>
      </c>
      <c r="D6937" s="3">
        <v>159.0</v>
      </c>
      <c r="E6937" s="3">
        <v>6.44</v>
      </c>
      <c r="F6937" s="3">
        <v>25.29</v>
      </c>
      <c r="G6937" s="3">
        <v>0.0</v>
      </c>
    </row>
    <row r="6938">
      <c r="A6938" s="3">
        <v>174448.0</v>
      </c>
      <c r="B6938" s="3" t="s">
        <v>6965</v>
      </c>
      <c r="C6938" s="3" t="s">
        <v>189</v>
      </c>
      <c r="D6938" s="3">
        <v>121.0</v>
      </c>
      <c r="E6938" s="3">
        <v>4.09</v>
      </c>
      <c r="F6938" s="3">
        <v>20.93</v>
      </c>
      <c r="G6938" s="3">
        <v>0.0</v>
      </c>
    </row>
    <row r="6939">
      <c r="A6939" s="3">
        <v>174449.0</v>
      </c>
      <c r="B6939" s="3" t="s">
        <v>6966</v>
      </c>
      <c r="C6939" s="3" t="s">
        <v>189</v>
      </c>
      <c r="D6939" s="3">
        <v>255.0</v>
      </c>
      <c r="E6939" s="3">
        <v>14.56</v>
      </c>
      <c r="F6939" s="3">
        <v>31.06</v>
      </c>
      <c r="G6939" s="3">
        <v>0.0</v>
      </c>
    </row>
    <row r="6940">
      <c r="A6940" s="3">
        <v>174450.0</v>
      </c>
      <c r="B6940" s="3" t="s">
        <v>6967</v>
      </c>
      <c r="C6940" s="3" t="s">
        <v>189</v>
      </c>
      <c r="D6940" s="3">
        <v>164.0</v>
      </c>
      <c r="E6940" s="3">
        <v>9.08</v>
      </c>
      <c r="F6940" s="3">
        <v>20.62</v>
      </c>
      <c r="G6940" s="3">
        <v>0.0</v>
      </c>
    </row>
    <row r="6941">
      <c r="A6941" s="3">
        <v>174451.0</v>
      </c>
      <c r="B6941" s="3" t="s">
        <v>6968</v>
      </c>
      <c r="C6941" s="3" t="s">
        <v>189</v>
      </c>
      <c r="D6941" s="3">
        <v>156.0</v>
      </c>
      <c r="E6941" s="3">
        <v>4.49</v>
      </c>
      <c r="F6941" s="3">
        <v>28.99</v>
      </c>
      <c r="G6941" s="3">
        <v>0.0</v>
      </c>
    </row>
    <row r="6942">
      <c r="A6942" s="3">
        <v>174452.0</v>
      </c>
      <c r="B6942" s="3" t="s">
        <v>6969</v>
      </c>
      <c r="C6942" s="3" t="s">
        <v>189</v>
      </c>
      <c r="D6942" s="3">
        <v>120.0</v>
      </c>
      <c r="E6942" s="3">
        <v>3.77</v>
      </c>
      <c r="F6942" s="3">
        <v>21.5</v>
      </c>
      <c r="G6942" s="3">
        <v>0.0</v>
      </c>
    </row>
    <row r="6943">
      <c r="A6943" s="3">
        <v>174453.0</v>
      </c>
      <c r="B6943" s="3" t="s">
        <v>6970</v>
      </c>
      <c r="C6943" s="3" t="s">
        <v>189</v>
      </c>
      <c r="D6943" s="3">
        <v>196.0</v>
      </c>
      <c r="E6943" s="3">
        <v>7.37</v>
      </c>
      <c r="F6943" s="3">
        <v>32.5</v>
      </c>
      <c r="G6943" s="3">
        <v>0.0</v>
      </c>
    </row>
    <row r="6944">
      <c r="A6944" s="3">
        <v>174454.0</v>
      </c>
      <c r="B6944" s="3" t="s">
        <v>6971</v>
      </c>
      <c r="C6944" s="3" t="s">
        <v>189</v>
      </c>
      <c r="D6944" s="3">
        <v>115.0</v>
      </c>
      <c r="E6944" s="3">
        <v>3.35</v>
      </c>
      <c r="F6944" s="3">
        <v>20.4</v>
      </c>
      <c r="G6944" s="3">
        <v>0.73</v>
      </c>
    </row>
    <row r="6945">
      <c r="A6945" s="3">
        <v>174455.0</v>
      </c>
      <c r="B6945" s="3" t="s">
        <v>6972</v>
      </c>
      <c r="C6945" s="3" t="s">
        <v>189</v>
      </c>
      <c r="D6945" s="3">
        <v>151.0</v>
      </c>
      <c r="E6945" s="3">
        <v>7.97</v>
      </c>
      <c r="F6945" s="3">
        <v>19.84</v>
      </c>
      <c r="G6945" s="3">
        <v>0.0</v>
      </c>
    </row>
    <row r="6946">
      <c r="A6946" s="3">
        <v>174456.0</v>
      </c>
      <c r="B6946" s="3" t="s">
        <v>6973</v>
      </c>
      <c r="C6946" s="3" t="s">
        <v>189</v>
      </c>
      <c r="D6946" s="3">
        <v>147.0</v>
      </c>
      <c r="E6946" s="3">
        <v>7.12</v>
      </c>
      <c r="F6946" s="3">
        <v>20.61</v>
      </c>
      <c r="G6946" s="3">
        <v>0.0</v>
      </c>
    </row>
    <row r="6947">
      <c r="A6947" s="3">
        <v>174457.0</v>
      </c>
      <c r="B6947" s="3" t="s">
        <v>6974</v>
      </c>
      <c r="C6947" s="3" t="s">
        <v>189</v>
      </c>
      <c r="D6947" s="3">
        <v>208.0</v>
      </c>
      <c r="E6947" s="3">
        <v>10.7</v>
      </c>
      <c r="F6947" s="3">
        <v>27.43</v>
      </c>
      <c r="G6947" s="3">
        <v>0.41</v>
      </c>
    </row>
    <row r="6948">
      <c r="A6948" s="3">
        <v>174458.0</v>
      </c>
      <c r="B6948" s="3" t="s">
        <v>6975</v>
      </c>
      <c r="C6948" s="3" t="s">
        <v>189</v>
      </c>
      <c r="D6948" s="3">
        <v>192.0</v>
      </c>
      <c r="E6948" s="3">
        <v>10.13</v>
      </c>
      <c r="F6948" s="3">
        <v>25.08</v>
      </c>
      <c r="G6948" s="3">
        <v>0.0</v>
      </c>
    </row>
    <row r="6949">
      <c r="A6949" s="3">
        <v>174459.0</v>
      </c>
      <c r="B6949" s="3" t="s">
        <v>6976</v>
      </c>
      <c r="C6949" s="3" t="s">
        <v>189</v>
      </c>
      <c r="D6949" s="3">
        <v>162.0</v>
      </c>
      <c r="E6949" s="3">
        <v>6.35</v>
      </c>
      <c r="F6949" s="3">
        <v>26.31</v>
      </c>
      <c r="G6949" s="3">
        <v>0.0</v>
      </c>
    </row>
    <row r="6950">
      <c r="A6950" s="3">
        <v>174460.0</v>
      </c>
      <c r="B6950" s="3" t="s">
        <v>6977</v>
      </c>
      <c r="C6950" s="3" t="s">
        <v>189</v>
      </c>
      <c r="D6950" s="3">
        <v>212.0</v>
      </c>
      <c r="E6950" s="3">
        <v>12.76</v>
      </c>
      <c r="F6950" s="3">
        <v>24.26</v>
      </c>
      <c r="G6950" s="3">
        <v>0.04</v>
      </c>
    </row>
    <row r="6951">
      <c r="A6951" s="3">
        <v>174461.0</v>
      </c>
      <c r="B6951" s="3" t="s">
        <v>6978</v>
      </c>
      <c r="C6951" s="3" t="s">
        <v>189</v>
      </c>
      <c r="D6951" s="3">
        <v>332.0</v>
      </c>
      <c r="E6951" s="3">
        <v>27.11</v>
      </c>
      <c r="F6951" s="3">
        <v>21.5</v>
      </c>
      <c r="G6951" s="3">
        <v>0.41</v>
      </c>
    </row>
    <row r="6952">
      <c r="A6952" s="3">
        <v>174462.0</v>
      </c>
      <c r="B6952" s="3" t="s">
        <v>6979</v>
      </c>
      <c r="C6952" s="3" t="s">
        <v>189</v>
      </c>
      <c r="D6952" s="3">
        <v>274.0</v>
      </c>
      <c r="E6952" s="3">
        <v>20.98</v>
      </c>
      <c r="F6952" s="3">
        <v>21.13</v>
      </c>
      <c r="G6952" s="3">
        <v>0.1</v>
      </c>
    </row>
    <row r="6953">
      <c r="A6953" s="3">
        <v>174463.0</v>
      </c>
      <c r="B6953" s="3" t="s">
        <v>6980</v>
      </c>
      <c r="C6953" s="3" t="s">
        <v>189</v>
      </c>
      <c r="D6953" s="3">
        <v>273.0</v>
      </c>
      <c r="E6953" s="3">
        <v>22.9</v>
      </c>
      <c r="F6953" s="3">
        <v>16.56</v>
      </c>
      <c r="G6953" s="3">
        <v>0.2</v>
      </c>
    </row>
    <row r="6954">
      <c r="A6954" s="3">
        <v>174464.0</v>
      </c>
      <c r="B6954" s="3" t="s">
        <v>6981</v>
      </c>
      <c r="C6954" s="3" t="s">
        <v>189</v>
      </c>
      <c r="D6954" s="3">
        <v>252.0</v>
      </c>
      <c r="E6954" s="3">
        <v>20.36</v>
      </c>
      <c r="F6954" s="3">
        <v>16.9</v>
      </c>
      <c r="G6954" s="3">
        <v>0.2</v>
      </c>
    </row>
    <row r="6955">
      <c r="A6955" s="3">
        <v>174465.0</v>
      </c>
      <c r="B6955" s="3" t="s">
        <v>6982</v>
      </c>
      <c r="C6955" s="3" t="s">
        <v>189</v>
      </c>
      <c r="D6955" s="3">
        <v>130.0</v>
      </c>
      <c r="E6955" s="3">
        <v>5.18</v>
      </c>
      <c r="F6955" s="3">
        <v>18.28</v>
      </c>
      <c r="G6955" s="3">
        <v>1.42</v>
      </c>
    </row>
    <row r="6956">
      <c r="A6956" s="3">
        <v>174466.0</v>
      </c>
      <c r="B6956" s="3" t="s">
        <v>6983</v>
      </c>
      <c r="C6956" s="3" t="s">
        <v>189</v>
      </c>
      <c r="D6956" s="3">
        <v>164.0</v>
      </c>
      <c r="E6956" s="3">
        <v>5.4</v>
      </c>
      <c r="F6956" s="3">
        <v>26.39</v>
      </c>
      <c r="G6956" s="3">
        <v>0.76</v>
      </c>
    </row>
    <row r="6957">
      <c r="A6957" s="3">
        <v>174467.0</v>
      </c>
      <c r="B6957" s="3" t="s">
        <v>6984</v>
      </c>
      <c r="C6957" s="3" t="s">
        <v>189</v>
      </c>
      <c r="D6957" s="3">
        <v>136.0</v>
      </c>
      <c r="E6957" s="3">
        <v>4.64</v>
      </c>
      <c r="F6957" s="3">
        <v>18.74</v>
      </c>
      <c r="G6957" s="3">
        <v>3.53</v>
      </c>
    </row>
    <row r="6958">
      <c r="A6958" s="3">
        <v>174468.0</v>
      </c>
      <c r="B6958" s="3" t="s">
        <v>6985</v>
      </c>
      <c r="C6958" s="3" t="s">
        <v>189</v>
      </c>
      <c r="D6958" s="3">
        <v>211.0</v>
      </c>
      <c r="E6958" s="3">
        <v>15.2</v>
      </c>
      <c r="F6958" s="3">
        <v>17.42</v>
      </c>
      <c r="G6958" s="3">
        <v>0.0</v>
      </c>
    </row>
    <row r="6959">
      <c r="A6959" s="3">
        <v>174469.0</v>
      </c>
      <c r="B6959" s="3" t="s">
        <v>6986</v>
      </c>
      <c r="C6959" s="3" t="s">
        <v>189</v>
      </c>
      <c r="D6959" s="3">
        <v>123.0</v>
      </c>
      <c r="E6959" s="3">
        <v>4.25</v>
      </c>
      <c r="F6959" s="3">
        <v>19.85</v>
      </c>
      <c r="G6959" s="3">
        <v>0.0</v>
      </c>
    </row>
    <row r="6960">
      <c r="A6960" s="3">
        <v>174470.0</v>
      </c>
      <c r="B6960" s="3" t="s">
        <v>6987</v>
      </c>
      <c r="C6960" s="3" t="s">
        <v>189</v>
      </c>
      <c r="D6960" s="3">
        <v>371.0</v>
      </c>
      <c r="E6960" s="3">
        <v>33.62</v>
      </c>
      <c r="F6960" s="3">
        <v>15.86</v>
      </c>
      <c r="G6960" s="3">
        <v>0.0</v>
      </c>
    </row>
    <row r="6961">
      <c r="A6961" s="3">
        <v>174471.0</v>
      </c>
      <c r="B6961" s="3" t="s">
        <v>6988</v>
      </c>
      <c r="C6961" s="3" t="s">
        <v>189</v>
      </c>
      <c r="D6961" s="3">
        <v>110.0</v>
      </c>
      <c r="E6961" s="3">
        <v>2.47</v>
      </c>
      <c r="F6961" s="3">
        <v>20.64</v>
      </c>
      <c r="G6961" s="3">
        <v>0.0</v>
      </c>
    </row>
    <row r="6962">
      <c r="A6962" s="3">
        <v>174472.0</v>
      </c>
      <c r="B6962" s="3" t="s">
        <v>6989</v>
      </c>
      <c r="C6962" s="3" t="s">
        <v>189</v>
      </c>
      <c r="D6962" s="3">
        <v>181.0</v>
      </c>
      <c r="E6962" s="3">
        <v>9.29</v>
      </c>
      <c r="F6962" s="3">
        <v>22.7</v>
      </c>
      <c r="G6962" s="3">
        <v>0.0</v>
      </c>
    </row>
    <row r="6963">
      <c r="A6963" s="3">
        <v>174473.0</v>
      </c>
      <c r="B6963" s="3" t="s">
        <v>6990</v>
      </c>
      <c r="C6963" s="3" t="s">
        <v>189</v>
      </c>
      <c r="D6963" s="3">
        <v>133.0</v>
      </c>
      <c r="E6963" s="3">
        <v>3.64</v>
      </c>
      <c r="F6963" s="3">
        <v>23.57</v>
      </c>
      <c r="G6963" s="3">
        <v>0.0</v>
      </c>
    </row>
    <row r="6964">
      <c r="A6964" s="3">
        <v>174474.0</v>
      </c>
      <c r="B6964" s="3" t="s">
        <v>6991</v>
      </c>
      <c r="C6964" s="3" t="s">
        <v>189</v>
      </c>
      <c r="D6964" s="3">
        <v>133.0</v>
      </c>
      <c r="E6964" s="3">
        <v>3.25</v>
      </c>
      <c r="F6964" s="3">
        <v>24.37</v>
      </c>
      <c r="G6964" s="3">
        <v>0.0</v>
      </c>
    </row>
    <row r="6965">
      <c r="A6965" s="3">
        <v>174475.0</v>
      </c>
      <c r="B6965" s="3" t="s">
        <v>6992</v>
      </c>
      <c r="C6965" s="3" t="s">
        <v>189</v>
      </c>
      <c r="D6965" s="3">
        <v>294.0</v>
      </c>
      <c r="E6965" s="3">
        <v>23.8</v>
      </c>
      <c r="F6965" s="3">
        <v>18.47</v>
      </c>
      <c r="G6965" s="3">
        <v>0.0</v>
      </c>
    </row>
    <row r="6966">
      <c r="A6966" s="3">
        <v>174476.0</v>
      </c>
      <c r="B6966" s="3" t="s">
        <v>6993</v>
      </c>
      <c r="C6966" s="3" t="s">
        <v>189</v>
      </c>
      <c r="D6966" s="3">
        <v>103.0</v>
      </c>
      <c r="E6966" s="3">
        <v>0.8</v>
      </c>
      <c r="F6966" s="3">
        <v>22.5</v>
      </c>
      <c r="G6966" s="3">
        <v>0.0</v>
      </c>
    </row>
    <row r="6967">
      <c r="A6967" s="3">
        <v>174477.0</v>
      </c>
      <c r="B6967" s="3" t="s">
        <v>6994</v>
      </c>
      <c r="C6967" s="3" t="s">
        <v>189</v>
      </c>
      <c r="D6967" s="3">
        <v>154.0</v>
      </c>
      <c r="E6967" s="3">
        <v>2.3</v>
      </c>
      <c r="F6967" s="3">
        <v>31.27</v>
      </c>
      <c r="G6967" s="3">
        <v>0.0</v>
      </c>
    </row>
    <row r="6968">
      <c r="A6968" s="3">
        <v>174478.0</v>
      </c>
      <c r="B6968" s="3" t="s">
        <v>6995</v>
      </c>
      <c r="C6968" s="3" t="s">
        <v>189</v>
      </c>
      <c r="D6968" s="3">
        <v>102.0</v>
      </c>
      <c r="E6968" s="3">
        <v>0.74</v>
      </c>
      <c r="F6968" s="3">
        <v>22.25</v>
      </c>
      <c r="G6968" s="3">
        <v>0.0</v>
      </c>
    </row>
    <row r="6969">
      <c r="A6969" s="3">
        <v>174479.0</v>
      </c>
      <c r="B6969" s="3" t="s">
        <v>6996</v>
      </c>
      <c r="C6969" s="3" t="s">
        <v>189</v>
      </c>
      <c r="D6969" s="3">
        <v>112.0</v>
      </c>
      <c r="E6969" s="3">
        <v>1.64</v>
      </c>
      <c r="F6969" s="3">
        <v>22.83</v>
      </c>
      <c r="G6969" s="3">
        <v>0.0</v>
      </c>
    </row>
    <row r="6970">
      <c r="A6970" s="3">
        <v>174480.0</v>
      </c>
      <c r="B6970" s="3" t="s">
        <v>6997</v>
      </c>
      <c r="C6970" s="3" t="s">
        <v>189</v>
      </c>
      <c r="D6970" s="3">
        <v>152.0</v>
      </c>
      <c r="E6970" s="3">
        <v>3.13</v>
      </c>
      <c r="F6970" s="3">
        <v>29.07</v>
      </c>
      <c r="G6970" s="3">
        <v>0.0</v>
      </c>
    </row>
    <row r="6971">
      <c r="A6971" s="3">
        <v>174481.0</v>
      </c>
      <c r="B6971" s="3" t="s">
        <v>6998</v>
      </c>
      <c r="C6971" s="3" t="s">
        <v>189</v>
      </c>
      <c r="D6971" s="3">
        <v>165.0</v>
      </c>
      <c r="E6971" s="3">
        <v>8.7</v>
      </c>
      <c r="F6971" s="3">
        <v>20.22</v>
      </c>
      <c r="G6971" s="3">
        <v>0.0</v>
      </c>
    </row>
    <row r="6972">
      <c r="A6972" s="3">
        <v>174482.0</v>
      </c>
      <c r="B6972" s="3" t="s">
        <v>6999</v>
      </c>
      <c r="C6972" s="3" t="s">
        <v>189</v>
      </c>
      <c r="D6972" s="3">
        <v>175.0</v>
      </c>
      <c r="E6972" s="3">
        <v>7.07</v>
      </c>
      <c r="F6972" s="3">
        <v>26.15</v>
      </c>
      <c r="G6972" s="3">
        <v>0.0</v>
      </c>
    </row>
    <row r="6973">
      <c r="A6973" s="3">
        <v>174483.0</v>
      </c>
      <c r="B6973" s="3" t="s">
        <v>7000</v>
      </c>
      <c r="C6973" s="3" t="s">
        <v>189</v>
      </c>
      <c r="D6973" s="3">
        <v>117.0</v>
      </c>
      <c r="E6973" s="3">
        <v>2.65</v>
      </c>
      <c r="F6973" s="3">
        <v>21.81</v>
      </c>
      <c r="G6973" s="3">
        <v>0.0</v>
      </c>
    </row>
    <row r="6974">
      <c r="A6974" s="3">
        <v>174484.0</v>
      </c>
      <c r="B6974" s="3" t="s">
        <v>7001</v>
      </c>
      <c r="C6974" s="3" t="s">
        <v>189</v>
      </c>
      <c r="D6974" s="3">
        <v>115.0</v>
      </c>
      <c r="E6974" s="3">
        <v>1.96</v>
      </c>
      <c r="F6974" s="3">
        <v>22.86</v>
      </c>
      <c r="G6974" s="3">
        <v>0.0</v>
      </c>
    </row>
    <row r="6975">
      <c r="A6975" s="3">
        <v>174485.0</v>
      </c>
      <c r="B6975" s="3" t="s">
        <v>7002</v>
      </c>
      <c r="C6975" s="3" t="s">
        <v>189</v>
      </c>
      <c r="D6975" s="3">
        <v>120.0</v>
      </c>
      <c r="E6975" s="3">
        <v>2.21</v>
      </c>
      <c r="F6975" s="3">
        <v>23.36</v>
      </c>
      <c r="G6975" s="3">
        <v>0.0</v>
      </c>
    </row>
    <row r="6976">
      <c r="A6976" s="3">
        <v>174486.0</v>
      </c>
      <c r="B6976" s="3" t="s">
        <v>7003</v>
      </c>
      <c r="C6976" s="3" t="s">
        <v>189</v>
      </c>
      <c r="D6976" s="3">
        <v>156.0</v>
      </c>
      <c r="E6976" s="3">
        <v>3.83</v>
      </c>
      <c r="F6976" s="3">
        <v>28.55</v>
      </c>
      <c r="G6976" s="3">
        <v>0.0</v>
      </c>
    </row>
    <row r="6977">
      <c r="A6977" s="3">
        <v>174487.0</v>
      </c>
      <c r="B6977" s="3" t="s">
        <v>7004</v>
      </c>
      <c r="C6977" s="3" t="s">
        <v>189</v>
      </c>
      <c r="D6977" s="3">
        <v>125.0</v>
      </c>
      <c r="E6977" s="3">
        <v>3.67</v>
      </c>
      <c r="F6977" s="3">
        <v>21.55</v>
      </c>
      <c r="G6977" s="3">
        <v>0.0</v>
      </c>
    </row>
    <row r="6978">
      <c r="A6978" s="3">
        <v>174488.0</v>
      </c>
      <c r="B6978" s="3" t="s">
        <v>7005</v>
      </c>
      <c r="C6978" s="3" t="s">
        <v>189</v>
      </c>
      <c r="D6978" s="3">
        <v>145.0</v>
      </c>
      <c r="E6978" s="3">
        <v>2.57</v>
      </c>
      <c r="F6978" s="3">
        <v>28.49</v>
      </c>
      <c r="G6978" s="3">
        <v>0.0</v>
      </c>
    </row>
    <row r="6979">
      <c r="A6979" s="3">
        <v>174489.0</v>
      </c>
      <c r="B6979" s="3" t="s">
        <v>7006</v>
      </c>
      <c r="C6979" s="3" t="s">
        <v>189</v>
      </c>
      <c r="D6979" s="3">
        <v>119.0</v>
      </c>
      <c r="E6979" s="3">
        <v>2.95</v>
      </c>
      <c r="F6979" s="3">
        <v>21.67</v>
      </c>
      <c r="G6979" s="3">
        <v>0.0</v>
      </c>
    </row>
    <row r="6980">
      <c r="A6980" s="3">
        <v>174490.0</v>
      </c>
      <c r="B6980" s="3" t="s">
        <v>7007</v>
      </c>
      <c r="C6980" s="3" t="s">
        <v>189</v>
      </c>
      <c r="D6980" s="3">
        <v>155.0</v>
      </c>
      <c r="E6980" s="3">
        <v>3.87</v>
      </c>
      <c r="F6980" s="3">
        <v>28.12</v>
      </c>
      <c r="G6980" s="3">
        <v>0.0</v>
      </c>
    </row>
    <row r="6981">
      <c r="A6981" s="3">
        <v>174491.0</v>
      </c>
      <c r="B6981" s="3" t="s">
        <v>7008</v>
      </c>
      <c r="C6981" s="3" t="s">
        <v>189</v>
      </c>
      <c r="D6981" s="3">
        <v>172.0</v>
      </c>
      <c r="E6981" s="3">
        <v>6.43</v>
      </c>
      <c r="F6981" s="3">
        <v>25.78</v>
      </c>
      <c r="G6981" s="3">
        <v>1.11</v>
      </c>
    </row>
    <row r="6982">
      <c r="A6982" s="3">
        <v>174492.0</v>
      </c>
      <c r="B6982" s="3" t="s">
        <v>7009</v>
      </c>
      <c r="C6982" s="3" t="s">
        <v>189</v>
      </c>
      <c r="D6982" s="3">
        <v>207.0</v>
      </c>
      <c r="E6982" s="3">
        <v>11.45</v>
      </c>
      <c r="F6982" s="3">
        <v>25.86</v>
      </c>
      <c r="G6982" s="3">
        <v>0.0</v>
      </c>
    </row>
    <row r="6983">
      <c r="A6983" s="3">
        <v>174493.0</v>
      </c>
      <c r="B6983" s="3" t="s">
        <v>7010</v>
      </c>
      <c r="C6983" s="3" t="s">
        <v>189</v>
      </c>
      <c r="D6983" s="3">
        <v>180.0</v>
      </c>
      <c r="E6983" s="3">
        <v>12.54</v>
      </c>
      <c r="F6983" s="3">
        <v>16.9</v>
      </c>
      <c r="G6983" s="3">
        <v>0.0</v>
      </c>
    </row>
    <row r="6984">
      <c r="A6984" s="3">
        <v>174494.0</v>
      </c>
      <c r="B6984" s="3" t="s">
        <v>7011</v>
      </c>
      <c r="C6984" s="3" t="s">
        <v>189</v>
      </c>
      <c r="D6984" s="3">
        <v>258.0</v>
      </c>
      <c r="E6984" s="3">
        <v>17.45</v>
      </c>
      <c r="F6984" s="3">
        <v>25.11</v>
      </c>
      <c r="G6984" s="3">
        <v>0.0</v>
      </c>
    </row>
    <row r="6985">
      <c r="A6985" s="3">
        <v>174495.0</v>
      </c>
      <c r="B6985" s="3" t="s">
        <v>7012</v>
      </c>
      <c r="C6985" s="3" t="s">
        <v>189</v>
      </c>
      <c r="D6985" s="3">
        <v>249.0</v>
      </c>
      <c r="E6985" s="3">
        <v>16.2</v>
      </c>
      <c r="F6985" s="3">
        <v>25.88</v>
      </c>
      <c r="G6985" s="3">
        <v>0.0</v>
      </c>
    </row>
    <row r="6986">
      <c r="A6986" s="3">
        <v>174496.0</v>
      </c>
      <c r="B6986" s="3" t="s">
        <v>7013</v>
      </c>
      <c r="C6986" s="3" t="s">
        <v>189</v>
      </c>
      <c r="D6986" s="3">
        <v>462.0</v>
      </c>
      <c r="E6986" s="3">
        <v>43.99</v>
      </c>
      <c r="F6986" s="3">
        <v>16.57</v>
      </c>
      <c r="G6986" s="3">
        <v>0.0</v>
      </c>
    </row>
    <row r="6987">
      <c r="A6987" s="3">
        <v>174497.0</v>
      </c>
      <c r="B6987" s="3" t="s">
        <v>7014</v>
      </c>
      <c r="C6987" s="3" t="s">
        <v>189</v>
      </c>
      <c r="D6987" s="3">
        <v>187.0</v>
      </c>
      <c r="E6987" s="3">
        <v>10.73</v>
      </c>
      <c r="F6987" s="3">
        <v>22.72</v>
      </c>
      <c r="G6987" s="3">
        <v>0.0</v>
      </c>
    </row>
    <row r="6988">
      <c r="A6988" s="3">
        <v>174498.0</v>
      </c>
      <c r="B6988" s="3" t="s">
        <v>7015</v>
      </c>
      <c r="C6988" s="3" t="s">
        <v>189</v>
      </c>
      <c r="D6988" s="3">
        <v>229.0</v>
      </c>
      <c r="E6988" s="3">
        <v>15.43</v>
      </c>
      <c r="F6988" s="3">
        <v>22.57</v>
      </c>
      <c r="G6988" s="3">
        <v>0.0</v>
      </c>
    </row>
    <row r="6989">
      <c r="A6989" s="3">
        <v>174499.0</v>
      </c>
      <c r="B6989" s="3" t="s">
        <v>7016</v>
      </c>
      <c r="C6989" s="3" t="s">
        <v>189</v>
      </c>
      <c r="D6989" s="3">
        <v>106.0</v>
      </c>
      <c r="E6989" s="3">
        <v>3.26</v>
      </c>
      <c r="F6989" s="3">
        <v>19.19</v>
      </c>
      <c r="G6989" s="3">
        <v>0.0</v>
      </c>
    </row>
    <row r="6990">
      <c r="A6990" s="3">
        <v>174500.0</v>
      </c>
      <c r="B6990" s="3" t="s">
        <v>7017</v>
      </c>
      <c r="C6990" s="3" t="s">
        <v>189</v>
      </c>
      <c r="D6990" s="3">
        <v>164.0</v>
      </c>
      <c r="E6990" s="3">
        <v>7.73</v>
      </c>
      <c r="F6990" s="3">
        <v>24.23</v>
      </c>
      <c r="G6990" s="3">
        <v>0.0</v>
      </c>
    </row>
    <row r="6991">
      <c r="A6991" s="3">
        <v>174501.0</v>
      </c>
      <c r="B6991" s="3" t="s">
        <v>7018</v>
      </c>
      <c r="C6991" s="3" t="s">
        <v>189</v>
      </c>
      <c r="D6991" s="3">
        <v>403.0</v>
      </c>
      <c r="E6991" s="3">
        <v>38.94</v>
      </c>
      <c r="F6991" s="3">
        <v>12.26</v>
      </c>
      <c r="G6991" s="3">
        <v>1.0</v>
      </c>
    </row>
    <row r="6992">
      <c r="A6992" s="3">
        <v>174502.0</v>
      </c>
      <c r="B6992" s="3" t="s">
        <v>7019</v>
      </c>
      <c r="C6992" s="3" t="s">
        <v>189</v>
      </c>
      <c r="D6992" s="3">
        <v>386.0</v>
      </c>
      <c r="E6992" s="3">
        <v>37.9</v>
      </c>
      <c r="F6992" s="3">
        <v>11.11</v>
      </c>
      <c r="G6992" s="3">
        <v>0.01</v>
      </c>
    </row>
    <row r="6993">
      <c r="A6993" s="3">
        <v>174503.0</v>
      </c>
      <c r="B6993" s="3" t="s">
        <v>7020</v>
      </c>
      <c r="C6993" s="3" t="s">
        <v>189</v>
      </c>
      <c r="D6993" s="3">
        <v>421.0</v>
      </c>
      <c r="E6993" s="3">
        <v>37.6</v>
      </c>
      <c r="F6993" s="3">
        <v>20.31</v>
      </c>
      <c r="G6993" s="3">
        <v>0.44</v>
      </c>
    </row>
    <row r="6994">
      <c r="A6994" s="3">
        <v>174504.0</v>
      </c>
      <c r="B6994" s="3" t="s">
        <v>7021</v>
      </c>
      <c r="C6994" s="3" t="s">
        <v>189</v>
      </c>
      <c r="D6994" s="3">
        <v>183.0</v>
      </c>
      <c r="E6994" s="3">
        <v>10.71</v>
      </c>
      <c r="F6994" s="3">
        <v>21.55</v>
      </c>
      <c r="G6994" s="3">
        <v>0.13</v>
      </c>
    </row>
    <row r="6995">
      <c r="A6995" s="3">
        <v>174505.0</v>
      </c>
      <c r="B6995" s="3" t="s">
        <v>7022</v>
      </c>
      <c r="C6995" s="3" t="s">
        <v>189</v>
      </c>
      <c r="D6995" s="3">
        <v>214.0</v>
      </c>
      <c r="E6995" s="3">
        <v>13.81</v>
      </c>
      <c r="F6995" s="3">
        <v>23.47</v>
      </c>
      <c r="G6995" s="3">
        <v>0.09</v>
      </c>
    </row>
    <row r="6996">
      <c r="A6996" s="3">
        <v>174506.0</v>
      </c>
      <c r="B6996" s="3" t="s">
        <v>7023</v>
      </c>
      <c r="C6996" s="3" t="s">
        <v>189</v>
      </c>
      <c r="D6996" s="3">
        <v>212.0</v>
      </c>
      <c r="E6996" s="3">
        <v>13.87</v>
      </c>
      <c r="F6996" s="3">
        <v>21.85</v>
      </c>
      <c r="G6996" s="3">
        <v>0.31</v>
      </c>
    </row>
    <row r="6997">
      <c r="A6997" s="3">
        <v>174507.0</v>
      </c>
      <c r="B6997" s="3" t="s">
        <v>7024</v>
      </c>
      <c r="C6997" s="3" t="s">
        <v>189</v>
      </c>
      <c r="D6997" s="3">
        <v>115.0</v>
      </c>
      <c r="E6997" s="3">
        <v>4.12</v>
      </c>
      <c r="F6997" s="3">
        <v>19.27</v>
      </c>
      <c r="G6997" s="3">
        <v>0.1</v>
      </c>
    </row>
    <row r="6998">
      <c r="A6998" s="3">
        <v>174508.0</v>
      </c>
      <c r="B6998" s="3" t="s">
        <v>7025</v>
      </c>
      <c r="C6998" s="3" t="s">
        <v>189</v>
      </c>
      <c r="D6998" s="3">
        <v>158.0</v>
      </c>
      <c r="E6998" s="3">
        <v>6.0</v>
      </c>
      <c r="F6998" s="3">
        <v>26.1</v>
      </c>
      <c r="G6998" s="3">
        <v>0.0</v>
      </c>
    </row>
    <row r="6999">
      <c r="A6999" s="3">
        <v>174509.0</v>
      </c>
      <c r="B6999" s="3" t="s">
        <v>7026</v>
      </c>
      <c r="C6999" s="3" t="s">
        <v>189</v>
      </c>
      <c r="D6999" s="3">
        <v>169.0</v>
      </c>
      <c r="E6999" s="3">
        <v>10.83</v>
      </c>
      <c r="F6999" s="3">
        <v>17.84</v>
      </c>
      <c r="G6999" s="3">
        <v>0.15</v>
      </c>
    </row>
    <row r="7000">
      <c r="A7000" s="3">
        <v>174510.0</v>
      </c>
      <c r="B7000" s="3" t="s">
        <v>7027</v>
      </c>
      <c r="C7000" s="3" t="s">
        <v>189</v>
      </c>
      <c r="D7000" s="3">
        <v>199.0</v>
      </c>
      <c r="E7000" s="3">
        <v>10.81</v>
      </c>
      <c r="F7000" s="3">
        <v>25.55</v>
      </c>
      <c r="G7000" s="3">
        <v>0.0</v>
      </c>
    </row>
    <row r="7001">
      <c r="A7001" s="3">
        <v>174511.0</v>
      </c>
      <c r="B7001" s="3" t="s">
        <v>7028</v>
      </c>
      <c r="C7001" s="3" t="s">
        <v>189</v>
      </c>
      <c r="D7001" s="3">
        <v>147.0</v>
      </c>
      <c r="E7001" s="3">
        <v>7.42</v>
      </c>
      <c r="F7001" s="3">
        <v>20.02</v>
      </c>
      <c r="G7001" s="3">
        <v>0.14</v>
      </c>
    </row>
    <row r="7002">
      <c r="A7002" s="3">
        <v>174512.0</v>
      </c>
      <c r="B7002" s="3" t="s">
        <v>7029</v>
      </c>
      <c r="C7002" s="3" t="s">
        <v>189</v>
      </c>
      <c r="D7002" s="3">
        <v>157.0</v>
      </c>
      <c r="E7002" s="3">
        <v>5.64</v>
      </c>
      <c r="F7002" s="3">
        <v>26.52</v>
      </c>
      <c r="G7002" s="3">
        <v>0.0</v>
      </c>
    </row>
    <row r="7003">
      <c r="A7003" s="3">
        <v>174513.0</v>
      </c>
      <c r="B7003" s="3" t="s">
        <v>7030</v>
      </c>
      <c r="C7003" s="3" t="s">
        <v>189</v>
      </c>
      <c r="D7003" s="3">
        <v>111.0</v>
      </c>
      <c r="E7003" s="3">
        <v>2.53</v>
      </c>
      <c r="F7003" s="3">
        <v>21.99</v>
      </c>
      <c r="G7003" s="3">
        <v>0.0</v>
      </c>
    </row>
    <row r="7004">
      <c r="A7004" s="3">
        <v>174514.0</v>
      </c>
      <c r="B7004" s="3" t="s">
        <v>7031</v>
      </c>
      <c r="C7004" s="3" t="s">
        <v>189</v>
      </c>
      <c r="D7004" s="3">
        <v>130.0</v>
      </c>
      <c r="E7004" s="3">
        <v>2.08</v>
      </c>
      <c r="F7004" s="3">
        <v>27.94</v>
      </c>
      <c r="G7004" s="3">
        <v>0.0</v>
      </c>
    </row>
    <row r="7005">
      <c r="A7005" s="3">
        <v>174515.0</v>
      </c>
      <c r="B7005" s="3" t="s">
        <v>7032</v>
      </c>
      <c r="C7005" s="3" t="s">
        <v>189</v>
      </c>
      <c r="D7005" s="3">
        <v>114.0</v>
      </c>
      <c r="E7005" s="3">
        <v>2.33</v>
      </c>
      <c r="F7005" s="3">
        <v>23.34</v>
      </c>
      <c r="G7005" s="3">
        <v>0.0</v>
      </c>
    </row>
    <row r="7006">
      <c r="A7006" s="3">
        <v>174516.0</v>
      </c>
      <c r="B7006" s="3" t="s">
        <v>7033</v>
      </c>
      <c r="C7006" s="3" t="s">
        <v>189</v>
      </c>
      <c r="D7006" s="3">
        <v>136.0</v>
      </c>
      <c r="E7006" s="3">
        <v>1.97</v>
      </c>
      <c r="F7006" s="3">
        <v>29.51</v>
      </c>
      <c r="G7006" s="3">
        <v>0.0</v>
      </c>
    </row>
    <row r="7007">
      <c r="A7007" s="3">
        <v>174517.0</v>
      </c>
      <c r="B7007" s="3" t="s">
        <v>7034</v>
      </c>
      <c r="C7007" s="3" t="s">
        <v>189</v>
      </c>
      <c r="D7007" s="3">
        <v>112.0</v>
      </c>
      <c r="E7007" s="3">
        <v>2.49</v>
      </c>
      <c r="F7007" s="3">
        <v>22.48</v>
      </c>
      <c r="G7007" s="3">
        <v>0.0</v>
      </c>
    </row>
    <row r="7008">
      <c r="A7008" s="3">
        <v>174518.0</v>
      </c>
      <c r="B7008" s="3" t="s">
        <v>7035</v>
      </c>
      <c r="C7008" s="3" t="s">
        <v>189</v>
      </c>
      <c r="D7008" s="3">
        <v>116.0</v>
      </c>
      <c r="E7008" s="3">
        <v>3.69</v>
      </c>
      <c r="F7008" s="3">
        <v>20.6</v>
      </c>
      <c r="G7008" s="3">
        <v>0.0</v>
      </c>
    </row>
    <row r="7009">
      <c r="A7009" s="3">
        <v>174519.0</v>
      </c>
      <c r="B7009" s="3" t="s">
        <v>7036</v>
      </c>
      <c r="C7009" s="3" t="s">
        <v>189</v>
      </c>
      <c r="D7009" s="3">
        <v>127.0</v>
      </c>
      <c r="E7009" s="3">
        <v>2.08</v>
      </c>
      <c r="F7009" s="3">
        <v>26.97</v>
      </c>
      <c r="G7009" s="3">
        <v>0.0</v>
      </c>
    </row>
    <row r="7010">
      <c r="A7010" s="3">
        <v>174520.0</v>
      </c>
      <c r="B7010" s="3" t="s">
        <v>7037</v>
      </c>
      <c r="C7010" s="3" t="s">
        <v>189</v>
      </c>
      <c r="D7010" s="3">
        <v>115.0</v>
      </c>
      <c r="E7010" s="3">
        <v>4.12</v>
      </c>
      <c r="F7010" s="3">
        <v>19.27</v>
      </c>
      <c r="G7010" s="3">
        <v>0.15</v>
      </c>
    </row>
    <row r="7011">
      <c r="A7011" s="3">
        <v>174521.0</v>
      </c>
      <c r="B7011" s="3" t="s">
        <v>7038</v>
      </c>
      <c r="C7011" s="3" t="s">
        <v>189</v>
      </c>
      <c r="D7011" s="3">
        <v>127.0</v>
      </c>
      <c r="E7011" s="3">
        <v>2.08</v>
      </c>
      <c r="F7011" s="3">
        <v>26.97</v>
      </c>
      <c r="G7011" s="3">
        <v>0.0</v>
      </c>
    </row>
    <row r="7012">
      <c r="A7012" s="3">
        <v>174522.0</v>
      </c>
      <c r="B7012" s="3" t="s">
        <v>7039</v>
      </c>
      <c r="C7012" s="3" t="s">
        <v>225</v>
      </c>
      <c r="D7012" s="3">
        <v>100.0</v>
      </c>
      <c r="E7012" s="3">
        <v>4.84</v>
      </c>
      <c r="F7012" s="3">
        <v>1.61</v>
      </c>
      <c r="G7012" s="3">
        <v>11.95</v>
      </c>
    </row>
    <row r="7013">
      <c r="A7013" s="3">
        <v>174523.0</v>
      </c>
      <c r="B7013" s="3" t="s">
        <v>7040</v>
      </c>
      <c r="C7013" s="3" t="s">
        <v>225</v>
      </c>
      <c r="D7013" s="3">
        <v>172.0</v>
      </c>
      <c r="E7013" s="3">
        <v>0.63</v>
      </c>
      <c r="F7013" s="3">
        <v>0.82</v>
      </c>
      <c r="G7013" s="3">
        <v>40.77</v>
      </c>
    </row>
    <row r="7014">
      <c r="A7014" s="3">
        <v>174524.0</v>
      </c>
      <c r="B7014" s="3" t="s">
        <v>7041</v>
      </c>
      <c r="C7014" s="3" t="s">
        <v>225</v>
      </c>
      <c r="D7014" s="3">
        <v>29.0</v>
      </c>
      <c r="E7014" s="3">
        <v>0.17</v>
      </c>
      <c r="F7014" s="3">
        <v>1.52</v>
      </c>
      <c r="G7014" s="3">
        <v>6.64</v>
      </c>
    </row>
    <row r="7015">
      <c r="A7015" s="3">
        <v>174525.0</v>
      </c>
      <c r="B7015" s="3" t="s">
        <v>7042</v>
      </c>
      <c r="C7015" s="3" t="s">
        <v>225</v>
      </c>
      <c r="D7015" s="3">
        <v>147.0</v>
      </c>
      <c r="E7015" s="3">
        <v>10.63</v>
      </c>
      <c r="F7015" s="3">
        <v>3.84</v>
      </c>
      <c r="G7015" s="3">
        <v>9.17</v>
      </c>
    </row>
    <row r="7016">
      <c r="A7016" s="3">
        <v>174526.0</v>
      </c>
      <c r="B7016" s="3" t="s">
        <v>7043</v>
      </c>
      <c r="C7016" s="3" t="s">
        <v>225</v>
      </c>
      <c r="D7016" s="3">
        <v>186.0</v>
      </c>
      <c r="E7016" s="3">
        <v>13.83</v>
      </c>
      <c r="F7016" s="3">
        <v>3.99</v>
      </c>
      <c r="G7016" s="3">
        <v>11.61</v>
      </c>
    </row>
    <row r="7017">
      <c r="A7017" s="3">
        <v>174527.0</v>
      </c>
      <c r="B7017" s="3" t="s">
        <v>7044</v>
      </c>
      <c r="C7017" s="3" t="s">
        <v>225</v>
      </c>
      <c r="D7017" s="3">
        <v>11.0</v>
      </c>
      <c r="E7017" s="3">
        <v>0.37</v>
      </c>
      <c r="F7017" s="3">
        <v>0.51</v>
      </c>
      <c r="G7017" s="3">
        <v>1.75</v>
      </c>
    </row>
    <row r="7018">
      <c r="A7018" s="3">
        <v>174528.0</v>
      </c>
      <c r="B7018" s="3" t="s">
        <v>7045</v>
      </c>
      <c r="C7018" s="3" t="s">
        <v>225</v>
      </c>
      <c r="D7018" s="3">
        <v>12.0</v>
      </c>
      <c r="E7018" s="3">
        <v>0.76</v>
      </c>
      <c r="F7018" s="3">
        <v>1.29</v>
      </c>
      <c r="G7018" s="3">
        <v>0.8</v>
      </c>
    </row>
    <row r="7019">
      <c r="A7019" s="3">
        <v>174529.0</v>
      </c>
      <c r="B7019" s="3" t="s">
        <v>7046</v>
      </c>
      <c r="C7019" s="3" t="s">
        <v>225</v>
      </c>
      <c r="D7019" s="3">
        <v>51.0</v>
      </c>
      <c r="E7019" s="3">
        <v>0.25</v>
      </c>
      <c r="F7019" s="3">
        <v>1.35</v>
      </c>
      <c r="G7019" s="3">
        <v>10.92</v>
      </c>
    </row>
    <row r="7020">
      <c r="A7020" s="3">
        <v>174530.0</v>
      </c>
      <c r="B7020" s="3" t="s">
        <v>7047</v>
      </c>
      <c r="C7020" s="3" t="s">
        <v>225</v>
      </c>
      <c r="D7020" s="3">
        <v>50.0</v>
      </c>
      <c r="E7020" s="3">
        <v>0.8</v>
      </c>
      <c r="F7020" s="3">
        <v>2.0</v>
      </c>
      <c r="G7020" s="3">
        <v>9.0</v>
      </c>
    </row>
    <row r="7021">
      <c r="A7021" s="3">
        <v>174531.0</v>
      </c>
      <c r="B7021" s="3" t="s">
        <v>7048</v>
      </c>
      <c r="C7021" s="3" t="s">
        <v>225</v>
      </c>
      <c r="D7021" s="3">
        <v>35.0</v>
      </c>
      <c r="E7021" s="3">
        <v>0.01</v>
      </c>
      <c r="F7021" s="3">
        <v>5.06</v>
      </c>
      <c r="G7021" s="3">
        <v>3.64</v>
      </c>
    </row>
    <row r="7022">
      <c r="A7022" s="3">
        <v>174532.0</v>
      </c>
      <c r="B7022" s="3" t="s">
        <v>7049</v>
      </c>
      <c r="C7022" s="3" t="s">
        <v>225</v>
      </c>
      <c r="D7022" s="3">
        <v>46.0</v>
      </c>
      <c r="E7022" s="3">
        <v>2.0</v>
      </c>
      <c r="F7022" s="3">
        <v>3.2</v>
      </c>
      <c r="G7022" s="3">
        <v>3.8</v>
      </c>
    </row>
    <row r="7023">
      <c r="A7023" s="3">
        <v>174533.0</v>
      </c>
      <c r="B7023" s="3" t="s">
        <v>7050</v>
      </c>
      <c r="C7023" s="3" t="s">
        <v>225</v>
      </c>
      <c r="D7023" s="3">
        <v>81.0</v>
      </c>
      <c r="E7023" s="3">
        <v>1.03</v>
      </c>
      <c r="F7023" s="3">
        <v>4.19</v>
      </c>
      <c r="G7023" s="3">
        <v>13.66</v>
      </c>
    </row>
    <row r="7024">
      <c r="A7024" s="3">
        <v>174534.0</v>
      </c>
      <c r="B7024" s="3" t="s">
        <v>7051</v>
      </c>
      <c r="C7024" s="3" t="s">
        <v>225</v>
      </c>
      <c r="D7024" s="3">
        <v>71.0</v>
      </c>
      <c r="E7024" s="3">
        <v>0.92</v>
      </c>
      <c r="F7024" s="3">
        <v>3.85</v>
      </c>
      <c r="G7024" s="3">
        <v>11.83</v>
      </c>
    </row>
    <row r="7025">
      <c r="A7025" s="3">
        <v>174535.0</v>
      </c>
      <c r="B7025" s="3" t="s">
        <v>7052</v>
      </c>
      <c r="C7025" s="3" t="s">
        <v>225</v>
      </c>
      <c r="D7025" s="3">
        <v>68.0</v>
      </c>
      <c r="E7025" s="3">
        <v>0.7</v>
      </c>
      <c r="F7025" s="3">
        <v>4.0</v>
      </c>
      <c r="G7025" s="3">
        <v>11.4</v>
      </c>
    </row>
    <row r="7026">
      <c r="A7026" s="3">
        <v>174536.0</v>
      </c>
      <c r="B7026" s="3" t="s">
        <v>7053</v>
      </c>
      <c r="C7026" s="3" t="s">
        <v>225</v>
      </c>
      <c r="D7026" s="3">
        <v>6.0</v>
      </c>
      <c r="E7026" s="3">
        <v>0.21</v>
      </c>
      <c r="F7026" s="3">
        <v>0.64</v>
      </c>
      <c r="G7026" s="3">
        <v>0.44</v>
      </c>
    </row>
    <row r="7027">
      <c r="A7027" s="3">
        <v>174537.0</v>
      </c>
      <c r="B7027" s="3" t="s">
        <v>7054</v>
      </c>
      <c r="C7027" s="3" t="s">
        <v>225</v>
      </c>
      <c r="D7027" s="3">
        <v>77.0</v>
      </c>
      <c r="E7027" s="3">
        <v>4.62</v>
      </c>
      <c r="F7027" s="3">
        <v>3.01</v>
      </c>
      <c r="G7027" s="3">
        <v>6.04</v>
      </c>
    </row>
    <row r="7028">
      <c r="A7028" s="3">
        <v>174538.0</v>
      </c>
      <c r="B7028" s="3" t="s">
        <v>7055</v>
      </c>
      <c r="C7028" s="3" t="s">
        <v>225</v>
      </c>
      <c r="D7028" s="3">
        <v>65.0</v>
      </c>
      <c r="E7028" s="3">
        <v>0.9</v>
      </c>
      <c r="F7028" s="3">
        <v>2.2</v>
      </c>
      <c r="G7028" s="3">
        <v>12.11</v>
      </c>
    </row>
    <row r="7029">
      <c r="A7029" s="3">
        <v>174539.0</v>
      </c>
      <c r="B7029" s="3" t="s">
        <v>7056</v>
      </c>
      <c r="C7029" s="3" t="s">
        <v>225</v>
      </c>
      <c r="D7029" s="3">
        <v>61.0</v>
      </c>
      <c r="E7029" s="3">
        <v>2.02</v>
      </c>
      <c r="F7029" s="3">
        <v>3.24</v>
      </c>
      <c r="G7029" s="3">
        <v>7.46</v>
      </c>
    </row>
    <row r="7030">
      <c r="A7030" s="3">
        <v>174540.0</v>
      </c>
      <c r="B7030" s="3" t="s">
        <v>7057</v>
      </c>
      <c r="C7030" s="3" t="s">
        <v>225</v>
      </c>
      <c r="D7030" s="3">
        <v>65.0</v>
      </c>
      <c r="E7030" s="3">
        <v>3.58</v>
      </c>
      <c r="F7030" s="3">
        <v>2.36</v>
      </c>
      <c r="G7030" s="3">
        <v>5.76</v>
      </c>
    </row>
    <row r="7031">
      <c r="A7031" s="3">
        <v>174541.0</v>
      </c>
      <c r="B7031" s="3" t="s">
        <v>7058</v>
      </c>
      <c r="C7031" s="3" t="s">
        <v>225</v>
      </c>
      <c r="D7031" s="3">
        <v>75.0</v>
      </c>
      <c r="E7031" s="3">
        <v>3.78</v>
      </c>
      <c r="F7031" s="3">
        <v>2.74</v>
      </c>
      <c r="G7031" s="3">
        <v>7.4</v>
      </c>
    </row>
    <row r="7032">
      <c r="A7032" s="3">
        <v>174542.0</v>
      </c>
      <c r="B7032" s="3" t="s">
        <v>7059</v>
      </c>
      <c r="C7032" s="3" t="s">
        <v>225</v>
      </c>
      <c r="D7032" s="3">
        <v>72.0</v>
      </c>
      <c r="E7032" s="3">
        <v>2.56</v>
      </c>
      <c r="F7032" s="3">
        <v>3.95</v>
      </c>
      <c r="G7032" s="3">
        <v>8.29</v>
      </c>
    </row>
    <row r="7033">
      <c r="A7033" s="3">
        <v>174543.0</v>
      </c>
      <c r="B7033" s="3" t="s">
        <v>7060</v>
      </c>
      <c r="C7033" s="3" t="s">
        <v>225</v>
      </c>
      <c r="D7033" s="3">
        <v>79.0</v>
      </c>
      <c r="E7033" s="3">
        <v>0.58</v>
      </c>
      <c r="F7033" s="3">
        <v>1.84</v>
      </c>
      <c r="G7033" s="3">
        <v>16.72</v>
      </c>
    </row>
    <row r="7034">
      <c r="A7034" s="3">
        <v>174544.0</v>
      </c>
      <c r="B7034" s="3" t="s">
        <v>7061</v>
      </c>
      <c r="C7034" s="3" t="s">
        <v>225</v>
      </c>
      <c r="D7034" s="3">
        <v>172.0</v>
      </c>
      <c r="E7034" s="3">
        <v>0.62</v>
      </c>
      <c r="F7034" s="3">
        <v>0.74</v>
      </c>
      <c r="G7034" s="3">
        <v>40.77</v>
      </c>
    </row>
    <row r="7035">
      <c r="A7035" s="3">
        <v>174545.0</v>
      </c>
      <c r="B7035" s="3" t="s">
        <v>7062</v>
      </c>
      <c r="C7035" s="3" t="s">
        <v>225</v>
      </c>
      <c r="D7035" s="3">
        <v>41.0</v>
      </c>
      <c r="E7035" s="3">
        <v>0.63</v>
      </c>
      <c r="F7035" s="3">
        <v>3.69</v>
      </c>
      <c r="G7035" s="3">
        <v>5.2</v>
      </c>
    </row>
    <row r="7036">
      <c r="A7036" s="3">
        <v>174546.0</v>
      </c>
      <c r="B7036" s="3" t="s">
        <v>7063</v>
      </c>
      <c r="C7036" s="3" t="s">
        <v>225</v>
      </c>
      <c r="D7036" s="3">
        <v>55.0</v>
      </c>
      <c r="E7036" s="3">
        <v>1.24</v>
      </c>
      <c r="F7036" s="3">
        <v>2.42</v>
      </c>
      <c r="G7036" s="3">
        <v>9.82</v>
      </c>
    </row>
    <row r="7037">
      <c r="A7037" s="3">
        <v>174547.0</v>
      </c>
      <c r="B7037" s="3" t="s">
        <v>7064</v>
      </c>
      <c r="C7037" s="3" t="s">
        <v>225</v>
      </c>
      <c r="D7037" s="3">
        <v>71.0</v>
      </c>
      <c r="E7037" s="3">
        <v>0.44</v>
      </c>
      <c r="F7037" s="3">
        <v>1.46</v>
      </c>
      <c r="G7037" s="3">
        <v>15.22</v>
      </c>
    </row>
    <row r="7038">
      <c r="A7038" s="3">
        <v>174548.0</v>
      </c>
      <c r="B7038" s="3" t="s">
        <v>7065</v>
      </c>
      <c r="C7038" s="3" t="s">
        <v>225</v>
      </c>
      <c r="D7038" s="3">
        <v>47.0</v>
      </c>
      <c r="E7038" s="3">
        <v>1.3</v>
      </c>
      <c r="F7038" s="3">
        <v>3.41</v>
      </c>
      <c r="G7038" s="3">
        <v>5.41</v>
      </c>
    </row>
    <row r="7039">
      <c r="A7039" s="3">
        <v>174549.0</v>
      </c>
      <c r="B7039" s="3" t="s">
        <v>7066</v>
      </c>
      <c r="C7039" s="3" t="s">
        <v>225</v>
      </c>
      <c r="D7039" s="3">
        <v>35.0</v>
      </c>
      <c r="E7039" s="3">
        <v>1.68</v>
      </c>
      <c r="F7039" s="3">
        <v>0.94</v>
      </c>
      <c r="G7039" s="3">
        <v>4.38</v>
      </c>
    </row>
    <row r="7040">
      <c r="A7040" s="3">
        <v>174550.0</v>
      </c>
      <c r="B7040" s="3" t="s">
        <v>7067</v>
      </c>
      <c r="C7040" s="3" t="s">
        <v>225</v>
      </c>
      <c r="D7040" s="3">
        <v>63.0</v>
      </c>
      <c r="E7040" s="3">
        <v>4.24</v>
      </c>
      <c r="F7040" s="3">
        <v>2.19</v>
      </c>
      <c r="G7040" s="3">
        <v>4.26</v>
      </c>
    </row>
    <row r="7041">
      <c r="A7041" s="3">
        <v>174551.0</v>
      </c>
      <c r="B7041" s="3" t="s">
        <v>7068</v>
      </c>
      <c r="C7041" s="3" t="s">
        <v>225</v>
      </c>
      <c r="D7041" s="3">
        <v>16.0</v>
      </c>
      <c r="E7041" s="3">
        <v>0.57</v>
      </c>
      <c r="F7041" s="3">
        <v>2.02</v>
      </c>
      <c r="G7041" s="3">
        <v>0.38</v>
      </c>
    </row>
    <row r="7042">
      <c r="A7042" s="3">
        <v>174552.0</v>
      </c>
      <c r="B7042" s="3" t="s">
        <v>7069</v>
      </c>
      <c r="C7042" s="3" t="s">
        <v>225</v>
      </c>
      <c r="D7042" s="3">
        <v>56.0</v>
      </c>
      <c r="E7042" s="3">
        <v>0.92</v>
      </c>
      <c r="F7042" s="3">
        <v>2.89</v>
      </c>
      <c r="G7042" s="3">
        <v>8.98</v>
      </c>
    </row>
    <row r="7043">
      <c r="A7043" s="3">
        <v>174553.0</v>
      </c>
      <c r="B7043" s="3" t="s">
        <v>7070</v>
      </c>
      <c r="C7043" s="3" t="s">
        <v>225</v>
      </c>
      <c r="D7043" s="3">
        <v>48.0</v>
      </c>
      <c r="E7043" s="3">
        <v>3.02</v>
      </c>
      <c r="F7043" s="3">
        <v>1.41</v>
      </c>
      <c r="G7043" s="3">
        <v>3.8</v>
      </c>
    </row>
    <row r="7044">
      <c r="A7044" s="3">
        <v>174554.0</v>
      </c>
      <c r="B7044" s="3" t="s">
        <v>7071</v>
      </c>
      <c r="C7044" s="3" t="s">
        <v>225</v>
      </c>
      <c r="D7044" s="3">
        <v>30.0</v>
      </c>
      <c r="E7044" s="3">
        <v>0.86</v>
      </c>
      <c r="F7044" s="3">
        <v>0.85</v>
      </c>
      <c r="G7044" s="3">
        <v>4.77</v>
      </c>
    </row>
    <row r="7045">
      <c r="A7045" s="3">
        <v>174555.0</v>
      </c>
      <c r="B7045" s="3" t="s">
        <v>7072</v>
      </c>
      <c r="C7045" s="3" t="s">
        <v>225</v>
      </c>
      <c r="D7045" s="3">
        <v>35.0</v>
      </c>
      <c r="E7045" s="3">
        <v>1.01</v>
      </c>
      <c r="F7045" s="3">
        <v>1.55</v>
      </c>
      <c r="G7045" s="3">
        <v>5.05</v>
      </c>
    </row>
    <row r="7046">
      <c r="A7046" s="3">
        <v>174556.0</v>
      </c>
      <c r="B7046" s="3" t="s">
        <v>7073</v>
      </c>
      <c r="C7046" s="3" t="s">
        <v>225</v>
      </c>
      <c r="D7046" s="3">
        <v>81.0</v>
      </c>
      <c r="E7046" s="3">
        <v>3.85</v>
      </c>
      <c r="F7046" s="3">
        <v>2.46</v>
      </c>
      <c r="G7046" s="3">
        <v>9.01</v>
      </c>
    </row>
    <row r="7047">
      <c r="A7047" s="3">
        <v>174557.0</v>
      </c>
      <c r="B7047" s="3" t="s">
        <v>7074</v>
      </c>
      <c r="C7047" s="3" t="s">
        <v>225</v>
      </c>
      <c r="D7047" s="3">
        <v>12.0</v>
      </c>
      <c r="E7047" s="3">
        <v>0.0</v>
      </c>
      <c r="F7047" s="3">
        <v>2.22</v>
      </c>
      <c r="G7047" s="3">
        <v>0.73</v>
      </c>
    </row>
    <row r="7048">
      <c r="A7048" s="3">
        <v>174558.0</v>
      </c>
      <c r="B7048" s="3" t="s">
        <v>7075</v>
      </c>
      <c r="C7048" s="3" t="s">
        <v>225</v>
      </c>
      <c r="D7048" s="3">
        <v>35.0</v>
      </c>
      <c r="E7048" s="3">
        <v>1.65</v>
      </c>
      <c r="F7048" s="3">
        <v>1.29</v>
      </c>
      <c r="G7048" s="3">
        <v>3.81</v>
      </c>
    </row>
    <row r="7049">
      <c r="A7049" s="3">
        <v>174559.0</v>
      </c>
      <c r="B7049" s="3" t="s">
        <v>7076</v>
      </c>
      <c r="C7049" s="3" t="s">
        <v>225</v>
      </c>
      <c r="D7049" s="3">
        <v>44.0</v>
      </c>
      <c r="E7049" s="3">
        <v>2.16</v>
      </c>
      <c r="F7049" s="3">
        <v>1.13</v>
      </c>
      <c r="G7049" s="3">
        <v>5.2</v>
      </c>
    </row>
    <row r="7050">
      <c r="A7050" s="3">
        <v>174560.0</v>
      </c>
      <c r="B7050" s="3" t="s">
        <v>7077</v>
      </c>
      <c r="C7050" s="3" t="s">
        <v>225</v>
      </c>
      <c r="D7050" s="3">
        <v>24.0</v>
      </c>
      <c r="E7050" s="3">
        <v>1.59</v>
      </c>
      <c r="F7050" s="3">
        <v>0.87</v>
      </c>
      <c r="G7050" s="3">
        <v>1.69</v>
      </c>
    </row>
    <row r="7051">
      <c r="A7051" s="3">
        <v>174561.0</v>
      </c>
      <c r="B7051" s="3" t="s">
        <v>7078</v>
      </c>
      <c r="C7051" s="3" t="s">
        <v>225</v>
      </c>
      <c r="D7051" s="3">
        <v>61.0</v>
      </c>
      <c r="E7051" s="3">
        <v>1.09</v>
      </c>
      <c r="F7051" s="3">
        <v>3.2</v>
      </c>
      <c r="G7051" s="3">
        <v>9.88</v>
      </c>
    </row>
    <row r="7052">
      <c r="A7052" s="3">
        <v>174562.0</v>
      </c>
      <c r="B7052" s="3" t="s">
        <v>7079</v>
      </c>
      <c r="C7052" s="3" t="s">
        <v>225</v>
      </c>
      <c r="D7052" s="3">
        <v>28.0</v>
      </c>
      <c r="E7052" s="3">
        <v>0.82</v>
      </c>
      <c r="F7052" s="3">
        <v>1.6</v>
      </c>
      <c r="G7052" s="3">
        <v>3.54</v>
      </c>
    </row>
    <row r="7053">
      <c r="A7053" s="3">
        <v>174563.0</v>
      </c>
      <c r="B7053" s="3" t="s">
        <v>7080</v>
      </c>
      <c r="C7053" s="3" t="s">
        <v>225</v>
      </c>
      <c r="D7053" s="3">
        <v>30.0</v>
      </c>
      <c r="E7053" s="3">
        <v>1.26</v>
      </c>
      <c r="F7053" s="3">
        <v>1.28</v>
      </c>
      <c r="G7053" s="3">
        <v>3.58</v>
      </c>
    </row>
    <row r="7054">
      <c r="A7054" s="3">
        <v>174564.0</v>
      </c>
      <c r="B7054" s="3" t="s">
        <v>7081</v>
      </c>
      <c r="C7054" s="3" t="s">
        <v>225</v>
      </c>
      <c r="D7054" s="3">
        <v>28.0</v>
      </c>
      <c r="E7054" s="3">
        <v>0.79</v>
      </c>
      <c r="F7054" s="3">
        <v>0.86</v>
      </c>
      <c r="G7054" s="3">
        <v>4.89</v>
      </c>
    </row>
    <row r="7055">
      <c r="A7055" s="3">
        <v>174565.0</v>
      </c>
      <c r="B7055" s="3" t="s">
        <v>7082</v>
      </c>
      <c r="C7055" s="3" t="s">
        <v>225</v>
      </c>
      <c r="D7055" s="3">
        <v>31.0</v>
      </c>
      <c r="E7055" s="3">
        <v>0.76</v>
      </c>
      <c r="F7055" s="3">
        <v>2.23</v>
      </c>
      <c r="G7055" s="3">
        <v>4.06</v>
      </c>
    </row>
    <row r="7056">
      <c r="A7056" s="3">
        <v>174566.0</v>
      </c>
      <c r="B7056" s="3" t="s">
        <v>7083</v>
      </c>
      <c r="C7056" s="3" t="s">
        <v>225</v>
      </c>
      <c r="D7056" s="3">
        <v>5.0</v>
      </c>
      <c r="E7056" s="3">
        <v>0.12</v>
      </c>
      <c r="F7056" s="3">
        <v>0.39</v>
      </c>
      <c r="G7056" s="3">
        <v>0.62</v>
      </c>
    </row>
    <row r="7057">
      <c r="A7057" s="3">
        <v>174567.0</v>
      </c>
      <c r="B7057" s="3" t="s">
        <v>7084</v>
      </c>
      <c r="C7057" s="3" t="s">
        <v>225</v>
      </c>
      <c r="D7057" s="3">
        <v>41.0</v>
      </c>
      <c r="E7057" s="3">
        <v>2.04</v>
      </c>
      <c r="F7057" s="3">
        <v>0.68</v>
      </c>
      <c r="G7057" s="3">
        <v>5.11</v>
      </c>
    </row>
    <row r="7058">
      <c r="A7058" s="3">
        <v>174568.0</v>
      </c>
      <c r="B7058" s="3" t="s">
        <v>7085</v>
      </c>
      <c r="C7058" s="3" t="s">
        <v>225</v>
      </c>
      <c r="D7058" s="3">
        <v>12.0</v>
      </c>
      <c r="E7058" s="3">
        <v>0.01</v>
      </c>
      <c r="F7058" s="3">
        <v>0.32</v>
      </c>
      <c r="G7058" s="3">
        <v>2.77</v>
      </c>
    </row>
    <row r="7059">
      <c r="A7059" s="3">
        <v>174569.0</v>
      </c>
      <c r="B7059" s="3" t="s">
        <v>7086</v>
      </c>
      <c r="C7059" s="3" t="s">
        <v>225</v>
      </c>
      <c r="D7059" s="3">
        <v>38.0</v>
      </c>
      <c r="E7059" s="3">
        <v>0.61</v>
      </c>
      <c r="F7059" s="3">
        <v>0.93</v>
      </c>
      <c r="G7059" s="3">
        <v>7.17</v>
      </c>
    </row>
    <row r="7060">
      <c r="A7060" s="3">
        <v>174570.0</v>
      </c>
      <c r="B7060" s="3" t="s">
        <v>7087</v>
      </c>
      <c r="C7060" s="3" t="s">
        <v>189</v>
      </c>
      <c r="D7060" s="3">
        <v>115.0</v>
      </c>
      <c r="E7060" s="3">
        <v>3.69</v>
      </c>
      <c r="F7060" s="3">
        <v>18.62</v>
      </c>
      <c r="G7060" s="3">
        <v>0.64</v>
      </c>
    </row>
    <row r="7061">
      <c r="A7061" s="3">
        <v>174571.0</v>
      </c>
      <c r="B7061" s="3" t="s">
        <v>7088</v>
      </c>
      <c r="C7061" s="3" t="s">
        <v>189</v>
      </c>
      <c r="D7061" s="3">
        <v>334.0</v>
      </c>
      <c r="E7061" s="3">
        <v>30.3</v>
      </c>
      <c r="F7061" s="3">
        <v>12.5</v>
      </c>
      <c r="G7061" s="3">
        <v>2.1</v>
      </c>
    </row>
    <row r="7062">
      <c r="A7062" s="3">
        <v>174572.0</v>
      </c>
      <c r="B7062" s="3" t="s">
        <v>7089</v>
      </c>
      <c r="C7062" s="3" t="s">
        <v>189</v>
      </c>
      <c r="D7062" s="3">
        <v>109.0</v>
      </c>
      <c r="E7062" s="3">
        <v>0.83</v>
      </c>
      <c r="F7062" s="3">
        <v>21.81</v>
      </c>
      <c r="G7062" s="3">
        <v>3.51</v>
      </c>
    </row>
    <row r="7063">
      <c r="A7063" s="3">
        <v>174573.0</v>
      </c>
      <c r="B7063" s="3" t="s">
        <v>7090</v>
      </c>
      <c r="C7063" s="3" t="s">
        <v>189</v>
      </c>
      <c r="D7063" s="3">
        <v>311.0</v>
      </c>
      <c r="E7063" s="3">
        <v>25.39</v>
      </c>
      <c r="F7063" s="3">
        <v>16.37</v>
      </c>
      <c r="G7063" s="3">
        <v>3.05</v>
      </c>
    </row>
    <row r="7064">
      <c r="A7064" s="3">
        <v>174574.0</v>
      </c>
      <c r="B7064" s="3" t="s">
        <v>7091</v>
      </c>
      <c r="C7064" s="3" t="s">
        <v>189</v>
      </c>
      <c r="D7064" s="3">
        <v>149.0</v>
      </c>
      <c r="E7064" s="3">
        <v>6.37</v>
      </c>
      <c r="F7064" s="3">
        <v>17.3</v>
      </c>
      <c r="G7064" s="3">
        <v>4.53</v>
      </c>
    </row>
    <row r="7065">
      <c r="A7065" s="3">
        <v>174575.0</v>
      </c>
      <c r="B7065" s="3" t="s">
        <v>7092</v>
      </c>
      <c r="C7065" s="3" t="s">
        <v>189</v>
      </c>
      <c r="D7065" s="3">
        <v>504.0</v>
      </c>
      <c r="E7065" s="3">
        <v>46.28</v>
      </c>
      <c r="F7065" s="3">
        <v>19.25</v>
      </c>
      <c r="G7065" s="3">
        <v>1.18</v>
      </c>
    </row>
    <row r="7066">
      <c r="A7066" s="3">
        <v>174576.0</v>
      </c>
      <c r="B7066" s="3" t="s">
        <v>7093</v>
      </c>
      <c r="C7066" s="3" t="s">
        <v>189</v>
      </c>
      <c r="D7066" s="3">
        <v>225.0</v>
      </c>
      <c r="E7066" s="3">
        <v>15.95</v>
      </c>
      <c r="F7066" s="3">
        <v>11.23</v>
      </c>
      <c r="G7066" s="3">
        <v>8.46</v>
      </c>
    </row>
    <row r="7067">
      <c r="A7067" s="3">
        <v>174577.0</v>
      </c>
      <c r="B7067" s="3" t="s">
        <v>7094</v>
      </c>
      <c r="C7067" s="3" t="s">
        <v>189</v>
      </c>
      <c r="D7067" s="3">
        <v>326.0</v>
      </c>
      <c r="E7067" s="3">
        <v>28.72</v>
      </c>
      <c r="F7067" s="3">
        <v>14.1</v>
      </c>
      <c r="G7067" s="3">
        <v>1.63</v>
      </c>
    </row>
    <row r="7068">
      <c r="A7068" s="3">
        <v>174578.0</v>
      </c>
      <c r="B7068" s="3" t="s">
        <v>7095</v>
      </c>
      <c r="C7068" s="3" t="s">
        <v>189</v>
      </c>
      <c r="D7068" s="3">
        <v>325.0</v>
      </c>
      <c r="E7068" s="3">
        <v>27.25</v>
      </c>
      <c r="F7068" s="3">
        <v>18.53</v>
      </c>
      <c r="G7068" s="3">
        <v>1.42</v>
      </c>
    </row>
    <row r="7069">
      <c r="A7069" s="3">
        <v>174579.0</v>
      </c>
      <c r="B7069" s="3" t="s">
        <v>7096</v>
      </c>
      <c r="C7069" s="3" t="s">
        <v>189</v>
      </c>
      <c r="D7069" s="3">
        <v>396.0</v>
      </c>
      <c r="E7069" s="3">
        <v>36.25</v>
      </c>
      <c r="F7069" s="3">
        <v>13.8</v>
      </c>
      <c r="G7069" s="3">
        <v>2.7</v>
      </c>
    </row>
    <row r="7070">
      <c r="A7070" s="3">
        <v>174580.0</v>
      </c>
      <c r="B7070" s="3" t="s">
        <v>7097</v>
      </c>
      <c r="C7070" s="3" t="s">
        <v>189</v>
      </c>
      <c r="D7070" s="3">
        <v>204.0</v>
      </c>
      <c r="E7070" s="3">
        <v>10.3</v>
      </c>
      <c r="F7070" s="3">
        <v>17.0</v>
      </c>
      <c r="G7070" s="3">
        <v>10.92</v>
      </c>
    </row>
    <row r="7071">
      <c r="A7071" s="3">
        <v>174581.0</v>
      </c>
      <c r="B7071" s="3" t="s">
        <v>7098</v>
      </c>
      <c r="C7071" s="3" t="s">
        <v>189</v>
      </c>
      <c r="D7071" s="3">
        <v>200.0</v>
      </c>
      <c r="E7071" s="3">
        <v>13.52</v>
      </c>
      <c r="F7071" s="3">
        <v>11.64</v>
      </c>
      <c r="G7071" s="3">
        <v>7.41</v>
      </c>
    </row>
    <row r="7072">
      <c r="A7072" s="3">
        <v>174582.0</v>
      </c>
      <c r="B7072" s="3" t="s">
        <v>7099</v>
      </c>
      <c r="C7072" s="3" t="s">
        <v>189</v>
      </c>
      <c r="D7072" s="3">
        <v>378.0</v>
      </c>
      <c r="E7072" s="3">
        <v>31.65</v>
      </c>
      <c r="F7072" s="3">
        <v>21.07</v>
      </c>
      <c r="G7072" s="3">
        <v>0.72</v>
      </c>
    </row>
    <row r="7073">
      <c r="A7073" s="3">
        <v>174583.0</v>
      </c>
      <c r="B7073" s="3" t="s">
        <v>7100</v>
      </c>
      <c r="C7073" s="3" t="s">
        <v>189</v>
      </c>
      <c r="D7073" s="3">
        <v>235.0</v>
      </c>
      <c r="E7073" s="3">
        <v>17.34</v>
      </c>
      <c r="F7073" s="3">
        <v>7.66</v>
      </c>
      <c r="G7073" s="3">
        <v>11.94</v>
      </c>
    </row>
    <row r="7074">
      <c r="A7074" s="3">
        <v>174584.0</v>
      </c>
      <c r="B7074" s="3" t="s">
        <v>7101</v>
      </c>
      <c r="C7074" s="3" t="s">
        <v>189</v>
      </c>
      <c r="D7074" s="3">
        <v>309.0</v>
      </c>
      <c r="E7074" s="3">
        <v>28.23</v>
      </c>
      <c r="F7074" s="3">
        <v>11.98</v>
      </c>
      <c r="G7074" s="3">
        <v>0.94</v>
      </c>
    </row>
    <row r="7075">
      <c r="A7075" s="3">
        <v>174585.0</v>
      </c>
      <c r="B7075" s="3" t="s">
        <v>7102</v>
      </c>
      <c r="C7075" s="3" t="s">
        <v>189</v>
      </c>
      <c r="D7075" s="3">
        <v>320.0</v>
      </c>
      <c r="E7075" s="3">
        <v>28.73</v>
      </c>
      <c r="F7075" s="3">
        <v>12.0</v>
      </c>
      <c r="G7075" s="3">
        <v>2.42</v>
      </c>
    </row>
    <row r="7076">
      <c r="A7076" s="3">
        <v>174586.0</v>
      </c>
      <c r="B7076" s="3" t="s">
        <v>7103</v>
      </c>
      <c r="C7076" s="3" t="s">
        <v>189</v>
      </c>
      <c r="D7076" s="3">
        <v>324.0</v>
      </c>
      <c r="E7076" s="3">
        <v>26.4</v>
      </c>
      <c r="F7076" s="3">
        <v>18.4</v>
      </c>
      <c r="G7076" s="3">
        <v>1.86</v>
      </c>
    </row>
    <row r="7077">
      <c r="A7077" s="3">
        <v>174587.0</v>
      </c>
      <c r="B7077" s="3" t="s">
        <v>7104</v>
      </c>
      <c r="C7077" s="3" t="s">
        <v>189</v>
      </c>
      <c r="D7077" s="3">
        <v>260.0</v>
      </c>
      <c r="E7077" s="3">
        <v>20.9</v>
      </c>
      <c r="F7077" s="3">
        <v>15.38</v>
      </c>
      <c r="G7077" s="3">
        <v>1.58</v>
      </c>
    </row>
    <row r="7078">
      <c r="A7078" s="3">
        <v>174588.0</v>
      </c>
      <c r="B7078" s="3" t="s">
        <v>7105</v>
      </c>
      <c r="C7078" s="3" t="s">
        <v>189</v>
      </c>
      <c r="D7078" s="3">
        <v>161.0</v>
      </c>
      <c r="E7078" s="3">
        <v>7.58</v>
      </c>
      <c r="F7078" s="3">
        <v>17.27</v>
      </c>
      <c r="G7078" s="3">
        <v>4.83</v>
      </c>
    </row>
    <row r="7079">
      <c r="A7079" s="3">
        <v>174589.0</v>
      </c>
      <c r="B7079" s="3" t="s">
        <v>7106</v>
      </c>
      <c r="C7079" s="3" t="s">
        <v>189</v>
      </c>
      <c r="D7079" s="3">
        <v>316.0</v>
      </c>
      <c r="E7079" s="3">
        <v>29.1</v>
      </c>
      <c r="F7079" s="3">
        <v>11.05</v>
      </c>
      <c r="G7079" s="3">
        <v>2.45</v>
      </c>
    </row>
    <row r="7080">
      <c r="A7080" s="3">
        <v>174590.0</v>
      </c>
      <c r="B7080" s="3" t="s">
        <v>7107</v>
      </c>
      <c r="C7080" s="3" t="s">
        <v>189</v>
      </c>
      <c r="D7080" s="3">
        <v>315.0</v>
      </c>
      <c r="E7080" s="3">
        <v>28.2</v>
      </c>
      <c r="F7080" s="3">
        <v>13.5</v>
      </c>
      <c r="G7080" s="3">
        <v>1.7</v>
      </c>
    </row>
    <row r="7081">
      <c r="A7081" s="3">
        <v>174591.0</v>
      </c>
      <c r="B7081" s="3" t="s">
        <v>7108</v>
      </c>
      <c r="C7081" s="3" t="s">
        <v>189</v>
      </c>
      <c r="D7081" s="3">
        <v>329.0</v>
      </c>
      <c r="E7081" s="3">
        <v>30.26</v>
      </c>
      <c r="F7081" s="3">
        <v>11.35</v>
      </c>
      <c r="G7081" s="3">
        <v>2.78</v>
      </c>
    </row>
    <row r="7082">
      <c r="A7082" s="3">
        <v>174592.0</v>
      </c>
      <c r="B7082" s="3" t="s">
        <v>7109</v>
      </c>
      <c r="C7082" s="3" t="s">
        <v>189</v>
      </c>
      <c r="D7082" s="3">
        <v>226.0</v>
      </c>
      <c r="E7082" s="3">
        <v>16.93</v>
      </c>
      <c r="F7082" s="3">
        <v>15.94</v>
      </c>
      <c r="G7082" s="3">
        <v>1.89</v>
      </c>
    </row>
    <row r="7083">
      <c r="A7083" s="3">
        <v>174593.0</v>
      </c>
      <c r="B7083" s="3" t="s">
        <v>7110</v>
      </c>
      <c r="C7083" s="3" t="s">
        <v>189</v>
      </c>
      <c r="D7083" s="3">
        <v>243.0</v>
      </c>
      <c r="E7083" s="3">
        <v>11.52</v>
      </c>
      <c r="F7083" s="3">
        <v>30.99</v>
      </c>
      <c r="G7083" s="3">
        <v>3.78</v>
      </c>
    </row>
    <row r="7084">
      <c r="A7084" s="3">
        <v>174594.0</v>
      </c>
      <c r="B7084" s="3" t="s">
        <v>7111</v>
      </c>
      <c r="C7084" s="3" t="s">
        <v>189</v>
      </c>
      <c r="D7084" s="3">
        <v>196.0</v>
      </c>
      <c r="E7084" s="3">
        <v>13.9</v>
      </c>
      <c r="F7084" s="3">
        <v>15.23</v>
      </c>
      <c r="G7084" s="3">
        <v>1.35</v>
      </c>
    </row>
    <row r="7085">
      <c r="A7085" s="3">
        <v>174595.0</v>
      </c>
      <c r="B7085" s="3" t="s">
        <v>7112</v>
      </c>
      <c r="C7085" s="3" t="s">
        <v>189</v>
      </c>
      <c r="D7085" s="3">
        <v>341.0</v>
      </c>
      <c r="E7085" s="3">
        <v>31.7</v>
      </c>
      <c r="F7085" s="3">
        <v>13.99</v>
      </c>
      <c r="G7085" s="3">
        <v>0.0</v>
      </c>
    </row>
    <row r="7086">
      <c r="A7086" s="3">
        <v>174596.0</v>
      </c>
      <c r="B7086" s="3" t="s">
        <v>7113</v>
      </c>
      <c r="C7086" s="3" t="s">
        <v>189</v>
      </c>
      <c r="D7086" s="3">
        <v>305.0</v>
      </c>
      <c r="E7086" s="3">
        <v>25.45</v>
      </c>
      <c r="F7086" s="3">
        <v>12.38</v>
      </c>
      <c r="G7086" s="3">
        <v>5.89</v>
      </c>
    </row>
    <row r="7087">
      <c r="A7087" s="3">
        <v>174597.0</v>
      </c>
      <c r="B7087" s="3" t="s">
        <v>7114</v>
      </c>
      <c r="C7087" s="3" t="s">
        <v>189</v>
      </c>
      <c r="D7087" s="3">
        <v>223.0</v>
      </c>
      <c r="E7087" s="3">
        <v>16.28</v>
      </c>
      <c r="F7087" s="3">
        <v>15.27</v>
      </c>
      <c r="G7087" s="3">
        <v>3.73</v>
      </c>
    </row>
    <row r="7088">
      <c r="A7088" s="3">
        <v>174598.0</v>
      </c>
      <c r="B7088" s="3" t="s">
        <v>7115</v>
      </c>
      <c r="C7088" s="3" t="s">
        <v>189</v>
      </c>
      <c r="D7088" s="3">
        <v>396.0</v>
      </c>
      <c r="E7088" s="3">
        <v>30.5</v>
      </c>
      <c r="F7088" s="3">
        <v>15.01</v>
      </c>
      <c r="G7088" s="3">
        <v>15.38</v>
      </c>
    </row>
    <row r="7089">
      <c r="A7089" s="3">
        <v>174599.0</v>
      </c>
      <c r="B7089" s="3" t="s">
        <v>7116</v>
      </c>
      <c r="C7089" s="3" t="s">
        <v>189</v>
      </c>
      <c r="D7089" s="3">
        <v>426.0</v>
      </c>
      <c r="E7089" s="3">
        <v>37.91</v>
      </c>
      <c r="F7089" s="3">
        <v>19.43</v>
      </c>
      <c r="G7089" s="3">
        <v>1.82</v>
      </c>
    </row>
    <row r="7090">
      <c r="A7090" s="3">
        <v>174600.0</v>
      </c>
      <c r="B7090" s="3" t="s">
        <v>7117</v>
      </c>
      <c r="C7090" s="3" t="s">
        <v>189</v>
      </c>
      <c r="D7090" s="3">
        <v>174.0</v>
      </c>
      <c r="E7090" s="3">
        <v>10.39</v>
      </c>
      <c r="F7090" s="3">
        <v>15.91</v>
      </c>
      <c r="G7090" s="3">
        <v>3.18</v>
      </c>
    </row>
    <row r="7091">
      <c r="A7091" s="3">
        <v>174601.0</v>
      </c>
      <c r="B7091" s="3" t="s">
        <v>7118</v>
      </c>
      <c r="C7091" s="3" t="s">
        <v>189</v>
      </c>
      <c r="D7091" s="3">
        <v>307.0</v>
      </c>
      <c r="E7091" s="3">
        <v>27.37</v>
      </c>
      <c r="F7091" s="3">
        <v>12.69</v>
      </c>
      <c r="G7091" s="3">
        <v>1.6</v>
      </c>
    </row>
    <row r="7092">
      <c r="A7092" s="3">
        <v>174602.0</v>
      </c>
      <c r="B7092" s="3" t="s">
        <v>7119</v>
      </c>
      <c r="C7092" s="3" t="s">
        <v>189</v>
      </c>
      <c r="D7092" s="3">
        <v>517.0</v>
      </c>
      <c r="E7092" s="3">
        <v>44.2</v>
      </c>
      <c r="F7092" s="3">
        <v>29.1</v>
      </c>
      <c r="G7092" s="3">
        <v>0.8</v>
      </c>
    </row>
    <row r="7093">
      <c r="A7093" s="3">
        <v>174603.0</v>
      </c>
      <c r="B7093" s="3" t="s">
        <v>7120</v>
      </c>
      <c r="C7093" s="3" t="s">
        <v>189</v>
      </c>
      <c r="D7093" s="3">
        <v>425.0</v>
      </c>
      <c r="E7093" s="3">
        <v>37.0</v>
      </c>
      <c r="F7093" s="3">
        <v>21.7</v>
      </c>
      <c r="G7093" s="3">
        <v>1.2</v>
      </c>
    </row>
    <row r="7094">
      <c r="A7094" s="3">
        <v>174604.0</v>
      </c>
      <c r="B7094" s="3" t="s">
        <v>7121</v>
      </c>
      <c r="C7094" s="3" t="s">
        <v>189</v>
      </c>
      <c r="D7094" s="3">
        <v>158.0</v>
      </c>
      <c r="E7094" s="3">
        <v>8.75</v>
      </c>
      <c r="F7094" s="3">
        <v>15.05</v>
      </c>
      <c r="G7094" s="3">
        <v>4.65</v>
      </c>
    </row>
    <row r="7095">
      <c r="A7095" s="3">
        <v>174605.0</v>
      </c>
      <c r="B7095" s="3" t="s">
        <v>7122</v>
      </c>
      <c r="C7095" s="3" t="s">
        <v>189</v>
      </c>
      <c r="D7095" s="3">
        <v>216.0</v>
      </c>
      <c r="E7095" s="3">
        <v>14.3</v>
      </c>
      <c r="F7095" s="3">
        <v>13.6</v>
      </c>
      <c r="G7095" s="3">
        <v>8.1</v>
      </c>
    </row>
    <row r="7096">
      <c r="A7096" s="3">
        <v>174606.0</v>
      </c>
      <c r="B7096" s="3" t="s">
        <v>7123</v>
      </c>
      <c r="C7096" s="3" t="s">
        <v>189</v>
      </c>
      <c r="D7096" s="3">
        <v>158.0</v>
      </c>
      <c r="E7096" s="3">
        <v>8.75</v>
      </c>
      <c r="F7096" s="3">
        <v>15.05</v>
      </c>
      <c r="G7096" s="3">
        <v>4.65</v>
      </c>
    </row>
    <row r="7097">
      <c r="A7097" s="3">
        <v>174607.0</v>
      </c>
      <c r="B7097" s="3" t="s">
        <v>7124</v>
      </c>
      <c r="C7097" s="3" t="s">
        <v>189</v>
      </c>
      <c r="D7097" s="3">
        <v>226.0</v>
      </c>
      <c r="E7097" s="3">
        <v>17.6</v>
      </c>
      <c r="F7097" s="3">
        <v>13.1</v>
      </c>
      <c r="G7097" s="3">
        <v>3.9</v>
      </c>
    </row>
    <row r="7098">
      <c r="A7098" s="3">
        <v>174608.0</v>
      </c>
      <c r="B7098" s="3" t="s">
        <v>7125</v>
      </c>
      <c r="C7098" s="3" t="s">
        <v>189</v>
      </c>
      <c r="D7098" s="3">
        <v>134.0</v>
      </c>
      <c r="E7098" s="3">
        <v>7.65</v>
      </c>
      <c r="F7098" s="3">
        <v>14.59</v>
      </c>
      <c r="G7098" s="3">
        <v>1.79</v>
      </c>
    </row>
    <row r="7099">
      <c r="A7099" s="3">
        <v>174609.0</v>
      </c>
      <c r="B7099" s="3" t="s">
        <v>7126</v>
      </c>
      <c r="C7099" s="3" t="s">
        <v>189</v>
      </c>
      <c r="D7099" s="3">
        <v>211.0</v>
      </c>
      <c r="E7099" s="3">
        <v>16.06</v>
      </c>
      <c r="F7099" s="3">
        <v>13.06</v>
      </c>
      <c r="G7099" s="3">
        <v>3.45</v>
      </c>
    </row>
    <row r="7100">
      <c r="A7100" s="3">
        <v>174610.0</v>
      </c>
      <c r="B7100" s="3" t="s">
        <v>7127</v>
      </c>
      <c r="C7100" s="3" t="s">
        <v>189</v>
      </c>
      <c r="D7100" s="3">
        <v>336.0</v>
      </c>
      <c r="E7100" s="3">
        <v>29.25</v>
      </c>
      <c r="F7100" s="3">
        <v>11.56</v>
      </c>
      <c r="G7100" s="3">
        <v>6.66</v>
      </c>
    </row>
    <row r="7101">
      <c r="A7101" s="3">
        <v>174611.0</v>
      </c>
      <c r="B7101" s="3" t="s">
        <v>7128</v>
      </c>
      <c r="C7101" s="3" t="s">
        <v>189</v>
      </c>
      <c r="D7101" s="3">
        <v>122.0</v>
      </c>
      <c r="E7101" s="3">
        <v>2.37</v>
      </c>
      <c r="F7101" s="3">
        <v>17.93</v>
      </c>
      <c r="G7101" s="3">
        <v>7.27</v>
      </c>
    </row>
    <row r="7102">
      <c r="A7102" s="3">
        <v>174612.0</v>
      </c>
      <c r="B7102" s="3" t="s">
        <v>7129</v>
      </c>
      <c r="C7102" s="3" t="s">
        <v>189</v>
      </c>
      <c r="D7102" s="3">
        <v>95.0</v>
      </c>
      <c r="E7102" s="3">
        <v>0.69</v>
      </c>
      <c r="F7102" s="3">
        <v>20.9</v>
      </c>
      <c r="G7102" s="3">
        <v>1.31</v>
      </c>
    </row>
    <row r="7103">
      <c r="A7103" s="3">
        <v>174613.0</v>
      </c>
      <c r="B7103" s="3" t="s">
        <v>7130</v>
      </c>
      <c r="C7103" s="3" t="s">
        <v>189</v>
      </c>
      <c r="D7103" s="3">
        <v>112.0</v>
      </c>
      <c r="E7103" s="3">
        <v>3.0</v>
      </c>
      <c r="F7103" s="3">
        <v>13.5</v>
      </c>
      <c r="G7103" s="3">
        <v>7.7</v>
      </c>
    </row>
    <row r="7104">
      <c r="A7104" s="3">
        <v>174614.0</v>
      </c>
      <c r="B7104" s="3" t="s">
        <v>7131</v>
      </c>
      <c r="C7104" s="3" t="s">
        <v>189</v>
      </c>
      <c r="D7104" s="3">
        <v>322.0</v>
      </c>
      <c r="E7104" s="3">
        <v>29.36</v>
      </c>
      <c r="F7104" s="3">
        <v>11.69</v>
      </c>
      <c r="G7104" s="3">
        <v>2.66</v>
      </c>
    </row>
    <row r="7105">
      <c r="A7105" s="3">
        <v>174615.0</v>
      </c>
      <c r="B7105" s="3" t="s">
        <v>7132</v>
      </c>
      <c r="C7105" s="3" t="s">
        <v>189</v>
      </c>
      <c r="D7105" s="3">
        <v>278.0</v>
      </c>
      <c r="E7105" s="3">
        <v>24.31</v>
      </c>
      <c r="F7105" s="3">
        <v>9.77</v>
      </c>
      <c r="G7105" s="3">
        <v>4.9</v>
      </c>
    </row>
    <row r="7106">
      <c r="A7106" s="3">
        <v>174616.0</v>
      </c>
      <c r="B7106" s="3" t="s">
        <v>7133</v>
      </c>
      <c r="C7106" s="3" t="s">
        <v>189</v>
      </c>
      <c r="D7106" s="3">
        <v>327.0</v>
      </c>
      <c r="E7106" s="3">
        <v>28.22</v>
      </c>
      <c r="F7106" s="3">
        <v>12.9</v>
      </c>
      <c r="G7106" s="3">
        <v>4.61</v>
      </c>
    </row>
    <row r="7107">
      <c r="A7107" s="3">
        <v>174617.0</v>
      </c>
      <c r="B7107" s="3" t="s">
        <v>7134</v>
      </c>
      <c r="C7107" s="3" t="s">
        <v>189</v>
      </c>
      <c r="D7107" s="3">
        <v>155.0</v>
      </c>
      <c r="E7107" s="3">
        <v>8.08</v>
      </c>
      <c r="F7107" s="3">
        <v>18.79</v>
      </c>
      <c r="G7107" s="3">
        <v>0.47</v>
      </c>
    </row>
    <row r="7108">
      <c r="A7108" s="3">
        <v>174618.0</v>
      </c>
      <c r="B7108" s="3" t="s">
        <v>7135</v>
      </c>
      <c r="C7108" s="3" t="s">
        <v>189</v>
      </c>
      <c r="D7108" s="3">
        <v>332.0</v>
      </c>
      <c r="E7108" s="3">
        <v>27.98</v>
      </c>
      <c r="F7108" s="3">
        <v>18.21</v>
      </c>
      <c r="G7108" s="3">
        <v>0.35</v>
      </c>
    </row>
    <row r="7109">
      <c r="A7109" s="3">
        <v>174619.0</v>
      </c>
      <c r="B7109" s="3" t="s">
        <v>7136</v>
      </c>
      <c r="C7109" s="3" t="s">
        <v>222</v>
      </c>
      <c r="D7109" s="3">
        <v>389.0</v>
      </c>
      <c r="E7109" s="3">
        <v>4.61</v>
      </c>
      <c r="F7109" s="3">
        <v>3.41</v>
      </c>
      <c r="G7109" s="3">
        <v>86.75</v>
      </c>
    </row>
    <row r="7110">
      <c r="A7110" s="3">
        <v>174620.0</v>
      </c>
      <c r="B7110" s="3" t="s">
        <v>7137</v>
      </c>
      <c r="C7110" s="3" t="s">
        <v>222</v>
      </c>
      <c r="D7110" s="3">
        <v>374.0</v>
      </c>
      <c r="E7110" s="3">
        <v>4.1</v>
      </c>
      <c r="F7110" s="3">
        <v>9.14</v>
      </c>
      <c r="G7110" s="3">
        <v>79.02</v>
      </c>
    </row>
    <row r="7111">
      <c r="A7111" s="3">
        <v>174621.0</v>
      </c>
      <c r="B7111" s="3" t="s">
        <v>7138</v>
      </c>
      <c r="C7111" s="3" t="s">
        <v>222</v>
      </c>
      <c r="D7111" s="3">
        <v>412.0</v>
      </c>
      <c r="E7111" s="3">
        <v>7.63</v>
      </c>
      <c r="F7111" s="3">
        <v>3.92</v>
      </c>
      <c r="G7111" s="3">
        <v>83.65</v>
      </c>
    </row>
    <row r="7112">
      <c r="A7112" s="3">
        <v>174622.0</v>
      </c>
      <c r="B7112" s="3" t="s">
        <v>7139</v>
      </c>
      <c r="C7112" s="3" t="s">
        <v>222</v>
      </c>
      <c r="D7112" s="3">
        <v>379.0</v>
      </c>
      <c r="E7112" s="3">
        <v>4.83</v>
      </c>
      <c r="F7112" s="3">
        <v>11.38</v>
      </c>
      <c r="G7112" s="3">
        <v>77.77</v>
      </c>
    </row>
    <row r="7113">
      <c r="A7113" s="3">
        <v>174623.0</v>
      </c>
      <c r="B7113" s="3" t="s">
        <v>7140</v>
      </c>
      <c r="C7113" s="3" t="s">
        <v>222</v>
      </c>
      <c r="D7113" s="3">
        <v>379.0</v>
      </c>
      <c r="E7113" s="3">
        <v>4.88</v>
      </c>
      <c r="F7113" s="3">
        <v>11.23</v>
      </c>
      <c r="G7113" s="3">
        <v>78.09</v>
      </c>
    </row>
    <row r="7114">
      <c r="A7114" s="3">
        <v>174624.0</v>
      </c>
      <c r="B7114" s="3" t="s">
        <v>7141</v>
      </c>
      <c r="C7114" s="3" t="s">
        <v>222</v>
      </c>
      <c r="D7114" s="3">
        <v>379.0</v>
      </c>
      <c r="E7114" s="3">
        <v>6.37</v>
      </c>
      <c r="F7114" s="3">
        <v>8.3</v>
      </c>
      <c r="G7114" s="3">
        <v>75.42</v>
      </c>
    </row>
    <row r="7115">
      <c r="A7115" s="3">
        <v>174625.0</v>
      </c>
      <c r="B7115" s="3" t="s">
        <v>7142</v>
      </c>
      <c r="C7115" s="3" t="s">
        <v>222</v>
      </c>
      <c r="D7115" s="3">
        <v>371.0</v>
      </c>
      <c r="E7115" s="3">
        <v>6.98</v>
      </c>
      <c r="F7115" s="3">
        <v>8.82</v>
      </c>
      <c r="G7115" s="3">
        <v>72.41</v>
      </c>
    </row>
    <row r="7116">
      <c r="A7116" s="3">
        <v>174626.0</v>
      </c>
      <c r="B7116" s="3" t="s">
        <v>7143</v>
      </c>
      <c r="C7116" s="3" t="s">
        <v>222</v>
      </c>
      <c r="D7116" s="3">
        <v>364.0</v>
      </c>
      <c r="E7116" s="3">
        <v>7.97</v>
      </c>
      <c r="F7116" s="3">
        <v>17.03</v>
      </c>
      <c r="G7116" s="3">
        <v>62.94</v>
      </c>
    </row>
    <row r="7117">
      <c r="A7117" s="3">
        <v>174627.0</v>
      </c>
      <c r="B7117" s="3" t="s">
        <v>7144</v>
      </c>
      <c r="C7117" s="3" t="s">
        <v>222</v>
      </c>
      <c r="D7117" s="3">
        <v>43.0</v>
      </c>
      <c r="E7117" s="3">
        <v>0.95</v>
      </c>
      <c r="F7117" s="3">
        <v>2.03</v>
      </c>
      <c r="G7117" s="3">
        <v>7.49</v>
      </c>
    </row>
    <row r="7118">
      <c r="A7118" s="3">
        <v>174628.0</v>
      </c>
      <c r="B7118" s="3" t="s">
        <v>7145</v>
      </c>
      <c r="C7118" s="3" t="s">
        <v>222</v>
      </c>
      <c r="D7118" s="3">
        <v>390.0</v>
      </c>
      <c r="E7118" s="3">
        <v>5.0</v>
      </c>
      <c r="F7118" s="3">
        <v>6.6</v>
      </c>
      <c r="G7118" s="3">
        <v>83.0</v>
      </c>
    </row>
    <row r="7119">
      <c r="A7119" s="3">
        <v>174629.0</v>
      </c>
      <c r="B7119" s="3" t="s">
        <v>7146</v>
      </c>
      <c r="C7119" s="3" t="s">
        <v>222</v>
      </c>
      <c r="D7119" s="3">
        <v>348.0</v>
      </c>
      <c r="E7119" s="3">
        <v>1.2</v>
      </c>
      <c r="F7119" s="3">
        <v>8.8</v>
      </c>
      <c r="G7119" s="3">
        <v>79.6</v>
      </c>
    </row>
    <row r="7120">
      <c r="A7120" s="3">
        <v>174630.0</v>
      </c>
      <c r="B7120" s="3" t="s">
        <v>7147</v>
      </c>
      <c r="C7120" s="3" t="s">
        <v>222</v>
      </c>
      <c r="D7120" s="3">
        <v>361.0</v>
      </c>
      <c r="E7120" s="3">
        <v>1.6</v>
      </c>
      <c r="F7120" s="3">
        <v>8.8</v>
      </c>
      <c r="G7120" s="3">
        <v>79.2</v>
      </c>
    </row>
    <row r="7121">
      <c r="A7121" s="3">
        <v>174631.0</v>
      </c>
      <c r="B7121" s="3" t="s">
        <v>7148</v>
      </c>
      <c r="C7121" s="3" t="s">
        <v>222</v>
      </c>
      <c r="D7121" s="3">
        <v>401.0</v>
      </c>
      <c r="E7121" s="3">
        <v>5.28</v>
      </c>
      <c r="F7121" s="3">
        <v>3.64</v>
      </c>
      <c r="G7121" s="3">
        <v>81.59</v>
      </c>
    </row>
    <row r="7122">
      <c r="A7122" s="3">
        <v>174632.0</v>
      </c>
      <c r="B7122" s="3" t="s">
        <v>7149</v>
      </c>
      <c r="C7122" s="3" t="s">
        <v>222</v>
      </c>
      <c r="D7122" s="3">
        <v>382.0</v>
      </c>
      <c r="E7122" s="3">
        <v>4.56</v>
      </c>
      <c r="F7122" s="3">
        <v>10.6</v>
      </c>
      <c r="G7122" s="3">
        <v>79.79</v>
      </c>
    </row>
    <row r="7123">
      <c r="A7123" s="3">
        <v>174633.0</v>
      </c>
      <c r="B7123" s="3" t="s">
        <v>7150</v>
      </c>
      <c r="C7123" s="3" t="s">
        <v>222</v>
      </c>
      <c r="D7123" s="3">
        <v>379.0</v>
      </c>
      <c r="E7123" s="3">
        <v>1.45</v>
      </c>
      <c r="F7123" s="3">
        <v>4.55</v>
      </c>
      <c r="G7123" s="3">
        <v>88.89</v>
      </c>
    </row>
    <row r="7124">
      <c r="A7124" s="3">
        <v>174634.0</v>
      </c>
      <c r="B7124" s="3" t="s">
        <v>7151</v>
      </c>
      <c r="C7124" s="3" t="s">
        <v>222</v>
      </c>
      <c r="D7124" s="3">
        <v>382.0</v>
      </c>
      <c r="E7124" s="3">
        <v>1.61</v>
      </c>
      <c r="F7124" s="3">
        <v>4.21</v>
      </c>
      <c r="G7124" s="3">
        <v>89.91</v>
      </c>
    </row>
    <row r="7125">
      <c r="A7125" s="3">
        <v>174635.0</v>
      </c>
      <c r="B7125" s="3" t="s">
        <v>7152</v>
      </c>
      <c r="C7125" s="3" t="s">
        <v>222</v>
      </c>
      <c r="D7125" s="3">
        <v>200.0</v>
      </c>
      <c r="E7125" s="3">
        <v>5.16</v>
      </c>
      <c r="F7125" s="3">
        <v>17.56</v>
      </c>
      <c r="G7125" s="3">
        <v>59.51</v>
      </c>
    </row>
    <row r="7126">
      <c r="A7126" s="3">
        <v>174636.0</v>
      </c>
      <c r="B7126" s="3" t="s">
        <v>7153</v>
      </c>
      <c r="C7126" s="3" t="s">
        <v>222</v>
      </c>
      <c r="D7126" s="3">
        <v>369.0</v>
      </c>
      <c r="E7126" s="3">
        <v>5.1</v>
      </c>
      <c r="F7126" s="3">
        <v>10.39</v>
      </c>
      <c r="G7126" s="3">
        <v>74.52</v>
      </c>
    </row>
    <row r="7127">
      <c r="A7127" s="3">
        <v>174637.0</v>
      </c>
      <c r="B7127" s="3" t="s">
        <v>7154</v>
      </c>
      <c r="C7127" s="3" t="s">
        <v>222</v>
      </c>
      <c r="D7127" s="3">
        <v>384.0</v>
      </c>
      <c r="E7127" s="3">
        <v>7.59</v>
      </c>
      <c r="F7127" s="3">
        <v>8.69</v>
      </c>
      <c r="G7127" s="3">
        <v>73.68</v>
      </c>
    </row>
    <row r="7128">
      <c r="A7128" s="3">
        <v>174638.0</v>
      </c>
      <c r="B7128" s="3" t="s">
        <v>7155</v>
      </c>
      <c r="C7128" s="3" t="s">
        <v>222</v>
      </c>
      <c r="D7128" s="3">
        <v>368.0</v>
      </c>
      <c r="E7128" s="3">
        <v>4.85</v>
      </c>
      <c r="F7128" s="3">
        <v>8.97</v>
      </c>
      <c r="G7128" s="3">
        <v>75.7</v>
      </c>
    </row>
    <row r="7129">
      <c r="A7129" s="3">
        <v>174639.0</v>
      </c>
      <c r="B7129" s="3" t="s">
        <v>7156</v>
      </c>
      <c r="C7129" s="3" t="s">
        <v>222</v>
      </c>
      <c r="D7129" s="3">
        <v>346.0</v>
      </c>
      <c r="E7129" s="3">
        <v>11.6</v>
      </c>
      <c r="F7129" s="3">
        <v>15.98</v>
      </c>
      <c r="G7129" s="3">
        <v>65.78</v>
      </c>
    </row>
    <row r="7130">
      <c r="A7130" s="3">
        <v>174640.0</v>
      </c>
      <c r="B7130" s="3" t="s">
        <v>7157</v>
      </c>
      <c r="C7130" s="3" t="s">
        <v>222</v>
      </c>
      <c r="D7130" s="3">
        <v>371.0</v>
      </c>
      <c r="E7130" s="3">
        <v>6.87</v>
      </c>
      <c r="F7130" s="3">
        <v>13.7</v>
      </c>
      <c r="G7130" s="3">
        <v>68.18</v>
      </c>
    </row>
    <row r="7131">
      <c r="A7131" s="3">
        <v>174641.0</v>
      </c>
      <c r="B7131" s="3" t="s">
        <v>7158</v>
      </c>
      <c r="C7131" s="3" t="s">
        <v>222</v>
      </c>
      <c r="D7131" s="3">
        <v>333.0</v>
      </c>
      <c r="E7131" s="3">
        <v>2.0</v>
      </c>
      <c r="F7131" s="3">
        <v>11.8</v>
      </c>
      <c r="G7131" s="3">
        <v>74.8</v>
      </c>
    </row>
    <row r="7132">
      <c r="A7132" s="3">
        <v>174642.0</v>
      </c>
      <c r="B7132" s="3" t="s">
        <v>7159</v>
      </c>
      <c r="C7132" s="3" t="s">
        <v>222</v>
      </c>
      <c r="D7132" s="3">
        <v>379.0</v>
      </c>
      <c r="E7132" s="3">
        <v>1.72</v>
      </c>
      <c r="F7132" s="3">
        <v>3.45</v>
      </c>
      <c r="G7132" s="3">
        <v>89.66</v>
      </c>
    </row>
    <row r="7133">
      <c r="A7133" s="3">
        <v>174643.0</v>
      </c>
      <c r="B7133" s="3" t="s">
        <v>7160</v>
      </c>
      <c r="C7133" s="3" t="s">
        <v>222</v>
      </c>
      <c r="D7133" s="3">
        <v>370.0</v>
      </c>
      <c r="E7133" s="3">
        <v>0.89</v>
      </c>
      <c r="F7133" s="3">
        <v>5.77</v>
      </c>
      <c r="G7133" s="3">
        <v>89.72</v>
      </c>
    </row>
    <row r="7134">
      <c r="A7134" s="3">
        <v>174644.0</v>
      </c>
      <c r="B7134" s="3" t="s">
        <v>7161</v>
      </c>
      <c r="C7134" s="3" t="s">
        <v>222</v>
      </c>
      <c r="D7134" s="3">
        <v>388.0</v>
      </c>
      <c r="E7134" s="3">
        <v>4.51</v>
      </c>
      <c r="F7134" s="3">
        <v>8.6</v>
      </c>
      <c r="G7134" s="3">
        <v>79.84</v>
      </c>
    </row>
    <row r="7135">
      <c r="A7135" s="3">
        <v>174645.0</v>
      </c>
      <c r="B7135" s="3" t="s">
        <v>7162</v>
      </c>
      <c r="C7135" s="3" t="s">
        <v>222</v>
      </c>
      <c r="D7135" s="3">
        <v>390.0</v>
      </c>
      <c r="E7135" s="3">
        <v>2.71</v>
      </c>
      <c r="F7135" s="3">
        <v>4.51</v>
      </c>
      <c r="G7135" s="3">
        <v>87.3</v>
      </c>
    </row>
    <row r="7136">
      <c r="A7136" s="3">
        <v>174646.0</v>
      </c>
      <c r="B7136" s="3" t="s">
        <v>7163</v>
      </c>
      <c r="C7136" s="3" t="s">
        <v>222</v>
      </c>
      <c r="D7136" s="3">
        <v>425.0</v>
      </c>
      <c r="E7136" s="3">
        <v>12.06</v>
      </c>
      <c r="F7136" s="3">
        <v>3.32</v>
      </c>
      <c r="G7136" s="3">
        <v>78.33</v>
      </c>
    </row>
    <row r="7137">
      <c r="A7137" s="3">
        <v>174647.0</v>
      </c>
      <c r="B7137" s="3" t="s">
        <v>7164</v>
      </c>
      <c r="C7137" s="3" t="s">
        <v>222</v>
      </c>
      <c r="D7137" s="3">
        <v>397.0</v>
      </c>
      <c r="E7137" s="3">
        <v>3.43</v>
      </c>
      <c r="F7137" s="3">
        <v>4.15</v>
      </c>
      <c r="G7137" s="3">
        <v>87.93</v>
      </c>
    </row>
    <row r="7138">
      <c r="A7138" s="3">
        <v>174648.0</v>
      </c>
      <c r="B7138" s="3" t="s">
        <v>7165</v>
      </c>
      <c r="C7138" s="3" t="s">
        <v>222</v>
      </c>
      <c r="D7138" s="3">
        <v>384.0</v>
      </c>
      <c r="E7138" s="3">
        <v>0.91</v>
      </c>
      <c r="F7138" s="3">
        <v>5.9</v>
      </c>
      <c r="G7138" s="3">
        <v>88.01</v>
      </c>
    </row>
    <row r="7139">
      <c r="A7139" s="3">
        <v>174649.0</v>
      </c>
      <c r="B7139" s="3" t="s">
        <v>7166</v>
      </c>
      <c r="C7139" s="3" t="s">
        <v>222</v>
      </c>
      <c r="D7139" s="3">
        <v>379.0</v>
      </c>
      <c r="E7139" s="3">
        <v>0.95</v>
      </c>
      <c r="F7139" s="3">
        <v>5.94</v>
      </c>
      <c r="G7139" s="3">
        <v>86.78</v>
      </c>
    </row>
    <row r="7140">
      <c r="A7140" s="3">
        <v>174650.0</v>
      </c>
      <c r="B7140" s="3" t="s">
        <v>7167</v>
      </c>
      <c r="C7140" s="3" t="s">
        <v>33</v>
      </c>
      <c r="D7140" s="3">
        <v>413.0</v>
      </c>
      <c r="E7140" s="3">
        <v>10.98</v>
      </c>
      <c r="F7140" s="3">
        <v>6.47</v>
      </c>
      <c r="G7140" s="3">
        <v>72.05</v>
      </c>
    </row>
    <row r="7141">
      <c r="A7141" s="3">
        <v>174651.0</v>
      </c>
      <c r="B7141" s="3" t="s">
        <v>7168</v>
      </c>
      <c r="C7141" s="3" t="s">
        <v>222</v>
      </c>
      <c r="D7141" s="3">
        <v>48.0</v>
      </c>
      <c r="E7141" s="3">
        <v>0.09</v>
      </c>
      <c r="F7141" s="3">
        <v>1.67</v>
      </c>
      <c r="G7141" s="3">
        <v>10.09</v>
      </c>
    </row>
    <row r="7142">
      <c r="A7142" s="3">
        <v>174652.0</v>
      </c>
      <c r="B7142" s="3" t="s">
        <v>7169</v>
      </c>
      <c r="C7142" s="3" t="s">
        <v>222</v>
      </c>
      <c r="D7142" s="3">
        <v>397.0</v>
      </c>
      <c r="E7142" s="3">
        <v>4.83</v>
      </c>
      <c r="F7142" s="3">
        <v>4.44</v>
      </c>
      <c r="G7142" s="3">
        <v>85.92</v>
      </c>
    </row>
    <row r="7143">
      <c r="A7143" s="3">
        <v>174653.0</v>
      </c>
      <c r="B7143" s="3" t="s">
        <v>7170</v>
      </c>
      <c r="C7143" s="3" t="s">
        <v>222</v>
      </c>
      <c r="D7143" s="3">
        <v>413.0</v>
      </c>
      <c r="E7143" s="3">
        <v>8.7</v>
      </c>
      <c r="F7143" s="3">
        <v>8.5</v>
      </c>
      <c r="G7143" s="3">
        <v>77.4</v>
      </c>
    </row>
    <row r="7144">
      <c r="A7144" s="3">
        <v>174654.0</v>
      </c>
      <c r="B7144" s="3" t="s">
        <v>7171</v>
      </c>
      <c r="C7144" s="3" t="s">
        <v>222</v>
      </c>
      <c r="D7144" s="3">
        <v>467.0</v>
      </c>
      <c r="E7144" s="3">
        <v>18.33</v>
      </c>
      <c r="F7144" s="3">
        <v>11.23</v>
      </c>
      <c r="G7144" s="3">
        <v>66.1</v>
      </c>
    </row>
    <row r="7145">
      <c r="A7145" s="3">
        <v>174655.0</v>
      </c>
      <c r="B7145" s="3" t="s">
        <v>7172</v>
      </c>
      <c r="C7145" s="3" t="s">
        <v>222</v>
      </c>
      <c r="D7145" s="3">
        <v>355.0</v>
      </c>
      <c r="E7145" s="3">
        <v>1.41</v>
      </c>
      <c r="F7145" s="3">
        <v>11.61</v>
      </c>
      <c r="G7145" s="3">
        <v>71.79</v>
      </c>
    </row>
    <row r="7146">
      <c r="A7146" s="3">
        <v>174656.0</v>
      </c>
      <c r="B7146" s="3" t="s">
        <v>7173</v>
      </c>
      <c r="C7146" s="3" t="s">
        <v>222</v>
      </c>
      <c r="D7146" s="3">
        <v>379.0</v>
      </c>
      <c r="E7146" s="3">
        <v>5.58</v>
      </c>
      <c r="F7146" s="3">
        <v>21.75</v>
      </c>
      <c r="G7146" s="3">
        <v>60.53</v>
      </c>
    </row>
    <row r="7147">
      <c r="A7147" s="3">
        <v>174657.0</v>
      </c>
      <c r="B7147" s="3" t="s">
        <v>7174</v>
      </c>
      <c r="C7147" s="3" t="s">
        <v>222</v>
      </c>
      <c r="D7147" s="3">
        <v>402.0</v>
      </c>
      <c r="E7147" s="3">
        <v>5.66</v>
      </c>
      <c r="F7147" s="3">
        <v>4.41</v>
      </c>
      <c r="G7147" s="3">
        <v>85.14</v>
      </c>
    </row>
    <row r="7148">
      <c r="A7148" s="3">
        <v>174658.0</v>
      </c>
      <c r="B7148" s="3" t="s">
        <v>7175</v>
      </c>
      <c r="C7148" s="3" t="s">
        <v>222</v>
      </c>
      <c r="D7148" s="3">
        <v>418.0</v>
      </c>
      <c r="E7148" s="3">
        <v>11.06</v>
      </c>
      <c r="F7148" s="3">
        <v>9.21</v>
      </c>
      <c r="G7148" s="3">
        <v>74.73</v>
      </c>
    </row>
    <row r="7149">
      <c r="A7149" s="3">
        <v>174659.0</v>
      </c>
      <c r="B7149" s="3" t="s">
        <v>7176</v>
      </c>
      <c r="C7149" s="3" t="s">
        <v>222</v>
      </c>
      <c r="D7149" s="3">
        <v>373.0</v>
      </c>
      <c r="E7149" s="3">
        <v>4.06</v>
      </c>
      <c r="F7149" s="3">
        <v>9.17</v>
      </c>
      <c r="G7149" s="3">
        <v>78.86</v>
      </c>
    </row>
    <row r="7150">
      <c r="A7150" s="3">
        <v>174660.0</v>
      </c>
      <c r="B7150" s="3" t="s">
        <v>7177</v>
      </c>
      <c r="C7150" s="3" t="s">
        <v>222</v>
      </c>
      <c r="D7150" s="3">
        <v>367.0</v>
      </c>
      <c r="E7150" s="3">
        <v>6.3</v>
      </c>
      <c r="F7150" s="3">
        <v>16.0</v>
      </c>
      <c r="G7150" s="3">
        <v>67.0</v>
      </c>
    </row>
    <row r="7151">
      <c r="A7151" s="3">
        <v>174661.0</v>
      </c>
      <c r="B7151" s="3" t="s">
        <v>7178</v>
      </c>
      <c r="C7151" s="3" t="s">
        <v>222</v>
      </c>
      <c r="D7151" s="3">
        <v>376.0</v>
      </c>
      <c r="E7151" s="3">
        <v>7.46</v>
      </c>
      <c r="F7151" s="3">
        <v>10.16</v>
      </c>
      <c r="G7151" s="3">
        <v>71.57</v>
      </c>
    </row>
    <row r="7152">
      <c r="A7152" s="3">
        <v>174662.0</v>
      </c>
      <c r="B7152" s="3" t="s">
        <v>7179</v>
      </c>
      <c r="C7152" s="3" t="s">
        <v>222</v>
      </c>
      <c r="D7152" s="3">
        <v>358.0</v>
      </c>
      <c r="E7152" s="3">
        <v>5.64</v>
      </c>
      <c r="F7152" s="3">
        <v>10.29</v>
      </c>
      <c r="G7152" s="3">
        <v>72.17</v>
      </c>
    </row>
    <row r="7153">
      <c r="A7153" s="3">
        <v>174663.0</v>
      </c>
      <c r="B7153" s="3" t="s">
        <v>7180</v>
      </c>
      <c r="C7153" s="3" t="s">
        <v>222</v>
      </c>
      <c r="D7153" s="3">
        <v>399.0</v>
      </c>
      <c r="E7153" s="3">
        <v>5.4</v>
      </c>
      <c r="F7153" s="3">
        <v>7.0</v>
      </c>
      <c r="G7153" s="3">
        <v>82.0</v>
      </c>
    </row>
    <row r="7154">
      <c r="A7154" s="3">
        <v>174664.0</v>
      </c>
      <c r="B7154" s="3" t="s">
        <v>7181</v>
      </c>
      <c r="C7154" s="3" t="s">
        <v>222</v>
      </c>
      <c r="D7154" s="3">
        <v>392.0</v>
      </c>
      <c r="E7154" s="3">
        <v>3.67</v>
      </c>
      <c r="F7154" s="3">
        <v>3.5</v>
      </c>
      <c r="G7154" s="3">
        <v>88.18</v>
      </c>
    </row>
    <row r="7155">
      <c r="A7155" s="3">
        <v>174665.0</v>
      </c>
      <c r="B7155" s="3" t="s">
        <v>7182</v>
      </c>
      <c r="C7155" s="3" t="s">
        <v>257</v>
      </c>
      <c r="D7155" s="3">
        <v>249.0</v>
      </c>
      <c r="E7155" s="3">
        <v>0.93</v>
      </c>
      <c r="F7155" s="3">
        <v>3.3</v>
      </c>
      <c r="G7155" s="3">
        <v>63.87</v>
      </c>
    </row>
    <row r="7156">
      <c r="A7156" s="3">
        <v>174666.0</v>
      </c>
      <c r="B7156" s="3" t="s">
        <v>7183</v>
      </c>
      <c r="C7156" s="3" t="s">
        <v>257</v>
      </c>
      <c r="D7156" s="3">
        <v>107.0</v>
      </c>
      <c r="E7156" s="3">
        <v>0.4</v>
      </c>
      <c r="F7156" s="3">
        <v>1.42</v>
      </c>
      <c r="G7156" s="3">
        <v>27.57</v>
      </c>
    </row>
    <row r="7157">
      <c r="A7157" s="3">
        <v>174667.0</v>
      </c>
      <c r="B7157" s="3" t="s">
        <v>7184</v>
      </c>
      <c r="C7157" s="3" t="s">
        <v>257</v>
      </c>
      <c r="D7157" s="3">
        <v>32.0</v>
      </c>
      <c r="E7157" s="3">
        <v>0.05</v>
      </c>
      <c r="F7157" s="3">
        <v>0.42</v>
      </c>
      <c r="G7157" s="3">
        <v>8.51</v>
      </c>
    </row>
    <row r="7158">
      <c r="A7158" s="3">
        <v>174668.0</v>
      </c>
      <c r="B7158" s="3" t="s">
        <v>7185</v>
      </c>
      <c r="C7158" s="3" t="s">
        <v>257</v>
      </c>
      <c r="D7158" s="3">
        <v>46.0</v>
      </c>
      <c r="E7158" s="3">
        <v>0.01</v>
      </c>
      <c r="F7158" s="3">
        <v>0.46</v>
      </c>
      <c r="G7158" s="3">
        <v>11.86</v>
      </c>
    </row>
    <row r="7159">
      <c r="A7159" s="3">
        <v>174669.0</v>
      </c>
      <c r="B7159" s="3" t="s">
        <v>7186</v>
      </c>
      <c r="C7159" s="3" t="s">
        <v>257</v>
      </c>
      <c r="D7159" s="3">
        <v>30.0</v>
      </c>
      <c r="E7159" s="3">
        <v>0.07</v>
      </c>
      <c r="F7159" s="3">
        <v>0.35</v>
      </c>
      <c r="G7159" s="3">
        <v>7.87</v>
      </c>
    </row>
    <row r="7160">
      <c r="A7160" s="3">
        <v>174670.0</v>
      </c>
      <c r="B7160" s="3" t="s">
        <v>7187</v>
      </c>
      <c r="C7160" s="3" t="s">
        <v>257</v>
      </c>
      <c r="D7160" s="3">
        <v>50.0</v>
      </c>
      <c r="E7160" s="3">
        <v>0.03</v>
      </c>
      <c r="F7160" s="3">
        <v>0.51</v>
      </c>
      <c r="G7160" s="3">
        <v>13.05</v>
      </c>
    </row>
    <row r="7161">
      <c r="A7161" s="3">
        <v>174671.0</v>
      </c>
      <c r="B7161" s="3" t="s">
        <v>7188</v>
      </c>
      <c r="C7161" s="3" t="s">
        <v>257</v>
      </c>
      <c r="D7161" s="3">
        <v>58.0</v>
      </c>
      <c r="E7161" s="3">
        <v>0.07</v>
      </c>
      <c r="F7161" s="3">
        <v>0.34</v>
      </c>
      <c r="G7161" s="3">
        <v>15.14</v>
      </c>
    </row>
    <row r="7162">
      <c r="A7162" s="3">
        <v>174672.0</v>
      </c>
      <c r="B7162" s="3" t="s">
        <v>7189</v>
      </c>
      <c r="C7162" s="3" t="s">
        <v>257</v>
      </c>
      <c r="D7162" s="3">
        <v>88.0</v>
      </c>
      <c r="E7162" s="3">
        <v>0.06</v>
      </c>
      <c r="F7162" s="3">
        <v>0.33</v>
      </c>
      <c r="G7162" s="3">
        <v>22.77</v>
      </c>
    </row>
    <row r="7163">
      <c r="A7163" s="3">
        <v>174673.0</v>
      </c>
      <c r="B7163" s="3" t="s">
        <v>7190</v>
      </c>
      <c r="C7163" s="3" t="s">
        <v>257</v>
      </c>
      <c r="D7163" s="3">
        <v>42.0</v>
      </c>
      <c r="E7163" s="3">
        <v>0.14</v>
      </c>
      <c r="F7163" s="3">
        <v>0.77</v>
      </c>
      <c r="G7163" s="3">
        <v>10.66</v>
      </c>
    </row>
    <row r="7164">
      <c r="A7164" s="3">
        <v>174674.0</v>
      </c>
      <c r="B7164" s="3" t="s">
        <v>7191</v>
      </c>
      <c r="C7164" s="3" t="s">
        <v>257</v>
      </c>
      <c r="D7164" s="3">
        <v>37.0</v>
      </c>
      <c r="E7164" s="3">
        <v>0.1</v>
      </c>
      <c r="F7164" s="3">
        <v>0.5</v>
      </c>
      <c r="G7164" s="3">
        <v>9.69</v>
      </c>
    </row>
    <row r="7165">
      <c r="A7165" s="3">
        <v>174675.0</v>
      </c>
      <c r="B7165" s="3" t="s">
        <v>7192</v>
      </c>
      <c r="C7165" s="3" t="s">
        <v>257</v>
      </c>
      <c r="D7165" s="3">
        <v>30.0</v>
      </c>
      <c r="E7165" s="3">
        <v>0.1</v>
      </c>
      <c r="F7165" s="3">
        <v>0.55</v>
      </c>
      <c r="G7165" s="3">
        <v>7.5</v>
      </c>
    </row>
    <row r="7166">
      <c r="A7166" s="3">
        <v>174676.0</v>
      </c>
      <c r="B7166" s="3" t="s">
        <v>7193</v>
      </c>
      <c r="C7166" s="3" t="s">
        <v>257</v>
      </c>
      <c r="D7166" s="3">
        <v>33.0</v>
      </c>
      <c r="E7166" s="3">
        <v>0.1</v>
      </c>
      <c r="F7166" s="3">
        <v>0.69</v>
      </c>
      <c r="G7166" s="3">
        <v>8.41</v>
      </c>
    </row>
    <row r="7167">
      <c r="A7167" s="3">
        <v>174677.0</v>
      </c>
      <c r="B7167" s="3" t="s">
        <v>7194</v>
      </c>
      <c r="C7167" s="3" t="s">
        <v>257</v>
      </c>
      <c r="D7167" s="3">
        <v>37.0</v>
      </c>
      <c r="E7167" s="3">
        <v>0.1</v>
      </c>
      <c r="F7167" s="3">
        <v>0.88</v>
      </c>
      <c r="G7167" s="3">
        <v>9.09</v>
      </c>
    </row>
    <row r="7168">
      <c r="A7168" s="3">
        <v>174678.0</v>
      </c>
      <c r="B7168" s="3" t="s">
        <v>7195</v>
      </c>
      <c r="C7168" s="3" t="s">
        <v>257</v>
      </c>
      <c r="D7168" s="3">
        <v>37.0</v>
      </c>
      <c r="E7168" s="3">
        <v>0.66</v>
      </c>
      <c r="F7168" s="3">
        <v>0.55</v>
      </c>
      <c r="G7168" s="3">
        <v>7.54</v>
      </c>
    </row>
    <row r="7169">
      <c r="A7169" s="3">
        <v>174679.0</v>
      </c>
      <c r="B7169" s="3" t="s">
        <v>7196</v>
      </c>
      <c r="C7169" s="3" t="s">
        <v>257</v>
      </c>
      <c r="D7169" s="3">
        <v>46.0</v>
      </c>
      <c r="E7169" s="3">
        <v>0.09</v>
      </c>
      <c r="F7169" s="3">
        <v>0.58</v>
      </c>
      <c r="G7169" s="3">
        <v>11.13</v>
      </c>
    </row>
    <row r="7170">
      <c r="A7170" s="3">
        <v>174680.0</v>
      </c>
      <c r="B7170" s="3" t="s">
        <v>7197</v>
      </c>
      <c r="C7170" s="3" t="s">
        <v>257</v>
      </c>
      <c r="D7170" s="3">
        <v>146.0</v>
      </c>
      <c r="E7170" s="3">
        <v>0.48</v>
      </c>
      <c r="F7170" s="3">
        <v>1.97</v>
      </c>
      <c r="G7170" s="3">
        <v>34.56</v>
      </c>
    </row>
    <row r="7171">
      <c r="A7171" s="3">
        <v>174681.0</v>
      </c>
      <c r="B7171" s="3" t="s">
        <v>7198</v>
      </c>
      <c r="C7171" s="3" t="s">
        <v>257</v>
      </c>
      <c r="D7171" s="3">
        <v>41.0</v>
      </c>
      <c r="E7171" s="3">
        <v>0.13</v>
      </c>
      <c r="F7171" s="3">
        <v>0.55</v>
      </c>
      <c r="G7171" s="3">
        <v>9.73</v>
      </c>
    </row>
    <row r="7172">
      <c r="A7172" s="3">
        <v>174682.0</v>
      </c>
      <c r="B7172" s="3" t="s">
        <v>7199</v>
      </c>
      <c r="C7172" s="3" t="s">
        <v>257</v>
      </c>
      <c r="D7172" s="3">
        <v>67.0</v>
      </c>
      <c r="E7172" s="3">
        <v>0.35</v>
      </c>
      <c r="F7172" s="3">
        <v>0.63</v>
      </c>
      <c r="G7172" s="3">
        <v>17.15</v>
      </c>
    </row>
    <row r="7173">
      <c r="A7173" s="3">
        <v>174683.0</v>
      </c>
      <c r="B7173" s="3" t="s">
        <v>7200</v>
      </c>
      <c r="C7173" s="3" t="s">
        <v>257</v>
      </c>
      <c r="D7173" s="3">
        <v>69.0</v>
      </c>
      <c r="E7173" s="3">
        <v>0.16</v>
      </c>
      <c r="F7173" s="3">
        <v>0.72</v>
      </c>
      <c r="G7173" s="3">
        <v>18.1</v>
      </c>
    </row>
    <row r="7174">
      <c r="A7174" s="3">
        <v>174684.0</v>
      </c>
      <c r="B7174" s="3" t="s">
        <v>7201</v>
      </c>
      <c r="C7174" s="3" t="s">
        <v>257</v>
      </c>
      <c r="D7174" s="3">
        <v>40.0</v>
      </c>
      <c r="E7174" s="3">
        <v>0.11</v>
      </c>
      <c r="F7174" s="3">
        <v>0.5</v>
      </c>
      <c r="G7174" s="3">
        <v>10.3</v>
      </c>
    </row>
    <row r="7175">
      <c r="A7175" s="3">
        <v>174685.0</v>
      </c>
      <c r="B7175" s="3" t="s">
        <v>7202</v>
      </c>
      <c r="C7175" s="3" t="s">
        <v>257</v>
      </c>
      <c r="D7175" s="3">
        <v>76.0</v>
      </c>
      <c r="E7175" s="3">
        <v>0.1</v>
      </c>
      <c r="F7175" s="3">
        <v>0.48</v>
      </c>
      <c r="G7175" s="3">
        <v>19.65</v>
      </c>
    </row>
    <row r="7176">
      <c r="A7176" s="3">
        <v>174686.0</v>
      </c>
      <c r="B7176" s="3" t="s">
        <v>7203</v>
      </c>
      <c r="C7176" s="3" t="s">
        <v>257</v>
      </c>
      <c r="D7176" s="3">
        <v>36.0</v>
      </c>
      <c r="E7176" s="3">
        <v>0.14</v>
      </c>
      <c r="F7176" s="3">
        <v>0.32</v>
      </c>
      <c r="G7176" s="3">
        <v>9.48</v>
      </c>
    </row>
    <row r="7177">
      <c r="A7177" s="3">
        <v>174687.0</v>
      </c>
      <c r="B7177" s="3" t="s">
        <v>7204</v>
      </c>
      <c r="C7177" s="3" t="s">
        <v>257</v>
      </c>
      <c r="D7177" s="3">
        <v>95.0</v>
      </c>
      <c r="E7177" s="3">
        <v>0.64</v>
      </c>
      <c r="F7177" s="3">
        <v>1.72</v>
      </c>
      <c r="G7177" s="3">
        <v>23.25</v>
      </c>
    </row>
    <row r="7178">
      <c r="A7178" s="3">
        <v>174688.0</v>
      </c>
      <c r="B7178" s="3" t="s">
        <v>7205</v>
      </c>
      <c r="C7178" s="3" t="s">
        <v>189</v>
      </c>
      <c r="D7178" s="3">
        <v>195.0</v>
      </c>
      <c r="E7178" s="3">
        <v>8.54</v>
      </c>
      <c r="F7178" s="3">
        <v>29.33</v>
      </c>
      <c r="G7178" s="3">
        <v>0.3</v>
      </c>
    </row>
    <row r="7179">
      <c r="A7179" s="3">
        <v>174689.0</v>
      </c>
      <c r="B7179" s="3" t="s">
        <v>7206</v>
      </c>
      <c r="C7179" s="3" t="s">
        <v>189</v>
      </c>
      <c r="D7179" s="3">
        <v>203.0</v>
      </c>
      <c r="E7179" s="3">
        <v>9.48</v>
      </c>
      <c r="F7179" s="3">
        <v>28.99</v>
      </c>
      <c r="G7179" s="3">
        <v>0.36</v>
      </c>
    </row>
    <row r="7180">
      <c r="A7180" s="3">
        <v>174690.0</v>
      </c>
      <c r="B7180" s="3" t="s">
        <v>7207</v>
      </c>
      <c r="C7180" s="3" t="s">
        <v>189</v>
      </c>
      <c r="D7180" s="3">
        <v>184.0</v>
      </c>
      <c r="E7180" s="3">
        <v>7.12</v>
      </c>
      <c r="F7180" s="3">
        <v>29.85</v>
      </c>
      <c r="G7180" s="3">
        <v>0.2</v>
      </c>
    </row>
    <row r="7181">
      <c r="A7181" s="3">
        <v>174691.0</v>
      </c>
      <c r="B7181" s="3" t="s">
        <v>7208</v>
      </c>
      <c r="C7181" s="3" t="s">
        <v>189</v>
      </c>
      <c r="D7181" s="3">
        <v>149.0</v>
      </c>
      <c r="E7181" s="3">
        <v>6.48</v>
      </c>
      <c r="F7181" s="3">
        <v>22.5</v>
      </c>
      <c r="G7181" s="3">
        <v>0.23</v>
      </c>
    </row>
    <row r="7182">
      <c r="A7182" s="3">
        <v>174692.0</v>
      </c>
      <c r="B7182" s="3" t="s">
        <v>7209</v>
      </c>
      <c r="C7182" s="3" t="s">
        <v>189</v>
      </c>
      <c r="D7182" s="3">
        <v>135.0</v>
      </c>
      <c r="E7182" s="3">
        <v>4.88</v>
      </c>
      <c r="F7182" s="3">
        <v>22.77</v>
      </c>
      <c r="G7182" s="3">
        <v>0.0</v>
      </c>
    </row>
    <row r="7183">
      <c r="A7183" s="3">
        <v>174693.0</v>
      </c>
      <c r="B7183" s="3" t="s">
        <v>7210</v>
      </c>
      <c r="C7183" s="3" t="s">
        <v>189</v>
      </c>
      <c r="D7183" s="3">
        <v>171.0</v>
      </c>
      <c r="E7183" s="3">
        <v>5.37</v>
      </c>
      <c r="F7183" s="3">
        <v>30.58</v>
      </c>
      <c r="G7183" s="3">
        <v>0.0</v>
      </c>
    </row>
    <row r="7184">
      <c r="A7184" s="3">
        <v>174694.0</v>
      </c>
      <c r="B7184" s="3" t="s">
        <v>7211</v>
      </c>
      <c r="C7184" s="3" t="s">
        <v>189</v>
      </c>
      <c r="D7184" s="3">
        <v>174.0</v>
      </c>
      <c r="E7184" s="3">
        <v>5.83</v>
      </c>
      <c r="F7184" s="3">
        <v>30.45</v>
      </c>
      <c r="G7184" s="3">
        <v>0.0</v>
      </c>
    </row>
    <row r="7185">
      <c r="A7185" s="3">
        <v>174695.0</v>
      </c>
      <c r="B7185" s="3" t="s">
        <v>7212</v>
      </c>
      <c r="C7185" s="3" t="s">
        <v>189</v>
      </c>
      <c r="D7185" s="3">
        <v>122.0</v>
      </c>
      <c r="E7185" s="3">
        <v>3.35</v>
      </c>
      <c r="F7185" s="3">
        <v>23.05</v>
      </c>
      <c r="G7185" s="3">
        <v>0.0</v>
      </c>
    </row>
    <row r="7186">
      <c r="A7186" s="3">
        <v>174696.0</v>
      </c>
      <c r="B7186" s="3" t="s">
        <v>7213</v>
      </c>
      <c r="C7186" s="3" t="s">
        <v>189</v>
      </c>
      <c r="D7186" s="3">
        <v>133.0</v>
      </c>
      <c r="E7186" s="3">
        <v>4.66</v>
      </c>
      <c r="F7186" s="3">
        <v>22.66</v>
      </c>
      <c r="G7186" s="3">
        <v>0.04</v>
      </c>
    </row>
    <row r="7187">
      <c r="A7187" s="3">
        <v>174697.0</v>
      </c>
      <c r="B7187" s="3" t="s">
        <v>7214</v>
      </c>
      <c r="C7187" s="3" t="s">
        <v>189</v>
      </c>
      <c r="D7187" s="3">
        <v>138.0</v>
      </c>
      <c r="E7187" s="3">
        <v>5.29</v>
      </c>
      <c r="F7187" s="3">
        <v>22.52</v>
      </c>
      <c r="G7187" s="3">
        <v>0.18</v>
      </c>
    </row>
    <row r="7188">
      <c r="A7188" s="3">
        <v>174698.0</v>
      </c>
      <c r="B7188" s="3" t="s">
        <v>7215</v>
      </c>
      <c r="C7188" s="3" t="s">
        <v>189</v>
      </c>
      <c r="D7188" s="3">
        <v>125.0</v>
      </c>
      <c r="E7188" s="3">
        <v>3.72</v>
      </c>
      <c r="F7188" s="3">
        <v>22.89</v>
      </c>
      <c r="G7188" s="3">
        <v>0.0</v>
      </c>
    </row>
    <row r="7189">
      <c r="A7189" s="3">
        <v>174699.0</v>
      </c>
      <c r="B7189" s="3" t="s">
        <v>7216</v>
      </c>
      <c r="C7189" s="3" t="s">
        <v>189</v>
      </c>
      <c r="D7189" s="3">
        <v>187.0</v>
      </c>
      <c r="E7189" s="3">
        <v>11.4</v>
      </c>
      <c r="F7189" s="3">
        <v>19.46</v>
      </c>
      <c r="G7189" s="3">
        <v>1.75</v>
      </c>
    </row>
    <row r="7190">
      <c r="A7190" s="3">
        <v>174700.0</v>
      </c>
      <c r="B7190" s="3" t="s">
        <v>7217</v>
      </c>
      <c r="C7190" s="3" t="s">
        <v>189</v>
      </c>
      <c r="D7190" s="3">
        <v>169.0</v>
      </c>
      <c r="E7190" s="3">
        <v>9.39</v>
      </c>
      <c r="F7190" s="3">
        <v>20.05</v>
      </c>
      <c r="G7190" s="3">
        <v>1.15</v>
      </c>
    </row>
    <row r="7191">
      <c r="A7191" s="3">
        <v>174701.0</v>
      </c>
      <c r="B7191" s="3" t="s">
        <v>7218</v>
      </c>
      <c r="C7191" s="3" t="s">
        <v>189</v>
      </c>
      <c r="D7191" s="3">
        <v>199.0</v>
      </c>
      <c r="E7191" s="3">
        <v>9.2</v>
      </c>
      <c r="F7191" s="3">
        <v>28.77</v>
      </c>
      <c r="G7191" s="3">
        <v>0.17</v>
      </c>
    </row>
    <row r="7192">
      <c r="A7192" s="3">
        <v>174702.0</v>
      </c>
      <c r="B7192" s="3" t="s">
        <v>7219</v>
      </c>
      <c r="C7192" s="3" t="s">
        <v>189</v>
      </c>
      <c r="D7192" s="3">
        <v>208.0</v>
      </c>
      <c r="E7192" s="3">
        <v>10.26</v>
      </c>
      <c r="F7192" s="3">
        <v>28.35</v>
      </c>
      <c r="G7192" s="3">
        <v>0.51</v>
      </c>
    </row>
    <row r="7193">
      <c r="A7193" s="3">
        <v>174703.0</v>
      </c>
      <c r="B7193" s="3" t="s">
        <v>7220</v>
      </c>
      <c r="C7193" s="3" t="s">
        <v>189</v>
      </c>
      <c r="D7193" s="3">
        <v>186.0</v>
      </c>
      <c r="E7193" s="3">
        <v>7.61</v>
      </c>
      <c r="F7193" s="3">
        <v>29.39</v>
      </c>
      <c r="G7193" s="3">
        <v>0.0</v>
      </c>
    </row>
    <row r="7194">
      <c r="A7194" s="3">
        <v>174704.0</v>
      </c>
      <c r="B7194" s="3" t="s">
        <v>7221</v>
      </c>
      <c r="C7194" s="3" t="s">
        <v>189</v>
      </c>
      <c r="D7194" s="3">
        <v>238.0</v>
      </c>
      <c r="E7194" s="3">
        <v>14.3</v>
      </c>
      <c r="F7194" s="3">
        <v>26.3</v>
      </c>
      <c r="G7194" s="3">
        <v>1.1</v>
      </c>
    </row>
    <row r="7195">
      <c r="A7195" s="3">
        <v>174705.0</v>
      </c>
      <c r="B7195" s="3" t="s">
        <v>7222</v>
      </c>
      <c r="C7195" s="3" t="s">
        <v>189</v>
      </c>
      <c r="D7195" s="3">
        <v>249.0</v>
      </c>
      <c r="E7195" s="3">
        <v>16.1</v>
      </c>
      <c r="F7195" s="3">
        <v>25.5</v>
      </c>
      <c r="G7195" s="3">
        <v>0.4</v>
      </c>
    </row>
    <row r="7196">
      <c r="A7196" s="3">
        <v>174706.0</v>
      </c>
      <c r="B7196" s="3" t="s">
        <v>7223</v>
      </c>
      <c r="C7196" s="3" t="s">
        <v>189</v>
      </c>
      <c r="D7196" s="3">
        <v>191.0</v>
      </c>
      <c r="E7196" s="3">
        <v>12.4</v>
      </c>
      <c r="F7196" s="3">
        <v>19.9</v>
      </c>
      <c r="G7196" s="3">
        <v>0.0</v>
      </c>
    </row>
    <row r="7197">
      <c r="A7197" s="3">
        <v>174707.0</v>
      </c>
      <c r="B7197" s="3" t="s">
        <v>7224</v>
      </c>
      <c r="C7197" s="3" t="s">
        <v>189</v>
      </c>
      <c r="D7197" s="3">
        <v>199.0</v>
      </c>
      <c r="E7197" s="3">
        <v>13.4</v>
      </c>
      <c r="F7197" s="3">
        <v>19.7</v>
      </c>
      <c r="G7197" s="3">
        <v>0.0</v>
      </c>
    </row>
    <row r="7198">
      <c r="A7198" s="3">
        <v>174708.0</v>
      </c>
      <c r="B7198" s="3" t="s">
        <v>7225</v>
      </c>
      <c r="C7198" s="3" t="s">
        <v>189</v>
      </c>
      <c r="D7198" s="3">
        <v>228.0</v>
      </c>
      <c r="E7198" s="3">
        <v>12.9</v>
      </c>
      <c r="F7198" s="3">
        <v>27.0</v>
      </c>
      <c r="G7198" s="3">
        <v>1.0</v>
      </c>
    </row>
    <row r="7199">
      <c r="A7199" s="3">
        <v>174709.0</v>
      </c>
      <c r="B7199" s="3" t="s">
        <v>7226</v>
      </c>
      <c r="C7199" s="3" t="s">
        <v>189</v>
      </c>
      <c r="D7199" s="3">
        <v>239.0</v>
      </c>
      <c r="E7199" s="3">
        <v>14.1</v>
      </c>
      <c r="F7199" s="3">
        <v>26.8</v>
      </c>
      <c r="G7199" s="3">
        <v>1.1</v>
      </c>
    </row>
    <row r="7200">
      <c r="A7200" s="3">
        <v>174710.0</v>
      </c>
      <c r="B7200" s="3" t="s">
        <v>7227</v>
      </c>
      <c r="C7200" s="3" t="s">
        <v>189</v>
      </c>
      <c r="D7200" s="3">
        <v>213.0</v>
      </c>
      <c r="E7200" s="3">
        <v>11.2</v>
      </c>
      <c r="F7200" s="3">
        <v>27.1</v>
      </c>
      <c r="G7200" s="3">
        <v>0.9</v>
      </c>
    </row>
    <row r="7201">
      <c r="A7201" s="3">
        <v>174711.0</v>
      </c>
      <c r="B7201" s="3" t="s">
        <v>7228</v>
      </c>
      <c r="C7201" s="3" t="s">
        <v>189</v>
      </c>
      <c r="D7201" s="3">
        <v>187.0</v>
      </c>
      <c r="E7201" s="3">
        <v>11.3</v>
      </c>
      <c r="F7201" s="3">
        <v>21.1</v>
      </c>
      <c r="G7201" s="3">
        <v>0.3</v>
      </c>
    </row>
    <row r="7202">
      <c r="A7202" s="3">
        <v>174712.0</v>
      </c>
      <c r="B7202" s="3" t="s">
        <v>7229</v>
      </c>
      <c r="C7202" s="3" t="s">
        <v>189</v>
      </c>
      <c r="D7202" s="3">
        <v>275.0</v>
      </c>
      <c r="E7202" s="3">
        <v>19.19</v>
      </c>
      <c r="F7202" s="3">
        <v>25.69</v>
      </c>
      <c r="G7202" s="3">
        <v>0.0</v>
      </c>
    </row>
    <row r="7203">
      <c r="A7203" s="3">
        <v>174713.0</v>
      </c>
      <c r="B7203" s="3" t="s">
        <v>7230</v>
      </c>
      <c r="C7203" s="3" t="s">
        <v>189</v>
      </c>
      <c r="D7203" s="3">
        <v>247.0</v>
      </c>
      <c r="E7203" s="3">
        <v>15.44</v>
      </c>
      <c r="F7203" s="3">
        <v>26.92</v>
      </c>
      <c r="G7203" s="3">
        <v>0.0</v>
      </c>
    </row>
    <row r="7204">
      <c r="A7204" s="3">
        <v>174714.0</v>
      </c>
      <c r="B7204" s="3" t="s">
        <v>7231</v>
      </c>
      <c r="C7204" s="3" t="s">
        <v>189</v>
      </c>
      <c r="D7204" s="3">
        <v>264.0</v>
      </c>
      <c r="E7204" s="3">
        <v>17.69</v>
      </c>
      <c r="F7204" s="3">
        <v>26.18</v>
      </c>
      <c r="G7204" s="3">
        <v>0.0</v>
      </c>
    </row>
    <row r="7205">
      <c r="A7205" s="3">
        <v>174715.0</v>
      </c>
      <c r="B7205" s="3" t="s">
        <v>7232</v>
      </c>
      <c r="C7205" s="3" t="s">
        <v>189</v>
      </c>
      <c r="D7205" s="3">
        <v>193.0</v>
      </c>
      <c r="E7205" s="3">
        <v>6.57</v>
      </c>
      <c r="F7205" s="3">
        <v>33.53</v>
      </c>
      <c r="G7205" s="3">
        <v>0.0</v>
      </c>
    </row>
    <row r="7206">
      <c r="A7206" s="3">
        <v>174716.0</v>
      </c>
      <c r="B7206" s="3" t="s">
        <v>7233</v>
      </c>
      <c r="C7206" s="3" t="s">
        <v>189</v>
      </c>
      <c r="D7206" s="3">
        <v>129.0</v>
      </c>
      <c r="E7206" s="3">
        <v>4.49</v>
      </c>
      <c r="F7206" s="3">
        <v>22.09</v>
      </c>
      <c r="G7206" s="3">
        <v>0.0</v>
      </c>
    </row>
    <row r="7207">
      <c r="A7207" s="3">
        <v>174717.0</v>
      </c>
      <c r="B7207" s="3" t="s">
        <v>7234</v>
      </c>
      <c r="C7207" s="3" t="s">
        <v>189</v>
      </c>
      <c r="D7207" s="3">
        <v>265.0</v>
      </c>
      <c r="E7207" s="3">
        <v>16.37</v>
      </c>
      <c r="F7207" s="3">
        <v>29.35</v>
      </c>
      <c r="G7207" s="3">
        <v>0.0</v>
      </c>
    </row>
    <row r="7208">
      <c r="A7208" s="3">
        <v>174718.0</v>
      </c>
      <c r="B7208" s="3" t="s">
        <v>7235</v>
      </c>
      <c r="C7208" s="3" t="s">
        <v>189</v>
      </c>
      <c r="D7208" s="3">
        <v>194.0</v>
      </c>
      <c r="E7208" s="3">
        <v>12.75</v>
      </c>
      <c r="F7208" s="3">
        <v>19.74</v>
      </c>
      <c r="G7208" s="3">
        <v>0.0</v>
      </c>
    </row>
    <row r="7209">
      <c r="A7209" s="3">
        <v>174719.0</v>
      </c>
      <c r="B7209" s="3" t="s">
        <v>7236</v>
      </c>
      <c r="C7209" s="3" t="s">
        <v>189</v>
      </c>
      <c r="D7209" s="3">
        <v>239.0</v>
      </c>
      <c r="E7209" s="3">
        <v>13.22</v>
      </c>
      <c r="F7209" s="3">
        <v>30.09</v>
      </c>
      <c r="G7209" s="3">
        <v>0.0</v>
      </c>
    </row>
    <row r="7210">
      <c r="A7210" s="3">
        <v>174720.0</v>
      </c>
      <c r="B7210" s="3" t="s">
        <v>7237</v>
      </c>
      <c r="C7210" s="3" t="s">
        <v>189</v>
      </c>
      <c r="D7210" s="3">
        <v>161.0</v>
      </c>
      <c r="E7210" s="3">
        <v>8.51</v>
      </c>
      <c r="F7210" s="3">
        <v>19.77</v>
      </c>
      <c r="G7210" s="3">
        <v>1.38</v>
      </c>
    </row>
    <row r="7211">
      <c r="A7211" s="3">
        <v>174721.0</v>
      </c>
      <c r="B7211" s="3" t="s">
        <v>7238</v>
      </c>
      <c r="C7211" s="3" t="s">
        <v>189</v>
      </c>
      <c r="D7211" s="3">
        <v>164.0</v>
      </c>
      <c r="E7211" s="3">
        <v>4.98</v>
      </c>
      <c r="F7211" s="3">
        <v>29.68</v>
      </c>
      <c r="G7211" s="3">
        <v>0.0</v>
      </c>
    </row>
    <row r="7212">
      <c r="A7212" s="3">
        <v>174722.0</v>
      </c>
      <c r="B7212" s="3" t="s">
        <v>7239</v>
      </c>
      <c r="C7212" s="3" t="s">
        <v>189</v>
      </c>
      <c r="D7212" s="3">
        <v>116.0</v>
      </c>
      <c r="E7212" s="3">
        <v>3.35</v>
      </c>
      <c r="F7212" s="3">
        <v>20.15</v>
      </c>
      <c r="G7212" s="3">
        <v>1.35</v>
      </c>
    </row>
    <row r="7213">
      <c r="A7213" s="3">
        <v>174723.0</v>
      </c>
      <c r="B7213" s="3" t="s">
        <v>7240</v>
      </c>
      <c r="C7213" s="3" t="s">
        <v>189</v>
      </c>
      <c r="D7213" s="3">
        <v>105.0</v>
      </c>
      <c r="E7213" s="3">
        <v>3.4</v>
      </c>
      <c r="F7213" s="3">
        <v>18.52</v>
      </c>
      <c r="G7213" s="3">
        <v>0.0</v>
      </c>
    </row>
    <row r="7214">
      <c r="A7214" s="3">
        <v>174724.0</v>
      </c>
      <c r="B7214" s="3" t="s">
        <v>7241</v>
      </c>
      <c r="C7214" s="3" t="s">
        <v>189</v>
      </c>
      <c r="D7214" s="3">
        <v>167.0</v>
      </c>
      <c r="E7214" s="3">
        <v>4.64</v>
      </c>
      <c r="F7214" s="3">
        <v>31.23</v>
      </c>
      <c r="G7214" s="3">
        <v>0.0</v>
      </c>
    </row>
    <row r="7215">
      <c r="A7215" s="3">
        <v>174725.0</v>
      </c>
      <c r="B7215" s="3" t="s">
        <v>7242</v>
      </c>
      <c r="C7215" s="3" t="s">
        <v>189</v>
      </c>
      <c r="D7215" s="3">
        <v>114.0</v>
      </c>
      <c r="E7215" s="3">
        <v>3.12</v>
      </c>
      <c r="F7215" s="3">
        <v>21.46</v>
      </c>
      <c r="G7215" s="3">
        <v>0.0</v>
      </c>
    </row>
    <row r="7216">
      <c r="A7216" s="3">
        <v>174726.0</v>
      </c>
      <c r="B7216" s="3" t="s">
        <v>7243</v>
      </c>
      <c r="C7216" s="3" t="s">
        <v>189</v>
      </c>
      <c r="D7216" s="3">
        <v>128.0</v>
      </c>
      <c r="E7216" s="3">
        <v>4.36</v>
      </c>
      <c r="F7216" s="3">
        <v>22.16</v>
      </c>
      <c r="G7216" s="3">
        <v>0.1</v>
      </c>
    </row>
    <row r="7217">
      <c r="A7217" s="3">
        <v>174727.0</v>
      </c>
      <c r="B7217" s="3" t="s">
        <v>7244</v>
      </c>
      <c r="C7217" s="3" t="s">
        <v>189</v>
      </c>
      <c r="D7217" s="3">
        <v>87.0</v>
      </c>
      <c r="E7217" s="3">
        <v>2.64</v>
      </c>
      <c r="F7217" s="3">
        <v>15.68</v>
      </c>
      <c r="G7217" s="3">
        <v>0.0</v>
      </c>
    </row>
    <row r="7218">
      <c r="A7218" s="3">
        <v>174728.0</v>
      </c>
      <c r="B7218" s="3" t="s">
        <v>7245</v>
      </c>
      <c r="C7218" s="3" t="s">
        <v>189</v>
      </c>
      <c r="D7218" s="3">
        <v>150.0</v>
      </c>
      <c r="E7218" s="3">
        <v>4.68</v>
      </c>
      <c r="F7218" s="3">
        <v>23.3</v>
      </c>
      <c r="G7218" s="3">
        <v>3.78</v>
      </c>
    </row>
    <row r="7219">
      <c r="A7219" s="3">
        <v>174729.0</v>
      </c>
      <c r="B7219" s="3" t="s">
        <v>7246</v>
      </c>
      <c r="C7219" s="3" t="s">
        <v>189</v>
      </c>
      <c r="D7219" s="3">
        <v>133.0</v>
      </c>
      <c r="E7219" s="3">
        <v>4.05</v>
      </c>
      <c r="F7219" s="3">
        <v>20.5</v>
      </c>
      <c r="G7219" s="3">
        <v>3.6</v>
      </c>
    </row>
    <row r="7220">
      <c r="A7220" s="3">
        <v>174730.0</v>
      </c>
      <c r="B7220" s="3" t="s">
        <v>7247</v>
      </c>
      <c r="C7220" s="3" t="s">
        <v>189</v>
      </c>
      <c r="D7220" s="3">
        <v>126.0</v>
      </c>
      <c r="E7220" s="3">
        <v>3.26</v>
      </c>
      <c r="F7220" s="3">
        <v>24.21</v>
      </c>
      <c r="G7220" s="3">
        <v>0.0</v>
      </c>
    </row>
    <row r="7221">
      <c r="A7221" s="3">
        <v>174731.0</v>
      </c>
      <c r="B7221" s="3" t="s">
        <v>7248</v>
      </c>
      <c r="C7221" s="3" t="s">
        <v>189</v>
      </c>
      <c r="D7221" s="3">
        <v>146.0</v>
      </c>
      <c r="E7221" s="3">
        <v>6.78</v>
      </c>
      <c r="F7221" s="3">
        <v>21.31</v>
      </c>
      <c r="G7221" s="3">
        <v>0.0</v>
      </c>
    </row>
    <row r="7222">
      <c r="A7222" s="3">
        <v>174732.0</v>
      </c>
      <c r="B7222" s="3" t="s">
        <v>7249</v>
      </c>
      <c r="C7222" s="3" t="s">
        <v>189</v>
      </c>
      <c r="D7222" s="3">
        <v>188.0</v>
      </c>
      <c r="E7222" s="3">
        <v>7.48</v>
      </c>
      <c r="F7222" s="3">
        <v>30.17</v>
      </c>
      <c r="G7222" s="3">
        <v>0.0</v>
      </c>
    </row>
    <row r="7223">
      <c r="A7223" s="3">
        <v>174733.0</v>
      </c>
      <c r="B7223" s="3" t="s">
        <v>7250</v>
      </c>
      <c r="C7223" s="3" t="s">
        <v>189</v>
      </c>
      <c r="D7223" s="3">
        <v>217.0</v>
      </c>
      <c r="E7223" s="3">
        <v>11.4</v>
      </c>
      <c r="F7223" s="3">
        <v>28.53</v>
      </c>
      <c r="G7223" s="3">
        <v>0.0</v>
      </c>
    </row>
    <row r="7224">
      <c r="A7224" s="3">
        <v>174734.0</v>
      </c>
      <c r="B7224" s="3" t="s">
        <v>7251</v>
      </c>
      <c r="C7224" s="3" t="s">
        <v>189</v>
      </c>
      <c r="D7224" s="3">
        <v>150.0</v>
      </c>
      <c r="E7224" s="3">
        <v>7.0</v>
      </c>
      <c r="F7224" s="3">
        <v>20.93</v>
      </c>
      <c r="G7224" s="3">
        <v>0.74</v>
      </c>
    </row>
    <row r="7225">
      <c r="A7225" s="3">
        <v>174735.0</v>
      </c>
      <c r="B7225" s="3" t="s">
        <v>7252</v>
      </c>
      <c r="C7225" s="3" t="s">
        <v>189</v>
      </c>
      <c r="D7225" s="3">
        <v>178.0</v>
      </c>
      <c r="E7225" s="3">
        <v>10.31</v>
      </c>
      <c r="F7225" s="3">
        <v>21.27</v>
      </c>
      <c r="G7225" s="3">
        <v>0.0</v>
      </c>
    </row>
    <row r="7226">
      <c r="A7226" s="3">
        <v>174736.0</v>
      </c>
      <c r="B7226" s="3" t="s">
        <v>7253</v>
      </c>
      <c r="C7226" s="3" t="s">
        <v>189</v>
      </c>
      <c r="D7226" s="3">
        <v>140.0</v>
      </c>
      <c r="E7226" s="3">
        <v>6.1</v>
      </c>
      <c r="F7226" s="3">
        <v>21.19</v>
      </c>
      <c r="G7226" s="3">
        <v>0.0</v>
      </c>
    </row>
    <row r="7227">
      <c r="A7227" s="3">
        <v>174737.0</v>
      </c>
      <c r="B7227" s="3" t="s">
        <v>7254</v>
      </c>
      <c r="C7227" s="3" t="s">
        <v>189</v>
      </c>
      <c r="D7227" s="3">
        <v>271.0</v>
      </c>
      <c r="E7227" s="3">
        <v>20.34</v>
      </c>
      <c r="F7227" s="3">
        <v>18.31</v>
      </c>
      <c r="G7227" s="3">
        <v>3.68</v>
      </c>
    </row>
    <row r="7228">
      <c r="A7228" s="3">
        <v>174738.0</v>
      </c>
      <c r="B7228" s="3" t="s">
        <v>7255</v>
      </c>
      <c r="C7228" s="3" t="s">
        <v>189</v>
      </c>
      <c r="D7228" s="3">
        <v>243.0</v>
      </c>
      <c r="E7228" s="3">
        <v>19.09</v>
      </c>
      <c r="F7228" s="3">
        <v>17.77</v>
      </c>
      <c r="G7228" s="3">
        <v>0.0</v>
      </c>
    </row>
    <row r="7229">
      <c r="A7229" s="3">
        <v>174739.0</v>
      </c>
      <c r="B7229" s="3" t="s">
        <v>7256</v>
      </c>
      <c r="C7229" s="3" t="s">
        <v>189</v>
      </c>
      <c r="D7229" s="3">
        <v>453.0</v>
      </c>
      <c r="E7229" s="3">
        <v>41.33</v>
      </c>
      <c r="F7229" s="3">
        <v>20.14</v>
      </c>
      <c r="G7229" s="3">
        <v>0.0</v>
      </c>
    </row>
    <row r="7230">
      <c r="A7230" s="3">
        <v>174740.0</v>
      </c>
      <c r="B7230" s="3" t="s">
        <v>7257</v>
      </c>
      <c r="C7230" s="3" t="s">
        <v>189</v>
      </c>
      <c r="D7230" s="3">
        <v>345.0</v>
      </c>
      <c r="E7230" s="3">
        <v>31.27</v>
      </c>
      <c r="F7230" s="3">
        <v>15.81</v>
      </c>
      <c r="G7230" s="3">
        <v>0.0</v>
      </c>
    </row>
    <row r="7231">
      <c r="A7231" s="3">
        <v>174741.0</v>
      </c>
      <c r="B7231" s="3" t="s">
        <v>7258</v>
      </c>
      <c r="C7231" s="3" t="s">
        <v>189</v>
      </c>
      <c r="D7231" s="3">
        <v>250.0</v>
      </c>
      <c r="E7231" s="3">
        <v>13.6</v>
      </c>
      <c r="F7231" s="3">
        <v>31.94</v>
      </c>
      <c r="G7231" s="3">
        <v>0.0</v>
      </c>
    </row>
    <row r="7232">
      <c r="A7232" s="3">
        <v>174742.0</v>
      </c>
      <c r="B7232" s="3" t="s">
        <v>7259</v>
      </c>
      <c r="C7232" s="3" t="s">
        <v>189</v>
      </c>
      <c r="D7232" s="3">
        <v>163.0</v>
      </c>
      <c r="E7232" s="3">
        <v>9.23</v>
      </c>
      <c r="F7232" s="3">
        <v>20.05</v>
      </c>
      <c r="G7232" s="3">
        <v>0.0</v>
      </c>
    </row>
    <row r="7233">
      <c r="A7233" s="3">
        <v>174743.0</v>
      </c>
      <c r="B7233" s="3" t="s">
        <v>7260</v>
      </c>
      <c r="C7233" s="3" t="s">
        <v>189</v>
      </c>
      <c r="D7233" s="3">
        <v>168.0</v>
      </c>
      <c r="E7233" s="3">
        <v>5.57</v>
      </c>
      <c r="F7233" s="3">
        <v>29.49</v>
      </c>
      <c r="G7233" s="3">
        <v>0.0</v>
      </c>
    </row>
    <row r="7234">
      <c r="A7234" s="3">
        <v>174744.0</v>
      </c>
      <c r="B7234" s="3" t="s">
        <v>7261</v>
      </c>
      <c r="C7234" s="3" t="s">
        <v>189</v>
      </c>
      <c r="D7234" s="3">
        <v>129.0</v>
      </c>
      <c r="E7234" s="3">
        <v>4.92</v>
      </c>
      <c r="F7234" s="3">
        <v>19.88</v>
      </c>
      <c r="G7234" s="3">
        <v>1.32</v>
      </c>
    </row>
    <row r="7235">
      <c r="A7235" s="3">
        <v>174745.0</v>
      </c>
      <c r="B7235" s="3" t="s">
        <v>7262</v>
      </c>
      <c r="C7235" s="3" t="s">
        <v>189</v>
      </c>
      <c r="D7235" s="3">
        <v>208.0</v>
      </c>
      <c r="E7235" s="3">
        <v>9.73</v>
      </c>
      <c r="F7235" s="3">
        <v>30.13</v>
      </c>
      <c r="G7235" s="3">
        <v>0.0</v>
      </c>
    </row>
    <row r="7236">
      <c r="A7236" s="3">
        <v>174746.0</v>
      </c>
      <c r="B7236" s="3" t="s">
        <v>7263</v>
      </c>
      <c r="C7236" s="3" t="s">
        <v>189</v>
      </c>
      <c r="D7236" s="3">
        <v>161.0</v>
      </c>
      <c r="E7236" s="3">
        <v>8.9</v>
      </c>
      <c r="F7236" s="3">
        <v>20.12</v>
      </c>
      <c r="G7236" s="3">
        <v>0.0</v>
      </c>
    </row>
    <row r="7237">
      <c r="A7237" s="3">
        <v>174747.0</v>
      </c>
      <c r="B7237" s="3" t="s">
        <v>7264</v>
      </c>
      <c r="C7237" s="3" t="s">
        <v>189</v>
      </c>
      <c r="D7237" s="3">
        <v>252.0</v>
      </c>
      <c r="E7237" s="3">
        <v>13.79</v>
      </c>
      <c r="F7237" s="3">
        <v>31.86</v>
      </c>
      <c r="G7237" s="3">
        <v>0.0</v>
      </c>
    </row>
    <row r="7238">
      <c r="A7238" s="3">
        <v>174748.0</v>
      </c>
      <c r="B7238" s="3" t="s">
        <v>7265</v>
      </c>
      <c r="C7238" s="3" t="s">
        <v>189</v>
      </c>
      <c r="D7238" s="3">
        <v>192.0</v>
      </c>
      <c r="E7238" s="3">
        <v>7.96</v>
      </c>
      <c r="F7238" s="3">
        <v>30.01</v>
      </c>
      <c r="G7238" s="3">
        <v>0.0</v>
      </c>
    </row>
    <row r="7239">
      <c r="A7239" s="3">
        <v>174749.0</v>
      </c>
      <c r="B7239" s="3" t="s">
        <v>7266</v>
      </c>
      <c r="C7239" s="3" t="s">
        <v>189</v>
      </c>
      <c r="D7239" s="3">
        <v>141.0</v>
      </c>
      <c r="E7239" s="3">
        <v>6.05</v>
      </c>
      <c r="F7239" s="3">
        <v>21.74</v>
      </c>
      <c r="G7239" s="3">
        <v>0.0</v>
      </c>
    </row>
    <row r="7240">
      <c r="A7240" s="3">
        <v>174750.0</v>
      </c>
      <c r="B7240" s="3" t="s">
        <v>7267</v>
      </c>
      <c r="C7240" s="3" t="s">
        <v>189</v>
      </c>
      <c r="D7240" s="3">
        <v>145.0</v>
      </c>
      <c r="E7240" s="3">
        <v>6.5</v>
      </c>
      <c r="F7240" s="3">
        <v>21.65</v>
      </c>
      <c r="G7240" s="3">
        <v>0.0</v>
      </c>
    </row>
    <row r="7241">
      <c r="A7241" s="3">
        <v>174751.0</v>
      </c>
      <c r="B7241" s="3" t="s">
        <v>7268</v>
      </c>
      <c r="C7241" s="3" t="s">
        <v>189</v>
      </c>
      <c r="D7241" s="3">
        <v>301.0</v>
      </c>
      <c r="E7241" s="3">
        <v>22.33</v>
      </c>
      <c r="F7241" s="3">
        <v>24.89</v>
      </c>
      <c r="G7241" s="3">
        <v>0.02</v>
      </c>
    </row>
    <row r="7242">
      <c r="A7242" s="3">
        <v>174752.0</v>
      </c>
      <c r="B7242" s="3" t="s">
        <v>7269</v>
      </c>
      <c r="C7242" s="3" t="s">
        <v>189</v>
      </c>
      <c r="D7242" s="3">
        <v>193.0</v>
      </c>
      <c r="E7242" s="3">
        <v>8.94</v>
      </c>
      <c r="F7242" s="3">
        <v>26.22</v>
      </c>
      <c r="G7242" s="3">
        <v>0.0</v>
      </c>
    </row>
    <row r="7243">
      <c r="A7243" s="3">
        <v>174753.0</v>
      </c>
      <c r="B7243" s="3" t="s">
        <v>7270</v>
      </c>
      <c r="C7243" s="3" t="s">
        <v>189</v>
      </c>
      <c r="D7243" s="3">
        <v>182.0</v>
      </c>
      <c r="E7243" s="3">
        <v>8.01</v>
      </c>
      <c r="F7243" s="3">
        <v>25.56</v>
      </c>
      <c r="G7243" s="3">
        <v>0.06</v>
      </c>
    </row>
    <row r="7244">
      <c r="A7244" s="3">
        <v>174754.0</v>
      </c>
      <c r="B7244" s="3" t="s">
        <v>7271</v>
      </c>
      <c r="C7244" s="3" t="s">
        <v>189</v>
      </c>
      <c r="D7244" s="3">
        <v>192.0</v>
      </c>
      <c r="E7244" s="3">
        <v>8.43</v>
      </c>
      <c r="F7244" s="3">
        <v>27.03</v>
      </c>
      <c r="G7244" s="3">
        <v>0.0</v>
      </c>
    </row>
    <row r="7245">
      <c r="A7245" s="3">
        <v>174755.0</v>
      </c>
      <c r="B7245" s="3" t="s">
        <v>7272</v>
      </c>
      <c r="C7245" s="3" t="s">
        <v>189</v>
      </c>
      <c r="D7245" s="3">
        <v>209.0</v>
      </c>
      <c r="E7245" s="3">
        <v>9.51</v>
      </c>
      <c r="F7245" s="3">
        <v>28.88</v>
      </c>
      <c r="G7245" s="3">
        <v>0.0</v>
      </c>
    </row>
    <row r="7246">
      <c r="A7246" s="3">
        <v>174756.0</v>
      </c>
      <c r="B7246" s="3" t="s">
        <v>7273</v>
      </c>
      <c r="C7246" s="3" t="s">
        <v>189</v>
      </c>
      <c r="D7246" s="3">
        <v>175.0</v>
      </c>
      <c r="E7246" s="3">
        <v>5.46</v>
      </c>
      <c r="F7246" s="3">
        <v>29.46</v>
      </c>
      <c r="G7246" s="3">
        <v>0.0</v>
      </c>
    </row>
    <row r="7247">
      <c r="A7247" s="3">
        <v>174757.0</v>
      </c>
      <c r="B7247" s="3" t="s">
        <v>7274</v>
      </c>
      <c r="C7247" s="3" t="s">
        <v>189</v>
      </c>
      <c r="D7247" s="3">
        <v>167.0</v>
      </c>
      <c r="E7247" s="3">
        <v>9.3</v>
      </c>
      <c r="F7247" s="3">
        <v>20.95</v>
      </c>
      <c r="G7247" s="3">
        <v>0.0</v>
      </c>
    </row>
    <row r="7248">
      <c r="A7248" s="3">
        <v>174758.0</v>
      </c>
      <c r="B7248" s="3" t="s">
        <v>7275</v>
      </c>
      <c r="C7248" s="3" t="s">
        <v>189</v>
      </c>
      <c r="D7248" s="3">
        <v>140.0</v>
      </c>
      <c r="E7248" s="3">
        <v>5.38</v>
      </c>
      <c r="F7248" s="3">
        <v>22.15</v>
      </c>
      <c r="G7248" s="3">
        <v>0.0</v>
      </c>
    </row>
    <row r="7249">
      <c r="A7249" s="3">
        <v>174759.0</v>
      </c>
      <c r="B7249" s="3" t="s">
        <v>7276</v>
      </c>
      <c r="C7249" s="3" t="s">
        <v>189</v>
      </c>
      <c r="D7249" s="3">
        <v>194.0</v>
      </c>
      <c r="E7249" s="3">
        <v>8.15</v>
      </c>
      <c r="F7249" s="3">
        <v>28.95</v>
      </c>
      <c r="G7249" s="3">
        <v>0.0</v>
      </c>
    </row>
    <row r="7250">
      <c r="A7250" s="3">
        <v>174760.0</v>
      </c>
      <c r="B7250" s="3" t="s">
        <v>7277</v>
      </c>
      <c r="C7250" s="3" t="s">
        <v>189</v>
      </c>
      <c r="D7250" s="3">
        <v>138.0</v>
      </c>
      <c r="E7250" s="3">
        <v>5.54</v>
      </c>
      <c r="F7250" s="3">
        <v>22.15</v>
      </c>
      <c r="G7250" s="3">
        <v>0.0</v>
      </c>
    </row>
    <row r="7251">
      <c r="A7251" s="3">
        <v>174761.0</v>
      </c>
      <c r="B7251" s="3" t="s">
        <v>7278</v>
      </c>
      <c r="C7251" s="3" t="s">
        <v>189</v>
      </c>
      <c r="D7251" s="3">
        <v>148.0</v>
      </c>
      <c r="E7251" s="3">
        <v>5.91</v>
      </c>
      <c r="F7251" s="3">
        <v>22.12</v>
      </c>
      <c r="G7251" s="3">
        <v>0.0</v>
      </c>
    </row>
    <row r="7252">
      <c r="A7252" s="3">
        <v>174762.0</v>
      </c>
      <c r="B7252" s="3" t="s">
        <v>7279</v>
      </c>
      <c r="C7252" s="3" t="s">
        <v>189</v>
      </c>
      <c r="D7252" s="3">
        <v>158.0</v>
      </c>
      <c r="E7252" s="3">
        <v>7.07</v>
      </c>
      <c r="F7252" s="3">
        <v>22.17</v>
      </c>
      <c r="G7252" s="3">
        <v>0.0</v>
      </c>
    </row>
    <row r="7253">
      <c r="A7253" s="3">
        <v>174763.0</v>
      </c>
      <c r="B7253" s="3" t="s">
        <v>7280</v>
      </c>
      <c r="C7253" s="3" t="s">
        <v>189</v>
      </c>
      <c r="D7253" s="3">
        <v>135.0</v>
      </c>
      <c r="E7253" s="3">
        <v>4.62</v>
      </c>
      <c r="F7253" s="3">
        <v>21.91</v>
      </c>
      <c r="G7253" s="3">
        <v>0.0</v>
      </c>
    </row>
    <row r="7254">
      <c r="A7254" s="3">
        <v>174764.0</v>
      </c>
      <c r="B7254" s="3" t="s">
        <v>7281</v>
      </c>
      <c r="C7254" s="3" t="s">
        <v>189</v>
      </c>
      <c r="D7254" s="3">
        <v>202.0</v>
      </c>
      <c r="E7254" s="3">
        <v>9.05</v>
      </c>
      <c r="F7254" s="3">
        <v>28.29</v>
      </c>
      <c r="G7254" s="3">
        <v>0.0</v>
      </c>
    </row>
    <row r="7255">
      <c r="A7255" s="3">
        <v>174765.0</v>
      </c>
      <c r="B7255" s="3" t="s">
        <v>7282</v>
      </c>
      <c r="C7255" s="3" t="s">
        <v>189</v>
      </c>
      <c r="D7255" s="3">
        <v>125.0</v>
      </c>
      <c r="E7255" s="3">
        <v>3.32</v>
      </c>
      <c r="F7255" s="3">
        <v>22.26</v>
      </c>
      <c r="G7255" s="3">
        <v>0.0</v>
      </c>
    </row>
    <row r="7256">
      <c r="A7256" s="3">
        <v>174766.0</v>
      </c>
      <c r="B7256" s="3" t="s">
        <v>7283</v>
      </c>
      <c r="C7256" s="3" t="s">
        <v>189</v>
      </c>
      <c r="D7256" s="3">
        <v>124.0</v>
      </c>
      <c r="E7256" s="3">
        <v>3.61</v>
      </c>
      <c r="F7256" s="3">
        <v>21.45</v>
      </c>
      <c r="G7256" s="3">
        <v>0.0</v>
      </c>
    </row>
    <row r="7257">
      <c r="A7257" s="3">
        <v>174767.0</v>
      </c>
      <c r="B7257" s="3" t="s">
        <v>7284</v>
      </c>
      <c r="C7257" s="3" t="s">
        <v>189</v>
      </c>
      <c r="D7257" s="3">
        <v>205.0</v>
      </c>
      <c r="E7257" s="3">
        <v>6.35</v>
      </c>
      <c r="F7257" s="3">
        <v>34.6</v>
      </c>
      <c r="G7257" s="3">
        <v>0.0</v>
      </c>
    </row>
    <row r="7258">
      <c r="A7258" s="3">
        <v>174768.0</v>
      </c>
      <c r="B7258" s="3" t="s">
        <v>7285</v>
      </c>
      <c r="C7258" s="3" t="s">
        <v>189</v>
      </c>
      <c r="D7258" s="3">
        <v>189.0</v>
      </c>
      <c r="E7258" s="3">
        <v>5.21</v>
      </c>
      <c r="F7258" s="3">
        <v>33.18</v>
      </c>
      <c r="G7258" s="3">
        <v>0.0</v>
      </c>
    </row>
    <row r="7259">
      <c r="A7259" s="3">
        <v>174769.0</v>
      </c>
      <c r="B7259" s="3" t="s">
        <v>7286</v>
      </c>
      <c r="C7259" s="3" t="s">
        <v>189</v>
      </c>
      <c r="D7259" s="3">
        <v>94.0</v>
      </c>
      <c r="E7259" s="3">
        <v>4.05</v>
      </c>
      <c r="F7259" s="3">
        <v>11.71</v>
      </c>
      <c r="G7259" s="3">
        <v>1.99</v>
      </c>
    </row>
    <row r="7260">
      <c r="A7260" s="3">
        <v>174770.0</v>
      </c>
      <c r="B7260" s="3" t="s">
        <v>7287</v>
      </c>
      <c r="C7260" s="3" t="s">
        <v>189</v>
      </c>
      <c r="D7260" s="3">
        <v>142.0</v>
      </c>
      <c r="E7260" s="3">
        <v>5.63</v>
      </c>
      <c r="F7260" s="3">
        <v>21.26</v>
      </c>
      <c r="G7260" s="3">
        <v>0.0</v>
      </c>
    </row>
    <row r="7261">
      <c r="A7261" s="3">
        <v>174771.0</v>
      </c>
      <c r="B7261" s="3" t="s">
        <v>7288</v>
      </c>
      <c r="C7261" s="3" t="s">
        <v>189</v>
      </c>
      <c r="D7261" s="3">
        <v>193.0</v>
      </c>
      <c r="E7261" s="3">
        <v>9.73</v>
      </c>
      <c r="F7261" s="3">
        <v>26.34</v>
      </c>
      <c r="G7261" s="3">
        <v>0.0</v>
      </c>
    </row>
    <row r="7262">
      <c r="A7262" s="3">
        <v>174772.0</v>
      </c>
      <c r="B7262" s="3" t="s">
        <v>7289</v>
      </c>
      <c r="C7262" s="3" t="s">
        <v>189</v>
      </c>
      <c r="D7262" s="3">
        <v>154.0</v>
      </c>
      <c r="E7262" s="3">
        <v>7.06</v>
      </c>
      <c r="F7262" s="3">
        <v>21.17</v>
      </c>
      <c r="G7262" s="3">
        <v>0.0</v>
      </c>
    </row>
    <row r="7263">
      <c r="A7263" s="3">
        <v>174773.0</v>
      </c>
      <c r="B7263" s="3" t="s">
        <v>7290</v>
      </c>
      <c r="C7263" s="3" t="s">
        <v>189</v>
      </c>
      <c r="D7263" s="3">
        <v>179.0</v>
      </c>
      <c r="E7263" s="3">
        <v>6.95</v>
      </c>
      <c r="F7263" s="3">
        <v>27.17</v>
      </c>
      <c r="G7263" s="3">
        <v>0.0</v>
      </c>
    </row>
    <row r="7264">
      <c r="A7264" s="3">
        <v>174774.0</v>
      </c>
      <c r="B7264" s="3" t="s">
        <v>7291</v>
      </c>
      <c r="C7264" s="3" t="s">
        <v>189</v>
      </c>
      <c r="D7264" s="3">
        <v>186.0</v>
      </c>
      <c r="E7264" s="3">
        <v>7.4</v>
      </c>
      <c r="F7264" s="3">
        <v>27.89</v>
      </c>
      <c r="G7264" s="3">
        <v>0.0</v>
      </c>
    </row>
    <row r="7265">
      <c r="A7265" s="3">
        <v>174775.0</v>
      </c>
      <c r="B7265" s="3" t="s">
        <v>7292</v>
      </c>
      <c r="C7265" s="3" t="s">
        <v>189</v>
      </c>
      <c r="D7265" s="3">
        <v>178.0</v>
      </c>
      <c r="E7265" s="3">
        <v>6.48</v>
      </c>
      <c r="F7265" s="3">
        <v>27.96</v>
      </c>
      <c r="G7265" s="3">
        <v>0.0</v>
      </c>
    </row>
    <row r="7266">
      <c r="A7266" s="3">
        <v>174776.0</v>
      </c>
      <c r="B7266" s="3" t="s">
        <v>7293</v>
      </c>
      <c r="C7266" s="3" t="s">
        <v>189</v>
      </c>
      <c r="D7266" s="3">
        <v>141.0</v>
      </c>
      <c r="E7266" s="3">
        <v>5.47</v>
      </c>
      <c r="F7266" s="3">
        <v>21.57</v>
      </c>
      <c r="G7266" s="3">
        <v>0.0</v>
      </c>
    </row>
    <row r="7267">
      <c r="A7267" s="3">
        <v>174777.0</v>
      </c>
      <c r="B7267" s="3" t="s">
        <v>7294</v>
      </c>
      <c r="C7267" s="3" t="s">
        <v>189</v>
      </c>
      <c r="D7267" s="3">
        <v>137.0</v>
      </c>
      <c r="E7267" s="3">
        <v>5.0</v>
      </c>
      <c r="F7267" s="3">
        <v>21.43</v>
      </c>
      <c r="G7267" s="3">
        <v>0.0</v>
      </c>
    </row>
    <row r="7268">
      <c r="A7268" s="3">
        <v>174778.0</v>
      </c>
      <c r="B7268" s="3" t="s">
        <v>7295</v>
      </c>
      <c r="C7268" s="3" t="s">
        <v>33</v>
      </c>
      <c r="D7268" s="3">
        <v>424.0</v>
      </c>
      <c r="E7268" s="3">
        <v>9.5</v>
      </c>
      <c r="F7268" s="3">
        <v>12.6</v>
      </c>
      <c r="G7268" s="3">
        <v>72.0</v>
      </c>
    </row>
    <row r="7269">
      <c r="A7269" s="3">
        <v>174779.0</v>
      </c>
      <c r="B7269" s="3" t="s">
        <v>7296</v>
      </c>
      <c r="C7269" s="3" t="s">
        <v>33</v>
      </c>
      <c r="D7269" s="3">
        <v>359.0</v>
      </c>
      <c r="E7269" s="3">
        <v>6.53</v>
      </c>
      <c r="F7269" s="3">
        <v>0.46</v>
      </c>
      <c r="G7269" s="3">
        <v>74.64</v>
      </c>
    </row>
    <row r="7270">
      <c r="A7270" s="3">
        <v>174780.0</v>
      </c>
      <c r="B7270" s="3" t="s">
        <v>7297</v>
      </c>
      <c r="C7270" s="3" t="s">
        <v>33</v>
      </c>
      <c r="D7270" s="3">
        <v>396.0</v>
      </c>
      <c r="E7270" s="3">
        <v>13.12</v>
      </c>
      <c r="F7270" s="3">
        <v>24.29</v>
      </c>
      <c r="G7270" s="3">
        <v>47.24</v>
      </c>
    </row>
    <row r="7271">
      <c r="A7271" s="3">
        <v>174781.0</v>
      </c>
      <c r="B7271" s="3" t="s">
        <v>7298</v>
      </c>
      <c r="C7271" s="3" t="s">
        <v>33</v>
      </c>
      <c r="D7271" s="3">
        <v>422.0</v>
      </c>
      <c r="E7271" s="3">
        <v>13.18</v>
      </c>
      <c r="F7271" s="3">
        <v>18.49</v>
      </c>
      <c r="G7271" s="3">
        <v>57.27</v>
      </c>
    </row>
    <row r="7272">
      <c r="A7272" s="3">
        <v>174782.0</v>
      </c>
      <c r="B7272" s="3" t="s">
        <v>7299</v>
      </c>
      <c r="C7272" s="3" t="s">
        <v>33</v>
      </c>
      <c r="D7272" s="3">
        <v>347.0</v>
      </c>
      <c r="E7272" s="3">
        <v>14.19</v>
      </c>
      <c r="F7272" s="3">
        <v>7.72</v>
      </c>
      <c r="G7272" s="3">
        <v>51.68</v>
      </c>
    </row>
    <row r="7273">
      <c r="A7273" s="3">
        <v>174783.0</v>
      </c>
      <c r="B7273" s="3" t="s">
        <v>7300</v>
      </c>
      <c r="C7273" s="3" t="s">
        <v>33</v>
      </c>
      <c r="D7273" s="3">
        <v>532.0</v>
      </c>
      <c r="E7273" s="3">
        <v>32.35</v>
      </c>
      <c r="F7273" s="3">
        <v>2.94</v>
      </c>
      <c r="G7273" s="3">
        <v>56.82</v>
      </c>
    </row>
    <row r="7274">
      <c r="A7274" s="3">
        <v>174784.0</v>
      </c>
      <c r="B7274" s="3" t="s">
        <v>7301</v>
      </c>
      <c r="C7274" s="3" t="s">
        <v>33</v>
      </c>
      <c r="D7274" s="3">
        <v>491.0</v>
      </c>
      <c r="E7274" s="3">
        <v>21.11</v>
      </c>
      <c r="F7274" s="3">
        <v>7.95</v>
      </c>
      <c r="G7274" s="3">
        <v>67.26</v>
      </c>
    </row>
    <row r="7275">
      <c r="A7275" s="3">
        <v>174785.0</v>
      </c>
      <c r="B7275" s="3" t="s">
        <v>7302</v>
      </c>
      <c r="C7275" s="3" t="s">
        <v>33</v>
      </c>
      <c r="D7275" s="3">
        <v>557.0</v>
      </c>
      <c r="E7275" s="3">
        <v>34.02</v>
      </c>
      <c r="F7275" s="3">
        <v>7.5</v>
      </c>
      <c r="G7275" s="3">
        <v>55.16</v>
      </c>
    </row>
    <row r="7276">
      <c r="A7276" s="3">
        <v>174786.0</v>
      </c>
      <c r="B7276" s="3" t="s">
        <v>7303</v>
      </c>
      <c r="C7276" s="3" t="s">
        <v>33</v>
      </c>
      <c r="D7276" s="3">
        <v>415.0</v>
      </c>
      <c r="E7276" s="3">
        <v>12.5</v>
      </c>
      <c r="F7276" s="3">
        <v>25.0</v>
      </c>
      <c r="G7276" s="3">
        <v>50.5</v>
      </c>
    </row>
    <row r="7277">
      <c r="A7277" s="3">
        <v>174787.0</v>
      </c>
      <c r="B7277" s="3" t="s">
        <v>7304</v>
      </c>
      <c r="C7277" s="3" t="s">
        <v>33</v>
      </c>
      <c r="D7277" s="3">
        <v>403.0</v>
      </c>
      <c r="E7277" s="3">
        <v>12.19</v>
      </c>
      <c r="F7277" s="3">
        <v>20.75</v>
      </c>
      <c r="G7277" s="3">
        <v>52.49</v>
      </c>
    </row>
    <row r="7278">
      <c r="A7278" s="3">
        <v>174788.0</v>
      </c>
      <c r="B7278" s="3" t="s">
        <v>7305</v>
      </c>
      <c r="C7278" s="3" t="s">
        <v>33</v>
      </c>
      <c r="D7278" s="3">
        <v>496.0</v>
      </c>
      <c r="E7278" s="3">
        <v>22.15</v>
      </c>
      <c r="F7278" s="3">
        <v>8.68</v>
      </c>
      <c r="G7278" s="3">
        <v>65.49</v>
      </c>
    </row>
    <row r="7279">
      <c r="A7279" s="3">
        <v>174789.0</v>
      </c>
      <c r="B7279" s="3" t="s">
        <v>7306</v>
      </c>
      <c r="C7279" s="3" t="s">
        <v>33</v>
      </c>
      <c r="D7279" s="3">
        <v>491.0</v>
      </c>
      <c r="E7279" s="3">
        <v>22.22</v>
      </c>
      <c r="F7279" s="3">
        <v>8.08</v>
      </c>
      <c r="G7279" s="3">
        <v>64.7</v>
      </c>
    </row>
    <row r="7280">
      <c r="A7280" s="3">
        <v>174790.0</v>
      </c>
      <c r="B7280" s="3" t="s">
        <v>7307</v>
      </c>
      <c r="C7280" s="3" t="s">
        <v>33</v>
      </c>
      <c r="D7280" s="3">
        <v>345.0</v>
      </c>
      <c r="E7280" s="3">
        <v>3.1</v>
      </c>
      <c r="F7280" s="3">
        <v>8.2</v>
      </c>
      <c r="G7280" s="3">
        <v>71.04</v>
      </c>
    </row>
    <row r="7281">
      <c r="A7281" s="3">
        <v>174791.0</v>
      </c>
      <c r="B7281" s="3" t="s">
        <v>7308</v>
      </c>
      <c r="C7281" s="3" t="s">
        <v>33</v>
      </c>
      <c r="D7281" s="3">
        <v>517.0</v>
      </c>
      <c r="E7281" s="3">
        <v>29.81</v>
      </c>
      <c r="F7281" s="3">
        <v>4.13</v>
      </c>
      <c r="G7281" s="3">
        <v>57.97</v>
      </c>
    </row>
    <row r="7282">
      <c r="A7282" s="3">
        <v>174792.0</v>
      </c>
      <c r="B7282" s="3" t="s">
        <v>7309</v>
      </c>
      <c r="C7282" s="3" t="s">
        <v>33</v>
      </c>
      <c r="D7282" s="3">
        <v>426.0</v>
      </c>
      <c r="E7282" s="3">
        <v>14.0</v>
      </c>
      <c r="F7282" s="3">
        <v>30.0</v>
      </c>
      <c r="G7282" s="3">
        <v>45.0</v>
      </c>
    </row>
    <row r="7283">
      <c r="A7283" s="3">
        <v>174793.0</v>
      </c>
      <c r="B7283" s="3" t="s">
        <v>7310</v>
      </c>
      <c r="C7283" s="3" t="s">
        <v>33</v>
      </c>
      <c r="D7283" s="3">
        <v>390.0</v>
      </c>
      <c r="E7283" s="3">
        <v>7.69</v>
      </c>
      <c r="F7283" s="3">
        <v>16.67</v>
      </c>
      <c r="G7283" s="3">
        <v>63.42</v>
      </c>
    </row>
    <row r="7284">
      <c r="A7284" s="3">
        <v>174794.0</v>
      </c>
      <c r="B7284" s="3" t="s">
        <v>7311</v>
      </c>
      <c r="C7284" s="3" t="s">
        <v>33</v>
      </c>
      <c r="D7284" s="3">
        <v>429.0</v>
      </c>
      <c r="E7284" s="3">
        <v>15.71</v>
      </c>
      <c r="F7284" s="3">
        <v>18.57</v>
      </c>
      <c r="G7284" s="3">
        <v>53.26</v>
      </c>
    </row>
    <row r="7285">
      <c r="A7285" s="3">
        <v>174795.0</v>
      </c>
      <c r="B7285" s="3" t="s">
        <v>7312</v>
      </c>
      <c r="C7285" s="3" t="s">
        <v>33</v>
      </c>
      <c r="D7285" s="3">
        <v>389.0</v>
      </c>
      <c r="E7285" s="3">
        <v>6.67</v>
      </c>
      <c r="F7285" s="3">
        <v>6.67</v>
      </c>
      <c r="G7285" s="3">
        <v>75.47</v>
      </c>
    </row>
    <row r="7286">
      <c r="A7286" s="3">
        <v>174796.0</v>
      </c>
      <c r="B7286" s="3" t="s">
        <v>7313</v>
      </c>
      <c r="C7286" s="3" t="s">
        <v>33</v>
      </c>
      <c r="D7286" s="3">
        <v>473.0</v>
      </c>
      <c r="E7286" s="3">
        <v>23.3</v>
      </c>
      <c r="F7286" s="3">
        <v>5.32</v>
      </c>
      <c r="G7286" s="3">
        <v>60.43</v>
      </c>
    </row>
    <row r="7287">
      <c r="A7287" s="3">
        <v>174797.0</v>
      </c>
      <c r="B7287" s="3" t="s">
        <v>7314</v>
      </c>
      <c r="C7287" s="3" t="s">
        <v>33</v>
      </c>
      <c r="D7287" s="3">
        <v>446.0</v>
      </c>
      <c r="E7287" s="3">
        <v>15.0</v>
      </c>
      <c r="F7287" s="3">
        <v>15.0</v>
      </c>
      <c r="G7287" s="3">
        <v>62.78</v>
      </c>
    </row>
    <row r="7288">
      <c r="A7288" s="3">
        <v>174798.0</v>
      </c>
      <c r="B7288" s="3" t="s">
        <v>7315</v>
      </c>
      <c r="C7288" s="3" t="s">
        <v>33</v>
      </c>
      <c r="D7288" s="3">
        <v>415.0</v>
      </c>
      <c r="E7288" s="3">
        <v>7.5</v>
      </c>
      <c r="F7288" s="3">
        <v>0.0</v>
      </c>
      <c r="G7288" s="3">
        <v>86.9</v>
      </c>
    </row>
    <row r="7289">
      <c r="A7289" s="3">
        <v>174799.0</v>
      </c>
      <c r="B7289" s="3" t="s">
        <v>7316</v>
      </c>
      <c r="C7289" s="3" t="s">
        <v>33</v>
      </c>
      <c r="D7289" s="3">
        <v>346.0</v>
      </c>
      <c r="E7289" s="3">
        <v>5.88</v>
      </c>
      <c r="F7289" s="3">
        <v>14.71</v>
      </c>
      <c r="G7289" s="3">
        <v>65.44</v>
      </c>
    </row>
    <row r="7290">
      <c r="A7290" s="3">
        <v>174800.0</v>
      </c>
      <c r="B7290" s="3" t="s">
        <v>7317</v>
      </c>
      <c r="C7290" s="3" t="s">
        <v>33</v>
      </c>
      <c r="D7290" s="3">
        <v>408.0</v>
      </c>
      <c r="E7290" s="3">
        <v>8.33</v>
      </c>
      <c r="F7290" s="3">
        <v>4.17</v>
      </c>
      <c r="G7290" s="3">
        <v>79.17</v>
      </c>
    </row>
    <row r="7291">
      <c r="A7291" s="3">
        <v>174801.0</v>
      </c>
      <c r="B7291" s="3" t="s">
        <v>7318</v>
      </c>
      <c r="C7291" s="3" t="s">
        <v>33</v>
      </c>
      <c r="D7291" s="3">
        <v>487.0</v>
      </c>
      <c r="E7291" s="3">
        <v>22.86</v>
      </c>
      <c r="F7291" s="3">
        <v>9.14</v>
      </c>
      <c r="G7291" s="3">
        <v>61.14</v>
      </c>
    </row>
    <row r="7292">
      <c r="A7292" s="3">
        <v>174802.0</v>
      </c>
      <c r="B7292" s="3" t="s">
        <v>7319</v>
      </c>
      <c r="C7292" s="3" t="s">
        <v>33</v>
      </c>
      <c r="D7292" s="3">
        <v>423.0</v>
      </c>
      <c r="E7292" s="3">
        <v>11.43</v>
      </c>
      <c r="F7292" s="3">
        <v>5.71</v>
      </c>
      <c r="G7292" s="3">
        <v>74.29</v>
      </c>
    </row>
    <row r="7293">
      <c r="A7293" s="3">
        <v>174803.0</v>
      </c>
      <c r="B7293" s="3" t="s">
        <v>7320</v>
      </c>
      <c r="C7293" s="3" t="s">
        <v>33</v>
      </c>
      <c r="D7293" s="3">
        <v>383.0</v>
      </c>
      <c r="E7293" s="3">
        <v>10.53</v>
      </c>
      <c r="F7293" s="3">
        <v>13.16</v>
      </c>
      <c r="G7293" s="3">
        <v>58.84</v>
      </c>
    </row>
    <row r="7294">
      <c r="A7294" s="3">
        <v>174804.0</v>
      </c>
      <c r="B7294" s="3" t="s">
        <v>7321</v>
      </c>
      <c r="C7294" s="3" t="s">
        <v>33</v>
      </c>
      <c r="D7294" s="3">
        <v>505.0</v>
      </c>
      <c r="E7294" s="3">
        <v>24.74</v>
      </c>
      <c r="F7294" s="3">
        <v>5.3</v>
      </c>
      <c r="G7294" s="3">
        <v>65.34</v>
      </c>
    </row>
    <row r="7295">
      <c r="A7295" s="3">
        <v>174805.0</v>
      </c>
      <c r="B7295" s="3" t="s">
        <v>7322</v>
      </c>
      <c r="C7295" s="3" t="s">
        <v>33</v>
      </c>
      <c r="D7295" s="3">
        <v>560.0</v>
      </c>
      <c r="E7295" s="3">
        <v>35.39</v>
      </c>
      <c r="F7295" s="3">
        <v>6.72</v>
      </c>
      <c r="G7295" s="3">
        <v>53.54</v>
      </c>
    </row>
    <row r="7296">
      <c r="A7296" s="3">
        <v>174806.0</v>
      </c>
      <c r="B7296" s="3" t="s">
        <v>7323</v>
      </c>
      <c r="C7296" s="3" t="s">
        <v>33</v>
      </c>
      <c r="D7296" s="3">
        <v>389.0</v>
      </c>
      <c r="E7296" s="3">
        <v>6.67</v>
      </c>
      <c r="F7296" s="3">
        <v>3.52</v>
      </c>
      <c r="G7296" s="3">
        <v>78.62</v>
      </c>
    </row>
    <row r="7297">
      <c r="A7297" s="3">
        <v>174807.0</v>
      </c>
      <c r="B7297" s="3" t="s">
        <v>7324</v>
      </c>
      <c r="C7297" s="3" t="s">
        <v>225</v>
      </c>
      <c r="D7297" s="3">
        <v>27.0</v>
      </c>
      <c r="E7297" s="3">
        <v>0.61</v>
      </c>
      <c r="F7297" s="3">
        <v>1.16</v>
      </c>
      <c r="G7297" s="3">
        <v>4.29</v>
      </c>
    </row>
    <row r="7298">
      <c r="A7298" s="3">
        <v>174808.0</v>
      </c>
      <c r="B7298" s="3" t="s">
        <v>7325</v>
      </c>
      <c r="C7298" s="3" t="s">
        <v>225</v>
      </c>
      <c r="D7298" s="3">
        <v>39.0</v>
      </c>
      <c r="E7298" s="3">
        <v>1.21</v>
      </c>
      <c r="F7298" s="3">
        <v>2.58</v>
      </c>
      <c r="G7298" s="3">
        <v>4.35</v>
      </c>
    </row>
    <row r="7299">
      <c r="A7299" s="3">
        <v>174809.0</v>
      </c>
      <c r="B7299" s="3" t="s">
        <v>7326</v>
      </c>
      <c r="C7299" s="3" t="s">
        <v>183</v>
      </c>
      <c r="D7299" s="3">
        <v>4.0</v>
      </c>
      <c r="E7299" s="3">
        <v>0.0</v>
      </c>
      <c r="F7299" s="3">
        <v>0.0</v>
      </c>
      <c r="G7299" s="3">
        <v>1.03</v>
      </c>
    </row>
    <row r="7300">
      <c r="A7300" s="3">
        <v>174810.0</v>
      </c>
      <c r="B7300" s="3" t="s">
        <v>7327</v>
      </c>
      <c r="C7300" s="3" t="s">
        <v>183</v>
      </c>
      <c r="D7300" s="3">
        <v>119.0</v>
      </c>
      <c r="E7300" s="3">
        <v>0.0</v>
      </c>
      <c r="F7300" s="3">
        <v>0.0</v>
      </c>
      <c r="G7300" s="3">
        <v>13.4</v>
      </c>
    </row>
    <row r="7301">
      <c r="A7301" s="3">
        <v>174811.0</v>
      </c>
      <c r="B7301" s="3" t="s">
        <v>7328</v>
      </c>
      <c r="C7301" s="3" t="s">
        <v>183</v>
      </c>
      <c r="D7301" s="3">
        <v>87.0</v>
      </c>
      <c r="E7301" s="3">
        <v>0.1</v>
      </c>
      <c r="F7301" s="3">
        <v>0.1</v>
      </c>
      <c r="G7301" s="3">
        <v>21.4</v>
      </c>
    </row>
    <row r="7302">
      <c r="A7302" s="3">
        <v>174812.0</v>
      </c>
      <c r="B7302" s="3" t="s">
        <v>7329</v>
      </c>
      <c r="C7302" s="3" t="s">
        <v>183</v>
      </c>
      <c r="D7302" s="3">
        <v>153.0</v>
      </c>
      <c r="E7302" s="3">
        <v>0.06</v>
      </c>
      <c r="F7302" s="3">
        <v>0.06</v>
      </c>
      <c r="G7302" s="3">
        <v>12.82</v>
      </c>
    </row>
    <row r="7303">
      <c r="A7303" s="3">
        <v>174813.0</v>
      </c>
      <c r="B7303" s="3" t="s">
        <v>7330</v>
      </c>
      <c r="C7303" s="3" t="s">
        <v>183</v>
      </c>
      <c r="D7303" s="3">
        <v>405.0</v>
      </c>
      <c r="E7303" s="3">
        <v>3.57</v>
      </c>
      <c r="F7303" s="3">
        <v>47.62</v>
      </c>
      <c r="G7303" s="3">
        <v>43.94</v>
      </c>
    </row>
    <row r="7304">
      <c r="A7304" s="3">
        <v>174814.0</v>
      </c>
      <c r="B7304" s="3" t="s">
        <v>7331</v>
      </c>
      <c r="C7304" s="3" t="s">
        <v>183</v>
      </c>
      <c r="D7304" s="3">
        <v>52.0</v>
      </c>
      <c r="E7304" s="3">
        <v>2.17</v>
      </c>
      <c r="F7304" s="3">
        <v>5.87</v>
      </c>
      <c r="G7304" s="3">
        <v>2.28</v>
      </c>
    </row>
    <row r="7305">
      <c r="A7305" s="3">
        <v>174815.0</v>
      </c>
      <c r="B7305" s="3" t="s">
        <v>7332</v>
      </c>
      <c r="C7305" s="3" t="s">
        <v>183</v>
      </c>
      <c r="D7305" s="3">
        <v>231.0</v>
      </c>
      <c r="E7305" s="3">
        <v>0.0</v>
      </c>
      <c r="F7305" s="3">
        <v>0.0</v>
      </c>
      <c r="G7305" s="3">
        <v>0.0</v>
      </c>
    </row>
    <row r="7306">
      <c r="A7306" s="3">
        <v>174816.0</v>
      </c>
      <c r="B7306" s="3" t="s">
        <v>7333</v>
      </c>
      <c r="C7306" s="3" t="s">
        <v>183</v>
      </c>
      <c r="D7306" s="3">
        <v>15.0</v>
      </c>
      <c r="E7306" s="3">
        <v>0.0</v>
      </c>
      <c r="F7306" s="3">
        <v>0.0</v>
      </c>
      <c r="G7306" s="3">
        <v>3.75</v>
      </c>
    </row>
    <row r="7307">
      <c r="A7307" s="3">
        <v>174817.0</v>
      </c>
      <c r="B7307" s="3" t="s">
        <v>7334</v>
      </c>
      <c r="C7307" s="3" t="s">
        <v>183</v>
      </c>
      <c r="D7307" s="3">
        <v>231.0</v>
      </c>
      <c r="E7307" s="3">
        <v>0.0</v>
      </c>
      <c r="F7307" s="3">
        <v>0.0</v>
      </c>
      <c r="G7307" s="3">
        <v>0.0</v>
      </c>
    </row>
    <row r="7308">
      <c r="A7308" s="3">
        <v>174818.0</v>
      </c>
      <c r="B7308" s="3" t="s">
        <v>7335</v>
      </c>
      <c r="C7308" s="3" t="s">
        <v>183</v>
      </c>
      <c r="D7308" s="3">
        <v>231.0</v>
      </c>
      <c r="E7308" s="3">
        <v>0.0</v>
      </c>
      <c r="F7308" s="3">
        <v>0.0</v>
      </c>
      <c r="G7308" s="3">
        <v>0.0</v>
      </c>
    </row>
    <row r="7309">
      <c r="A7309" s="3">
        <v>174819.0</v>
      </c>
      <c r="B7309" s="3" t="s">
        <v>7336</v>
      </c>
      <c r="C7309" s="3" t="s">
        <v>183</v>
      </c>
      <c r="D7309" s="3">
        <v>250.0</v>
      </c>
      <c r="E7309" s="3">
        <v>0.0</v>
      </c>
      <c r="F7309" s="3">
        <v>0.0</v>
      </c>
      <c r="G7309" s="3">
        <v>0.1</v>
      </c>
    </row>
    <row r="7310">
      <c r="A7310" s="3">
        <v>174820.0</v>
      </c>
      <c r="B7310" s="3" t="s">
        <v>7337</v>
      </c>
      <c r="C7310" s="3" t="s">
        <v>183</v>
      </c>
      <c r="D7310" s="3">
        <v>50.0</v>
      </c>
      <c r="E7310" s="3">
        <v>1.25</v>
      </c>
      <c r="F7310" s="3">
        <v>0.63</v>
      </c>
      <c r="G7310" s="3">
        <v>9.38</v>
      </c>
    </row>
    <row r="7311">
      <c r="A7311" s="3">
        <v>174821.0</v>
      </c>
      <c r="B7311" s="3" t="s">
        <v>7338</v>
      </c>
      <c r="C7311" s="3" t="s">
        <v>183</v>
      </c>
      <c r="D7311" s="3">
        <v>62.0</v>
      </c>
      <c r="E7311" s="3">
        <v>0.0</v>
      </c>
      <c r="F7311" s="3">
        <v>0.42</v>
      </c>
      <c r="G7311" s="3">
        <v>15.0</v>
      </c>
    </row>
    <row r="7312">
      <c r="A7312" s="3">
        <v>174822.0</v>
      </c>
      <c r="B7312" s="3" t="s">
        <v>7339</v>
      </c>
      <c r="C7312" s="3" t="s">
        <v>183</v>
      </c>
      <c r="D7312" s="3">
        <v>4.0</v>
      </c>
      <c r="E7312" s="3">
        <v>0.0</v>
      </c>
      <c r="F7312" s="3">
        <v>0.42</v>
      </c>
      <c r="G7312" s="3">
        <v>0.42</v>
      </c>
    </row>
    <row r="7313">
      <c r="A7313" s="3">
        <v>174823.0</v>
      </c>
      <c r="B7313" s="3" t="s">
        <v>7340</v>
      </c>
      <c r="C7313" s="3" t="s">
        <v>183</v>
      </c>
      <c r="D7313" s="3">
        <v>105.0</v>
      </c>
      <c r="E7313" s="3">
        <v>2.53</v>
      </c>
      <c r="F7313" s="3">
        <v>3.8</v>
      </c>
      <c r="G7313" s="3">
        <v>16.88</v>
      </c>
    </row>
    <row r="7314">
      <c r="A7314" s="3">
        <v>174824.0</v>
      </c>
      <c r="B7314" s="3" t="s">
        <v>7341</v>
      </c>
      <c r="C7314" s="3" t="s">
        <v>183</v>
      </c>
      <c r="D7314" s="3">
        <v>350.0</v>
      </c>
      <c r="E7314" s="3">
        <v>4.5</v>
      </c>
      <c r="F7314" s="3">
        <v>9.09</v>
      </c>
      <c r="G7314" s="3">
        <v>68.31</v>
      </c>
    </row>
    <row r="7315">
      <c r="A7315" s="3">
        <v>174825.0</v>
      </c>
      <c r="B7315" s="3" t="s">
        <v>7342</v>
      </c>
      <c r="C7315" s="3" t="s">
        <v>183</v>
      </c>
      <c r="D7315" s="3">
        <v>0.0</v>
      </c>
      <c r="E7315" s="3">
        <v>0.0</v>
      </c>
      <c r="F7315" s="3">
        <v>0.0</v>
      </c>
      <c r="G7315" s="3">
        <v>1.13</v>
      </c>
    </row>
    <row r="7316">
      <c r="A7316" s="3">
        <v>174826.0</v>
      </c>
      <c r="B7316" s="3" t="s">
        <v>7343</v>
      </c>
      <c r="C7316" s="3" t="s">
        <v>183</v>
      </c>
      <c r="D7316" s="3">
        <v>0.0</v>
      </c>
      <c r="E7316" s="3">
        <v>0.0</v>
      </c>
      <c r="F7316" s="3">
        <v>0.0</v>
      </c>
      <c r="G7316" s="3">
        <v>1.13</v>
      </c>
    </row>
    <row r="7317">
      <c r="A7317" s="3">
        <v>174827.0</v>
      </c>
      <c r="B7317" s="3" t="s">
        <v>7344</v>
      </c>
      <c r="C7317" s="3" t="s">
        <v>183</v>
      </c>
      <c r="D7317" s="3">
        <v>0.0</v>
      </c>
      <c r="E7317" s="3">
        <v>0.0</v>
      </c>
      <c r="F7317" s="3">
        <v>0.0</v>
      </c>
      <c r="G7317" s="3">
        <v>0.0</v>
      </c>
    </row>
    <row r="7318">
      <c r="A7318" s="3">
        <v>174828.0</v>
      </c>
      <c r="B7318" s="3" t="s">
        <v>7345</v>
      </c>
      <c r="C7318" s="3" t="s">
        <v>183</v>
      </c>
      <c r="D7318" s="3">
        <v>49.0</v>
      </c>
      <c r="E7318" s="3">
        <v>0.0</v>
      </c>
      <c r="F7318" s="3">
        <v>0.0</v>
      </c>
      <c r="G7318" s="3">
        <v>12.83</v>
      </c>
    </row>
    <row r="7319">
      <c r="A7319" s="3">
        <v>174829.0</v>
      </c>
      <c r="B7319" s="3" t="s">
        <v>7346</v>
      </c>
      <c r="C7319" s="3" t="s">
        <v>183</v>
      </c>
      <c r="D7319" s="3">
        <v>37.0</v>
      </c>
      <c r="E7319" s="3">
        <v>0.0</v>
      </c>
      <c r="F7319" s="3">
        <v>1.22</v>
      </c>
      <c r="G7319" s="3">
        <v>8.16</v>
      </c>
    </row>
    <row r="7320">
      <c r="A7320" s="3">
        <v>174830.0</v>
      </c>
      <c r="B7320" s="3" t="s">
        <v>7347</v>
      </c>
      <c r="C7320" s="3" t="s">
        <v>183</v>
      </c>
      <c r="D7320" s="3">
        <v>41.0</v>
      </c>
      <c r="E7320" s="3">
        <v>0.0</v>
      </c>
      <c r="F7320" s="3">
        <v>1.22</v>
      </c>
      <c r="G7320" s="3">
        <v>8.54</v>
      </c>
    </row>
    <row r="7321">
      <c r="A7321" s="3">
        <v>174831.0</v>
      </c>
      <c r="B7321" s="3" t="s">
        <v>7348</v>
      </c>
      <c r="C7321" s="3" t="s">
        <v>183</v>
      </c>
      <c r="D7321" s="3">
        <v>18.0</v>
      </c>
      <c r="E7321" s="3">
        <v>0.0</v>
      </c>
      <c r="F7321" s="3">
        <v>0.22</v>
      </c>
      <c r="G7321" s="3">
        <v>4.24</v>
      </c>
    </row>
    <row r="7322">
      <c r="A7322" s="3">
        <v>174832.0</v>
      </c>
      <c r="B7322" s="3" t="s">
        <v>7349</v>
      </c>
      <c r="C7322" s="3" t="s">
        <v>183</v>
      </c>
      <c r="D7322" s="3">
        <v>15.0</v>
      </c>
      <c r="E7322" s="3">
        <v>0.96</v>
      </c>
      <c r="F7322" s="3">
        <v>0.4</v>
      </c>
      <c r="G7322" s="3">
        <v>1.31</v>
      </c>
    </row>
    <row r="7323">
      <c r="A7323" s="3">
        <v>174833.0</v>
      </c>
      <c r="B7323" s="3" t="s">
        <v>7350</v>
      </c>
      <c r="C7323" s="3" t="s">
        <v>183</v>
      </c>
      <c r="D7323" s="3">
        <v>83.0</v>
      </c>
      <c r="E7323" s="3">
        <v>0.0</v>
      </c>
      <c r="F7323" s="3">
        <v>0.07</v>
      </c>
      <c r="G7323" s="3">
        <v>2.6</v>
      </c>
    </row>
    <row r="7324">
      <c r="A7324" s="3">
        <v>174834.0</v>
      </c>
      <c r="B7324" s="3" t="s">
        <v>7351</v>
      </c>
      <c r="C7324" s="3" t="s">
        <v>183</v>
      </c>
      <c r="D7324" s="3">
        <v>83.0</v>
      </c>
      <c r="E7324" s="3">
        <v>0.0</v>
      </c>
      <c r="F7324" s="3">
        <v>0.07</v>
      </c>
      <c r="G7324" s="3">
        <v>2.45</v>
      </c>
    </row>
    <row r="7325">
      <c r="A7325" s="3">
        <v>174835.0</v>
      </c>
      <c r="B7325" s="3" t="s">
        <v>7352</v>
      </c>
      <c r="C7325" s="3" t="s">
        <v>183</v>
      </c>
      <c r="D7325" s="3">
        <v>82.0</v>
      </c>
      <c r="E7325" s="3">
        <v>0.0</v>
      </c>
      <c r="F7325" s="3">
        <v>0.07</v>
      </c>
      <c r="G7325" s="3">
        <v>2.31</v>
      </c>
    </row>
    <row r="7326">
      <c r="A7326" s="3">
        <v>174836.0</v>
      </c>
      <c r="B7326" s="3" t="s">
        <v>7353</v>
      </c>
      <c r="C7326" s="3" t="s">
        <v>183</v>
      </c>
      <c r="D7326" s="3">
        <v>83.0</v>
      </c>
      <c r="E7326" s="3">
        <v>0.0</v>
      </c>
      <c r="F7326" s="3">
        <v>0.07</v>
      </c>
      <c r="G7326" s="3">
        <v>2.58</v>
      </c>
    </row>
    <row r="7327">
      <c r="A7327" s="3">
        <v>174837.0</v>
      </c>
      <c r="B7327" s="3" t="s">
        <v>7354</v>
      </c>
      <c r="C7327" s="3" t="s">
        <v>183</v>
      </c>
      <c r="D7327" s="3">
        <v>82.0</v>
      </c>
      <c r="E7327" s="3">
        <v>0.0</v>
      </c>
      <c r="F7327" s="3">
        <v>0.07</v>
      </c>
      <c r="G7327" s="3">
        <v>2.6</v>
      </c>
    </row>
    <row r="7328">
      <c r="A7328" s="3">
        <v>174838.0</v>
      </c>
      <c r="B7328" s="3" t="s">
        <v>7355</v>
      </c>
      <c r="C7328" s="3" t="s">
        <v>183</v>
      </c>
      <c r="D7328" s="3">
        <v>80.0</v>
      </c>
      <c r="E7328" s="3">
        <v>0.0</v>
      </c>
      <c r="F7328" s="3">
        <v>0.07</v>
      </c>
      <c r="G7328" s="3">
        <v>2.46</v>
      </c>
    </row>
    <row r="7329">
      <c r="A7329" s="3">
        <v>174839.0</v>
      </c>
      <c r="B7329" s="3" t="s">
        <v>7356</v>
      </c>
      <c r="C7329" s="3" t="s">
        <v>183</v>
      </c>
      <c r="D7329" s="3">
        <v>86.0</v>
      </c>
      <c r="E7329" s="3">
        <v>0.0</v>
      </c>
      <c r="F7329" s="3">
        <v>0.07</v>
      </c>
      <c r="G7329" s="3">
        <v>2.62</v>
      </c>
    </row>
    <row r="7330">
      <c r="A7330" s="3">
        <v>174840.0</v>
      </c>
      <c r="B7330" s="3" t="s">
        <v>7357</v>
      </c>
      <c r="C7330" s="3" t="s">
        <v>183</v>
      </c>
      <c r="D7330" s="3">
        <v>74.0</v>
      </c>
      <c r="E7330" s="3">
        <v>0.0</v>
      </c>
      <c r="F7330" s="3">
        <v>0.07</v>
      </c>
      <c r="G7330" s="3">
        <v>2.4</v>
      </c>
    </row>
    <row r="7331">
      <c r="A7331" s="3">
        <v>174841.0</v>
      </c>
      <c r="B7331" s="3" t="s">
        <v>7358</v>
      </c>
      <c r="C7331" s="3" t="s">
        <v>183</v>
      </c>
      <c r="D7331" s="3">
        <v>83.0</v>
      </c>
      <c r="E7331" s="3">
        <v>0.0</v>
      </c>
      <c r="F7331" s="3">
        <v>0.07</v>
      </c>
      <c r="G7331" s="3">
        <v>2.06</v>
      </c>
    </row>
    <row r="7332">
      <c r="A7332" s="3">
        <v>174842.0</v>
      </c>
      <c r="B7332" s="3" t="s">
        <v>7359</v>
      </c>
      <c r="C7332" s="3" t="s">
        <v>183</v>
      </c>
      <c r="D7332" s="3">
        <v>0.0</v>
      </c>
      <c r="E7332" s="3">
        <v>0.0</v>
      </c>
      <c r="F7332" s="3">
        <v>0.0</v>
      </c>
      <c r="G7332" s="3">
        <v>0.0</v>
      </c>
    </row>
    <row r="7333">
      <c r="A7333" s="3">
        <v>174843.0</v>
      </c>
      <c r="B7333" s="3" t="s">
        <v>7360</v>
      </c>
      <c r="C7333" s="3" t="s">
        <v>183</v>
      </c>
      <c r="D7333" s="3">
        <v>81.0</v>
      </c>
      <c r="E7333" s="3">
        <v>0.0</v>
      </c>
      <c r="F7333" s="3">
        <v>0.07</v>
      </c>
      <c r="G7333" s="3">
        <v>2.6</v>
      </c>
    </row>
    <row r="7334">
      <c r="A7334" s="3">
        <v>174844.0</v>
      </c>
      <c r="B7334" s="3" t="s">
        <v>7361</v>
      </c>
      <c r="C7334" s="3" t="s">
        <v>183</v>
      </c>
      <c r="D7334" s="3">
        <v>108.0</v>
      </c>
      <c r="E7334" s="3">
        <v>0.0</v>
      </c>
      <c r="F7334" s="3">
        <v>0.07</v>
      </c>
      <c r="G7334" s="3">
        <v>11.39</v>
      </c>
    </row>
    <row r="7335">
      <c r="A7335" s="3">
        <v>174845.0</v>
      </c>
      <c r="B7335" s="3" t="s">
        <v>7362</v>
      </c>
      <c r="C7335" s="3" t="s">
        <v>183</v>
      </c>
      <c r="D7335" s="3">
        <v>82.0</v>
      </c>
      <c r="E7335" s="3">
        <v>0.0</v>
      </c>
      <c r="F7335" s="3">
        <v>0.07</v>
      </c>
      <c r="G7335" s="3">
        <v>3.12</v>
      </c>
    </row>
    <row r="7336">
      <c r="A7336" s="3">
        <v>174846.0</v>
      </c>
      <c r="B7336" s="3" t="s">
        <v>7363</v>
      </c>
      <c r="C7336" s="3" t="s">
        <v>183</v>
      </c>
      <c r="D7336" s="3">
        <v>34.0</v>
      </c>
      <c r="E7336" s="3">
        <v>0.0</v>
      </c>
      <c r="F7336" s="3">
        <v>0.0</v>
      </c>
      <c r="G7336" s="3">
        <v>8.76</v>
      </c>
    </row>
    <row r="7337">
      <c r="A7337" s="3">
        <v>174847.0</v>
      </c>
      <c r="B7337" s="3" t="s">
        <v>7364</v>
      </c>
      <c r="C7337" s="3" t="s">
        <v>183</v>
      </c>
      <c r="D7337" s="3">
        <v>36.0</v>
      </c>
      <c r="E7337" s="3">
        <v>0.0</v>
      </c>
      <c r="F7337" s="3">
        <v>0.0</v>
      </c>
      <c r="G7337" s="3">
        <v>9.09</v>
      </c>
    </row>
    <row r="7338">
      <c r="A7338" s="3">
        <v>174848.0</v>
      </c>
      <c r="B7338" s="3" t="s">
        <v>7365</v>
      </c>
      <c r="C7338" s="3" t="s">
        <v>183</v>
      </c>
      <c r="D7338" s="3">
        <v>81.0</v>
      </c>
      <c r="E7338" s="3">
        <v>0.0</v>
      </c>
      <c r="F7338" s="3">
        <v>0.07</v>
      </c>
      <c r="G7338" s="3">
        <v>1.94</v>
      </c>
    </row>
    <row r="7339">
      <c r="A7339" s="3">
        <v>174849.0</v>
      </c>
      <c r="B7339" s="3" t="s">
        <v>7366</v>
      </c>
      <c r="C7339" s="3" t="s">
        <v>183</v>
      </c>
      <c r="D7339" s="3">
        <v>82.0</v>
      </c>
      <c r="E7339" s="3">
        <v>0.0</v>
      </c>
      <c r="F7339" s="3">
        <v>0.07</v>
      </c>
      <c r="G7339" s="3">
        <v>5.23</v>
      </c>
    </row>
    <row r="7340">
      <c r="A7340" s="3">
        <v>174850.0</v>
      </c>
      <c r="B7340" s="3" t="s">
        <v>7367</v>
      </c>
      <c r="C7340" s="3" t="s">
        <v>183</v>
      </c>
      <c r="D7340" s="3">
        <v>1.0</v>
      </c>
      <c r="E7340" s="3">
        <v>0.0</v>
      </c>
      <c r="F7340" s="3">
        <v>0.12</v>
      </c>
      <c r="G7340" s="3">
        <v>0.12</v>
      </c>
    </row>
    <row r="7341">
      <c r="A7341" s="3">
        <v>174851.0</v>
      </c>
      <c r="B7341" s="3" t="s">
        <v>7368</v>
      </c>
      <c r="C7341" s="3" t="s">
        <v>183</v>
      </c>
      <c r="D7341" s="3">
        <v>41.0</v>
      </c>
      <c r="E7341" s="3">
        <v>0.0</v>
      </c>
      <c r="F7341" s="3">
        <v>0.0</v>
      </c>
      <c r="G7341" s="3">
        <v>10.58</v>
      </c>
    </row>
    <row r="7342">
      <c r="A7342" s="3">
        <v>174852.0</v>
      </c>
      <c r="B7342" s="3" t="s">
        <v>7369</v>
      </c>
      <c r="C7342" s="3" t="s">
        <v>183</v>
      </c>
      <c r="D7342" s="3">
        <v>42.0</v>
      </c>
      <c r="E7342" s="3">
        <v>0.25</v>
      </c>
      <c r="F7342" s="3">
        <v>0.0</v>
      </c>
      <c r="G7342" s="3">
        <v>10.36</v>
      </c>
    </row>
    <row r="7343">
      <c r="A7343" s="3">
        <v>174853.0</v>
      </c>
      <c r="B7343" s="3" t="s">
        <v>7370</v>
      </c>
      <c r="C7343" s="3" t="s">
        <v>183</v>
      </c>
      <c r="D7343" s="3">
        <v>20.0</v>
      </c>
      <c r="E7343" s="3">
        <v>0.0</v>
      </c>
      <c r="F7343" s="3">
        <v>0.0</v>
      </c>
      <c r="G7343" s="3">
        <v>5.16</v>
      </c>
    </row>
    <row r="7344">
      <c r="A7344" s="3">
        <v>174854.0</v>
      </c>
      <c r="B7344" s="3" t="s">
        <v>7371</v>
      </c>
      <c r="C7344" s="3" t="s">
        <v>183</v>
      </c>
      <c r="D7344" s="3">
        <v>48.0</v>
      </c>
      <c r="E7344" s="3">
        <v>0.0</v>
      </c>
      <c r="F7344" s="3">
        <v>0.0</v>
      </c>
      <c r="G7344" s="3">
        <v>12.3</v>
      </c>
    </row>
    <row r="7345">
      <c r="A7345" s="3">
        <v>174855.0</v>
      </c>
      <c r="B7345" s="3" t="s">
        <v>7372</v>
      </c>
      <c r="C7345" s="3" t="s">
        <v>183</v>
      </c>
      <c r="D7345" s="3">
        <v>1.0</v>
      </c>
      <c r="E7345" s="3">
        <v>0.0</v>
      </c>
      <c r="F7345" s="3">
        <v>0.0</v>
      </c>
      <c r="G7345" s="3">
        <v>0.25</v>
      </c>
    </row>
    <row r="7346">
      <c r="A7346" s="3">
        <v>174856.0</v>
      </c>
      <c r="B7346" s="3" t="s">
        <v>7373</v>
      </c>
      <c r="C7346" s="3" t="s">
        <v>183</v>
      </c>
      <c r="D7346" s="3">
        <v>45.0</v>
      </c>
      <c r="E7346" s="3">
        <v>0.01</v>
      </c>
      <c r="F7346" s="3">
        <v>0.07</v>
      </c>
      <c r="G7346" s="3">
        <v>11.58</v>
      </c>
    </row>
    <row r="7347">
      <c r="A7347" s="3">
        <v>174857.0</v>
      </c>
      <c r="B7347" s="3" t="s">
        <v>7374</v>
      </c>
      <c r="C7347" s="3" t="s">
        <v>183</v>
      </c>
      <c r="D7347" s="3">
        <v>22.0</v>
      </c>
      <c r="E7347" s="3">
        <v>0.1</v>
      </c>
      <c r="F7347" s="3">
        <v>0.0</v>
      </c>
      <c r="G7347" s="3">
        <v>5.1</v>
      </c>
    </row>
    <row r="7348">
      <c r="A7348" s="3">
        <v>174858.0</v>
      </c>
      <c r="B7348" s="3" t="s">
        <v>7375</v>
      </c>
      <c r="C7348" s="3" t="s">
        <v>183</v>
      </c>
      <c r="D7348" s="3">
        <v>376.0</v>
      </c>
      <c r="E7348" s="3">
        <v>1.05</v>
      </c>
      <c r="F7348" s="3">
        <v>0.0</v>
      </c>
      <c r="G7348" s="3">
        <v>97.57</v>
      </c>
    </row>
    <row r="7349">
      <c r="A7349" s="3">
        <v>174859.0</v>
      </c>
      <c r="B7349" s="3" t="s">
        <v>7376</v>
      </c>
      <c r="C7349" s="3" t="s">
        <v>183</v>
      </c>
      <c r="D7349" s="3">
        <v>14.0</v>
      </c>
      <c r="E7349" s="3">
        <v>0.04</v>
      </c>
      <c r="F7349" s="3">
        <v>0.0</v>
      </c>
      <c r="G7349" s="3">
        <v>3.59</v>
      </c>
    </row>
    <row r="7350">
      <c r="A7350" s="3">
        <v>174860.0</v>
      </c>
      <c r="B7350" s="3" t="s">
        <v>7377</v>
      </c>
      <c r="C7350" s="3" t="s">
        <v>183</v>
      </c>
      <c r="D7350" s="3">
        <v>380.0</v>
      </c>
      <c r="E7350" s="3">
        <v>1.01</v>
      </c>
      <c r="F7350" s="3">
        <v>0.0</v>
      </c>
      <c r="G7350" s="3">
        <v>97.9</v>
      </c>
    </row>
    <row r="7351">
      <c r="A7351" s="3">
        <v>174861.0</v>
      </c>
      <c r="B7351" s="3" t="s">
        <v>7378</v>
      </c>
      <c r="C7351" s="3" t="s">
        <v>183</v>
      </c>
      <c r="D7351" s="3">
        <v>27.0</v>
      </c>
      <c r="E7351" s="3">
        <v>0.07</v>
      </c>
      <c r="F7351" s="3">
        <v>0.0</v>
      </c>
      <c r="G7351" s="3">
        <v>6.9</v>
      </c>
    </row>
    <row r="7352">
      <c r="A7352" s="3">
        <v>174862.0</v>
      </c>
      <c r="B7352" s="3" t="s">
        <v>7379</v>
      </c>
      <c r="C7352" s="3" t="s">
        <v>183</v>
      </c>
      <c r="D7352" s="3">
        <v>52.0</v>
      </c>
      <c r="E7352" s="3">
        <v>0.0</v>
      </c>
      <c r="F7352" s="3">
        <v>0.0</v>
      </c>
      <c r="G7352" s="3">
        <v>13.79</v>
      </c>
    </row>
    <row r="7353">
      <c r="A7353" s="3">
        <v>174863.0</v>
      </c>
      <c r="B7353" s="3" t="s">
        <v>7380</v>
      </c>
      <c r="C7353" s="3" t="s">
        <v>183</v>
      </c>
      <c r="D7353" s="3">
        <v>37.0</v>
      </c>
      <c r="E7353" s="3">
        <v>0.12</v>
      </c>
      <c r="F7353" s="3">
        <v>0.21</v>
      </c>
      <c r="G7353" s="3">
        <v>8.05</v>
      </c>
    </row>
    <row r="7354">
      <c r="A7354" s="3">
        <v>174864.0</v>
      </c>
      <c r="B7354" s="3" t="s">
        <v>7381</v>
      </c>
      <c r="C7354" s="3" t="s">
        <v>183</v>
      </c>
      <c r="D7354" s="3">
        <v>372.0</v>
      </c>
      <c r="E7354" s="3">
        <v>0.0</v>
      </c>
      <c r="F7354" s="3">
        <v>0.0</v>
      </c>
      <c r="G7354" s="3">
        <v>93.33</v>
      </c>
    </row>
    <row r="7355">
      <c r="A7355" s="3">
        <v>174865.0</v>
      </c>
      <c r="B7355" s="3" t="s">
        <v>7382</v>
      </c>
      <c r="C7355" s="3" t="s">
        <v>183</v>
      </c>
      <c r="D7355" s="3">
        <v>87.0</v>
      </c>
      <c r="E7355" s="3">
        <v>3.26</v>
      </c>
      <c r="F7355" s="3">
        <v>3.29</v>
      </c>
      <c r="G7355" s="3">
        <v>11.19</v>
      </c>
    </row>
    <row r="7356">
      <c r="A7356" s="3">
        <v>174866.0</v>
      </c>
      <c r="B7356" s="3" t="s">
        <v>7383</v>
      </c>
      <c r="C7356" s="3" t="s">
        <v>183</v>
      </c>
      <c r="D7356" s="3">
        <v>411.0</v>
      </c>
      <c r="E7356" s="3">
        <v>4.76</v>
      </c>
      <c r="F7356" s="3">
        <v>5.1</v>
      </c>
      <c r="G7356" s="3">
        <v>86.94</v>
      </c>
    </row>
    <row r="7357">
      <c r="A7357" s="3">
        <v>174867.0</v>
      </c>
      <c r="B7357" s="3" t="s">
        <v>7384</v>
      </c>
      <c r="C7357" s="3" t="s">
        <v>183</v>
      </c>
      <c r="D7357" s="3">
        <v>85.0</v>
      </c>
      <c r="E7357" s="3">
        <v>3.29</v>
      </c>
      <c r="F7357" s="3">
        <v>3.37</v>
      </c>
      <c r="G7357" s="3">
        <v>11.2</v>
      </c>
    </row>
    <row r="7358">
      <c r="A7358" s="3">
        <v>174868.0</v>
      </c>
      <c r="B7358" s="3" t="s">
        <v>7385</v>
      </c>
      <c r="C7358" s="3" t="s">
        <v>183</v>
      </c>
      <c r="D7358" s="3">
        <v>49.0</v>
      </c>
      <c r="E7358" s="3">
        <v>0.07</v>
      </c>
      <c r="F7358" s="3">
        <v>0.0</v>
      </c>
      <c r="G7358" s="3">
        <v>12.34</v>
      </c>
    </row>
    <row r="7359">
      <c r="A7359" s="3">
        <v>174869.0</v>
      </c>
      <c r="B7359" s="3" t="s">
        <v>7386</v>
      </c>
      <c r="C7359" s="3" t="s">
        <v>183</v>
      </c>
      <c r="D7359" s="3">
        <v>389.0</v>
      </c>
      <c r="E7359" s="3">
        <v>0.2</v>
      </c>
      <c r="F7359" s="3">
        <v>0.1</v>
      </c>
      <c r="G7359" s="3">
        <v>99.1</v>
      </c>
    </row>
    <row r="7360">
      <c r="A7360" s="3">
        <v>174870.0</v>
      </c>
      <c r="B7360" s="3" t="s">
        <v>7387</v>
      </c>
      <c r="C7360" s="3" t="s">
        <v>183</v>
      </c>
      <c r="D7360" s="3">
        <v>88.0</v>
      </c>
      <c r="E7360" s="3">
        <v>3.1</v>
      </c>
      <c r="F7360" s="3">
        <v>3.0</v>
      </c>
      <c r="G7360" s="3">
        <v>12.3</v>
      </c>
    </row>
    <row r="7361">
      <c r="A7361" s="3">
        <v>174871.0</v>
      </c>
      <c r="B7361" s="3" t="s">
        <v>7388</v>
      </c>
      <c r="C7361" s="3" t="s">
        <v>183</v>
      </c>
      <c r="D7361" s="3">
        <v>1.0</v>
      </c>
      <c r="E7361" s="3">
        <v>0.0</v>
      </c>
      <c r="F7361" s="3">
        <v>0.0</v>
      </c>
      <c r="G7361" s="3">
        <v>0.3</v>
      </c>
    </row>
    <row r="7362">
      <c r="A7362" s="3">
        <v>174872.0</v>
      </c>
      <c r="B7362" s="3" t="s">
        <v>7389</v>
      </c>
      <c r="C7362" s="3" t="s">
        <v>183</v>
      </c>
      <c r="D7362" s="3">
        <v>315.0</v>
      </c>
      <c r="E7362" s="3">
        <v>0.0</v>
      </c>
      <c r="F7362" s="3">
        <v>20.21</v>
      </c>
      <c r="G7362" s="3">
        <v>58.66</v>
      </c>
    </row>
    <row r="7363">
      <c r="A7363" s="3">
        <v>174873.0</v>
      </c>
      <c r="B7363" s="3" t="s">
        <v>7390</v>
      </c>
      <c r="C7363" s="3" t="s">
        <v>183</v>
      </c>
      <c r="D7363" s="3">
        <v>1.0</v>
      </c>
      <c r="E7363" s="3">
        <v>0.0</v>
      </c>
      <c r="F7363" s="3">
        <v>0.06</v>
      </c>
      <c r="G7363" s="3">
        <v>0.17</v>
      </c>
    </row>
    <row r="7364">
      <c r="A7364" s="3">
        <v>174874.0</v>
      </c>
      <c r="B7364" s="3" t="s">
        <v>7391</v>
      </c>
      <c r="C7364" s="3" t="s">
        <v>189</v>
      </c>
      <c r="D7364" s="3">
        <v>322.0</v>
      </c>
      <c r="E7364" s="3">
        <v>23.86</v>
      </c>
      <c r="F7364" s="3">
        <v>26.79</v>
      </c>
      <c r="G7364" s="3">
        <v>0.05</v>
      </c>
    </row>
    <row r="7365">
      <c r="A7365" s="3">
        <v>174875.0</v>
      </c>
      <c r="B7365" s="3" t="s">
        <v>7392</v>
      </c>
      <c r="C7365" s="3" t="s">
        <v>189</v>
      </c>
      <c r="D7365" s="3">
        <v>275.0</v>
      </c>
      <c r="E7365" s="3">
        <v>22.84</v>
      </c>
      <c r="F7365" s="3">
        <v>17.02</v>
      </c>
      <c r="G7365" s="3">
        <v>0.23</v>
      </c>
    </row>
    <row r="7366">
      <c r="A7366" s="3">
        <v>174876.0</v>
      </c>
      <c r="B7366" s="3" t="s">
        <v>7393</v>
      </c>
      <c r="C7366" s="3" t="s">
        <v>189</v>
      </c>
      <c r="D7366" s="3">
        <v>294.0</v>
      </c>
      <c r="E7366" s="3">
        <v>23.39</v>
      </c>
      <c r="F7366" s="3">
        <v>20.88</v>
      </c>
      <c r="G7366" s="3">
        <v>0.03</v>
      </c>
    </row>
    <row r="7367">
      <c r="A7367" s="3">
        <v>174877.0</v>
      </c>
      <c r="B7367" s="3" t="s">
        <v>7394</v>
      </c>
      <c r="C7367" s="3" t="s">
        <v>189</v>
      </c>
      <c r="D7367" s="3">
        <v>121.0</v>
      </c>
      <c r="E7367" s="3">
        <v>4.09</v>
      </c>
      <c r="F7367" s="3">
        <v>20.93</v>
      </c>
      <c r="G7367" s="3">
        <v>0.0</v>
      </c>
    </row>
    <row r="7368">
      <c r="A7368" s="3">
        <v>174878.0</v>
      </c>
      <c r="B7368" s="3" t="s">
        <v>7395</v>
      </c>
      <c r="C7368" s="3" t="s">
        <v>189</v>
      </c>
      <c r="D7368" s="3">
        <v>120.0</v>
      </c>
      <c r="E7368" s="3">
        <v>4.22</v>
      </c>
      <c r="F7368" s="3">
        <v>20.43</v>
      </c>
      <c r="G7368" s="3">
        <v>0.01</v>
      </c>
    </row>
    <row r="7369">
      <c r="A7369" s="3">
        <v>174879.0</v>
      </c>
      <c r="B7369" s="3" t="s">
        <v>7396</v>
      </c>
      <c r="C7369" s="3" t="s">
        <v>189</v>
      </c>
      <c r="D7369" s="3">
        <v>215.0</v>
      </c>
      <c r="E7369" s="3">
        <v>11.78</v>
      </c>
      <c r="F7369" s="3">
        <v>25.83</v>
      </c>
      <c r="G7369" s="3">
        <v>1.51</v>
      </c>
    </row>
    <row r="7370">
      <c r="A7370" s="3">
        <v>174880.0</v>
      </c>
      <c r="B7370" s="3" t="s">
        <v>7397</v>
      </c>
      <c r="C7370" s="3" t="s">
        <v>189</v>
      </c>
      <c r="D7370" s="3">
        <v>151.0</v>
      </c>
      <c r="E7370" s="3">
        <v>2.63</v>
      </c>
      <c r="F7370" s="3">
        <v>31.89</v>
      </c>
      <c r="G7370" s="3">
        <v>0.0</v>
      </c>
    </row>
    <row r="7371">
      <c r="A7371" s="3">
        <v>174881.0</v>
      </c>
      <c r="B7371" s="3" t="s">
        <v>7398</v>
      </c>
      <c r="C7371" s="3" t="s">
        <v>189</v>
      </c>
      <c r="D7371" s="3">
        <v>159.0</v>
      </c>
      <c r="E7371" s="3">
        <v>5.53</v>
      </c>
      <c r="F7371" s="3">
        <v>27.33</v>
      </c>
      <c r="G7371" s="3">
        <v>0.0</v>
      </c>
    </row>
    <row r="7372">
      <c r="A7372" s="3">
        <v>174882.0</v>
      </c>
      <c r="B7372" s="3" t="s">
        <v>7399</v>
      </c>
      <c r="C7372" s="3" t="s">
        <v>189</v>
      </c>
      <c r="D7372" s="3">
        <v>503.0</v>
      </c>
      <c r="E7372" s="3">
        <v>51.6</v>
      </c>
      <c r="F7372" s="3">
        <v>8.85</v>
      </c>
      <c r="G7372" s="3">
        <v>0.89</v>
      </c>
    </row>
    <row r="7373">
      <c r="A7373" s="3">
        <v>174883.0</v>
      </c>
      <c r="B7373" s="3" t="s">
        <v>7400</v>
      </c>
      <c r="C7373" s="3" t="s">
        <v>189</v>
      </c>
      <c r="D7373" s="3">
        <v>540.0</v>
      </c>
      <c r="E7373" s="3">
        <v>53.23</v>
      </c>
      <c r="F7373" s="3">
        <v>15.28</v>
      </c>
      <c r="G7373" s="3">
        <v>0.0</v>
      </c>
    </row>
    <row r="7374">
      <c r="A7374" s="3">
        <v>174884.0</v>
      </c>
      <c r="B7374" s="3" t="s">
        <v>7401</v>
      </c>
      <c r="C7374" s="3" t="s">
        <v>189</v>
      </c>
      <c r="D7374" s="3">
        <v>444.0</v>
      </c>
      <c r="E7374" s="3">
        <v>43.75</v>
      </c>
      <c r="F7374" s="3">
        <v>12.53</v>
      </c>
      <c r="G7374" s="3">
        <v>0.0</v>
      </c>
    </row>
    <row r="7375">
      <c r="A7375" s="3">
        <v>174885.0</v>
      </c>
      <c r="B7375" s="3" t="s">
        <v>7402</v>
      </c>
      <c r="C7375" s="3" t="s">
        <v>189</v>
      </c>
      <c r="D7375" s="3">
        <v>190.0</v>
      </c>
      <c r="E7375" s="3">
        <v>8.35</v>
      </c>
      <c r="F7375" s="3">
        <v>28.6</v>
      </c>
      <c r="G7375" s="3">
        <v>0.0</v>
      </c>
    </row>
    <row r="7376">
      <c r="A7376" s="3">
        <v>174886.0</v>
      </c>
      <c r="B7376" s="3" t="s">
        <v>7403</v>
      </c>
      <c r="C7376" s="3" t="s">
        <v>189</v>
      </c>
      <c r="D7376" s="3">
        <v>174.0</v>
      </c>
      <c r="E7376" s="3">
        <v>5.63</v>
      </c>
      <c r="F7376" s="3">
        <v>30.73</v>
      </c>
      <c r="G7376" s="3">
        <v>0.0</v>
      </c>
    </row>
    <row r="7377">
      <c r="A7377" s="3">
        <v>174887.0</v>
      </c>
      <c r="B7377" s="3" t="s">
        <v>7404</v>
      </c>
      <c r="C7377" s="3" t="s">
        <v>189</v>
      </c>
      <c r="D7377" s="3">
        <v>122.0</v>
      </c>
      <c r="E7377" s="3">
        <v>3.53</v>
      </c>
      <c r="F7377" s="3">
        <v>22.49</v>
      </c>
      <c r="G7377" s="3">
        <v>0.0</v>
      </c>
    </row>
    <row r="7378">
      <c r="A7378" s="3">
        <v>174888.0</v>
      </c>
      <c r="B7378" s="3" t="s">
        <v>7405</v>
      </c>
      <c r="C7378" s="3" t="s">
        <v>189</v>
      </c>
      <c r="D7378" s="3">
        <v>184.0</v>
      </c>
      <c r="E7378" s="3">
        <v>6.71</v>
      </c>
      <c r="F7378" s="3">
        <v>30.97</v>
      </c>
      <c r="G7378" s="3">
        <v>0.0</v>
      </c>
    </row>
    <row r="7379">
      <c r="A7379" s="3">
        <v>174889.0</v>
      </c>
      <c r="B7379" s="3" t="s">
        <v>7406</v>
      </c>
      <c r="C7379" s="3" t="s">
        <v>189</v>
      </c>
      <c r="D7379" s="3">
        <v>175.0</v>
      </c>
      <c r="E7379" s="3">
        <v>7.63</v>
      </c>
      <c r="F7379" s="3">
        <v>26.52</v>
      </c>
      <c r="G7379" s="3">
        <v>0.0</v>
      </c>
    </row>
    <row r="7380">
      <c r="A7380" s="3">
        <v>174890.0</v>
      </c>
      <c r="B7380" s="3" t="s">
        <v>7407</v>
      </c>
      <c r="C7380" s="3" t="s">
        <v>189</v>
      </c>
      <c r="D7380" s="3">
        <v>244.0</v>
      </c>
      <c r="E7380" s="3">
        <v>14.64</v>
      </c>
      <c r="F7380" s="3">
        <v>28.01</v>
      </c>
      <c r="G7380" s="3">
        <v>0.0</v>
      </c>
    </row>
    <row r="7381">
      <c r="A7381" s="3">
        <v>174891.0</v>
      </c>
      <c r="B7381" s="3" t="s">
        <v>7408</v>
      </c>
      <c r="C7381" s="3" t="s">
        <v>189</v>
      </c>
      <c r="D7381" s="3">
        <v>538.0</v>
      </c>
      <c r="E7381" s="3">
        <v>52.3</v>
      </c>
      <c r="F7381" s="3">
        <v>16.9</v>
      </c>
      <c r="G7381" s="3">
        <v>0.0</v>
      </c>
    </row>
    <row r="7382">
      <c r="A7382" s="3">
        <v>174892.0</v>
      </c>
      <c r="B7382" s="3" t="s">
        <v>7409</v>
      </c>
      <c r="C7382" s="3" t="s">
        <v>189</v>
      </c>
      <c r="D7382" s="3">
        <v>487.0</v>
      </c>
      <c r="E7382" s="3">
        <v>48.5</v>
      </c>
      <c r="F7382" s="3">
        <v>12.59</v>
      </c>
      <c r="G7382" s="3">
        <v>0.0</v>
      </c>
    </row>
    <row r="7383">
      <c r="A7383" s="3">
        <v>174893.0</v>
      </c>
      <c r="B7383" s="3" t="s">
        <v>7410</v>
      </c>
      <c r="C7383" s="3" t="s">
        <v>189</v>
      </c>
      <c r="D7383" s="3">
        <v>204.0</v>
      </c>
      <c r="E7383" s="3">
        <v>9.5</v>
      </c>
      <c r="F7383" s="3">
        <v>29.52</v>
      </c>
      <c r="G7383" s="3">
        <v>0.0</v>
      </c>
    </row>
    <row r="7384">
      <c r="A7384" s="3">
        <v>174894.0</v>
      </c>
      <c r="B7384" s="3" t="s">
        <v>7411</v>
      </c>
      <c r="C7384" s="3" t="s">
        <v>189</v>
      </c>
      <c r="D7384" s="3">
        <v>196.0</v>
      </c>
      <c r="E7384" s="3">
        <v>12.68</v>
      </c>
      <c r="F7384" s="3">
        <v>20.58</v>
      </c>
      <c r="G7384" s="3">
        <v>0.0</v>
      </c>
    </row>
    <row r="7385">
      <c r="A7385" s="3">
        <v>174895.0</v>
      </c>
      <c r="B7385" s="3" t="s">
        <v>7412</v>
      </c>
      <c r="C7385" s="3" t="s">
        <v>189</v>
      </c>
      <c r="D7385" s="3">
        <v>226.0</v>
      </c>
      <c r="E7385" s="3">
        <v>11.64</v>
      </c>
      <c r="F7385" s="3">
        <v>30.15</v>
      </c>
      <c r="G7385" s="3">
        <v>0.08</v>
      </c>
    </row>
    <row r="7386">
      <c r="A7386" s="3">
        <v>174896.0</v>
      </c>
      <c r="B7386" s="3" t="s">
        <v>7413</v>
      </c>
      <c r="C7386" s="3" t="s">
        <v>189</v>
      </c>
      <c r="D7386" s="3">
        <v>175.0</v>
      </c>
      <c r="E7386" s="3">
        <v>9.73</v>
      </c>
      <c r="F7386" s="3">
        <v>21.95</v>
      </c>
      <c r="G7386" s="3">
        <v>0.0</v>
      </c>
    </row>
    <row r="7387">
      <c r="A7387" s="3">
        <v>174897.0</v>
      </c>
      <c r="B7387" s="3" t="s">
        <v>7414</v>
      </c>
      <c r="C7387" s="3" t="s">
        <v>189</v>
      </c>
      <c r="D7387" s="3">
        <v>187.0</v>
      </c>
      <c r="E7387" s="3">
        <v>7.02</v>
      </c>
      <c r="F7387" s="3">
        <v>30.87</v>
      </c>
      <c r="G7387" s="3">
        <v>0.0</v>
      </c>
    </row>
    <row r="7388">
      <c r="A7388" s="3">
        <v>174898.0</v>
      </c>
      <c r="B7388" s="3" t="s">
        <v>7415</v>
      </c>
      <c r="C7388" s="3" t="s">
        <v>189</v>
      </c>
      <c r="D7388" s="3">
        <v>276.0</v>
      </c>
      <c r="E7388" s="3">
        <v>16.96</v>
      </c>
      <c r="F7388" s="3">
        <v>30.9</v>
      </c>
      <c r="G7388" s="3">
        <v>0.0</v>
      </c>
    </row>
    <row r="7389">
      <c r="A7389" s="3">
        <v>174899.0</v>
      </c>
      <c r="B7389" s="3" t="s">
        <v>7416</v>
      </c>
      <c r="C7389" s="3" t="s">
        <v>8</v>
      </c>
      <c r="D7389" s="3">
        <v>264.0</v>
      </c>
      <c r="E7389" s="3">
        <v>1.32</v>
      </c>
      <c r="F7389" s="3">
        <v>10.56</v>
      </c>
      <c r="G7389" s="3">
        <v>52.38</v>
      </c>
    </row>
    <row r="7390">
      <c r="A7390" s="3">
        <v>174900.0</v>
      </c>
      <c r="B7390" s="3" t="s">
        <v>7417</v>
      </c>
      <c r="C7390" s="3" t="s">
        <v>8</v>
      </c>
      <c r="D7390" s="3">
        <v>287.0</v>
      </c>
      <c r="E7390" s="3">
        <v>1.43</v>
      </c>
      <c r="F7390" s="3">
        <v>11.14</v>
      </c>
      <c r="G7390" s="3">
        <v>57.39</v>
      </c>
    </row>
    <row r="7391">
      <c r="A7391" s="3">
        <v>174901.0</v>
      </c>
      <c r="B7391" s="3" t="s">
        <v>7418</v>
      </c>
      <c r="C7391" s="3" t="s">
        <v>8</v>
      </c>
      <c r="D7391" s="3">
        <v>278.0</v>
      </c>
      <c r="E7391" s="3">
        <v>2.1</v>
      </c>
      <c r="F7391" s="3">
        <v>10.6</v>
      </c>
      <c r="G7391" s="3">
        <v>53.0</v>
      </c>
    </row>
    <row r="7392">
      <c r="A7392" s="3">
        <v>174902.0</v>
      </c>
      <c r="B7392" s="3" t="s">
        <v>7419</v>
      </c>
      <c r="C7392" s="3" t="s">
        <v>8</v>
      </c>
      <c r="D7392" s="3">
        <v>428.0</v>
      </c>
      <c r="E7392" s="3">
        <v>15.4</v>
      </c>
      <c r="F7392" s="3">
        <v>8.0</v>
      </c>
      <c r="G7392" s="3">
        <v>63.4</v>
      </c>
    </row>
    <row r="7393">
      <c r="A7393" s="3">
        <v>174903.0</v>
      </c>
      <c r="B7393" s="3" t="s">
        <v>7420</v>
      </c>
      <c r="C7393" s="3" t="s">
        <v>8</v>
      </c>
      <c r="D7393" s="3">
        <v>335.0</v>
      </c>
      <c r="E7393" s="3">
        <v>12.1</v>
      </c>
      <c r="F7393" s="3">
        <v>7.3</v>
      </c>
      <c r="G7393" s="3">
        <v>48.4</v>
      </c>
    </row>
    <row r="7394">
      <c r="A7394" s="3">
        <v>174904.0</v>
      </c>
      <c r="B7394" s="3" t="s">
        <v>7421</v>
      </c>
      <c r="C7394" s="3" t="s">
        <v>8</v>
      </c>
      <c r="D7394" s="3">
        <v>270.0</v>
      </c>
      <c r="E7394" s="3">
        <v>7.83</v>
      </c>
      <c r="F7394" s="3">
        <v>6.7</v>
      </c>
      <c r="G7394" s="3">
        <v>43.7</v>
      </c>
    </row>
    <row r="7395">
      <c r="A7395" s="3">
        <v>174905.0</v>
      </c>
      <c r="B7395" s="3" t="s">
        <v>7422</v>
      </c>
      <c r="C7395" s="3" t="s">
        <v>8</v>
      </c>
      <c r="D7395" s="3">
        <v>319.0</v>
      </c>
      <c r="E7395" s="3">
        <v>9.1</v>
      </c>
      <c r="F7395" s="3">
        <v>7.8</v>
      </c>
      <c r="G7395" s="3">
        <v>51.6</v>
      </c>
    </row>
    <row r="7396">
      <c r="A7396" s="3">
        <v>174906.0</v>
      </c>
      <c r="B7396" s="3" t="s">
        <v>7423</v>
      </c>
      <c r="C7396" s="3" t="s">
        <v>8</v>
      </c>
      <c r="D7396" s="3">
        <v>326.0</v>
      </c>
      <c r="E7396" s="3">
        <v>10.5</v>
      </c>
      <c r="F7396" s="3">
        <v>4.3</v>
      </c>
      <c r="G7396" s="3">
        <v>54.6</v>
      </c>
    </row>
    <row r="7397">
      <c r="A7397" s="3">
        <v>174907.0</v>
      </c>
      <c r="B7397" s="3" t="s">
        <v>7424</v>
      </c>
      <c r="C7397" s="3" t="s">
        <v>8</v>
      </c>
      <c r="D7397" s="3">
        <v>195.0</v>
      </c>
      <c r="E7397" s="3">
        <v>1.5</v>
      </c>
      <c r="F7397" s="3">
        <v>5.2</v>
      </c>
      <c r="G7397" s="3">
        <v>43.3</v>
      </c>
    </row>
    <row r="7398">
      <c r="A7398" s="3">
        <v>174908.0</v>
      </c>
      <c r="B7398" s="3" t="s">
        <v>7425</v>
      </c>
      <c r="C7398" s="3" t="s">
        <v>8</v>
      </c>
      <c r="D7398" s="3">
        <v>418.0</v>
      </c>
      <c r="E7398" s="3">
        <v>12.2</v>
      </c>
      <c r="F7398" s="3">
        <v>7.0</v>
      </c>
      <c r="G7398" s="3">
        <v>69.5</v>
      </c>
    </row>
    <row r="7399">
      <c r="A7399" s="3">
        <v>174909.0</v>
      </c>
      <c r="B7399" s="3" t="s">
        <v>7426</v>
      </c>
      <c r="C7399" s="3" t="s">
        <v>8</v>
      </c>
      <c r="D7399" s="3">
        <v>330.0</v>
      </c>
      <c r="E7399" s="3">
        <v>9.58</v>
      </c>
      <c r="F7399" s="3">
        <v>6.59</v>
      </c>
      <c r="G7399" s="3">
        <v>54.46</v>
      </c>
    </row>
    <row r="7400">
      <c r="A7400" s="3">
        <v>174910.0</v>
      </c>
      <c r="B7400" s="3" t="s">
        <v>7427</v>
      </c>
      <c r="C7400" s="3" t="s">
        <v>8</v>
      </c>
      <c r="D7400" s="3">
        <v>266.0</v>
      </c>
      <c r="E7400" s="3">
        <v>7.1</v>
      </c>
      <c r="F7400" s="3">
        <v>6.7</v>
      </c>
      <c r="G7400" s="3">
        <v>43.5</v>
      </c>
    </row>
    <row r="7401">
      <c r="A7401" s="3">
        <v>174911.0</v>
      </c>
      <c r="B7401" s="3" t="s">
        <v>7428</v>
      </c>
      <c r="C7401" s="3" t="s">
        <v>8</v>
      </c>
      <c r="D7401" s="3">
        <v>319.0</v>
      </c>
      <c r="E7401" s="3">
        <v>2.14</v>
      </c>
      <c r="F7401" s="3">
        <v>13.0</v>
      </c>
      <c r="G7401" s="3">
        <v>61.93</v>
      </c>
    </row>
    <row r="7402">
      <c r="A7402" s="3">
        <v>174912.0</v>
      </c>
      <c r="B7402" s="3" t="s">
        <v>7429</v>
      </c>
      <c r="C7402" s="3" t="s">
        <v>8</v>
      </c>
      <c r="D7402" s="3">
        <v>290.0</v>
      </c>
      <c r="E7402" s="3">
        <v>5.0</v>
      </c>
      <c r="F7402" s="3">
        <v>6.6</v>
      </c>
      <c r="G7402" s="3">
        <v>56.0</v>
      </c>
    </row>
    <row r="7403">
      <c r="A7403" s="3">
        <v>174913.0</v>
      </c>
      <c r="B7403" s="3" t="s">
        <v>7430</v>
      </c>
      <c r="C7403" s="3" t="s">
        <v>8</v>
      </c>
      <c r="D7403" s="3">
        <v>259.0</v>
      </c>
      <c r="E7403" s="3">
        <v>2.73</v>
      </c>
      <c r="F7403" s="3">
        <v>9.49</v>
      </c>
      <c r="G7403" s="3">
        <v>48.11</v>
      </c>
    </row>
    <row r="7404">
      <c r="A7404" s="3">
        <v>174914.0</v>
      </c>
      <c r="B7404" s="3" t="s">
        <v>7431</v>
      </c>
      <c r="C7404" s="3" t="s">
        <v>8</v>
      </c>
      <c r="D7404" s="3">
        <v>288.0</v>
      </c>
      <c r="E7404" s="3">
        <v>4.6</v>
      </c>
      <c r="F7404" s="3">
        <v>14.52</v>
      </c>
      <c r="G7404" s="3">
        <v>47.11</v>
      </c>
    </row>
    <row r="7405">
      <c r="A7405" s="3">
        <v>174915.0</v>
      </c>
      <c r="B7405" s="3" t="s">
        <v>7432</v>
      </c>
      <c r="C7405" s="3" t="s">
        <v>8</v>
      </c>
      <c r="D7405" s="3">
        <v>275.0</v>
      </c>
      <c r="E7405" s="3">
        <v>1.2</v>
      </c>
      <c r="F7405" s="3">
        <v>9.1</v>
      </c>
      <c r="G7405" s="3">
        <v>55.7</v>
      </c>
    </row>
    <row r="7406">
      <c r="A7406" s="3">
        <v>174916.0</v>
      </c>
      <c r="B7406" s="3" t="s">
        <v>7433</v>
      </c>
      <c r="C7406" s="3" t="s">
        <v>8</v>
      </c>
      <c r="D7406" s="3">
        <v>262.0</v>
      </c>
      <c r="E7406" s="3">
        <v>1.71</v>
      </c>
      <c r="F7406" s="3">
        <v>9.8</v>
      </c>
      <c r="G7406" s="3">
        <v>55.89</v>
      </c>
    </row>
    <row r="7407">
      <c r="A7407" s="3">
        <v>174917.0</v>
      </c>
      <c r="B7407" s="3" t="s">
        <v>7434</v>
      </c>
      <c r="C7407" s="3" t="s">
        <v>8</v>
      </c>
      <c r="D7407" s="3">
        <v>245.0</v>
      </c>
      <c r="E7407" s="3">
        <v>2.2</v>
      </c>
      <c r="F7407" s="3">
        <v>12.1</v>
      </c>
      <c r="G7407" s="3">
        <v>43.8</v>
      </c>
    </row>
    <row r="7408">
      <c r="A7408" s="3">
        <v>174918.0</v>
      </c>
      <c r="B7408" s="3" t="s">
        <v>7435</v>
      </c>
      <c r="C7408" s="3" t="s">
        <v>8</v>
      </c>
      <c r="D7408" s="3">
        <v>250.0</v>
      </c>
      <c r="E7408" s="3">
        <v>3.1</v>
      </c>
      <c r="F7408" s="3">
        <v>8.7</v>
      </c>
      <c r="G7408" s="3">
        <v>47.5</v>
      </c>
    </row>
    <row r="7409">
      <c r="A7409" s="3">
        <v>174919.0</v>
      </c>
      <c r="B7409" s="3" t="s">
        <v>7436</v>
      </c>
      <c r="C7409" s="3" t="s">
        <v>8</v>
      </c>
      <c r="D7409" s="3">
        <v>210.0</v>
      </c>
      <c r="E7409" s="3">
        <v>3.5</v>
      </c>
      <c r="F7409" s="3">
        <v>7.6</v>
      </c>
      <c r="G7409" s="3">
        <v>43.3</v>
      </c>
    </row>
    <row r="7410">
      <c r="A7410" s="3">
        <v>174920.0</v>
      </c>
      <c r="B7410" s="3" t="s">
        <v>7437</v>
      </c>
      <c r="C7410" s="3" t="s">
        <v>8</v>
      </c>
      <c r="D7410" s="3">
        <v>203.0</v>
      </c>
      <c r="E7410" s="3">
        <v>2.9</v>
      </c>
      <c r="F7410" s="3">
        <v>9.1</v>
      </c>
      <c r="G7410" s="3">
        <v>40.5</v>
      </c>
    </row>
    <row r="7411">
      <c r="A7411" s="3">
        <v>174921.0</v>
      </c>
      <c r="B7411" s="3" t="s">
        <v>7438</v>
      </c>
      <c r="C7411" s="3" t="s">
        <v>8</v>
      </c>
      <c r="D7411" s="3">
        <v>217.0</v>
      </c>
      <c r="E7411" s="3">
        <v>2.92</v>
      </c>
      <c r="F7411" s="3">
        <v>13.32</v>
      </c>
      <c r="G7411" s="3">
        <v>42.47</v>
      </c>
    </row>
    <row r="7412">
      <c r="A7412" s="3">
        <v>174922.0</v>
      </c>
      <c r="B7412" s="3" t="s">
        <v>7439</v>
      </c>
      <c r="C7412" s="3" t="s">
        <v>8</v>
      </c>
      <c r="D7412" s="3">
        <v>207.0</v>
      </c>
      <c r="E7412" s="3">
        <v>2.5</v>
      </c>
      <c r="F7412" s="3">
        <v>8.7</v>
      </c>
      <c r="G7412" s="3">
        <v>44.3</v>
      </c>
    </row>
    <row r="7413">
      <c r="A7413" s="3">
        <v>174923.0</v>
      </c>
      <c r="B7413" s="3" t="s">
        <v>7440</v>
      </c>
      <c r="C7413" s="3" t="s">
        <v>8</v>
      </c>
      <c r="D7413" s="3">
        <v>243.0</v>
      </c>
      <c r="E7413" s="3">
        <v>4.6</v>
      </c>
      <c r="F7413" s="3">
        <v>8.9</v>
      </c>
      <c r="G7413" s="3">
        <v>43.5</v>
      </c>
    </row>
    <row r="7414">
      <c r="A7414" s="3">
        <v>174924.0</v>
      </c>
      <c r="B7414" s="3" t="s">
        <v>7441</v>
      </c>
      <c r="C7414" s="3" t="s">
        <v>8</v>
      </c>
      <c r="D7414" s="3">
        <v>266.0</v>
      </c>
      <c r="E7414" s="3">
        <v>3.33</v>
      </c>
      <c r="F7414" s="3">
        <v>8.85</v>
      </c>
      <c r="G7414" s="3">
        <v>49.42</v>
      </c>
    </row>
    <row r="7415">
      <c r="A7415" s="3">
        <v>174925.0</v>
      </c>
      <c r="B7415" s="3" t="s">
        <v>7442</v>
      </c>
      <c r="C7415" s="3" t="s">
        <v>8</v>
      </c>
      <c r="D7415" s="3">
        <v>290.0</v>
      </c>
      <c r="E7415" s="3">
        <v>4.0</v>
      </c>
      <c r="F7415" s="3">
        <v>9.0</v>
      </c>
      <c r="G7415" s="3">
        <v>54.5</v>
      </c>
    </row>
    <row r="7416">
      <c r="A7416" s="3">
        <v>174926.0</v>
      </c>
      <c r="B7416" s="3" t="s">
        <v>7443</v>
      </c>
      <c r="C7416" s="3" t="s">
        <v>8</v>
      </c>
      <c r="D7416" s="3">
        <v>274.0</v>
      </c>
      <c r="E7416" s="3">
        <v>2.6</v>
      </c>
      <c r="F7416" s="3">
        <v>7.7</v>
      </c>
      <c r="G7416" s="3">
        <v>53.6</v>
      </c>
    </row>
    <row r="7417">
      <c r="A7417" s="3">
        <v>174927.0</v>
      </c>
      <c r="B7417" s="3" t="s">
        <v>7444</v>
      </c>
      <c r="C7417" s="3" t="s">
        <v>8</v>
      </c>
      <c r="D7417" s="3">
        <v>285.0</v>
      </c>
      <c r="E7417" s="3">
        <v>5.7</v>
      </c>
      <c r="F7417" s="3">
        <v>7.9</v>
      </c>
      <c r="G7417" s="3">
        <v>49.6</v>
      </c>
    </row>
    <row r="7418">
      <c r="A7418" s="3">
        <v>174928.0</v>
      </c>
      <c r="B7418" s="3" t="s">
        <v>7445</v>
      </c>
      <c r="C7418" s="3" t="s">
        <v>8</v>
      </c>
      <c r="D7418" s="3">
        <v>395.0</v>
      </c>
      <c r="E7418" s="3">
        <v>5.3</v>
      </c>
      <c r="F7418" s="3">
        <v>13.35</v>
      </c>
      <c r="G7418" s="3">
        <v>71.98</v>
      </c>
    </row>
    <row r="7419">
      <c r="A7419" s="3">
        <v>174929.0</v>
      </c>
      <c r="B7419" s="3" t="s">
        <v>7446</v>
      </c>
      <c r="C7419" s="3" t="s">
        <v>8</v>
      </c>
      <c r="D7419" s="3">
        <v>412.0</v>
      </c>
      <c r="E7419" s="3">
        <v>9.5</v>
      </c>
      <c r="F7419" s="3">
        <v>12.0</v>
      </c>
      <c r="G7419" s="3">
        <v>68.4</v>
      </c>
    </row>
    <row r="7420">
      <c r="A7420" s="3">
        <v>174930.0</v>
      </c>
      <c r="B7420" s="3" t="s">
        <v>7447</v>
      </c>
      <c r="C7420" s="3" t="s">
        <v>8</v>
      </c>
      <c r="D7420" s="3">
        <v>386.0</v>
      </c>
      <c r="E7420" s="3">
        <v>3.4</v>
      </c>
      <c r="F7420" s="3">
        <v>11.0</v>
      </c>
      <c r="G7420" s="3">
        <v>76.2</v>
      </c>
    </row>
    <row r="7421">
      <c r="A7421" s="3">
        <v>174931.0</v>
      </c>
      <c r="B7421" s="3" t="s">
        <v>7448</v>
      </c>
      <c r="C7421" s="3" t="s">
        <v>8</v>
      </c>
      <c r="D7421" s="3">
        <v>195.0</v>
      </c>
      <c r="E7421" s="3">
        <v>12.05</v>
      </c>
      <c r="F7421" s="3">
        <v>2.73</v>
      </c>
      <c r="G7421" s="3">
        <v>18.84</v>
      </c>
    </row>
    <row r="7422">
      <c r="A7422" s="3">
        <v>174932.0</v>
      </c>
      <c r="B7422" s="3" t="s">
        <v>7449</v>
      </c>
      <c r="C7422" s="3" t="s">
        <v>8</v>
      </c>
      <c r="D7422" s="3">
        <v>415.0</v>
      </c>
      <c r="E7422" s="3">
        <v>9.8</v>
      </c>
      <c r="F7422" s="3">
        <v>5.1</v>
      </c>
      <c r="G7422" s="3">
        <v>79.2</v>
      </c>
    </row>
    <row r="7423">
      <c r="A7423" s="3">
        <v>174933.0</v>
      </c>
      <c r="B7423" s="3" t="s">
        <v>7450</v>
      </c>
      <c r="C7423" s="3" t="s">
        <v>8</v>
      </c>
      <c r="D7423" s="3">
        <v>264.0</v>
      </c>
      <c r="E7423" s="3">
        <v>12.5</v>
      </c>
      <c r="F7423" s="3">
        <v>2.4</v>
      </c>
      <c r="G7423" s="3">
        <v>38.0</v>
      </c>
    </row>
    <row r="7424">
      <c r="A7424" s="3">
        <v>174934.0</v>
      </c>
      <c r="B7424" s="3" t="s">
        <v>7451</v>
      </c>
      <c r="C7424" s="3" t="s">
        <v>8</v>
      </c>
      <c r="D7424" s="3">
        <v>389.0</v>
      </c>
      <c r="E7424" s="3">
        <v>20.05</v>
      </c>
      <c r="F7424" s="3">
        <v>3.48</v>
      </c>
      <c r="G7424" s="3">
        <v>52.84</v>
      </c>
    </row>
    <row r="7425">
      <c r="A7425" s="3">
        <v>174935.0</v>
      </c>
      <c r="B7425" s="3" t="s">
        <v>7452</v>
      </c>
      <c r="C7425" s="3" t="s">
        <v>8</v>
      </c>
      <c r="D7425" s="3">
        <v>391.0</v>
      </c>
      <c r="E7425" s="3">
        <v>8.14</v>
      </c>
      <c r="F7425" s="3">
        <v>4.6</v>
      </c>
      <c r="G7425" s="3">
        <v>80.16</v>
      </c>
    </row>
    <row r="7426">
      <c r="A7426" s="3">
        <v>174936.0</v>
      </c>
      <c r="B7426" s="3" t="s">
        <v>7453</v>
      </c>
      <c r="C7426" s="3" t="s">
        <v>8</v>
      </c>
      <c r="D7426" s="3">
        <v>331.0</v>
      </c>
      <c r="E7426" s="3">
        <v>10.8</v>
      </c>
      <c r="F7426" s="3">
        <v>5.0</v>
      </c>
      <c r="G7426" s="3">
        <v>53.8</v>
      </c>
    </row>
    <row r="7427">
      <c r="A7427" s="3">
        <v>174937.0</v>
      </c>
      <c r="B7427" s="3" t="s">
        <v>7454</v>
      </c>
      <c r="C7427" s="3" t="s">
        <v>8</v>
      </c>
      <c r="D7427" s="3">
        <v>311.0</v>
      </c>
      <c r="E7427" s="3">
        <v>10.2</v>
      </c>
      <c r="F7427" s="3">
        <v>5.2</v>
      </c>
      <c r="G7427" s="3">
        <v>51.5</v>
      </c>
    </row>
    <row r="7428">
      <c r="A7428" s="3">
        <v>174938.0</v>
      </c>
      <c r="B7428" s="3" t="s">
        <v>7455</v>
      </c>
      <c r="C7428" s="3" t="s">
        <v>8</v>
      </c>
      <c r="D7428" s="3">
        <v>318.0</v>
      </c>
      <c r="E7428" s="3">
        <v>9.6</v>
      </c>
      <c r="F7428" s="3">
        <v>5.5</v>
      </c>
      <c r="G7428" s="3">
        <v>52.8</v>
      </c>
    </row>
    <row r="7429">
      <c r="A7429" s="3">
        <v>174939.0</v>
      </c>
      <c r="B7429" s="3" t="s">
        <v>7456</v>
      </c>
      <c r="C7429" s="3" t="s">
        <v>8</v>
      </c>
      <c r="D7429" s="3">
        <v>324.0</v>
      </c>
      <c r="E7429" s="3">
        <v>9.1</v>
      </c>
      <c r="F7429" s="3">
        <v>2.9</v>
      </c>
      <c r="G7429" s="3">
        <v>61.6</v>
      </c>
    </row>
    <row r="7430">
      <c r="A7430" s="3">
        <v>174940.0</v>
      </c>
      <c r="B7430" s="3" t="s">
        <v>7457</v>
      </c>
      <c r="C7430" s="3" t="s">
        <v>8</v>
      </c>
      <c r="D7430" s="3">
        <v>389.0</v>
      </c>
      <c r="E7430" s="3">
        <v>17.9</v>
      </c>
      <c r="F7430" s="3">
        <v>5.2</v>
      </c>
      <c r="G7430" s="3">
        <v>52.5</v>
      </c>
    </row>
    <row r="7431">
      <c r="A7431" s="3">
        <v>174941.0</v>
      </c>
      <c r="B7431" s="3" t="s">
        <v>7458</v>
      </c>
      <c r="C7431" s="3" t="s">
        <v>8</v>
      </c>
      <c r="D7431" s="3">
        <v>346.0</v>
      </c>
      <c r="E7431" s="3">
        <v>14.2</v>
      </c>
      <c r="F7431" s="3">
        <v>6.1</v>
      </c>
      <c r="G7431" s="3">
        <v>48.5</v>
      </c>
    </row>
    <row r="7432">
      <c r="A7432" s="3">
        <v>174942.0</v>
      </c>
      <c r="B7432" s="3" t="s">
        <v>7459</v>
      </c>
      <c r="C7432" s="3" t="s">
        <v>8</v>
      </c>
      <c r="D7432" s="3">
        <v>399.0</v>
      </c>
      <c r="E7432" s="3">
        <v>15.93</v>
      </c>
      <c r="F7432" s="3">
        <v>3.63</v>
      </c>
      <c r="G7432" s="3">
        <v>60.31</v>
      </c>
    </row>
    <row r="7433">
      <c r="A7433" s="3">
        <v>174943.0</v>
      </c>
      <c r="B7433" s="3" t="s">
        <v>7460</v>
      </c>
      <c r="C7433" s="3" t="s">
        <v>8</v>
      </c>
      <c r="D7433" s="3">
        <v>374.0</v>
      </c>
      <c r="E7433" s="3">
        <v>11.54</v>
      </c>
      <c r="F7433" s="3">
        <v>3.47</v>
      </c>
      <c r="G7433" s="3">
        <v>64.03</v>
      </c>
    </row>
    <row r="7434">
      <c r="A7434" s="3">
        <v>174944.0</v>
      </c>
      <c r="B7434" s="3" t="s">
        <v>7461</v>
      </c>
      <c r="C7434" s="3" t="s">
        <v>8</v>
      </c>
      <c r="D7434" s="3">
        <v>379.0</v>
      </c>
      <c r="E7434" s="3">
        <v>17.75</v>
      </c>
      <c r="F7434" s="3">
        <v>3.16</v>
      </c>
      <c r="G7434" s="3">
        <v>55.36</v>
      </c>
    </row>
    <row r="7435">
      <c r="A7435" s="3">
        <v>174945.0</v>
      </c>
      <c r="B7435" s="3" t="s">
        <v>7462</v>
      </c>
      <c r="C7435" s="3" t="s">
        <v>8</v>
      </c>
      <c r="D7435" s="3">
        <v>391.0</v>
      </c>
      <c r="E7435" s="3">
        <v>17.91</v>
      </c>
      <c r="F7435" s="3">
        <v>2.99</v>
      </c>
      <c r="G7435" s="3">
        <v>56.2</v>
      </c>
    </row>
    <row r="7436">
      <c r="A7436" s="3">
        <v>174946.0</v>
      </c>
      <c r="B7436" s="3" t="s">
        <v>7463</v>
      </c>
      <c r="C7436" s="3" t="s">
        <v>8</v>
      </c>
      <c r="D7436" s="3">
        <v>423.0</v>
      </c>
      <c r="E7436" s="3">
        <v>9.8</v>
      </c>
      <c r="F7436" s="3">
        <v>4.0</v>
      </c>
      <c r="G7436" s="3">
        <v>80.0</v>
      </c>
    </row>
    <row r="7437">
      <c r="A7437" s="3">
        <v>174947.0</v>
      </c>
      <c r="B7437" s="3" t="s">
        <v>7464</v>
      </c>
      <c r="C7437" s="3" t="s">
        <v>8</v>
      </c>
      <c r="D7437" s="3">
        <v>374.0</v>
      </c>
      <c r="E7437" s="3">
        <v>3.5</v>
      </c>
      <c r="F7437" s="3">
        <v>3.7</v>
      </c>
      <c r="G7437" s="3">
        <v>81.92</v>
      </c>
    </row>
    <row r="7438">
      <c r="A7438" s="3">
        <v>174948.0</v>
      </c>
      <c r="B7438" s="3" t="s">
        <v>7465</v>
      </c>
      <c r="C7438" s="3" t="s">
        <v>8</v>
      </c>
      <c r="D7438" s="3">
        <v>434.0</v>
      </c>
      <c r="E7438" s="3">
        <v>14.9</v>
      </c>
      <c r="F7438" s="3">
        <v>4.0</v>
      </c>
      <c r="G7438" s="3">
        <v>76.6</v>
      </c>
    </row>
    <row r="7439">
      <c r="A7439" s="3">
        <v>174949.0</v>
      </c>
      <c r="B7439" s="3" t="s">
        <v>7466</v>
      </c>
      <c r="C7439" s="3" t="s">
        <v>8</v>
      </c>
      <c r="D7439" s="3">
        <v>466.0</v>
      </c>
      <c r="E7439" s="3">
        <v>29.1</v>
      </c>
      <c r="F7439" s="3">
        <v>6.2</v>
      </c>
      <c r="G7439" s="3">
        <v>50.2</v>
      </c>
    </row>
    <row r="7440">
      <c r="A7440" s="3">
        <v>174950.0</v>
      </c>
      <c r="B7440" s="3" t="s">
        <v>7467</v>
      </c>
      <c r="C7440" s="3" t="s">
        <v>8</v>
      </c>
      <c r="D7440" s="3">
        <v>467.0</v>
      </c>
      <c r="E7440" s="3">
        <v>18.8</v>
      </c>
      <c r="F7440" s="3">
        <v>6.1</v>
      </c>
      <c r="G7440" s="3">
        <v>68.9</v>
      </c>
    </row>
    <row r="7441">
      <c r="A7441" s="3">
        <v>174951.0</v>
      </c>
      <c r="B7441" s="3" t="s">
        <v>7468</v>
      </c>
      <c r="C7441" s="3" t="s">
        <v>8</v>
      </c>
      <c r="D7441" s="3">
        <v>349.0</v>
      </c>
      <c r="E7441" s="3">
        <v>3.7</v>
      </c>
      <c r="F7441" s="3">
        <v>5.0</v>
      </c>
      <c r="G7441" s="3">
        <v>78.3</v>
      </c>
    </row>
    <row r="7442">
      <c r="A7442" s="3">
        <v>174952.0</v>
      </c>
      <c r="B7442" s="3" t="s">
        <v>7469</v>
      </c>
      <c r="C7442" s="3" t="s">
        <v>8</v>
      </c>
      <c r="D7442" s="3">
        <v>497.0</v>
      </c>
      <c r="E7442" s="3">
        <v>25.2</v>
      </c>
      <c r="F7442" s="3">
        <v>4.6</v>
      </c>
      <c r="G7442" s="3">
        <v>66.1</v>
      </c>
    </row>
    <row r="7443">
      <c r="A7443" s="3">
        <v>174953.0</v>
      </c>
      <c r="B7443" s="3" t="s">
        <v>7470</v>
      </c>
      <c r="C7443" s="3" t="s">
        <v>8</v>
      </c>
      <c r="D7443" s="3">
        <v>451.0</v>
      </c>
      <c r="E7443" s="3">
        <v>21.33</v>
      </c>
      <c r="F7443" s="3">
        <v>3.98</v>
      </c>
      <c r="G7443" s="3">
        <v>61.02</v>
      </c>
    </row>
    <row r="7444">
      <c r="A7444" s="3">
        <v>174954.0</v>
      </c>
      <c r="B7444" s="3" t="s">
        <v>7471</v>
      </c>
      <c r="C7444" s="3" t="s">
        <v>8</v>
      </c>
      <c r="D7444" s="3">
        <v>492.0</v>
      </c>
      <c r="E7444" s="3">
        <v>22.6</v>
      </c>
      <c r="F7444" s="3">
        <v>4.9</v>
      </c>
      <c r="G7444" s="3">
        <v>68.2</v>
      </c>
    </row>
    <row r="7445">
      <c r="A7445" s="3">
        <v>174955.0</v>
      </c>
      <c r="B7445" s="3" t="s">
        <v>7472</v>
      </c>
      <c r="C7445" s="3" t="s">
        <v>8</v>
      </c>
      <c r="D7445" s="3">
        <v>488.0</v>
      </c>
      <c r="E7445" s="3">
        <v>28.3</v>
      </c>
      <c r="F7445" s="3">
        <v>5.7</v>
      </c>
      <c r="G7445" s="3">
        <v>58.4</v>
      </c>
    </row>
    <row r="7446">
      <c r="A7446" s="3">
        <v>174956.0</v>
      </c>
      <c r="B7446" s="3" t="s">
        <v>7473</v>
      </c>
      <c r="C7446" s="3" t="s">
        <v>8</v>
      </c>
      <c r="D7446" s="3">
        <v>416.0</v>
      </c>
      <c r="E7446" s="3">
        <v>9.8</v>
      </c>
      <c r="F7446" s="3">
        <v>5.6</v>
      </c>
      <c r="G7446" s="3">
        <v>76.9</v>
      </c>
    </row>
    <row r="7447">
      <c r="A7447" s="3">
        <v>174957.0</v>
      </c>
      <c r="B7447" s="3" t="s">
        <v>7474</v>
      </c>
      <c r="C7447" s="3" t="s">
        <v>8</v>
      </c>
      <c r="D7447" s="3">
        <v>430.0</v>
      </c>
      <c r="E7447" s="3">
        <v>10.6</v>
      </c>
      <c r="F7447" s="3">
        <v>6.69</v>
      </c>
      <c r="G7447" s="3">
        <v>77.66</v>
      </c>
    </row>
    <row r="7448">
      <c r="A7448" s="3">
        <v>174958.0</v>
      </c>
      <c r="B7448" s="3" t="s">
        <v>7475</v>
      </c>
      <c r="C7448" s="3" t="s">
        <v>8</v>
      </c>
      <c r="D7448" s="3">
        <v>500.0</v>
      </c>
      <c r="E7448" s="3">
        <v>25.8</v>
      </c>
      <c r="F7448" s="3">
        <v>4.0</v>
      </c>
      <c r="G7448" s="3">
        <v>66.78</v>
      </c>
    </row>
    <row r="7449">
      <c r="A7449" s="3">
        <v>174959.0</v>
      </c>
      <c r="B7449" s="3" t="s">
        <v>7476</v>
      </c>
      <c r="C7449" s="3" t="s">
        <v>8</v>
      </c>
      <c r="D7449" s="3">
        <v>365.0</v>
      </c>
      <c r="E7449" s="3">
        <v>9.1</v>
      </c>
      <c r="F7449" s="3">
        <v>10.6</v>
      </c>
      <c r="G7449" s="3">
        <v>59.7</v>
      </c>
    </row>
    <row r="7450">
      <c r="A7450" s="3">
        <v>174960.0</v>
      </c>
      <c r="B7450" s="3" t="s">
        <v>7477</v>
      </c>
      <c r="C7450" s="3" t="s">
        <v>8</v>
      </c>
      <c r="D7450" s="3">
        <v>462.0</v>
      </c>
      <c r="E7450" s="3">
        <v>19.2</v>
      </c>
      <c r="F7450" s="3">
        <v>6.5</v>
      </c>
      <c r="G7450" s="3">
        <v>67.3</v>
      </c>
    </row>
    <row r="7451">
      <c r="A7451" s="3">
        <v>174961.0</v>
      </c>
      <c r="B7451" s="3" t="s">
        <v>7478</v>
      </c>
      <c r="C7451" s="3" t="s">
        <v>8</v>
      </c>
      <c r="D7451" s="3">
        <v>424.0</v>
      </c>
      <c r="E7451" s="3">
        <v>18.9</v>
      </c>
      <c r="F7451" s="3">
        <v>5.4</v>
      </c>
      <c r="G7451" s="3">
        <v>59.1</v>
      </c>
    </row>
    <row r="7452">
      <c r="A7452" s="3">
        <v>174962.0</v>
      </c>
      <c r="B7452" s="3" t="s">
        <v>7479</v>
      </c>
      <c r="C7452" s="3" t="s">
        <v>8</v>
      </c>
      <c r="D7452" s="3">
        <v>471.0</v>
      </c>
      <c r="E7452" s="3">
        <v>21.0</v>
      </c>
      <c r="F7452" s="3">
        <v>6.0</v>
      </c>
      <c r="G7452" s="3">
        <v>65.7</v>
      </c>
    </row>
    <row r="7453">
      <c r="A7453" s="3">
        <v>174963.0</v>
      </c>
      <c r="B7453" s="3" t="s">
        <v>7480</v>
      </c>
      <c r="C7453" s="3" t="s">
        <v>8</v>
      </c>
      <c r="D7453" s="3">
        <v>441.0</v>
      </c>
      <c r="E7453" s="3">
        <v>15.76</v>
      </c>
      <c r="F7453" s="3">
        <v>5.86</v>
      </c>
      <c r="G7453" s="3">
        <v>68.95</v>
      </c>
    </row>
    <row r="7454">
      <c r="A7454" s="3">
        <v>174964.0</v>
      </c>
      <c r="B7454" s="3" t="s">
        <v>7481</v>
      </c>
      <c r="C7454" s="3" t="s">
        <v>8</v>
      </c>
      <c r="D7454" s="3">
        <v>475.0</v>
      </c>
      <c r="E7454" s="3">
        <v>23.8</v>
      </c>
      <c r="F7454" s="3">
        <v>9.0</v>
      </c>
      <c r="G7454" s="3">
        <v>58.9</v>
      </c>
    </row>
    <row r="7455">
      <c r="A7455" s="3">
        <v>174965.0</v>
      </c>
      <c r="B7455" s="3" t="s">
        <v>7482</v>
      </c>
      <c r="C7455" s="3" t="s">
        <v>8</v>
      </c>
      <c r="D7455" s="3">
        <v>478.0</v>
      </c>
      <c r="E7455" s="3">
        <v>21.1</v>
      </c>
      <c r="F7455" s="3">
        <v>8.8</v>
      </c>
      <c r="G7455" s="3">
        <v>65.6</v>
      </c>
    </row>
    <row r="7456">
      <c r="A7456" s="3">
        <v>174966.0</v>
      </c>
      <c r="B7456" s="3" t="s">
        <v>7483</v>
      </c>
      <c r="C7456" s="3" t="s">
        <v>8</v>
      </c>
      <c r="D7456" s="3">
        <v>401.0</v>
      </c>
      <c r="E7456" s="3">
        <v>13.6</v>
      </c>
      <c r="F7456" s="3">
        <v>4.1</v>
      </c>
      <c r="G7456" s="3">
        <v>68.0</v>
      </c>
    </row>
    <row r="7457">
      <c r="A7457" s="3">
        <v>174967.0</v>
      </c>
      <c r="B7457" s="3" t="s">
        <v>7484</v>
      </c>
      <c r="C7457" s="3" t="s">
        <v>8</v>
      </c>
      <c r="D7457" s="3">
        <v>514.0</v>
      </c>
      <c r="E7457" s="3">
        <v>26.22</v>
      </c>
      <c r="F7457" s="3">
        <v>5.37</v>
      </c>
      <c r="G7457" s="3">
        <v>63.78</v>
      </c>
    </row>
    <row r="7458">
      <c r="A7458" s="3">
        <v>174968.0</v>
      </c>
      <c r="B7458" s="3" t="s">
        <v>7485</v>
      </c>
      <c r="C7458" s="3" t="s">
        <v>8</v>
      </c>
      <c r="D7458" s="3">
        <v>542.0</v>
      </c>
      <c r="E7458" s="3">
        <v>32.5</v>
      </c>
      <c r="F7458" s="3">
        <v>4.9</v>
      </c>
      <c r="G7458" s="3">
        <v>58.3</v>
      </c>
    </row>
    <row r="7459">
      <c r="A7459" s="3">
        <v>174969.0</v>
      </c>
      <c r="B7459" s="3" t="s">
        <v>7486</v>
      </c>
      <c r="C7459" s="3" t="s">
        <v>8</v>
      </c>
      <c r="D7459" s="3">
        <v>535.0</v>
      </c>
      <c r="E7459" s="3">
        <v>34.0</v>
      </c>
      <c r="F7459" s="3">
        <v>10.0</v>
      </c>
      <c r="G7459" s="3">
        <v>50.8</v>
      </c>
    </row>
    <row r="7460">
      <c r="A7460" s="3">
        <v>174970.0</v>
      </c>
      <c r="B7460" s="3" t="s">
        <v>7487</v>
      </c>
      <c r="C7460" s="3" t="s">
        <v>8</v>
      </c>
      <c r="D7460" s="3">
        <v>531.0</v>
      </c>
      <c r="E7460" s="3">
        <v>28.57</v>
      </c>
      <c r="F7460" s="3">
        <v>3.57</v>
      </c>
      <c r="G7460" s="3">
        <v>66.26</v>
      </c>
    </row>
    <row r="7461">
      <c r="A7461" s="3">
        <v>174971.0</v>
      </c>
      <c r="B7461" s="3" t="s">
        <v>7488</v>
      </c>
      <c r="C7461" s="3" t="s">
        <v>8</v>
      </c>
      <c r="D7461" s="3">
        <v>464.0</v>
      </c>
      <c r="E7461" s="3">
        <v>19.55</v>
      </c>
      <c r="F7461" s="3">
        <v>5.35</v>
      </c>
      <c r="G7461" s="3">
        <v>67.34</v>
      </c>
    </row>
    <row r="7462">
      <c r="A7462" s="3">
        <v>174972.0</v>
      </c>
      <c r="B7462" s="3" t="s">
        <v>7489</v>
      </c>
      <c r="C7462" s="3" t="s">
        <v>8</v>
      </c>
      <c r="D7462" s="3">
        <v>436.0</v>
      </c>
      <c r="E7462" s="3">
        <v>19.48</v>
      </c>
      <c r="F7462" s="3">
        <v>4.0</v>
      </c>
      <c r="G7462" s="3">
        <v>61.22</v>
      </c>
    </row>
    <row r="7463">
      <c r="A7463" s="3">
        <v>174973.0</v>
      </c>
      <c r="B7463" s="3" t="s">
        <v>7490</v>
      </c>
      <c r="C7463" s="3" t="s">
        <v>8</v>
      </c>
      <c r="D7463" s="3">
        <v>441.0</v>
      </c>
      <c r="E7463" s="3">
        <v>15.2</v>
      </c>
      <c r="F7463" s="3">
        <v>5.0</v>
      </c>
      <c r="G7463" s="3">
        <v>73.6</v>
      </c>
    </row>
    <row r="7464">
      <c r="A7464" s="3">
        <v>174974.0</v>
      </c>
      <c r="B7464" s="3" t="s">
        <v>7491</v>
      </c>
      <c r="C7464" s="3" t="s">
        <v>8</v>
      </c>
      <c r="D7464" s="3">
        <v>455.0</v>
      </c>
      <c r="E7464" s="3">
        <v>16.41</v>
      </c>
      <c r="F7464" s="3">
        <v>4.9</v>
      </c>
      <c r="G7464" s="3">
        <v>72.6</v>
      </c>
    </row>
    <row r="7465">
      <c r="A7465" s="3">
        <v>174975.0</v>
      </c>
      <c r="B7465" s="3" t="s">
        <v>7492</v>
      </c>
      <c r="C7465" s="3" t="s">
        <v>8</v>
      </c>
      <c r="D7465" s="3">
        <v>489.0</v>
      </c>
      <c r="E7465" s="3">
        <v>22.74</v>
      </c>
      <c r="F7465" s="3">
        <v>10.93</v>
      </c>
      <c r="G7465" s="3">
        <v>59.42</v>
      </c>
    </row>
    <row r="7466">
      <c r="A7466" s="3">
        <v>174976.0</v>
      </c>
      <c r="B7466" s="3" t="s">
        <v>7493</v>
      </c>
      <c r="C7466" s="3" t="s">
        <v>8</v>
      </c>
      <c r="D7466" s="3">
        <v>496.0</v>
      </c>
      <c r="E7466" s="3">
        <v>25.12</v>
      </c>
      <c r="F7466" s="3">
        <v>12.41</v>
      </c>
      <c r="G7466" s="3">
        <v>56.74</v>
      </c>
    </row>
    <row r="7467">
      <c r="A7467" s="3">
        <v>174977.0</v>
      </c>
      <c r="B7467" s="3" t="s">
        <v>7494</v>
      </c>
      <c r="C7467" s="3" t="s">
        <v>8</v>
      </c>
      <c r="D7467" s="3">
        <v>390.0</v>
      </c>
      <c r="E7467" s="3">
        <v>3.2</v>
      </c>
      <c r="F7467" s="3">
        <v>12.1</v>
      </c>
      <c r="G7467" s="3">
        <v>76.6</v>
      </c>
    </row>
    <row r="7468">
      <c r="A7468" s="3">
        <v>174978.0</v>
      </c>
      <c r="B7468" s="3" t="s">
        <v>7495</v>
      </c>
      <c r="C7468" s="3" t="s">
        <v>8</v>
      </c>
      <c r="D7468" s="3">
        <v>389.0</v>
      </c>
      <c r="E7468" s="3">
        <v>3.4</v>
      </c>
      <c r="F7468" s="3">
        <v>11.6</v>
      </c>
      <c r="G7468" s="3">
        <v>77.3</v>
      </c>
    </row>
    <row r="7469">
      <c r="A7469" s="3">
        <v>174979.0</v>
      </c>
      <c r="B7469" s="3" t="s">
        <v>7496</v>
      </c>
      <c r="C7469" s="3" t="s">
        <v>8</v>
      </c>
      <c r="D7469" s="3">
        <v>374.0</v>
      </c>
      <c r="E7469" s="3">
        <v>2.3</v>
      </c>
      <c r="F7469" s="3">
        <v>12.9</v>
      </c>
      <c r="G7469" s="3">
        <v>76.4</v>
      </c>
    </row>
    <row r="7470">
      <c r="A7470" s="3">
        <v>174980.0</v>
      </c>
      <c r="B7470" s="3" t="s">
        <v>7497</v>
      </c>
      <c r="C7470" s="3" t="s">
        <v>8</v>
      </c>
      <c r="D7470" s="3">
        <v>446.0</v>
      </c>
      <c r="E7470" s="3">
        <v>13.77</v>
      </c>
      <c r="F7470" s="3">
        <v>7.6</v>
      </c>
      <c r="G7470" s="3">
        <v>71.73</v>
      </c>
    </row>
    <row r="7471">
      <c r="A7471" s="3">
        <v>174981.0</v>
      </c>
      <c r="B7471" s="3" t="s">
        <v>7498</v>
      </c>
      <c r="C7471" s="3" t="s">
        <v>8</v>
      </c>
      <c r="D7471" s="3">
        <v>407.0</v>
      </c>
      <c r="E7471" s="3">
        <v>7.2</v>
      </c>
      <c r="F7471" s="3">
        <v>13.5</v>
      </c>
      <c r="G7471" s="3">
        <v>72.3</v>
      </c>
    </row>
    <row r="7472">
      <c r="A7472" s="3">
        <v>174982.0</v>
      </c>
      <c r="B7472" s="3" t="s">
        <v>7499</v>
      </c>
      <c r="C7472" s="3" t="s">
        <v>8</v>
      </c>
      <c r="D7472" s="3">
        <v>510.0</v>
      </c>
      <c r="E7472" s="3">
        <v>26.43</v>
      </c>
      <c r="F7472" s="3">
        <v>6.64</v>
      </c>
      <c r="G7472" s="3">
        <v>61.3</v>
      </c>
    </row>
    <row r="7473">
      <c r="A7473" s="3">
        <v>174983.0</v>
      </c>
      <c r="B7473" s="3" t="s">
        <v>7500</v>
      </c>
      <c r="C7473" s="3" t="s">
        <v>8</v>
      </c>
      <c r="D7473" s="3">
        <v>477.0</v>
      </c>
      <c r="E7473" s="3">
        <v>21.1</v>
      </c>
      <c r="F7473" s="3">
        <v>9.3</v>
      </c>
      <c r="G7473" s="3">
        <v>61.7</v>
      </c>
    </row>
    <row r="7474">
      <c r="A7474" s="3">
        <v>174984.0</v>
      </c>
      <c r="B7474" s="3" t="s">
        <v>7501</v>
      </c>
      <c r="C7474" s="3" t="s">
        <v>8</v>
      </c>
      <c r="D7474" s="3">
        <v>494.0</v>
      </c>
      <c r="E7474" s="3">
        <v>24.54</v>
      </c>
      <c r="F7474" s="3">
        <v>11.47</v>
      </c>
      <c r="G7474" s="3">
        <v>58.38</v>
      </c>
    </row>
    <row r="7475">
      <c r="A7475" s="3">
        <v>174985.0</v>
      </c>
      <c r="B7475" s="3" t="s">
        <v>7502</v>
      </c>
      <c r="C7475" s="3" t="s">
        <v>8</v>
      </c>
      <c r="D7475" s="3">
        <v>455.0</v>
      </c>
      <c r="E7475" s="3">
        <v>16.4</v>
      </c>
      <c r="F7475" s="3">
        <v>7.3</v>
      </c>
      <c r="G7475" s="3">
        <v>70.73</v>
      </c>
    </row>
    <row r="7476">
      <c r="A7476" s="3">
        <v>174986.0</v>
      </c>
      <c r="B7476" s="3" t="s">
        <v>7503</v>
      </c>
      <c r="C7476" s="3" t="s">
        <v>8</v>
      </c>
      <c r="D7476" s="3">
        <v>360.0</v>
      </c>
      <c r="E7476" s="3">
        <v>25.9</v>
      </c>
      <c r="F7476" s="3">
        <v>9.0</v>
      </c>
      <c r="G7476" s="3">
        <v>22.8</v>
      </c>
    </row>
    <row r="7477">
      <c r="A7477" s="3">
        <v>174987.0</v>
      </c>
      <c r="B7477" s="3" t="s">
        <v>7504</v>
      </c>
      <c r="C7477" s="3" t="s">
        <v>8</v>
      </c>
      <c r="D7477" s="3">
        <v>406.0</v>
      </c>
      <c r="E7477" s="3">
        <v>21.0</v>
      </c>
      <c r="F7477" s="3">
        <v>8.2</v>
      </c>
      <c r="G7477" s="3">
        <v>45.8</v>
      </c>
    </row>
    <row r="7478">
      <c r="A7478" s="3">
        <v>174988.0</v>
      </c>
      <c r="B7478" s="3" t="s">
        <v>7505</v>
      </c>
      <c r="C7478" s="3" t="s">
        <v>8</v>
      </c>
      <c r="D7478" s="3">
        <v>254.0</v>
      </c>
      <c r="E7478" s="3">
        <v>8.7</v>
      </c>
      <c r="F7478" s="3">
        <v>7.4</v>
      </c>
      <c r="G7478" s="3">
        <v>37.1</v>
      </c>
    </row>
    <row r="7479">
      <c r="A7479" s="3">
        <v>174989.0</v>
      </c>
      <c r="B7479" s="3" t="s">
        <v>7506</v>
      </c>
      <c r="C7479" s="3" t="s">
        <v>8</v>
      </c>
      <c r="D7479" s="3">
        <v>414.0</v>
      </c>
      <c r="E7479" s="3">
        <v>20.9</v>
      </c>
      <c r="F7479" s="3">
        <v>9.2</v>
      </c>
      <c r="G7479" s="3">
        <v>47.0</v>
      </c>
    </row>
    <row r="7480">
      <c r="A7480" s="3">
        <v>174990.0</v>
      </c>
      <c r="B7480" s="3" t="s">
        <v>7507</v>
      </c>
      <c r="C7480" s="3" t="s">
        <v>8</v>
      </c>
      <c r="D7480" s="3">
        <v>434.0</v>
      </c>
      <c r="E7480" s="3">
        <v>24.93</v>
      </c>
      <c r="F7480" s="3">
        <v>5.31</v>
      </c>
      <c r="G7480" s="3">
        <v>47.06</v>
      </c>
    </row>
    <row r="7481">
      <c r="A7481" s="3">
        <v>174991.0</v>
      </c>
      <c r="B7481" s="3" t="s">
        <v>7508</v>
      </c>
      <c r="C7481" s="3" t="s">
        <v>8</v>
      </c>
      <c r="D7481" s="3">
        <v>452.0</v>
      </c>
      <c r="E7481" s="3">
        <v>25.25</v>
      </c>
      <c r="F7481" s="3">
        <v>4.93</v>
      </c>
      <c r="G7481" s="3">
        <v>51.33</v>
      </c>
    </row>
    <row r="7482">
      <c r="A7482" s="3">
        <v>174992.0</v>
      </c>
      <c r="B7482" s="3" t="s">
        <v>7509</v>
      </c>
      <c r="C7482" s="3" t="s">
        <v>8</v>
      </c>
      <c r="D7482" s="3">
        <v>426.0</v>
      </c>
      <c r="E7482" s="3">
        <v>22.9</v>
      </c>
      <c r="F7482" s="3">
        <v>5.2</v>
      </c>
      <c r="G7482" s="3">
        <v>50.8</v>
      </c>
    </row>
    <row r="7483">
      <c r="A7483" s="3">
        <v>174993.0</v>
      </c>
      <c r="B7483" s="3" t="s">
        <v>7510</v>
      </c>
      <c r="C7483" s="3" t="s">
        <v>8</v>
      </c>
      <c r="D7483" s="3">
        <v>417.0</v>
      </c>
      <c r="E7483" s="3">
        <v>19.9</v>
      </c>
      <c r="F7483" s="3">
        <v>4.5</v>
      </c>
      <c r="G7483" s="3">
        <v>57.4</v>
      </c>
    </row>
    <row r="7484">
      <c r="A7484" s="3">
        <v>174994.0</v>
      </c>
      <c r="B7484" s="3" t="s">
        <v>7511</v>
      </c>
      <c r="C7484" s="3" t="s">
        <v>8</v>
      </c>
      <c r="D7484" s="3">
        <v>227.0</v>
      </c>
      <c r="E7484" s="3">
        <v>1.69</v>
      </c>
      <c r="F7484" s="3">
        <v>8.87</v>
      </c>
      <c r="G7484" s="3">
        <v>44.17</v>
      </c>
    </row>
    <row r="7485">
      <c r="A7485" s="3">
        <v>174995.0</v>
      </c>
      <c r="B7485" s="3" t="s">
        <v>7512</v>
      </c>
      <c r="C7485" s="3" t="s">
        <v>8</v>
      </c>
      <c r="D7485" s="3">
        <v>270.0</v>
      </c>
      <c r="E7485" s="3">
        <v>2.02</v>
      </c>
      <c r="F7485" s="3">
        <v>10.32</v>
      </c>
      <c r="G7485" s="3">
        <v>52.65</v>
      </c>
    </row>
    <row r="7486">
      <c r="A7486" s="3">
        <v>174996.0</v>
      </c>
      <c r="B7486" s="3" t="s">
        <v>7513</v>
      </c>
      <c r="C7486" s="3" t="s">
        <v>8</v>
      </c>
      <c r="D7486" s="3">
        <v>235.0</v>
      </c>
      <c r="E7486" s="3">
        <v>1.8</v>
      </c>
      <c r="F7486" s="3">
        <v>9.1</v>
      </c>
      <c r="G7486" s="3">
        <v>46.3</v>
      </c>
    </row>
    <row r="7487">
      <c r="A7487" s="3">
        <v>174997.0</v>
      </c>
      <c r="B7487" s="3" t="s">
        <v>7514</v>
      </c>
      <c r="C7487" s="3" t="s">
        <v>8</v>
      </c>
      <c r="D7487" s="3">
        <v>240.0</v>
      </c>
      <c r="E7487" s="3">
        <v>1.8</v>
      </c>
      <c r="F7487" s="3">
        <v>7.91</v>
      </c>
      <c r="G7487" s="3">
        <v>48.1</v>
      </c>
    </row>
    <row r="7488">
      <c r="A7488" s="3">
        <v>174998.0</v>
      </c>
      <c r="B7488" s="3" t="s">
        <v>7515</v>
      </c>
      <c r="C7488" s="3" t="s">
        <v>8</v>
      </c>
      <c r="D7488" s="3">
        <v>229.0</v>
      </c>
      <c r="E7488" s="3">
        <v>10.8</v>
      </c>
      <c r="F7488" s="3">
        <v>7.7</v>
      </c>
      <c r="G7488" s="3">
        <v>25.0</v>
      </c>
    </row>
    <row r="7489">
      <c r="A7489" s="3">
        <v>174999.0</v>
      </c>
      <c r="B7489" s="3" t="s">
        <v>7516</v>
      </c>
      <c r="C7489" s="3" t="s">
        <v>8</v>
      </c>
      <c r="D7489" s="3">
        <v>337.0</v>
      </c>
      <c r="E7489" s="3">
        <v>13.5</v>
      </c>
      <c r="F7489" s="3">
        <v>7.7</v>
      </c>
      <c r="G7489" s="3">
        <v>46.0</v>
      </c>
    </row>
    <row r="7490">
      <c r="A7490" s="3">
        <v>175000.0</v>
      </c>
      <c r="B7490" s="3" t="s">
        <v>7517</v>
      </c>
      <c r="C7490" s="3" t="s">
        <v>8</v>
      </c>
      <c r="D7490" s="3">
        <v>417.0</v>
      </c>
      <c r="E7490" s="3">
        <v>6.9</v>
      </c>
      <c r="F7490" s="3">
        <v>8.1</v>
      </c>
      <c r="G7490" s="3">
        <v>79.0</v>
      </c>
    </row>
    <row r="7491">
      <c r="A7491" s="3">
        <v>175001.0</v>
      </c>
      <c r="B7491" s="3" t="s">
        <v>7518</v>
      </c>
      <c r="C7491" s="3" t="s">
        <v>8</v>
      </c>
      <c r="D7491" s="3">
        <v>402.0</v>
      </c>
      <c r="E7491" s="3">
        <v>3.8</v>
      </c>
      <c r="F7491" s="3">
        <v>7.9</v>
      </c>
      <c r="G7491" s="3">
        <v>84.1</v>
      </c>
    </row>
    <row r="7492">
      <c r="A7492" s="3">
        <v>175002.0</v>
      </c>
      <c r="B7492" s="3" t="s">
        <v>7519</v>
      </c>
      <c r="C7492" s="3" t="s">
        <v>8</v>
      </c>
      <c r="D7492" s="3">
        <v>305.0</v>
      </c>
      <c r="E7492" s="3">
        <v>8.4</v>
      </c>
      <c r="F7492" s="3">
        <v>5.9</v>
      </c>
      <c r="G7492" s="3">
        <v>51.0</v>
      </c>
    </row>
    <row r="7493">
      <c r="A7493" s="3">
        <v>175003.0</v>
      </c>
      <c r="B7493" s="3" t="s">
        <v>7520</v>
      </c>
      <c r="C7493" s="3" t="s">
        <v>8</v>
      </c>
      <c r="D7493" s="3">
        <v>321.0</v>
      </c>
      <c r="E7493" s="3">
        <v>10.2</v>
      </c>
      <c r="F7493" s="3">
        <v>7.4</v>
      </c>
      <c r="G7493" s="3">
        <v>49.1</v>
      </c>
    </row>
    <row r="7494">
      <c r="A7494" s="3">
        <v>175004.0</v>
      </c>
      <c r="B7494" s="3" t="s">
        <v>7521</v>
      </c>
      <c r="C7494" s="3" t="s">
        <v>8</v>
      </c>
      <c r="D7494" s="3">
        <v>346.0</v>
      </c>
      <c r="E7494" s="3">
        <v>11.3</v>
      </c>
      <c r="F7494" s="3">
        <v>5.3</v>
      </c>
      <c r="G7494" s="3">
        <v>57.9</v>
      </c>
    </row>
    <row r="7495">
      <c r="A7495" s="3">
        <v>175005.0</v>
      </c>
      <c r="B7495" s="3" t="s">
        <v>7522</v>
      </c>
      <c r="C7495" s="3" t="s">
        <v>8</v>
      </c>
      <c r="D7495" s="3">
        <v>316.0</v>
      </c>
      <c r="E7495" s="3">
        <v>12.3</v>
      </c>
      <c r="F7495" s="3">
        <v>7.1</v>
      </c>
      <c r="G7495" s="3">
        <v>44.2</v>
      </c>
    </row>
    <row r="7496">
      <c r="A7496" s="3">
        <v>175006.0</v>
      </c>
      <c r="B7496" s="3" t="s">
        <v>7523</v>
      </c>
      <c r="C7496" s="3" t="s">
        <v>8</v>
      </c>
      <c r="D7496" s="3">
        <v>194.0</v>
      </c>
      <c r="E7496" s="3">
        <v>2.5</v>
      </c>
      <c r="F7496" s="3">
        <v>5.2</v>
      </c>
      <c r="G7496" s="3">
        <v>36.7</v>
      </c>
    </row>
    <row r="7497">
      <c r="A7497" s="3">
        <v>175007.0</v>
      </c>
      <c r="B7497" s="3" t="s">
        <v>7524</v>
      </c>
      <c r="C7497" s="3" t="s">
        <v>8</v>
      </c>
      <c r="D7497" s="3">
        <v>355.0</v>
      </c>
      <c r="E7497" s="3">
        <v>1.7</v>
      </c>
      <c r="F7497" s="3">
        <v>10.0</v>
      </c>
      <c r="G7497" s="3">
        <v>73.6</v>
      </c>
    </row>
    <row r="7498">
      <c r="A7498" s="3">
        <v>175008.0</v>
      </c>
      <c r="B7498" s="3" t="s">
        <v>7525</v>
      </c>
      <c r="C7498" s="3" t="s">
        <v>8</v>
      </c>
      <c r="D7498" s="3">
        <v>218.0</v>
      </c>
      <c r="E7498" s="3">
        <v>7.7</v>
      </c>
      <c r="F7498" s="3">
        <v>7.8</v>
      </c>
      <c r="G7498" s="3">
        <v>28.9</v>
      </c>
    </row>
    <row r="7499">
      <c r="A7499" s="3">
        <v>175009.0</v>
      </c>
      <c r="B7499" s="3" t="s">
        <v>7526</v>
      </c>
      <c r="C7499" s="3" t="s">
        <v>8</v>
      </c>
      <c r="D7499" s="3">
        <v>227.0</v>
      </c>
      <c r="E7499" s="3">
        <v>9.7</v>
      </c>
      <c r="F7499" s="3">
        <v>6.4</v>
      </c>
      <c r="G7499" s="3">
        <v>28.3</v>
      </c>
    </row>
    <row r="7500">
      <c r="A7500" s="3">
        <v>175010.0</v>
      </c>
      <c r="B7500" s="3" t="s">
        <v>7527</v>
      </c>
      <c r="C7500" s="3" t="s">
        <v>8</v>
      </c>
      <c r="D7500" s="3">
        <v>208.0</v>
      </c>
      <c r="E7500" s="3">
        <v>6.5</v>
      </c>
      <c r="F7500" s="3">
        <v>8.5</v>
      </c>
      <c r="G7500" s="3">
        <v>29.4</v>
      </c>
    </row>
    <row r="7501">
      <c r="A7501" s="3">
        <v>175011.0</v>
      </c>
      <c r="B7501" s="3" t="s">
        <v>7528</v>
      </c>
      <c r="C7501" s="3" t="s">
        <v>8</v>
      </c>
      <c r="D7501" s="3">
        <v>237.0</v>
      </c>
      <c r="E7501" s="3">
        <v>11.0</v>
      </c>
      <c r="F7501" s="3">
        <v>1.9</v>
      </c>
      <c r="G7501" s="3">
        <v>34.0</v>
      </c>
    </row>
    <row r="7502">
      <c r="A7502" s="3">
        <v>175012.0</v>
      </c>
      <c r="B7502" s="3" t="s">
        <v>7529</v>
      </c>
      <c r="C7502" s="3" t="s">
        <v>8</v>
      </c>
      <c r="D7502" s="3">
        <v>265.0</v>
      </c>
      <c r="E7502" s="3">
        <v>12.5</v>
      </c>
      <c r="F7502" s="3">
        <v>2.4</v>
      </c>
      <c r="G7502" s="3">
        <v>37.1</v>
      </c>
    </row>
    <row r="7503">
      <c r="A7503" s="3">
        <v>175013.0</v>
      </c>
      <c r="B7503" s="3" t="s">
        <v>7530</v>
      </c>
      <c r="C7503" s="3" t="s">
        <v>8</v>
      </c>
      <c r="D7503" s="3">
        <v>251.0</v>
      </c>
      <c r="E7503" s="3">
        <v>12.9</v>
      </c>
      <c r="F7503" s="3">
        <v>3.4</v>
      </c>
      <c r="G7503" s="3">
        <v>31.6</v>
      </c>
    </row>
    <row r="7504">
      <c r="A7504" s="3">
        <v>175014.0</v>
      </c>
      <c r="B7504" s="3" t="s">
        <v>7531</v>
      </c>
      <c r="C7504" s="3" t="s">
        <v>8</v>
      </c>
      <c r="D7504" s="3">
        <v>353.0</v>
      </c>
      <c r="E7504" s="3">
        <v>22.41</v>
      </c>
      <c r="F7504" s="3">
        <v>4.15</v>
      </c>
      <c r="G7504" s="3">
        <v>38.44</v>
      </c>
    </row>
    <row r="7505">
      <c r="A7505" s="3">
        <v>175015.0</v>
      </c>
      <c r="B7505" s="3" t="s">
        <v>7532</v>
      </c>
      <c r="C7505" s="3" t="s">
        <v>8</v>
      </c>
      <c r="D7505" s="3">
        <v>260.0</v>
      </c>
      <c r="E7505" s="3">
        <v>15.4</v>
      </c>
      <c r="F7505" s="3">
        <v>3.5</v>
      </c>
      <c r="G7505" s="3">
        <v>29.6</v>
      </c>
    </row>
    <row r="7506">
      <c r="A7506" s="3">
        <v>175016.0</v>
      </c>
      <c r="B7506" s="3" t="s">
        <v>7533</v>
      </c>
      <c r="C7506" s="3" t="s">
        <v>8</v>
      </c>
      <c r="D7506" s="3">
        <v>298.0</v>
      </c>
      <c r="E7506" s="3">
        <v>16.6</v>
      </c>
      <c r="F7506" s="3">
        <v>2.1</v>
      </c>
      <c r="G7506" s="3">
        <v>37.3</v>
      </c>
    </row>
    <row r="7507">
      <c r="A7507" s="3">
        <v>175017.0</v>
      </c>
      <c r="B7507" s="3" t="s">
        <v>7534</v>
      </c>
      <c r="C7507" s="3" t="s">
        <v>8</v>
      </c>
      <c r="D7507" s="3">
        <v>276.0</v>
      </c>
      <c r="E7507" s="3">
        <v>17.6</v>
      </c>
      <c r="F7507" s="3">
        <v>2.8</v>
      </c>
      <c r="G7507" s="3">
        <v>28.5</v>
      </c>
    </row>
    <row r="7508">
      <c r="A7508" s="3">
        <v>175018.0</v>
      </c>
      <c r="B7508" s="3" t="s">
        <v>7535</v>
      </c>
      <c r="C7508" s="3" t="s">
        <v>8</v>
      </c>
      <c r="D7508" s="3">
        <v>285.0</v>
      </c>
      <c r="E7508" s="3">
        <v>12.9</v>
      </c>
      <c r="F7508" s="3">
        <v>3.8</v>
      </c>
      <c r="G7508" s="3">
        <v>39.1</v>
      </c>
    </row>
    <row r="7509">
      <c r="A7509" s="3">
        <v>175019.0</v>
      </c>
      <c r="B7509" s="3" t="s">
        <v>7536</v>
      </c>
      <c r="C7509" s="3" t="s">
        <v>8</v>
      </c>
      <c r="D7509" s="3">
        <v>289.0</v>
      </c>
      <c r="E7509" s="3">
        <v>10.8</v>
      </c>
      <c r="F7509" s="3">
        <v>2.6</v>
      </c>
      <c r="G7509" s="3">
        <v>48.0</v>
      </c>
    </row>
    <row r="7510">
      <c r="A7510" s="3">
        <v>175020.0</v>
      </c>
      <c r="B7510" s="3" t="s">
        <v>7537</v>
      </c>
      <c r="C7510" s="3" t="s">
        <v>8</v>
      </c>
      <c r="D7510" s="3">
        <v>224.0</v>
      </c>
      <c r="E7510" s="3">
        <v>10.0</v>
      </c>
      <c r="F7510" s="3">
        <v>1.9</v>
      </c>
      <c r="G7510" s="3">
        <v>32.9</v>
      </c>
    </row>
    <row r="7511">
      <c r="A7511" s="3">
        <v>175021.0</v>
      </c>
      <c r="B7511" s="3" t="s">
        <v>7538</v>
      </c>
      <c r="C7511" s="3" t="s">
        <v>8</v>
      </c>
      <c r="D7511" s="3">
        <v>407.0</v>
      </c>
      <c r="E7511" s="3">
        <v>16.69</v>
      </c>
      <c r="F7511" s="3">
        <v>4.5</v>
      </c>
      <c r="G7511" s="3">
        <v>59.61</v>
      </c>
    </row>
    <row r="7512">
      <c r="A7512" s="3">
        <v>175022.0</v>
      </c>
      <c r="B7512" s="3" t="s">
        <v>7539</v>
      </c>
      <c r="C7512" s="3" t="s">
        <v>8</v>
      </c>
      <c r="D7512" s="3">
        <v>518.0</v>
      </c>
      <c r="E7512" s="3">
        <v>31.4</v>
      </c>
      <c r="F7512" s="3">
        <v>6.9</v>
      </c>
      <c r="G7512" s="3">
        <v>52.1</v>
      </c>
    </row>
    <row r="7513">
      <c r="A7513" s="3">
        <v>175023.0</v>
      </c>
      <c r="B7513" s="3" t="s">
        <v>7540</v>
      </c>
      <c r="C7513" s="3" t="s">
        <v>8</v>
      </c>
      <c r="D7513" s="3">
        <v>501.0</v>
      </c>
      <c r="E7513" s="3">
        <v>30.4</v>
      </c>
      <c r="F7513" s="3">
        <v>6.7</v>
      </c>
      <c r="G7513" s="3">
        <v>50.4</v>
      </c>
    </row>
    <row r="7514">
      <c r="A7514" s="3">
        <v>175024.0</v>
      </c>
      <c r="B7514" s="3" t="s">
        <v>7541</v>
      </c>
      <c r="C7514" s="3" t="s">
        <v>8</v>
      </c>
      <c r="D7514" s="3">
        <v>457.0</v>
      </c>
      <c r="E7514" s="3">
        <v>26.07</v>
      </c>
      <c r="F7514" s="3">
        <v>6.16</v>
      </c>
      <c r="G7514" s="3">
        <v>48.62</v>
      </c>
    </row>
    <row r="7515">
      <c r="A7515" s="3">
        <v>175025.0</v>
      </c>
      <c r="B7515" s="3" t="s">
        <v>7542</v>
      </c>
      <c r="C7515" s="3" t="s">
        <v>8</v>
      </c>
      <c r="D7515" s="3">
        <v>508.0</v>
      </c>
      <c r="E7515" s="3">
        <v>28.59</v>
      </c>
      <c r="F7515" s="3">
        <v>6.5</v>
      </c>
      <c r="G7515" s="3">
        <v>56.24</v>
      </c>
    </row>
    <row r="7516">
      <c r="A7516" s="3">
        <v>175026.0</v>
      </c>
      <c r="B7516" s="3" t="s">
        <v>7543</v>
      </c>
      <c r="C7516" s="3" t="s">
        <v>8</v>
      </c>
      <c r="D7516" s="3">
        <v>527.0</v>
      </c>
      <c r="E7516" s="3">
        <v>34.6</v>
      </c>
      <c r="F7516" s="3">
        <v>6.4</v>
      </c>
      <c r="G7516" s="3">
        <v>47.5</v>
      </c>
    </row>
    <row r="7517">
      <c r="A7517" s="3">
        <v>175027.0</v>
      </c>
      <c r="B7517" s="3" t="s">
        <v>7544</v>
      </c>
      <c r="C7517" s="3" t="s">
        <v>8</v>
      </c>
      <c r="D7517" s="3">
        <v>307.0</v>
      </c>
      <c r="E7517" s="3">
        <v>6.4</v>
      </c>
      <c r="F7517" s="3">
        <v>9.5</v>
      </c>
      <c r="G7517" s="3">
        <v>52.0</v>
      </c>
    </row>
    <row r="7518">
      <c r="A7518" s="3">
        <v>175028.0</v>
      </c>
      <c r="B7518" s="3" t="s">
        <v>7545</v>
      </c>
      <c r="C7518" s="3" t="s">
        <v>8</v>
      </c>
      <c r="D7518" s="3">
        <v>236.0</v>
      </c>
      <c r="E7518" s="3">
        <v>4.6</v>
      </c>
      <c r="F7518" s="3">
        <v>9.5</v>
      </c>
      <c r="G7518" s="3">
        <v>40.2</v>
      </c>
    </row>
    <row r="7519">
      <c r="A7519" s="3">
        <v>175029.0</v>
      </c>
      <c r="B7519" s="3" t="s">
        <v>7546</v>
      </c>
      <c r="C7519" s="3" t="s">
        <v>8</v>
      </c>
      <c r="D7519" s="3">
        <v>286.0</v>
      </c>
      <c r="E7519" s="3">
        <v>3.4</v>
      </c>
      <c r="F7519" s="3">
        <v>10.3</v>
      </c>
      <c r="G7519" s="3">
        <v>53.1</v>
      </c>
    </row>
    <row r="7520">
      <c r="A7520" s="3">
        <v>175030.0</v>
      </c>
      <c r="B7520" s="3" t="s">
        <v>7547</v>
      </c>
      <c r="C7520" s="3" t="s">
        <v>8</v>
      </c>
      <c r="D7520" s="3">
        <v>273.0</v>
      </c>
      <c r="E7520" s="3">
        <v>6.3</v>
      </c>
      <c r="F7520" s="3">
        <v>8.6</v>
      </c>
      <c r="G7520" s="3">
        <v>46.0</v>
      </c>
    </row>
    <row r="7521">
      <c r="A7521" s="3">
        <v>175031.0</v>
      </c>
      <c r="B7521" s="3" t="s">
        <v>7548</v>
      </c>
      <c r="C7521" s="3" t="s">
        <v>8</v>
      </c>
      <c r="D7521" s="3">
        <v>293.0</v>
      </c>
      <c r="E7521" s="3">
        <v>4.3</v>
      </c>
      <c r="F7521" s="3">
        <v>9.9</v>
      </c>
      <c r="G7521" s="3">
        <v>52.7</v>
      </c>
    </row>
    <row r="7522">
      <c r="A7522" s="3">
        <v>175032.0</v>
      </c>
      <c r="B7522" s="3" t="s">
        <v>7549</v>
      </c>
      <c r="C7522" s="3" t="s">
        <v>8</v>
      </c>
      <c r="D7522" s="3">
        <v>274.0</v>
      </c>
      <c r="E7522" s="3">
        <v>11.2</v>
      </c>
      <c r="F7522" s="3">
        <v>3.3</v>
      </c>
      <c r="G7522" s="3">
        <v>41.1</v>
      </c>
    </row>
    <row r="7523">
      <c r="A7523" s="3">
        <v>175033.0</v>
      </c>
      <c r="B7523" s="3" t="s">
        <v>7550</v>
      </c>
      <c r="C7523" s="3" t="s">
        <v>8</v>
      </c>
      <c r="D7523" s="3">
        <v>360.0</v>
      </c>
      <c r="E7523" s="3">
        <v>18.3</v>
      </c>
      <c r="F7523" s="3">
        <v>7.1</v>
      </c>
      <c r="G7523" s="3">
        <v>43.7</v>
      </c>
    </row>
    <row r="7524">
      <c r="A7524" s="3">
        <v>175034.0</v>
      </c>
      <c r="B7524" s="3" t="s">
        <v>7551</v>
      </c>
      <c r="C7524" s="3" t="s">
        <v>8</v>
      </c>
      <c r="D7524" s="3">
        <v>372.0</v>
      </c>
      <c r="E7524" s="3">
        <v>16.4</v>
      </c>
      <c r="F7524" s="3">
        <v>6.2</v>
      </c>
      <c r="G7524" s="3">
        <v>50.9</v>
      </c>
    </row>
    <row r="7525">
      <c r="A7525" s="3">
        <v>175035.0</v>
      </c>
      <c r="B7525" s="3" t="s">
        <v>7552</v>
      </c>
      <c r="C7525" s="3" t="s">
        <v>8</v>
      </c>
      <c r="D7525" s="3">
        <v>388.0</v>
      </c>
      <c r="E7525" s="3">
        <v>9.95</v>
      </c>
      <c r="F7525" s="3">
        <v>4.2</v>
      </c>
      <c r="G7525" s="3">
        <v>70.32</v>
      </c>
    </row>
    <row r="7526">
      <c r="A7526" s="3">
        <v>175036.0</v>
      </c>
      <c r="B7526" s="3" t="s">
        <v>7553</v>
      </c>
      <c r="C7526" s="3" t="s">
        <v>8</v>
      </c>
      <c r="D7526" s="3">
        <v>218.0</v>
      </c>
      <c r="E7526" s="3">
        <v>2.85</v>
      </c>
      <c r="F7526" s="3">
        <v>5.7</v>
      </c>
      <c r="G7526" s="3">
        <v>44.64</v>
      </c>
    </row>
    <row r="7527">
      <c r="A7527" s="3">
        <v>175037.0</v>
      </c>
      <c r="B7527" s="3" t="s">
        <v>7554</v>
      </c>
      <c r="C7527" s="3" t="s">
        <v>8</v>
      </c>
      <c r="D7527" s="3">
        <v>306.0</v>
      </c>
      <c r="E7527" s="3">
        <v>7.99</v>
      </c>
      <c r="F7527" s="3">
        <v>8.2</v>
      </c>
      <c r="G7527" s="3">
        <v>49.38</v>
      </c>
    </row>
    <row r="7528">
      <c r="A7528" s="3">
        <v>175038.0</v>
      </c>
      <c r="B7528" s="3" t="s">
        <v>7555</v>
      </c>
      <c r="C7528" s="3" t="s">
        <v>8</v>
      </c>
      <c r="D7528" s="3">
        <v>285.0</v>
      </c>
      <c r="E7528" s="3">
        <v>9.7</v>
      </c>
      <c r="F7528" s="3">
        <v>6.47</v>
      </c>
      <c r="G7528" s="3">
        <v>42.98</v>
      </c>
    </row>
    <row r="7529">
      <c r="A7529" s="3">
        <v>175039.0</v>
      </c>
      <c r="B7529" s="3" t="s">
        <v>7556</v>
      </c>
      <c r="C7529" s="3" t="s">
        <v>8</v>
      </c>
      <c r="D7529" s="3">
        <v>291.0</v>
      </c>
      <c r="E7529" s="3">
        <v>14.1</v>
      </c>
      <c r="F7529" s="3">
        <v>7.9</v>
      </c>
      <c r="G7529" s="3">
        <v>32.9</v>
      </c>
    </row>
    <row r="7530">
      <c r="A7530" s="3">
        <v>175040.0</v>
      </c>
      <c r="B7530" s="3" t="s">
        <v>7557</v>
      </c>
      <c r="C7530" s="3" t="s">
        <v>8</v>
      </c>
      <c r="D7530" s="3">
        <v>0.0</v>
      </c>
      <c r="E7530" s="3">
        <v>0.0</v>
      </c>
      <c r="F7530" s="3">
        <v>0.0</v>
      </c>
      <c r="G7530" s="3">
        <v>0.0</v>
      </c>
    </row>
    <row r="7531">
      <c r="A7531" s="3">
        <v>175041.0</v>
      </c>
      <c r="B7531" s="3" t="s">
        <v>7558</v>
      </c>
      <c r="C7531" s="3" t="s">
        <v>8</v>
      </c>
      <c r="D7531" s="3">
        <v>258.0</v>
      </c>
      <c r="E7531" s="3">
        <v>0.0</v>
      </c>
      <c r="F7531" s="3">
        <v>0.0</v>
      </c>
      <c r="G7531" s="3">
        <v>61.5</v>
      </c>
    </row>
    <row r="7532">
      <c r="A7532" s="3">
        <v>175042.0</v>
      </c>
      <c r="B7532" s="3" t="s">
        <v>7559</v>
      </c>
      <c r="C7532" s="3" t="s">
        <v>8</v>
      </c>
      <c r="D7532" s="3">
        <v>105.0</v>
      </c>
      <c r="E7532" s="3">
        <v>1.9</v>
      </c>
      <c r="F7532" s="3">
        <v>8.4</v>
      </c>
      <c r="G7532" s="3">
        <v>18.1</v>
      </c>
    </row>
    <row r="7533">
      <c r="A7533" s="3">
        <v>175043.0</v>
      </c>
      <c r="B7533" s="3" t="s">
        <v>7560</v>
      </c>
      <c r="C7533" s="3" t="s">
        <v>8</v>
      </c>
      <c r="D7533" s="3">
        <v>325.0</v>
      </c>
      <c r="E7533" s="3">
        <v>7.61</v>
      </c>
      <c r="F7533" s="3">
        <v>40.44</v>
      </c>
      <c r="G7533" s="3">
        <v>41.22</v>
      </c>
    </row>
    <row r="7534">
      <c r="A7534" s="3">
        <v>175044.0</v>
      </c>
      <c r="B7534" s="3" t="s">
        <v>7561</v>
      </c>
      <c r="C7534" s="3" t="s">
        <v>8</v>
      </c>
      <c r="D7534" s="3">
        <v>264.0</v>
      </c>
      <c r="E7534" s="3">
        <v>5.0</v>
      </c>
      <c r="F7534" s="3">
        <v>9.7</v>
      </c>
      <c r="G7534" s="3">
        <v>47.3</v>
      </c>
    </row>
    <row r="7535">
      <c r="A7535" s="3">
        <v>175045.0</v>
      </c>
      <c r="B7535" s="3" t="s">
        <v>7562</v>
      </c>
      <c r="C7535" s="3" t="s">
        <v>8</v>
      </c>
      <c r="D7535" s="3">
        <v>333.0</v>
      </c>
      <c r="E7535" s="3">
        <v>10.1</v>
      </c>
      <c r="F7535" s="3">
        <v>4.9</v>
      </c>
      <c r="G7535" s="3">
        <v>56.7</v>
      </c>
    </row>
    <row r="7536">
      <c r="A7536" s="3">
        <v>175046.0</v>
      </c>
      <c r="B7536" s="3" t="s">
        <v>7563</v>
      </c>
      <c r="C7536" s="3" t="s">
        <v>8</v>
      </c>
      <c r="D7536" s="3">
        <v>313.0</v>
      </c>
      <c r="E7536" s="3">
        <v>9.4</v>
      </c>
      <c r="F7536" s="3">
        <v>5.5</v>
      </c>
      <c r="G7536" s="3">
        <v>55.5</v>
      </c>
    </row>
    <row r="7537">
      <c r="A7537" s="3">
        <v>175047.0</v>
      </c>
      <c r="B7537" s="3" t="s">
        <v>7564</v>
      </c>
      <c r="C7537" s="3" t="s">
        <v>8</v>
      </c>
      <c r="D7537" s="3">
        <v>227.0</v>
      </c>
      <c r="E7537" s="3">
        <v>9.3</v>
      </c>
      <c r="F7537" s="3">
        <v>6.8</v>
      </c>
      <c r="G7537" s="3">
        <v>28.7</v>
      </c>
    </row>
    <row r="7538">
      <c r="A7538" s="3">
        <v>175048.0</v>
      </c>
      <c r="B7538" s="3" t="s">
        <v>7565</v>
      </c>
      <c r="C7538" s="3" t="s">
        <v>8</v>
      </c>
      <c r="D7538" s="3">
        <v>312.0</v>
      </c>
      <c r="E7538" s="3">
        <v>9.61</v>
      </c>
      <c r="F7538" s="3">
        <v>7.19</v>
      </c>
      <c r="G7538" s="3">
        <v>49.29</v>
      </c>
    </row>
    <row r="7539">
      <c r="A7539" s="3">
        <v>175049.0</v>
      </c>
      <c r="B7539" s="3" t="s">
        <v>7566</v>
      </c>
      <c r="C7539" s="3" t="s">
        <v>8</v>
      </c>
      <c r="D7539" s="3">
        <v>275.0</v>
      </c>
      <c r="E7539" s="3">
        <v>1.6</v>
      </c>
      <c r="F7539" s="3">
        <v>10.5</v>
      </c>
      <c r="G7539" s="3">
        <v>53.4</v>
      </c>
    </row>
    <row r="7540">
      <c r="A7540" s="3">
        <v>175050.0</v>
      </c>
      <c r="B7540" s="3" t="s">
        <v>7567</v>
      </c>
      <c r="C7540" s="3" t="s">
        <v>8</v>
      </c>
      <c r="D7540" s="3">
        <v>275.0</v>
      </c>
      <c r="E7540" s="3">
        <v>1.6</v>
      </c>
      <c r="F7540" s="3">
        <v>10.5</v>
      </c>
      <c r="G7540" s="3">
        <v>53.4</v>
      </c>
    </row>
    <row r="7541">
      <c r="A7541" s="3">
        <v>175051.0</v>
      </c>
      <c r="B7541" s="3" t="s">
        <v>7568</v>
      </c>
      <c r="C7541" s="3" t="s">
        <v>8</v>
      </c>
      <c r="D7541" s="3">
        <v>275.0</v>
      </c>
      <c r="E7541" s="3">
        <v>1.6</v>
      </c>
      <c r="F7541" s="3">
        <v>10.5</v>
      </c>
      <c r="G7541" s="3">
        <v>53.4</v>
      </c>
    </row>
    <row r="7542">
      <c r="A7542" s="3">
        <v>175052.0</v>
      </c>
      <c r="B7542" s="3" t="s">
        <v>7569</v>
      </c>
      <c r="C7542" s="3" t="s">
        <v>8</v>
      </c>
      <c r="D7542" s="3">
        <v>418.0</v>
      </c>
      <c r="E7542" s="3">
        <v>23.3</v>
      </c>
      <c r="F7542" s="3">
        <v>6.8</v>
      </c>
      <c r="G7542" s="3">
        <v>46.7</v>
      </c>
    </row>
    <row r="7543">
      <c r="A7543" s="3">
        <v>175053.0</v>
      </c>
      <c r="B7543" s="3" t="s">
        <v>7570</v>
      </c>
      <c r="C7543" s="3" t="s">
        <v>8</v>
      </c>
      <c r="D7543" s="3">
        <v>389.0</v>
      </c>
      <c r="E7543" s="3">
        <v>17.9</v>
      </c>
      <c r="F7543" s="3">
        <v>5.2</v>
      </c>
      <c r="G7543" s="3">
        <v>52.5</v>
      </c>
    </row>
    <row r="7544">
      <c r="A7544" s="3">
        <v>175054.0</v>
      </c>
      <c r="B7544" s="3" t="s">
        <v>7571</v>
      </c>
      <c r="C7544" s="3" t="s">
        <v>8</v>
      </c>
      <c r="D7544" s="3">
        <v>423.0</v>
      </c>
      <c r="E7544" s="3">
        <v>9.5</v>
      </c>
      <c r="F7544" s="3">
        <v>3.9</v>
      </c>
      <c r="G7544" s="3">
        <v>81.0</v>
      </c>
    </row>
    <row r="7545">
      <c r="A7545" s="3">
        <v>175055.0</v>
      </c>
      <c r="B7545" s="3" t="s">
        <v>7572</v>
      </c>
      <c r="C7545" s="3" t="s">
        <v>8</v>
      </c>
      <c r="D7545" s="3">
        <v>432.0</v>
      </c>
      <c r="E7545" s="3">
        <v>11.6</v>
      </c>
      <c r="F7545" s="3">
        <v>4.4</v>
      </c>
      <c r="G7545" s="3">
        <v>78.1</v>
      </c>
    </row>
    <row r="7546">
      <c r="A7546" s="3">
        <v>175056.0</v>
      </c>
      <c r="B7546" s="3" t="s">
        <v>7573</v>
      </c>
      <c r="C7546" s="3" t="s">
        <v>8</v>
      </c>
      <c r="D7546" s="3">
        <v>421.0</v>
      </c>
      <c r="E7546" s="3">
        <v>8.85</v>
      </c>
      <c r="F7546" s="3">
        <v>9.5</v>
      </c>
      <c r="G7546" s="3">
        <v>74.34</v>
      </c>
    </row>
    <row r="7547">
      <c r="A7547" s="3">
        <v>175057.0</v>
      </c>
      <c r="B7547" s="3" t="s">
        <v>7574</v>
      </c>
      <c r="C7547" s="3" t="s">
        <v>8</v>
      </c>
      <c r="D7547" s="3">
        <v>434.0</v>
      </c>
      <c r="E7547" s="3">
        <v>11.8</v>
      </c>
      <c r="F7547" s="3">
        <v>9.2</v>
      </c>
      <c r="G7547" s="3">
        <v>71.5</v>
      </c>
    </row>
    <row r="7548">
      <c r="A7548" s="3">
        <v>175058.0</v>
      </c>
      <c r="B7548" s="3" t="s">
        <v>7575</v>
      </c>
      <c r="C7548" s="3" t="s">
        <v>8</v>
      </c>
      <c r="D7548" s="3">
        <v>502.0</v>
      </c>
      <c r="E7548" s="3">
        <v>25.3</v>
      </c>
      <c r="F7548" s="3">
        <v>7.4</v>
      </c>
      <c r="G7548" s="3">
        <v>61.0</v>
      </c>
    </row>
    <row r="7549">
      <c r="A7549" s="3">
        <v>175059.0</v>
      </c>
      <c r="B7549" s="3" t="s">
        <v>7576</v>
      </c>
      <c r="C7549" s="3" t="s">
        <v>8</v>
      </c>
      <c r="D7549" s="3">
        <v>473.0</v>
      </c>
      <c r="E7549" s="3">
        <v>20.6</v>
      </c>
      <c r="F7549" s="3">
        <v>8.6</v>
      </c>
      <c r="G7549" s="3">
        <v>64.9</v>
      </c>
    </row>
    <row r="7550">
      <c r="A7550" s="3">
        <v>175060.0</v>
      </c>
      <c r="B7550" s="3" t="s">
        <v>7577</v>
      </c>
      <c r="C7550" s="3" t="s">
        <v>8</v>
      </c>
      <c r="D7550" s="3">
        <v>503.0</v>
      </c>
      <c r="E7550" s="3">
        <v>25.3</v>
      </c>
      <c r="F7550" s="3">
        <v>10.1</v>
      </c>
      <c r="G7550" s="3">
        <v>58.2</v>
      </c>
    </row>
    <row r="7551">
      <c r="A7551" s="3">
        <v>175061.0</v>
      </c>
      <c r="B7551" s="3" t="s">
        <v>7578</v>
      </c>
      <c r="C7551" s="3" t="s">
        <v>8</v>
      </c>
      <c r="D7551" s="3">
        <v>371.0</v>
      </c>
      <c r="E7551" s="3">
        <v>18.5</v>
      </c>
      <c r="F7551" s="3">
        <v>5.4</v>
      </c>
      <c r="G7551" s="3">
        <v>47.8</v>
      </c>
    </row>
    <row r="7552">
      <c r="A7552" s="3">
        <v>175062.0</v>
      </c>
      <c r="B7552" s="3" t="s">
        <v>7579</v>
      </c>
      <c r="C7552" s="3" t="s">
        <v>8</v>
      </c>
      <c r="D7552" s="3">
        <v>403.0</v>
      </c>
      <c r="E7552" s="3">
        <v>22.8</v>
      </c>
      <c r="F7552" s="3">
        <v>6.4</v>
      </c>
      <c r="G7552" s="3">
        <v>44.3</v>
      </c>
    </row>
    <row r="7553">
      <c r="A7553" s="3">
        <v>175063.0</v>
      </c>
      <c r="B7553" s="3" t="s">
        <v>7580</v>
      </c>
      <c r="C7553" s="3" t="s">
        <v>8</v>
      </c>
      <c r="D7553" s="3">
        <v>235.0</v>
      </c>
      <c r="E7553" s="3">
        <v>1.8</v>
      </c>
      <c r="F7553" s="3">
        <v>7.7</v>
      </c>
      <c r="G7553" s="3">
        <v>46.0</v>
      </c>
    </row>
    <row r="7554">
      <c r="A7554" s="3">
        <v>175064.0</v>
      </c>
      <c r="B7554" s="3" t="s">
        <v>7581</v>
      </c>
      <c r="C7554" s="3" t="s">
        <v>8</v>
      </c>
      <c r="D7554" s="3">
        <v>316.0</v>
      </c>
      <c r="E7554" s="3">
        <v>16.1</v>
      </c>
      <c r="F7554" s="3">
        <v>3.0</v>
      </c>
      <c r="G7554" s="3">
        <v>42.6</v>
      </c>
    </row>
    <row r="7555">
      <c r="A7555" s="3">
        <v>175065.0</v>
      </c>
      <c r="B7555" s="3" t="s">
        <v>7582</v>
      </c>
      <c r="C7555" s="3" t="s">
        <v>8</v>
      </c>
      <c r="D7555" s="3">
        <v>457.0</v>
      </c>
      <c r="E7555" s="3">
        <v>29.2</v>
      </c>
      <c r="F7555" s="3">
        <v>3.9</v>
      </c>
      <c r="G7555" s="3">
        <v>44.1</v>
      </c>
    </row>
    <row r="7556">
      <c r="A7556" s="3">
        <v>175066.0</v>
      </c>
      <c r="B7556" s="3" t="s">
        <v>7583</v>
      </c>
      <c r="C7556" s="3" t="s">
        <v>8</v>
      </c>
      <c r="D7556" s="3">
        <v>371.0</v>
      </c>
      <c r="E7556" s="3">
        <v>4.3</v>
      </c>
      <c r="F7556" s="3">
        <v>10.4</v>
      </c>
      <c r="G7556" s="3">
        <v>71.0</v>
      </c>
    </row>
    <row r="7557">
      <c r="A7557" s="3">
        <v>175067.0</v>
      </c>
      <c r="B7557" s="3" t="s">
        <v>7584</v>
      </c>
      <c r="C7557" s="3" t="s">
        <v>8</v>
      </c>
      <c r="D7557" s="3">
        <v>468.0</v>
      </c>
      <c r="E7557" s="3">
        <v>22.6</v>
      </c>
      <c r="F7557" s="3">
        <v>7.2</v>
      </c>
      <c r="G7557" s="3">
        <v>62.4</v>
      </c>
    </row>
    <row r="7558">
      <c r="A7558" s="3">
        <v>175068.0</v>
      </c>
      <c r="B7558" s="3" t="s">
        <v>7585</v>
      </c>
      <c r="C7558" s="3" t="s">
        <v>8</v>
      </c>
      <c r="D7558" s="3">
        <v>393.0</v>
      </c>
      <c r="E7558" s="3">
        <v>1.6</v>
      </c>
      <c r="F7558" s="3">
        <v>10.5</v>
      </c>
      <c r="G7558" s="3">
        <v>82.3</v>
      </c>
    </row>
    <row r="7559">
      <c r="A7559" s="3">
        <v>175069.0</v>
      </c>
      <c r="B7559" s="3" t="s">
        <v>7586</v>
      </c>
      <c r="C7559" s="3" t="s">
        <v>8</v>
      </c>
      <c r="D7559" s="3">
        <v>372.0</v>
      </c>
      <c r="E7559" s="3">
        <v>5.99</v>
      </c>
      <c r="F7559" s="3">
        <v>3.99</v>
      </c>
      <c r="G7559" s="3">
        <v>76.8</v>
      </c>
    </row>
    <row r="7560">
      <c r="A7560" s="3">
        <v>175070.0</v>
      </c>
      <c r="B7560" s="3" t="s">
        <v>7587</v>
      </c>
      <c r="C7560" s="3" t="s">
        <v>8</v>
      </c>
      <c r="D7560" s="3">
        <v>442.0</v>
      </c>
      <c r="E7560" s="3">
        <v>20.92</v>
      </c>
      <c r="F7560" s="3">
        <v>5.54</v>
      </c>
      <c r="G7560" s="3">
        <v>67.2</v>
      </c>
    </row>
    <row r="7561">
      <c r="A7561" s="3">
        <v>175071.0</v>
      </c>
      <c r="B7561" s="3" t="s">
        <v>7588</v>
      </c>
      <c r="C7561" s="3" t="s">
        <v>8</v>
      </c>
      <c r="D7561" s="3">
        <v>497.0</v>
      </c>
      <c r="E7561" s="3">
        <v>24.4</v>
      </c>
      <c r="F7561" s="3">
        <v>4.28</v>
      </c>
      <c r="G7561" s="3">
        <v>65.02</v>
      </c>
    </row>
    <row r="7562">
      <c r="A7562" s="3">
        <v>175072.0</v>
      </c>
      <c r="B7562" s="3" t="s">
        <v>7589</v>
      </c>
      <c r="C7562" s="3" t="s">
        <v>8</v>
      </c>
      <c r="D7562" s="3">
        <v>435.0</v>
      </c>
      <c r="E7562" s="3">
        <v>16.53</v>
      </c>
      <c r="F7562" s="3">
        <v>4.89</v>
      </c>
      <c r="G7562" s="3">
        <v>66.76</v>
      </c>
    </row>
    <row r="7563">
      <c r="A7563" s="3">
        <v>175073.0</v>
      </c>
      <c r="B7563" s="3" t="s">
        <v>7590</v>
      </c>
      <c r="C7563" s="3" t="s">
        <v>8</v>
      </c>
      <c r="D7563" s="3">
        <v>403.0</v>
      </c>
      <c r="E7563" s="3">
        <v>12.06</v>
      </c>
      <c r="F7563" s="3">
        <v>4.25</v>
      </c>
      <c r="G7563" s="3">
        <v>69.41</v>
      </c>
    </row>
    <row r="7564">
      <c r="A7564" s="3">
        <v>175074.0</v>
      </c>
      <c r="B7564" s="3" t="s">
        <v>7591</v>
      </c>
      <c r="C7564" s="3" t="s">
        <v>8</v>
      </c>
      <c r="D7564" s="3">
        <v>421.0</v>
      </c>
      <c r="E7564" s="3">
        <v>14.08</v>
      </c>
      <c r="F7564" s="3">
        <v>5.48</v>
      </c>
      <c r="G7564" s="3">
        <v>68.17</v>
      </c>
    </row>
    <row r="7565">
      <c r="A7565" s="3">
        <v>175075.0</v>
      </c>
      <c r="B7565" s="3" t="s">
        <v>7592</v>
      </c>
      <c r="C7565" s="3" t="s">
        <v>8</v>
      </c>
      <c r="D7565" s="3">
        <v>406.0</v>
      </c>
      <c r="E7565" s="3">
        <v>12.08</v>
      </c>
      <c r="F7565" s="3">
        <v>5.17</v>
      </c>
      <c r="G7565" s="3">
        <v>69.27</v>
      </c>
    </row>
    <row r="7566">
      <c r="A7566" s="3">
        <v>175076.0</v>
      </c>
      <c r="B7566" s="3" t="s">
        <v>7593</v>
      </c>
      <c r="C7566" s="3" t="s">
        <v>8</v>
      </c>
      <c r="D7566" s="3">
        <v>400.0</v>
      </c>
      <c r="E7566" s="3">
        <v>13.26</v>
      </c>
      <c r="F7566" s="3">
        <v>4.35</v>
      </c>
      <c r="G7566" s="3">
        <v>65.92</v>
      </c>
    </row>
    <row r="7567">
      <c r="A7567" s="3">
        <v>175077.0</v>
      </c>
      <c r="B7567" s="3" t="s">
        <v>7594</v>
      </c>
      <c r="C7567" s="3" t="s">
        <v>8</v>
      </c>
      <c r="D7567" s="3">
        <v>424.0</v>
      </c>
      <c r="E7567" s="3">
        <v>11.14</v>
      </c>
      <c r="F7567" s="3">
        <v>4.67</v>
      </c>
      <c r="G7567" s="3">
        <v>76.23</v>
      </c>
    </row>
    <row r="7568">
      <c r="A7568" s="3">
        <v>175078.0</v>
      </c>
      <c r="B7568" s="3" t="s">
        <v>7595</v>
      </c>
      <c r="C7568" s="3" t="s">
        <v>8</v>
      </c>
      <c r="D7568" s="3">
        <v>407.0</v>
      </c>
      <c r="E7568" s="3">
        <v>8.7</v>
      </c>
      <c r="F7568" s="3">
        <v>4.7</v>
      </c>
      <c r="G7568" s="3">
        <v>77.45</v>
      </c>
    </row>
    <row r="7569">
      <c r="A7569" s="3">
        <v>175079.0</v>
      </c>
      <c r="B7569" s="3" t="s">
        <v>7596</v>
      </c>
      <c r="C7569" s="3" t="s">
        <v>8</v>
      </c>
      <c r="D7569" s="3">
        <v>381.0</v>
      </c>
      <c r="E7569" s="3">
        <v>4.1</v>
      </c>
      <c r="F7569" s="3">
        <v>12.6</v>
      </c>
      <c r="G7569" s="3">
        <v>73.1</v>
      </c>
    </row>
    <row r="7570">
      <c r="A7570" s="3">
        <v>175080.0</v>
      </c>
      <c r="B7570" s="3" t="s">
        <v>7597</v>
      </c>
      <c r="C7570" s="3" t="s">
        <v>8</v>
      </c>
      <c r="D7570" s="3">
        <v>407.0</v>
      </c>
      <c r="E7570" s="3">
        <v>6.16</v>
      </c>
      <c r="F7570" s="3">
        <v>4.42</v>
      </c>
      <c r="G7570" s="3">
        <v>83.58</v>
      </c>
    </row>
    <row r="7571">
      <c r="A7571" s="3">
        <v>175081.0</v>
      </c>
      <c r="B7571" s="3" t="s">
        <v>7598</v>
      </c>
      <c r="C7571" s="3" t="s">
        <v>8</v>
      </c>
      <c r="D7571" s="3">
        <v>388.0</v>
      </c>
      <c r="E7571" s="3">
        <v>13.23</v>
      </c>
      <c r="F7571" s="3">
        <v>7.81</v>
      </c>
      <c r="G7571" s="3">
        <v>59.41</v>
      </c>
    </row>
    <row r="7572">
      <c r="A7572" s="3">
        <v>175082.0</v>
      </c>
      <c r="B7572" s="3" t="s">
        <v>7599</v>
      </c>
      <c r="C7572" s="3" t="s">
        <v>8</v>
      </c>
      <c r="D7572" s="3">
        <v>287.0</v>
      </c>
      <c r="E7572" s="3">
        <v>6.0</v>
      </c>
      <c r="F7572" s="3">
        <v>8.7</v>
      </c>
      <c r="G7572" s="3">
        <v>49.6</v>
      </c>
    </row>
    <row r="7573">
      <c r="A7573" s="3">
        <v>175083.0</v>
      </c>
      <c r="B7573" s="3" t="s">
        <v>7600</v>
      </c>
      <c r="C7573" s="3" t="s">
        <v>8</v>
      </c>
      <c r="D7573" s="3">
        <v>424.0</v>
      </c>
      <c r="E7573" s="3">
        <v>10.0</v>
      </c>
      <c r="F7573" s="3">
        <v>6.99</v>
      </c>
      <c r="G7573" s="3">
        <v>76.2</v>
      </c>
    </row>
    <row r="7574">
      <c r="A7574" s="3">
        <v>175084.0</v>
      </c>
      <c r="B7574" s="3" t="s">
        <v>7601</v>
      </c>
      <c r="C7574" s="3" t="s">
        <v>8</v>
      </c>
      <c r="D7574" s="3">
        <v>476.0</v>
      </c>
      <c r="E7574" s="3">
        <v>21.5</v>
      </c>
      <c r="F7574" s="3">
        <v>4.78</v>
      </c>
      <c r="G7574" s="3">
        <v>70.23</v>
      </c>
    </row>
    <row r="7575">
      <c r="A7575" s="3">
        <v>175085.0</v>
      </c>
      <c r="B7575" s="3" t="s">
        <v>7602</v>
      </c>
      <c r="C7575" s="3" t="s">
        <v>189</v>
      </c>
      <c r="D7575" s="3">
        <v>158.0</v>
      </c>
      <c r="E7575" s="3">
        <v>3.19</v>
      </c>
      <c r="F7575" s="3">
        <v>30.21</v>
      </c>
      <c r="G7575" s="3">
        <v>0.0</v>
      </c>
    </row>
    <row r="7576">
      <c r="A7576" s="3">
        <v>175086.0</v>
      </c>
      <c r="B7576" s="3" t="s">
        <v>7603</v>
      </c>
      <c r="C7576" s="3" t="s">
        <v>189</v>
      </c>
      <c r="D7576" s="3">
        <v>133.0</v>
      </c>
      <c r="E7576" s="3">
        <v>4.6</v>
      </c>
      <c r="F7576" s="3">
        <v>21.39</v>
      </c>
      <c r="G7576" s="3">
        <v>0.0</v>
      </c>
    </row>
    <row r="7577">
      <c r="A7577" s="3">
        <v>175087.0</v>
      </c>
      <c r="B7577" s="3" t="s">
        <v>7604</v>
      </c>
      <c r="C7577" s="3" t="s">
        <v>189</v>
      </c>
      <c r="D7577" s="3">
        <v>175.0</v>
      </c>
      <c r="E7577" s="3">
        <v>6.05</v>
      </c>
      <c r="F7577" s="3">
        <v>28.14</v>
      </c>
      <c r="G7577" s="3">
        <v>0.0</v>
      </c>
    </row>
    <row r="7578">
      <c r="A7578" s="3">
        <v>175088.0</v>
      </c>
      <c r="B7578" s="3" t="s">
        <v>7605</v>
      </c>
      <c r="C7578" s="3" t="s">
        <v>183</v>
      </c>
      <c r="D7578" s="3">
        <v>345.0</v>
      </c>
      <c r="E7578" s="3">
        <v>0.18</v>
      </c>
      <c r="F7578" s="3">
        <v>7.4</v>
      </c>
      <c r="G7578" s="3">
        <v>78.52</v>
      </c>
    </row>
    <row r="7579">
      <c r="A7579" s="3">
        <v>175089.0</v>
      </c>
      <c r="B7579" s="3" t="s">
        <v>7606</v>
      </c>
      <c r="C7579" s="3" t="s">
        <v>183</v>
      </c>
      <c r="D7579" s="3">
        <v>401.0</v>
      </c>
      <c r="E7579" s="3">
        <v>0.73</v>
      </c>
      <c r="F7579" s="3">
        <v>0.12</v>
      </c>
      <c r="G7579" s="3">
        <v>98.55</v>
      </c>
    </row>
    <row r="7580">
      <c r="A7580" s="3">
        <v>175090.0</v>
      </c>
      <c r="B7580" s="3" t="s">
        <v>7607</v>
      </c>
      <c r="C7580" s="3" t="s">
        <v>183</v>
      </c>
      <c r="D7580" s="3">
        <v>35.0</v>
      </c>
      <c r="E7580" s="3">
        <v>0.06</v>
      </c>
      <c r="F7580" s="3">
        <v>0.01</v>
      </c>
      <c r="G7580" s="3">
        <v>8.61</v>
      </c>
    </row>
    <row r="7581">
      <c r="A7581" s="3">
        <v>175091.0</v>
      </c>
      <c r="B7581" s="3" t="s">
        <v>7608</v>
      </c>
      <c r="C7581" s="3" t="s">
        <v>183</v>
      </c>
      <c r="D7581" s="3">
        <v>338.0</v>
      </c>
      <c r="E7581" s="3">
        <v>0.6</v>
      </c>
      <c r="F7581" s="3">
        <v>3.3</v>
      </c>
      <c r="G7581" s="3">
        <v>85.4</v>
      </c>
    </row>
    <row r="7582">
      <c r="A7582" s="3">
        <v>175092.0</v>
      </c>
      <c r="B7582" s="3" t="s">
        <v>7609</v>
      </c>
      <c r="C7582" s="3" t="s">
        <v>183</v>
      </c>
      <c r="D7582" s="3">
        <v>29.0</v>
      </c>
      <c r="E7582" s="3">
        <v>0.23</v>
      </c>
      <c r="F7582" s="3">
        <v>1.21</v>
      </c>
      <c r="G7582" s="3">
        <v>5.61</v>
      </c>
    </row>
    <row r="7583">
      <c r="A7583" s="3">
        <v>175093.0</v>
      </c>
      <c r="B7583" s="3" t="s">
        <v>7610</v>
      </c>
      <c r="C7583" s="3" t="s">
        <v>183</v>
      </c>
      <c r="D7583" s="3">
        <v>37.0</v>
      </c>
      <c r="E7583" s="3">
        <v>0.02</v>
      </c>
      <c r="F7583" s="3">
        <v>0.07</v>
      </c>
      <c r="G7583" s="3">
        <v>9.56</v>
      </c>
    </row>
    <row r="7584">
      <c r="A7584" s="3">
        <v>175094.0</v>
      </c>
      <c r="B7584" s="3" t="s">
        <v>7611</v>
      </c>
      <c r="C7584" s="3" t="s">
        <v>183</v>
      </c>
      <c r="D7584" s="3">
        <v>175.0</v>
      </c>
      <c r="E7584" s="3">
        <v>0.7</v>
      </c>
      <c r="F7584" s="3">
        <v>0.3</v>
      </c>
      <c r="G7584" s="3">
        <v>43.1</v>
      </c>
    </row>
    <row r="7585">
      <c r="A7585" s="3">
        <v>175095.0</v>
      </c>
      <c r="B7585" s="3" t="s">
        <v>7612</v>
      </c>
      <c r="C7585" s="3" t="s">
        <v>183</v>
      </c>
      <c r="D7585" s="3">
        <v>42.0</v>
      </c>
      <c r="E7585" s="3">
        <v>0.17</v>
      </c>
      <c r="F7585" s="3">
        <v>0.07</v>
      </c>
      <c r="G7585" s="3">
        <v>11.4</v>
      </c>
    </row>
    <row r="7586">
      <c r="A7586" s="3">
        <v>175096.0</v>
      </c>
      <c r="B7586" s="3" t="s">
        <v>7613</v>
      </c>
      <c r="C7586" s="3" t="s">
        <v>183</v>
      </c>
      <c r="D7586" s="3">
        <v>0.0</v>
      </c>
      <c r="E7586" s="3">
        <v>0.0</v>
      </c>
      <c r="F7586" s="3">
        <v>0.0</v>
      </c>
      <c r="G7586" s="3">
        <v>0.0</v>
      </c>
    </row>
    <row r="7587">
      <c r="A7587" s="3">
        <v>175097.0</v>
      </c>
      <c r="B7587" s="3" t="s">
        <v>7614</v>
      </c>
      <c r="C7587" s="3" t="s">
        <v>183</v>
      </c>
      <c r="D7587" s="3">
        <v>336.0</v>
      </c>
      <c r="E7587" s="3">
        <v>0.3</v>
      </c>
      <c r="F7587" s="3">
        <v>0.1</v>
      </c>
      <c r="G7587" s="3">
        <v>46.8</v>
      </c>
    </row>
    <row r="7588">
      <c r="A7588" s="3">
        <v>175098.0</v>
      </c>
      <c r="B7588" s="3" t="s">
        <v>7615</v>
      </c>
      <c r="C7588" s="3" t="s">
        <v>183</v>
      </c>
      <c r="D7588" s="3">
        <v>327.0</v>
      </c>
      <c r="E7588" s="3">
        <v>15.7</v>
      </c>
      <c r="F7588" s="3">
        <v>2.8</v>
      </c>
      <c r="G7588" s="3">
        <v>20.9</v>
      </c>
    </row>
    <row r="7589">
      <c r="A7589" s="3">
        <v>175099.0</v>
      </c>
      <c r="B7589" s="3" t="s">
        <v>7616</v>
      </c>
      <c r="C7589" s="3" t="s">
        <v>183</v>
      </c>
      <c r="D7589" s="3">
        <v>2.0</v>
      </c>
      <c r="E7589" s="3">
        <v>0.03</v>
      </c>
      <c r="F7589" s="3">
        <v>0.11</v>
      </c>
      <c r="G7589" s="3">
        <v>0.29</v>
      </c>
    </row>
    <row r="7590">
      <c r="A7590" s="3">
        <v>175100.0</v>
      </c>
      <c r="B7590" s="3" t="s">
        <v>7617</v>
      </c>
      <c r="C7590" s="3" t="s">
        <v>183</v>
      </c>
      <c r="D7590" s="3">
        <v>153.0</v>
      </c>
      <c r="E7590" s="3">
        <v>0.0</v>
      </c>
      <c r="F7590" s="3">
        <v>0.4</v>
      </c>
      <c r="G7590" s="3">
        <v>39.0</v>
      </c>
    </row>
    <row r="7591">
      <c r="A7591" s="3">
        <v>175101.0</v>
      </c>
      <c r="B7591" s="3" t="s">
        <v>7618</v>
      </c>
      <c r="C7591" s="3" t="s">
        <v>183</v>
      </c>
      <c r="D7591" s="3">
        <v>45.0</v>
      </c>
      <c r="E7591" s="3">
        <v>0.0</v>
      </c>
      <c r="F7591" s="3">
        <v>0.12</v>
      </c>
      <c r="G7591" s="3">
        <v>11.32</v>
      </c>
    </row>
    <row r="7592">
      <c r="A7592" s="3">
        <v>175102.0</v>
      </c>
      <c r="B7592" s="3" t="s">
        <v>7619</v>
      </c>
      <c r="C7592" s="3" t="s">
        <v>183</v>
      </c>
      <c r="D7592" s="3">
        <v>113.0</v>
      </c>
      <c r="E7592" s="3">
        <v>2.8</v>
      </c>
      <c r="F7592" s="3">
        <v>3.4</v>
      </c>
      <c r="G7592" s="3">
        <v>18.9</v>
      </c>
    </row>
    <row r="7593">
      <c r="A7593" s="3">
        <v>175103.0</v>
      </c>
      <c r="B7593" s="3" t="s">
        <v>7620</v>
      </c>
      <c r="C7593" s="3" t="s">
        <v>183</v>
      </c>
      <c r="D7593" s="3">
        <v>0.0</v>
      </c>
      <c r="E7593" s="3">
        <v>0.0</v>
      </c>
      <c r="F7593" s="3">
        <v>0.0</v>
      </c>
      <c r="G7593" s="3">
        <v>0.0</v>
      </c>
    </row>
    <row r="7594">
      <c r="A7594" s="3">
        <v>175104.0</v>
      </c>
      <c r="B7594" s="3" t="s">
        <v>7621</v>
      </c>
      <c r="C7594" s="3" t="s">
        <v>183</v>
      </c>
      <c r="D7594" s="3">
        <v>0.0</v>
      </c>
      <c r="E7594" s="3">
        <v>0.0</v>
      </c>
      <c r="F7594" s="3">
        <v>0.0</v>
      </c>
      <c r="G7594" s="3">
        <v>0.0</v>
      </c>
    </row>
    <row r="7595">
      <c r="A7595" s="3">
        <v>175105.0</v>
      </c>
      <c r="B7595" s="3" t="s">
        <v>7622</v>
      </c>
      <c r="C7595" s="3" t="s">
        <v>183</v>
      </c>
      <c r="D7595" s="3">
        <v>53.0</v>
      </c>
      <c r="E7595" s="3">
        <v>0.0</v>
      </c>
      <c r="F7595" s="3">
        <v>0.0</v>
      </c>
      <c r="G7595" s="3">
        <v>13.2</v>
      </c>
    </row>
    <row r="7596">
      <c r="A7596" s="3">
        <v>175106.0</v>
      </c>
      <c r="B7596" s="3" t="s">
        <v>7623</v>
      </c>
      <c r="C7596" s="3" t="s">
        <v>183</v>
      </c>
      <c r="D7596" s="3">
        <v>0.0</v>
      </c>
      <c r="E7596" s="3">
        <v>0.0</v>
      </c>
      <c r="F7596" s="3">
        <v>0.0</v>
      </c>
      <c r="G7596" s="3">
        <v>0.0</v>
      </c>
    </row>
    <row r="7597">
      <c r="A7597" s="3">
        <v>175107.0</v>
      </c>
      <c r="B7597" s="3" t="s">
        <v>7624</v>
      </c>
      <c r="C7597" s="3" t="s">
        <v>183</v>
      </c>
      <c r="D7597" s="3">
        <v>0.0</v>
      </c>
      <c r="E7597" s="3">
        <v>0.0</v>
      </c>
      <c r="F7597" s="3">
        <v>0.0</v>
      </c>
      <c r="G7597" s="3">
        <v>0.0</v>
      </c>
    </row>
    <row r="7598">
      <c r="A7598" s="3">
        <v>175108.0</v>
      </c>
      <c r="B7598" s="3" t="s">
        <v>7625</v>
      </c>
      <c r="C7598" s="3" t="s">
        <v>183</v>
      </c>
      <c r="D7598" s="3">
        <v>32.0</v>
      </c>
      <c r="E7598" s="3">
        <v>0.05</v>
      </c>
      <c r="F7598" s="3">
        <v>0.0</v>
      </c>
      <c r="G7598" s="3">
        <v>7.84</v>
      </c>
    </row>
    <row r="7599">
      <c r="A7599" s="3">
        <v>175109.0</v>
      </c>
      <c r="B7599" s="3" t="s">
        <v>7626</v>
      </c>
      <c r="C7599" s="3" t="s">
        <v>183</v>
      </c>
      <c r="D7599" s="3">
        <v>5.0</v>
      </c>
      <c r="E7599" s="3">
        <v>0.0</v>
      </c>
      <c r="F7599" s="3">
        <v>0.0</v>
      </c>
      <c r="G7599" s="3">
        <v>1.14</v>
      </c>
    </row>
    <row r="7600">
      <c r="A7600" s="3">
        <v>175110.0</v>
      </c>
      <c r="B7600" s="3" t="s">
        <v>7627</v>
      </c>
      <c r="C7600" s="3" t="s">
        <v>183</v>
      </c>
      <c r="D7600" s="3">
        <v>39.0</v>
      </c>
      <c r="E7600" s="3">
        <v>0.0</v>
      </c>
      <c r="F7600" s="3">
        <v>0.0</v>
      </c>
      <c r="G7600" s="3">
        <v>9.77</v>
      </c>
    </row>
    <row r="7601">
      <c r="A7601" s="3">
        <v>175111.0</v>
      </c>
      <c r="B7601" s="3" t="s">
        <v>7628</v>
      </c>
      <c r="C7601" s="3" t="s">
        <v>183</v>
      </c>
      <c r="D7601" s="3">
        <v>35.0</v>
      </c>
      <c r="E7601" s="3">
        <v>0.0</v>
      </c>
      <c r="F7601" s="3">
        <v>0.0</v>
      </c>
      <c r="G7601" s="3">
        <v>8.81</v>
      </c>
    </row>
    <row r="7602">
      <c r="A7602" s="3">
        <v>175112.0</v>
      </c>
      <c r="B7602" s="3" t="s">
        <v>7629</v>
      </c>
      <c r="C7602" s="3" t="s">
        <v>183</v>
      </c>
      <c r="D7602" s="3">
        <v>152.0</v>
      </c>
      <c r="E7602" s="3">
        <v>0.0</v>
      </c>
      <c r="F7602" s="3">
        <v>0.2</v>
      </c>
      <c r="G7602" s="3">
        <v>11.67</v>
      </c>
    </row>
    <row r="7603">
      <c r="A7603" s="3">
        <v>175113.0</v>
      </c>
      <c r="B7603" s="3" t="s">
        <v>7630</v>
      </c>
      <c r="C7603" s="3" t="s">
        <v>183</v>
      </c>
      <c r="D7603" s="3">
        <v>0.0</v>
      </c>
      <c r="E7603" s="3">
        <v>0.0</v>
      </c>
      <c r="F7603" s="3">
        <v>0.0</v>
      </c>
      <c r="G7603" s="3">
        <v>0.1</v>
      </c>
    </row>
    <row r="7604">
      <c r="A7604" s="3">
        <v>175114.0</v>
      </c>
      <c r="B7604" s="3" t="s">
        <v>7631</v>
      </c>
      <c r="C7604" s="3" t="s">
        <v>183</v>
      </c>
      <c r="D7604" s="3">
        <v>359.0</v>
      </c>
      <c r="E7604" s="3">
        <v>3.0</v>
      </c>
      <c r="F7604" s="3">
        <v>25.1</v>
      </c>
      <c r="G7604" s="3">
        <v>58.0</v>
      </c>
    </row>
    <row r="7605">
      <c r="A7605" s="3">
        <v>175115.0</v>
      </c>
      <c r="B7605" s="3" t="s">
        <v>7632</v>
      </c>
      <c r="C7605" s="3" t="s">
        <v>183</v>
      </c>
      <c r="D7605" s="3">
        <v>37.0</v>
      </c>
      <c r="E7605" s="3">
        <v>0.01</v>
      </c>
      <c r="F7605" s="3">
        <v>0.0</v>
      </c>
      <c r="G7605" s="3">
        <v>9.47</v>
      </c>
    </row>
    <row r="7606">
      <c r="A7606" s="3">
        <v>175116.0</v>
      </c>
      <c r="B7606" s="3" t="s">
        <v>7633</v>
      </c>
      <c r="C7606" s="3" t="s">
        <v>252</v>
      </c>
      <c r="D7606" s="3">
        <v>158.0</v>
      </c>
      <c r="E7606" s="3">
        <v>9.04</v>
      </c>
      <c r="F7606" s="3">
        <v>17.96</v>
      </c>
      <c r="G7606" s="3">
        <v>0.0</v>
      </c>
    </row>
    <row r="7607">
      <c r="A7607" s="3">
        <v>175117.0</v>
      </c>
      <c r="B7607" s="3" t="s">
        <v>7634</v>
      </c>
      <c r="C7607" s="3" t="s">
        <v>252</v>
      </c>
      <c r="D7607" s="3">
        <v>203.0</v>
      </c>
      <c r="E7607" s="3">
        <v>11.59</v>
      </c>
      <c r="F7607" s="3">
        <v>23.03</v>
      </c>
      <c r="G7607" s="3">
        <v>0.0</v>
      </c>
    </row>
    <row r="7608">
      <c r="A7608" s="3">
        <v>175118.0</v>
      </c>
      <c r="B7608" s="3" t="s">
        <v>7635</v>
      </c>
      <c r="C7608" s="3" t="s">
        <v>252</v>
      </c>
      <c r="D7608" s="3">
        <v>262.0</v>
      </c>
      <c r="E7608" s="3">
        <v>18.0</v>
      </c>
      <c r="F7608" s="3">
        <v>14.19</v>
      </c>
      <c r="G7608" s="3">
        <v>9.64</v>
      </c>
    </row>
    <row r="7609">
      <c r="A7609" s="3">
        <v>175119.0</v>
      </c>
      <c r="B7609" s="3" t="s">
        <v>7636</v>
      </c>
      <c r="C7609" s="3" t="s">
        <v>252</v>
      </c>
      <c r="D7609" s="3">
        <v>205.0</v>
      </c>
      <c r="E7609" s="3">
        <v>13.89</v>
      </c>
      <c r="F7609" s="3">
        <v>18.6</v>
      </c>
      <c r="G7609" s="3">
        <v>0.0</v>
      </c>
    </row>
    <row r="7610">
      <c r="A7610" s="3">
        <v>175120.0</v>
      </c>
      <c r="B7610" s="3" t="s">
        <v>7637</v>
      </c>
      <c r="C7610" s="3" t="s">
        <v>252</v>
      </c>
      <c r="D7610" s="3">
        <v>262.0</v>
      </c>
      <c r="E7610" s="3">
        <v>17.81</v>
      </c>
      <c r="F7610" s="3">
        <v>23.85</v>
      </c>
      <c r="G7610" s="3">
        <v>0.0</v>
      </c>
    </row>
    <row r="7611">
      <c r="A7611" s="3">
        <v>175121.0</v>
      </c>
      <c r="B7611" s="3" t="s">
        <v>7638</v>
      </c>
      <c r="C7611" s="3" t="s">
        <v>252</v>
      </c>
      <c r="D7611" s="3">
        <v>156.0</v>
      </c>
      <c r="E7611" s="3">
        <v>6.3</v>
      </c>
      <c r="F7611" s="3">
        <v>23.19</v>
      </c>
      <c r="G7611" s="3">
        <v>0.0</v>
      </c>
    </row>
    <row r="7612">
      <c r="A7612" s="3">
        <v>175122.0</v>
      </c>
      <c r="B7612" s="3" t="s">
        <v>7639</v>
      </c>
      <c r="C7612" s="3" t="s">
        <v>252</v>
      </c>
      <c r="D7612" s="3">
        <v>105.0</v>
      </c>
      <c r="E7612" s="3">
        <v>2.0</v>
      </c>
      <c r="F7612" s="3">
        <v>20.28</v>
      </c>
      <c r="G7612" s="3">
        <v>0.0</v>
      </c>
    </row>
    <row r="7613">
      <c r="A7613" s="3">
        <v>175123.0</v>
      </c>
      <c r="B7613" s="3" t="s">
        <v>7640</v>
      </c>
      <c r="C7613" s="3" t="s">
        <v>252</v>
      </c>
      <c r="D7613" s="3">
        <v>117.0</v>
      </c>
      <c r="E7613" s="3">
        <v>3.79</v>
      </c>
      <c r="F7613" s="3">
        <v>19.35</v>
      </c>
      <c r="G7613" s="3">
        <v>0.0</v>
      </c>
    </row>
    <row r="7614">
      <c r="A7614" s="3">
        <v>175124.0</v>
      </c>
      <c r="B7614" s="3" t="s">
        <v>7641</v>
      </c>
      <c r="C7614" s="3" t="s">
        <v>252</v>
      </c>
      <c r="D7614" s="3">
        <v>150.0</v>
      </c>
      <c r="E7614" s="3">
        <v>4.86</v>
      </c>
      <c r="F7614" s="3">
        <v>24.81</v>
      </c>
      <c r="G7614" s="3">
        <v>0.0</v>
      </c>
    </row>
    <row r="7615">
      <c r="A7615" s="3">
        <v>175125.0</v>
      </c>
      <c r="B7615" s="3" t="s">
        <v>7642</v>
      </c>
      <c r="C7615" s="3" t="s">
        <v>252</v>
      </c>
      <c r="D7615" s="3">
        <v>79.0</v>
      </c>
      <c r="E7615" s="3">
        <v>1.54</v>
      </c>
      <c r="F7615" s="3">
        <v>15.31</v>
      </c>
      <c r="G7615" s="3">
        <v>0.0</v>
      </c>
    </row>
    <row r="7616">
      <c r="A7616" s="3">
        <v>175126.0</v>
      </c>
      <c r="B7616" s="3" t="s">
        <v>7643</v>
      </c>
      <c r="C7616" s="3" t="s">
        <v>252</v>
      </c>
      <c r="D7616" s="3">
        <v>96.0</v>
      </c>
      <c r="E7616" s="3">
        <v>1.87</v>
      </c>
      <c r="F7616" s="3">
        <v>18.51</v>
      </c>
      <c r="G7616" s="3">
        <v>0.0</v>
      </c>
    </row>
    <row r="7617">
      <c r="A7617" s="3">
        <v>175127.0</v>
      </c>
      <c r="B7617" s="3" t="s">
        <v>7644</v>
      </c>
      <c r="C7617" s="3" t="s">
        <v>252</v>
      </c>
      <c r="D7617" s="3">
        <v>113.0</v>
      </c>
      <c r="E7617" s="3">
        <v>0.88</v>
      </c>
      <c r="F7617" s="3">
        <v>24.69</v>
      </c>
      <c r="G7617" s="3">
        <v>0.0</v>
      </c>
    </row>
    <row r="7618">
      <c r="A7618" s="3">
        <v>175128.0</v>
      </c>
      <c r="B7618" s="3" t="s">
        <v>7645</v>
      </c>
      <c r="C7618" s="3" t="s">
        <v>252</v>
      </c>
      <c r="D7618" s="3">
        <v>93.0</v>
      </c>
      <c r="E7618" s="3">
        <v>1.22</v>
      </c>
      <c r="F7618" s="3">
        <v>19.14</v>
      </c>
      <c r="G7618" s="3">
        <v>0.0</v>
      </c>
    </row>
    <row r="7619">
      <c r="A7619" s="3">
        <v>175129.0</v>
      </c>
      <c r="B7619" s="3" t="s">
        <v>7646</v>
      </c>
      <c r="C7619" s="3" t="s">
        <v>252</v>
      </c>
      <c r="D7619" s="3">
        <v>92.0</v>
      </c>
      <c r="E7619" s="3">
        <v>0.98</v>
      </c>
      <c r="F7619" s="3">
        <v>19.44</v>
      </c>
      <c r="G7619" s="3">
        <v>0.0</v>
      </c>
    </row>
    <row r="7620">
      <c r="A7620" s="3">
        <v>175130.0</v>
      </c>
      <c r="B7620" s="3" t="s">
        <v>7647</v>
      </c>
      <c r="C7620" s="3" t="s">
        <v>252</v>
      </c>
      <c r="D7620" s="3">
        <v>56.0</v>
      </c>
      <c r="E7620" s="3">
        <v>0.41</v>
      </c>
      <c r="F7620" s="3">
        <v>12.19</v>
      </c>
      <c r="G7620" s="3">
        <v>0.0</v>
      </c>
    </row>
    <row r="7621">
      <c r="A7621" s="3">
        <v>175131.0</v>
      </c>
      <c r="B7621" s="3" t="s">
        <v>7648</v>
      </c>
      <c r="C7621" s="3" t="s">
        <v>252</v>
      </c>
      <c r="D7621" s="3">
        <v>109.0</v>
      </c>
      <c r="E7621" s="3">
        <v>1.62</v>
      </c>
      <c r="F7621" s="3">
        <v>22.23</v>
      </c>
      <c r="G7621" s="3">
        <v>0.0</v>
      </c>
    </row>
    <row r="7622">
      <c r="A7622" s="3">
        <v>175132.0</v>
      </c>
      <c r="B7622" s="3" t="s">
        <v>7649</v>
      </c>
      <c r="C7622" s="3" t="s">
        <v>252</v>
      </c>
      <c r="D7622" s="3">
        <v>143.0</v>
      </c>
      <c r="E7622" s="3">
        <v>6.42</v>
      </c>
      <c r="F7622" s="3">
        <v>22.32</v>
      </c>
      <c r="G7622" s="3">
        <v>1.5</v>
      </c>
    </row>
    <row r="7623">
      <c r="A7623" s="3">
        <v>175133.0</v>
      </c>
      <c r="B7623" s="3" t="s">
        <v>7650</v>
      </c>
      <c r="C7623" s="3" t="s">
        <v>252</v>
      </c>
      <c r="D7623" s="3">
        <v>76.0</v>
      </c>
      <c r="E7623" s="3">
        <v>0.7</v>
      </c>
      <c r="F7623" s="3">
        <v>16.41</v>
      </c>
      <c r="G7623" s="3">
        <v>0.0</v>
      </c>
    </row>
    <row r="7624">
      <c r="A7624" s="3">
        <v>175134.0</v>
      </c>
      <c r="B7624" s="3" t="s">
        <v>7651</v>
      </c>
      <c r="C7624" s="3" t="s">
        <v>252</v>
      </c>
      <c r="D7624" s="3">
        <v>195.0</v>
      </c>
      <c r="E7624" s="3">
        <v>15.3</v>
      </c>
      <c r="F7624" s="3">
        <v>13.41</v>
      </c>
      <c r="G7624" s="3">
        <v>0.0</v>
      </c>
    </row>
    <row r="7625">
      <c r="A7625" s="3">
        <v>175135.0</v>
      </c>
      <c r="B7625" s="3" t="s">
        <v>7652</v>
      </c>
      <c r="C7625" s="3" t="s">
        <v>252</v>
      </c>
      <c r="D7625" s="3">
        <v>141.0</v>
      </c>
      <c r="E7625" s="3">
        <v>5.5</v>
      </c>
      <c r="F7625" s="3">
        <v>21.43</v>
      </c>
      <c r="G7625" s="3">
        <v>0.0</v>
      </c>
    </row>
    <row r="7626">
      <c r="A7626" s="3">
        <v>175136.0</v>
      </c>
      <c r="B7626" s="3" t="s">
        <v>7653</v>
      </c>
      <c r="C7626" s="3" t="s">
        <v>252</v>
      </c>
      <c r="D7626" s="3">
        <v>146.0</v>
      </c>
      <c r="E7626" s="3">
        <v>5.93</v>
      </c>
      <c r="F7626" s="3">
        <v>21.62</v>
      </c>
      <c r="G7626" s="3">
        <v>0.0</v>
      </c>
    </row>
    <row r="7627">
      <c r="A7627" s="3">
        <v>175137.0</v>
      </c>
      <c r="B7627" s="3" t="s">
        <v>7654</v>
      </c>
      <c r="C7627" s="3" t="s">
        <v>252</v>
      </c>
      <c r="D7627" s="3">
        <v>184.0</v>
      </c>
      <c r="E7627" s="3">
        <v>7.5</v>
      </c>
      <c r="F7627" s="3">
        <v>27.36</v>
      </c>
      <c r="G7627" s="3">
        <v>0.0</v>
      </c>
    </row>
    <row r="7628">
      <c r="A7628" s="3">
        <v>175138.0</v>
      </c>
      <c r="B7628" s="3" t="s">
        <v>7655</v>
      </c>
      <c r="C7628" s="3" t="s">
        <v>252</v>
      </c>
      <c r="D7628" s="3">
        <v>127.0</v>
      </c>
      <c r="E7628" s="3">
        <v>4.4</v>
      </c>
      <c r="F7628" s="3">
        <v>20.5</v>
      </c>
      <c r="G7628" s="3">
        <v>0.0</v>
      </c>
    </row>
    <row r="7629">
      <c r="A7629" s="3">
        <v>175139.0</v>
      </c>
      <c r="B7629" s="3" t="s">
        <v>7656</v>
      </c>
      <c r="C7629" s="3" t="s">
        <v>252</v>
      </c>
      <c r="D7629" s="3">
        <v>208.0</v>
      </c>
      <c r="E7629" s="3">
        <v>11.45</v>
      </c>
      <c r="F7629" s="3">
        <v>24.62</v>
      </c>
      <c r="G7629" s="3">
        <v>0.0</v>
      </c>
    </row>
    <row r="7630">
      <c r="A7630" s="3">
        <v>175140.0</v>
      </c>
      <c r="B7630" s="3" t="s">
        <v>7657</v>
      </c>
      <c r="C7630" s="3" t="s">
        <v>252</v>
      </c>
      <c r="D7630" s="3">
        <v>185.0</v>
      </c>
      <c r="E7630" s="3">
        <v>10.45</v>
      </c>
      <c r="F7630" s="3">
        <v>20.86</v>
      </c>
      <c r="G7630" s="3">
        <v>0.54</v>
      </c>
    </row>
    <row r="7631">
      <c r="A7631" s="3">
        <v>175141.0</v>
      </c>
      <c r="B7631" s="3" t="s">
        <v>7658</v>
      </c>
      <c r="C7631" s="3" t="s">
        <v>252</v>
      </c>
      <c r="D7631" s="3">
        <v>105.0</v>
      </c>
      <c r="E7631" s="3">
        <v>2.73</v>
      </c>
      <c r="F7631" s="3">
        <v>18.88</v>
      </c>
      <c r="G7631" s="3">
        <v>0.0</v>
      </c>
    </row>
    <row r="7632">
      <c r="A7632" s="3">
        <v>175142.0</v>
      </c>
      <c r="B7632" s="3" t="s">
        <v>7659</v>
      </c>
      <c r="C7632" s="3" t="s">
        <v>252</v>
      </c>
      <c r="D7632" s="3">
        <v>97.0</v>
      </c>
      <c r="E7632" s="3">
        <v>2.0</v>
      </c>
      <c r="F7632" s="3">
        <v>18.43</v>
      </c>
      <c r="G7632" s="3">
        <v>0.0</v>
      </c>
    </row>
    <row r="7633">
      <c r="A7633" s="3">
        <v>175143.0</v>
      </c>
      <c r="B7633" s="3" t="s">
        <v>7660</v>
      </c>
      <c r="C7633" s="3" t="s">
        <v>252</v>
      </c>
      <c r="D7633" s="3">
        <v>228.0</v>
      </c>
      <c r="E7633" s="3">
        <v>13.82</v>
      </c>
      <c r="F7633" s="3">
        <v>18.62</v>
      </c>
      <c r="G7633" s="3">
        <v>6.39</v>
      </c>
    </row>
    <row r="7634">
      <c r="A7634" s="3">
        <v>175144.0</v>
      </c>
      <c r="B7634" s="3" t="s">
        <v>7661</v>
      </c>
      <c r="C7634" s="3" t="s">
        <v>252</v>
      </c>
      <c r="D7634" s="3">
        <v>108.0</v>
      </c>
      <c r="E7634" s="3">
        <v>2.41</v>
      </c>
      <c r="F7634" s="3">
        <v>20.21</v>
      </c>
      <c r="G7634" s="3">
        <v>0.0</v>
      </c>
    </row>
    <row r="7635">
      <c r="A7635" s="3">
        <v>175145.0</v>
      </c>
      <c r="B7635" s="3" t="s">
        <v>7662</v>
      </c>
      <c r="C7635" s="3" t="s">
        <v>252</v>
      </c>
      <c r="D7635" s="3">
        <v>126.0</v>
      </c>
      <c r="E7635" s="3">
        <v>1.63</v>
      </c>
      <c r="F7635" s="3">
        <v>26.02</v>
      </c>
      <c r="G7635" s="3">
        <v>0.0</v>
      </c>
    </row>
    <row r="7636">
      <c r="A7636" s="3">
        <v>175146.0</v>
      </c>
      <c r="B7636" s="3" t="s">
        <v>7663</v>
      </c>
      <c r="C7636" s="3" t="s">
        <v>252</v>
      </c>
      <c r="D7636" s="3">
        <v>97.0</v>
      </c>
      <c r="E7636" s="3">
        <v>2.42</v>
      </c>
      <c r="F7636" s="3">
        <v>17.63</v>
      </c>
      <c r="G7636" s="3">
        <v>0.0</v>
      </c>
    </row>
    <row r="7637">
      <c r="A7637" s="3">
        <v>175147.0</v>
      </c>
      <c r="B7637" s="3" t="s">
        <v>7664</v>
      </c>
      <c r="C7637" s="3" t="s">
        <v>252</v>
      </c>
      <c r="D7637" s="3">
        <v>124.0</v>
      </c>
      <c r="E7637" s="3">
        <v>3.1</v>
      </c>
      <c r="F7637" s="3">
        <v>22.6</v>
      </c>
      <c r="G7637" s="3">
        <v>0.0</v>
      </c>
    </row>
    <row r="7638">
      <c r="A7638" s="3">
        <v>175148.0</v>
      </c>
      <c r="B7638" s="3" t="s">
        <v>7665</v>
      </c>
      <c r="C7638" s="3" t="s">
        <v>252</v>
      </c>
      <c r="D7638" s="3">
        <v>135.0</v>
      </c>
      <c r="E7638" s="3">
        <v>5.18</v>
      </c>
      <c r="F7638" s="3">
        <v>20.7</v>
      </c>
      <c r="G7638" s="3">
        <v>0.0</v>
      </c>
    </row>
    <row r="7639">
      <c r="A7639" s="3">
        <v>175149.0</v>
      </c>
      <c r="B7639" s="3" t="s">
        <v>7666</v>
      </c>
      <c r="C7639" s="3" t="s">
        <v>252</v>
      </c>
      <c r="D7639" s="3">
        <v>173.0</v>
      </c>
      <c r="E7639" s="3">
        <v>4.4</v>
      </c>
      <c r="F7639" s="3">
        <v>31.2</v>
      </c>
      <c r="G7639" s="3">
        <v>0.0</v>
      </c>
    </row>
    <row r="7640">
      <c r="A7640" s="3">
        <v>175150.0</v>
      </c>
      <c r="B7640" s="3" t="s">
        <v>7667</v>
      </c>
      <c r="C7640" s="3" t="s">
        <v>252</v>
      </c>
      <c r="D7640" s="3">
        <v>92.0</v>
      </c>
      <c r="E7640" s="3">
        <v>2.32</v>
      </c>
      <c r="F7640" s="3">
        <v>16.76</v>
      </c>
      <c r="G7640" s="3">
        <v>0.0</v>
      </c>
    </row>
    <row r="7641">
      <c r="A7641" s="3">
        <v>175151.0</v>
      </c>
      <c r="B7641" s="3" t="s">
        <v>7668</v>
      </c>
      <c r="C7641" s="3" t="s">
        <v>252</v>
      </c>
      <c r="D7641" s="3">
        <v>89.0</v>
      </c>
      <c r="E7641" s="3">
        <v>0.7</v>
      </c>
      <c r="F7641" s="3">
        <v>19.4</v>
      </c>
      <c r="G7641" s="3">
        <v>0.0</v>
      </c>
    </row>
    <row r="7642">
      <c r="A7642" s="3">
        <v>175152.0</v>
      </c>
      <c r="B7642" s="3" t="s">
        <v>7669</v>
      </c>
      <c r="C7642" s="3" t="s">
        <v>252</v>
      </c>
      <c r="D7642" s="3">
        <v>147.0</v>
      </c>
      <c r="E7642" s="3">
        <v>4.69</v>
      </c>
      <c r="F7642" s="3">
        <v>24.49</v>
      </c>
      <c r="G7642" s="3">
        <v>0.0</v>
      </c>
    </row>
    <row r="7643">
      <c r="A7643" s="3">
        <v>175153.0</v>
      </c>
      <c r="B7643" s="3" t="s">
        <v>7670</v>
      </c>
      <c r="C7643" s="3" t="s">
        <v>252</v>
      </c>
      <c r="D7643" s="3">
        <v>148.0</v>
      </c>
      <c r="E7643" s="3">
        <v>6.61</v>
      </c>
      <c r="F7643" s="3">
        <v>20.77</v>
      </c>
      <c r="G7643" s="3">
        <v>0.0</v>
      </c>
    </row>
    <row r="7644">
      <c r="A7644" s="3">
        <v>175154.0</v>
      </c>
      <c r="B7644" s="3" t="s">
        <v>7671</v>
      </c>
      <c r="C7644" s="3" t="s">
        <v>252</v>
      </c>
      <c r="D7644" s="3">
        <v>119.0</v>
      </c>
      <c r="E7644" s="3">
        <v>3.46</v>
      </c>
      <c r="F7644" s="3">
        <v>20.48</v>
      </c>
      <c r="G7644" s="3">
        <v>0.0</v>
      </c>
    </row>
    <row r="7645">
      <c r="A7645" s="3">
        <v>175155.0</v>
      </c>
      <c r="B7645" s="3" t="s">
        <v>7672</v>
      </c>
      <c r="C7645" s="3" t="s">
        <v>252</v>
      </c>
      <c r="D7645" s="3">
        <v>150.0</v>
      </c>
      <c r="E7645" s="3">
        <v>5.82</v>
      </c>
      <c r="F7645" s="3">
        <v>22.92</v>
      </c>
      <c r="G7645" s="3">
        <v>0.0</v>
      </c>
    </row>
    <row r="7646">
      <c r="A7646" s="3">
        <v>175156.0</v>
      </c>
      <c r="B7646" s="3" t="s">
        <v>7673</v>
      </c>
      <c r="C7646" s="3" t="s">
        <v>252</v>
      </c>
      <c r="D7646" s="3">
        <v>103.0</v>
      </c>
      <c r="E7646" s="3">
        <v>1.01</v>
      </c>
      <c r="F7646" s="3">
        <v>22.0</v>
      </c>
      <c r="G7646" s="3">
        <v>0.0</v>
      </c>
    </row>
    <row r="7647">
      <c r="A7647" s="3">
        <v>175157.0</v>
      </c>
      <c r="B7647" s="3" t="s">
        <v>7674</v>
      </c>
      <c r="C7647" s="3" t="s">
        <v>252</v>
      </c>
      <c r="D7647" s="3">
        <v>186.0</v>
      </c>
      <c r="E7647" s="3">
        <v>8.08</v>
      </c>
      <c r="F7647" s="3">
        <v>26.53</v>
      </c>
      <c r="G7647" s="3">
        <v>0.0</v>
      </c>
    </row>
    <row r="7648">
      <c r="A7648" s="3">
        <v>175158.0</v>
      </c>
      <c r="B7648" s="3" t="s">
        <v>7675</v>
      </c>
      <c r="C7648" s="3" t="s">
        <v>252</v>
      </c>
      <c r="D7648" s="3">
        <v>128.0</v>
      </c>
      <c r="E7648" s="3">
        <v>2.97</v>
      </c>
      <c r="F7648" s="3">
        <v>23.62</v>
      </c>
      <c r="G7648" s="3">
        <v>0.0</v>
      </c>
    </row>
    <row r="7649">
      <c r="A7649" s="3">
        <v>175159.0</v>
      </c>
      <c r="B7649" s="3" t="s">
        <v>7676</v>
      </c>
      <c r="C7649" s="3" t="s">
        <v>252</v>
      </c>
      <c r="D7649" s="3">
        <v>109.0</v>
      </c>
      <c r="E7649" s="3">
        <v>0.49</v>
      </c>
      <c r="F7649" s="3">
        <v>24.4</v>
      </c>
      <c r="G7649" s="3">
        <v>0.0</v>
      </c>
    </row>
    <row r="7650">
      <c r="A7650" s="3">
        <v>175160.0</v>
      </c>
      <c r="B7650" s="3" t="s">
        <v>7677</v>
      </c>
      <c r="C7650" s="3" t="s">
        <v>252</v>
      </c>
      <c r="D7650" s="3">
        <v>187.0</v>
      </c>
      <c r="E7650" s="3">
        <v>9.26</v>
      </c>
      <c r="F7650" s="3">
        <v>16.04</v>
      </c>
      <c r="G7650" s="3">
        <v>9.41</v>
      </c>
    </row>
    <row r="7651">
      <c r="A7651" s="3">
        <v>175161.0</v>
      </c>
      <c r="B7651" s="3" t="s">
        <v>7678</v>
      </c>
      <c r="C7651" s="3" t="s">
        <v>252</v>
      </c>
      <c r="D7651" s="3">
        <v>116.0</v>
      </c>
      <c r="E7651" s="3">
        <v>1.69</v>
      </c>
      <c r="F7651" s="3">
        <v>23.48</v>
      </c>
      <c r="G7651" s="3">
        <v>0.0</v>
      </c>
    </row>
    <row r="7652">
      <c r="A7652" s="3">
        <v>175162.0</v>
      </c>
      <c r="B7652" s="3" t="s">
        <v>7679</v>
      </c>
      <c r="C7652" s="3" t="s">
        <v>252</v>
      </c>
      <c r="D7652" s="3">
        <v>96.0</v>
      </c>
      <c r="E7652" s="3">
        <v>2.39</v>
      </c>
      <c r="F7652" s="3">
        <v>17.5</v>
      </c>
      <c r="G7652" s="3">
        <v>0.0</v>
      </c>
    </row>
    <row r="7653">
      <c r="A7653" s="3">
        <v>175163.0</v>
      </c>
      <c r="B7653" s="3" t="s">
        <v>7680</v>
      </c>
      <c r="C7653" s="3" t="s">
        <v>252</v>
      </c>
      <c r="D7653" s="3">
        <v>146.0</v>
      </c>
      <c r="E7653" s="3">
        <v>5.24</v>
      </c>
      <c r="F7653" s="3">
        <v>23.14</v>
      </c>
      <c r="G7653" s="3">
        <v>0.0</v>
      </c>
    </row>
    <row r="7654">
      <c r="A7654" s="3">
        <v>175164.0</v>
      </c>
      <c r="B7654" s="3" t="s">
        <v>7681</v>
      </c>
      <c r="C7654" s="3" t="s">
        <v>252</v>
      </c>
      <c r="D7654" s="3">
        <v>84.0</v>
      </c>
      <c r="E7654" s="3">
        <v>0.6</v>
      </c>
      <c r="F7654" s="3">
        <v>18.29</v>
      </c>
      <c r="G7654" s="3">
        <v>0.0</v>
      </c>
    </row>
    <row r="7655">
      <c r="A7655" s="3">
        <v>175165.0</v>
      </c>
      <c r="B7655" s="3" t="s">
        <v>7682</v>
      </c>
      <c r="C7655" s="3" t="s">
        <v>252</v>
      </c>
      <c r="D7655" s="3">
        <v>119.0</v>
      </c>
      <c r="E7655" s="3">
        <v>5.94</v>
      </c>
      <c r="F7655" s="3">
        <v>15.23</v>
      </c>
      <c r="G7655" s="3">
        <v>0.0</v>
      </c>
    </row>
    <row r="7656">
      <c r="A7656" s="3">
        <v>175166.0</v>
      </c>
      <c r="B7656" s="3" t="s">
        <v>7683</v>
      </c>
      <c r="C7656" s="3" t="s">
        <v>252</v>
      </c>
      <c r="D7656" s="3">
        <v>144.0</v>
      </c>
      <c r="E7656" s="3">
        <v>7.19</v>
      </c>
      <c r="F7656" s="3">
        <v>18.44</v>
      </c>
      <c r="G7656" s="3">
        <v>0.0</v>
      </c>
    </row>
    <row r="7657">
      <c r="A7657" s="3">
        <v>175167.0</v>
      </c>
      <c r="B7657" s="3" t="s">
        <v>7684</v>
      </c>
      <c r="C7657" s="3" t="s">
        <v>252</v>
      </c>
      <c r="D7657" s="3">
        <v>208.0</v>
      </c>
      <c r="E7657" s="3">
        <v>13.42</v>
      </c>
      <c r="F7657" s="3">
        <v>20.42</v>
      </c>
      <c r="G7657" s="3">
        <v>0.0</v>
      </c>
    </row>
    <row r="7658">
      <c r="A7658" s="3">
        <v>175168.0</v>
      </c>
      <c r="B7658" s="3" t="s">
        <v>7685</v>
      </c>
      <c r="C7658" s="3" t="s">
        <v>252</v>
      </c>
      <c r="D7658" s="3">
        <v>206.0</v>
      </c>
      <c r="E7658" s="3">
        <v>12.35</v>
      </c>
      <c r="F7658" s="3">
        <v>22.1</v>
      </c>
      <c r="G7658" s="3">
        <v>0.0</v>
      </c>
    </row>
    <row r="7659">
      <c r="A7659" s="3">
        <v>175169.0</v>
      </c>
      <c r="B7659" s="3" t="s">
        <v>7686</v>
      </c>
      <c r="C7659" s="3" t="s">
        <v>252</v>
      </c>
      <c r="D7659" s="3">
        <v>72.0</v>
      </c>
      <c r="E7659" s="3">
        <v>0.97</v>
      </c>
      <c r="F7659" s="3">
        <v>14.85</v>
      </c>
      <c r="G7659" s="3">
        <v>0.0</v>
      </c>
    </row>
    <row r="7660">
      <c r="A7660" s="3">
        <v>175170.0</v>
      </c>
      <c r="B7660" s="3" t="s">
        <v>7687</v>
      </c>
      <c r="C7660" s="3" t="s">
        <v>252</v>
      </c>
      <c r="D7660" s="3">
        <v>87.0</v>
      </c>
      <c r="E7660" s="3">
        <v>1.3</v>
      </c>
      <c r="F7660" s="3">
        <v>17.52</v>
      </c>
      <c r="G7660" s="3">
        <v>0.0</v>
      </c>
    </row>
    <row r="7661">
      <c r="A7661" s="3">
        <v>175171.0</v>
      </c>
      <c r="B7661" s="3" t="s">
        <v>7688</v>
      </c>
      <c r="C7661" s="3" t="s">
        <v>252</v>
      </c>
      <c r="D7661" s="3">
        <v>79.0</v>
      </c>
      <c r="E7661" s="3">
        <v>2.65</v>
      </c>
      <c r="F7661" s="3">
        <v>8.87</v>
      </c>
      <c r="G7661" s="3">
        <v>4.23</v>
      </c>
    </row>
    <row r="7662">
      <c r="A7662" s="3">
        <v>175172.0</v>
      </c>
      <c r="B7662" s="3" t="s">
        <v>7689</v>
      </c>
      <c r="C7662" s="3" t="s">
        <v>252</v>
      </c>
      <c r="D7662" s="3">
        <v>59.0</v>
      </c>
      <c r="E7662" s="3">
        <v>1.55</v>
      </c>
      <c r="F7662" s="3">
        <v>5.22</v>
      </c>
      <c r="G7662" s="3">
        <v>5.53</v>
      </c>
    </row>
    <row r="7663">
      <c r="A7663" s="3">
        <v>175173.0</v>
      </c>
      <c r="B7663" s="3" t="s">
        <v>7690</v>
      </c>
      <c r="C7663" s="3" t="s">
        <v>252</v>
      </c>
      <c r="D7663" s="3">
        <v>79.0</v>
      </c>
      <c r="E7663" s="3">
        <v>2.12</v>
      </c>
      <c r="F7663" s="3">
        <v>7.0</v>
      </c>
      <c r="G7663" s="3">
        <v>7.28</v>
      </c>
    </row>
    <row r="7664">
      <c r="A7664" s="3">
        <v>175174.0</v>
      </c>
      <c r="B7664" s="3" t="s">
        <v>7691</v>
      </c>
      <c r="C7664" s="3" t="s">
        <v>252</v>
      </c>
      <c r="D7664" s="3">
        <v>153.0</v>
      </c>
      <c r="E7664" s="3">
        <v>7.17</v>
      </c>
      <c r="F7664" s="3">
        <v>20.63</v>
      </c>
      <c r="G7664" s="3">
        <v>0.0</v>
      </c>
    </row>
    <row r="7665">
      <c r="A7665" s="3">
        <v>175175.0</v>
      </c>
      <c r="B7665" s="3" t="s">
        <v>7692</v>
      </c>
      <c r="C7665" s="3" t="s">
        <v>252</v>
      </c>
      <c r="D7665" s="3">
        <v>138.0</v>
      </c>
      <c r="E7665" s="3">
        <v>5.02</v>
      </c>
      <c r="F7665" s="3">
        <v>23.1</v>
      </c>
      <c r="G7665" s="3">
        <v>0.0</v>
      </c>
    </row>
    <row r="7666">
      <c r="A7666" s="3">
        <v>175176.0</v>
      </c>
      <c r="B7666" s="3" t="s">
        <v>7693</v>
      </c>
      <c r="C7666" s="3" t="s">
        <v>252</v>
      </c>
      <c r="D7666" s="3">
        <v>96.0</v>
      </c>
      <c r="E7666" s="3">
        <v>1.7</v>
      </c>
      <c r="F7666" s="3">
        <v>20.08</v>
      </c>
      <c r="G7666" s="3">
        <v>0.0</v>
      </c>
    </row>
    <row r="7667">
      <c r="A7667" s="3">
        <v>175177.0</v>
      </c>
      <c r="B7667" s="3" t="s">
        <v>7694</v>
      </c>
      <c r="C7667" s="3" t="s">
        <v>252</v>
      </c>
      <c r="D7667" s="3">
        <v>128.0</v>
      </c>
      <c r="E7667" s="3">
        <v>2.65</v>
      </c>
      <c r="F7667" s="3">
        <v>26.15</v>
      </c>
      <c r="G7667" s="3">
        <v>0.0</v>
      </c>
    </row>
    <row r="7668">
      <c r="A7668" s="3">
        <v>175178.0</v>
      </c>
      <c r="B7668" s="3" t="s">
        <v>7695</v>
      </c>
      <c r="C7668" s="3" t="s">
        <v>252</v>
      </c>
      <c r="D7668" s="3">
        <v>84.0</v>
      </c>
      <c r="E7668" s="3">
        <v>0.25</v>
      </c>
      <c r="F7668" s="3">
        <v>20.42</v>
      </c>
      <c r="G7668" s="3">
        <v>0.0</v>
      </c>
    </row>
    <row r="7669">
      <c r="A7669" s="3">
        <v>175179.0</v>
      </c>
      <c r="B7669" s="3" t="s">
        <v>7696</v>
      </c>
      <c r="C7669" s="3" t="s">
        <v>252</v>
      </c>
      <c r="D7669" s="3">
        <v>85.0</v>
      </c>
      <c r="E7669" s="3">
        <v>0.51</v>
      </c>
      <c r="F7669" s="3">
        <v>20.1</v>
      </c>
      <c r="G7669" s="3">
        <v>0.0</v>
      </c>
    </row>
    <row r="7670">
      <c r="A7670" s="3">
        <v>175180.0</v>
      </c>
      <c r="B7670" s="3" t="s">
        <v>7697</v>
      </c>
      <c r="C7670" s="3" t="s">
        <v>252</v>
      </c>
      <c r="D7670" s="3">
        <v>99.0</v>
      </c>
      <c r="E7670" s="3">
        <v>0.28</v>
      </c>
      <c r="F7670" s="3">
        <v>23.98</v>
      </c>
      <c r="G7670" s="3">
        <v>0.2</v>
      </c>
    </row>
    <row r="7671">
      <c r="A7671" s="3">
        <v>175181.0</v>
      </c>
      <c r="B7671" s="3" t="s">
        <v>7698</v>
      </c>
      <c r="C7671" s="3" t="s">
        <v>252</v>
      </c>
      <c r="D7671" s="3">
        <v>110.0</v>
      </c>
      <c r="E7671" s="3">
        <v>2.73</v>
      </c>
      <c r="F7671" s="3">
        <v>21.23</v>
      </c>
      <c r="G7671" s="3">
        <v>0.0</v>
      </c>
    </row>
    <row r="7672">
      <c r="A7672" s="3">
        <v>175182.0</v>
      </c>
      <c r="B7672" s="3" t="s">
        <v>7699</v>
      </c>
      <c r="C7672" s="3" t="s">
        <v>228</v>
      </c>
      <c r="D7672" s="3">
        <v>94.0</v>
      </c>
      <c r="E7672" s="3">
        <v>0.37</v>
      </c>
      <c r="F7672" s="3">
        <v>4.75</v>
      </c>
      <c r="G7672" s="3">
        <v>21.14</v>
      </c>
    </row>
    <row r="7673">
      <c r="A7673" s="3">
        <v>175183.0</v>
      </c>
      <c r="B7673" s="3" t="s">
        <v>7700</v>
      </c>
      <c r="C7673" s="3" t="s">
        <v>228</v>
      </c>
      <c r="D7673" s="3">
        <v>121.0</v>
      </c>
      <c r="E7673" s="3">
        <v>3.45</v>
      </c>
      <c r="F7673" s="3">
        <v>6.38</v>
      </c>
      <c r="G7673" s="3">
        <v>16.91</v>
      </c>
    </row>
    <row r="7674">
      <c r="A7674" s="3">
        <v>175184.0</v>
      </c>
      <c r="B7674" s="3" t="s">
        <v>7701</v>
      </c>
      <c r="C7674" s="3" t="s">
        <v>228</v>
      </c>
      <c r="D7674" s="3">
        <v>142.0</v>
      </c>
      <c r="E7674" s="3">
        <v>6.57</v>
      </c>
      <c r="F7674" s="3">
        <v>6.75</v>
      </c>
      <c r="G7674" s="3">
        <v>15.39</v>
      </c>
    </row>
    <row r="7675">
      <c r="A7675" s="3">
        <v>175185.0</v>
      </c>
      <c r="B7675" s="3" t="s">
        <v>7702</v>
      </c>
      <c r="C7675" s="3" t="s">
        <v>228</v>
      </c>
      <c r="D7675" s="3">
        <v>106.0</v>
      </c>
      <c r="E7675" s="3">
        <v>1.55</v>
      </c>
      <c r="F7675" s="3">
        <v>5.19</v>
      </c>
      <c r="G7675" s="3">
        <v>19.99</v>
      </c>
    </row>
    <row r="7676">
      <c r="A7676" s="3">
        <v>175186.0</v>
      </c>
      <c r="B7676" s="3" t="s">
        <v>7703</v>
      </c>
      <c r="C7676" s="3" t="s">
        <v>228</v>
      </c>
      <c r="D7676" s="3">
        <v>339.0</v>
      </c>
      <c r="E7676" s="3">
        <v>0.9</v>
      </c>
      <c r="F7676" s="3">
        <v>21.25</v>
      </c>
      <c r="G7676" s="3">
        <v>63.25</v>
      </c>
    </row>
    <row r="7677">
      <c r="A7677" s="3">
        <v>175187.0</v>
      </c>
      <c r="B7677" s="3" t="s">
        <v>7704</v>
      </c>
      <c r="C7677" s="3" t="s">
        <v>228</v>
      </c>
      <c r="D7677" s="3">
        <v>130.0</v>
      </c>
      <c r="E7677" s="3">
        <v>0.35</v>
      </c>
      <c r="F7677" s="3">
        <v>8.18</v>
      </c>
      <c r="G7677" s="3">
        <v>24.35</v>
      </c>
    </row>
    <row r="7678">
      <c r="A7678" s="3">
        <v>175188.0</v>
      </c>
      <c r="B7678" s="3" t="s">
        <v>7705</v>
      </c>
      <c r="C7678" s="3" t="s">
        <v>228</v>
      </c>
      <c r="D7678" s="3">
        <v>91.0</v>
      </c>
      <c r="E7678" s="3">
        <v>0.29</v>
      </c>
      <c r="F7678" s="3">
        <v>6.03</v>
      </c>
      <c r="G7678" s="3">
        <v>16.55</v>
      </c>
    </row>
    <row r="7679">
      <c r="A7679" s="3">
        <v>175189.0</v>
      </c>
      <c r="B7679" s="3" t="s">
        <v>7706</v>
      </c>
      <c r="C7679" s="3" t="s">
        <v>228</v>
      </c>
      <c r="D7679" s="3">
        <v>335.0</v>
      </c>
      <c r="E7679" s="3">
        <v>1.23</v>
      </c>
      <c r="F7679" s="3">
        <v>23.03</v>
      </c>
      <c r="G7679" s="3">
        <v>60.05</v>
      </c>
    </row>
    <row r="7680">
      <c r="A7680" s="3">
        <v>175190.0</v>
      </c>
      <c r="B7680" s="3" t="s">
        <v>7707</v>
      </c>
      <c r="C7680" s="3" t="s">
        <v>228</v>
      </c>
      <c r="D7680" s="3">
        <v>339.0</v>
      </c>
      <c r="E7680" s="3">
        <v>1.14</v>
      </c>
      <c r="F7680" s="3">
        <v>21.86</v>
      </c>
      <c r="G7680" s="3">
        <v>62.37</v>
      </c>
    </row>
    <row r="7681">
      <c r="A7681" s="3">
        <v>175191.0</v>
      </c>
      <c r="B7681" s="3" t="s">
        <v>7708</v>
      </c>
      <c r="C7681" s="3" t="s">
        <v>228</v>
      </c>
      <c r="D7681" s="3">
        <v>118.0</v>
      </c>
      <c r="E7681" s="3">
        <v>0.45</v>
      </c>
      <c r="F7681" s="3">
        <v>8.33</v>
      </c>
      <c r="G7681" s="3">
        <v>21.09</v>
      </c>
    </row>
    <row r="7682">
      <c r="A7682" s="3">
        <v>175192.0</v>
      </c>
      <c r="B7682" s="3" t="s">
        <v>7709</v>
      </c>
      <c r="C7682" s="3" t="s">
        <v>228</v>
      </c>
      <c r="D7682" s="3">
        <v>114.0</v>
      </c>
      <c r="E7682" s="3">
        <v>0.39</v>
      </c>
      <c r="F7682" s="3">
        <v>7.37</v>
      </c>
      <c r="G7682" s="3">
        <v>21.02</v>
      </c>
    </row>
    <row r="7683">
      <c r="A7683" s="3">
        <v>175193.0</v>
      </c>
      <c r="B7683" s="3" t="s">
        <v>7710</v>
      </c>
      <c r="C7683" s="3" t="s">
        <v>228</v>
      </c>
      <c r="D7683" s="3">
        <v>333.0</v>
      </c>
      <c r="E7683" s="3">
        <v>0.83</v>
      </c>
      <c r="F7683" s="3">
        <v>23.58</v>
      </c>
      <c r="G7683" s="3">
        <v>60.01</v>
      </c>
    </row>
    <row r="7684">
      <c r="A7684" s="3">
        <v>175194.0</v>
      </c>
      <c r="B7684" s="3" t="s">
        <v>7711</v>
      </c>
      <c r="C7684" s="3" t="s">
        <v>228</v>
      </c>
      <c r="D7684" s="3">
        <v>127.0</v>
      </c>
      <c r="E7684" s="3">
        <v>0.5</v>
      </c>
      <c r="F7684" s="3">
        <v>8.67</v>
      </c>
      <c r="G7684" s="3">
        <v>22.8</v>
      </c>
    </row>
    <row r="7685">
      <c r="A7685" s="3">
        <v>175195.0</v>
      </c>
      <c r="B7685" s="3" t="s">
        <v>7712</v>
      </c>
      <c r="C7685" s="3" t="s">
        <v>228</v>
      </c>
      <c r="D7685" s="3">
        <v>81.0</v>
      </c>
      <c r="E7685" s="3">
        <v>0.36</v>
      </c>
      <c r="F7685" s="3">
        <v>5.22</v>
      </c>
      <c r="G7685" s="3">
        <v>14.83</v>
      </c>
    </row>
    <row r="7686">
      <c r="A7686" s="3">
        <v>175196.0</v>
      </c>
      <c r="B7686" s="3" t="s">
        <v>7713</v>
      </c>
      <c r="C7686" s="3" t="s">
        <v>228</v>
      </c>
      <c r="D7686" s="3">
        <v>329.0</v>
      </c>
      <c r="E7686" s="3">
        <v>0.45</v>
      </c>
      <c r="F7686" s="3">
        <v>25.33</v>
      </c>
      <c r="G7686" s="3">
        <v>58.33</v>
      </c>
    </row>
    <row r="7687">
      <c r="A7687" s="3">
        <v>175197.0</v>
      </c>
      <c r="B7687" s="3" t="s">
        <v>7714</v>
      </c>
      <c r="C7687" s="3" t="s">
        <v>228</v>
      </c>
      <c r="D7687" s="3">
        <v>123.0</v>
      </c>
      <c r="E7687" s="3">
        <v>0.17</v>
      </c>
      <c r="F7687" s="3">
        <v>9.49</v>
      </c>
      <c r="G7687" s="3">
        <v>21.85</v>
      </c>
    </row>
    <row r="7688">
      <c r="A7688" s="3">
        <v>175198.0</v>
      </c>
      <c r="B7688" s="3" t="s">
        <v>7715</v>
      </c>
      <c r="C7688" s="3" t="s">
        <v>228</v>
      </c>
      <c r="D7688" s="3">
        <v>149.0</v>
      </c>
      <c r="E7688" s="3">
        <v>0.49</v>
      </c>
      <c r="F7688" s="3">
        <v>9.06</v>
      </c>
      <c r="G7688" s="3">
        <v>27.91</v>
      </c>
    </row>
    <row r="7689">
      <c r="A7689" s="3">
        <v>175199.0</v>
      </c>
      <c r="B7689" s="3" t="s">
        <v>7716</v>
      </c>
      <c r="C7689" s="3" t="s">
        <v>228</v>
      </c>
      <c r="D7689" s="3">
        <v>347.0</v>
      </c>
      <c r="E7689" s="3">
        <v>1.23</v>
      </c>
      <c r="F7689" s="3">
        <v>21.42</v>
      </c>
      <c r="G7689" s="3">
        <v>62.55</v>
      </c>
    </row>
    <row r="7690">
      <c r="A7690" s="3">
        <v>175200.0</v>
      </c>
      <c r="B7690" s="3" t="s">
        <v>7717</v>
      </c>
      <c r="C7690" s="3" t="s">
        <v>228</v>
      </c>
      <c r="D7690" s="3">
        <v>143.0</v>
      </c>
      <c r="E7690" s="3">
        <v>0.65</v>
      </c>
      <c r="F7690" s="3">
        <v>9.01</v>
      </c>
      <c r="G7690" s="3">
        <v>26.22</v>
      </c>
    </row>
    <row r="7691">
      <c r="A7691" s="3">
        <v>175201.0</v>
      </c>
      <c r="B7691" s="3" t="s">
        <v>7718</v>
      </c>
      <c r="C7691" s="3" t="s">
        <v>228</v>
      </c>
      <c r="D7691" s="3">
        <v>82.0</v>
      </c>
      <c r="E7691" s="3">
        <v>0.56</v>
      </c>
      <c r="F7691" s="3">
        <v>4.6</v>
      </c>
      <c r="G7691" s="3">
        <v>15.18</v>
      </c>
    </row>
    <row r="7692">
      <c r="A7692" s="3">
        <v>175202.0</v>
      </c>
      <c r="B7692" s="3" t="s">
        <v>7719</v>
      </c>
      <c r="C7692" s="3" t="s">
        <v>228</v>
      </c>
      <c r="D7692" s="3">
        <v>333.0</v>
      </c>
      <c r="E7692" s="3">
        <v>0.85</v>
      </c>
      <c r="F7692" s="3">
        <v>23.36</v>
      </c>
      <c r="G7692" s="3">
        <v>60.27</v>
      </c>
    </row>
    <row r="7693">
      <c r="A7693" s="3">
        <v>175203.0</v>
      </c>
      <c r="B7693" s="3" t="s">
        <v>7720</v>
      </c>
      <c r="C7693" s="3" t="s">
        <v>228</v>
      </c>
      <c r="D7693" s="3">
        <v>139.0</v>
      </c>
      <c r="E7693" s="3">
        <v>0.35</v>
      </c>
      <c r="F7693" s="3">
        <v>9.73</v>
      </c>
      <c r="G7693" s="3">
        <v>25.09</v>
      </c>
    </row>
    <row r="7694">
      <c r="A7694" s="3">
        <v>175204.0</v>
      </c>
      <c r="B7694" s="3" t="s">
        <v>7721</v>
      </c>
      <c r="C7694" s="3" t="s">
        <v>228</v>
      </c>
      <c r="D7694" s="3">
        <v>114.0</v>
      </c>
      <c r="E7694" s="3">
        <v>0.29</v>
      </c>
      <c r="F7694" s="3">
        <v>7.26</v>
      </c>
      <c r="G7694" s="3">
        <v>21.2</v>
      </c>
    </row>
    <row r="7695">
      <c r="A7695" s="3">
        <v>175205.0</v>
      </c>
      <c r="B7695" s="3" t="s">
        <v>7722</v>
      </c>
      <c r="C7695" s="3" t="s">
        <v>228</v>
      </c>
      <c r="D7695" s="3">
        <v>341.0</v>
      </c>
      <c r="E7695" s="3">
        <v>1.53</v>
      </c>
      <c r="F7695" s="3">
        <v>26.12</v>
      </c>
      <c r="G7695" s="3">
        <v>58.29</v>
      </c>
    </row>
    <row r="7696">
      <c r="A7696" s="3">
        <v>175206.0</v>
      </c>
      <c r="B7696" s="3" t="s">
        <v>7723</v>
      </c>
      <c r="C7696" s="3" t="s">
        <v>228</v>
      </c>
      <c r="D7696" s="3">
        <v>88.0</v>
      </c>
      <c r="E7696" s="3">
        <v>1.95</v>
      </c>
      <c r="F7696" s="3">
        <v>4.92</v>
      </c>
      <c r="G7696" s="3">
        <v>13.49</v>
      </c>
    </row>
    <row r="7697">
      <c r="A7697" s="3">
        <v>175207.0</v>
      </c>
      <c r="B7697" s="3" t="s">
        <v>7724</v>
      </c>
      <c r="C7697" s="3" t="s">
        <v>228</v>
      </c>
      <c r="D7697" s="3">
        <v>103.0</v>
      </c>
      <c r="E7697" s="3">
        <v>3.76</v>
      </c>
      <c r="F7697" s="3">
        <v>6.12</v>
      </c>
      <c r="G7697" s="3">
        <v>13.24</v>
      </c>
    </row>
    <row r="7698">
      <c r="A7698" s="3">
        <v>175208.0</v>
      </c>
      <c r="B7698" s="3" t="s">
        <v>7725</v>
      </c>
      <c r="C7698" s="3" t="s">
        <v>228</v>
      </c>
      <c r="D7698" s="3">
        <v>343.0</v>
      </c>
      <c r="E7698" s="3">
        <v>2.07</v>
      </c>
      <c r="F7698" s="3">
        <v>23.85</v>
      </c>
      <c r="G7698" s="3">
        <v>59.64</v>
      </c>
    </row>
    <row r="7699">
      <c r="A7699" s="3">
        <v>175209.0</v>
      </c>
      <c r="B7699" s="3" t="s">
        <v>7726</v>
      </c>
      <c r="C7699" s="3" t="s">
        <v>228</v>
      </c>
      <c r="D7699" s="3">
        <v>117.0</v>
      </c>
      <c r="E7699" s="3">
        <v>0.71</v>
      </c>
      <c r="F7699" s="3">
        <v>8.13</v>
      </c>
      <c r="G7699" s="3">
        <v>20.32</v>
      </c>
    </row>
    <row r="7700">
      <c r="A7700" s="3">
        <v>175210.0</v>
      </c>
      <c r="B7700" s="3" t="s">
        <v>7727</v>
      </c>
      <c r="C7700" s="3" t="s">
        <v>228</v>
      </c>
      <c r="D7700" s="3">
        <v>344.0</v>
      </c>
      <c r="E7700" s="3">
        <v>1.69</v>
      </c>
      <c r="F7700" s="3">
        <v>23.9</v>
      </c>
      <c r="G7700" s="3">
        <v>60.74</v>
      </c>
    </row>
    <row r="7701">
      <c r="A7701" s="3">
        <v>175211.0</v>
      </c>
      <c r="B7701" s="3" t="s">
        <v>7728</v>
      </c>
      <c r="C7701" s="3" t="s">
        <v>228</v>
      </c>
      <c r="D7701" s="3">
        <v>117.0</v>
      </c>
      <c r="E7701" s="3">
        <v>0.58</v>
      </c>
      <c r="F7701" s="3">
        <v>8.14</v>
      </c>
      <c r="G7701" s="3">
        <v>20.69</v>
      </c>
    </row>
    <row r="7702">
      <c r="A7702" s="3">
        <v>175212.0</v>
      </c>
      <c r="B7702" s="3" t="s">
        <v>7729</v>
      </c>
      <c r="C7702" s="3" t="s">
        <v>228</v>
      </c>
      <c r="D7702" s="3">
        <v>44.0</v>
      </c>
      <c r="E7702" s="3">
        <v>1.6</v>
      </c>
      <c r="F7702" s="3">
        <v>2.9</v>
      </c>
      <c r="G7702" s="3">
        <v>4.5</v>
      </c>
    </row>
    <row r="7703">
      <c r="A7703" s="3">
        <v>175213.0</v>
      </c>
      <c r="B7703" s="3" t="s">
        <v>7730</v>
      </c>
      <c r="C7703" s="3" t="s">
        <v>228</v>
      </c>
      <c r="D7703" s="3">
        <v>47.0</v>
      </c>
      <c r="E7703" s="3">
        <v>1.8</v>
      </c>
      <c r="F7703" s="3">
        <v>3.2</v>
      </c>
      <c r="G7703" s="3">
        <v>4.5</v>
      </c>
    </row>
    <row r="7704">
      <c r="A7704" s="3">
        <v>175214.0</v>
      </c>
      <c r="B7704" s="3" t="s">
        <v>7731</v>
      </c>
      <c r="C7704" s="3" t="s">
        <v>228</v>
      </c>
      <c r="D7704" s="3">
        <v>30.0</v>
      </c>
      <c r="E7704" s="3">
        <v>0.82</v>
      </c>
      <c r="F7704" s="3">
        <v>1.6</v>
      </c>
      <c r="G7704" s="3">
        <v>4.1</v>
      </c>
    </row>
    <row r="7705">
      <c r="A7705" s="3">
        <v>175215.0</v>
      </c>
      <c r="B7705" s="3" t="s">
        <v>7732</v>
      </c>
      <c r="C7705" s="3" t="s">
        <v>228</v>
      </c>
      <c r="D7705" s="3">
        <v>33.0</v>
      </c>
      <c r="E7705" s="3">
        <v>1.61</v>
      </c>
      <c r="F7705" s="3">
        <v>2.86</v>
      </c>
      <c r="G7705" s="3">
        <v>1.74</v>
      </c>
    </row>
    <row r="7706">
      <c r="A7706" s="3">
        <v>175216.0</v>
      </c>
      <c r="B7706" s="3" t="s">
        <v>7733</v>
      </c>
      <c r="C7706" s="3" t="s">
        <v>228</v>
      </c>
      <c r="D7706" s="3">
        <v>28.0</v>
      </c>
      <c r="E7706" s="3">
        <v>0.04</v>
      </c>
      <c r="F7706" s="3">
        <v>2.47</v>
      </c>
      <c r="G7706" s="3">
        <v>4.14</v>
      </c>
    </row>
    <row r="7707">
      <c r="A7707" s="3">
        <v>175217.0</v>
      </c>
      <c r="B7707" s="3" t="s">
        <v>7734</v>
      </c>
      <c r="C7707" s="3" t="s">
        <v>228</v>
      </c>
      <c r="D7707" s="3">
        <v>44.0</v>
      </c>
      <c r="E7707" s="3">
        <v>0.04</v>
      </c>
      <c r="F7707" s="3">
        <v>2.47</v>
      </c>
      <c r="G7707" s="3">
        <v>8.51</v>
      </c>
    </row>
    <row r="7708">
      <c r="A7708" s="3">
        <v>175218.0</v>
      </c>
      <c r="B7708" s="3" t="s">
        <v>7735</v>
      </c>
      <c r="C7708" s="3" t="s">
        <v>228</v>
      </c>
      <c r="D7708" s="3">
        <v>41.0</v>
      </c>
      <c r="E7708" s="3">
        <v>1.65</v>
      </c>
      <c r="F7708" s="3">
        <v>2.88</v>
      </c>
      <c r="G7708" s="3">
        <v>3.29</v>
      </c>
    </row>
    <row r="7709">
      <c r="A7709" s="3">
        <v>175219.0</v>
      </c>
      <c r="B7709" s="3" t="s">
        <v>7736</v>
      </c>
      <c r="C7709" s="3" t="s">
        <v>228</v>
      </c>
      <c r="D7709" s="3">
        <v>41.0</v>
      </c>
      <c r="E7709" s="3">
        <v>1.44</v>
      </c>
      <c r="F7709" s="3">
        <v>2.47</v>
      </c>
      <c r="G7709" s="3">
        <v>4.12</v>
      </c>
    </row>
    <row r="7710">
      <c r="A7710" s="3">
        <v>175220.0</v>
      </c>
      <c r="B7710" s="3" t="s">
        <v>7737</v>
      </c>
      <c r="C7710" s="3" t="s">
        <v>228</v>
      </c>
      <c r="D7710" s="3">
        <v>45.0</v>
      </c>
      <c r="E7710" s="3">
        <v>2.06</v>
      </c>
      <c r="F7710" s="3">
        <v>2.88</v>
      </c>
      <c r="G7710" s="3">
        <v>3.29</v>
      </c>
    </row>
    <row r="7711">
      <c r="A7711" s="3">
        <v>175221.0</v>
      </c>
      <c r="B7711" s="3" t="s">
        <v>7738</v>
      </c>
      <c r="C7711" s="3" t="s">
        <v>228</v>
      </c>
      <c r="D7711" s="3">
        <v>41.0</v>
      </c>
      <c r="E7711" s="3">
        <v>1.44</v>
      </c>
      <c r="F7711" s="3">
        <v>2.47</v>
      </c>
      <c r="G7711" s="3">
        <v>4.53</v>
      </c>
    </row>
    <row r="7712">
      <c r="A7712" s="3">
        <v>175222.0</v>
      </c>
      <c r="B7712" s="3" t="s">
        <v>7739</v>
      </c>
      <c r="C7712" s="3" t="s">
        <v>228</v>
      </c>
      <c r="D7712" s="3">
        <v>41.0</v>
      </c>
      <c r="E7712" s="3">
        <v>1.44</v>
      </c>
      <c r="F7712" s="3">
        <v>2.47</v>
      </c>
      <c r="G7712" s="3">
        <v>5.76</v>
      </c>
    </row>
    <row r="7713">
      <c r="A7713" s="3">
        <v>175223.0</v>
      </c>
      <c r="B7713" s="3" t="s">
        <v>7740</v>
      </c>
      <c r="C7713" s="3" t="s">
        <v>228</v>
      </c>
      <c r="D7713" s="3">
        <v>33.0</v>
      </c>
      <c r="E7713" s="3">
        <v>1.65</v>
      </c>
      <c r="F7713" s="3">
        <v>2.88</v>
      </c>
      <c r="G7713" s="3">
        <v>1.65</v>
      </c>
    </row>
    <row r="7714">
      <c r="A7714" s="3">
        <v>175224.0</v>
      </c>
      <c r="B7714" s="3" t="s">
        <v>7741</v>
      </c>
      <c r="C7714" s="3" t="s">
        <v>228</v>
      </c>
      <c r="D7714" s="3">
        <v>62.0</v>
      </c>
      <c r="E7714" s="3">
        <v>1.44</v>
      </c>
      <c r="F7714" s="3">
        <v>2.06</v>
      </c>
      <c r="G7714" s="3">
        <v>10.29</v>
      </c>
    </row>
    <row r="7715">
      <c r="A7715" s="3">
        <v>175225.0</v>
      </c>
      <c r="B7715" s="3" t="s">
        <v>7742</v>
      </c>
      <c r="C7715" s="3" t="s">
        <v>228</v>
      </c>
      <c r="D7715" s="3">
        <v>79.0</v>
      </c>
      <c r="E7715" s="3">
        <v>1.76</v>
      </c>
      <c r="F7715" s="3">
        <v>2.64</v>
      </c>
      <c r="G7715" s="3">
        <v>13.66</v>
      </c>
    </row>
    <row r="7716">
      <c r="A7716" s="3">
        <v>175226.0</v>
      </c>
      <c r="B7716" s="3" t="s">
        <v>7743</v>
      </c>
      <c r="C7716" s="3" t="s">
        <v>228</v>
      </c>
      <c r="D7716" s="3">
        <v>88.0</v>
      </c>
      <c r="E7716" s="3">
        <v>1.76</v>
      </c>
      <c r="F7716" s="3">
        <v>2.94</v>
      </c>
      <c r="G7716" s="3">
        <v>14.71</v>
      </c>
    </row>
    <row r="7717">
      <c r="A7717" s="3">
        <v>175227.0</v>
      </c>
      <c r="B7717" s="3" t="s">
        <v>7744</v>
      </c>
      <c r="C7717" s="3" t="s">
        <v>228</v>
      </c>
      <c r="D7717" s="3">
        <v>66.0</v>
      </c>
      <c r="E7717" s="3">
        <v>1.76</v>
      </c>
      <c r="F7717" s="3">
        <v>2.64</v>
      </c>
      <c r="G7717" s="3">
        <v>9.69</v>
      </c>
    </row>
    <row r="7718">
      <c r="A7718" s="3">
        <v>175228.0</v>
      </c>
      <c r="B7718" s="3" t="s">
        <v>7745</v>
      </c>
      <c r="C7718" s="3" t="s">
        <v>228</v>
      </c>
      <c r="D7718" s="3">
        <v>94.0</v>
      </c>
      <c r="E7718" s="3">
        <v>1.18</v>
      </c>
      <c r="F7718" s="3">
        <v>2.35</v>
      </c>
      <c r="G7718" s="3">
        <v>18.24</v>
      </c>
    </row>
    <row r="7719">
      <c r="A7719" s="3">
        <v>175229.0</v>
      </c>
      <c r="B7719" s="3" t="s">
        <v>7746</v>
      </c>
      <c r="C7719" s="3" t="s">
        <v>228</v>
      </c>
      <c r="D7719" s="3">
        <v>88.0</v>
      </c>
      <c r="E7719" s="3">
        <v>1.18</v>
      </c>
      <c r="F7719" s="3">
        <v>2.35</v>
      </c>
      <c r="G7719" s="3">
        <v>17.65</v>
      </c>
    </row>
    <row r="7720">
      <c r="A7720" s="3">
        <v>175230.0</v>
      </c>
      <c r="B7720" s="3" t="s">
        <v>7747</v>
      </c>
      <c r="C7720" s="3" t="s">
        <v>228</v>
      </c>
      <c r="D7720" s="3">
        <v>88.0</v>
      </c>
      <c r="E7720" s="3">
        <v>1.18</v>
      </c>
      <c r="F7720" s="3">
        <v>2.35</v>
      </c>
      <c r="G7720" s="3">
        <v>17.06</v>
      </c>
    </row>
    <row r="7721">
      <c r="A7721" s="3">
        <v>175231.0</v>
      </c>
      <c r="B7721" s="3" t="s">
        <v>7748</v>
      </c>
      <c r="C7721" s="3" t="s">
        <v>228</v>
      </c>
      <c r="D7721" s="3">
        <v>100.0</v>
      </c>
      <c r="E7721" s="3">
        <v>6.67</v>
      </c>
      <c r="F7721" s="3">
        <v>0.0</v>
      </c>
      <c r="G7721" s="3">
        <v>6.67</v>
      </c>
    </row>
    <row r="7722">
      <c r="A7722" s="3">
        <v>175232.0</v>
      </c>
      <c r="B7722" s="3" t="s">
        <v>7749</v>
      </c>
      <c r="C7722" s="3" t="s">
        <v>228</v>
      </c>
      <c r="D7722" s="3">
        <v>133.0</v>
      </c>
      <c r="E7722" s="3">
        <v>6.67</v>
      </c>
      <c r="F7722" s="3">
        <v>0.0</v>
      </c>
      <c r="G7722" s="3">
        <v>20.0</v>
      </c>
    </row>
    <row r="7723">
      <c r="A7723" s="3">
        <v>175233.0</v>
      </c>
      <c r="B7723" s="3" t="s">
        <v>7750</v>
      </c>
      <c r="C7723" s="3" t="s">
        <v>228</v>
      </c>
      <c r="D7723" s="3">
        <v>74.0</v>
      </c>
      <c r="E7723" s="3">
        <v>3.4</v>
      </c>
      <c r="F7723" s="3">
        <v>9.19</v>
      </c>
      <c r="G7723" s="3">
        <v>1.71</v>
      </c>
    </row>
    <row r="7724">
      <c r="A7724" s="3">
        <v>175234.0</v>
      </c>
      <c r="B7724" s="3" t="s">
        <v>7751</v>
      </c>
      <c r="C7724" s="3" t="s">
        <v>228</v>
      </c>
      <c r="D7724" s="3">
        <v>115.0</v>
      </c>
      <c r="E7724" s="3">
        <v>5.9</v>
      </c>
      <c r="F7724" s="3">
        <v>13.24</v>
      </c>
      <c r="G7724" s="3">
        <v>2.16</v>
      </c>
    </row>
    <row r="7725">
      <c r="A7725" s="3">
        <v>175235.0</v>
      </c>
      <c r="B7725" s="3" t="s">
        <v>7752</v>
      </c>
      <c r="C7725" s="3" t="s">
        <v>228</v>
      </c>
      <c r="D7725" s="3">
        <v>88.0</v>
      </c>
      <c r="E7725" s="3">
        <v>4.6</v>
      </c>
      <c r="F7725" s="3">
        <v>10.07</v>
      </c>
      <c r="G7725" s="3">
        <v>1.53</v>
      </c>
    </row>
    <row r="7726">
      <c r="A7726" s="3">
        <v>175236.0</v>
      </c>
      <c r="B7726" s="3" t="s">
        <v>7753</v>
      </c>
      <c r="C7726" s="3" t="s">
        <v>228</v>
      </c>
      <c r="D7726" s="3">
        <v>80.0</v>
      </c>
      <c r="E7726" s="3">
        <v>4.2</v>
      </c>
      <c r="F7726" s="3">
        <v>9.08</v>
      </c>
      <c r="G7726" s="3">
        <v>1.52</v>
      </c>
    </row>
    <row r="7727">
      <c r="A7727" s="3">
        <v>175237.0</v>
      </c>
      <c r="B7727" s="3" t="s">
        <v>7754</v>
      </c>
      <c r="C7727" s="3" t="s">
        <v>228</v>
      </c>
      <c r="D7727" s="3">
        <v>132.0</v>
      </c>
      <c r="E7727" s="3">
        <v>0.54</v>
      </c>
      <c r="F7727" s="3">
        <v>8.86</v>
      </c>
      <c r="G7727" s="3">
        <v>23.71</v>
      </c>
    </row>
    <row r="7728">
      <c r="A7728" s="3">
        <v>175238.0</v>
      </c>
      <c r="B7728" s="3" t="s">
        <v>7755</v>
      </c>
      <c r="C7728" s="3" t="s">
        <v>228</v>
      </c>
      <c r="D7728" s="3">
        <v>91.0</v>
      </c>
      <c r="E7728" s="3">
        <v>0.29</v>
      </c>
      <c r="F7728" s="3">
        <v>6.03</v>
      </c>
      <c r="G7728" s="3">
        <v>16.55</v>
      </c>
    </row>
    <row r="7729">
      <c r="A7729" s="3">
        <v>175239.0</v>
      </c>
      <c r="B7729" s="3" t="s">
        <v>7756</v>
      </c>
      <c r="C7729" s="3" t="s">
        <v>228</v>
      </c>
      <c r="D7729" s="3">
        <v>130.0</v>
      </c>
      <c r="E7729" s="3">
        <v>0.35</v>
      </c>
      <c r="F7729" s="3">
        <v>8.18</v>
      </c>
      <c r="G7729" s="3">
        <v>24.35</v>
      </c>
    </row>
    <row r="7730">
      <c r="A7730" s="3">
        <v>175240.0</v>
      </c>
      <c r="B7730" s="3" t="s">
        <v>7757</v>
      </c>
      <c r="C7730" s="3" t="s">
        <v>228</v>
      </c>
      <c r="D7730" s="3">
        <v>136.0</v>
      </c>
      <c r="E7730" s="3">
        <v>0.46</v>
      </c>
      <c r="F7730" s="3">
        <v>9.34</v>
      </c>
      <c r="G7730" s="3">
        <v>24.46</v>
      </c>
    </row>
    <row r="7731">
      <c r="A7731" s="3">
        <v>175241.0</v>
      </c>
      <c r="B7731" s="3" t="s">
        <v>7758</v>
      </c>
      <c r="C7731" s="3" t="s">
        <v>228</v>
      </c>
      <c r="D7731" s="3">
        <v>129.0</v>
      </c>
      <c r="E7731" s="3">
        <v>0.76</v>
      </c>
      <c r="F7731" s="3">
        <v>7.05</v>
      </c>
      <c r="G7731" s="3">
        <v>24.02</v>
      </c>
    </row>
    <row r="7732">
      <c r="A7732" s="3">
        <v>175242.0</v>
      </c>
      <c r="B7732" s="3" t="s">
        <v>7759</v>
      </c>
      <c r="C7732" s="3" t="s">
        <v>228</v>
      </c>
      <c r="D7732" s="3">
        <v>127.0</v>
      </c>
      <c r="E7732" s="3">
        <v>0.5</v>
      </c>
      <c r="F7732" s="3">
        <v>8.67</v>
      </c>
      <c r="G7732" s="3">
        <v>22.8</v>
      </c>
    </row>
    <row r="7733">
      <c r="A7733" s="3">
        <v>175243.0</v>
      </c>
      <c r="B7733" s="3" t="s">
        <v>7760</v>
      </c>
      <c r="C7733" s="3" t="s">
        <v>228</v>
      </c>
      <c r="D7733" s="3">
        <v>121.0</v>
      </c>
      <c r="E7733" s="3">
        <v>0.93</v>
      </c>
      <c r="F7733" s="3">
        <v>8.12</v>
      </c>
      <c r="G7733" s="3">
        <v>20.8</v>
      </c>
    </row>
    <row r="7734">
      <c r="A7734" s="3">
        <v>175244.0</v>
      </c>
      <c r="B7734" s="3" t="s">
        <v>7761</v>
      </c>
      <c r="C7734" s="3" t="s">
        <v>228</v>
      </c>
      <c r="D7734" s="3">
        <v>123.0</v>
      </c>
      <c r="E7734" s="3">
        <v>0.17</v>
      </c>
      <c r="F7734" s="3">
        <v>9.49</v>
      </c>
      <c r="G7734" s="3">
        <v>21.85</v>
      </c>
    </row>
    <row r="7735">
      <c r="A7735" s="3">
        <v>175245.0</v>
      </c>
      <c r="B7735" s="3" t="s">
        <v>7762</v>
      </c>
      <c r="C7735" s="3" t="s">
        <v>228</v>
      </c>
      <c r="D7735" s="3">
        <v>81.0</v>
      </c>
      <c r="E7735" s="3">
        <v>0.36</v>
      </c>
      <c r="F7735" s="3">
        <v>5.22</v>
      </c>
      <c r="G7735" s="3">
        <v>14.83</v>
      </c>
    </row>
    <row r="7736">
      <c r="A7736" s="3">
        <v>175246.0</v>
      </c>
      <c r="B7736" s="3" t="s">
        <v>7763</v>
      </c>
      <c r="C7736" s="3" t="s">
        <v>228</v>
      </c>
      <c r="D7736" s="3">
        <v>142.0</v>
      </c>
      <c r="E7736" s="3">
        <v>0.64</v>
      </c>
      <c r="F7736" s="3">
        <v>8.97</v>
      </c>
      <c r="G7736" s="3">
        <v>25.81</v>
      </c>
    </row>
    <row r="7737">
      <c r="A7737" s="3">
        <v>175247.0</v>
      </c>
      <c r="B7737" s="3" t="s">
        <v>7764</v>
      </c>
      <c r="C7737" s="3" t="s">
        <v>228</v>
      </c>
      <c r="D7737" s="3">
        <v>82.0</v>
      </c>
      <c r="E7737" s="3">
        <v>0.56</v>
      </c>
      <c r="F7737" s="3">
        <v>4.6</v>
      </c>
      <c r="G7737" s="3">
        <v>15.18</v>
      </c>
    </row>
    <row r="7738">
      <c r="A7738" s="3">
        <v>175248.0</v>
      </c>
      <c r="B7738" s="3" t="s">
        <v>7765</v>
      </c>
      <c r="C7738" s="3" t="s">
        <v>228</v>
      </c>
      <c r="D7738" s="3">
        <v>144.0</v>
      </c>
      <c r="E7738" s="3">
        <v>1.08</v>
      </c>
      <c r="F7738" s="3">
        <v>9.16</v>
      </c>
      <c r="G7738" s="3">
        <v>25.28</v>
      </c>
    </row>
    <row r="7739">
      <c r="A7739" s="3">
        <v>175249.0</v>
      </c>
      <c r="B7739" s="3" t="s">
        <v>7766</v>
      </c>
      <c r="C7739" s="3" t="s">
        <v>228</v>
      </c>
      <c r="D7739" s="3">
        <v>139.0</v>
      </c>
      <c r="E7739" s="3">
        <v>0.35</v>
      </c>
      <c r="F7739" s="3">
        <v>9.73</v>
      </c>
      <c r="G7739" s="3">
        <v>25.09</v>
      </c>
    </row>
    <row r="7740">
      <c r="A7740" s="3">
        <v>175250.0</v>
      </c>
      <c r="B7740" s="3" t="s">
        <v>7767</v>
      </c>
      <c r="C7740" s="3" t="s">
        <v>228</v>
      </c>
      <c r="D7740" s="3">
        <v>88.0</v>
      </c>
      <c r="E7740" s="3">
        <v>1.95</v>
      </c>
      <c r="F7740" s="3">
        <v>4.92</v>
      </c>
      <c r="G7740" s="3">
        <v>13.49</v>
      </c>
    </row>
    <row r="7741">
      <c r="A7741" s="3">
        <v>175251.0</v>
      </c>
      <c r="B7741" s="3" t="s">
        <v>7768</v>
      </c>
      <c r="C7741" s="3" t="s">
        <v>228</v>
      </c>
      <c r="D7741" s="3">
        <v>117.0</v>
      </c>
      <c r="E7741" s="3">
        <v>0.71</v>
      </c>
      <c r="F7741" s="3">
        <v>8.13</v>
      </c>
      <c r="G7741" s="3">
        <v>20.32</v>
      </c>
    </row>
    <row r="7742">
      <c r="A7742" s="3">
        <v>175252.0</v>
      </c>
      <c r="B7742" s="3" t="s">
        <v>7769</v>
      </c>
      <c r="C7742" s="3" t="s">
        <v>228</v>
      </c>
      <c r="D7742" s="3">
        <v>116.0</v>
      </c>
      <c r="E7742" s="3">
        <v>0.53</v>
      </c>
      <c r="F7742" s="3">
        <v>7.73</v>
      </c>
      <c r="G7742" s="3">
        <v>20.76</v>
      </c>
    </row>
    <row r="7743">
      <c r="A7743" s="3">
        <v>175253.0</v>
      </c>
      <c r="B7743" s="3" t="s">
        <v>7770</v>
      </c>
      <c r="C7743" s="3" t="s">
        <v>228</v>
      </c>
      <c r="D7743" s="3">
        <v>117.0</v>
      </c>
      <c r="E7743" s="3">
        <v>0.58</v>
      </c>
      <c r="F7743" s="3">
        <v>8.14</v>
      </c>
      <c r="G7743" s="3">
        <v>20.7</v>
      </c>
    </row>
    <row r="7744">
      <c r="A7744" s="3">
        <v>175254.0</v>
      </c>
      <c r="B7744" s="3" t="s">
        <v>7771</v>
      </c>
      <c r="C7744" s="3" t="s">
        <v>228</v>
      </c>
      <c r="D7744" s="3">
        <v>114.0</v>
      </c>
      <c r="E7744" s="3">
        <v>0.38</v>
      </c>
      <c r="F7744" s="3">
        <v>9.02</v>
      </c>
      <c r="G7744" s="3">
        <v>19.54</v>
      </c>
    </row>
    <row r="7745">
      <c r="A7745" s="3">
        <v>175255.0</v>
      </c>
      <c r="B7745" s="3" t="s">
        <v>7772</v>
      </c>
      <c r="C7745" s="3" t="s">
        <v>228</v>
      </c>
      <c r="D7745" s="3">
        <v>105.0</v>
      </c>
      <c r="E7745" s="3">
        <v>0.38</v>
      </c>
      <c r="F7745" s="3">
        <v>7.02</v>
      </c>
      <c r="G7745" s="3">
        <v>19.15</v>
      </c>
    </row>
    <row r="7746">
      <c r="A7746" s="3">
        <v>175256.0</v>
      </c>
      <c r="B7746" s="3" t="s">
        <v>7773</v>
      </c>
      <c r="C7746" s="3" t="s">
        <v>228</v>
      </c>
      <c r="D7746" s="3">
        <v>105.0</v>
      </c>
      <c r="E7746" s="3">
        <v>0.55</v>
      </c>
      <c r="F7746" s="3">
        <v>7.54</v>
      </c>
      <c r="G7746" s="3">
        <v>18.34</v>
      </c>
    </row>
    <row r="7747">
      <c r="A7747" s="3">
        <v>175257.0</v>
      </c>
      <c r="B7747" s="3" t="s">
        <v>7774</v>
      </c>
      <c r="C7747" s="3" t="s">
        <v>228</v>
      </c>
      <c r="D7747" s="3">
        <v>116.0</v>
      </c>
      <c r="E7747" s="3">
        <v>0.39</v>
      </c>
      <c r="F7747" s="3">
        <v>8.34</v>
      </c>
      <c r="G7747" s="3">
        <v>20.51</v>
      </c>
    </row>
    <row r="7748">
      <c r="A7748" s="3">
        <v>175258.0</v>
      </c>
      <c r="B7748" s="3" t="s">
        <v>7775</v>
      </c>
      <c r="C7748" s="3" t="s">
        <v>228</v>
      </c>
      <c r="D7748" s="3">
        <v>599.0</v>
      </c>
      <c r="E7748" s="3">
        <v>52.5</v>
      </c>
      <c r="F7748" s="3">
        <v>28.03</v>
      </c>
      <c r="G7748" s="3">
        <v>15.26</v>
      </c>
    </row>
    <row r="7749">
      <c r="A7749" s="3">
        <v>175259.0</v>
      </c>
      <c r="B7749" s="3" t="s">
        <v>7776</v>
      </c>
      <c r="C7749" s="3" t="s">
        <v>189</v>
      </c>
      <c r="D7749" s="3">
        <v>315.0</v>
      </c>
      <c r="E7749" s="3">
        <v>23.88</v>
      </c>
      <c r="F7749" s="3">
        <v>23.43</v>
      </c>
      <c r="G7749" s="3">
        <v>0.0</v>
      </c>
    </row>
    <row r="7750">
      <c r="A7750" s="3">
        <v>175260.0</v>
      </c>
      <c r="B7750" s="3" t="s">
        <v>7777</v>
      </c>
      <c r="C7750" s="3" t="s">
        <v>189</v>
      </c>
      <c r="D7750" s="3">
        <v>160.0</v>
      </c>
      <c r="E7750" s="3">
        <v>8.61</v>
      </c>
      <c r="F7750" s="3">
        <v>20.65</v>
      </c>
      <c r="G7750" s="3">
        <v>0.0</v>
      </c>
    </row>
    <row r="7751">
      <c r="A7751" s="3">
        <v>175261.0</v>
      </c>
      <c r="B7751" s="3" t="s">
        <v>7778</v>
      </c>
      <c r="C7751" s="3" t="s">
        <v>189</v>
      </c>
      <c r="D7751" s="3">
        <v>193.0</v>
      </c>
      <c r="E7751" s="3">
        <v>10.63</v>
      </c>
      <c r="F7751" s="3">
        <v>24.43</v>
      </c>
      <c r="G7751" s="3">
        <v>0.0</v>
      </c>
    </row>
    <row r="7752">
      <c r="A7752" s="3">
        <v>175262.0</v>
      </c>
      <c r="B7752" s="3" t="s">
        <v>7779</v>
      </c>
      <c r="C7752" s="3" t="s">
        <v>189</v>
      </c>
      <c r="D7752" s="3">
        <v>272.0</v>
      </c>
      <c r="E7752" s="3">
        <v>22.89</v>
      </c>
      <c r="F7752" s="3">
        <v>16.16</v>
      </c>
      <c r="G7752" s="3">
        <v>0.24</v>
      </c>
    </row>
    <row r="7753">
      <c r="A7753" s="3">
        <v>175263.0</v>
      </c>
      <c r="B7753" s="3" t="s">
        <v>7780</v>
      </c>
      <c r="C7753" s="3" t="s">
        <v>189</v>
      </c>
      <c r="D7753" s="3">
        <v>357.0</v>
      </c>
      <c r="E7753" s="3">
        <v>26.27</v>
      </c>
      <c r="F7753" s="3">
        <v>28.21</v>
      </c>
      <c r="G7753" s="3">
        <v>0.0</v>
      </c>
    </row>
    <row r="7754">
      <c r="A7754" s="3">
        <v>175264.0</v>
      </c>
      <c r="B7754" s="3" t="s">
        <v>7781</v>
      </c>
      <c r="C7754" s="3" t="s">
        <v>189</v>
      </c>
      <c r="D7754" s="3">
        <v>154.0</v>
      </c>
      <c r="E7754" s="3">
        <v>8.3</v>
      </c>
      <c r="F7754" s="3">
        <v>19.72</v>
      </c>
      <c r="G7754" s="3">
        <v>0.0</v>
      </c>
    </row>
    <row r="7755">
      <c r="A7755" s="3">
        <v>175265.0</v>
      </c>
      <c r="B7755" s="3" t="s">
        <v>7782</v>
      </c>
      <c r="C7755" s="3" t="s">
        <v>189</v>
      </c>
      <c r="D7755" s="3">
        <v>196.0</v>
      </c>
      <c r="E7755" s="3">
        <v>6.58</v>
      </c>
      <c r="F7755" s="3">
        <v>31.9</v>
      </c>
      <c r="G7755" s="3">
        <v>0.0</v>
      </c>
    </row>
    <row r="7756">
      <c r="A7756" s="3">
        <v>175266.0</v>
      </c>
      <c r="B7756" s="3" t="s">
        <v>7783</v>
      </c>
      <c r="C7756" s="3" t="s">
        <v>189</v>
      </c>
      <c r="D7756" s="3">
        <v>638.0</v>
      </c>
      <c r="E7756" s="3">
        <v>67.83</v>
      </c>
      <c r="F7756" s="3">
        <v>6.02</v>
      </c>
      <c r="G7756" s="3">
        <v>0.0</v>
      </c>
    </row>
    <row r="7757">
      <c r="A7757" s="3">
        <v>175267.0</v>
      </c>
      <c r="B7757" s="3" t="s">
        <v>7784</v>
      </c>
      <c r="C7757" s="3" t="s">
        <v>189</v>
      </c>
      <c r="D7757" s="3">
        <v>642.0</v>
      </c>
      <c r="E7757" s="3">
        <v>66.74</v>
      </c>
      <c r="F7757" s="3">
        <v>9.42</v>
      </c>
      <c r="G7757" s="3">
        <v>0.0</v>
      </c>
    </row>
    <row r="7758">
      <c r="A7758" s="3">
        <v>175268.0</v>
      </c>
      <c r="B7758" s="3" t="s">
        <v>7785</v>
      </c>
      <c r="C7758" s="3" t="s">
        <v>189</v>
      </c>
      <c r="D7758" s="3">
        <v>117.0</v>
      </c>
      <c r="E7758" s="3">
        <v>3.08</v>
      </c>
      <c r="F7758" s="3">
        <v>20.98</v>
      </c>
      <c r="G7758" s="3">
        <v>0.0</v>
      </c>
    </row>
    <row r="7759">
      <c r="A7759" s="3">
        <v>175269.0</v>
      </c>
      <c r="B7759" s="3" t="s">
        <v>7786</v>
      </c>
      <c r="C7759" s="3" t="s">
        <v>189</v>
      </c>
      <c r="D7759" s="3">
        <v>107.0</v>
      </c>
      <c r="E7759" s="3">
        <v>1.76</v>
      </c>
      <c r="F7759" s="3">
        <v>21.28</v>
      </c>
      <c r="G7759" s="3">
        <v>0.0</v>
      </c>
    </row>
    <row r="7760">
      <c r="A7760" s="3">
        <v>175270.0</v>
      </c>
      <c r="B7760" s="3" t="s">
        <v>7787</v>
      </c>
      <c r="C7760" s="3" t="s">
        <v>189</v>
      </c>
      <c r="D7760" s="3">
        <v>203.0</v>
      </c>
      <c r="E7760" s="3">
        <v>5.09</v>
      </c>
      <c r="F7760" s="3">
        <v>36.71</v>
      </c>
      <c r="G7760" s="3">
        <v>0.0</v>
      </c>
    </row>
    <row r="7761">
      <c r="A7761" s="3">
        <v>175271.0</v>
      </c>
      <c r="B7761" s="3" t="s">
        <v>7788</v>
      </c>
      <c r="C7761" s="3" t="s">
        <v>189</v>
      </c>
      <c r="D7761" s="3">
        <v>216.0</v>
      </c>
      <c r="E7761" s="3">
        <v>6.27</v>
      </c>
      <c r="F7761" s="3">
        <v>28.41</v>
      </c>
      <c r="G7761" s="3">
        <v>9.84</v>
      </c>
    </row>
    <row r="7762">
      <c r="A7762" s="3">
        <v>175272.0</v>
      </c>
      <c r="B7762" s="3" t="s">
        <v>7789</v>
      </c>
      <c r="C7762" s="3" t="s">
        <v>189</v>
      </c>
      <c r="D7762" s="3">
        <v>183.0</v>
      </c>
      <c r="E7762" s="3">
        <v>4.62</v>
      </c>
      <c r="F7762" s="3">
        <v>33.17</v>
      </c>
      <c r="G7762" s="3">
        <v>0.0</v>
      </c>
    </row>
    <row r="7763">
      <c r="A7763" s="3">
        <v>175273.0</v>
      </c>
      <c r="B7763" s="3" t="s">
        <v>7790</v>
      </c>
      <c r="C7763" s="3" t="s">
        <v>189</v>
      </c>
      <c r="D7763" s="3">
        <v>226.0</v>
      </c>
      <c r="E7763" s="3">
        <v>9.15</v>
      </c>
      <c r="F7763" s="3">
        <v>33.57</v>
      </c>
      <c r="G7763" s="3">
        <v>0.0</v>
      </c>
    </row>
    <row r="7764">
      <c r="A7764" s="3">
        <v>175274.0</v>
      </c>
      <c r="B7764" s="3" t="s">
        <v>7791</v>
      </c>
      <c r="C7764" s="3" t="s">
        <v>189</v>
      </c>
      <c r="D7764" s="3">
        <v>175.0</v>
      </c>
      <c r="E7764" s="3">
        <v>6.94</v>
      </c>
      <c r="F7764" s="3">
        <v>26.32</v>
      </c>
      <c r="G7764" s="3">
        <v>0.0</v>
      </c>
    </row>
    <row r="7765">
      <c r="A7765" s="3">
        <v>175275.0</v>
      </c>
      <c r="B7765" s="3" t="s">
        <v>7792</v>
      </c>
      <c r="C7765" s="3" t="s">
        <v>189</v>
      </c>
      <c r="D7765" s="3">
        <v>162.0</v>
      </c>
      <c r="E7765" s="3">
        <v>9.01</v>
      </c>
      <c r="F7765" s="3">
        <v>18.86</v>
      </c>
      <c r="G7765" s="3">
        <v>0.0</v>
      </c>
    </row>
    <row r="7766">
      <c r="A7766" s="3">
        <v>175276.0</v>
      </c>
      <c r="B7766" s="3" t="s">
        <v>7793</v>
      </c>
      <c r="C7766" s="3" t="s">
        <v>189</v>
      </c>
      <c r="D7766" s="3">
        <v>251.0</v>
      </c>
      <c r="E7766" s="3">
        <v>12.53</v>
      </c>
      <c r="F7766" s="3">
        <v>32.43</v>
      </c>
      <c r="G7766" s="3">
        <v>0.0</v>
      </c>
    </row>
    <row r="7767">
      <c r="A7767" s="3">
        <v>175277.0</v>
      </c>
      <c r="B7767" s="3" t="s">
        <v>7794</v>
      </c>
      <c r="C7767" s="3" t="s">
        <v>189</v>
      </c>
      <c r="D7767" s="3">
        <v>130.0</v>
      </c>
      <c r="E7767" s="3">
        <v>5.28</v>
      </c>
      <c r="F7767" s="3">
        <v>19.27</v>
      </c>
      <c r="G7767" s="3">
        <v>0.0</v>
      </c>
    </row>
    <row r="7768">
      <c r="A7768" s="3">
        <v>175278.0</v>
      </c>
      <c r="B7768" s="3" t="s">
        <v>7795</v>
      </c>
      <c r="C7768" s="3" t="s">
        <v>189</v>
      </c>
      <c r="D7768" s="3">
        <v>228.0</v>
      </c>
      <c r="E7768" s="3">
        <v>10.14</v>
      </c>
      <c r="F7768" s="3">
        <v>32.06</v>
      </c>
      <c r="G7768" s="3">
        <v>0.0</v>
      </c>
    </row>
    <row r="7769">
      <c r="A7769" s="3">
        <v>175279.0</v>
      </c>
      <c r="B7769" s="3" t="s">
        <v>7796</v>
      </c>
      <c r="C7769" s="3" t="s">
        <v>189</v>
      </c>
      <c r="D7769" s="3">
        <v>184.0</v>
      </c>
      <c r="E7769" s="3">
        <v>8.42</v>
      </c>
      <c r="F7769" s="3">
        <v>25.32</v>
      </c>
      <c r="G7769" s="3">
        <v>0.0</v>
      </c>
    </row>
    <row r="7770">
      <c r="A7770" s="3">
        <v>175280.0</v>
      </c>
      <c r="B7770" s="3" t="s">
        <v>7797</v>
      </c>
      <c r="C7770" s="3" t="s">
        <v>189</v>
      </c>
      <c r="D7770" s="3">
        <v>112.0</v>
      </c>
      <c r="E7770" s="3">
        <v>3.0</v>
      </c>
      <c r="F7770" s="3">
        <v>19.79</v>
      </c>
      <c r="G7770" s="3">
        <v>0.0</v>
      </c>
    </row>
    <row r="7771">
      <c r="A7771" s="3">
        <v>175281.0</v>
      </c>
      <c r="B7771" s="3" t="s">
        <v>7798</v>
      </c>
      <c r="C7771" s="3" t="s">
        <v>189</v>
      </c>
      <c r="D7771" s="3">
        <v>183.0</v>
      </c>
      <c r="E7771" s="3">
        <v>8.25</v>
      </c>
      <c r="F7771" s="3">
        <v>25.46</v>
      </c>
      <c r="G7771" s="3">
        <v>0.0</v>
      </c>
    </row>
    <row r="7772">
      <c r="A7772" s="3">
        <v>175282.0</v>
      </c>
      <c r="B7772" s="3" t="s">
        <v>7799</v>
      </c>
      <c r="C7772" s="3" t="s">
        <v>189</v>
      </c>
      <c r="D7772" s="3">
        <v>105.0</v>
      </c>
      <c r="E7772" s="3">
        <v>2.16</v>
      </c>
      <c r="F7772" s="3">
        <v>20.04</v>
      </c>
      <c r="G7772" s="3">
        <v>0.0</v>
      </c>
    </row>
    <row r="7773">
      <c r="A7773" s="3">
        <v>175283.0</v>
      </c>
      <c r="B7773" s="3" t="s">
        <v>7800</v>
      </c>
      <c r="C7773" s="3" t="s">
        <v>189</v>
      </c>
      <c r="D7773" s="3">
        <v>201.0</v>
      </c>
      <c r="E7773" s="3">
        <v>5.33</v>
      </c>
      <c r="F7773" s="3">
        <v>35.73</v>
      </c>
      <c r="G7773" s="3">
        <v>0.0</v>
      </c>
    </row>
    <row r="7774">
      <c r="A7774" s="3">
        <v>175284.0</v>
      </c>
      <c r="B7774" s="3" t="s">
        <v>7801</v>
      </c>
      <c r="C7774" s="3" t="s">
        <v>189</v>
      </c>
      <c r="D7774" s="3">
        <v>164.0</v>
      </c>
      <c r="E7774" s="3">
        <v>5.81</v>
      </c>
      <c r="F7774" s="3">
        <v>26.13</v>
      </c>
      <c r="G7774" s="3">
        <v>0.0</v>
      </c>
    </row>
    <row r="7775">
      <c r="A7775" s="3">
        <v>175285.0</v>
      </c>
      <c r="B7775" s="3" t="s">
        <v>7802</v>
      </c>
      <c r="C7775" s="3" t="s">
        <v>189</v>
      </c>
      <c r="D7775" s="3">
        <v>171.0</v>
      </c>
      <c r="E7775" s="3">
        <v>6.88</v>
      </c>
      <c r="F7775" s="3">
        <v>25.64</v>
      </c>
      <c r="G7775" s="3">
        <v>0.0</v>
      </c>
    </row>
    <row r="7776">
      <c r="A7776" s="3">
        <v>175286.0</v>
      </c>
      <c r="B7776" s="3" t="s">
        <v>7803</v>
      </c>
      <c r="C7776" s="3" t="s">
        <v>189</v>
      </c>
      <c r="D7776" s="3">
        <v>152.0</v>
      </c>
      <c r="E7776" s="3">
        <v>7.81</v>
      </c>
      <c r="F7776" s="3">
        <v>19.07</v>
      </c>
      <c r="G7776" s="3">
        <v>0.0</v>
      </c>
    </row>
    <row r="7777">
      <c r="A7777" s="3">
        <v>175287.0</v>
      </c>
      <c r="B7777" s="3" t="s">
        <v>7804</v>
      </c>
      <c r="C7777" s="3" t="s">
        <v>189</v>
      </c>
      <c r="D7777" s="3">
        <v>252.0</v>
      </c>
      <c r="E7777" s="3">
        <v>13.14</v>
      </c>
      <c r="F7777" s="3">
        <v>31.26</v>
      </c>
      <c r="G7777" s="3">
        <v>0.0</v>
      </c>
    </row>
    <row r="7778">
      <c r="A7778" s="3">
        <v>175288.0</v>
      </c>
      <c r="B7778" s="3" t="s">
        <v>7805</v>
      </c>
      <c r="C7778" s="3" t="s">
        <v>189</v>
      </c>
      <c r="D7778" s="3">
        <v>202.0</v>
      </c>
      <c r="E7778" s="3">
        <v>10.45</v>
      </c>
      <c r="F7778" s="3">
        <v>25.14</v>
      </c>
      <c r="G7778" s="3">
        <v>0.0</v>
      </c>
    </row>
    <row r="7779">
      <c r="A7779" s="3">
        <v>175289.0</v>
      </c>
      <c r="B7779" s="3" t="s">
        <v>7806</v>
      </c>
      <c r="C7779" s="3" t="s">
        <v>189</v>
      </c>
      <c r="D7779" s="3">
        <v>188.0</v>
      </c>
      <c r="E7779" s="3">
        <v>4.31</v>
      </c>
      <c r="F7779" s="3">
        <v>34.94</v>
      </c>
      <c r="G7779" s="3">
        <v>0.0</v>
      </c>
    </row>
    <row r="7780">
      <c r="A7780" s="3">
        <v>175290.0</v>
      </c>
      <c r="B7780" s="3" t="s">
        <v>7807</v>
      </c>
      <c r="C7780" s="3" t="s">
        <v>189</v>
      </c>
      <c r="D7780" s="3">
        <v>197.0</v>
      </c>
      <c r="E7780" s="3">
        <v>13.06</v>
      </c>
      <c r="F7780" s="3">
        <v>18.58</v>
      </c>
      <c r="G7780" s="3">
        <v>0.0</v>
      </c>
    </row>
    <row r="7781">
      <c r="A7781" s="3">
        <v>175291.0</v>
      </c>
      <c r="B7781" s="3" t="s">
        <v>7808</v>
      </c>
      <c r="C7781" s="3" t="s">
        <v>189</v>
      </c>
      <c r="D7781" s="3">
        <v>172.0</v>
      </c>
      <c r="E7781" s="3">
        <v>7.56</v>
      </c>
      <c r="F7781" s="3">
        <v>24.38</v>
      </c>
      <c r="G7781" s="3">
        <v>0.0</v>
      </c>
    </row>
    <row r="7782">
      <c r="A7782" s="3">
        <v>175292.0</v>
      </c>
      <c r="B7782" s="3" t="s">
        <v>7809</v>
      </c>
      <c r="C7782" s="3" t="s">
        <v>189</v>
      </c>
      <c r="D7782" s="3">
        <v>114.0</v>
      </c>
      <c r="E7782" s="3">
        <v>2.03</v>
      </c>
      <c r="F7782" s="3">
        <v>22.38</v>
      </c>
      <c r="G7782" s="3">
        <v>0.0</v>
      </c>
    </row>
    <row r="7783">
      <c r="A7783" s="3">
        <v>175293.0</v>
      </c>
      <c r="B7783" s="3" t="s">
        <v>7810</v>
      </c>
      <c r="C7783" s="3" t="s">
        <v>189</v>
      </c>
      <c r="D7783" s="3">
        <v>146.0</v>
      </c>
      <c r="E7783" s="3">
        <v>7.21</v>
      </c>
      <c r="F7783" s="3">
        <v>20.23</v>
      </c>
      <c r="G7783" s="3">
        <v>0.05</v>
      </c>
    </row>
    <row r="7784">
      <c r="A7784" s="3">
        <v>175294.0</v>
      </c>
      <c r="B7784" s="3" t="s">
        <v>7811</v>
      </c>
      <c r="C7784" s="3" t="s">
        <v>189</v>
      </c>
      <c r="D7784" s="3">
        <v>146.0</v>
      </c>
      <c r="E7784" s="3">
        <v>4.8</v>
      </c>
      <c r="F7784" s="3">
        <v>24.05</v>
      </c>
      <c r="G7784" s="3">
        <v>0.0</v>
      </c>
    </row>
    <row r="7785">
      <c r="A7785" s="3">
        <v>175295.0</v>
      </c>
      <c r="B7785" s="3" t="s">
        <v>7812</v>
      </c>
      <c r="C7785" s="3" t="s">
        <v>189</v>
      </c>
      <c r="D7785" s="3">
        <v>212.0</v>
      </c>
      <c r="E7785" s="3">
        <v>6.96</v>
      </c>
      <c r="F7785" s="3">
        <v>34.85</v>
      </c>
      <c r="G7785" s="3">
        <v>0.0</v>
      </c>
    </row>
    <row r="7786">
      <c r="A7786" s="3">
        <v>175296.0</v>
      </c>
      <c r="B7786" s="3" t="s">
        <v>7813</v>
      </c>
      <c r="C7786" s="3" t="s">
        <v>189</v>
      </c>
      <c r="D7786" s="3">
        <v>143.0</v>
      </c>
      <c r="E7786" s="3">
        <v>4.8</v>
      </c>
      <c r="F7786" s="3">
        <v>23.3</v>
      </c>
      <c r="G7786" s="3">
        <v>0.0</v>
      </c>
    </row>
    <row r="7787">
      <c r="A7787" s="3">
        <v>175297.0</v>
      </c>
      <c r="B7787" s="3" t="s">
        <v>7814</v>
      </c>
      <c r="C7787" s="3" t="s">
        <v>189</v>
      </c>
      <c r="D7787" s="3">
        <v>122.0</v>
      </c>
      <c r="E7787" s="3">
        <v>3.33</v>
      </c>
      <c r="F7787" s="3">
        <v>21.51</v>
      </c>
      <c r="G7787" s="3">
        <v>0.0</v>
      </c>
    </row>
    <row r="7788">
      <c r="A7788" s="3">
        <v>175298.0</v>
      </c>
      <c r="B7788" s="3" t="s">
        <v>7815</v>
      </c>
      <c r="C7788" s="3" t="s">
        <v>189</v>
      </c>
      <c r="D7788" s="3">
        <v>160.0</v>
      </c>
      <c r="E7788" s="3">
        <v>4.38</v>
      </c>
      <c r="F7788" s="3">
        <v>28.3</v>
      </c>
      <c r="G7788" s="3">
        <v>0.0</v>
      </c>
    </row>
    <row r="7789">
      <c r="A7789" s="3">
        <v>175299.0</v>
      </c>
      <c r="B7789" s="3" t="s">
        <v>7816</v>
      </c>
      <c r="C7789" s="3" t="s">
        <v>189</v>
      </c>
      <c r="D7789" s="3">
        <v>99.0</v>
      </c>
      <c r="E7789" s="3">
        <v>1.37</v>
      </c>
      <c r="F7789" s="3">
        <v>20.39</v>
      </c>
      <c r="G7789" s="3">
        <v>0.0</v>
      </c>
    </row>
    <row r="7790">
      <c r="A7790" s="3">
        <v>175300.0</v>
      </c>
      <c r="B7790" s="3" t="s">
        <v>7817</v>
      </c>
      <c r="C7790" s="3" t="s">
        <v>189</v>
      </c>
      <c r="D7790" s="3">
        <v>131.0</v>
      </c>
      <c r="E7790" s="3">
        <v>1.8</v>
      </c>
      <c r="F7790" s="3">
        <v>26.83</v>
      </c>
      <c r="G7790" s="3">
        <v>0.0</v>
      </c>
    </row>
    <row r="7791">
      <c r="A7791" s="3">
        <v>175301.0</v>
      </c>
      <c r="B7791" s="3" t="s">
        <v>7818</v>
      </c>
      <c r="C7791" s="3" t="s">
        <v>189</v>
      </c>
      <c r="D7791" s="3">
        <v>111.0</v>
      </c>
      <c r="E7791" s="3">
        <v>1.45</v>
      </c>
      <c r="F7791" s="3">
        <v>22.95</v>
      </c>
      <c r="G7791" s="3">
        <v>0.0</v>
      </c>
    </row>
    <row r="7792">
      <c r="A7792" s="3">
        <v>175302.0</v>
      </c>
      <c r="B7792" s="3" t="s">
        <v>7819</v>
      </c>
      <c r="C7792" s="3" t="s">
        <v>189</v>
      </c>
      <c r="D7792" s="3">
        <v>146.0</v>
      </c>
      <c r="E7792" s="3">
        <v>1.9</v>
      </c>
      <c r="F7792" s="3">
        <v>30.19</v>
      </c>
      <c r="G7792" s="3">
        <v>0.0</v>
      </c>
    </row>
    <row r="7793">
      <c r="A7793" s="3">
        <v>175303.0</v>
      </c>
      <c r="B7793" s="3" t="s">
        <v>7820</v>
      </c>
      <c r="C7793" s="3" t="s">
        <v>189</v>
      </c>
      <c r="D7793" s="3">
        <v>109.0</v>
      </c>
      <c r="E7793" s="3">
        <v>2.31</v>
      </c>
      <c r="F7793" s="3">
        <v>20.6</v>
      </c>
      <c r="G7793" s="3">
        <v>0.0</v>
      </c>
    </row>
    <row r="7794">
      <c r="A7794" s="3">
        <v>175304.0</v>
      </c>
      <c r="B7794" s="3" t="s">
        <v>7821</v>
      </c>
      <c r="C7794" s="3" t="s">
        <v>189</v>
      </c>
      <c r="D7794" s="3">
        <v>143.0</v>
      </c>
      <c r="E7794" s="3">
        <v>3.03</v>
      </c>
      <c r="F7794" s="3">
        <v>27.1</v>
      </c>
      <c r="G7794" s="3">
        <v>0.0</v>
      </c>
    </row>
    <row r="7795">
      <c r="A7795" s="3">
        <v>781083.0</v>
      </c>
      <c r="B7795" s="3" t="s">
        <v>7822</v>
      </c>
      <c r="C7795" s="3" t="s">
        <v>7823</v>
      </c>
      <c r="D7795" s="3">
        <v>51.0</v>
      </c>
      <c r="E7795" s="3">
        <v>2.04</v>
      </c>
      <c r="F7795" s="3">
        <v>3.27</v>
      </c>
      <c r="G7795" s="3">
        <v>4.85</v>
      </c>
    </row>
    <row r="7796">
      <c r="A7796" s="3">
        <v>781098.0</v>
      </c>
      <c r="B7796" s="3" t="s">
        <v>7824</v>
      </c>
      <c r="C7796" s="3" t="s">
        <v>7823</v>
      </c>
      <c r="D7796" s="3">
        <v>40.0</v>
      </c>
      <c r="E7796" s="3">
        <v>0.88</v>
      </c>
      <c r="F7796" s="3">
        <v>3.31</v>
      </c>
      <c r="G7796" s="3">
        <v>4.79</v>
      </c>
    </row>
    <row r="7797">
      <c r="A7797" s="3">
        <v>781099.0</v>
      </c>
      <c r="B7797" s="3" t="s">
        <v>7825</v>
      </c>
      <c r="C7797" s="3" t="s">
        <v>7823</v>
      </c>
      <c r="D7797" s="3">
        <v>40.0</v>
      </c>
      <c r="E7797" s="3">
        <v>0.88</v>
      </c>
      <c r="F7797" s="3">
        <v>3.31</v>
      </c>
      <c r="G7797" s="3">
        <v>4.79</v>
      </c>
    </row>
    <row r="7798">
      <c r="A7798" s="3">
        <v>781102.0</v>
      </c>
      <c r="B7798" s="3" t="s">
        <v>7826</v>
      </c>
      <c r="C7798" s="3" t="s">
        <v>7823</v>
      </c>
      <c r="D7798" s="3">
        <v>52.0</v>
      </c>
      <c r="E7798" s="3">
        <v>0.92</v>
      </c>
      <c r="F7798" s="3">
        <v>3.59</v>
      </c>
      <c r="G7798" s="3">
        <v>7.34</v>
      </c>
    </row>
    <row r="7799">
      <c r="A7799" s="3">
        <v>781104.0</v>
      </c>
      <c r="B7799" s="3" t="s">
        <v>7827</v>
      </c>
      <c r="C7799" s="3" t="s">
        <v>7823</v>
      </c>
      <c r="D7799" s="3">
        <v>32.0</v>
      </c>
      <c r="E7799" s="3">
        <v>0.06</v>
      </c>
      <c r="F7799" s="3">
        <v>3.1</v>
      </c>
      <c r="G7799" s="3">
        <v>4.62</v>
      </c>
    </row>
    <row r="7800">
      <c r="A7800" s="3">
        <v>781105.0</v>
      </c>
      <c r="B7800" s="3" t="s">
        <v>7828</v>
      </c>
      <c r="C7800" s="3" t="s">
        <v>7823</v>
      </c>
      <c r="D7800" s="3">
        <v>76.0</v>
      </c>
      <c r="E7800" s="3">
        <v>4.08</v>
      </c>
      <c r="F7800" s="3">
        <v>4.01</v>
      </c>
      <c r="G7800" s="3">
        <v>5.86</v>
      </c>
    </row>
    <row r="7801">
      <c r="A7801" s="3">
        <v>781106.0</v>
      </c>
      <c r="B7801" s="3" t="s">
        <v>7829</v>
      </c>
      <c r="C7801" s="3" t="s">
        <v>7823</v>
      </c>
      <c r="D7801" s="3">
        <v>40.0</v>
      </c>
      <c r="E7801" s="3">
        <v>1.01</v>
      </c>
      <c r="F7801" s="3">
        <v>3.08</v>
      </c>
      <c r="G7801" s="3">
        <v>4.57</v>
      </c>
    </row>
    <row r="7802">
      <c r="A7802" s="3">
        <v>781107.0</v>
      </c>
      <c r="B7802" s="3" t="s">
        <v>7830</v>
      </c>
      <c r="C7802" s="3" t="s">
        <v>7823</v>
      </c>
      <c r="D7802" s="3">
        <v>32.0</v>
      </c>
      <c r="E7802" s="3">
        <v>0.06</v>
      </c>
      <c r="F7802" s="3">
        <v>3.1</v>
      </c>
      <c r="G7802" s="3">
        <v>4.62</v>
      </c>
    </row>
    <row r="7803">
      <c r="A7803" s="3">
        <v>781110.0</v>
      </c>
      <c r="B7803" s="3" t="s">
        <v>7831</v>
      </c>
      <c r="C7803" s="3" t="s">
        <v>7823</v>
      </c>
      <c r="D7803" s="3">
        <v>92.0</v>
      </c>
      <c r="E7803" s="3">
        <v>1.96</v>
      </c>
      <c r="F7803" s="3">
        <v>7.42</v>
      </c>
      <c r="G7803" s="3">
        <v>11.15</v>
      </c>
    </row>
    <row r="7804">
      <c r="A7804" s="3">
        <v>781113.0</v>
      </c>
      <c r="B7804" s="3" t="s">
        <v>7832</v>
      </c>
      <c r="C7804" s="3" t="s">
        <v>7823</v>
      </c>
      <c r="D7804" s="3">
        <v>32.0</v>
      </c>
      <c r="E7804" s="3">
        <v>1.25</v>
      </c>
      <c r="F7804" s="3">
        <v>1.12</v>
      </c>
      <c r="G7804" s="3">
        <v>3.95</v>
      </c>
    </row>
    <row r="7805">
      <c r="A7805" s="3">
        <v>781123.0</v>
      </c>
      <c r="B7805" s="3" t="s">
        <v>7833</v>
      </c>
      <c r="C7805" s="3" t="s">
        <v>7823</v>
      </c>
      <c r="D7805" s="3">
        <v>15.0</v>
      </c>
      <c r="E7805" s="3">
        <v>1.1</v>
      </c>
      <c r="F7805" s="3">
        <v>0.59</v>
      </c>
      <c r="G7805" s="3">
        <v>0.58</v>
      </c>
    </row>
    <row r="7806">
      <c r="A7806" s="3">
        <v>781138.0</v>
      </c>
      <c r="B7806" s="3" t="s">
        <v>7834</v>
      </c>
      <c r="C7806" s="3" t="s">
        <v>7823</v>
      </c>
      <c r="D7806" s="3">
        <v>89.0</v>
      </c>
      <c r="E7806" s="3">
        <v>1.37</v>
      </c>
      <c r="F7806" s="3">
        <v>4.66</v>
      </c>
      <c r="G7806" s="3">
        <v>14.46</v>
      </c>
    </row>
    <row r="7807">
      <c r="A7807" s="3">
        <v>781139.0</v>
      </c>
      <c r="B7807" s="3" t="s">
        <v>7835</v>
      </c>
      <c r="C7807" s="3" t="s">
        <v>7823</v>
      </c>
      <c r="D7807" s="3">
        <v>87.0</v>
      </c>
      <c r="E7807" s="3">
        <v>2.87</v>
      </c>
      <c r="F7807" s="3">
        <v>3.1</v>
      </c>
      <c r="G7807" s="3">
        <v>12.36</v>
      </c>
    </row>
    <row r="7808">
      <c r="A7808" s="3">
        <v>781140.0</v>
      </c>
      <c r="B7808" s="3" t="s">
        <v>7836</v>
      </c>
      <c r="C7808" s="3" t="s">
        <v>7823</v>
      </c>
      <c r="D7808" s="3">
        <v>89.0</v>
      </c>
      <c r="E7808" s="3">
        <v>1.37</v>
      </c>
      <c r="F7808" s="3">
        <v>4.66</v>
      </c>
      <c r="G7808" s="3">
        <v>14.46</v>
      </c>
    </row>
    <row r="7809">
      <c r="A7809" s="3">
        <v>781141.0</v>
      </c>
      <c r="B7809" s="3" t="s">
        <v>7837</v>
      </c>
      <c r="C7809" s="3" t="s">
        <v>7823</v>
      </c>
      <c r="D7809" s="3">
        <v>83.0</v>
      </c>
      <c r="E7809" s="3">
        <v>0.17</v>
      </c>
      <c r="F7809" s="3">
        <v>5.09</v>
      </c>
      <c r="G7809" s="3">
        <v>15.02</v>
      </c>
    </row>
    <row r="7810">
      <c r="A7810" s="3">
        <v>781142.0</v>
      </c>
      <c r="B7810" s="3" t="s">
        <v>7838</v>
      </c>
      <c r="C7810" s="3" t="s">
        <v>7823</v>
      </c>
      <c r="D7810" s="3">
        <v>103.0</v>
      </c>
      <c r="E7810" s="3">
        <v>2.57</v>
      </c>
      <c r="F7810" s="3">
        <v>8.17</v>
      </c>
      <c r="G7810" s="3">
        <v>11.89</v>
      </c>
    </row>
    <row r="7811">
      <c r="A7811" s="3">
        <v>781144.0</v>
      </c>
      <c r="B7811" s="3" t="s">
        <v>7839</v>
      </c>
      <c r="C7811" s="3" t="s">
        <v>7823</v>
      </c>
      <c r="D7811" s="3">
        <v>103.0</v>
      </c>
      <c r="E7811" s="3">
        <v>2.57</v>
      </c>
      <c r="F7811" s="3">
        <v>8.17</v>
      </c>
      <c r="G7811" s="3">
        <v>11.89</v>
      </c>
    </row>
    <row r="7812">
      <c r="A7812" s="3">
        <v>781146.0</v>
      </c>
      <c r="B7812" s="3" t="s">
        <v>7840</v>
      </c>
      <c r="C7812" s="3" t="s">
        <v>7823</v>
      </c>
      <c r="D7812" s="3">
        <v>73.0</v>
      </c>
      <c r="E7812" s="3">
        <v>1.5</v>
      </c>
      <c r="F7812" s="3">
        <v>5.09</v>
      </c>
      <c r="G7812" s="3">
        <v>9.83</v>
      </c>
    </row>
    <row r="7813">
      <c r="A7813" s="3">
        <v>781147.0</v>
      </c>
      <c r="B7813" s="3" t="s">
        <v>7841</v>
      </c>
      <c r="C7813" s="3" t="s">
        <v>7823</v>
      </c>
      <c r="D7813" s="3">
        <v>77.0</v>
      </c>
      <c r="E7813" s="3">
        <v>3.09</v>
      </c>
      <c r="F7813" s="3">
        <v>3.3</v>
      </c>
      <c r="G7813" s="3">
        <v>9.43</v>
      </c>
    </row>
    <row r="7814">
      <c r="A7814" s="3">
        <v>781148.0</v>
      </c>
      <c r="B7814" s="3" t="s">
        <v>7842</v>
      </c>
      <c r="C7814" s="3" t="s">
        <v>7823</v>
      </c>
      <c r="D7814" s="3">
        <v>73.0</v>
      </c>
      <c r="E7814" s="3">
        <v>1.5</v>
      </c>
      <c r="F7814" s="3">
        <v>5.09</v>
      </c>
      <c r="G7814" s="3">
        <v>9.83</v>
      </c>
    </row>
    <row r="7815">
      <c r="A7815" s="3">
        <v>781149.0</v>
      </c>
      <c r="B7815" s="3" t="s">
        <v>7843</v>
      </c>
      <c r="C7815" s="3" t="s">
        <v>7823</v>
      </c>
      <c r="D7815" s="3">
        <v>66.0</v>
      </c>
      <c r="E7815" s="3">
        <v>0.18</v>
      </c>
      <c r="F7815" s="3">
        <v>5.56</v>
      </c>
      <c r="G7815" s="3">
        <v>10.45</v>
      </c>
    </row>
    <row r="7816">
      <c r="A7816" s="3">
        <v>781151.0</v>
      </c>
      <c r="B7816" s="3" t="s">
        <v>7844</v>
      </c>
      <c r="C7816" s="3" t="s">
        <v>7823</v>
      </c>
      <c r="D7816" s="3">
        <v>111.0</v>
      </c>
      <c r="E7816" s="3">
        <v>4.44</v>
      </c>
      <c r="F7816" s="3">
        <v>8.47</v>
      </c>
      <c r="G7816" s="3">
        <v>9.35</v>
      </c>
    </row>
    <row r="7817">
      <c r="A7817" s="3">
        <v>781154.0</v>
      </c>
      <c r="B7817" s="3" t="s">
        <v>7845</v>
      </c>
      <c r="C7817" s="3" t="s">
        <v>7823</v>
      </c>
      <c r="D7817" s="3">
        <v>154.0</v>
      </c>
      <c r="E7817" s="3">
        <v>3.14</v>
      </c>
      <c r="F7817" s="3">
        <v>8.65</v>
      </c>
      <c r="G7817" s="3">
        <v>23.81</v>
      </c>
    </row>
    <row r="7818">
      <c r="A7818" s="3">
        <v>781155.0</v>
      </c>
      <c r="B7818" s="3" t="s">
        <v>7846</v>
      </c>
      <c r="C7818" s="3" t="s">
        <v>7823</v>
      </c>
      <c r="D7818" s="3">
        <v>72.0</v>
      </c>
      <c r="E7818" s="3">
        <v>1.09</v>
      </c>
      <c r="F7818" s="3">
        <v>3.71</v>
      </c>
      <c r="G7818" s="3">
        <v>11.81</v>
      </c>
    </row>
    <row r="7819">
      <c r="A7819" s="3">
        <v>781156.0</v>
      </c>
      <c r="B7819" s="3" t="s">
        <v>7847</v>
      </c>
      <c r="C7819" s="3" t="s">
        <v>225</v>
      </c>
      <c r="D7819" s="3">
        <v>189.0</v>
      </c>
      <c r="E7819" s="3">
        <v>15.99</v>
      </c>
      <c r="F7819" s="3">
        <v>7.93</v>
      </c>
      <c r="G7819" s="3">
        <v>3.33</v>
      </c>
    </row>
    <row r="7820">
      <c r="A7820" s="3">
        <v>781157.0</v>
      </c>
      <c r="B7820" s="3" t="s">
        <v>7848</v>
      </c>
      <c r="C7820" s="3" t="s">
        <v>225</v>
      </c>
      <c r="D7820" s="3">
        <v>191.0</v>
      </c>
      <c r="E7820" s="3">
        <v>16.03</v>
      </c>
      <c r="F7820" s="3">
        <v>8.16</v>
      </c>
      <c r="G7820" s="3">
        <v>3.72</v>
      </c>
    </row>
    <row r="7821">
      <c r="A7821" s="3">
        <v>781158.0</v>
      </c>
      <c r="B7821" s="3" t="s">
        <v>7849</v>
      </c>
      <c r="C7821" s="3" t="s">
        <v>225</v>
      </c>
      <c r="D7821" s="3">
        <v>158.0</v>
      </c>
      <c r="E7821" s="3">
        <v>12.89</v>
      </c>
      <c r="F7821" s="3">
        <v>6.76</v>
      </c>
      <c r="G7821" s="3">
        <v>3.73</v>
      </c>
    </row>
    <row r="7822">
      <c r="A7822" s="3">
        <v>781159.0</v>
      </c>
      <c r="B7822" s="3" t="s">
        <v>7850</v>
      </c>
      <c r="C7822" s="3" t="s">
        <v>225</v>
      </c>
      <c r="D7822" s="3">
        <v>195.0</v>
      </c>
      <c r="E7822" s="3">
        <v>16.09</v>
      </c>
      <c r="F7822" s="3">
        <v>8.48</v>
      </c>
      <c r="G7822" s="3">
        <v>4.13</v>
      </c>
    </row>
    <row r="7823">
      <c r="A7823" s="3">
        <v>781160.0</v>
      </c>
      <c r="B7823" s="3" t="s">
        <v>7851</v>
      </c>
      <c r="C7823" s="3" t="s">
        <v>225</v>
      </c>
      <c r="D7823" s="3">
        <v>158.0</v>
      </c>
      <c r="E7823" s="3">
        <v>12.95</v>
      </c>
      <c r="F7823" s="3">
        <v>7.01</v>
      </c>
      <c r="G7823" s="3">
        <v>3.59</v>
      </c>
    </row>
    <row r="7824">
      <c r="A7824" s="3">
        <v>781161.0</v>
      </c>
      <c r="B7824" s="3" t="s">
        <v>7852</v>
      </c>
      <c r="C7824" s="3" t="s">
        <v>225</v>
      </c>
      <c r="D7824" s="3">
        <v>92.0</v>
      </c>
      <c r="E7824" s="3">
        <v>6.31</v>
      </c>
      <c r="F7824" s="3">
        <v>5.35</v>
      </c>
      <c r="G7824" s="3">
        <v>3.95</v>
      </c>
    </row>
    <row r="7825">
      <c r="A7825" s="3">
        <v>781162.0</v>
      </c>
      <c r="B7825" s="3" t="s">
        <v>7853</v>
      </c>
      <c r="C7825" s="3" t="s">
        <v>225</v>
      </c>
      <c r="D7825" s="3">
        <v>191.0</v>
      </c>
      <c r="E7825" s="3">
        <v>16.03</v>
      </c>
      <c r="F7825" s="3">
        <v>8.16</v>
      </c>
      <c r="G7825" s="3">
        <v>3.72</v>
      </c>
    </row>
    <row r="7826">
      <c r="A7826" s="3">
        <v>781168.0</v>
      </c>
      <c r="B7826" s="3" t="s">
        <v>7854</v>
      </c>
      <c r="C7826" s="3" t="s">
        <v>7823</v>
      </c>
      <c r="D7826" s="3">
        <v>113.0</v>
      </c>
      <c r="E7826" s="3">
        <v>1.95</v>
      </c>
      <c r="F7826" s="3">
        <v>5.24</v>
      </c>
      <c r="G7826" s="3">
        <v>21.79</v>
      </c>
    </row>
    <row r="7827">
      <c r="A7827" s="3">
        <v>781170.0</v>
      </c>
      <c r="B7827" s="3" t="s">
        <v>7855</v>
      </c>
      <c r="C7827" s="3" t="s">
        <v>7823</v>
      </c>
      <c r="D7827" s="3">
        <v>121.0</v>
      </c>
      <c r="E7827" s="3">
        <v>0.43</v>
      </c>
      <c r="F7827" s="3">
        <v>4.41</v>
      </c>
      <c r="G7827" s="3">
        <v>24.8</v>
      </c>
    </row>
    <row r="7828">
      <c r="A7828" s="3">
        <v>781172.0</v>
      </c>
      <c r="B7828" s="3" t="s">
        <v>7856</v>
      </c>
      <c r="C7828" s="3" t="s">
        <v>7823</v>
      </c>
      <c r="D7828" s="3">
        <v>152.0</v>
      </c>
      <c r="E7828" s="3">
        <v>3.41</v>
      </c>
      <c r="F7828" s="3">
        <v>3.71</v>
      </c>
      <c r="G7828" s="3">
        <v>26.68</v>
      </c>
    </row>
    <row r="7829">
      <c r="A7829" s="3">
        <v>781179.0</v>
      </c>
      <c r="B7829" s="3" t="s">
        <v>7857</v>
      </c>
      <c r="C7829" s="3" t="s">
        <v>7823</v>
      </c>
      <c r="D7829" s="3">
        <v>270.0</v>
      </c>
      <c r="E7829" s="3">
        <v>16.41</v>
      </c>
      <c r="F7829" s="3">
        <v>3.22</v>
      </c>
      <c r="G7829" s="3">
        <v>28.92</v>
      </c>
    </row>
    <row r="7830">
      <c r="A7830" s="3">
        <v>781180.0</v>
      </c>
      <c r="B7830" s="3" t="s">
        <v>7858</v>
      </c>
      <c r="C7830" s="3" t="s">
        <v>7823</v>
      </c>
      <c r="D7830" s="3">
        <v>212.0</v>
      </c>
      <c r="E7830" s="3">
        <v>5.13</v>
      </c>
      <c r="F7830" s="3">
        <v>4.64</v>
      </c>
      <c r="G7830" s="3">
        <v>37.68</v>
      </c>
    </row>
    <row r="7831">
      <c r="A7831" s="3">
        <v>781181.0</v>
      </c>
      <c r="B7831" s="3" t="s">
        <v>7859</v>
      </c>
      <c r="C7831" s="3" t="s">
        <v>7823</v>
      </c>
      <c r="D7831" s="3">
        <v>225.0</v>
      </c>
      <c r="E7831" s="3">
        <v>9.12</v>
      </c>
      <c r="F7831" s="3">
        <v>5.26</v>
      </c>
      <c r="G7831" s="3">
        <v>31.26</v>
      </c>
    </row>
    <row r="7832">
      <c r="A7832" s="3">
        <v>781182.0</v>
      </c>
      <c r="B7832" s="3" t="s">
        <v>7860</v>
      </c>
      <c r="C7832" s="3" t="s">
        <v>7823</v>
      </c>
      <c r="D7832" s="3">
        <v>189.0</v>
      </c>
      <c r="E7832" s="3">
        <v>5.38</v>
      </c>
      <c r="F7832" s="3">
        <v>4.48</v>
      </c>
      <c r="G7832" s="3">
        <v>31.5</v>
      </c>
    </row>
    <row r="7833">
      <c r="A7833" s="3">
        <v>781183.0</v>
      </c>
      <c r="B7833" s="3" t="s">
        <v>7861</v>
      </c>
      <c r="C7833" s="3" t="s">
        <v>7823</v>
      </c>
      <c r="D7833" s="3">
        <v>84.0</v>
      </c>
      <c r="E7833" s="3">
        <v>1.86</v>
      </c>
      <c r="F7833" s="3">
        <v>5.42</v>
      </c>
      <c r="G7833" s="3">
        <v>11.27</v>
      </c>
    </row>
    <row r="7834">
      <c r="A7834" s="3">
        <v>781184.0</v>
      </c>
      <c r="B7834" s="3" t="s">
        <v>7862</v>
      </c>
      <c r="C7834" s="3" t="s">
        <v>7823</v>
      </c>
      <c r="D7834" s="3">
        <v>131.0</v>
      </c>
      <c r="E7834" s="3">
        <v>2.24</v>
      </c>
      <c r="F7834" s="3">
        <v>5.4</v>
      </c>
      <c r="G7834" s="3">
        <v>25.15</v>
      </c>
    </row>
    <row r="7835">
      <c r="A7835" s="3">
        <v>781193.0</v>
      </c>
      <c r="B7835" s="3" t="s">
        <v>7863</v>
      </c>
      <c r="C7835" s="3" t="s">
        <v>7823</v>
      </c>
      <c r="D7835" s="3">
        <v>62.0</v>
      </c>
      <c r="E7835" s="3">
        <v>1.0</v>
      </c>
      <c r="F7835" s="3">
        <v>3.46</v>
      </c>
      <c r="G7835" s="3">
        <v>9.86</v>
      </c>
    </row>
    <row r="7836">
      <c r="A7836" s="3">
        <v>781194.0</v>
      </c>
      <c r="B7836" s="3" t="s">
        <v>7864</v>
      </c>
      <c r="C7836" s="3" t="s">
        <v>7823</v>
      </c>
      <c r="D7836" s="3">
        <v>54.0</v>
      </c>
      <c r="E7836" s="3">
        <v>1.04</v>
      </c>
      <c r="F7836" s="3">
        <v>3.43</v>
      </c>
      <c r="G7836" s="3">
        <v>7.68</v>
      </c>
    </row>
    <row r="7837">
      <c r="A7837" s="3">
        <v>781195.0</v>
      </c>
      <c r="B7837" s="3" t="s">
        <v>7865</v>
      </c>
      <c r="C7837" s="3" t="s">
        <v>7823</v>
      </c>
      <c r="D7837" s="3">
        <v>62.0</v>
      </c>
      <c r="E7837" s="3">
        <v>1.0</v>
      </c>
      <c r="F7837" s="3">
        <v>3.46</v>
      </c>
      <c r="G7837" s="3">
        <v>9.86</v>
      </c>
    </row>
    <row r="7838">
      <c r="A7838" s="3">
        <v>781197.0</v>
      </c>
      <c r="B7838" s="3" t="s">
        <v>7866</v>
      </c>
      <c r="C7838" s="3" t="s">
        <v>7823</v>
      </c>
      <c r="D7838" s="3">
        <v>62.0</v>
      </c>
      <c r="E7838" s="3">
        <v>1.0</v>
      </c>
      <c r="F7838" s="3">
        <v>3.46</v>
      </c>
      <c r="G7838" s="3">
        <v>9.86</v>
      </c>
    </row>
    <row r="7839">
      <c r="A7839" s="3">
        <v>781198.0</v>
      </c>
      <c r="B7839" s="3" t="s">
        <v>7867</v>
      </c>
      <c r="C7839" s="3" t="s">
        <v>7823</v>
      </c>
      <c r="D7839" s="3">
        <v>91.0</v>
      </c>
      <c r="E7839" s="3">
        <v>1.61</v>
      </c>
      <c r="F7839" s="3">
        <v>2.68</v>
      </c>
      <c r="G7839" s="3">
        <v>16.45</v>
      </c>
    </row>
    <row r="7840">
      <c r="A7840" s="3">
        <v>781199.0</v>
      </c>
      <c r="B7840" s="3" t="s">
        <v>7868</v>
      </c>
      <c r="C7840" s="3" t="s">
        <v>7823</v>
      </c>
      <c r="D7840" s="3">
        <v>78.0</v>
      </c>
      <c r="E7840" s="3">
        <v>0.06</v>
      </c>
      <c r="F7840" s="3">
        <v>2.74</v>
      </c>
      <c r="G7840" s="3">
        <v>16.58</v>
      </c>
    </row>
    <row r="7841">
      <c r="A7841" s="3">
        <v>781200.0</v>
      </c>
      <c r="B7841" s="3" t="s">
        <v>7869</v>
      </c>
      <c r="C7841" s="3" t="s">
        <v>7823</v>
      </c>
      <c r="D7841" s="3">
        <v>83.0</v>
      </c>
      <c r="E7841" s="3">
        <v>1.02</v>
      </c>
      <c r="F7841" s="3">
        <v>1.23</v>
      </c>
      <c r="G7841" s="3">
        <v>17.23</v>
      </c>
    </row>
    <row r="7842">
      <c r="A7842" s="3">
        <v>781201.0</v>
      </c>
      <c r="B7842" s="3" t="s">
        <v>7870</v>
      </c>
      <c r="C7842" s="3" t="s">
        <v>7823</v>
      </c>
      <c r="D7842" s="3">
        <v>103.0</v>
      </c>
      <c r="E7842" s="3">
        <v>3.24</v>
      </c>
      <c r="F7842" s="3">
        <v>2.69</v>
      </c>
      <c r="G7842" s="3">
        <v>15.8</v>
      </c>
    </row>
    <row r="7843">
      <c r="A7843" s="3">
        <v>781202.0</v>
      </c>
      <c r="B7843" s="3" t="s">
        <v>7871</v>
      </c>
      <c r="C7843" s="3" t="s">
        <v>7823</v>
      </c>
      <c r="D7843" s="3">
        <v>90.0</v>
      </c>
      <c r="E7843" s="3">
        <v>1.77</v>
      </c>
      <c r="F7843" s="3">
        <v>2.75</v>
      </c>
      <c r="G7843" s="3">
        <v>15.92</v>
      </c>
    </row>
    <row r="7844">
      <c r="A7844" s="3">
        <v>781203.0</v>
      </c>
      <c r="B7844" s="3" t="s">
        <v>7872</v>
      </c>
      <c r="C7844" s="3" t="s">
        <v>7823</v>
      </c>
      <c r="D7844" s="3">
        <v>95.0</v>
      </c>
      <c r="E7844" s="3">
        <v>2.68</v>
      </c>
      <c r="F7844" s="3">
        <v>1.3</v>
      </c>
      <c r="G7844" s="3">
        <v>16.54</v>
      </c>
    </row>
    <row r="7845">
      <c r="A7845" s="3">
        <v>781204.0</v>
      </c>
      <c r="B7845" s="3" t="s">
        <v>7873</v>
      </c>
      <c r="C7845" s="3" t="s">
        <v>7823</v>
      </c>
      <c r="D7845" s="3">
        <v>72.0</v>
      </c>
      <c r="E7845" s="3">
        <v>2.06</v>
      </c>
      <c r="F7845" s="3">
        <v>3.35</v>
      </c>
      <c r="G7845" s="3">
        <v>10.11</v>
      </c>
    </row>
    <row r="7846">
      <c r="A7846" s="3">
        <v>781205.0</v>
      </c>
      <c r="B7846" s="3" t="s">
        <v>7874</v>
      </c>
      <c r="C7846" s="3" t="s">
        <v>7823</v>
      </c>
      <c r="D7846" s="3">
        <v>82.0</v>
      </c>
      <c r="E7846" s="3">
        <v>3.19</v>
      </c>
      <c r="F7846" s="3">
        <v>3.24</v>
      </c>
      <c r="G7846" s="3">
        <v>10.06</v>
      </c>
    </row>
    <row r="7847">
      <c r="A7847" s="3">
        <v>781206.0</v>
      </c>
      <c r="B7847" s="3" t="s">
        <v>7875</v>
      </c>
      <c r="C7847" s="3" t="s">
        <v>7823</v>
      </c>
      <c r="D7847" s="3">
        <v>72.0</v>
      </c>
      <c r="E7847" s="3">
        <v>2.0</v>
      </c>
      <c r="F7847" s="3">
        <v>3.38</v>
      </c>
      <c r="G7847" s="3">
        <v>10.06</v>
      </c>
    </row>
    <row r="7848">
      <c r="A7848" s="3">
        <v>781207.0</v>
      </c>
      <c r="B7848" s="3" t="s">
        <v>7876</v>
      </c>
      <c r="C7848" s="3" t="s">
        <v>7823</v>
      </c>
      <c r="D7848" s="3">
        <v>64.0</v>
      </c>
      <c r="E7848" s="3">
        <v>1.05</v>
      </c>
      <c r="F7848" s="3">
        <v>3.44</v>
      </c>
      <c r="G7848" s="3">
        <v>10.24</v>
      </c>
    </row>
    <row r="7849">
      <c r="A7849" s="3">
        <v>781208.0</v>
      </c>
      <c r="B7849" s="3" t="s">
        <v>7877</v>
      </c>
      <c r="C7849" s="3" t="s">
        <v>7823</v>
      </c>
      <c r="D7849" s="3">
        <v>57.0</v>
      </c>
      <c r="E7849" s="3">
        <v>0.22</v>
      </c>
      <c r="F7849" s="3">
        <v>3.44</v>
      </c>
      <c r="G7849" s="3">
        <v>10.21</v>
      </c>
    </row>
    <row r="7850">
      <c r="A7850" s="3">
        <v>781209.0</v>
      </c>
      <c r="B7850" s="3" t="s">
        <v>7878</v>
      </c>
      <c r="C7850" s="3" t="s">
        <v>7823</v>
      </c>
      <c r="D7850" s="3">
        <v>63.0</v>
      </c>
      <c r="E7850" s="3">
        <v>1.32</v>
      </c>
      <c r="F7850" s="3">
        <v>1.7</v>
      </c>
      <c r="G7850" s="3">
        <v>10.96</v>
      </c>
    </row>
    <row r="7851">
      <c r="A7851" s="3">
        <v>781210.0</v>
      </c>
      <c r="B7851" s="3" t="s">
        <v>7879</v>
      </c>
      <c r="C7851" s="3" t="s">
        <v>7823</v>
      </c>
      <c r="D7851" s="3">
        <v>65.0</v>
      </c>
      <c r="E7851" s="3">
        <v>2.35</v>
      </c>
      <c r="F7851" s="3">
        <v>3.52</v>
      </c>
      <c r="G7851" s="3">
        <v>7.39</v>
      </c>
    </row>
    <row r="7852">
      <c r="A7852" s="3">
        <v>781211.0</v>
      </c>
      <c r="B7852" s="3" t="s">
        <v>7880</v>
      </c>
      <c r="C7852" s="3" t="s">
        <v>7823</v>
      </c>
      <c r="D7852" s="3">
        <v>74.0</v>
      </c>
      <c r="E7852" s="3">
        <v>3.5</v>
      </c>
      <c r="F7852" s="3">
        <v>3.41</v>
      </c>
      <c r="G7852" s="3">
        <v>7.34</v>
      </c>
    </row>
    <row r="7853">
      <c r="A7853" s="3">
        <v>781212.0</v>
      </c>
      <c r="B7853" s="3" t="s">
        <v>7881</v>
      </c>
      <c r="C7853" s="3" t="s">
        <v>7823</v>
      </c>
      <c r="D7853" s="3">
        <v>64.0</v>
      </c>
      <c r="E7853" s="3">
        <v>2.29</v>
      </c>
      <c r="F7853" s="3">
        <v>3.55</v>
      </c>
      <c r="G7853" s="3">
        <v>7.34</v>
      </c>
    </row>
    <row r="7854">
      <c r="A7854" s="3">
        <v>781213.0</v>
      </c>
      <c r="B7854" s="3" t="s">
        <v>7882</v>
      </c>
      <c r="C7854" s="3" t="s">
        <v>7823</v>
      </c>
      <c r="D7854" s="3">
        <v>56.0</v>
      </c>
      <c r="E7854" s="3">
        <v>1.32</v>
      </c>
      <c r="F7854" s="3">
        <v>3.62</v>
      </c>
      <c r="G7854" s="3">
        <v>7.52</v>
      </c>
    </row>
    <row r="7855">
      <c r="A7855" s="3">
        <v>781214.0</v>
      </c>
      <c r="B7855" s="3" t="s">
        <v>7883</v>
      </c>
      <c r="C7855" s="3" t="s">
        <v>7823</v>
      </c>
      <c r="D7855" s="3">
        <v>49.0</v>
      </c>
      <c r="E7855" s="3">
        <v>0.47</v>
      </c>
      <c r="F7855" s="3">
        <v>3.62</v>
      </c>
      <c r="G7855" s="3">
        <v>7.49</v>
      </c>
    </row>
    <row r="7856">
      <c r="A7856" s="3">
        <v>781215.0</v>
      </c>
      <c r="B7856" s="3" t="s">
        <v>7884</v>
      </c>
      <c r="C7856" s="3" t="s">
        <v>7823</v>
      </c>
      <c r="D7856" s="3">
        <v>55.0</v>
      </c>
      <c r="E7856" s="3">
        <v>1.59</v>
      </c>
      <c r="F7856" s="3">
        <v>1.84</v>
      </c>
      <c r="G7856" s="3">
        <v>8.25</v>
      </c>
    </row>
    <row r="7857">
      <c r="A7857" s="3">
        <v>781216.0</v>
      </c>
      <c r="B7857" s="3" t="s">
        <v>7885</v>
      </c>
      <c r="C7857" s="3" t="s">
        <v>7823</v>
      </c>
      <c r="D7857" s="3">
        <v>72.0</v>
      </c>
      <c r="E7857" s="3">
        <v>2.06</v>
      </c>
      <c r="F7857" s="3">
        <v>3.35</v>
      </c>
      <c r="G7857" s="3">
        <v>10.11</v>
      </c>
    </row>
    <row r="7858">
      <c r="A7858" s="3">
        <v>781217.0</v>
      </c>
      <c r="B7858" s="3" t="s">
        <v>7886</v>
      </c>
      <c r="C7858" s="3" t="s">
        <v>7823</v>
      </c>
      <c r="D7858" s="3">
        <v>82.0</v>
      </c>
      <c r="E7858" s="3">
        <v>3.19</v>
      </c>
      <c r="F7858" s="3">
        <v>3.24</v>
      </c>
      <c r="G7858" s="3">
        <v>10.06</v>
      </c>
    </row>
    <row r="7859">
      <c r="A7859" s="3">
        <v>781218.0</v>
      </c>
      <c r="B7859" s="3" t="s">
        <v>7887</v>
      </c>
      <c r="C7859" s="3" t="s">
        <v>7823</v>
      </c>
      <c r="D7859" s="3">
        <v>72.0</v>
      </c>
      <c r="E7859" s="3">
        <v>2.0</v>
      </c>
      <c r="F7859" s="3">
        <v>3.38</v>
      </c>
      <c r="G7859" s="3">
        <v>10.06</v>
      </c>
    </row>
    <row r="7860">
      <c r="A7860" s="3">
        <v>781219.0</v>
      </c>
      <c r="B7860" s="3" t="s">
        <v>7888</v>
      </c>
      <c r="C7860" s="3" t="s">
        <v>7823</v>
      </c>
      <c r="D7860" s="3">
        <v>64.0</v>
      </c>
      <c r="E7860" s="3">
        <v>1.05</v>
      </c>
      <c r="F7860" s="3">
        <v>3.44</v>
      </c>
      <c r="G7860" s="3">
        <v>10.24</v>
      </c>
    </row>
    <row r="7861">
      <c r="A7861" s="3">
        <v>781220.0</v>
      </c>
      <c r="B7861" s="3" t="s">
        <v>7889</v>
      </c>
      <c r="C7861" s="3" t="s">
        <v>7823</v>
      </c>
      <c r="D7861" s="3">
        <v>57.0</v>
      </c>
      <c r="E7861" s="3">
        <v>0.22</v>
      </c>
      <c r="F7861" s="3">
        <v>3.44</v>
      </c>
      <c r="G7861" s="3">
        <v>10.21</v>
      </c>
    </row>
    <row r="7862">
      <c r="A7862" s="3">
        <v>781221.0</v>
      </c>
      <c r="B7862" s="3" t="s">
        <v>7890</v>
      </c>
      <c r="C7862" s="3" t="s">
        <v>7823</v>
      </c>
      <c r="D7862" s="3">
        <v>63.0</v>
      </c>
      <c r="E7862" s="3">
        <v>1.32</v>
      </c>
      <c r="F7862" s="3">
        <v>1.7</v>
      </c>
      <c r="G7862" s="3">
        <v>10.96</v>
      </c>
    </row>
    <row r="7863">
      <c r="A7863" s="3">
        <v>781222.0</v>
      </c>
      <c r="B7863" s="3" t="s">
        <v>7891</v>
      </c>
      <c r="C7863" s="3" t="s">
        <v>7823</v>
      </c>
      <c r="D7863" s="3">
        <v>65.0</v>
      </c>
      <c r="E7863" s="3">
        <v>2.35</v>
      </c>
      <c r="F7863" s="3">
        <v>3.52</v>
      </c>
      <c r="G7863" s="3">
        <v>7.39</v>
      </c>
    </row>
    <row r="7864">
      <c r="A7864" s="3">
        <v>781223.0</v>
      </c>
      <c r="B7864" s="3" t="s">
        <v>7892</v>
      </c>
      <c r="C7864" s="3" t="s">
        <v>7823</v>
      </c>
      <c r="D7864" s="3">
        <v>74.0</v>
      </c>
      <c r="E7864" s="3">
        <v>3.5</v>
      </c>
      <c r="F7864" s="3">
        <v>3.41</v>
      </c>
      <c r="G7864" s="3">
        <v>7.34</v>
      </c>
    </row>
    <row r="7865">
      <c r="A7865" s="3">
        <v>781224.0</v>
      </c>
      <c r="B7865" s="3" t="s">
        <v>7893</v>
      </c>
      <c r="C7865" s="3" t="s">
        <v>7823</v>
      </c>
      <c r="D7865" s="3">
        <v>64.0</v>
      </c>
      <c r="E7865" s="3">
        <v>2.29</v>
      </c>
      <c r="F7865" s="3">
        <v>3.55</v>
      </c>
      <c r="G7865" s="3">
        <v>7.34</v>
      </c>
    </row>
    <row r="7866">
      <c r="A7866" s="3">
        <v>781225.0</v>
      </c>
      <c r="B7866" s="3" t="s">
        <v>7894</v>
      </c>
      <c r="C7866" s="3" t="s">
        <v>7823</v>
      </c>
      <c r="D7866" s="3">
        <v>56.0</v>
      </c>
      <c r="E7866" s="3">
        <v>1.32</v>
      </c>
      <c r="F7866" s="3">
        <v>3.62</v>
      </c>
      <c r="G7866" s="3">
        <v>7.52</v>
      </c>
    </row>
    <row r="7867">
      <c r="A7867" s="3">
        <v>781226.0</v>
      </c>
      <c r="B7867" s="3" t="s">
        <v>7895</v>
      </c>
      <c r="C7867" s="3" t="s">
        <v>7823</v>
      </c>
      <c r="D7867" s="3">
        <v>49.0</v>
      </c>
      <c r="E7867" s="3">
        <v>0.47</v>
      </c>
      <c r="F7867" s="3">
        <v>3.62</v>
      </c>
      <c r="G7867" s="3">
        <v>7.49</v>
      </c>
    </row>
    <row r="7868">
      <c r="A7868" s="3">
        <v>781227.0</v>
      </c>
      <c r="B7868" s="3" t="s">
        <v>7896</v>
      </c>
      <c r="C7868" s="3" t="s">
        <v>7823</v>
      </c>
      <c r="D7868" s="3">
        <v>55.0</v>
      </c>
      <c r="E7868" s="3">
        <v>1.59</v>
      </c>
      <c r="F7868" s="3">
        <v>1.84</v>
      </c>
      <c r="G7868" s="3">
        <v>8.25</v>
      </c>
    </row>
    <row r="7869">
      <c r="A7869" s="3">
        <v>781228.0</v>
      </c>
      <c r="B7869" s="3" t="s">
        <v>7897</v>
      </c>
      <c r="C7869" s="3" t="s">
        <v>7823</v>
      </c>
      <c r="D7869" s="3">
        <v>80.0</v>
      </c>
      <c r="E7869" s="3">
        <v>1.77</v>
      </c>
      <c r="F7869" s="3">
        <v>2.83</v>
      </c>
      <c r="G7869" s="3">
        <v>13.16</v>
      </c>
    </row>
    <row r="7870">
      <c r="A7870" s="3">
        <v>781229.0</v>
      </c>
      <c r="B7870" s="3" t="s">
        <v>7898</v>
      </c>
      <c r="C7870" s="3" t="s">
        <v>7823</v>
      </c>
      <c r="D7870" s="3">
        <v>89.0</v>
      </c>
      <c r="E7870" s="3">
        <v>2.82</v>
      </c>
      <c r="F7870" s="3">
        <v>2.73</v>
      </c>
      <c r="G7870" s="3">
        <v>13.11</v>
      </c>
    </row>
    <row r="7871">
      <c r="A7871" s="3">
        <v>781230.0</v>
      </c>
      <c r="B7871" s="3" t="s">
        <v>7899</v>
      </c>
      <c r="C7871" s="3" t="s">
        <v>7823</v>
      </c>
      <c r="D7871" s="3">
        <v>79.0</v>
      </c>
      <c r="E7871" s="3">
        <v>1.72</v>
      </c>
      <c r="F7871" s="3">
        <v>2.86</v>
      </c>
      <c r="G7871" s="3">
        <v>13.11</v>
      </c>
    </row>
    <row r="7872">
      <c r="A7872" s="3">
        <v>781231.0</v>
      </c>
      <c r="B7872" s="3" t="s">
        <v>7900</v>
      </c>
      <c r="C7872" s="3" t="s">
        <v>7823</v>
      </c>
      <c r="D7872" s="3">
        <v>72.0</v>
      </c>
      <c r="E7872" s="3">
        <v>0.84</v>
      </c>
      <c r="F7872" s="3">
        <v>2.92</v>
      </c>
      <c r="G7872" s="3">
        <v>13.28</v>
      </c>
    </row>
    <row r="7873">
      <c r="A7873" s="3">
        <v>781232.0</v>
      </c>
      <c r="B7873" s="3" t="s">
        <v>7901</v>
      </c>
      <c r="C7873" s="3" t="s">
        <v>7823</v>
      </c>
      <c r="D7873" s="3">
        <v>65.0</v>
      </c>
      <c r="E7873" s="3">
        <v>0.07</v>
      </c>
      <c r="F7873" s="3">
        <v>2.92</v>
      </c>
      <c r="G7873" s="3">
        <v>13.25</v>
      </c>
    </row>
    <row r="7874">
      <c r="A7874" s="3">
        <v>781233.0</v>
      </c>
      <c r="B7874" s="3" t="s">
        <v>7902</v>
      </c>
      <c r="C7874" s="3" t="s">
        <v>7823</v>
      </c>
      <c r="D7874" s="3">
        <v>71.0</v>
      </c>
      <c r="E7874" s="3">
        <v>1.09</v>
      </c>
      <c r="F7874" s="3">
        <v>1.31</v>
      </c>
      <c r="G7874" s="3">
        <v>13.94</v>
      </c>
    </row>
    <row r="7875">
      <c r="A7875" s="3">
        <v>781234.0</v>
      </c>
      <c r="B7875" s="3" t="s">
        <v>7903</v>
      </c>
      <c r="C7875" s="3" t="s">
        <v>7823</v>
      </c>
      <c r="D7875" s="3">
        <v>64.0</v>
      </c>
      <c r="E7875" s="3">
        <v>1.91</v>
      </c>
      <c r="F7875" s="3">
        <v>3.03</v>
      </c>
      <c r="G7875" s="3">
        <v>8.58</v>
      </c>
    </row>
    <row r="7876">
      <c r="A7876" s="3">
        <v>781235.0</v>
      </c>
      <c r="B7876" s="3" t="s">
        <v>7904</v>
      </c>
      <c r="C7876" s="3" t="s">
        <v>7823</v>
      </c>
      <c r="D7876" s="3">
        <v>73.0</v>
      </c>
      <c r="E7876" s="3">
        <v>2.96</v>
      </c>
      <c r="F7876" s="3">
        <v>2.93</v>
      </c>
      <c r="G7876" s="3">
        <v>8.53</v>
      </c>
    </row>
    <row r="7877">
      <c r="A7877" s="3">
        <v>781236.0</v>
      </c>
      <c r="B7877" s="3" t="s">
        <v>7905</v>
      </c>
      <c r="C7877" s="3" t="s">
        <v>7823</v>
      </c>
      <c r="D7877" s="3">
        <v>63.0</v>
      </c>
      <c r="E7877" s="3">
        <v>1.85</v>
      </c>
      <c r="F7877" s="3">
        <v>3.06</v>
      </c>
      <c r="G7877" s="3">
        <v>8.53</v>
      </c>
    </row>
    <row r="7878">
      <c r="A7878" s="3">
        <v>781237.0</v>
      </c>
      <c r="B7878" s="3" t="s">
        <v>7906</v>
      </c>
      <c r="C7878" s="3" t="s">
        <v>7823</v>
      </c>
      <c r="D7878" s="3">
        <v>56.0</v>
      </c>
      <c r="E7878" s="3">
        <v>0.97</v>
      </c>
      <c r="F7878" s="3">
        <v>3.12</v>
      </c>
      <c r="G7878" s="3">
        <v>8.7</v>
      </c>
    </row>
    <row r="7879">
      <c r="A7879" s="3">
        <v>781238.0</v>
      </c>
      <c r="B7879" s="3" t="s">
        <v>7907</v>
      </c>
      <c r="C7879" s="3" t="s">
        <v>7823</v>
      </c>
      <c r="D7879" s="3">
        <v>49.0</v>
      </c>
      <c r="E7879" s="3">
        <v>0.19</v>
      </c>
      <c r="F7879" s="3">
        <v>3.12</v>
      </c>
      <c r="G7879" s="3">
        <v>8.67</v>
      </c>
    </row>
    <row r="7880">
      <c r="A7880" s="3">
        <v>781239.0</v>
      </c>
      <c r="B7880" s="3" t="s">
        <v>7908</v>
      </c>
      <c r="C7880" s="3" t="s">
        <v>7823</v>
      </c>
      <c r="D7880" s="3">
        <v>55.0</v>
      </c>
      <c r="E7880" s="3">
        <v>1.22</v>
      </c>
      <c r="F7880" s="3">
        <v>1.5</v>
      </c>
      <c r="G7880" s="3">
        <v>9.37</v>
      </c>
    </row>
    <row r="7881">
      <c r="A7881" s="3">
        <v>781240.0</v>
      </c>
      <c r="B7881" s="3" t="s">
        <v>7909</v>
      </c>
      <c r="C7881" s="3" t="s">
        <v>7823</v>
      </c>
      <c r="D7881" s="3">
        <v>50.0</v>
      </c>
      <c r="E7881" s="3">
        <v>2.04</v>
      </c>
      <c r="F7881" s="3">
        <v>3.22</v>
      </c>
      <c r="G7881" s="3">
        <v>6.02</v>
      </c>
    </row>
    <row r="7882">
      <c r="A7882" s="3">
        <v>781241.0</v>
      </c>
      <c r="B7882" s="3" t="s">
        <v>7910</v>
      </c>
      <c r="C7882" s="3" t="s">
        <v>7823</v>
      </c>
      <c r="D7882" s="3">
        <v>59.0</v>
      </c>
      <c r="E7882" s="3">
        <v>3.1</v>
      </c>
      <c r="F7882" s="3">
        <v>3.12</v>
      </c>
      <c r="G7882" s="3">
        <v>5.98</v>
      </c>
    </row>
    <row r="7883">
      <c r="A7883" s="3">
        <v>781242.0</v>
      </c>
      <c r="B7883" s="3" t="s">
        <v>7911</v>
      </c>
      <c r="C7883" s="3" t="s">
        <v>7823</v>
      </c>
      <c r="D7883" s="3">
        <v>49.0</v>
      </c>
      <c r="E7883" s="3">
        <v>1.99</v>
      </c>
      <c r="F7883" s="3">
        <v>3.25</v>
      </c>
      <c r="G7883" s="3">
        <v>5.98</v>
      </c>
    </row>
    <row r="7884">
      <c r="A7884" s="3">
        <v>781243.0</v>
      </c>
      <c r="B7884" s="3" t="s">
        <v>7912</v>
      </c>
      <c r="C7884" s="3" t="s">
        <v>7823</v>
      </c>
      <c r="D7884" s="3">
        <v>42.0</v>
      </c>
      <c r="E7884" s="3">
        <v>1.1</v>
      </c>
      <c r="F7884" s="3">
        <v>3.31</v>
      </c>
      <c r="G7884" s="3">
        <v>6.14</v>
      </c>
    </row>
    <row r="7885">
      <c r="A7885" s="3">
        <v>781244.0</v>
      </c>
      <c r="B7885" s="3" t="s">
        <v>7913</v>
      </c>
      <c r="C7885" s="3" t="s">
        <v>7823</v>
      </c>
      <c r="D7885" s="3">
        <v>35.0</v>
      </c>
      <c r="E7885" s="3">
        <v>0.32</v>
      </c>
      <c r="F7885" s="3">
        <v>3.31</v>
      </c>
      <c r="G7885" s="3">
        <v>6.12</v>
      </c>
    </row>
    <row r="7886">
      <c r="A7886" s="3">
        <v>781245.0</v>
      </c>
      <c r="B7886" s="3" t="s">
        <v>7914</v>
      </c>
      <c r="C7886" s="3" t="s">
        <v>7823</v>
      </c>
      <c r="D7886" s="3">
        <v>41.0</v>
      </c>
      <c r="E7886" s="3">
        <v>1.35</v>
      </c>
      <c r="F7886" s="3">
        <v>1.68</v>
      </c>
      <c r="G7886" s="3">
        <v>6.81</v>
      </c>
    </row>
    <row r="7887">
      <c r="A7887" s="3">
        <v>781246.0</v>
      </c>
      <c r="B7887" s="3" t="s">
        <v>7915</v>
      </c>
      <c r="C7887" s="3" t="s">
        <v>7823</v>
      </c>
      <c r="D7887" s="3">
        <v>54.0</v>
      </c>
      <c r="E7887" s="3">
        <v>0.55</v>
      </c>
      <c r="F7887" s="3">
        <v>0.91</v>
      </c>
      <c r="G7887" s="3">
        <v>11.4</v>
      </c>
    </row>
    <row r="7888">
      <c r="A7888" s="3">
        <v>781247.0</v>
      </c>
      <c r="B7888" s="3" t="s">
        <v>7916</v>
      </c>
      <c r="C7888" s="3" t="s">
        <v>7823</v>
      </c>
      <c r="D7888" s="3">
        <v>106.0</v>
      </c>
      <c r="E7888" s="3">
        <v>3.35</v>
      </c>
      <c r="F7888" s="3">
        <v>3.62</v>
      </c>
      <c r="G7888" s="3">
        <v>15.27</v>
      </c>
    </row>
    <row r="7889">
      <c r="A7889" s="3">
        <v>781248.0</v>
      </c>
      <c r="B7889" s="3" t="s">
        <v>7917</v>
      </c>
      <c r="C7889" s="3" t="s">
        <v>7823</v>
      </c>
      <c r="D7889" s="3">
        <v>96.0</v>
      </c>
      <c r="E7889" s="3">
        <v>2.25</v>
      </c>
      <c r="F7889" s="3">
        <v>3.75</v>
      </c>
      <c r="G7889" s="3">
        <v>15.27</v>
      </c>
    </row>
    <row r="7890">
      <c r="A7890" s="3">
        <v>781249.0</v>
      </c>
      <c r="B7890" s="3" t="s">
        <v>7918</v>
      </c>
      <c r="C7890" s="3" t="s">
        <v>7823</v>
      </c>
      <c r="D7890" s="3">
        <v>89.0</v>
      </c>
      <c r="E7890" s="3">
        <v>1.37</v>
      </c>
      <c r="F7890" s="3">
        <v>3.81</v>
      </c>
      <c r="G7890" s="3">
        <v>15.44</v>
      </c>
    </row>
    <row r="7891">
      <c r="A7891" s="3">
        <v>781250.0</v>
      </c>
      <c r="B7891" s="3" t="s">
        <v>7919</v>
      </c>
      <c r="C7891" s="3" t="s">
        <v>7823</v>
      </c>
      <c r="D7891" s="3">
        <v>82.0</v>
      </c>
      <c r="E7891" s="3">
        <v>0.6</v>
      </c>
      <c r="F7891" s="3">
        <v>3.81</v>
      </c>
      <c r="G7891" s="3">
        <v>15.41</v>
      </c>
    </row>
    <row r="7892">
      <c r="A7892" s="3">
        <v>781251.0</v>
      </c>
      <c r="B7892" s="3" t="s">
        <v>7920</v>
      </c>
      <c r="C7892" s="3" t="s">
        <v>7823</v>
      </c>
      <c r="D7892" s="3">
        <v>88.0</v>
      </c>
      <c r="E7892" s="3">
        <v>1.62</v>
      </c>
      <c r="F7892" s="3">
        <v>2.19</v>
      </c>
      <c r="G7892" s="3">
        <v>16.05</v>
      </c>
    </row>
    <row r="7893">
      <c r="A7893" s="3">
        <v>781252.0</v>
      </c>
      <c r="B7893" s="3" t="s">
        <v>7921</v>
      </c>
      <c r="C7893" s="3" t="s">
        <v>7823</v>
      </c>
      <c r="D7893" s="3">
        <v>31.0</v>
      </c>
      <c r="E7893" s="3">
        <v>0.25</v>
      </c>
      <c r="F7893" s="3">
        <v>1.28</v>
      </c>
      <c r="G7893" s="3">
        <v>5.94</v>
      </c>
    </row>
    <row r="7894">
      <c r="A7894" s="3">
        <v>781253.0</v>
      </c>
      <c r="B7894" s="3" t="s">
        <v>7922</v>
      </c>
      <c r="C7894" s="3" t="s">
        <v>7823</v>
      </c>
      <c r="D7894" s="3">
        <v>86.0</v>
      </c>
      <c r="E7894" s="3">
        <v>3.23</v>
      </c>
      <c r="F7894" s="3">
        <v>4.14</v>
      </c>
      <c r="G7894" s="3">
        <v>10.2</v>
      </c>
    </row>
    <row r="7895">
      <c r="A7895" s="3">
        <v>781254.0</v>
      </c>
      <c r="B7895" s="3" t="s">
        <v>7923</v>
      </c>
      <c r="C7895" s="3" t="s">
        <v>7823</v>
      </c>
      <c r="D7895" s="3">
        <v>76.0</v>
      </c>
      <c r="E7895" s="3">
        <v>2.06</v>
      </c>
      <c r="F7895" s="3">
        <v>4.28</v>
      </c>
      <c r="G7895" s="3">
        <v>10.2</v>
      </c>
    </row>
    <row r="7896">
      <c r="A7896" s="3">
        <v>781255.0</v>
      </c>
      <c r="B7896" s="3" t="s">
        <v>7924</v>
      </c>
      <c r="C7896" s="3" t="s">
        <v>7823</v>
      </c>
      <c r="D7896" s="3">
        <v>69.0</v>
      </c>
      <c r="E7896" s="3">
        <v>1.13</v>
      </c>
      <c r="F7896" s="3">
        <v>4.34</v>
      </c>
      <c r="G7896" s="3">
        <v>10.37</v>
      </c>
    </row>
    <row r="7897">
      <c r="A7897" s="3">
        <v>781256.0</v>
      </c>
      <c r="B7897" s="3" t="s">
        <v>7925</v>
      </c>
      <c r="C7897" s="3" t="s">
        <v>7823</v>
      </c>
      <c r="D7897" s="3">
        <v>62.0</v>
      </c>
      <c r="E7897" s="3">
        <v>0.32</v>
      </c>
      <c r="F7897" s="3">
        <v>4.34</v>
      </c>
      <c r="G7897" s="3">
        <v>10.34</v>
      </c>
    </row>
    <row r="7898">
      <c r="A7898" s="3">
        <v>781257.0</v>
      </c>
      <c r="B7898" s="3" t="s">
        <v>7926</v>
      </c>
      <c r="C7898" s="3" t="s">
        <v>7823</v>
      </c>
      <c r="D7898" s="3">
        <v>67.0</v>
      </c>
      <c r="E7898" s="3">
        <v>1.4</v>
      </c>
      <c r="F7898" s="3">
        <v>2.63</v>
      </c>
      <c r="G7898" s="3">
        <v>11.05</v>
      </c>
    </row>
    <row r="7899">
      <c r="A7899" s="3">
        <v>781258.0</v>
      </c>
      <c r="B7899" s="3" t="s">
        <v>7927</v>
      </c>
      <c r="C7899" s="3" t="s">
        <v>7823</v>
      </c>
      <c r="D7899" s="3">
        <v>52.0</v>
      </c>
      <c r="E7899" s="3">
        <v>1.97</v>
      </c>
      <c r="F7899" s="3">
        <v>3.28</v>
      </c>
      <c r="G7899" s="3">
        <v>5.25</v>
      </c>
    </row>
    <row r="7900">
      <c r="A7900" s="3">
        <v>781259.0</v>
      </c>
      <c r="B7900" s="3" t="s">
        <v>7928</v>
      </c>
      <c r="C7900" s="3" t="s">
        <v>7823</v>
      </c>
      <c r="D7900" s="3">
        <v>81.0</v>
      </c>
      <c r="E7900" s="3">
        <v>3.06</v>
      </c>
      <c r="F7900" s="3">
        <v>2.96</v>
      </c>
      <c r="G7900" s="3">
        <v>10.6</v>
      </c>
    </row>
    <row r="7901">
      <c r="A7901" s="3">
        <v>781260.0</v>
      </c>
      <c r="B7901" s="3" t="s">
        <v>7929</v>
      </c>
      <c r="C7901" s="3" t="s">
        <v>7823</v>
      </c>
      <c r="D7901" s="3">
        <v>71.0</v>
      </c>
      <c r="E7901" s="3">
        <v>1.87</v>
      </c>
      <c r="F7901" s="3">
        <v>3.1</v>
      </c>
      <c r="G7901" s="3">
        <v>10.6</v>
      </c>
    </row>
    <row r="7902">
      <c r="A7902" s="3">
        <v>781261.0</v>
      </c>
      <c r="B7902" s="3" t="s">
        <v>7930</v>
      </c>
      <c r="C7902" s="3" t="s">
        <v>7823</v>
      </c>
      <c r="D7902" s="3">
        <v>63.0</v>
      </c>
      <c r="E7902" s="3">
        <v>0.92</v>
      </c>
      <c r="F7902" s="3">
        <v>3.17</v>
      </c>
      <c r="G7902" s="3">
        <v>10.78</v>
      </c>
    </row>
    <row r="7903">
      <c r="A7903" s="3">
        <v>781262.0</v>
      </c>
      <c r="B7903" s="3" t="s">
        <v>7931</v>
      </c>
      <c r="C7903" s="3" t="s">
        <v>7823</v>
      </c>
      <c r="D7903" s="3">
        <v>56.0</v>
      </c>
      <c r="E7903" s="3">
        <v>0.09</v>
      </c>
      <c r="F7903" s="3">
        <v>3.17</v>
      </c>
      <c r="G7903" s="3">
        <v>10.75</v>
      </c>
    </row>
    <row r="7904">
      <c r="A7904" s="3">
        <v>781263.0</v>
      </c>
      <c r="B7904" s="3" t="s">
        <v>7932</v>
      </c>
      <c r="C7904" s="3" t="s">
        <v>7823</v>
      </c>
      <c r="D7904" s="3">
        <v>62.0</v>
      </c>
      <c r="E7904" s="3">
        <v>1.19</v>
      </c>
      <c r="F7904" s="3">
        <v>1.42</v>
      </c>
      <c r="G7904" s="3">
        <v>11.5</v>
      </c>
    </row>
    <row r="7905">
      <c r="A7905" s="3">
        <v>781264.0</v>
      </c>
      <c r="B7905" s="3" t="s">
        <v>7933</v>
      </c>
      <c r="C7905" s="3" t="s">
        <v>7823</v>
      </c>
      <c r="D7905" s="3">
        <v>65.0</v>
      </c>
      <c r="E7905" s="3">
        <v>1.96</v>
      </c>
      <c r="F7905" s="3">
        <v>3.13</v>
      </c>
      <c r="G7905" s="3">
        <v>8.65</v>
      </c>
    </row>
    <row r="7906">
      <c r="A7906" s="3">
        <v>781266.0</v>
      </c>
      <c r="B7906" s="3" t="s">
        <v>7934</v>
      </c>
      <c r="C7906" s="3" t="s">
        <v>7823</v>
      </c>
      <c r="D7906" s="3">
        <v>74.0</v>
      </c>
      <c r="E7906" s="3">
        <v>3.17</v>
      </c>
      <c r="F7906" s="3">
        <v>4.74</v>
      </c>
      <c r="G7906" s="3">
        <v>6.51</v>
      </c>
    </row>
    <row r="7907">
      <c r="A7907" s="3">
        <v>781267.0</v>
      </c>
      <c r="B7907" s="3" t="s">
        <v>7935</v>
      </c>
      <c r="C7907" s="3" t="s">
        <v>7823</v>
      </c>
      <c r="D7907" s="3">
        <v>120.0</v>
      </c>
      <c r="E7907" s="3">
        <v>6.18</v>
      </c>
      <c r="F7907" s="3">
        <v>3.4</v>
      </c>
      <c r="G7907" s="3">
        <v>13.64</v>
      </c>
    </row>
    <row r="7908">
      <c r="A7908" s="3">
        <v>781268.0</v>
      </c>
      <c r="B7908" s="3" t="s">
        <v>7936</v>
      </c>
      <c r="C7908" s="3" t="s">
        <v>7823</v>
      </c>
      <c r="D7908" s="3">
        <v>116.0</v>
      </c>
      <c r="E7908" s="3">
        <v>6.18</v>
      </c>
      <c r="F7908" s="3">
        <v>3.28</v>
      </c>
      <c r="G7908" s="3">
        <v>11.9</v>
      </c>
    </row>
    <row r="7909">
      <c r="A7909" s="3">
        <v>781269.0</v>
      </c>
      <c r="B7909" s="3" t="s">
        <v>7937</v>
      </c>
      <c r="C7909" s="3" t="s">
        <v>7823</v>
      </c>
      <c r="D7909" s="3">
        <v>97.0</v>
      </c>
      <c r="E7909" s="3">
        <v>3.32</v>
      </c>
      <c r="F7909" s="3">
        <v>3.98</v>
      </c>
      <c r="G7909" s="3">
        <v>12.81</v>
      </c>
    </row>
    <row r="7910">
      <c r="A7910" s="3">
        <v>781270.0</v>
      </c>
      <c r="B7910" s="3" t="s">
        <v>7938</v>
      </c>
      <c r="C7910" s="3" t="s">
        <v>7823</v>
      </c>
      <c r="D7910" s="3">
        <v>94.0</v>
      </c>
      <c r="E7910" s="3">
        <v>2.43</v>
      </c>
      <c r="F7910" s="3">
        <v>3.9</v>
      </c>
      <c r="G7910" s="3">
        <v>14.23</v>
      </c>
    </row>
    <row r="7911">
      <c r="A7911" s="3">
        <v>781271.0</v>
      </c>
      <c r="B7911" s="3" t="s">
        <v>7939</v>
      </c>
      <c r="C7911" s="3" t="s">
        <v>7823</v>
      </c>
      <c r="D7911" s="3">
        <v>127.0</v>
      </c>
      <c r="E7911" s="3">
        <v>6.3</v>
      </c>
      <c r="F7911" s="3">
        <v>3.68</v>
      </c>
      <c r="G7911" s="3">
        <v>14.06</v>
      </c>
    </row>
    <row r="7912">
      <c r="A7912" s="3">
        <v>781272.0</v>
      </c>
      <c r="B7912" s="3" t="s">
        <v>7940</v>
      </c>
      <c r="C7912" s="3" t="s">
        <v>7823</v>
      </c>
      <c r="D7912" s="3">
        <v>150.0</v>
      </c>
      <c r="E7912" s="3">
        <v>6.66</v>
      </c>
      <c r="F7912" s="3">
        <v>3.7</v>
      </c>
      <c r="G7912" s="3">
        <v>20.36</v>
      </c>
    </row>
    <row r="7913">
      <c r="A7913" s="3">
        <v>781274.0</v>
      </c>
      <c r="B7913" s="3" t="s">
        <v>7941</v>
      </c>
      <c r="C7913" s="3" t="s">
        <v>7823</v>
      </c>
      <c r="D7913" s="3">
        <v>150.0</v>
      </c>
      <c r="E7913" s="3">
        <v>6.66</v>
      </c>
      <c r="F7913" s="3">
        <v>3.7</v>
      </c>
      <c r="G7913" s="3">
        <v>20.36</v>
      </c>
    </row>
    <row r="7914">
      <c r="A7914" s="3">
        <v>781276.0</v>
      </c>
      <c r="B7914" s="3" t="s">
        <v>7942</v>
      </c>
      <c r="C7914" s="3" t="s">
        <v>183</v>
      </c>
      <c r="D7914" s="3">
        <v>71.0</v>
      </c>
      <c r="E7914" s="3">
        <v>1.39</v>
      </c>
      <c r="F7914" s="3">
        <v>2.35</v>
      </c>
      <c r="G7914" s="3">
        <v>13.11</v>
      </c>
    </row>
    <row r="7915">
      <c r="A7915" s="3">
        <v>781277.0</v>
      </c>
      <c r="B7915" s="3" t="s">
        <v>7943</v>
      </c>
      <c r="C7915" s="3" t="s">
        <v>183</v>
      </c>
      <c r="D7915" s="3">
        <v>63.0</v>
      </c>
      <c r="E7915" s="3">
        <v>1.08</v>
      </c>
      <c r="F7915" s="3">
        <v>2.37</v>
      </c>
      <c r="G7915" s="3">
        <v>11.65</v>
      </c>
    </row>
    <row r="7916">
      <c r="A7916" s="3">
        <v>781278.0</v>
      </c>
      <c r="B7916" s="3" t="s">
        <v>7944</v>
      </c>
      <c r="C7916" s="3" t="s">
        <v>183</v>
      </c>
      <c r="D7916" s="3">
        <v>63.0</v>
      </c>
      <c r="E7916" s="3">
        <v>1.08</v>
      </c>
      <c r="F7916" s="3">
        <v>2.37</v>
      </c>
      <c r="G7916" s="3">
        <v>11.65</v>
      </c>
    </row>
    <row r="7917">
      <c r="A7917" s="3">
        <v>781279.0</v>
      </c>
      <c r="B7917" s="3" t="s">
        <v>7945</v>
      </c>
      <c r="C7917" s="3" t="s">
        <v>183</v>
      </c>
      <c r="D7917" s="3">
        <v>77.0</v>
      </c>
      <c r="E7917" s="3">
        <v>1.22</v>
      </c>
      <c r="F7917" s="3">
        <v>7.31</v>
      </c>
      <c r="G7917" s="3">
        <v>9.72</v>
      </c>
    </row>
    <row r="7918">
      <c r="A7918" s="3">
        <v>781282.0</v>
      </c>
      <c r="B7918" s="3" t="s">
        <v>7946</v>
      </c>
      <c r="C7918" s="3" t="s">
        <v>196</v>
      </c>
      <c r="D7918" s="3">
        <v>66.0</v>
      </c>
      <c r="E7918" s="3">
        <v>3.56</v>
      </c>
      <c r="F7918" s="3">
        <v>1.38</v>
      </c>
      <c r="G7918" s="3">
        <v>7.12</v>
      </c>
    </row>
    <row r="7919">
      <c r="A7919" s="3">
        <v>781289.0</v>
      </c>
      <c r="B7919" s="3" t="s">
        <v>7947</v>
      </c>
      <c r="C7919" s="3" t="s">
        <v>196</v>
      </c>
      <c r="D7919" s="3">
        <v>66.0</v>
      </c>
      <c r="E7919" s="3">
        <v>3.62</v>
      </c>
      <c r="F7919" s="3">
        <v>1.37</v>
      </c>
      <c r="G7919" s="3">
        <v>6.87</v>
      </c>
    </row>
    <row r="7920">
      <c r="A7920" s="3">
        <v>781290.0</v>
      </c>
      <c r="B7920" s="3" t="s">
        <v>7948</v>
      </c>
      <c r="C7920" s="3" t="s">
        <v>196</v>
      </c>
      <c r="D7920" s="3">
        <v>66.0</v>
      </c>
      <c r="E7920" s="3">
        <v>3.62</v>
      </c>
      <c r="F7920" s="3">
        <v>1.37</v>
      </c>
      <c r="G7920" s="3">
        <v>6.87</v>
      </c>
    </row>
    <row r="7921">
      <c r="A7921" s="3">
        <v>781291.0</v>
      </c>
      <c r="B7921" s="3" t="s">
        <v>7949</v>
      </c>
      <c r="C7921" s="3" t="s">
        <v>196</v>
      </c>
      <c r="D7921" s="3">
        <v>66.0</v>
      </c>
      <c r="E7921" s="3">
        <v>3.62</v>
      </c>
      <c r="F7921" s="3">
        <v>1.37</v>
      </c>
      <c r="G7921" s="3">
        <v>6.87</v>
      </c>
    </row>
    <row r="7922">
      <c r="A7922" s="3">
        <v>781292.0</v>
      </c>
      <c r="B7922" s="3" t="s">
        <v>7950</v>
      </c>
      <c r="C7922" s="3" t="s">
        <v>196</v>
      </c>
      <c r="D7922" s="3">
        <v>66.0</v>
      </c>
      <c r="E7922" s="3">
        <v>3.62</v>
      </c>
      <c r="F7922" s="3">
        <v>1.37</v>
      </c>
      <c r="G7922" s="3">
        <v>6.87</v>
      </c>
    </row>
    <row r="7923">
      <c r="A7923" s="3">
        <v>781293.0</v>
      </c>
      <c r="B7923" s="3" t="s">
        <v>7951</v>
      </c>
      <c r="C7923" s="3" t="s">
        <v>196</v>
      </c>
      <c r="D7923" s="3">
        <v>66.0</v>
      </c>
      <c r="E7923" s="3">
        <v>3.62</v>
      </c>
      <c r="F7923" s="3">
        <v>1.37</v>
      </c>
      <c r="G7923" s="3">
        <v>6.87</v>
      </c>
    </row>
    <row r="7924">
      <c r="A7924" s="3">
        <v>781294.0</v>
      </c>
      <c r="B7924" s="3" t="s">
        <v>7952</v>
      </c>
      <c r="C7924" s="3" t="s">
        <v>196</v>
      </c>
      <c r="D7924" s="3">
        <v>66.0</v>
      </c>
      <c r="E7924" s="3">
        <v>3.62</v>
      </c>
      <c r="F7924" s="3">
        <v>1.37</v>
      </c>
      <c r="G7924" s="3">
        <v>6.87</v>
      </c>
    </row>
    <row r="7925">
      <c r="A7925" s="3">
        <v>781295.0</v>
      </c>
      <c r="B7925" s="3" t="s">
        <v>7953</v>
      </c>
      <c r="C7925" s="3" t="s">
        <v>196</v>
      </c>
      <c r="D7925" s="3">
        <v>66.0</v>
      </c>
      <c r="E7925" s="3">
        <v>3.62</v>
      </c>
      <c r="F7925" s="3">
        <v>1.37</v>
      </c>
      <c r="G7925" s="3">
        <v>6.87</v>
      </c>
    </row>
    <row r="7926">
      <c r="A7926" s="3">
        <v>781296.0</v>
      </c>
      <c r="B7926" s="3" t="s">
        <v>7954</v>
      </c>
      <c r="C7926" s="3" t="s">
        <v>196</v>
      </c>
      <c r="D7926" s="3">
        <v>66.0</v>
      </c>
      <c r="E7926" s="3">
        <v>3.62</v>
      </c>
      <c r="F7926" s="3">
        <v>1.37</v>
      </c>
      <c r="G7926" s="3">
        <v>6.87</v>
      </c>
    </row>
    <row r="7927">
      <c r="A7927" s="3">
        <v>781297.0</v>
      </c>
      <c r="B7927" s="3" t="s">
        <v>7955</v>
      </c>
      <c r="C7927" s="3" t="s">
        <v>196</v>
      </c>
      <c r="D7927" s="3">
        <v>66.0</v>
      </c>
      <c r="E7927" s="3">
        <v>3.62</v>
      </c>
      <c r="F7927" s="3">
        <v>1.37</v>
      </c>
      <c r="G7927" s="3">
        <v>6.87</v>
      </c>
    </row>
    <row r="7928">
      <c r="A7928" s="3">
        <v>781298.0</v>
      </c>
      <c r="B7928" s="3" t="s">
        <v>7956</v>
      </c>
      <c r="C7928" s="3" t="s">
        <v>196</v>
      </c>
      <c r="D7928" s="3">
        <v>66.0</v>
      </c>
      <c r="E7928" s="3">
        <v>3.62</v>
      </c>
      <c r="F7928" s="3">
        <v>1.37</v>
      </c>
      <c r="G7928" s="3">
        <v>6.87</v>
      </c>
    </row>
    <row r="7929">
      <c r="A7929" s="3">
        <v>781299.0</v>
      </c>
      <c r="B7929" s="3" t="s">
        <v>7957</v>
      </c>
      <c r="C7929" s="3" t="s">
        <v>196</v>
      </c>
      <c r="D7929" s="3">
        <v>66.0</v>
      </c>
      <c r="E7929" s="3">
        <v>3.62</v>
      </c>
      <c r="F7929" s="3">
        <v>1.37</v>
      </c>
      <c r="G7929" s="3">
        <v>6.87</v>
      </c>
    </row>
    <row r="7930">
      <c r="A7930" s="3">
        <v>781300.0</v>
      </c>
      <c r="B7930" s="3" t="s">
        <v>7958</v>
      </c>
      <c r="C7930" s="3" t="s">
        <v>196</v>
      </c>
      <c r="D7930" s="3">
        <v>66.0</v>
      </c>
      <c r="E7930" s="3">
        <v>3.62</v>
      </c>
      <c r="F7930" s="3">
        <v>1.37</v>
      </c>
      <c r="G7930" s="3">
        <v>6.87</v>
      </c>
    </row>
    <row r="7931">
      <c r="A7931" s="3">
        <v>781301.0</v>
      </c>
      <c r="B7931" s="3" t="s">
        <v>7959</v>
      </c>
      <c r="C7931" s="3" t="s">
        <v>196</v>
      </c>
      <c r="D7931" s="3">
        <v>66.0</v>
      </c>
      <c r="E7931" s="3">
        <v>3.62</v>
      </c>
      <c r="F7931" s="3">
        <v>1.37</v>
      </c>
      <c r="G7931" s="3">
        <v>6.87</v>
      </c>
    </row>
    <row r="7932">
      <c r="A7932" s="3">
        <v>781302.0</v>
      </c>
      <c r="B7932" s="3" t="s">
        <v>7960</v>
      </c>
      <c r="C7932" s="3" t="s">
        <v>196</v>
      </c>
      <c r="D7932" s="3">
        <v>66.0</v>
      </c>
      <c r="E7932" s="3">
        <v>3.62</v>
      </c>
      <c r="F7932" s="3">
        <v>1.37</v>
      </c>
      <c r="G7932" s="3">
        <v>6.87</v>
      </c>
    </row>
    <row r="7933">
      <c r="A7933" s="3">
        <v>781303.0</v>
      </c>
      <c r="B7933" s="3" t="s">
        <v>7961</v>
      </c>
      <c r="C7933" s="3" t="s">
        <v>196</v>
      </c>
      <c r="D7933" s="3">
        <v>66.0</v>
      </c>
      <c r="E7933" s="3">
        <v>3.62</v>
      </c>
      <c r="F7933" s="3">
        <v>1.37</v>
      </c>
      <c r="G7933" s="3">
        <v>6.87</v>
      </c>
    </row>
    <row r="7934">
      <c r="A7934" s="3">
        <v>781304.0</v>
      </c>
      <c r="B7934" s="3" t="s">
        <v>7962</v>
      </c>
      <c r="C7934" s="3" t="s">
        <v>196</v>
      </c>
      <c r="D7934" s="3">
        <v>66.0</v>
      </c>
      <c r="E7934" s="3">
        <v>3.62</v>
      </c>
      <c r="F7934" s="3">
        <v>1.37</v>
      </c>
      <c r="G7934" s="3">
        <v>6.87</v>
      </c>
    </row>
    <row r="7935">
      <c r="A7935" s="3">
        <v>781305.0</v>
      </c>
      <c r="B7935" s="3" t="s">
        <v>7963</v>
      </c>
      <c r="C7935" s="3" t="s">
        <v>196</v>
      </c>
      <c r="D7935" s="3">
        <v>65.0</v>
      </c>
      <c r="E7935" s="3">
        <v>3.53</v>
      </c>
      <c r="F7935" s="3">
        <v>1.4</v>
      </c>
      <c r="G7935" s="3">
        <v>6.99</v>
      </c>
    </row>
    <row r="7936">
      <c r="A7936" s="3">
        <v>781306.0</v>
      </c>
      <c r="B7936" s="3" t="s">
        <v>7964</v>
      </c>
      <c r="C7936" s="3" t="s">
        <v>196</v>
      </c>
      <c r="D7936" s="3">
        <v>65.0</v>
      </c>
      <c r="E7936" s="3">
        <v>3.53</v>
      </c>
      <c r="F7936" s="3">
        <v>1.4</v>
      </c>
      <c r="G7936" s="3">
        <v>6.99</v>
      </c>
    </row>
    <row r="7937">
      <c r="A7937" s="3">
        <v>781307.0</v>
      </c>
      <c r="B7937" s="3" t="s">
        <v>7965</v>
      </c>
      <c r="C7937" s="3" t="s">
        <v>196</v>
      </c>
      <c r="D7937" s="3">
        <v>65.0</v>
      </c>
      <c r="E7937" s="3">
        <v>3.53</v>
      </c>
      <c r="F7937" s="3">
        <v>1.4</v>
      </c>
      <c r="G7937" s="3">
        <v>6.99</v>
      </c>
    </row>
    <row r="7938">
      <c r="A7938" s="3">
        <v>781308.0</v>
      </c>
      <c r="B7938" s="3" t="s">
        <v>7966</v>
      </c>
      <c r="C7938" s="3" t="s">
        <v>196</v>
      </c>
      <c r="D7938" s="3">
        <v>65.0</v>
      </c>
      <c r="E7938" s="3">
        <v>3.53</v>
      </c>
      <c r="F7938" s="3">
        <v>1.4</v>
      </c>
      <c r="G7938" s="3">
        <v>6.99</v>
      </c>
    </row>
    <row r="7939">
      <c r="A7939" s="3">
        <v>781309.0</v>
      </c>
      <c r="B7939" s="3" t="s">
        <v>7967</v>
      </c>
      <c r="C7939" s="3" t="s">
        <v>196</v>
      </c>
      <c r="D7939" s="3">
        <v>65.0</v>
      </c>
      <c r="E7939" s="3">
        <v>3.53</v>
      </c>
      <c r="F7939" s="3">
        <v>1.4</v>
      </c>
      <c r="G7939" s="3">
        <v>6.99</v>
      </c>
    </row>
    <row r="7940">
      <c r="A7940" s="3">
        <v>781310.0</v>
      </c>
      <c r="B7940" s="3" t="s">
        <v>7968</v>
      </c>
      <c r="C7940" s="3" t="s">
        <v>196</v>
      </c>
      <c r="D7940" s="3">
        <v>65.0</v>
      </c>
      <c r="E7940" s="3">
        <v>3.53</v>
      </c>
      <c r="F7940" s="3">
        <v>1.4</v>
      </c>
      <c r="G7940" s="3">
        <v>6.99</v>
      </c>
    </row>
    <row r="7941">
      <c r="A7941" s="3">
        <v>781311.0</v>
      </c>
      <c r="B7941" s="3" t="s">
        <v>7969</v>
      </c>
      <c r="C7941" s="3" t="s">
        <v>196</v>
      </c>
      <c r="D7941" s="3">
        <v>65.0</v>
      </c>
      <c r="E7941" s="3">
        <v>3.53</v>
      </c>
      <c r="F7941" s="3">
        <v>1.4</v>
      </c>
      <c r="G7941" s="3">
        <v>6.99</v>
      </c>
    </row>
    <row r="7942">
      <c r="A7942" s="3">
        <v>781312.0</v>
      </c>
      <c r="B7942" s="3" t="s">
        <v>7970</v>
      </c>
      <c r="C7942" s="3" t="s">
        <v>196</v>
      </c>
      <c r="D7942" s="3">
        <v>65.0</v>
      </c>
      <c r="E7942" s="3">
        <v>3.53</v>
      </c>
      <c r="F7942" s="3">
        <v>1.4</v>
      </c>
      <c r="G7942" s="3">
        <v>6.99</v>
      </c>
    </row>
    <row r="7943">
      <c r="A7943" s="3">
        <v>781313.0</v>
      </c>
      <c r="B7943" s="3" t="s">
        <v>7971</v>
      </c>
      <c r="C7943" s="3" t="s">
        <v>196</v>
      </c>
      <c r="D7943" s="3">
        <v>65.0</v>
      </c>
      <c r="E7943" s="3">
        <v>3.53</v>
      </c>
      <c r="F7943" s="3">
        <v>1.4</v>
      </c>
      <c r="G7943" s="3">
        <v>6.99</v>
      </c>
    </row>
    <row r="7944">
      <c r="A7944" s="3">
        <v>781314.0</v>
      </c>
      <c r="B7944" s="3" t="s">
        <v>7972</v>
      </c>
      <c r="C7944" s="3" t="s">
        <v>196</v>
      </c>
      <c r="D7944" s="3">
        <v>65.0</v>
      </c>
      <c r="E7944" s="3">
        <v>3.53</v>
      </c>
      <c r="F7944" s="3">
        <v>1.4</v>
      </c>
      <c r="G7944" s="3">
        <v>6.99</v>
      </c>
    </row>
    <row r="7945">
      <c r="A7945" s="3">
        <v>781315.0</v>
      </c>
      <c r="B7945" s="3" t="s">
        <v>7973</v>
      </c>
      <c r="C7945" s="3" t="s">
        <v>196</v>
      </c>
      <c r="D7945" s="3">
        <v>65.0</v>
      </c>
      <c r="E7945" s="3">
        <v>3.48</v>
      </c>
      <c r="F7945" s="3">
        <v>1.38</v>
      </c>
      <c r="G7945" s="3">
        <v>6.9</v>
      </c>
    </row>
    <row r="7946">
      <c r="A7946" s="3">
        <v>781316.0</v>
      </c>
      <c r="B7946" s="3" t="s">
        <v>7974</v>
      </c>
      <c r="C7946" s="3" t="s">
        <v>196</v>
      </c>
      <c r="D7946" s="3">
        <v>65.0</v>
      </c>
      <c r="E7946" s="3">
        <v>3.48</v>
      </c>
      <c r="F7946" s="3">
        <v>1.38</v>
      </c>
      <c r="G7946" s="3">
        <v>6.9</v>
      </c>
    </row>
    <row r="7947">
      <c r="A7947" s="3">
        <v>781317.0</v>
      </c>
      <c r="B7947" s="3" t="s">
        <v>7975</v>
      </c>
      <c r="C7947" s="3" t="s">
        <v>196</v>
      </c>
      <c r="D7947" s="3">
        <v>65.0</v>
      </c>
      <c r="E7947" s="3">
        <v>3.48</v>
      </c>
      <c r="F7947" s="3">
        <v>1.38</v>
      </c>
      <c r="G7947" s="3">
        <v>6.9</v>
      </c>
    </row>
    <row r="7948">
      <c r="A7948" s="3">
        <v>781318.0</v>
      </c>
      <c r="B7948" s="3" t="s">
        <v>7976</v>
      </c>
      <c r="C7948" s="3" t="s">
        <v>196</v>
      </c>
      <c r="D7948" s="3">
        <v>73.0</v>
      </c>
      <c r="E7948" s="3">
        <v>3.95</v>
      </c>
      <c r="F7948" s="3">
        <v>2.01</v>
      </c>
      <c r="G7948" s="3">
        <v>7.22</v>
      </c>
    </row>
    <row r="7949">
      <c r="A7949" s="3">
        <v>781319.0</v>
      </c>
      <c r="B7949" s="3" t="s">
        <v>7977</v>
      </c>
      <c r="C7949" s="3" t="s">
        <v>196</v>
      </c>
      <c r="D7949" s="3">
        <v>73.0</v>
      </c>
      <c r="E7949" s="3">
        <v>3.95</v>
      </c>
      <c r="F7949" s="3">
        <v>2.01</v>
      </c>
      <c r="G7949" s="3">
        <v>7.22</v>
      </c>
    </row>
    <row r="7950">
      <c r="A7950" s="3">
        <v>781320.0</v>
      </c>
      <c r="B7950" s="3" t="s">
        <v>7978</v>
      </c>
      <c r="C7950" s="3" t="s">
        <v>196</v>
      </c>
      <c r="D7950" s="3">
        <v>73.0</v>
      </c>
      <c r="E7950" s="3">
        <v>3.95</v>
      </c>
      <c r="F7950" s="3">
        <v>2.01</v>
      </c>
      <c r="G7950" s="3">
        <v>7.22</v>
      </c>
    </row>
    <row r="7951">
      <c r="A7951" s="3">
        <v>781321.0</v>
      </c>
      <c r="B7951" s="3" t="s">
        <v>7979</v>
      </c>
      <c r="C7951" s="3" t="s">
        <v>196</v>
      </c>
      <c r="D7951" s="3">
        <v>73.0</v>
      </c>
      <c r="E7951" s="3">
        <v>3.95</v>
      </c>
      <c r="F7951" s="3">
        <v>2.01</v>
      </c>
      <c r="G7951" s="3">
        <v>7.22</v>
      </c>
    </row>
    <row r="7952">
      <c r="A7952" s="3">
        <v>781322.0</v>
      </c>
      <c r="B7952" s="3" t="s">
        <v>7980</v>
      </c>
      <c r="C7952" s="3" t="s">
        <v>196</v>
      </c>
      <c r="D7952" s="3">
        <v>73.0</v>
      </c>
      <c r="E7952" s="3">
        <v>3.95</v>
      </c>
      <c r="F7952" s="3">
        <v>2.01</v>
      </c>
      <c r="G7952" s="3">
        <v>7.22</v>
      </c>
    </row>
    <row r="7953">
      <c r="A7953" s="3">
        <v>781323.0</v>
      </c>
      <c r="B7953" s="3" t="s">
        <v>7981</v>
      </c>
      <c r="C7953" s="3" t="s">
        <v>196</v>
      </c>
      <c r="D7953" s="3">
        <v>73.0</v>
      </c>
      <c r="E7953" s="3">
        <v>3.95</v>
      </c>
      <c r="F7953" s="3">
        <v>2.01</v>
      </c>
      <c r="G7953" s="3">
        <v>7.22</v>
      </c>
    </row>
    <row r="7954">
      <c r="A7954" s="3">
        <v>781324.0</v>
      </c>
      <c r="B7954" s="3" t="s">
        <v>7982</v>
      </c>
      <c r="C7954" s="3" t="s">
        <v>196</v>
      </c>
      <c r="D7954" s="3">
        <v>117.0</v>
      </c>
      <c r="E7954" s="3">
        <v>6.31</v>
      </c>
      <c r="F7954" s="3">
        <v>3.5</v>
      </c>
      <c r="G7954" s="3">
        <v>11.91</v>
      </c>
    </row>
    <row r="7955">
      <c r="A7955" s="3">
        <v>781325.0</v>
      </c>
      <c r="B7955" s="3" t="s">
        <v>7983</v>
      </c>
      <c r="C7955" s="3" t="s">
        <v>196</v>
      </c>
      <c r="D7955" s="3">
        <v>117.0</v>
      </c>
      <c r="E7955" s="3">
        <v>6.31</v>
      </c>
      <c r="F7955" s="3">
        <v>3.5</v>
      </c>
      <c r="G7955" s="3">
        <v>11.91</v>
      </c>
    </row>
    <row r="7956">
      <c r="A7956" s="3">
        <v>781332.0</v>
      </c>
      <c r="B7956" s="3" t="s">
        <v>7984</v>
      </c>
      <c r="C7956" s="3" t="s">
        <v>196</v>
      </c>
      <c r="D7956" s="3">
        <v>66.0</v>
      </c>
      <c r="E7956" s="3">
        <v>3.49</v>
      </c>
      <c r="F7956" s="3">
        <v>1.4</v>
      </c>
      <c r="G7956" s="3">
        <v>7.38</v>
      </c>
    </row>
    <row r="7957">
      <c r="A7957" s="3">
        <v>781333.0</v>
      </c>
      <c r="B7957" s="3" t="s">
        <v>7985</v>
      </c>
      <c r="C7957" s="3" t="s">
        <v>196</v>
      </c>
      <c r="D7957" s="3">
        <v>66.0</v>
      </c>
      <c r="E7957" s="3">
        <v>3.49</v>
      </c>
      <c r="F7957" s="3">
        <v>1.4</v>
      </c>
      <c r="G7957" s="3">
        <v>7.38</v>
      </c>
    </row>
    <row r="7958">
      <c r="A7958" s="3">
        <v>781334.0</v>
      </c>
      <c r="B7958" s="3" t="s">
        <v>7986</v>
      </c>
      <c r="C7958" s="3" t="s">
        <v>196</v>
      </c>
      <c r="D7958" s="3">
        <v>66.0</v>
      </c>
      <c r="E7958" s="3">
        <v>3.49</v>
      </c>
      <c r="F7958" s="3">
        <v>1.4</v>
      </c>
      <c r="G7958" s="3">
        <v>7.38</v>
      </c>
    </row>
    <row r="7959">
      <c r="A7959" s="3">
        <v>781335.0</v>
      </c>
      <c r="B7959" s="3" t="s">
        <v>7987</v>
      </c>
      <c r="C7959" s="3" t="s">
        <v>196</v>
      </c>
      <c r="D7959" s="3">
        <v>66.0</v>
      </c>
      <c r="E7959" s="3">
        <v>3.49</v>
      </c>
      <c r="F7959" s="3">
        <v>1.4</v>
      </c>
      <c r="G7959" s="3">
        <v>7.38</v>
      </c>
    </row>
    <row r="7960">
      <c r="A7960" s="3">
        <v>781336.0</v>
      </c>
      <c r="B7960" s="3" t="s">
        <v>7988</v>
      </c>
      <c r="C7960" s="3" t="s">
        <v>196</v>
      </c>
      <c r="D7960" s="3">
        <v>66.0</v>
      </c>
      <c r="E7960" s="3">
        <v>3.49</v>
      </c>
      <c r="F7960" s="3">
        <v>1.4</v>
      </c>
      <c r="G7960" s="3">
        <v>7.38</v>
      </c>
    </row>
    <row r="7961">
      <c r="A7961" s="3">
        <v>781337.0</v>
      </c>
      <c r="B7961" s="3" t="s">
        <v>7989</v>
      </c>
      <c r="C7961" s="3" t="s">
        <v>196</v>
      </c>
      <c r="D7961" s="3">
        <v>66.0</v>
      </c>
      <c r="E7961" s="3">
        <v>3.49</v>
      </c>
      <c r="F7961" s="3">
        <v>1.4</v>
      </c>
      <c r="G7961" s="3">
        <v>7.38</v>
      </c>
    </row>
    <row r="7962">
      <c r="A7962" s="3">
        <v>781338.0</v>
      </c>
      <c r="B7962" s="3" t="s">
        <v>7990</v>
      </c>
      <c r="C7962" s="3" t="s">
        <v>196</v>
      </c>
      <c r="D7962" s="3">
        <v>66.0</v>
      </c>
      <c r="E7962" s="3">
        <v>3.49</v>
      </c>
      <c r="F7962" s="3">
        <v>1.4</v>
      </c>
      <c r="G7962" s="3">
        <v>7.38</v>
      </c>
    </row>
    <row r="7963">
      <c r="A7963" s="3">
        <v>781339.0</v>
      </c>
      <c r="B7963" s="3" t="s">
        <v>7991</v>
      </c>
      <c r="C7963" s="3" t="s">
        <v>196</v>
      </c>
      <c r="D7963" s="3">
        <v>66.0</v>
      </c>
      <c r="E7963" s="3">
        <v>3.49</v>
      </c>
      <c r="F7963" s="3">
        <v>1.4</v>
      </c>
      <c r="G7963" s="3">
        <v>7.38</v>
      </c>
    </row>
    <row r="7964">
      <c r="A7964" s="3">
        <v>781340.0</v>
      </c>
      <c r="B7964" s="3" t="s">
        <v>7992</v>
      </c>
      <c r="C7964" s="3" t="s">
        <v>196</v>
      </c>
      <c r="D7964" s="3">
        <v>66.0</v>
      </c>
      <c r="E7964" s="3">
        <v>3.49</v>
      </c>
      <c r="F7964" s="3">
        <v>1.4</v>
      </c>
      <c r="G7964" s="3">
        <v>7.38</v>
      </c>
    </row>
    <row r="7965">
      <c r="A7965" s="3">
        <v>781341.0</v>
      </c>
      <c r="B7965" s="3" t="s">
        <v>7993</v>
      </c>
      <c r="C7965" s="3" t="s">
        <v>196</v>
      </c>
      <c r="D7965" s="3">
        <v>66.0</v>
      </c>
      <c r="E7965" s="3">
        <v>3.49</v>
      </c>
      <c r="F7965" s="3">
        <v>1.4</v>
      </c>
      <c r="G7965" s="3">
        <v>7.38</v>
      </c>
    </row>
    <row r="7966">
      <c r="A7966" s="3">
        <v>781342.0</v>
      </c>
      <c r="B7966" s="3" t="s">
        <v>7994</v>
      </c>
      <c r="C7966" s="3" t="s">
        <v>196</v>
      </c>
      <c r="D7966" s="3">
        <v>66.0</v>
      </c>
      <c r="E7966" s="3">
        <v>3.36</v>
      </c>
      <c r="F7966" s="3">
        <v>1.65</v>
      </c>
      <c r="G7966" s="3">
        <v>7.25</v>
      </c>
    </row>
    <row r="7967">
      <c r="A7967" s="3">
        <v>781343.0</v>
      </c>
      <c r="B7967" s="3" t="s">
        <v>7995</v>
      </c>
      <c r="C7967" s="3" t="s">
        <v>196</v>
      </c>
      <c r="D7967" s="3">
        <v>66.0</v>
      </c>
      <c r="E7967" s="3">
        <v>3.36</v>
      </c>
      <c r="F7967" s="3">
        <v>1.65</v>
      </c>
      <c r="G7967" s="3">
        <v>7.25</v>
      </c>
    </row>
    <row r="7968">
      <c r="A7968" s="3">
        <v>781344.0</v>
      </c>
      <c r="B7968" s="3" t="s">
        <v>7996</v>
      </c>
      <c r="C7968" s="3" t="s">
        <v>196</v>
      </c>
      <c r="D7968" s="3">
        <v>66.0</v>
      </c>
      <c r="E7968" s="3">
        <v>3.36</v>
      </c>
      <c r="F7968" s="3">
        <v>1.65</v>
      </c>
      <c r="G7968" s="3">
        <v>7.25</v>
      </c>
    </row>
    <row r="7969">
      <c r="A7969" s="3">
        <v>781345.0</v>
      </c>
      <c r="B7969" s="3" t="s">
        <v>7997</v>
      </c>
      <c r="C7969" s="3" t="s">
        <v>196</v>
      </c>
      <c r="D7969" s="3">
        <v>66.0</v>
      </c>
      <c r="E7969" s="3">
        <v>3.36</v>
      </c>
      <c r="F7969" s="3">
        <v>1.65</v>
      </c>
      <c r="G7969" s="3">
        <v>7.25</v>
      </c>
    </row>
    <row r="7970">
      <c r="A7970" s="3">
        <v>781346.0</v>
      </c>
      <c r="B7970" s="3" t="s">
        <v>7998</v>
      </c>
      <c r="C7970" s="3" t="s">
        <v>196</v>
      </c>
      <c r="D7970" s="3">
        <v>71.0</v>
      </c>
      <c r="E7970" s="3">
        <v>3.8</v>
      </c>
      <c r="F7970" s="3">
        <v>2.0</v>
      </c>
      <c r="G7970" s="3">
        <v>7.4</v>
      </c>
    </row>
    <row r="7971">
      <c r="A7971" s="3">
        <v>781347.0</v>
      </c>
      <c r="B7971" s="3" t="s">
        <v>7999</v>
      </c>
      <c r="C7971" s="3" t="s">
        <v>196</v>
      </c>
      <c r="D7971" s="3">
        <v>71.0</v>
      </c>
      <c r="E7971" s="3">
        <v>3.8</v>
      </c>
      <c r="F7971" s="3">
        <v>2.0</v>
      </c>
      <c r="G7971" s="3">
        <v>7.4</v>
      </c>
    </row>
    <row r="7972">
      <c r="A7972" s="3">
        <v>781348.0</v>
      </c>
      <c r="B7972" s="3" t="s">
        <v>8000</v>
      </c>
      <c r="C7972" s="3" t="s">
        <v>196</v>
      </c>
      <c r="D7972" s="3">
        <v>71.0</v>
      </c>
      <c r="E7972" s="3">
        <v>3.8</v>
      </c>
      <c r="F7972" s="3">
        <v>2.0</v>
      </c>
      <c r="G7972" s="3">
        <v>7.4</v>
      </c>
    </row>
    <row r="7973">
      <c r="A7973" s="3">
        <v>781349.0</v>
      </c>
      <c r="B7973" s="3" t="s">
        <v>8001</v>
      </c>
      <c r="C7973" s="3" t="s">
        <v>196</v>
      </c>
      <c r="D7973" s="3">
        <v>66.0</v>
      </c>
      <c r="E7973" s="3">
        <v>3.36</v>
      </c>
      <c r="F7973" s="3">
        <v>1.65</v>
      </c>
      <c r="G7973" s="3">
        <v>7.25</v>
      </c>
    </row>
    <row r="7974">
      <c r="A7974" s="3">
        <v>781350.0</v>
      </c>
      <c r="B7974" s="3" t="s">
        <v>8002</v>
      </c>
      <c r="C7974" s="3" t="s">
        <v>196</v>
      </c>
      <c r="D7974" s="3">
        <v>66.0</v>
      </c>
      <c r="E7974" s="3">
        <v>3.36</v>
      </c>
      <c r="F7974" s="3">
        <v>1.65</v>
      </c>
      <c r="G7974" s="3">
        <v>7.25</v>
      </c>
    </row>
    <row r="7975">
      <c r="A7975" s="3">
        <v>781351.0</v>
      </c>
      <c r="B7975" s="3" t="s">
        <v>8003</v>
      </c>
      <c r="C7975" s="3" t="s">
        <v>196</v>
      </c>
      <c r="D7975" s="3">
        <v>67.0</v>
      </c>
      <c r="E7975" s="3">
        <v>3.49</v>
      </c>
      <c r="F7975" s="3">
        <v>1.53</v>
      </c>
      <c r="G7975" s="3">
        <v>7.25</v>
      </c>
    </row>
    <row r="7976">
      <c r="A7976" s="3">
        <v>781352.0</v>
      </c>
      <c r="B7976" s="3" t="s">
        <v>8004</v>
      </c>
      <c r="C7976" s="3" t="s">
        <v>196</v>
      </c>
      <c r="D7976" s="3">
        <v>67.0</v>
      </c>
      <c r="E7976" s="3">
        <v>3.49</v>
      </c>
      <c r="F7976" s="3">
        <v>1.53</v>
      </c>
      <c r="G7976" s="3">
        <v>7.25</v>
      </c>
    </row>
    <row r="7977">
      <c r="A7977" s="3">
        <v>781353.0</v>
      </c>
      <c r="B7977" s="3" t="s">
        <v>8005</v>
      </c>
      <c r="C7977" s="3" t="s">
        <v>196</v>
      </c>
      <c r="D7977" s="3">
        <v>67.0</v>
      </c>
      <c r="E7977" s="3">
        <v>3.49</v>
      </c>
      <c r="F7977" s="3">
        <v>1.53</v>
      </c>
      <c r="G7977" s="3">
        <v>7.25</v>
      </c>
    </row>
    <row r="7978">
      <c r="A7978" s="3">
        <v>781354.0</v>
      </c>
      <c r="B7978" s="3" t="s">
        <v>8006</v>
      </c>
      <c r="C7978" s="3" t="s">
        <v>196</v>
      </c>
      <c r="D7978" s="3">
        <v>71.0</v>
      </c>
      <c r="E7978" s="3">
        <v>3.8</v>
      </c>
      <c r="F7978" s="3">
        <v>2.0</v>
      </c>
      <c r="G7978" s="3">
        <v>7.4</v>
      </c>
    </row>
    <row r="7979">
      <c r="A7979" s="3">
        <v>781355.0</v>
      </c>
      <c r="B7979" s="3" t="s">
        <v>8007</v>
      </c>
      <c r="C7979" s="3" t="s">
        <v>196</v>
      </c>
      <c r="D7979" s="3">
        <v>71.0</v>
      </c>
      <c r="E7979" s="3">
        <v>3.8</v>
      </c>
      <c r="F7979" s="3">
        <v>2.0</v>
      </c>
      <c r="G7979" s="3">
        <v>7.4</v>
      </c>
    </row>
    <row r="7980">
      <c r="A7980" s="3">
        <v>781356.0</v>
      </c>
      <c r="B7980" s="3" t="s">
        <v>8008</v>
      </c>
      <c r="C7980" s="3" t="s">
        <v>196</v>
      </c>
      <c r="D7980" s="3">
        <v>71.0</v>
      </c>
      <c r="E7980" s="3">
        <v>3.8</v>
      </c>
      <c r="F7980" s="3">
        <v>2.0</v>
      </c>
      <c r="G7980" s="3">
        <v>7.4</v>
      </c>
    </row>
    <row r="7981">
      <c r="A7981" s="3">
        <v>781357.0</v>
      </c>
      <c r="B7981" s="3" t="s">
        <v>8009</v>
      </c>
      <c r="C7981" s="3" t="s">
        <v>196</v>
      </c>
      <c r="D7981" s="3">
        <v>67.0</v>
      </c>
      <c r="E7981" s="3">
        <v>3.49</v>
      </c>
      <c r="F7981" s="3">
        <v>1.53</v>
      </c>
      <c r="G7981" s="3">
        <v>7.25</v>
      </c>
    </row>
    <row r="7982">
      <c r="A7982" s="3">
        <v>781358.0</v>
      </c>
      <c r="B7982" s="3" t="s">
        <v>8010</v>
      </c>
      <c r="C7982" s="3" t="s">
        <v>196</v>
      </c>
      <c r="D7982" s="3">
        <v>67.0</v>
      </c>
      <c r="E7982" s="3">
        <v>3.49</v>
      </c>
      <c r="F7982" s="3">
        <v>1.53</v>
      </c>
      <c r="G7982" s="3">
        <v>7.25</v>
      </c>
    </row>
    <row r="7983">
      <c r="A7983" s="3">
        <v>781359.0</v>
      </c>
      <c r="B7983" s="3" t="s">
        <v>8011</v>
      </c>
      <c r="C7983" s="3" t="s">
        <v>196</v>
      </c>
      <c r="D7983" s="3">
        <v>67.0</v>
      </c>
      <c r="E7983" s="3">
        <v>3.49</v>
      </c>
      <c r="F7983" s="3">
        <v>1.53</v>
      </c>
      <c r="G7983" s="3">
        <v>7.25</v>
      </c>
    </row>
    <row r="7984">
      <c r="A7984" s="3">
        <v>781360.0</v>
      </c>
      <c r="B7984" s="3" t="s">
        <v>8012</v>
      </c>
      <c r="C7984" s="3" t="s">
        <v>196</v>
      </c>
      <c r="D7984" s="3">
        <v>117.0</v>
      </c>
      <c r="E7984" s="3">
        <v>6.27</v>
      </c>
      <c r="F7984" s="3">
        <v>3.03</v>
      </c>
      <c r="G7984" s="3">
        <v>13.06</v>
      </c>
    </row>
    <row r="7985">
      <c r="A7985" s="3">
        <v>781361.0</v>
      </c>
      <c r="B7985" s="3" t="s">
        <v>8013</v>
      </c>
      <c r="C7985" s="3" t="s">
        <v>196</v>
      </c>
      <c r="D7985" s="3">
        <v>117.0</v>
      </c>
      <c r="E7985" s="3">
        <v>6.27</v>
      </c>
      <c r="F7985" s="3">
        <v>3.03</v>
      </c>
      <c r="G7985" s="3">
        <v>13.06</v>
      </c>
    </row>
    <row r="7986">
      <c r="A7986" s="3">
        <v>781362.0</v>
      </c>
      <c r="B7986" s="3" t="s">
        <v>8014</v>
      </c>
      <c r="C7986" s="3" t="s">
        <v>196</v>
      </c>
      <c r="D7986" s="3">
        <v>117.0</v>
      </c>
      <c r="E7986" s="3">
        <v>6.27</v>
      </c>
      <c r="F7986" s="3">
        <v>3.03</v>
      </c>
      <c r="G7986" s="3">
        <v>13.06</v>
      </c>
    </row>
    <row r="7987">
      <c r="A7987" s="3">
        <v>781363.0</v>
      </c>
      <c r="B7987" s="3" t="s">
        <v>8015</v>
      </c>
      <c r="C7987" s="3" t="s">
        <v>196</v>
      </c>
      <c r="D7987" s="3">
        <v>117.0</v>
      </c>
      <c r="E7987" s="3">
        <v>6.27</v>
      </c>
      <c r="F7987" s="3">
        <v>3.03</v>
      </c>
      <c r="G7987" s="3">
        <v>13.06</v>
      </c>
    </row>
    <row r="7988">
      <c r="A7988" s="3">
        <v>781364.0</v>
      </c>
      <c r="B7988" s="3" t="s">
        <v>8016</v>
      </c>
      <c r="C7988" s="3" t="s">
        <v>196</v>
      </c>
      <c r="D7988" s="3">
        <v>117.0</v>
      </c>
      <c r="E7988" s="3">
        <v>6.27</v>
      </c>
      <c r="F7988" s="3">
        <v>3.03</v>
      </c>
      <c r="G7988" s="3">
        <v>13.06</v>
      </c>
    </row>
    <row r="7989">
      <c r="A7989" s="3">
        <v>781365.0</v>
      </c>
      <c r="B7989" s="3" t="s">
        <v>8017</v>
      </c>
      <c r="C7989" s="3" t="s">
        <v>196</v>
      </c>
      <c r="D7989" s="3">
        <v>117.0</v>
      </c>
      <c r="E7989" s="3">
        <v>6.27</v>
      </c>
      <c r="F7989" s="3">
        <v>3.03</v>
      </c>
      <c r="G7989" s="3">
        <v>13.06</v>
      </c>
    </row>
    <row r="7990">
      <c r="A7990" s="3">
        <v>781366.0</v>
      </c>
      <c r="B7990" s="3" t="s">
        <v>8018</v>
      </c>
      <c r="C7990" s="3" t="s">
        <v>196</v>
      </c>
      <c r="D7990" s="3">
        <v>115.0</v>
      </c>
      <c r="E7990" s="3">
        <v>6.06</v>
      </c>
      <c r="F7990" s="3">
        <v>3.01</v>
      </c>
      <c r="G7990" s="3">
        <v>12.12</v>
      </c>
    </row>
    <row r="7991">
      <c r="A7991" s="3">
        <v>781367.0</v>
      </c>
      <c r="B7991" s="3" t="s">
        <v>8019</v>
      </c>
      <c r="C7991" s="3" t="s">
        <v>196</v>
      </c>
      <c r="D7991" s="3">
        <v>115.0</v>
      </c>
      <c r="E7991" s="3">
        <v>6.06</v>
      </c>
      <c r="F7991" s="3">
        <v>3.01</v>
      </c>
      <c r="G7991" s="3">
        <v>12.12</v>
      </c>
    </row>
    <row r="7992">
      <c r="A7992" s="3">
        <v>781368.0</v>
      </c>
      <c r="B7992" s="3" t="s">
        <v>8020</v>
      </c>
      <c r="C7992" s="3" t="s">
        <v>196</v>
      </c>
      <c r="D7992" s="3">
        <v>115.0</v>
      </c>
      <c r="E7992" s="3">
        <v>6.06</v>
      </c>
      <c r="F7992" s="3">
        <v>3.01</v>
      </c>
      <c r="G7992" s="3">
        <v>12.12</v>
      </c>
    </row>
    <row r="7993">
      <c r="A7993" s="3">
        <v>781369.0</v>
      </c>
      <c r="B7993" s="3" t="s">
        <v>8021</v>
      </c>
      <c r="C7993" s="3" t="s">
        <v>196</v>
      </c>
      <c r="D7993" s="3">
        <v>115.0</v>
      </c>
      <c r="E7993" s="3">
        <v>6.06</v>
      </c>
      <c r="F7993" s="3">
        <v>3.01</v>
      </c>
      <c r="G7993" s="3">
        <v>12.12</v>
      </c>
    </row>
    <row r="7994">
      <c r="A7994" s="3">
        <v>781370.0</v>
      </c>
      <c r="B7994" s="3" t="s">
        <v>8022</v>
      </c>
      <c r="C7994" s="3" t="s">
        <v>196</v>
      </c>
      <c r="D7994" s="3">
        <v>115.0</v>
      </c>
      <c r="E7994" s="3">
        <v>6.06</v>
      </c>
      <c r="F7994" s="3">
        <v>3.01</v>
      </c>
      <c r="G7994" s="3">
        <v>12.12</v>
      </c>
    </row>
    <row r="7995">
      <c r="A7995" s="3">
        <v>781375.0</v>
      </c>
      <c r="B7995" s="3" t="s">
        <v>8023</v>
      </c>
      <c r="C7995" s="3" t="s">
        <v>196</v>
      </c>
      <c r="D7995" s="3">
        <v>67.0</v>
      </c>
      <c r="E7995" s="3">
        <v>3.41</v>
      </c>
      <c r="F7995" s="3">
        <v>1.48</v>
      </c>
      <c r="G7995" s="3">
        <v>7.45</v>
      </c>
    </row>
    <row r="7996">
      <c r="A7996" s="3">
        <v>781376.0</v>
      </c>
      <c r="B7996" s="3" t="s">
        <v>8024</v>
      </c>
      <c r="C7996" s="3" t="s">
        <v>196</v>
      </c>
      <c r="D7996" s="3">
        <v>67.0</v>
      </c>
      <c r="E7996" s="3">
        <v>3.41</v>
      </c>
      <c r="F7996" s="3">
        <v>1.48</v>
      </c>
      <c r="G7996" s="3">
        <v>7.45</v>
      </c>
    </row>
    <row r="7997">
      <c r="A7997" s="3">
        <v>781377.0</v>
      </c>
      <c r="B7997" s="3" t="s">
        <v>8025</v>
      </c>
      <c r="C7997" s="3" t="s">
        <v>196</v>
      </c>
      <c r="D7997" s="3">
        <v>67.0</v>
      </c>
      <c r="E7997" s="3">
        <v>3.41</v>
      </c>
      <c r="F7997" s="3">
        <v>1.48</v>
      </c>
      <c r="G7997" s="3">
        <v>7.45</v>
      </c>
    </row>
    <row r="7998">
      <c r="A7998" s="3">
        <v>781378.0</v>
      </c>
      <c r="B7998" s="3" t="s">
        <v>8026</v>
      </c>
      <c r="C7998" s="3" t="s">
        <v>196</v>
      </c>
      <c r="D7998" s="3">
        <v>67.0</v>
      </c>
      <c r="E7998" s="3">
        <v>3.41</v>
      </c>
      <c r="F7998" s="3">
        <v>1.48</v>
      </c>
      <c r="G7998" s="3">
        <v>7.45</v>
      </c>
    </row>
    <row r="7999">
      <c r="A7999" s="3">
        <v>781379.0</v>
      </c>
      <c r="B7999" s="3" t="s">
        <v>8027</v>
      </c>
      <c r="C7999" s="3" t="s">
        <v>196</v>
      </c>
      <c r="D7999" s="3">
        <v>67.0</v>
      </c>
      <c r="E7999" s="3">
        <v>3.41</v>
      </c>
      <c r="F7999" s="3">
        <v>1.48</v>
      </c>
      <c r="G7999" s="3">
        <v>7.45</v>
      </c>
    </row>
    <row r="8000">
      <c r="A8000" s="3">
        <v>781380.0</v>
      </c>
      <c r="B8000" s="3" t="s">
        <v>8028</v>
      </c>
      <c r="C8000" s="3" t="s">
        <v>196</v>
      </c>
      <c r="D8000" s="3">
        <v>67.0</v>
      </c>
      <c r="E8000" s="3">
        <v>3.41</v>
      </c>
      <c r="F8000" s="3">
        <v>1.48</v>
      </c>
      <c r="G8000" s="3">
        <v>7.45</v>
      </c>
    </row>
    <row r="8001">
      <c r="A8001" s="3">
        <v>781381.0</v>
      </c>
      <c r="B8001" s="3" t="s">
        <v>8029</v>
      </c>
      <c r="C8001" s="3" t="s">
        <v>196</v>
      </c>
      <c r="D8001" s="3">
        <v>67.0</v>
      </c>
      <c r="E8001" s="3">
        <v>3.41</v>
      </c>
      <c r="F8001" s="3">
        <v>1.48</v>
      </c>
      <c r="G8001" s="3">
        <v>7.45</v>
      </c>
    </row>
    <row r="8002">
      <c r="A8002" s="3">
        <v>781382.0</v>
      </c>
      <c r="B8002" s="3" t="s">
        <v>8030</v>
      </c>
      <c r="C8002" s="3" t="s">
        <v>196</v>
      </c>
      <c r="D8002" s="3">
        <v>67.0</v>
      </c>
      <c r="E8002" s="3">
        <v>3.41</v>
      </c>
      <c r="F8002" s="3">
        <v>1.48</v>
      </c>
      <c r="G8002" s="3">
        <v>7.45</v>
      </c>
    </row>
    <row r="8003">
      <c r="A8003" s="3">
        <v>781383.0</v>
      </c>
      <c r="B8003" s="3" t="s">
        <v>8031</v>
      </c>
      <c r="C8003" s="3" t="s">
        <v>196</v>
      </c>
      <c r="D8003" s="3">
        <v>67.0</v>
      </c>
      <c r="E8003" s="3">
        <v>3.41</v>
      </c>
      <c r="F8003" s="3">
        <v>1.48</v>
      </c>
      <c r="G8003" s="3">
        <v>7.45</v>
      </c>
    </row>
    <row r="8004">
      <c r="A8004" s="3">
        <v>781384.0</v>
      </c>
      <c r="B8004" s="3" t="s">
        <v>8032</v>
      </c>
      <c r="C8004" s="3" t="s">
        <v>196</v>
      </c>
      <c r="D8004" s="3">
        <v>67.0</v>
      </c>
      <c r="E8004" s="3">
        <v>3.41</v>
      </c>
      <c r="F8004" s="3">
        <v>1.48</v>
      </c>
      <c r="G8004" s="3">
        <v>7.45</v>
      </c>
    </row>
    <row r="8005">
      <c r="A8005" s="3">
        <v>781385.0</v>
      </c>
      <c r="B8005" s="3" t="s">
        <v>8033</v>
      </c>
      <c r="C8005" s="3" t="s">
        <v>196</v>
      </c>
      <c r="D8005" s="3">
        <v>67.0</v>
      </c>
      <c r="E8005" s="3">
        <v>3.41</v>
      </c>
      <c r="F8005" s="3">
        <v>1.48</v>
      </c>
      <c r="G8005" s="3">
        <v>7.45</v>
      </c>
    </row>
    <row r="8006">
      <c r="A8006" s="3">
        <v>781386.0</v>
      </c>
      <c r="B8006" s="3" t="s">
        <v>8034</v>
      </c>
      <c r="C8006" s="3" t="s">
        <v>196</v>
      </c>
      <c r="D8006" s="3">
        <v>67.0</v>
      </c>
      <c r="E8006" s="3">
        <v>3.41</v>
      </c>
      <c r="F8006" s="3">
        <v>1.48</v>
      </c>
      <c r="G8006" s="3">
        <v>7.45</v>
      </c>
    </row>
    <row r="8007">
      <c r="A8007" s="3">
        <v>781387.0</v>
      </c>
      <c r="B8007" s="3" t="s">
        <v>8035</v>
      </c>
      <c r="C8007" s="3" t="s">
        <v>196</v>
      </c>
      <c r="D8007" s="3">
        <v>67.0</v>
      </c>
      <c r="E8007" s="3">
        <v>3.41</v>
      </c>
      <c r="F8007" s="3">
        <v>1.48</v>
      </c>
      <c r="G8007" s="3">
        <v>7.45</v>
      </c>
    </row>
    <row r="8008">
      <c r="A8008" s="3">
        <v>781388.0</v>
      </c>
      <c r="B8008" s="3" t="s">
        <v>8036</v>
      </c>
      <c r="C8008" s="3" t="s">
        <v>196</v>
      </c>
      <c r="D8008" s="3">
        <v>67.0</v>
      </c>
      <c r="E8008" s="3">
        <v>3.41</v>
      </c>
      <c r="F8008" s="3">
        <v>1.48</v>
      </c>
      <c r="G8008" s="3">
        <v>7.45</v>
      </c>
    </row>
    <row r="8009">
      <c r="A8009" s="3">
        <v>781389.0</v>
      </c>
      <c r="B8009" s="3" t="s">
        <v>8037</v>
      </c>
      <c r="C8009" s="3" t="s">
        <v>196</v>
      </c>
      <c r="D8009" s="3">
        <v>67.0</v>
      </c>
      <c r="E8009" s="3">
        <v>3.41</v>
      </c>
      <c r="F8009" s="3">
        <v>1.48</v>
      </c>
      <c r="G8009" s="3">
        <v>7.45</v>
      </c>
    </row>
    <row r="8010">
      <c r="A8010" s="3">
        <v>781390.0</v>
      </c>
      <c r="B8010" s="3" t="s">
        <v>8038</v>
      </c>
      <c r="C8010" s="3" t="s">
        <v>196</v>
      </c>
      <c r="D8010" s="3">
        <v>64.0</v>
      </c>
      <c r="E8010" s="3">
        <v>3.28</v>
      </c>
      <c r="F8010" s="3">
        <v>1.41</v>
      </c>
      <c r="G8010" s="3">
        <v>7.46</v>
      </c>
    </row>
    <row r="8011">
      <c r="A8011" s="3">
        <v>781391.0</v>
      </c>
      <c r="B8011" s="3" t="s">
        <v>8039</v>
      </c>
      <c r="C8011" s="3" t="s">
        <v>196</v>
      </c>
      <c r="D8011" s="3">
        <v>64.0</v>
      </c>
      <c r="E8011" s="3">
        <v>3.28</v>
      </c>
      <c r="F8011" s="3">
        <v>1.41</v>
      </c>
      <c r="G8011" s="3">
        <v>7.46</v>
      </c>
    </row>
    <row r="8012">
      <c r="A8012" s="3">
        <v>781392.0</v>
      </c>
      <c r="B8012" s="3" t="s">
        <v>8040</v>
      </c>
      <c r="C8012" s="3" t="s">
        <v>196</v>
      </c>
      <c r="D8012" s="3">
        <v>66.0</v>
      </c>
      <c r="E8012" s="3">
        <v>3.56</v>
      </c>
      <c r="F8012" s="3">
        <v>1.38</v>
      </c>
      <c r="G8012" s="3">
        <v>7.12</v>
      </c>
    </row>
    <row r="8013">
      <c r="A8013" s="3">
        <v>781393.0</v>
      </c>
      <c r="B8013" s="3" t="s">
        <v>8041</v>
      </c>
      <c r="C8013" s="3" t="s">
        <v>196</v>
      </c>
      <c r="D8013" s="3">
        <v>66.0</v>
      </c>
      <c r="E8013" s="3">
        <v>3.56</v>
      </c>
      <c r="F8013" s="3">
        <v>1.38</v>
      </c>
      <c r="G8013" s="3">
        <v>7.12</v>
      </c>
    </row>
    <row r="8014">
      <c r="A8014" s="3">
        <v>781394.0</v>
      </c>
      <c r="B8014" s="3" t="s">
        <v>8042</v>
      </c>
      <c r="C8014" s="3" t="s">
        <v>196</v>
      </c>
      <c r="D8014" s="3">
        <v>66.0</v>
      </c>
      <c r="E8014" s="3">
        <v>3.56</v>
      </c>
      <c r="F8014" s="3">
        <v>1.38</v>
      </c>
      <c r="G8014" s="3">
        <v>7.12</v>
      </c>
    </row>
    <row r="8015">
      <c r="A8015" s="3">
        <v>781395.0</v>
      </c>
      <c r="B8015" s="3" t="s">
        <v>8043</v>
      </c>
      <c r="C8015" s="3" t="s">
        <v>196</v>
      </c>
      <c r="D8015" s="3">
        <v>66.0</v>
      </c>
      <c r="E8015" s="3">
        <v>3.56</v>
      </c>
      <c r="F8015" s="3">
        <v>1.38</v>
      </c>
      <c r="G8015" s="3">
        <v>7.12</v>
      </c>
    </row>
    <row r="8016">
      <c r="A8016" s="3">
        <v>781396.0</v>
      </c>
      <c r="B8016" s="3" t="s">
        <v>8044</v>
      </c>
      <c r="C8016" s="3" t="s">
        <v>196</v>
      </c>
      <c r="D8016" s="3">
        <v>66.0</v>
      </c>
      <c r="E8016" s="3">
        <v>3.56</v>
      </c>
      <c r="F8016" s="3">
        <v>1.38</v>
      </c>
      <c r="G8016" s="3">
        <v>7.12</v>
      </c>
    </row>
    <row r="8017">
      <c r="A8017" s="3">
        <v>781397.0</v>
      </c>
      <c r="B8017" s="3" t="s">
        <v>8045</v>
      </c>
      <c r="C8017" s="3" t="s">
        <v>196</v>
      </c>
      <c r="D8017" s="3">
        <v>66.0</v>
      </c>
      <c r="E8017" s="3">
        <v>3.56</v>
      </c>
      <c r="F8017" s="3">
        <v>1.38</v>
      </c>
      <c r="G8017" s="3">
        <v>7.12</v>
      </c>
    </row>
    <row r="8018">
      <c r="A8018" s="3">
        <v>781398.0</v>
      </c>
      <c r="B8018" s="3" t="s">
        <v>8046</v>
      </c>
      <c r="C8018" s="3" t="s">
        <v>196</v>
      </c>
      <c r="D8018" s="3">
        <v>66.0</v>
      </c>
      <c r="E8018" s="3">
        <v>3.56</v>
      </c>
      <c r="F8018" s="3">
        <v>1.38</v>
      </c>
      <c r="G8018" s="3">
        <v>7.12</v>
      </c>
    </row>
    <row r="8019">
      <c r="A8019" s="3">
        <v>781399.0</v>
      </c>
      <c r="B8019" s="3" t="s">
        <v>8047</v>
      </c>
      <c r="C8019" s="3" t="s">
        <v>196</v>
      </c>
      <c r="D8019" s="3">
        <v>66.0</v>
      </c>
      <c r="E8019" s="3">
        <v>3.56</v>
      </c>
      <c r="F8019" s="3">
        <v>1.38</v>
      </c>
      <c r="G8019" s="3">
        <v>7.12</v>
      </c>
    </row>
    <row r="8020">
      <c r="A8020" s="3">
        <v>781400.0</v>
      </c>
      <c r="B8020" s="3" t="s">
        <v>8048</v>
      </c>
      <c r="C8020" s="3" t="s">
        <v>196</v>
      </c>
      <c r="D8020" s="3">
        <v>66.0</v>
      </c>
      <c r="E8020" s="3">
        <v>3.56</v>
      </c>
      <c r="F8020" s="3">
        <v>1.38</v>
      </c>
      <c r="G8020" s="3">
        <v>7.12</v>
      </c>
    </row>
    <row r="8021">
      <c r="A8021" s="3">
        <v>781401.0</v>
      </c>
      <c r="B8021" s="3" t="s">
        <v>8049</v>
      </c>
      <c r="C8021" s="3" t="s">
        <v>196</v>
      </c>
      <c r="D8021" s="3">
        <v>66.0</v>
      </c>
      <c r="E8021" s="3">
        <v>3.56</v>
      </c>
      <c r="F8021" s="3">
        <v>1.38</v>
      </c>
      <c r="G8021" s="3">
        <v>7.12</v>
      </c>
    </row>
    <row r="8022">
      <c r="A8022" s="3">
        <v>781402.0</v>
      </c>
      <c r="B8022" s="3" t="s">
        <v>8050</v>
      </c>
      <c r="C8022" s="3" t="s">
        <v>196</v>
      </c>
      <c r="D8022" s="3">
        <v>66.0</v>
      </c>
      <c r="E8022" s="3">
        <v>3.49</v>
      </c>
      <c r="F8022" s="3">
        <v>1.62</v>
      </c>
      <c r="G8022" s="3">
        <v>6.86</v>
      </c>
    </row>
    <row r="8023">
      <c r="A8023" s="3">
        <v>781403.0</v>
      </c>
      <c r="B8023" s="3" t="s">
        <v>8051</v>
      </c>
      <c r="C8023" s="3" t="s">
        <v>196</v>
      </c>
      <c r="D8023" s="3">
        <v>66.0</v>
      </c>
      <c r="E8023" s="3">
        <v>3.49</v>
      </c>
      <c r="F8023" s="3">
        <v>1.62</v>
      </c>
      <c r="G8023" s="3">
        <v>6.86</v>
      </c>
    </row>
    <row r="8024">
      <c r="A8024" s="3">
        <v>781404.0</v>
      </c>
      <c r="B8024" s="3" t="s">
        <v>8052</v>
      </c>
      <c r="C8024" s="3" t="s">
        <v>196</v>
      </c>
      <c r="D8024" s="3">
        <v>66.0</v>
      </c>
      <c r="E8024" s="3">
        <v>3.49</v>
      </c>
      <c r="F8024" s="3">
        <v>1.62</v>
      </c>
      <c r="G8024" s="3">
        <v>6.86</v>
      </c>
    </row>
    <row r="8025">
      <c r="A8025" s="3">
        <v>781405.0</v>
      </c>
      <c r="B8025" s="3" t="s">
        <v>8053</v>
      </c>
      <c r="C8025" s="3" t="s">
        <v>196</v>
      </c>
      <c r="D8025" s="3">
        <v>66.0</v>
      </c>
      <c r="E8025" s="3">
        <v>3.49</v>
      </c>
      <c r="F8025" s="3">
        <v>1.62</v>
      </c>
      <c r="G8025" s="3">
        <v>6.86</v>
      </c>
    </row>
    <row r="8026">
      <c r="A8026" s="3">
        <v>781406.0</v>
      </c>
      <c r="B8026" s="3" t="s">
        <v>8054</v>
      </c>
      <c r="C8026" s="3" t="s">
        <v>196</v>
      </c>
      <c r="D8026" s="3">
        <v>66.0</v>
      </c>
      <c r="E8026" s="3">
        <v>3.49</v>
      </c>
      <c r="F8026" s="3">
        <v>1.62</v>
      </c>
      <c r="G8026" s="3">
        <v>6.86</v>
      </c>
    </row>
    <row r="8027">
      <c r="A8027" s="3">
        <v>781407.0</v>
      </c>
      <c r="B8027" s="3" t="s">
        <v>8055</v>
      </c>
      <c r="C8027" s="3" t="s">
        <v>196</v>
      </c>
      <c r="D8027" s="3">
        <v>66.0</v>
      </c>
      <c r="E8027" s="3">
        <v>3.49</v>
      </c>
      <c r="F8027" s="3">
        <v>1.62</v>
      </c>
      <c r="G8027" s="3">
        <v>6.86</v>
      </c>
    </row>
    <row r="8028">
      <c r="A8028" s="3">
        <v>781408.0</v>
      </c>
      <c r="B8028" s="3" t="s">
        <v>8056</v>
      </c>
      <c r="C8028" s="3" t="s">
        <v>196</v>
      </c>
      <c r="D8028" s="3">
        <v>66.0</v>
      </c>
      <c r="E8028" s="3">
        <v>3.49</v>
      </c>
      <c r="F8028" s="3">
        <v>1.62</v>
      </c>
      <c r="G8028" s="3">
        <v>6.86</v>
      </c>
    </row>
    <row r="8029">
      <c r="A8029" s="3">
        <v>781409.0</v>
      </c>
      <c r="B8029" s="3" t="s">
        <v>8057</v>
      </c>
      <c r="C8029" s="3" t="s">
        <v>196</v>
      </c>
      <c r="D8029" s="3">
        <v>66.0</v>
      </c>
      <c r="E8029" s="3">
        <v>3.49</v>
      </c>
      <c r="F8029" s="3">
        <v>1.62</v>
      </c>
      <c r="G8029" s="3">
        <v>6.86</v>
      </c>
    </row>
    <row r="8030">
      <c r="A8030" s="3">
        <v>781410.0</v>
      </c>
      <c r="B8030" s="3" t="s">
        <v>8058</v>
      </c>
      <c r="C8030" s="3" t="s">
        <v>196</v>
      </c>
      <c r="D8030" s="3">
        <v>66.0</v>
      </c>
      <c r="E8030" s="3">
        <v>3.49</v>
      </c>
      <c r="F8030" s="3">
        <v>1.62</v>
      </c>
      <c r="G8030" s="3">
        <v>6.86</v>
      </c>
    </row>
    <row r="8031">
      <c r="A8031" s="3">
        <v>781411.0</v>
      </c>
      <c r="B8031" s="3" t="s">
        <v>8059</v>
      </c>
      <c r="C8031" s="3" t="s">
        <v>196</v>
      </c>
      <c r="D8031" s="3">
        <v>66.0</v>
      </c>
      <c r="E8031" s="3">
        <v>3.49</v>
      </c>
      <c r="F8031" s="3">
        <v>1.62</v>
      </c>
      <c r="G8031" s="3">
        <v>6.86</v>
      </c>
    </row>
    <row r="8032">
      <c r="A8032" s="3">
        <v>781412.0</v>
      </c>
      <c r="B8032" s="3" t="s">
        <v>8060</v>
      </c>
      <c r="C8032" s="3" t="s">
        <v>196</v>
      </c>
      <c r="D8032" s="3">
        <v>110.0</v>
      </c>
      <c r="E8032" s="3">
        <v>4.9</v>
      </c>
      <c r="F8032" s="3">
        <v>3.66</v>
      </c>
      <c r="G8032" s="3">
        <v>13.06</v>
      </c>
    </row>
    <row r="8033">
      <c r="A8033" s="3">
        <v>781413.0</v>
      </c>
      <c r="B8033" s="3" t="s">
        <v>8061</v>
      </c>
      <c r="C8033" s="3" t="s">
        <v>196</v>
      </c>
      <c r="D8033" s="3">
        <v>110.0</v>
      </c>
      <c r="E8033" s="3">
        <v>4.9</v>
      </c>
      <c r="F8033" s="3">
        <v>3.66</v>
      </c>
      <c r="G8033" s="3">
        <v>13.06</v>
      </c>
    </row>
    <row r="8034">
      <c r="A8034" s="3">
        <v>781414.0</v>
      </c>
      <c r="B8034" s="3" t="s">
        <v>8062</v>
      </c>
      <c r="C8034" s="3" t="s">
        <v>196</v>
      </c>
      <c r="D8034" s="3">
        <v>65.0</v>
      </c>
      <c r="E8034" s="3">
        <v>3.53</v>
      </c>
      <c r="F8034" s="3">
        <v>1.58</v>
      </c>
      <c r="G8034" s="3">
        <v>6.73</v>
      </c>
    </row>
    <row r="8035">
      <c r="A8035" s="3">
        <v>781415.0</v>
      </c>
      <c r="B8035" s="3" t="s">
        <v>8063</v>
      </c>
      <c r="C8035" s="3" t="s">
        <v>196</v>
      </c>
      <c r="D8035" s="3">
        <v>65.0</v>
      </c>
      <c r="E8035" s="3">
        <v>3.53</v>
      </c>
      <c r="F8035" s="3">
        <v>1.58</v>
      </c>
      <c r="G8035" s="3">
        <v>6.73</v>
      </c>
    </row>
    <row r="8036">
      <c r="A8036" s="3">
        <v>781416.0</v>
      </c>
      <c r="B8036" s="3" t="s">
        <v>8064</v>
      </c>
      <c r="C8036" s="3" t="s">
        <v>196</v>
      </c>
      <c r="D8036" s="3">
        <v>65.0</v>
      </c>
      <c r="E8036" s="3">
        <v>3.53</v>
      </c>
      <c r="F8036" s="3">
        <v>1.58</v>
      </c>
      <c r="G8036" s="3">
        <v>6.73</v>
      </c>
    </row>
    <row r="8037">
      <c r="A8037" s="3">
        <v>781417.0</v>
      </c>
      <c r="B8037" s="3" t="s">
        <v>8065</v>
      </c>
      <c r="C8037" s="3" t="s">
        <v>196</v>
      </c>
      <c r="D8037" s="3">
        <v>65.0</v>
      </c>
      <c r="E8037" s="3">
        <v>3.53</v>
      </c>
      <c r="F8037" s="3">
        <v>1.58</v>
      </c>
      <c r="G8037" s="3">
        <v>6.73</v>
      </c>
    </row>
    <row r="8038">
      <c r="A8038" s="3">
        <v>781418.0</v>
      </c>
      <c r="B8038" s="3" t="s">
        <v>8066</v>
      </c>
      <c r="C8038" s="3" t="s">
        <v>196</v>
      </c>
      <c r="D8038" s="3">
        <v>65.0</v>
      </c>
      <c r="E8038" s="3">
        <v>3.53</v>
      </c>
      <c r="F8038" s="3">
        <v>1.58</v>
      </c>
      <c r="G8038" s="3">
        <v>6.73</v>
      </c>
    </row>
    <row r="8039">
      <c r="A8039" s="3">
        <v>781419.0</v>
      </c>
      <c r="B8039" s="3" t="s">
        <v>8067</v>
      </c>
      <c r="C8039" s="3" t="s">
        <v>196</v>
      </c>
      <c r="D8039" s="3">
        <v>65.0</v>
      </c>
      <c r="E8039" s="3">
        <v>3.53</v>
      </c>
      <c r="F8039" s="3">
        <v>1.58</v>
      </c>
      <c r="G8039" s="3">
        <v>6.73</v>
      </c>
    </row>
    <row r="8040">
      <c r="A8040" s="3">
        <v>781420.0</v>
      </c>
      <c r="B8040" s="3" t="s">
        <v>8068</v>
      </c>
      <c r="C8040" s="3" t="s">
        <v>196</v>
      </c>
      <c r="D8040" s="3">
        <v>65.0</v>
      </c>
      <c r="E8040" s="3">
        <v>3.53</v>
      </c>
      <c r="F8040" s="3">
        <v>1.58</v>
      </c>
      <c r="G8040" s="3">
        <v>6.73</v>
      </c>
    </row>
    <row r="8041">
      <c r="A8041" s="3">
        <v>781421.0</v>
      </c>
      <c r="B8041" s="3" t="s">
        <v>8069</v>
      </c>
      <c r="C8041" s="3" t="s">
        <v>196</v>
      </c>
      <c r="D8041" s="3">
        <v>65.0</v>
      </c>
      <c r="E8041" s="3">
        <v>3.53</v>
      </c>
      <c r="F8041" s="3">
        <v>1.58</v>
      </c>
      <c r="G8041" s="3">
        <v>6.73</v>
      </c>
    </row>
    <row r="8042">
      <c r="A8042" s="3">
        <v>781422.0</v>
      </c>
      <c r="B8042" s="3" t="s">
        <v>8070</v>
      </c>
      <c r="C8042" s="3" t="s">
        <v>196</v>
      </c>
      <c r="D8042" s="3">
        <v>65.0</v>
      </c>
      <c r="E8042" s="3">
        <v>3.53</v>
      </c>
      <c r="F8042" s="3">
        <v>1.58</v>
      </c>
      <c r="G8042" s="3">
        <v>6.73</v>
      </c>
    </row>
    <row r="8043">
      <c r="A8043" s="3">
        <v>781423.0</v>
      </c>
      <c r="B8043" s="3" t="s">
        <v>8071</v>
      </c>
      <c r="C8043" s="3" t="s">
        <v>196</v>
      </c>
      <c r="D8043" s="3">
        <v>65.0</v>
      </c>
      <c r="E8043" s="3">
        <v>3.53</v>
      </c>
      <c r="F8043" s="3">
        <v>1.58</v>
      </c>
      <c r="G8043" s="3">
        <v>6.73</v>
      </c>
    </row>
    <row r="8044">
      <c r="A8044" s="3">
        <v>781426.0</v>
      </c>
      <c r="B8044" s="3" t="s">
        <v>8072</v>
      </c>
      <c r="C8044" s="3" t="s">
        <v>196</v>
      </c>
      <c r="D8044" s="3">
        <v>66.0</v>
      </c>
      <c r="E8044" s="3">
        <v>3.35</v>
      </c>
      <c r="F8044" s="3">
        <v>1.63</v>
      </c>
      <c r="G8044" s="3">
        <v>7.27</v>
      </c>
    </row>
    <row r="8045">
      <c r="A8045" s="3">
        <v>781427.0</v>
      </c>
      <c r="B8045" s="3" t="s">
        <v>8073</v>
      </c>
      <c r="C8045" s="3" t="s">
        <v>196</v>
      </c>
      <c r="D8045" s="3">
        <v>66.0</v>
      </c>
      <c r="E8045" s="3">
        <v>3.35</v>
      </c>
      <c r="F8045" s="3">
        <v>1.63</v>
      </c>
      <c r="G8045" s="3">
        <v>7.27</v>
      </c>
    </row>
    <row r="8046">
      <c r="A8046" s="3">
        <v>781428.0</v>
      </c>
      <c r="B8046" s="3" t="s">
        <v>8074</v>
      </c>
      <c r="C8046" s="3" t="s">
        <v>196</v>
      </c>
      <c r="D8046" s="3">
        <v>66.0</v>
      </c>
      <c r="E8046" s="3">
        <v>3.35</v>
      </c>
      <c r="F8046" s="3">
        <v>1.63</v>
      </c>
      <c r="G8046" s="3">
        <v>7.27</v>
      </c>
    </row>
    <row r="8047">
      <c r="A8047" s="3">
        <v>781429.0</v>
      </c>
      <c r="B8047" s="3" t="s">
        <v>8075</v>
      </c>
      <c r="C8047" s="3" t="s">
        <v>196</v>
      </c>
      <c r="D8047" s="3">
        <v>66.0</v>
      </c>
      <c r="E8047" s="3">
        <v>3.35</v>
      </c>
      <c r="F8047" s="3">
        <v>1.63</v>
      </c>
      <c r="G8047" s="3">
        <v>7.27</v>
      </c>
    </row>
    <row r="8048">
      <c r="A8048" s="3">
        <v>781430.0</v>
      </c>
      <c r="B8048" s="3" t="s">
        <v>8076</v>
      </c>
      <c r="C8048" s="3" t="s">
        <v>196</v>
      </c>
      <c r="D8048" s="3">
        <v>66.0</v>
      </c>
      <c r="E8048" s="3">
        <v>3.35</v>
      </c>
      <c r="F8048" s="3">
        <v>1.63</v>
      </c>
      <c r="G8048" s="3">
        <v>7.27</v>
      </c>
    </row>
    <row r="8049">
      <c r="A8049" s="3">
        <v>781431.0</v>
      </c>
      <c r="B8049" s="3" t="s">
        <v>8077</v>
      </c>
      <c r="C8049" s="3" t="s">
        <v>196</v>
      </c>
      <c r="D8049" s="3">
        <v>66.0</v>
      </c>
      <c r="E8049" s="3">
        <v>3.35</v>
      </c>
      <c r="F8049" s="3">
        <v>1.63</v>
      </c>
      <c r="G8049" s="3">
        <v>7.27</v>
      </c>
    </row>
    <row r="8050">
      <c r="A8050" s="3">
        <v>781432.0</v>
      </c>
      <c r="B8050" s="3" t="s">
        <v>8078</v>
      </c>
      <c r="C8050" s="3" t="s">
        <v>196</v>
      </c>
      <c r="D8050" s="3">
        <v>66.0</v>
      </c>
      <c r="E8050" s="3">
        <v>3.35</v>
      </c>
      <c r="F8050" s="3">
        <v>1.63</v>
      </c>
      <c r="G8050" s="3">
        <v>7.27</v>
      </c>
    </row>
    <row r="8051">
      <c r="A8051" s="3">
        <v>781433.0</v>
      </c>
      <c r="B8051" s="3" t="s">
        <v>8079</v>
      </c>
      <c r="C8051" s="3" t="s">
        <v>196</v>
      </c>
      <c r="D8051" s="3">
        <v>66.0</v>
      </c>
      <c r="E8051" s="3">
        <v>3.35</v>
      </c>
      <c r="F8051" s="3">
        <v>1.63</v>
      </c>
      <c r="G8051" s="3">
        <v>7.27</v>
      </c>
    </row>
    <row r="8052">
      <c r="A8052" s="3">
        <v>781434.0</v>
      </c>
      <c r="B8052" s="3" t="s">
        <v>8080</v>
      </c>
      <c r="C8052" s="3" t="s">
        <v>196</v>
      </c>
      <c r="D8052" s="3">
        <v>66.0</v>
      </c>
      <c r="E8052" s="3">
        <v>3.35</v>
      </c>
      <c r="F8052" s="3">
        <v>1.63</v>
      </c>
      <c r="G8052" s="3">
        <v>7.27</v>
      </c>
    </row>
    <row r="8053">
      <c r="A8053" s="3">
        <v>781435.0</v>
      </c>
      <c r="B8053" s="3" t="s">
        <v>8081</v>
      </c>
      <c r="C8053" s="3" t="s">
        <v>196</v>
      </c>
      <c r="D8053" s="3">
        <v>66.0</v>
      </c>
      <c r="E8053" s="3">
        <v>3.35</v>
      </c>
      <c r="F8053" s="3">
        <v>1.63</v>
      </c>
      <c r="G8053" s="3">
        <v>7.27</v>
      </c>
    </row>
    <row r="8054">
      <c r="A8054" s="3">
        <v>781437.0</v>
      </c>
      <c r="B8054" s="3" t="s">
        <v>8082</v>
      </c>
      <c r="C8054" s="3" t="s">
        <v>196</v>
      </c>
      <c r="D8054" s="3">
        <v>65.0</v>
      </c>
      <c r="E8054" s="3">
        <v>3.51</v>
      </c>
      <c r="F8054" s="3">
        <v>1.6</v>
      </c>
      <c r="G8054" s="3">
        <v>6.79</v>
      </c>
    </row>
    <row r="8055">
      <c r="A8055" s="3">
        <v>781438.0</v>
      </c>
      <c r="B8055" s="3" t="s">
        <v>8083</v>
      </c>
      <c r="C8055" s="3" t="s">
        <v>196</v>
      </c>
      <c r="D8055" s="3">
        <v>65.0</v>
      </c>
      <c r="E8055" s="3">
        <v>3.51</v>
      </c>
      <c r="F8055" s="3">
        <v>1.6</v>
      </c>
      <c r="G8055" s="3">
        <v>6.79</v>
      </c>
    </row>
    <row r="8056">
      <c r="A8056" s="3">
        <v>781439.0</v>
      </c>
      <c r="B8056" s="3" t="s">
        <v>8084</v>
      </c>
      <c r="C8056" s="3" t="s">
        <v>196</v>
      </c>
      <c r="D8056" s="3">
        <v>65.0</v>
      </c>
      <c r="E8056" s="3">
        <v>3.51</v>
      </c>
      <c r="F8056" s="3">
        <v>1.6</v>
      </c>
      <c r="G8056" s="3">
        <v>6.79</v>
      </c>
    </row>
    <row r="8057">
      <c r="A8057" s="3">
        <v>781440.0</v>
      </c>
      <c r="B8057" s="3" t="s">
        <v>8085</v>
      </c>
      <c r="C8057" s="3" t="s">
        <v>196</v>
      </c>
      <c r="D8057" s="3">
        <v>65.0</v>
      </c>
      <c r="E8057" s="3">
        <v>3.51</v>
      </c>
      <c r="F8057" s="3">
        <v>1.6</v>
      </c>
      <c r="G8057" s="3">
        <v>6.79</v>
      </c>
    </row>
    <row r="8058">
      <c r="A8058" s="3">
        <v>781441.0</v>
      </c>
      <c r="B8058" s="3" t="s">
        <v>8086</v>
      </c>
      <c r="C8058" s="3" t="s">
        <v>196</v>
      </c>
      <c r="D8058" s="3">
        <v>65.0</v>
      </c>
      <c r="E8058" s="3">
        <v>3.51</v>
      </c>
      <c r="F8058" s="3">
        <v>1.6</v>
      </c>
      <c r="G8058" s="3">
        <v>6.79</v>
      </c>
    </row>
    <row r="8059">
      <c r="A8059" s="3">
        <v>781442.0</v>
      </c>
      <c r="B8059" s="3" t="s">
        <v>8087</v>
      </c>
      <c r="C8059" s="3" t="s">
        <v>196</v>
      </c>
      <c r="D8059" s="3">
        <v>65.0</v>
      </c>
      <c r="E8059" s="3">
        <v>3.51</v>
      </c>
      <c r="F8059" s="3">
        <v>1.6</v>
      </c>
      <c r="G8059" s="3">
        <v>6.79</v>
      </c>
    </row>
    <row r="8060">
      <c r="A8060" s="3">
        <v>781443.0</v>
      </c>
      <c r="B8060" s="3" t="s">
        <v>8088</v>
      </c>
      <c r="C8060" s="3" t="s">
        <v>196</v>
      </c>
      <c r="D8060" s="3">
        <v>65.0</v>
      </c>
      <c r="E8060" s="3">
        <v>3.51</v>
      </c>
      <c r="F8060" s="3">
        <v>1.6</v>
      </c>
      <c r="G8060" s="3">
        <v>6.79</v>
      </c>
    </row>
    <row r="8061">
      <c r="A8061" s="3">
        <v>781444.0</v>
      </c>
      <c r="B8061" s="3" t="s">
        <v>8089</v>
      </c>
      <c r="C8061" s="3" t="s">
        <v>196</v>
      </c>
      <c r="D8061" s="3">
        <v>64.0</v>
      </c>
      <c r="E8061" s="3">
        <v>3.36</v>
      </c>
      <c r="F8061" s="3">
        <v>1.8</v>
      </c>
      <c r="G8061" s="3">
        <v>6.6</v>
      </c>
    </row>
    <row r="8062">
      <c r="A8062" s="3">
        <v>781445.0</v>
      </c>
      <c r="B8062" s="3" t="s">
        <v>8090</v>
      </c>
      <c r="C8062" s="3" t="s">
        <v>196</v>
      </c>
      <c r="D8062" s="3">
        <v>64.0</v>
      </c>
      <c r="E8062" s="3">
        <v>3.36</v>
      </c>
      <c r="F8062" s="3">
        <v>1.8</v>
      </c>
      <c r="G8062" s="3">
        <v>6.6</v>
      </c>
    </row>
    <row r="8063">
      <c r="A8063" s="3">
        <v>781446.0</v>
      </c>
      <c r="B8063" s="3" t="s">
        <v>8091</v>
      </c>
      <c r="C8063" s="3" t="s">
        <v>196</v>
      </c>
      <c r="D8063" s="3">
        <v>64.0</v>
      </c>
      <c r="E8063" s="3">
        <v>3.36</v>
      </c>
      <c r="F8063" s="3">
        <v>1.8</v>
      </c>
      <c r="G8063" s="3">
        <v>6.6</v>
      </c>
    </row>
    <row r="8064">
      <c r="A8064" s="3">
        <v>781447.0</v>
      </c>
      <c r="B8064" s="3" t="s">
        <v>8092</v>
      </c>
      <c r="C8064" s="3" t="s">
        <v>196</v>
      </c>
      <c r="D8064" s="3">
        <v>64.0</v>
      </c>
      <c r="E8064" s="3">
        <v>3.36</v>
      </c>
      <c r="F8064" s="3">
        <v>1.8</v>
      </c>
      <c r="G8064" s="3">
        <v>6.6</v>
      </c>
    </row>
    <row r="8065">
      <c r="A8065" s="3">
        <v>781448.0</v>
      </c>
      <c r="B8065" s="3" t="s">
        <v>8093</v>
      </c>
      <c r="C8065" s="3" t="s">
        <v>196</v>
      </c>
      <c r="D8065" s="3">
        <v>65.0</v>
      </c>
      <c r="E8065" s="3">
        <v>3.36</v>
      </c>
      <c r="F8065" s="3">
        <v>1.81</v>
      </c>
      <c r="G8065" s="3">
        <v>6.6</v>
      </c>
    </row>
    <row r="8066">
      <c r="A8066" s="3">
        <v>781449.0</v>
      </c>
      <c r="B8066" s="3" t="s">
        <v>8094</v>
      </c>
      <c r="C8066" s="3" t="s">
        <v>196</v>
      </c>
      <c r="D8066" s="3">
        <v>65.0</v>
      </c>
      <c r="E8066" s="3">
        <v>3.36</v>
      </c>
      <c r="F8066" s="3">
        <v>1.81</v>
      </c>
      <c r="G8066" s="3">
        <v>6.6</v>
      </c>
    </row>
    <row r="8067">
      <c r="A8067" s="3">
        <v>781450.0</v>
      </c>
      <c r="B8067" s="3" t="s">
        <v>8095</v>
      </c>
      <c r="C8067" s="3" t="s">
        <v>196</v>
      </c>
      <c r="D8067" s="3">
        <v>67.0</v>
      </c>
      <c r="E8067" s="3">
        <v>3.62</v>
      </c>
      <c r="F8067" s="3">
        <v>1.81</v>
      </c>
      <c r="G8067" s="3">
        <v>6.83</v>
      </c>
    </row>
    <row r="8068">
      <c r="A8068" s="3">
        <v>781451.0</v>
      </c>
      <c r="B8068" s="3" t="s">
        <v>8096</v>
      </c>
      <c r="C8068" s="3" t="s">
        <v>196</v>
      </c>
      <c r="D8068" s="3">
        <v>67.0</v>
      </c>
      <c r="E8068" s="3">
        <v>3.62</v>
      </c>
      <c r="F8068" s="3">
        <v>1.81</v>
      </c>
      <c r="G8068" s="3">
        <v>6.83</v>
      </c>
    </row>
    <row r="8069">
      <c r="A8069" s="3">
        <v>781452.0</v>
      </c>
      <c r="B8069" s="3" t="s">
        <v>8097</v>
      </c>
      <c r="C8069" s="3" t="s">
        <v>196</v>
      </c>
      <c r="D8069" s="3">
        <v>67.0</v>
      </c>
      <c r="E8069" s="3">
        <v>3.62</v>
      </c>
      <c r="F8069" s="3">
        <v>1.81</v>
      </c>
      <c r="G8069" s="3">
        <v>6.83</v>
      </c>
    </row>
    <row r="8070">
      <c r="A8070" s="3">
        <v>781454.0</v>
      </c>
      <c r="B8070" s="3" t="s">
        <v>8098</v>
      </c>
      <c r="C8070" s="3" t="s">
        <v>196</v>
      </c>
      <c r="D8070" s="3">
        <v>66.0</v>
      </c>
      <c r="E8070" s="3">
        <v>3.34</v>
      </c>
      <c r="F8070" s="3">
        <v>1.97</v>
      </c>
      <c r="G8070" s="3">
        <v>7.21</v>
      </c>
    </row>
    <row r="8071">
      <c r="A8071" s="3">
        <v>781457.0</v>
      </c>
      <c r="B8071" s="3" t="s">
        <v>8099</v>
      </c>
      <c r="C8071" s="3" t="s">
        <v>318</v>
      </c>
      <c r="D8071" s="3">
        <v>363.0</v>
      </c>
      <c r="E8071" s="3">
        <v>1.7</v>
      </c>
      <c r="F8071" s="3">
        <v>34.76</v>
      </c>
      <c r="G8071" s="3">
        <v>51.67</v>
      </c>
    </row>
    <row r="8072">
      <c r="A8072" s="3">
        <v>781464.0</v>
      </c>
      <c r="B8072" s="3" t="s">
        <v>8100</v>
      </c>
      <c r="C8072" s="3" t="s">
        <v>318</v>
      </c>
      <c r="D8072" s="3">
        <v>373.0</v>
      </c>
      <c r="E8072" s="3">
        <v>9.09</v>
      </c>
      <c r="F8072" s="3">
        <v>9.09</v>
      </c>
      <c r="G8072" s="3">
        <v>63.64</v>
      </c>
    </row>
    <row r="8073">
      <c r="A8073" s="3">
        <v>781467.0</v>
      </c>
      <c r="B8073" s="3" t="s">
        <v>8101</v>
      </c>
      <c r="C8073" s="3" t="s">
        <v>187</v>
      </c>
      <c r="D8073" s="3">
        <v>123.0</v>
      </c>
      <c r="E8073" s="3">
        <v>10.39</v>
      </c>
      <c r="F8073" s="3">
        <v>3.13</v>
      </c>
      <c r="G8073" s="3">
        <v>4.73</v>
      </c>
    </row>
    <row r="8074">
      <c r="A8074" s="3">
        <v>781468.0</v>
      </c>
      <c r="B8074" s="3" t="s">
        <v>8102</v>
      </c>
      <c r="C8074" s="3" t="s">
        <v>187</v>
      </c>
      <c r="D8074" s="3">
        <v>191.0</v>
      </c>
      <c r="E8074" s="3">
        <v>19.1</v>
      </c>
      <c r="F8074" s="3">
        <v>2.96</v>
      </c>
      <c r="G8074" s="3">
        <v>2.82</v>
      </c>
    </row>
    <row r="8075">
      <c r="A8075" s="3">
        <v>781469.0</v>
      </c>
      <c r="B8075" s="3" t="s">
        <v>8103</v>
      </c>
      <c r="C8075" s="3" t="s">
        <v>187</v>
      </c>
      <c r="D8075" s="3">
        <v>123.0</v>
      </c>
      <c r="E8075" s="3">
        <v>10.39</v>
      </c>
      <c r="F8075" s="3">
        <v>3.13</v>
      </c>
      <c r="G8075" s="3">
        <v>4.73</v>
      </c>
    </row>
    <row r="8076">
      <c r="A8076" s="3">
        <v>781470.0</v>
      </c>
      <c r="B8076" s="3" t="s">
        <v>8104</v>
      </c>
      <c r="C8076" s="3" t="s">
        <v>187</v>
      </c>
      <c r="D8076" s="3">
        <v>122.0</v>
      </c>
      <c r="E8076" s="3">
        <v>10.19</v>
      </c>
      <c r="F8076" s="3">
        <v>3.07</v>
      </c>
      <c r="G8076" s="3">
        <v>4.92</v>
      </c>
    </row>
    <row r="8077">
      <c r="A8077" s="3">
        <v>781472.0</v>
      </c>
      <c r="B8077" s="3" t="s">
        <v>8105</v>
      </c>
      <c r="C8077" s="3" t="s">
        <v>187</v>
      </c>
      <c r="D8077" s="3">
        <v>340.0</v>
      </c>
      <c r="E8077" s="3">
        <v>36.08</v>
      </c>
      <c r="F8077" s="3">
        <v>2.84</v>
      </c>
      <c r="G8077" s="3">
        <v>2.74</v>
      </c>
    </row>
    <row r="8078">
      <c r="A8078" s="3">
        <v>781473.0</v>
      </c>
      <c r="B8078" s="3" t="s">
        <v>8106</v>
      </c>
      <c r="C8078" s="3" t="s">
        <v>187</v>
      </c>
      <c r="D8078" s="3">
        <v>343.0</v>
      </c>
      <c r="E8078" s="3">
        <v>33.94</v>
      </c>
      <c r="F8078" s="3">
        <v>2.67</v>
      </c>
      <c r="G8078" s="3">
        <v>8.49</v>
      </c>
    </row>
    <row r="8079">
      <c r="A8079" s="3">
        <v>781478.0</v>
      </c>
      <c r="B8079" s="3" t="s">
        <v>8107</v>
      </c>
      <c r="C8079" s="3" t="s">
        <v>187</v>
      </c>
      <c r="D8079" s="3">
        <v>150.0</v>
      </c>
      <c r="E8079" s="3">
        <v>2.62</v>
      </c>
      <c r="F8079" s="3">
        <v>0.6</v>
      </c>
      <c r="G8079" s="3">
        <v>31.82</v>
      </c>
    </row>
    <row r="8080">
      <c r="A8080" s="3">
        <v>781496.0</v>
      </c>
      <c r="B8080" s="3" t="s">
        <v>8108</v>
      </c>
      <c r="C8080" s="3" t="s">
        <v>225</v>
      </c>
      <c r="D8080" s="3">
        <v>433.0</v>
      </c>
      <c r="E8080" s="3">
        <v>45.84</v>
      </c>
      <c r="F8080" s="3">
        <v>2.24</v>
      </c>
      <c r="G8080" s="3">
        <v>3.49</v>
      </c>
    </row>
    <row r="8081">
      <c r="A8081" s="3">
        <v>781497.0</v>
      </c>
      <c r="B8081" s="3" t="s">
        <v>8109</v>
      </c>
      <c r="C8081" s="3" t="s">
        <v>225</v>
      </c>
      <c r="D8081" s="3">
        <v>427.0</v>
      </c>
      <c r="E8081" s="3">
        <v>45.74</v>
      </c>
      <c r="F8081" s="3">
        <v>1.69</v>
      </c>
      <c r="G8081" s="3">
        <v>2.7</v>
      </c>
    </row>
    <row r="8082">
      <c r="A8082" s="3">
        <v>781498.0</v>
      </c>
      <c r="B8082" s="3" t="s">
        <v>8110</v>
      </c>
      <c r="C8082" s="3" t="s">
        <v>225</v>
      </c>
      <c r="D8082" s="3">
        <v>194.0</v>
      </c>
      <c r="E8082" s="3">
        <v>15.13</v>
      </c>
      <c r="F8082" s="3">
        <v>1.82</v>
      </c>
      <c r="G8082" s="3">
        <v>13.22</v>
      </c>
    </row>
    <row r="8083">
      <c r="A8083" s="3">
        <v>781499.0</v>
      </c>
      <c r="B8083" s="3" t="s">
        <v>8111</v>
      </c>
      <c r="C8083" s="3" t="s">
        <v>225</v>
      </c>
      <c r="D8083" s="3">
        <v>429.0</v>
      </c>
      <c r="E8083" s="3">
        <v>45.78</v>
      </c>
      <c r="F8083" s="3">
        <v>1.92</v>
      </c>
      <c r="G8083" s="3">
        <v>3.08</v>
      </c>
    </row>
    <row r="8084">
      <c r="A8084" s="3">
        <v>781500.0</v>
      </c>
      <c r="B8084" s="3" t="s">
        <v>8112</v>
      </c>
      <c r="C8084" s="3" t="s">
        <v>225</v>
      </c>
      <c r="D8084" s="3">
        <v>197.0</v>
      </c>
      <c r="E8084" s="3">
        <v>15.18</v>
      </c>
      <c r="F8084" s="3">
        <v>2.04</v>
      </c>
      <c r="G8084" s="3">
        <v>13.58</v>
      </c>
    </row>
    <row r="8085">
      <c r="A8085" s="3">
        <v>781501.0</v>
      </c>
      <c r="B8085" s="3" t="s">
        <v>8113</v>
      </c>
      <c r="C8085" s="3" t="s">
        <v>225</v>
      </c>
      <c r="D8085" s="3">
        <v>345.0</v>
      </c>
      <c r="E8085" s="3">
        <v>36.27</v>
      </c>
      <c r="F8085" s="3">
        <v>1.86</v>
      </c>
      <c r="G8085" s="3">
        <v>3.23</v>
      </c>
    </row>
    <row r="8086">
      <c r="A8086" s="3">
        <v>781502.0</v>
      </c>
      <c r="B8086" s="3" t="s">
        <v>8114</v>
      </c>
      <c r="C8086" s="3" t="s">
        <v>225</v>
      </c>
      <c r="D8086" s="3">
        <v>163.0</v>
      </c>
      <c r="E8086" s="3">
        <v>12.33</v>
      </c>
      <c r="F8086" s="3">
        <v>1.95</v>
      </c>
      <c r="G8086" s="3">
        <v>11.57</v>
      </c>
    </row>
    <row r="8087">
      <c r="A8087" s="3">
        <v>781503.0</v>
      </c>
      <c r="B8087" s="3" t="s">
        <v>8115</v>
      </c>
      <c r="C8087" s="3" t="s">
        <v>225</v>
      </c>
      <c r="D8087" s="3">
        <v>433.0</v>
      </c>
      <c r="E8087" s="3">
        <v>45.84</v>
      </c>
      <c r="F8087" s="3">
        <v>2.24</v>
      </c>
      <c r="G8087" s="3">
        <v>3.49</v>
      </c>
    </row>
    <row r="8088">
      <c r="A8088" s="3">
        <v>781504.0</v>
      </c>
      <c r="B8088" s="3" t="s">
        <v>8116</v>
      </c>
      <c r="C8088" s="3" t="s">
        <v>225</v>
      </c>
      <c r="D8088" s="3">
        <v>200.0</v>
      </c>
      <c r="E8088" s="3">
        <v>15.23</v>
      </c>
      <c r="F8088" s="3">
        <v>2.35</v>
      </c>
      <c r="G8088" s="3">
        <v>13.97</v>
      </c>
    </row>
    <row r="8089">
      <c r="A8089" s="3">
        <v>781505.0</v>
      </c>
      <c r="B8089" s="3" t="s">
        <v>8117</v>
      </c>
      <c r="C8089" s="3" t="s">
        <v>225</v>
      </c>
      <c r="D8089" s="3">
        <v>345.0</v>
      </c>
      <c r="E8089" s="3">
        <v>36.33</v>
      </c>
      <c r="F8089" s="3">
        <v>2.1</v>
      </c>
      <c r="G8089" s="3">
        <v>3.09</v>
      </c>
    </row>
    <row r="8090">
      <c r="A8090" s="3">
        <v>781506.0</v>
      </c>
      <c r="B8090" s="3" t="s">
        <v>8118</v>
      </c>
      <c r="C8090" s="3" t="s">
        <v>225</v>
      </c>
      <c r="D8090" s="3">
        <v>164.0</v>
      </c>
      <c r="E8090" s="3">
        <v>12.38</v>
      </c>
      <c r="F8090" s="3">
        <v>2.19</v>
      </c>
      <c r="G8090" s="3">
        <v>11.44</v>
      </c>
    </row>
    <row r="8091">
      <c r="A8091" s="3">
        <v>781507.0</v>
      </c>
      <c r="B8091" s="3" t="s">
        <v>8119</v>
      </c>
      <c r="C8091" s="3" t="s">
        <v>225</v>
      </c>
      <c r="D8091" s="3">
        <v>429.0</v>
      </c>
      <c r="E8091" s="3">
        <v>45.78</v>
      </c>
      <c r="F8091" s="3">
        <v>1.92</v>
      </c>
      <c r="G8091" s="3">
        <v>3.08</v>
      </c>
    </row>
    <row r="8092">
      <c r="A8092" s="3">
        <v>781508.0</v>
      </c>
      <c r="B8092" s="3" t="s">
        <v>8120</v>
      </c>
      <c r="C8092" s="3" t="s">
        <v>225</v>
      </c>
      <c r="D8092" s="3">
        <v>197.0</v>
      </c>
      <c r="E8092" s="3">
        <v>15.18</v>
      </c>
      <c r="F8092" s="3">
        <v>2.04</v>
      </c>
      <c r="G8092" s="3">
        <v>13.58</v>
      </c>
    </row>
    <row r="8093">
      <c r="A8093" s="3">
        <v>781524.0</v>
      </c>
      <c r="B8093" s="3" t="s">
        <v>8121</v>
      </c>
      <c r="C8093" s="3" t="s">
        <v>7823</v>
      </c>
      <c r="D8093" s="3">
        <v>346.0</v>
      </c>
      <c r="E8093" s="3">
        <v>23.35</v>
      </c>
      <c r="F8093" s="3">
        <v>4.42</v>
      </c>
      <c r="G8093" s="3">
        <v>34.81</v>
      </c>
    </row>
    <row r="8094">
      <c r="A8094" s="3">
        <v>781525.0</v>
      </c>
      <c r="B8094" s="3" t="s">
        <v>8122</v>
      </c>
      <c r="C8094" s="3" t="s">
        <v>7823</v>
      </c>
      <c r="D8094" s="3">
        <v>335.0</v>
      </c>
      <c r="E8094" s="3">
        <v>20.24</v>
      </c>
      <c r="F8094" s="3">
        <v>4.74</v>
      </c>
      <c r="G8094" s="3">
        <v>33.42</v>
      </c>
    </row>
    <row r="8095">
      <c r="A8095" s="3">
        <v>781527.0</v>
      </c>
      <c r="B8095" s="3" t="s">
        <v>8123</v>
      </c>
      <c r="C8095" s="3" t="s">
        <v>7823</v>
      </c>
      <c r="D8095" s="3">
        <v>284.0</v>
      </c>
      <c r="E8095" s="3">
        <v>15.0</v>
      </c>
      <c r="F8095" s="3">
        <v>4.62</v>
      </c>
      <c r="G8095" s="3">
        <v>34.89</v>
      </c>
    </row>
    <row r="8096">
      <c r="A8096" s="3">
        <v>781528.0</v>
      </c>
      <c r="B8096" s="3" t="s">
        <v>8124</v>
      </c>
      <c r="C8096" s="3" t="s">
        <v>7823</v>
      </c>
      <c r="D8096" s="3">
        <v>278.0</v>
      </c>
      <c r="E8096" s="3">
        <v>13.49</v>
      </c>
      <c r="F8096" s="3">
        <v>4.33</v>
      </c>
      <c r="G8096" s="3">
        <v>36.78</v>
      </c>
    </row>
    <row r="8097">
      <c r="A8097" s="3">
        <v>781530.0</v>
      </c>
      <c r="B8097" s="3" t="s">
        <v>8125</v>
      </c>
      <c r="C8097" s="3" t="s">
        <v>7823</v>
      </c>
      <c r="D8097" s="3">
        <v>161.0</v>
      </c>
      <c r="E8097" s="3">
        <v>6.23</v>
      </c>
      <c r="F8097" s="3">
        <v>2.27</v>
      </c>
      <c r="G8097" s="3">
        <v>24.73</v>
      </c>
    </row>
    <row r="8098">
      <c r="A8098" s="3">
        <v>781533.0</v>
      </c>
      <c r="B8098" s="3" t="s">
        <v>8126</v>
      </c>
      <c r="C8098" s="3" t="s">
        <v>7823</v>
      </c>
      <c r="D8098" s="3">
        <v>267.0</v>
      </c>
      <c r="E8098" s="3">
        <v>16.23</v>
      </c>
      <c r="F8098" s="3">
        <v>5.91</v>
      </c>
      <c r="G8098" s="3">
        <v>25.65</v>
      </c>
    </row>
    <row r="8099">
      <c r="A8099" s="3">
        <v>781535.0</v>
      </c>
      <c r="B8099" s="3" t="s">
        <v>8127</v>
      </c>
      <c r="C8099" s="3" t="s">
        <v>7823</v>
      </c>
      <c r="D8099" s="3">
        <v>245.0</v>
      </c>
      <c r="E8099" s="3">
        <v>12.32</v>
      </c>
      <c r="F8099" s="3">
        <v>3.88</v>
      </c>
      <c r="G8099" s="3">
        <v>30.91</v>
      </c>
    </row>
    <row r="8100">
      <c r="A8100" s="3">
        <v>781536.0</v>
      </c>
      <c r="B8100" s="3" t="s">
        <v>8128</v>
      </c>
      <c r="C8100" s="3" t="s">
        <v>7823</v>
      </c>
      <c r="D8100" s="3">
        <v>219.0</v>
      </c>
      <c r="E8100" s="3">
        <v>10.77</v>
      </c>
      <c r="F8100" s="3">
        <v>3.76</v>
      </c>
      <c r="G8100" s="3">
        <v>26.77</v>
      </c>
    </row>
    <row r="8101">
      <c r="A8101" s="3">
        <v>781537.0</v>
      </c>
      <c r="B8101" s="3" t="s">
        <v>8129</v>
      </c>
      <c r="C8101" s="3" t="s">
        <v>7823</v>
      </c>
      <c r="D8101" s="3">
        <v>222.0</v>
      </c>
      <c r="E8101" s="3">
        <v>10.14</v>
      </c>
      <c r="F8101" s="3">
        <v>3.92</v>
      </c>
      <c r="G8101" s="3">
        <v>29.31</v>
      </c>
    </row>
    <row r="8102">
      <c r="A8102" s="3">
        <v>781538.0</v>
      </c>
      <c r="B8102" s="3" t="s">
        <v>8130</v>
      </c>
      <c r="C8102" s="3" t="s">
        <v>7823</v>
      </c>
      <c r="D8102" s="3">
        <v>274.0</v>
      </c>
      <c r="E8102" s="3">
        <v>15.63</v>
      </c>
      <c r="F8102" s="3">
        <v>6.3</v>
      </c>
      <c r="G8102" s="3">
        <v>29.33</v>
      </c>
    </row>
    <row r="8103">
      <c r="A8103" s="3">
        <v>781539.0</v>
      </c>
      <c r="B8103" s="3" t="s">
        <v>8131</v>
      </c>
      <c r="C8103" s="3" t="s">
        <v>7823</v>
      </c>
      <c r="D8103" s="3">
        <v>247.0</v>
      </c>
      <c r="E8103" s="3">
        <v>11.25</v>
      </c>
      <c r="F8103" s="3">
        <v>4.08</v>
      </c>
      <c r="G8103" s="3">
        <v>34.56</v>
      </c>
    </row>
    <row r="8104">
      <c r="A8104" s="3">
        <v>781540.0</v>
      </c>
      <c r="B8104" s="3" t="s">
        <v>8132</v>
      </c>
      <c r="C8104" s="3" t="s">
        <v>7823</v>
      </c>
      <c r="D8104" s="3">
        <v>226.0</v>
      </c>
      <c r="E8104" s="3">
        <v>9.52</v>
      </c>
      <c r="F8104" s="3">
        <v>4.07</v>
      </c>
      <c r="G8104" s="3">
        <v>31.85</v>
      </c>
    </row>
    <row r="8105">
      <c r="A8105" s="3">
        <v>781541.0</v>
      </c>
      <c r="B8105" s="3" t="s">
        <v>8133</v>
      </c>
      <c r="C8105" s="3" t="s">
        <v>7823</v>
      </c>
      <c r="D8105" s="3">
        <v>289.0</v>
      </c>
      <c r="E8105" s="3">
        <v>16.71</v>
      </c>
      <c r="F8105" s="3">
        <v>6.14</v>
      </c>
      <c r="G8105" s="3">
        <v>31.93</v>
      </c>
    </row>
    <row r="8106">
      <c r="A8106" s="3">
        <v>781543.0</v>
      </c>
      <c r="B8106" s="3" t="s">
        <v>8134</v>
      </c>
      <c r="C8106" s="3" t="s">
        <v>7823</v>
      </c>
      <c r="D8106" s="3">
        <v>85.0</v>
      </c>
      <c r="E8106" s="3">
        <v>2.9</v>
      </c>
      <c r="F8106" s="3">
        <v>0.92</v>
      </c>
      <c r="G8106" s="3">
        <v>14.02</v>
      </c>
    </row>
    <row r="8107">
      <c r="A8107" s="3">
        <v>781544.0</v>
      </c>
      <c r="B8107" s="3" t="s">
        <v>8135</v>
      </c>
      <c r="C8107" s="3" t="s">
        <v>7823</v>
      </c>
      <c r="D8107" s="3">
        <v>87.0</v>
      </c>
      <c r="E8107" s="3">
        <v>2.9</v>
      </c>
      <c r="F8107" s="3">
        <v>1.0</v>
      </c>
      <c r="G8107" s="3">
        <v>15.23</v>
      </c>
    </row>
    <row r="8108">
      <c r="A8108" s="3">
        <v>781545.0</v>
      </c>
      <c r="B8108" s="3" t="s">
        <v>8136</v>
      </c>
      <c r="C8108" s="3" t="s">
        <v>7823</v>
      </c>
      <c r="D8108" s="3">
        <v>257.0</v>
      </c>
      <c r="E8108" s="3">
        <v>13.96</v>
      </c>
      <c r="F8108" s="3">
        <v>3.54</v>
      </c>
      <c r="G8108" s="3">
        <v>29.76</v>
      </c>
    </row>
    <row r="8109">
      <c r="A8109" s="3">
        <v>781546.0</v>
      </c>
      <c r="B8109" s="3" t="s">
        <v>8137</v>
      </c>
      <c r="C8109" s="3" t="s">
        <v>7823</v>
      </c>
      <c r="D8109" s="3">
        <v>235.0</v>
      </c>
      <c r="E8109" s="3">
        <v>10.88</v>
      </c>
      <c r="F8109" s="3">
        <v>2.28</v>
      </c>
      <c r="G8109" s="3">
        <v>33.34</v>
      </c>
    </row>
    <row r="8110">
      <c r="A8110" s="3">
        <v>781547.0</v>
      </c>
      <c r="B8110" s="3" t="s">
        <v>8138</v>
      </c>
      <c r="C8110" s="3" t="s">
        <v>7823</v>
      </c>
      <c r="D8110" s="3">
        <v>185.0</v>
      </c>
      <c r="E8110" s="3">
        <v>6.0</v>
      </c>
      <c r="F8110" s="3">
        <v>4.3</v>
      </c>
      <c r="G8110" s="3">
        <v>29.4</v>
      </c>
    </row>
    <row r="8111">
      <c r="A8111" s="3">
        <v>781548.0</v>
      </c>
      <c r="B8111" s="3" t="s">
        <v>8139</v>
      </c>
      <c r="C8111" s="3" t="s">
        <v>7823</v>
      </c>
      <c r="D8111" s="3">
        <v>264.0</v>
      </c>
      <c r="E8111" s="3">
        <v>13.57</v>
      </c>
      <c r="F8111" s="3">
        <v>3.62</v>
      </c>
      <c r="G8111" s="3">
        <v>32.3</v>
      </c>
    </row>
    <row r="8112">
      <c r="A8112" s="3">
        <v>781549.0</v>
      </c>
      <c r="B8112" s="3" t="s">
        <v>8140</v>
      </c>
      <c r="C8112" s="3" t="s">
        <v>7823</v>
      </c>
      <c r="D8112" s="3">
        <v>223.0</v>
      </c>
      <c r="E8112" s="3">
        <v>10.85</v>
      </c>
      <c r="F8112" s="3">
        <v>2.58</v>
      </c>
      <c r="G8112" s="3">
        <v>30.49</v>
      </c>
    </row>
    <row r="8113">
      <c r="A8113" s="3">
        <v>781550.0</v>
      </c>
      <c r="B8113" s="3" t="s">
        <v>8141</v>
      </c>
      <c r="C8113" s="3" t="s">
        <v>7823</v>
      </c>
      <c r="D8113" s="3">
        <v>279.0</v>
      </c>
      <c r="E8113" s="3">
        <v>13.6</v>
      </c>
      <c r="F8113" s="3">
        <v>3.87</v>
      </c>
      <c r="G8113" s="3">
        <v>35.82</v>
      </c>
    </row>
    <row r="8114">
      <c r="A8114" s="3">
        <v>781551.0</v>
      </c>
      <c r="B8114" s="3" t="s">
        <v>8142</v>
      </c>
      <c r="C8114" s="3" t="s">
        <v>7823</v>
      </c>
      <c r="D8114" s="3">
        <v>224.0</v>
      </c>
      <c r="E8114" s="3">
        <v>14.26</v>
      </c>
      <c r="F8114" s="3">
        <v>3.41</v>
      </c>
      <c r="G8114" s="3">
        <v>20.89</v>
      </c>
    </row>
    <row r="8115">
      <c r="A8115" s="3">
        <v>781552.0</v>
      </c>
      <c r="B8115" s="3" t="s">
        <v>8143</v>
      </c>
      <c r="C8115" s="3" t="s">
        <v>7823</v>
      </c>
      <c r="D8115" s="3">
        <v>303.0</v>
      </c>
      <c r="E8115" s="3">
        <v>13.84</v>
      </c>
      <c r="F8115" s="3">
        <v>3.96</v>
      </c>
      <c r="G8115" s="3">
        <v>40.85</v>
      </c>
    </row>
    <row r="8116">
      <c r="A8116" s="3">
        <v>781553.0</v>
      </c>
      <c r="B8116" s="3" t="s">
        <v>8144</v>
      </c>
      <c r="C8116" s="3" t="s">
        <v>7823</v>
      </c>
      <c r="D8116" s="3">
        <v>282.0</v>
      </c>
      <c r="E8116" s="3">
        <v>15.16</v>
      </c>
      <c r="F8116" s="3">
        <v>3.94</v>
      </c>
      <c r="G8116" s="3">
        <v>32.77</v>
      </c>
    </row>
    <row r="8117">
      <c r="A8117" s="3">
        <v>781566.0</v>
      </c>
      <c r="B8117" s="3" t="s">
        <v>8145</v>
      </c>
      <c r="C8117" s="3" t="s">
        <v>7823</v>
      </c>
      <c r="D8117" s="3">
        <v>166.0</v>
      </c>
      <c r="E8117" s="3">
        <v>5.36</v>
      </c>
      <c r="F8117" s="3">
        <v>5.08</v>
      </c>
      <c r="G8117" s="3">
        <v>28.3</v>
      </c>
    </row>
    <row r="8118">
      <c r="A8118" s="3">
        <v>781568.0</v>
      </c>
      <c r="B8118" s="3" t="s">
        <v>8146</v>
      </c>
      <c r="C8118" s="3" t="s">
        <v>7823</v>
      </c>
      <c r="D8118" s="3">
        <v>176.0</v>
      </c>
      <c r="E8118" s="3">
        <v>6.06</v>
      </c>
      <c r="F8118" s="3">
        <v>4.0</v>
      </c>
      <c r="G8118" s="3">
        <v>26.18</v>
      </c>
    </row>
    <row r="8119">
      <c r="A8119" s="3">
        <v>781570.0</v>
      </c>
      <c r="B8119" s="3" t="s">
        <v>8147</v>
      </c>
      <c r="C8119" s="3" t="s">
        <v>7823</v>
      </c>
      <c r="D8119" s="3">
        <v>236.0</v>
      </c>
      <c r="E8119" s="3">
        <v>6.6</v>
      </c>
      <c r="F8119" s="3">
        <v>5.58</v>
      </c>
      <c r="G8119" s="3">
        <v>38.54</v>
      </c>
    </row>
    <row r="8120">
      <c r="A8120" s="3">
        <v>781572.0</v>
      </c>
      <c r="B8120" s="3" t="s">
        <v>8148</v>
      </c>
      <c r="C8120" s="3" t="s">
        <v>7823</v>
      </c>
      <c r="D8120" s="3">
        <v>289.0</v>
      </c>
      <c r="E8120" s="3">
        <v>17.46</v>
      </c>
      <c r="F8120" s="3">
        <v>3.98</v>
      </c>
      <c r="G8120" s="3">
        <v>30.31</v>
      </c>
    </row>
    <row r="8121">
      <c r="A8121" s="3">
        <v>781573.0</v>
      </c>
      <c r="B8121" s="3" t="s">
        <v>8149</v>
      </c>
      <c r="C8121" s="3" t="s">
        <v>7823</v>
      </c>
      <c r="D8121" s="3">
        <v>329.0</v>
      </c>
      <c r="E8121" s="3">
        <v>22.03</v>
      </c>
      <c r="F8121" s="3">
        <v>7.11</v>
      </c>
      <c r="G8121" s="3">
        <v>28.35</v>
      </c>
    </row>
    <row r="8122">
      <c r="A8122" s="3">
        <v>781574.0</v>
      </c>
      <c r="B8122" s="3" t="s">
        <v>8150</v>
      </c>
      <c r="C8122" s="3" t="s">
        <v>7823</v>
      </c>
      <c r="D8122" s="3">
        <v>148.0</v>
      </c>
      <c r="E8122" s="3">
        <v>2.93</v>
      </c>
      <c r="F8122" s="3">
        <v>5.15</v>
      </c>
      <c r="G8122" s="3">
        <v>26.2</v>
      </c>
    </row>
    <row r="8123">
      <c r="A8123" s="3">
        <v>781575.0</v>
      </c>
      <c r="B8123" s="3" t="s">
        <v>8151</v>
      </c>
      <c r="C8123" s="3" t="s">
        <v>7823</v>
      </c>
      <c r="D8123" s="3">
        <v>148.0</v>
      </c>
      <c r="E8123" s="3">
        <v>2.93</v>
      </c>
      <c r="F8123" s="3">
        <v>5.15</v>
      </c>
      <c r="G8123" s="3">
        <v>26.2</v>
      </c>
    </row>
    <row r="8124">
      <c r="A8124" s="3">
        <v>781576.0</v>
      </c>
      <c r="B8124" s="3" t="s">
        <v>8152</v>
      </c>
      <c r="C8124" s="3" t="s">
        <v>7823</v>
      </c>
      <c r="D8124" s="3">
        <v>168.0</v>
      </c>
      <c r="E8124" s="3">
        <v>3.5</v>
      </c>
      <c r="F8124" s="3">
        <v>4.56</v>
      </c>
      <c r="G8124" s="3">
        <v>30.04</v>
      </c>
    </row>
    <row r="8125">
      <c r="A8125" s="3">
        <v>781577.0</v>
      </c>
      <c r="B8125" s="3" t="s">
        <v>8153</v>
      </c>
      <c r="C8125" s="3" t="s">
        <v>7823</v>
      </c>
      <c r="D8125" s="3">
        <v>224.0</v>
      </c>
      <c r="E8125" s="3">
        <v>9.96</v>
      </c>
      <c r="F8125" s="3">
        <v>5.37</v>
      </c>
      <c r="G8125" s="3">
        <v>28.66</v>
      </c>
    </row>
    <row r="8126">
      <c r="A8126" s="3">
        <v>781579.0</v>
      </c>
      <c r="B8126" s="3" t="s">
        <v>8154</v>
      </c>
      <c r="C8126" s="3" t="s">
        <v>7823</v>
      </c>
      <c r="D8126" s="3">
        <v>227.0</v>
      </c>
      <c r="E8126" s="3">
        <v>8.62</v>
      </c>
      <c r="F8126" s="3">
        <v>5.03</v>
      </c>
      <c r="G8126" s="3">
        <v>32.88</v>
      </c>
    </row>
    <row r="8127">
      <c r="A8127" s="3">
        <v>781580.0</v>
      </c>
      <c r="B8127" s="3" t="s">
        <v>8155</v>
      </c>
      <c r="C8127" s="3" t="s">
        <v>7823</v>
      </c>
      <c r="D8127" s="3">
        <v>255.0</v>
      </c>
      <c r="E8127" s="3">
        <v>10.64</v>
      </c>
      <c r="F8127" s="3">
        <v>4.27</v>
      </c>
      <c r="G8127" s="3">
        <v>35.8</v>
      </c>
    </row>
    <row r="8128">
      <c r="A8128" s="3">
        <v>781581.0</v>
      </c>
      <c r="B8128" s="3" t="s">
        <v>8156</v>
      </c>
      <c r="C8128" s="3" t="s">
        <v>7823</v>
      </c>
      <c r="D8128" s="3">
        <v>223.0</v>
      </c>
      <c r="E8128" s="3">
        <v>7.77</v>
      </c>
      <c r="F8128" s="3">
        <v>2.84</v>
      </c>
      <c r="G8128" s="3">
        <v>36.91</v>
      </c>
    </row>
    <row r="8129">
      <c r="A8129" s="3">
        <v>781582.0</v>
      </c>
      <c r="B8129" s="3" t="s">
        <v>8157</v>
      </c>
      <c r="C8129" s="3" t="s">
        <v>7823</v>
      </c>
      <c r="D8129" s="3">
        <v>203.0</v>
      </c>
      <c r="E8129" s="3">
        <v>5.57</v>
      </c>
      <c r="F8129" s="3">
        <v>3.26</v>
      </c>
      <c r="G8129" s="3">
        <v>36.78</v>
      </c>
    </row>
    <row r="8130">
      <c r="A8130" s="3">
        <v>781583.0</v>
      </c>
      <c r="B8130" s="3" t="s">
        <v>8158</v>
      </c>
      <c r="C8130" s="3" t="s">
        <v>7823</v>
      </c>
      <c r="D8130" s="3">
        <v>182.0</v>
      </c>
      <c r="E8130" s="3">
        <v>4.16</v>
      </c>
      <c r="F8130" s="3">
        <v>4.82</v>
      </c>
      <c r="G8130" s="3">
        <v>32.01</v>
      </c>
    </row>
    <row r="8131">
      <c r="A8131" s="3">
        <v>781584.0</v>
      </c>
      <c r="B8131" s="3" t="s">
        <v>8159</v>
      </c>
      <c r="C8131" s="3" t="s">
        <v>7823</v>
      </c>
      <c r="D8131" s="3">
        <v>158.0</v>
      </c>
      <c r="E8131" s="3">
        <v>1.98</v>
      </c>
      <c r="F8131" s="3">
        <v>3.73</v>
      </c>
      <c r="G8131" s="3">
        <v>32.86</v>
      </c>
    </row>
    <row r="8132">
      <c r="A8132" s="3">
        <v>781585.0</v>
      </c>
      <c r="B8132" s="3" t="s">
        <v>8160</v>
      </c>
      <c r="C8132" s="3" t="s">
        <v>7823</v>
      </c>
      <c r="D8132" s="3">
        <v>148.0</v>
      </c>
      <c r="E8132" s="3">
        <v>1.95</v>
      </c>
      <c r="F8132" s="3">
        <v>3.98</v>
      </c>
      <c r="G8132" s="3">
        <v>30.55</v>
      </c>
    </row>
    <row r="8133">
      <c r="A8133" s="3">
        <v>781587.0</v>
      </c>
      <c r="B8133" s="3" t="s">
        <v>8161</v>
      </c>
      <c r="C8133" s="3" t="s">
        <v>7823</v>
      </c>
      <c r="D8133" s="3">
        <v>50.0</v>
      </c>
      <c r="E8133" s="3">
        <v>0.0</v>
      </c>
      <c r="F8133" s="3">
        <v>1.1</v>
      </c>
      <c r="G8133" s="3">
        <v>11.42</v>
      </c>
    </row>
    <row r="8134">
      <c r="A8134" s="3">
        <v>781588.0</v>
      </c>
      <c r="B8134" s="3" t="s">
        <v>8162</v>
      </c>
      <c r="C8134" s="3" t="s">
        <v>7823</v>
      </c>
      <c r="D8134" s="3">
        <v>182.0</v>
      </c>
      <c r="E8134" s="3">
        <v>5.16</v>
      </c>
      <c r="F8134" s="3">
        <v>5.31</v>
      </c>
      <c r="G8134" s="3">
        <v>30.61</v>
      </c>
    </row>
    <row r="8135">
      <c r="A8135" s="3">
        <v>781589.0</v>
      </c>
      <c r="B8135" s="3" t="s">
        <v>8163</v>
      </c>
      <c r="C8135" s="3" t="s">
        <v>7823</v>
      </c>
      <c r="D8135" s="3">
        <v>157.0</v>
      </c>
      <c r="E8135" s="3">
        <v>5.92</v>
      </c>
      <c r="F8135" s="3">
        <v>5.38</v>
      </c>
      <c r="G8135" s="3">
        <v>21.26</v>
      </c>
    </row>
    <row r="8136">
      <c r="A8136" s="3">
        <v>781597.0</v>
      </c>
      <c r="B8136" s="3" t="s">
        <v>8164</v>
      </c>
      <c r="C8136" s="3" t="s">
        <v>7823</v>
      </c>
      <c r="D8136" s="3">
        <v>189.0</v>
      </c>
      <c r="E8136" s="3">
        <v>3.1</v>
      </c>
      <c r="F8136" s="3">
        <v>5.5</v>
      </c>
      <c r="G8136" s="3">
        <v>35.57</v>
      </c>
    </row>
    <row r="8137">
      <c r="A8137" s="3">
        <v>781598.0</v>
      </c>
      <c r="B8137" s="3" t="s">
        <v>8165</v>
      </c>
      <c r="C8137" s="3" t="s">
        <v>7823</v>
      </c>
      <c r="D8137" s="3">
        <v>316.0</v>
      </c>
      <c r="E8137" s="3">
        <v>9.79</v>
      </c>
      <c r="F8137" s="3">
        <v>5.95</v>
      </c>
      <c r="G8137" s="3">
        <v>53.36</v>
      </c>
    </row>
    <row r="8138">
      <c r="A8138" s="3">
        <v>781601.0</v>
      </c>
      <c r="B8138" s="3" t="s">
        <v>8166</v>
      </c>
      <c r="C8138" s="3" t="s">
        <v>7823</v>
      </c>
      <c r="D8138" s="3">
        <v>248.0</v>
      </c>
      <c r="E8138" s="3">
        <v>9.79</v>
      </c>
      <c r="F8138" s="3">
        <v>4.99</v>
      </c>
      <c r="G8138" s="3">
        <v>35.44</v>
      </c>
    </row>
    <row r="8139">
      <c r="A8139" s="3">
        <v>781603.0</v>
      </c>
      <c r="B8139" s="3" t="s">
        <v>8167</v>
      </c>
      <c r="C8139" s="3" t="s">
        <v>38</v>
      </c>
      <c r="D8139" s="3">
        <v>155.0</v>
      </c>
      <c r="E8139" s="3">
        <v>4.74</v>
      </c>
      <c r="F8139" s="3">
        <v>5.47</v>
      </c>
      <c r="G8139" s="3">
        <v>23.52</v>
      </c>
    </row>
    <row r="8140">
      <c r="A8140" s="3">
        <v>781604.0</v>
      </c>
      <c r="B8140" s="3" t="s">
        <v>8168</v>
      </c>
      <c r="C8140" s="3" t="s">
        <v>38</v>
      </c>
      <c r="D8140" s="3">
        <v>271.0</v>
      </c>
      <c r="E8140" s="3">
        <v>9.31</v>
      </c>
      <c r="F8140" s="3">
        <v>8.23</v>
      </c>
      <c r="G8140" s="3">
        <v>39.38</v>
      </c>
    </row>
    <row r="8141">
      <c r="A8141" s="3">
        <v>781605.0</v>
      </c>
      <c r="B8141" s="3" t="s">
        <v>8169</v>
      </c>
      <c r="C8141" s="3" t="s">
        <v>38</v>
      </c>
      <c r="D8141" s="3">
        <v>271.0</v>
      </c>
      <c r="E8141" s="3">
        <v>8.54</v>
      </c>
      <c r="F8141" s="3">
        <v>6.83</v>
      </c>
      <c r="G8141" s="3">
        <v>42.98</v>
      </c>
    </row>
    <row r="8142">
      <c r="A8142" s="3">
        <v>781606.0</v>
      </c>
      <c r="B8142" s="3" t="s">
        <v>8170</v>
      </c>
      <c r="C8142" s="3" t="s">
        <v>38</v>
      </c>
      <c r="D8142" s="3">
        <v>280.0</v>
      </c>
      <c r="E8142" s="3">
        <v>11.5</v>
      </c>
      <c r="F8142" s="3">
        <v>5.06</v>
      </c>
      <c r="G8142" s="3">
        <v>40.98</v>
      </c>
    </row>
    <row r="8143">
      <c r="A8143" s="3">
        <v>781607.0</v>
      </c>
      <c r="B8143" s="3" t="s">
        <v>8171</v>
      </c>
      <c r="C8143" s="3" t="s">
        <v>38</v>
      </c>
      <c r="D8143" s="3">
        <v>278.0</v>
      </c>
      <c r="E8143" s="3">
        <v>5.89</v>
      </c>
      <c r="F8143" s="3">
        <v>7.47</v>
      </c>
      <c r="G8143" s="3">
        <v>50.34</v>
      </c>
    </row>
    <row r="8144">
      <c r="A8144" s="3">
        <v>781610.0</v>
      </c>
      <c r="B8144" s="3" t="s">
        <v>8172</v>
      </c>
      <c r="C8144" s="3" t="s">
        <v>38</v>
      </c>
      <c r="D8144" s="3">
        <v>156.0</v>
      </c>
      <c r="E8144" s="3">
        <v>3.22</v>
      </c>
      <c r="F8144" s="3">
        <v>4.01</v>
      </c>
      <c r="G8144" s="3">
        <v>27.91</v>
      </c>
    </row>
    <row r="8145">
      <c r="A8145" s="3">
        <v>781611.0</v>
      </c>
      <c r="B8145" s="3" t="s">
        <v>8173</v>
      </c>
      <c r="C8145" s="3" t="s">
        <v>38</v>
      </c>
      <c r="D8145" s="3">
        <v>170.0</v>
      </c>
      <c r="E8145" s="3">
        <v>5.29</v>
      </c>
      <c r="F8145" s="3">
        <v>5.05</v>
      </c>
      <c r="G8145" s="3">
        <v>25.87</v>
      </c>
    </row>
    <row r="8146">
      <c r="A8146" s="3">
        <v>781614.0</v>
      </c>
      <c r="B8146" s="3" t="s">
        <v>8174</v>
      </c>
      <c r="C8146" s="3" t="s">
        <v>38</v>
      </c>
      <c r="D8146" s="3">
        <v>95.0</v>
      </c>
      <c r="E8146" s="3">
        <v>3.45</v>
      </c>
      <c r="F8146" s="3">
        <v>5.05</v>
      </c>
      <c r="G8146" s="3">
        <v>10.96</v>
      </c>
    </row>
    <row r="8147">
      <c r="A8147" s="3">
        <v>781615.0</v>
      </c>
      <c r="B8147" s="3" t="s">
        <v>8175</v>
      </c>
      <c r="C8147" s="3" t="s">
        <v>38</v>
      </c>
      <c r="D8147" s="3">
        <v>177.0</v>
      </c>
      <c r="E8147" s="3">
        <v>4.7</v>
      </c>
      <c r="F8147" s="3">
        <v>5.22</v>
      </c>
      <c r="G8147" s="3">
        <v>29.04</v>
      </c>
    </row>
    <row r="8148">
      <c r="A8148" s="3">
        <v>781617.0</v>
      </c>
      <c r="B8148" s="3" t="s">
        <v>8176</v>
      </c>
      <c r="C8148" s="3" t="s">
        <v>38</v>
      </c>
      <c r="D8148" s="3">
        <v>142.0</v>
      </c>
      <c r="E8148" s="3">
        <v>3.12</v>
      </c>
      <c r="F8148" s="3">
        <v>3.49</v>
      </c>
      <c r="G8148" s="3">
        <v>25.3</v>
      </c>
    </row>
    <row r="8149">
      <c r="A8149" s="3">
        <v>781618.0</v>
      </c>
      <c r="B8149" s="3" t="s">
        <v>8177</v>
      </c>
      <c r="C8149" s="3" t="s">
        <v>38</v>
      </c>
      <c r="D8149" s="3">
        <v>115.0</v>
      </c>
      <c r="E8149" s="3">
        <v>3.21</v>
      </c>
      <c r="F8149" s="3">
        <v>4.69</v>
      </c>
      <c r="G8149" s="3">
        <v>17.05</v>
      </c>
    </row>
    <row r="8150">
      <c r="A8150" s="3">
        <v>781619.0</v>
      </c>
      <c r="B8150" s="3" t="s">
        <v>8178</v>
      </c>
      <c r="C8150" s="3" t="s">
        <v>38</v>
      </c>
      <c r="D8150" s="3">
        <v>107.0</v>
      </c>
      <c r="E8150" s="3">
        <v>1.93</v>
      </c>
      <c r="F8150" s="3">
        <v>3.08</v>
      </c>
      <c r="G8150" s="3">
        <v>19.87</v>
      </c>
    </row>
    <row r="8151">
      <c r="A8151" s="3">
        <v>781620.0</v>
      </c>
      <c r="B8151" s="3" t="s">
        <v>8179</v>
      </c>
      <c r="C8151" s="3" t="s">
        <v>38</v>
      </c>
      <c r="D8151" s="3">
        <v>112.0</v>
      </c>
      <c r="E8151" s="3">
        <v>2.29</v>
      </c>
      <c r="F8151" s="3">
        <v>3.59</v>
      </c>
      <c r="G8151" s="3">
        <v>21.32</v>
      </c>
    </row>
    <row r="8152">
      <c r="A8152" s="3">
        <v>781621.0</v>
      </c>
      <c r="B8152" s="3" t="s">
        <v>8180</v>
      </c>
      <c r="C8152" s="3" t="s">
        <v>38</v>
      </c>
      <c r="D8152" s="3">
        <v>111.0</v>
      </c>
      <c r="E8152" s="3">
        <v>3.43</v>
      </c>
      <c r="F8152" s="3">
        <v>2.89</v>
      </c>
      <c r="G8152" s="3">
        <v>17.37</v>
      </c>
    </row>
    <row r="8153">
      <c r="A8153" s="3">
        <v>781622.0</v>
      </c>
      <c r="B8153" s="3" t="s">
        <v>8181</v>
      </c>
      <c r="C8153" s="3" t="s">
        <v>38</v>
      </c>
      <c r="D8153" s="3">
        <v>133.0</v>
      </c>
      <c r="E8153" s="3">
        <v>3.57</v>
      </c>
      <c r="F8153" s="3">
        <v>4.1</v>
      </c>
      <c r="G8153" s="3">
        <v>21.18</v>
      </c>
    </row>
    <row r="8154">
      <c r="A8154" s="3">
        <v>781623.0</v>
      </c>
      <c r="B8154" s="3" t="s">
        <v>8182</v>
      </c>
      <c r="C8154" s="3" t="s">
        <v>38</v>
      </c>
      <c r="D8154" s="3">
        <v>99.0</v>
      </c>
      <c r="E8154" s="3">
        <v>3.07</v>
      </c>
      <c r="F8154" s="3">
        <v>1.21</v>
      </c>
      <c r="G8154" s="3">
        <v>16.85</v>
      </c>
    </row>
    <row r="8155">
      <c r="A8155" s="3">
        <v>781624.0</v>
      </c>
      <c r="B8155" s="3" t="s">
        <v>8183</v>
      </c>
      <c r="C8155" s="3" t="s">
        <v>38</v>
      </c>
      <c r="D8155" s="3">
        <v>116.0</v>
      </c>
      <c r="E8155" s="3">
        <v>4.45</v>
      </c>
      <c r="F8155" s="3">
        <v>3.6</v>
      </c>
      <c r="G8155" s="3">
        <v>16.28</v>
      </c>
    </row>
    <row r="8156">
      <c r="A8156" s="3">
        <v>781625.0</v>
      </c>
      <c r="B8156" s="3" t="s">
        <v>8184</v>
      </c>
      <c r="C8156" s="3" t="s">
        <v>38</v>
      </c>
      <c r="D8156" s="3">
        <v>398.0</v>
      </c>
      <c r="E8156" s="3">
        <v>24.96</v>
      </c>
      <c r="F8156" s="3">
        <v>3.89</v>
      </c>
      <c r="G8156" s="3">
        <v>46.25</v>
      </c>
    </row>
    <row r="8157">
      <c r="A8157" s="3">
        <v>781626.0</v>
      </c>
      <c r="B8157" s="3" t="s">
        <v>8185</v>
      </c>
      <c r="C8157" s="3" t="s">
        <v>38</v>
      </c>
      <c r="D8157" s="3">
        <v>103.0</v>
      </c>
      <c r="E8157" s="3">
        <v>1.8</v>
      </c>
      <c r="F8157" s="3">
        <v>2.76</v>
      </c>
      <c r="G8157" s="3">
        <v>19.05</v>
      </c>
    </row>
    <row r="8158">
      <c r="A8158" s="3">
        <v>781627.0</v>
      </c>
      <c r="B8158" s="3" t="s">
        <v>8186</v>
      </c>
      <c r="C8158" s="3" t="s">
        <v>38</v>
      </c>
      <c r="D8158" s="3">
        <v>105.0</v>
      </c>
      <c r="E8158" s="3">
        <v>2.04</v>
      </c>
      <c r="F8158" s="3">
        <v>3.13</v>
      </c>
      <c r="G8158" s="3">
        <v>18.98</v>
      </c>
    </row>
    <row r="8159">
      <c r="A8159" s="3">
        <v>781628.0</v>
      </c>
      <c r="B8159" s="3" t="s">
        <v>8187</v>
      </c>
      <c r="C8159" s="3" t="s">
        <v>38</v>
      </c>
      <c r="D8159" s="3">
        <v>69.0</v>
      </c>
      <c r="E8159" s="3">
        <v>1.95</v>
      </c>
      <c r="F8159" s="3">
        <v>3.14</v>
      </c>
      <c r="G8159" s="3">
        <v>9.8</v>
      </c>
    </row>
    <row r="8160">
      <c r="A8160" s="3">
        <v>781629.0</v>
      </c>
      <c r="B8160" s="3" t="s">
        <v>8188</v>
      </c>
      <c r="C8160" s="3" t="s">
        <v>38</v>
      </c>
      <c r="D8160" s="3">
        <v>74.0</v>
      </c>
      <c r="E8160" s="3">
        <v>2.09</v>
      </c>
      <c r="F8160" s="3">
        <v>3.6</v>
      </c>
      <c r="G8160" s="3">
        <v>10.26</v>
      </c>
    </row>
    <row r="8161">
      <c r="A8161" s="3">
        <v>781638.0</v>
      </c>
      <c r="B8161" s="3" t="s">
        <v>8189</v>
      </c>
      <c r="C8161" s="3" t="s">
        <v>38</v>
      </c>
      <c r="D8161" s="3">
        <v>136.0</v>
      </c>
      <c r="E8161" s="3">
        <v>4.19</v>
      </c>
      <c r="F8161" s="3">
        <v>1.77</v>
      </c>
      <c r="G8161" s="3">
        <v>22.8</v>
      </c>
    </row>
    <row r="8162">
      <c r="A8162" s="3">
        <v>781641.0</v>
      </c>
      <c r="B8162" s="3" t="s">
        <v>8190</v>
      </c>
      <c r="C8162" s="3" t="s">
        <v>38</v>
      </c>
      <c r="D8162" s="3">
        <v>149.0</v>
      </c>
      <c r="E8162" s="3">
        <v>3.84</v>
      </c>
      <c r="F8162" s="3">
        <v>3.25</v>
      </c>
      <c r="G8162" s="3">
        <v>26.38</v>
      </c>
    </row>
    <row r="8163">
      <c r="A8163" s="3">
        <v>781642.0</v>
      </c>
      <c r="B8163" s="3" t="s">
        <v>8191</v>
      </c>
      <c r="C8163" s="3" t="s">
        <v>38</v>
      </c>
      <c r="D8163" s="3">
        <v>209.0</v>
      </c>
      <c r="E8163" s="3">
        <v>14.97</v>
      </c>
      <c r="F8163" s="3">
        <v>4.31</v>
      </c>
      <c r="G8163" s="3">
        <v>16.24</v>
      </c>
    </row>
    <row r="8164">
      <c r="A8164" s="3">
        <v>781643.0</v>
      </c>
      <c r="B8164" s="3" t="s">
        <v>8192</v>
      </c>
      <c r="C8164" s="3" t="s">
        <v>38</v>
      </c>
      <c r="D8164" s="3">
        <v>207.0</v>
      </c>
      <c r="E8164" s="3">
        <v>15.42</v>
      </c>
      <c r="F8164" s="3">
        <v>1.8</v>
      </c>
      <c r="G8164" s="3">
        <v>16.88</v>
      </c>
    </row>
    <row r="8165">
      <c r="A8165" s="3">
        <v>781645.0</v>
      </c>
      <c r="B8165" s="3" t="s">
        <v>8193</v>
      </c>
      <c r="C8165" s="3" t="s">
        <v>38</v>
      </c>
      <c r="D8165" s="3">
        <v>282.0</v>
      </c>
      <c r="E8165" s="3">
        <v>10.49</v>
      </c>
      <c r="F8165" s="3">
        <v>8.2</v>
      </c>
      <c r="G8165" s="3">
        <v>40.04</v>
      </c>
    </row>
    <row r="8166">
      <c r="A8166" s="3">
        <v>781647.0</v>
      </c>
      <c r="B8166" s="3" t="s">
        <v>8194</v>
      </c>
      <c r="C8166" s="3" t="s">
        <v>38</v>
      </c>
      <c r="D8166" s="3">
        <v>282.0</v>
      </c>
      <c r="E8166" s="3">
        <v>11.66</v>
      </c>
      <c r="F8166" s="3">
        <v>6.9</v>
      </c>
      <c r="G8166" s="3">
        <v>39.08</v>
      </c>
    </row>
    <row r="8167">
      <c r="A8167" s="3">
        <v>781648.0</v>
      </c>
      <c r="B8167" s="3" t="s">
        <v>8195</v>
      </c>
      <c r="C8167" s="3" t="s">
        <v>8</v>
      </c>
      <c r="D8167" s="3">
        <v>354.0</v>
      </c>
      <c r="E8167" s="3">
        <v>24.26</v>
      </c>
      <c r="F8167" s="3">
        <v>5.91</v>
      </c>
      <c r="G8167" s="3">
        <v>29.61</v>
      </c>
    </row>
    <row r="8168">
      <c r="A8168" s="3">
        <v>781649.0</v>
      </c>
      <c r="B8168" s="3" t="s">
        <v>8196</v>
      </c>
      <c r="C8168" s="3" t="s">
        <v>196</v>
      </c>
      <c r="D8168" s="3">
        <v>86.0</v>
      </c>
      <c r="E8168" s="3">
        <v>1.49</v>
      </c>
      <c r="F8168" s="3">
        <v>1.68</v>
      </c>
      <c r="G8168" s="3">
        <v>16.79</v>
      </c>
    </row>
    <row r="8169">
      <c r="A8169" s="3">
        <v>781652.0</v>
      </c>
      <c r="B8169" s="3" t="s">
        <v>8197</v>
      </c>
      <c r="C8169" s="3" t="s">
        <v>225</v>
      </c>
      <c r="D8169" s="3">
        <v>147.0</v>
      </c>
      <c r="E8169" s="3">
        <v>10.76</v>
      </c>
      <c r="F8169" s="3">
        <v>3.7</v>
      </c>
      <c r="G8169" s="3">
        <v>9.19</v>
      </c>
    </row>
    <row r="8170">
      <c r="A8170" s="3">
        <v>781653.0</v>
      </c>
      <c r="B8170" s="3" t="s">
        <v>8198</v>
      </c>
      <c r="C8170" s="3" t="s">
        <v>225</v>
      </c>
      <c r="D8170" s="3">
        <v>136.0</v>
      </c>
      <c r="E8170" s="3">
        <v>9.59</v>
      </c>
      <c r="F8170" s="3">
        <v>3.88</v>
      </c>
      <c r="G8170" s="3">
        <v>8.54</v>
      </c>
    </row>
    <row r="8171">
      <c r="A8171" s="3">
        <v>781654.0</v>
      </c>
      <c r="B8171" s="3" t="s">
        <v>8199</v>
      </c>
      <c r="C8171" s="3" t="s">
        <v>7823</v>
      </c>
      <c r="D8171" s="3">
        <v>365.0</v>
      </c>
      <c r="E8171" s="3">
        <v>29.21</v>
      </c>
      <c r="F8171" s="3">
        <v>20.16</v>
      </c>
      <c r="G8171" s="3">
        <v>5.39</v>
      </c>
    </row>
    <row r="8172">
      <c r="A8172" s="3">
        <v>781659.0</v>
      </c>
      <c r="B8172" s="3" t="s">
        <v>8200</v>
      </c>
      <c r="C8172" s="3" t="s">
        <v>7823</v>
      </c>
      <c r="D8172" s="3">
        <v>404.0</v>
      </c>
      <c r="E8172" s="3">
        <v>33.31</v>
      </c>
      <c r="F8172" s="3">
        <v>22.87</v>
      </c>
      <c r="G8172" s="3">
        <v>3.09</v>
      </c>
    </row>
    <row r="8173">
      <c r="A8173" s="3">
        <v>781663.0</v>
      </c>
      <c r="B8173" s="3" t="s">
        <v>8201</v>
      </c>
      <c r="C8173" s="3" t="s">
        <v>7823</v>
      </c>
      <c r="D8173" s="3">
        <v>384.0</v>
      </c>
      <c r="E8173" s="3">
        <v>31.2</v>
      </c>
      <c r="F8173" s="3">
        <v>24.12</v>
      </c>
      <c r="G8173" s="3">
        <v>1.62</v>
      </c>
    </row>
    <row r="8174">
      <c r="A8174" s="3">
        <v>781666.0</v>
      </c>
      <c r="B8174" s="3" t="s">
        <v>8202</v>
      </c>
      <c r="C8174" s="3" t="s">
        <v>7823</v>
      </c>
      <c r="D8174" s="3">
        <v>360.0</v>
      </c>
      <c r="E8174" s="3">
        <v>28.85</v>
      </c>
      <c r="F8174" s="3">
        <v>23.52</v>
      </c>
      <c r="G8174" s="3">
        <v>0.76</v>
      </c>
    </row>
    <row r="8175">
      <c r="A8175" s="3">
        <v>781667.0</v>
      </c>
      <c r="B8175" s="3" t="s">
        <v>8203</v>
      </c>
      <c r="C8175" s="3" t="s">
        <v>7823</v>
      </c>
      <c r="D8175" s="3">
        <v>357.0</v>
      </c>
      <c r="E8175" s="3">
        <v>27.69</v>
      </c>
      <c r="F8175" s="3">
        <v>24.98</v>
      </c>
      <c r="G8175" s="3">
        <v>1.67</v>
      </c>
    </row>
    <row r="8176">
      <c r="A8176" s="3">
        <v>781694.0</v>
      </c>
      <c r="B8176" s="3" t="s">
        <v>8204</v>
      </c>
      <c r="C8176" s="3" t="s">
        <v>7823</v>
      </c>
      <c r="D8176" s="3">
        <v>356.0</v>
      </c>
      <c r="E8176" s="3">
        <v>28.26</v>
      </c>
      <c r="F8176" s="3">
        <v>22.6</v>
      </c>
      <c r="G8176" s="3">
        <v>2.87</v>
      </c>
    </row>
    <row r="8177">
      <c r="A8177" s="3">
        <v>781700.0</v>
      </c>
      <c r="B8177" s="3" t="s">
        <v>8205</v>
      </c>
      <c r="C8177" s="3" t="s">
        <v>7823</v>
      </c>
      <c r="D8177" s="3">
        <v>143.0</v>
      </c>
      <c r="E8177" s="3">
        <v>9.8</v>
      </c>
      <c r="F8177" s="3">
        <v>10.49</v>
      </c>
      <c r="G8177" s="3">
        <v>3.18</v>
      </c>
    </row>
    <row r="8178">
      <c r="A8178" s="3">
        <v>781701.0</v>
      </c>
      <c r="B8178" s="3" t="s">
        <v>8206</v>
      </c>
      <c r="C8178" s="3" t="s">
        <v>7823</v>
      </c>
      <c r="D8178" s="3">
        <v>156.0</v>
      </c>
      <c r="E8178" s="3">
        <v>10.44</v>
      </c>
      <c r="F8178" s="3">
        <v>11.32</v>
      </c>
      <c r="G8178" s="3">
        <v>4.09</v>
      </c>
    </row>
    <row r="8179">
      <c r="A8179" s="3">
        <v>781705.0</v>
      </c>
      <c r="B8179" s="3" t="s">
        <v>8207</v>
      </c>
      <c r="C8179" s="3" t="s">
        <v>7823</v>
      </c>
      <c r="D8179" s="3">
        <v>71.0</v>
      </c>
      <c r="E8179" s="3">
        <v>0.29</v>
      </c>
      <c r="F8179" s="3">
        <v>10.24</v>
      </c>
      <c r="G8179" s="3">
        <v>6.59</v>
      </c>
    </row>
    <row r="8180">
      <c r="A8180" s="3">
        <v>781706.0</v>
      </c>
      <c r="B8180" s="3" t="s">
        <v>8208</v>
      </c>
      <c r="C8180" s="3" t="s">
        <v>7823</v>
      </c>
      <c r="D8180" s="3">
        <v>174.0</v>
      </c>
      <c r="E8180" s="3">
        <v>12.98</v>
      </c>
      <c r="F8180" s="3">
        <v>11.26</v>
      </c>
      <c r="G8180" s="3">
        <v>3.04</v>
      </c>
    </row>
    <row r="8181">
      <c r="A8181" s="3">
        <v>781708.0</v>
      </c>
      <c r="B8181" s="3" t="s">
        <v>8209</v>
      </c>
      <c r="C8181" s="3" t="s">
        <v>7823</v>
      </c>
      <c r="D8181" s="3">
        <v>71.0</v>
      </c>
      <c r="E8181" s="3">
        <v>1.47</v>
      </c>
      <c r="F8181" s="3">
        <v>6.88</v>
      </c>
      <c r="G8181" s="3">
        <v>8.26</v>
      </c>
    </row>
    <row r="8182">
      <c r="A8182" s="3">
        <v>781713.0</v>
      </c>
      <c r="B8182" s="3" t="s">
        <v>8210</v>
      </c>
      <c r="C8182" s="3" t="s">
        <v>187</v>
      </c>
      <c r="D8182" s="3">
        <v>201.0</v>
      </c>
      <c r="E8182" s="3">
        <v>15.28</v>
      </c>
      <c r="F8182" s="3">
        <v>7.85</v>
      </c>
      <c r="G8182" s="3">
        <v>8.13</v>
      </c>
    </row>
    <row r="8183">
      <c r="A8183" s="3">
        <v>781727.0</v>
      </c>
      <c r="B8183" s="3" t="s">
        <v>8211</v>
      </c>
      <c r="C8183" s="3" t="s">
        <v>187</v>
      </c>
      <c r="D8183" s="3">
        <v>201.0</v>
      </c>
      <c r="E8183" s="3">
        <v>15.28</v>
      </c>
      <c r="F8183" s="3">
        <v>7.85</v>
      </c>
      <c r="G8183" s="3">
        <v>8.13</v>
      </c>
    </row>
    <row r="8184">
      <c r="A8184" s="3">
        <v>781730.0</v>
      </c>
      <c r="B8184" s="3" t="s">
        <v>8212</v>
      </c>
      <c r="C8184" s="3" t="s">
        <v>7823</v>
      </c>
      <c r="D8184" s="3">
        <v>81.0</v>
      </c>
      <c r="E8184" s="3">
        <v>2.32</v>
      </c>
      <c r="F8184" s="3">
        <v>6.55</v>
      </c>
      <c r="G8184" s="3">
        <v>8.37</v>
      </c>
    </row>
    <row r="8185">
      <c r="A8185" s="3">
        <v>781731.0</v>
      </c>
      <c r="B8185" s="3" t="s">
        <v>8213</v>
      </c>
      <c r="C8185" s="3" t="s">
        <v>7823</v>
      </c>
      <c r="D8185" s="3">
        <v>88.0</v>
      </c>
      <c r="E8185" s="3">
        <v>1.78</v>
      </c>
      <c r="F8185" s="3">
        <v>5.1</v>
      </c>
      <c r="G8185" s="3">
        <v>13.17</v>
      </c>
    </row>
    <row r="8186">
      <c r="A8186" s="3">
        <v>781732.0</v>
      </c>
      <c r="B8186" s="3" t="s">
        <v>8214</v>
      </c>
      <c r="C8186" s="3" t="s">
        <v>7823</v>
      </c>
      <c r="D8186" s="3">
        <v>82.0</v>
      </c>
      <c r="E8186" s="3">
        <v>2.85</v>
      </c>
      <c r="F8186" s="3">
        <v>7.71</v>
      </c>
      <c r="G8186" s="3">
        <v>6.27</v>
      </c>
    </row>
    <row r="8187">
      <c r="A8187" s="3">
        <v>781733.0</v>
      </c>
      <c r="B8187" s="3" t="s">
        <v>8215</v>
      </c>
      <c r="C8187" s="3" t="s">
        <v>7823</v>
      </c>
      <c r="D8187" s="3">
        <v>424.0</v>
      </c>
      <c r="E8187" s="3">
        <v>37.72</v>
      </c>
      <c r="F8187" s="3">
        <v>17.87</v>
      </c>
      <c r="G8187" s="3">
        <v>5.89</v>
      </c>
    </row>
    <row r="8188">
      <c r="A8188" s="3">
        <v>781734.0</v>
      </c>
      <c r="B8188" s="3" t="s">
        <v>8216</v>
      </c>
      <c r="C8188" s="3" t="s">
        <v>225</v>
      </c>
      <c r="D8188" s="3">
        <v>330.0</v>
      </c>
      <c r="E8188" s="3">
        <v>33.13</v>
      </c>
      <c r="F8188" s="3">
        <v>3.6</v>
      </c>
      <c r="G8188" s="3">
        <v>5.2</v>
      </c>
    </row>
    <row r="8189">
      <c r="A8189" s="3">
        <v>781735.0</v>
      </c>
      <c r="B8189" s="3" t="s">
        <v>8217</v>
      </c>
      <c r="C8189" s="3" t="s">
        <v>225</v>
      </c>
      <c r="D8189" s="3">
        <v>329.0</v>
      </c>
      <c r="E8189" s="3">
        <v>33.22</v>
      </c>
      <c r="F8189" s="3">
        <v>3.95</v>
      </c>
      <c r="G8189" s="3">
        <v>4.5</v>
      </c>
    </row>
    <row r="8190">
      <c r="A8190" s="3">
        <v>781736.0</v>
      </c>
      <c r="B8190" s="3" t="s">
        <v>8218</v>
      </c>
      <c r="C8190" s="3" t="s">
        <v>225</v>
      </c>
      <c r="D8190" s="3">
        <v>338.0</v>
      </c>
      <c r="E8190" s="3">
        <v>33.24</v>
      </c>
      <c r="F8190" s="3">
        <v>5.89</v>
      </c>
      <c r="G8190" s="3">
        <v>3.99</v>
      </c>
    </row>
    <row r="8191">
      <c r="A8191" s="3">
        <v>781738.0</v>
      </c>
      <c r="B8191" s="3" t="s">
        <v>8219</v>
      </c>
      <c r="C8191" s="3" t="s">
        <v>225</v>
      </c>
      <c r="D8191" s="3">
        <v>160.0</v>
      </c>
      <c r="E8191" s="3">
        <v>13.02</v>
      </c>
      <c r="F8191" s="3">
        <v>3.24</v>
      </c>
      <c r="G8191" s="3">
        <v>7.66</v>
      </c>
    </row>
    <row r="8192">
      <c r="A8192" s="3">
        <v>781739.0</v>
      </c>
      <c r="B8192" s="3" t="s">
        <v>8220</v>
      </c>
      <c r="C8192" s="3" t="s">
        <v>8</v>
      </c>
      <c r="D8192" s="3">
        <v>228.0</v>
      </c>
      <c r="E8192" s="3">
        <v>14.32</v>
      </c>
      <c r="F8192" s="3">
        <v>16.89</v>
      </c>
      <c r="G8192" s="3">
        <v>8.03</v>
      </c>
    </row>
    <row r="8193">
      <c r="A8193" s="3">
        <v>781740.0</v>
      </c>
      <c r="B8193" s="3" t="s">
        <v>8221</v>
      </c>
      <c r="C8193" s="3" t="s">
        <v>8</v>
      </c>
      <c r="D8193" s="3">
        <v>246.0</v>
      </c>
      <c r="E8193" s="3">
        <v>15.26</v>
      </c>
      <c r="F8193" s="3">
        <v>15.61</v>
      </c>
      <c r="G8193" s="3">
        <v>12.6</v>
      </c>
    </row>
    <row r="8194">
      <c r="A8194" s="3">
        <v>781741.0</v>
      </c>
      <c r="B8194" s="3" t="s">
        <v>8222</v>
      </c>
      <c r="C8194" s="3" t="s">
        <v>8</v>
      </c>
      <c r="D8194" s="3">
        <v>328.0</v>
      </c>
      <c r="E8194" s="3">
        <v>24.63</v>
      </c>
      <c r="F8194" s="3">
        <v>19.48</v>
      </c>
      <c r="G8194" s="3">
        <v>6.55</v>
      </c>
    </row>
    <row r="8195">
      <c r="A8195" s="3">
        <v>781742.0</v>
      </c>
      <c r="B8195" s="3" t="s">
        <v>8223</v>
      </c>
      <c r="C8195" s="3" t="s">
        <v>8</v>
      </c>
      <c r="D8195" s="3">
        <v>305.0</v>
      </c>
      <c r="E8195" s="3">
        <v>22.13</v>
      </c>
      <c r="F8195" s="3">
        <v>17.81</v>
      </c>
      <c r="G8195" s="3">
        <v>8.47</v>
      </c>
    </row>
    <row r="8196">
      <c r="A8196" s="3">
        <v>781743.0</v>
      </c>
      <c r="B8196" s="3" t="s">
        <v>8224</v>
      </c>
      <c r="C8196" s="3" t="s">
        <v>225</v>
      </c>
      <c r="D8196" s="3">
        <v>276.0</v>
      </c>
      <c r="E8196" s="3">
        <v>21.19</v>
      </c>
      <c r="F8196" s="3">
        <v>19.3</v>
      </c>
      <c r="G8196" s="3">
        <v>1.93</v>
      </c>
    </row>
    <row r="8197">
      <c r="A8197" s="3">
        <v>781744.0</v>
      </c>
      <c r="B8197" s="3" t="s">
        <v>8225</v>
      </c>
      <c r="C8197" s="3" t="s">
        <v>7823</v>
      </c>
      <c r="D8197" s="3">
        <v>204.0</v>
      </c>
      <c r="E8197" s="3">
        <v>15.68</v>
      </c>
      <c r="F8197" s="3">
        <v>9.34</v>
      </c>
      <c r="G8197" s="3">
        <v>6.38</v>
      </c>
    </row>
    <row r="8198">
      <c r="A8198" s="3">
        <v>781745.0</v>
      </c>
      <c r="B8198" s="3" t="s">
        <v>8226</v>
      </c>
      <c r="C8198" s="3" t="s">
        <v>225</v>
      </c>
      <c r="D8198" s="3">
        <v>163.0</v>
      </c>
      <c r="E8198" s="3">
        <v>12.03</v>
      </c>
      <c r="F8198" s="3">
        <v>7.34</v>
      </c>
      <c r="G8198" s="3">
        <v>6.44</v>
      </c>
    </row>
    <row r="8199">
      <c r="A8199" s="3">
        <v>781746.0</v>
      </c>
      <c r="B8199" s="3" t="s">
        <v>8227</v>
      </c>
      <c r="C8199" s="3" t="s">
        <v>318</v>
      </c>
      <c r="D8199" s="3">
        <v>283.0</v>
      </c>
      <c r="E8199" s="3">
        <v>11.45</v>
      </c>
      <c r="F8199" s="3">
        <v>11.83</v>
      </c>
      <c r="G8199" s="3">
        <v>32.72</v>
      </c>
    </row>
    <row r="8200">
      <c r="A8200" s="3">
        <v>781747.0</v>
      </c>
      <c r="B8200" s="3" t="s">
        <v>8228</v>
      </c>
      <c r="C8200" s="3" t="s">
        <v>318</v>
      </c>
      <c r="D8200" s="3">
        <v>283.0</v>
      </c>
      <c r="E8200" s="3">
        <v>11.45</v>
      </c>
      <c r="F8200" s="3">
        <v>11.83</v>
      </c>
      <c r="G8200" s="3">
        <v>32.72</v>
      </c>
    </row>
    <row r="8201">
      <c r="A8201" s="3">
        <v>781748.0</v>
      </c>
      <c r="B8201" s="3" t="s">
        <v>8229</v>
      </c>
      <c r="C8201" s="3" t="s">
        <v>318</v>
      </c>
      <c r="D8201" s="3">
        <v>281.0</v>
      </c>
      <c r="E8201" s="3">
        <v>11.82</v>
      </c>
      <c r="F8201" s="3">
        <v>13.36</v>
      </c>
      <c r="G8201" s="3">
        <v>30.28</v>
      </c>
    </row>
    <row r="8202">
      <c r="A8202" s="3">
        <v>781749.0</v>
      </c>
      <c r="B8202" s="3" t="s">
        <v>8230</v>
      </c>
      <c r="C8202" s="3" t="s">
        <v>318</v>
      </c>
      <c r="D8202" s="3">
        <v>281.0</v>
      </c>
      <c r="E8202" s="3">
        <v>11.82</v>
      </c>
      <c r="F8202" s="3">
        <v>13.36</v>
      </c>
      <c r="G8202" s="3">
        <v>30.28</v>
      </c>
    </row>
    <row r="8203">
      <c r="A8203" s="3">
        <v>781750.0</v>
      </c>
      <c r="B8203" s="3" t="s">
        <v>8231</v>
      </c>
      <c r="C8203" s="3" t="s">
        <v>318</v>
      </c>
      <c r="D8203" s="3">
        <v>323.0</v>
      </c>
      <c r="E8203" s="3">
        <v>15.68</v>
      </c>
      <c r="F8203" s="3">
        <v>14.62</v>
      </c>
      <c r="G8203" s="3">
        <v>30.34</v>
      </c>
    </row>
    <row r="8204">
      <c r="A8204" s="3">
        <v>781751.0</v>
      </c>
      <c r="B8204" s="3" t="s">
        <v>8232</v>
      </c>
      <c r="C8204" s="3" t="s">
        <v>318</v>
      </c>
      <c r="D8204" s="3">
        <v>321.0</v>
      </c>
      <c r="E8204" s="3">
        <v>16.05</v>
      </c>
      <c r="F8204" s="3">
        <v>16.15</v>
      </c>
      <c r="G8204" s="3">
        <v>27.91</v>
      </c>
    </row>
    <row r="8205">
      <c r="A8205" s="3">
        <v>781752.0</v>
      </c>
      <c r="B8205" s="3" t="s">
        <v>8233</v>
      </c>
      <c r="C8205" s="3" t="s">
        <v>318</v>
      </c>
      <c r="D8205" s="3">
        <v>321.0</v>
      </c>
      <c r="E8205" s="3">
        <v>16.05</v>
      </c>
      <c r="F8205" s="3">
        <v>16.15</v>
      </c>
      <c r="G8205" s="3">
        <v>27.91</v>
      </c>
    </row>
    <row r="8206">
      <c r="A8206" s="3">
        <v>781753.0</v>
      </c>
      <c r="B8206" s="3" t="s">
        <v>8234</v>
      </c>
      <c r="C8206" s="3" t="s">
        <v>318</v>
      </c>
      <c r="D8206" s="3">
        <v>255.0</v>
      </c>
      <c r="E8206" s="3">
        <v>7.76</v>
      </c>
      <c r="F8206" s="3">
        <v>12.45</v>
      </c>
      <c r="G8206" s="3">
        <v>33.44</v>
      </c>
    </row>
    <row r="8207">
      <c r="A8207" s="3">
        <v>781754.0</v>
      </c>
      <c r="B8207" s="3" t="s">
        <v>8235</v>
      </c>
      <c r="C8207" s="3" t="s">
        <v>318</v>
      </c>
      <c r="D8207" s="3">
        <v>253.0</v>
      </c>
      <c r="E8207" s="3">
        <v>8.14</v>
      </c>
      <c r="F8207" s="3">
        <v>13.98</v>
      </c>
      <c r="G8207" s="3">
        <v>31.0</v>
      </c>
    </row>
    <row r="8208">
      <c r="A8208" s="3">
        <v>781755.0</v>
      </c>
      <c r="B8208" s="3" t="s">
        <v>8236</v>
      </c>
      <c r="C8208" s="3" t="s">
        <v>318</v>
      </c>
      <c r="D8208" s="3">
        <v>253.0</v>
      </c>
      <c r="E8208" s="3">
        <v>8.14</v>
      </c>
      <c r="F8208" s="3">
        <v>13.98</v>
      </c>
      <c r="G8208" s="3">
        <v>31.0</v>
      </c>
    </row>
    <row r="8209">
      <c r="A8209" s="3">
        <v>781756.0</v>
      </c>
      <c r="B8209" s="3" t="s">
        <v>8237</v>
      </c>
      <c r="C8209" s="3" t="s">
        <v>318</v>
      </c>
      <c r="D8209" s="3">
        <v>284.0</v>
      </c>
      <c r="E8209" s="3">
        <v>10.36</v>
      </c>
      <c r="F8209" s="3">
        <v>16.47</v>
      </c>
      <c r="G8209" s="3">
        <v>30.74</v>
      </c>
    </row>
    <row r="8210">
      <c r="A8210" s="3">
        <v>781757.0</v>
      </c>
      <c r="B8210" s="3" t="s">
        <v>8238</v>
      </c>
      <c r="C8210" s="3" t="s">
        <v>318</v>
      </c>
      <c r="D8210" s="3">
        <v>282.0</v>
      </c>
      <c r="E8210" s="3">
        <v>10.73</v>
      </c>
      <c r="F8210" s="3">
        <v>18.0</v>
      </c>
      <c r="G8210" s="3">
        <v>28.31</v>
      </c>
    </row>
    <row r="8211">
      <c r="A8211" s="3">
        <v>781758.0</v>
      </c>
      <c r="B8211" s="3" t="s">
        <v>8239</v>
      </c>
      <c r="C8211" s="3" t="s">
        <v>318</v>
      </c>
      <c r="D8211" s="3">
        <v>282.0</v>
      </c>
      <c r="E8211" s="3">
        <v>10.73</v>
      </c>
      <c r="F8211" s="3">
        <v>18.0</v>
      </c>
      <c r="G8211" s="3">
        <v>28.31</v>
      </c>
    </row>
    <row r="8212">
      <c r="A8212" s="3">
        <v>781759.0</v>
      </c>
      <c r="B8212" s="3" t="s">
        <v>8240</v>
      </c>
      <c r="C8212" s="3" t="s">
        <v>318</v>
      </c>
      <c r="D8212" s="3">
        <v>331.0</v>
      </c>
      <c r="E8212" s="3">
        <v>19.1</v>
      </c>
      <c r="F8212" s="3">
        <v>10.52</v>
      </c>
      <c r="G8212" s="3">
        <v>28.84</v>
      </c>
    </row>
    <row r="8213">
      <c r="A8213" s="3">
        <v>781760.0</v>
      </c>
      <c r="B8213" s="3" t="s">
        <v>8241</v>
      </c>
      <c r="C8213" s="3" t="s">
        <v>318</v>
      </c>
      <c r="D8213" s="3">
        <v>329.0</v>
      </c>
      <c r="E8213" s="3">
        <v>19.43</v>
      </c>
      <c r="F8213" s="3">
        <v>11.87</v>
      </c>
      <c r="G8213" s="3">
        <v>26.7</v>
      </c>
    </row>
    <row r="8214">
      <c r="A8214" s="3">
        <v>781761.0</v>
      </c>
      <c r="B8214" s="3" t="s">
        <v>8242</v>
      </c>
      <c r="C8214" s="3" t="s">
        <v>318</v>
      </c>
      <c r="D8214" s="3">
        <v>329.0</v>
      </c>
      <c r="E8214" s="3">
        <v>19.43</v>
      </c>
      <c r="F8214" s="3">
        <v>11.87</v>
      </c>
      <c r="G8214" s="3">
        <v>26.7</v>
      </c>
    </row>
    <row r="8215">
      <c r="A8215" s="3">
        <v>781762.0</v>
      </c>
      <c r="B8215" s="3" t="s">
        <v>8243</v>
      </c>
      <c r="C8215" s="3" t="s">
        <v>318</v>
      </c>
      <c r="D8215" s="3">
        <v>366.0</v>
      </c>
      <c r="E8215" s="3">
        <v>22.82</v>
      </c>
      <c r="F8215" s="3">
        <v>12.97</v>
      </c>
      <c r="G8215" s="3">
        <v>26.75</v>
      </c>
    </row>
    <row r="8216">
      <c r="A8216" s="3">
        <v>781763.0</v>
      </c>
      <c r="B8216" s="3" t="s">
        <v>8244</v>
      </c>
      <c r="C8216" s="3" t="s">
        <v>318</v>
      </c>
      <c r="D8216" s="3">
        <v>364.0</v>
      </c>
      <c r="E8216" s="3">
        <v>23.14</v>
      </c>
      <c r="F8216" s="3">
        <v>14.32</v>
      </c>
      <c r="G8216" s="3">
        <v>24.61</v>
      </c>
    </row>
    <row r="8217">
      <c r="A8217" s="3">
        <v>781764.0</v>
      </c>
      <c r="B8217" s="3" t="s">
        <v>8245</v>
      </c>
      <c r="C8217" s="3" t="s">
        <v>318</v>
      </c>
      <c r="D8217" s="3">
        <v>364.0</v>
      </c>
      <c r="E8217" s="3">
        <v>23.14</v>
      </c>
      <c r="F8217" s="3">
        <v>14.32</v>
      </c>
      <c r="G8217" s="3">
        <v>24.61</v>
      </c>
    </row>
    <row r="8218">
      <c r="A8218" s="3">
        <v>781765.0</v>
      </c>
      <c r="B8218" s="3" t="s">
        <v>8246</v>
      </c>
      <c r="C8218" s="3" t="s">
        <v>318</v>
      </c>
      <c r="D8218" s="3">
        <v>307.0</v>
      </c>
      <c r="E8218" s="3">
        <v>15.86</v>
      </c>
      <c r="F8218" s="3">
        <v>11.07</v>
      </c>
      <c r="G8218" s="3">
        <v>29.47</v>
      </c>
    </row>
    <row r="8219">
      <c r="A8219" s="3">
        <v>781766.0</v>
      </c>
      <c r="B8219" s="3" t="s">
        <v>8247</v>
      </c>
      <c r="C8219" s="3" t="s">
        <v>318</v>
      </c>
      <c r="D8219" s="3">
        <v>305.0</v>
      </c>
      <c r="E8219" s="3">
        <v>16.19</v>
      </c>
      <c r="F8219" s="3">
        <v>12.41</v>
      </c>
      <c r="G8219" s="3">
        <v>27.33</v>
      </c>
    </row>
    <row r="8220">
      <c r="A8220" s="3">
        <v>781767.0</v>
      </c>
      <c r="B8220" s="3" t="s">
        <v>8248</v>
      </c>
      <c r="C8220" s="3" t="s">
        <v>318</v>
      </c>
      <c r="D8220" s="3">
        <v>305.0</v>
      </c>
      <c r="E8220" s="3">
        <v>16.19</v>
      </c>
      <c r="F8220" s="3">
        <v>12.41</v>
      </c>
      <c r="G8220" s="3">
        <v>27.33</v>
      </c>
    </row>
    <row r="8221">
      <c r="A8221" s="3">
        <v>781768.0</v>
      </c>
      <c r="B8221" s="3" t="s">
        <v>8249</v>
      </c>
      <c r="C8221" s="3" t="s">
        <v>318</v>
      </c>
      <c r="D8221" s="3">
        <v>332.0</v>
      </c>
      <c r="E8221" s="3">
        <v>18.15</v>
      </c>
      <c r="F8221" s="3">
        <v>14.6</v>
      </c>
      <c r="G8221" s="3">
        <v>27.1</v>
      </c>
    </row>
    <row r="8222">
      <c r="A8222" s="3">
        <v>781769.0</v>
      </c>
      <c r="B8222" s="3" t="s">
        <v>8250</v>
      </c>
      <c r="C8222" s="3" t="s">
        <v>318</v>
      </c>
      <c r="D8222" s="3">
        <v>330.0</v>
      </c>
      <c r="E8222" s="3">
        <v>18.47</v>
      </c>
      <c r="F8222" s="3">
        <v>15.94</v>
      </c>
      <c r="G8222" s="3">
        <v>24.96</v>
      </c>
    </row>
    <row r="8223">
      <c r="A8223" s="3">
        <v>781770.0</v>
      </c>
      <c r="B8223" s="3" t="s">
        <v>8251</v>
      </c>
      <c r="C8223" s="3" t="s">
        <v>318</v>
      </c>
      <c r="D8223" s="3">
        <v>330.0</v>
      </c>
      <c r="E8223" s="3">
        <v>18.47</v>
      </c>
      <c r="F8223" s="3">
        <v>15.94</v>
      </c>
      <c r="G8223" s="3">
        <v>24.96</v>
      </c>
    </row>
    <row r="8224">
      <c r="A8224" s="3">
        <v>781771.0</v>
      </c>
      <c r="B8224" s="3" t="s">
        <v>8252</v>
      </c>
      <c r="C8224" s="3" t="s">
        <v>318</v>
      </c>
      <c r="D8224" s="3">
        <v>326.0</v>
      </c>
      <c r="E8224" s="3">
        <v>18.83</v>
      </c>
      <c r="F8224" s="3">
        <v>10.47</v>
      </c>
      <c r="G8224" s="3">
        <v>28.81</v>
      </c>
    </row>
    <row r="8225">
      <c r="A8225" s="3">
        <v>781772.0</v>
      </c>
      <c r="B8225" s="3" t="s">
        <v>8253</v>
      </c>
      <c r="C8225" s="3" t="s">
        <v>318</v>
      </c>
      <c r="D8225" s="3">
        <v>325.0</v>
      </c>
      <c r="E8225" s="3">
        <v>19.16</v>
      </c>
      <c r="F8225" s="3">
        <v>11.82</v>
      </c>
      <c r="G8225" s="3">
        <v>26.67</v>
      </c>
    </row>
    <row r="8226">
      <c r="A8226" s="3">
        <v>781773.0</v>
      </c>
      <c r="B8226" s="3" t="s">
        <v>8254</v>
      </c>
      <c r="C8226" s="3" t="s">
        <v>318</v>
      </c>
      <c r="D8226" s="3">
        <v>325.0</v>
      </c>
      <c r="E8226" s="3">
        <v>19.16</v>
      </c>
      <c r="F8226" s="3">
        <v>11.82</v>
      </c>
      <c r="G8226" s="3">
        <v>26.67</v>
      </c>
    </row>
    <row r="8227">
      <c r="A8227" s="3">
        <v>781774.0</v>
      </c>
      <c r="B8227" s="3" t="s">
        <v>8255</v>
      </c>
      <c r="C8227" s="3" t="s">
        <v>318</v>
      </c>
      <c r="D8227" s="3">
        <v>362.0</v>
      </c>
      <c r="E8227" s="3">
        <v>22.54</v>
      </c>
      <c r="F8227" s="3">
        <v>12.93</v>
      </c>
      <c r="G8227" s="3">
        <v>26.73</v>
      </c>
    </row>
    <row r="8228">
      <c r="A8228" s="3">
        <v>781775.0</v>
      </c>
      <c r="B8228" s="3" t="s">
        <v>8256</v>
      </c>
      <c r="C8228" s="3" t="s">
        <v>318</v>
      </c>
      <c r="D8228" s="3">
        <v>360.0</v>
      </c>
      <c r="E8228" s="3">
        <v>22.87</v>
      </c>
      <c r="F8228" s="3">
        <v>14.27</v>
      </c>
      <c r="G8228" s="3">
        <v>24.59</v>
      </c>
    </row>
    <row r="8229">
      <c r="A8229" s="3">
        <v>781776.0</v>
      </c>
      <c r="B8229" s="3" t="s">
        <v>8257</v>
      </c>
      <c r="C8229" s="3" t="s">
        <v>318</v>
      </c>
      <c r="D8229" s="3">
        <v>360.0</v>
      </c>
      <c r="E8229" s="3">
        <v>22.87</v>
      </c>
      <c r="F8229" s="3">
        <v>14.27</v>
      </c>
      <c r="G8229" s="3">
        <v>24.59</v>
      </c>
    </row>
    <row r="8230">
      <c r="A8230" s="3">
        <v>781777.0</v>
      </c>
      <c r="B8230" s="3" t="s">
        <v>8258</v>
      </c>
      <c r="C8230" s="3" t="s">
        <v>318</v>
      </c>
      <c r="D8230" s="3">
        <v>302.0</v>
      </c>
      <c r="E8230" s="3">
        <v>15.59</v>
      </c>
      <c r="F8230" s="3">
        <v>11.02</v>
      </c>
      <c r="G8230" s="3">
        <v>29.45</v>
      </c>
    </row>
    <row r="8231">
      <c r="A8231" s="3">
        <v>781778.0</v>
      </c>
      <c r="B8231" s="3" t="s">
        <v>8259</v>
      </c>
      <c r="C8231" s="3" t="s">
        <v>318</v>
      </c>
      <c r="D8231" s="3">
        <v>301.0</v>
      </c>
      <c r="E8231" s="3">
        <v>15.91</v>
      </c>
      <c r="F8231" s="3">
        <v>12.37</v>
      </c>
      <c r="G8231" s="3">
        <v>27.31</v>
      </c>
    </row>
    <row r="8232">
      <c r="A8232" s="3">
        <v>781779.0</v>
      </c>
      <c r="B8232" s="3" t="s">
        <v>8260</v>
      </c>
      <c r="C8232" s="3" t="s">
        <v>318</v>
      </c>
      <c r="D8232" s="3">
        <v>301.0</v>
      </c>
      <c r="E8232" s="3">
        <v>15.91</v>
      </c>
      <c r="F8232" s="3">
        <v>12.37</v>
      </c>
      <c r="G8232" s="3">
        <v>27.31</v>
      </c>
    </row>
    <row r="8233">
      <c r="A8233" s="3">
        <v>781780.0</v>
      </c>
      <c r="B8233" s="3" t="s">
        <v>8261</v>
      </c>
      <c r="C8233" s="3" t="s">
        <v>318</v>
      </c>
      <c r="D8233" s="3">
        <v>327.0</v>
      </c>
      <c r="E8233" s="3">
        <v>17.87</v>
      </c>
      <c r="F8233" s="3">
        <v>14.55</v>
      </c>
      <c r="G8233" s="3">
        <v>27.08</v>
      </c>
    </row>
    <row r="8234">
      <c r="A8234" s="3">
        <v>781781.0</v>
      </c>
      <c r="B8234" s="3" t="s">
        <v>8262</v>
      </c>
      <c r="C8234" s="3" t="s">
        <v>318</v>
      </c>
      <c r="D8234" s="3">
        <v>325.0</v>
      </c>
      <c r="E8234" s="3">
        <v>18.2</v>
      </c>
      <c r="F8234" s="3">
        <v>15.9</v>
      </c>
      <c r="G8234" s="3">
        <v>24.94</v>
      </c>
    </row>
    <row r="8235">
      <c r="A8235" s="3">
        <v>781782.0</v>
      </c>
      <c r="B8235" s="3" t="s">
        <v>8263</v>
      </c>
      <c r="C8235" s="3" t="s">
        <v>318</v>
      </c>
      <c r="D8235" s="3">
        <v>325.0</v>
      </c>
      <c r="E8235" s="3">
        <v>18.2</v>
      </c>
      <c r="F8235" s="3">
        <v>15.9</v>
      </c>
      <c r="G8235" s="3">
        <v>24.94</v>
      </c>
    </row>
    <row r="8236">
      <c r="A8236" s="3">
        <v>781783.0</v>
      </c>
      <c r="B8236" s="3" t="s">
        <v>8264</v>
      </c>
      <c r="C8236" s="3" t="s">
        <v>318</v>
      </c>
      <c r="D8236" s="3">
        <v>326.0</v>
      </c>
      <c r="E8236" s="3">
        <v>18.83</v>
      </c>
      <c r="F8236" s="3">
        <v>10.47</v>
      </c>
      <c r="G8236" s="3">
        <v>28.81</v>
      </c>
    </row>
    <row r="8237">
      <c r="A8237" s="3">
        <v>781784.0</v>
      </c>
      <c r="B8237" s="3" t="s">
        <v>8265</v>
      </c>
      <c r="C8237" s="3" t="s">
        <v>318</v>
      </c>
      <c r="D8237" s="3">
        <v>326.0</v>
      </c>
      <c r="E8237" s="3">
        <v>18.83</v>
      </c>
      <c r="F8237" s="3">
        <v>10.47</v>
      </c>
      <c r="G8237" s="3">
        <v>28.81</v>
      </c>
    </row>
    <row r="8238">
      <c r="A8238" s="3">
        <v>781785.0</v>
      </c>
      <c r="B8238" s="3" t="s">
        <v>8266</v>
      </c>
      <c r="C8238" s="3" t="s">
        <v>318</v>
      </c>
      <c r="D8238" s="3">
        <v>325.0</v>
      </c>
      <c r="E8238" s="3">
        <v>19.16</v>
      </c>
      <c r="F8238" s="3">
        <v>11.82</v>
      </c>
      <c r="G8238" s="3">
        <v>26.67</v>
      </c>
    </row>
    <row r="8239">
      <c r="A8239" s="3">
        <v>781786.0</v>
      </c>
      <c r="B8239" s="3" t="s">
        <v>8267</v>
      </c>
      <c r="C8239" s="3" t="s">
        <v>318</v>
      </c>
      <c r="D8239" s="3">
        <v>325.0</v>
      </c>
      <c r="E8239" s="3">
        <v>19.16</v>
      </c>
      <c r="F8239" s="3">
        <v>11.82</v>
      </c>
      <c r="G8239" s="3">
        <v>26.67</v>
      </c>
    </row>
    <row r="8240">
      <c r="A8240" s="3">
        <v>781787.0</v>
      </c>
      <c r="B8240" s="3" t="s">
        <v>8268</v>
      </c>
      <c r="C8240" s="3" t="s">
        <v>318</v>
      </c>
      <c r="D8240" s="3">
        <v>362.0</v>
      </c>
      <c r="E8240" s="3">
        <v>22.54</v>
      </c>
      <c r="F8240" s="3">
        <v>12.93</v>
      </c>
      <c r="G8240" s="3">
        <v>26.73</v>
      </c>
    </row>
    <row r="8241">
      <c r="A8241" s="3">
        <v>781788.0</v>
      </c>
      <c r="B8241" s="3" t="s">
        <v>8269</v>
      </c>
      <c r="C8241" s="3" t="s">
        <v>318</v>
      </c>
      <c r="D8241" s="3">
        <v>360.0</v>
      </c>
      <c r="E8241" s="3">
        <v>22.87</v>
      </c>
      <c r="F8241" s="3">
        <v>14.27</v>
      </c>
      <c r="G8241" s="3">
        <v>24.59</v>
      </c>
    </row>
    <row r="8242">
      <c r="A8242" s="3">
        <v>781789.0</v>
      </c>
      <c r="B8242" s="3" t="s">
        <v>8270</v>
      </c>
      <c r="C8242" s="3" t="s">
        <v>318</v>
      </c>
      <c r="D8242" s="3">
        <v>360.0</v>
      </c>
      <c r="E8242" s="3">
        <v>22.87</v>
      </c>
      <c r="F8242" s="3">
        <v>14.27</v>
      </c>
      <c r="G8242" s="3">
        <v>24.59</v>
      </c>
    </row>
    <row r="8243">
      <c r="A8243" s="3">
        <v>781790.0</v>
      </c>
      <c r="B8243" s="3" t="s">
        <v>8271</v>
      </c>
      <c r="C8243" s="3" t="s">
        <v>318</v>
      </c>
      <c r="D8243" s="3">
        <v>302.0</v>
      </c>
      <c r="E8243" s="3">
        <v>15.59</v>
      </c>
      <c r="F8243" s="3">
        <v>11.02</v>
      </c>
      <c r="G8243" s="3">
        <v>29.45</v>
      </c>
    </row>
    <row r="8244">
      <c r="A8244" s="3">
        <v>781791.0</v>
      </c>
      <c r="B8244" s="3" t="s">
        <v>8272</v>
      </c>
      <c r="C8244" s="3" t="s">
        <v>318</v>
      </c>
      <c r="D8244" s="3">
        <v>301.0</v>
      </c>
      <c r="E8244" s="3">
        <v>15.91</v>
      </c>
      <c r="F8244" s="3">
        <v>12.37</v>
      </c>
      <c r="G8244" s="3">
        <v>27.31</v>
      </c>
    </row>
    <row r="8245">
      <c r="A8245" s="3">
        <v>781792.0</v>
      </c>
      <c r="B8245" s="3" t="s">
        <v>8273</v>
      </c>
      <c r="C8245" s="3" t="s">
        <v>318</v>
      </c>
      <c r="D8245" s="3">
        <v>301.0</v>
      </c>
      <c r="E8245" s="3">
        <v>15.91</v>
      </c>
      <c r="F8245" s="3">
        <v>12.37</v>
      </c>
      <c r="G8245" s="3">
        <v>27.31</v>
      </c>
    </row>
    <row r="8246">
      <c r="A8246" s="3">
        <v>781793.0</v>
      </c>
      <c r="B8246" s="3" t="s">
        <v>8274</v>
      </c>
      <c r="C8246" s="3" t="s">
        <v>318</v>
      </c>
      <c r="D8246" s="3">
        <v>327.0</v>
      </c>
      <c r="E8246" s="3">
        <v>17.87</v>
      </c>
      <c r="F8246" s="3">
        <v>14.55</v>
      </c>
      <c r="G8246" s="3">
        <v>27.08</v>
      </c>
    </row>
    <row r="8247">
      <c r="A8247" s="3">
        <v>781794.0</v>
      </c>
      <c r="B8247" s="3" t="s">
        <v>8275</v>
      </c>
      <c r="C8247" s="3" t="s">
        <v>318</v>
      </c>
      <c r="D8247" s="3">
        <v>325.0</v>
      </c>
      <c r="E8247" s="3">
        <v>18.2</v>
      </c>
      <c r="F8247" s="3">
        <v>15.9</v>
      </c>
      <c r="G8247" s="3">
        <v>24.94</v>
      </c>
    </row>
    <row r="8248">
      <c r="A8248" s="3">
        <v>781795.0</v>
      </c>
      <c r="B8248" s="3" t="s">
        <v>8276</v>
      </c>
      <c r="C8248" s="3" t="s">
        <v>318</v>
      </c>
      <c r="D8248" s="3">
        <v>325.0</v>
      </c>
      <c r="E8248" s="3">
        <v>18.2</v>
      </c>
      <c r="F8248" s="3">
        <v>15.9</v>
      </c>
      <c r="G8248" s="3">
        <v>24.94</v>
      </c>
    </row>
    <row r="8249">
      <c r="A8249" s="3">
        <v>781796.0</v>
      </c>
      <c r="B8249" s="3" t="s">
        <v>8277</v>
      </c>
      <c r="C8249" s="3" t="s">
        <v>225</v>
      </c>
      <c r="D8249" s="3">
        <v>160.0</v>
      </c>
      <c r="E8249" s="3">
        <v>13.02</v>
      </c>
      <c r="F8249" s="3">
        <v>3.24</v>
      </c>
      <c r="G8249" s="3">
        <v>7.66</v>
      </c>
    </row>
    <row r="8250">
      <c r="A8250" s="3">
        <v>781797.0</v>
      </c>
      <c r="B8250" s="3" t="s">
        <v>8278</v>
      </c>
      <c r="C8250" s="3" t="s">
        <v>225</v>
      </c>
      <c r="D8250" s="3">
        <v>125.0</v>
      </c>
      <c r="E8250" s="3">
        <v>7.72</v>
      </c>
      <c r="F8250" s="3">
        <v>6.83</v>
      </c>
      <c r="G8250" s="3">
        <v>7.05</v>
      </c>
    </row>
    <row r="8251">
      <c r="A8251" s="3">
        <v>781798.0</v>
      </c>
      <c r="B8251" s="3" t="s">
        <v>8279</v>
      </c>
      <c r="C8251" s="3" t="s">
        <v>225</v>
      </c>
      <c r="D8251" s="3">
        <v>147.0</v>
      </c>
      <c r="E8251" s="3">
        <v>15.01</v>
      </c>
      <c r="F8251" s="3">
        <v>2.68</v>
      </c>
      <c r="G8251" s="3">
        <v>0.99</v>
      </c>
    </row>
    <row r="8252">
      <c r="A8252" s="3">
        <v>781799.0</v>
      </c>
      <c r="B8252" s="3" t="s">
        <v>8280</v>
      </c>
      <c r="C8252" s="3" t="s">
        <v>225</v>
      </c>
      <c r="D8252" s="3">
        <v>118.0</v>
      </c>
      <c r="E8252" s="3">
        <v>11.56</v>
      </c>
      <c r="F8252" s="3">
        <v>2.37</v>
      </c>
      <c r="G8252" s="3">
        <v>1.93</v>
      </c>
    </row>
    <row r="8253">
      <c r="A8253" s="3">
        <v>781800.0</v>
      </c>
      <c r="B8253" s="3" t="s">
        <v>8281</v>
      </c>
      <c r="C8253" s="3" t="s">
        <v>225</v>
      </c>
      <c r="D8253" s="3">
        <v>168.0</v>
      </c>
      <c r="E8253" s="3">
        <v>15.35</v>
      </c>
      <c r="F8253" s="3">
        <v>6.96</v>
      </c>
      <c r="G8253" s="3">
        <v>0.8</v>
      </c>
    </row>
    <row r="8254">
      <c r="A8254" s="3">
        <v>781801.0</v>
      </c>
      <c r="B8254" s="3" t="s">
        <v>8282</v>
      </c>
      <c r="C8254" s="3" t="s">
        <v>225</v>
      </c>
      <c r="D8254" s="3">
        <v>145.0</v>
      </c>
      <c r="E8254" s="3">
        <v>12.54</v>
      </c>
      <c r="F8254" s="3">
        <v>6.72</v>
      </c>
      <c r="G8254" s="3">
        <v>1.57</v>
      </c>
    </row>
    <row r="8255">
      <c r="A8255" s="3">
        <v>781802.0</v>
      </c>
      <c r="B8255" s="3" t="s">
        <v>8283</v>
      </c>
      <c r="C8255" s="3" t="s">
        <v>225</v>
      </c>
      <c r="D8255" s="3">
        <v>152.0</v>
      </c>
      <c r="E8255" s="3">
        <v>13.5</v>
      </c>
      <c r="F8255" s="3">
        <v>7.35</v>
      </c>
      <c r="G8255" s="3">
        <v>0.8</v>
      </c>
    </row>
    <row r="8256">
      <c r="A8256" s="3">
        <v>781803.0</v>
      </c>
      <c r="B8256" s="3" t="s">
        <v>8284</v>
      </c>
      <c r="C8256" s="3" t="s">
        <v>225</v>
      </c>
      <c r="D8256" s="3">
        <v>128.0</v>
      </c>
      <c r="E8256" s="3">
        <v>10.69</v>
      </c>
      <c r="F8256" s="3">
        <v>7.1</v>
      </c>
      <c r="G8256" s="3">
        <v>1.57</v>
      </c>
    </row>
    <row r="8257">
      <c r="A8257" s="3">
        <v>781804.0</v>
      </c>
      <c r="B8257" s="3" t="s">
        <v>8285</v>
      </c>
      <c r="C8257" s="3" t="s">
        <v>225</v>
      </c>
      <c r="D8257" s="3">
        <v>142.0</v>
      </c>
      <c r="E8257" s="3">
        <v>12.47</v>
      </c>
      <c r="F8257" s="3">
        <v>6.36</v>
      </c>
      <c r="G8257" s="3">
        <v>1.36</v>
      </c>
    </row>
    <row r="8258">
      <c r="A8258" s="3">
        <v>781805.0</v>
      </c>
      <c r="B8258" s="3" t="s">
        <v>8286</v>
      </c>
      <c r="C8258" s="3" t="s">
        <v>225</v>
      </c>
      <c r="D8258" s="3">
        <v>119.0</v>
      </c>
      <c r="E8258" s="3">
        <v>9.67</v>
      </c>
      <c r="F8258" s="3">
        <v>6.12</v>
      </c>
      <c r="G8258" s="3">
        <v>2.12</v>
      </c>
    </row>
    <row r="8259">
      <c r="A8259" s="3">
        <v>781807.0</v>
      </c>
      <c r="B8259" s="3" t="s">
        <v>8287</v>
      </c>
      <c r="C8259" s="3" t="s">
        <v>101</v>
      </c>
      <c r="D8259" s="3">
        <v>139.0</v>
      </c>
      <c r="E8259" s="3">
        <v>10.7</v>
      </c>
      <c r="F8259" s="3">
        <v>7.18</v>
      </c>
      <c r="G8259" s="3">
        <v>4.18</v>
      </c>
    </row>
    <row r="8260">
      <c r="A8260" s="3">
        <v>781808.0</v>
      </c>
      <c r="B8260" s="3" t="s">
        <v>8288</v>
      </c>
      <c r="C8260" s="3" t="s">
        <v>225</v>
      </c>
      <c r="D8260" s="3">
        <v>67.0</v>
      </c>
      <c r="E8260" s="3">
        <v>2.99</v>
      </c>
      <c r="F8260" s="3">
        <v>2.02</v>
      </c>
      <c r="G8260" s="3">
        <v>8.11</v>
      </c>
    </row>
    <row r="8261">
      <c r="A8261" s="3">
        <v>781809.0</v>
      </c>
      <c r="B8261" s="3" t="s">
        <v>8289</v>
      </c>
      <c r="C8261" s="3" t="s">
        <v>225</v>
      </c>
      <c r="D8261" s="3">
        <v>192.0</v>
      </c>
      <c r="E8261" s="3">
        <v>15.33</v>
      </c>
      <c r="F8261" s="3">
        <v>6.1</v>
      </c>
      <c r="G8261" s="3">
        <v>6.64</v>
      </c>
    </row>
    <row r="8262">
      <c r="A8262" s="3">
        <v>781810.0</v>
      </c>
      <c r="B8262" s="3" t="s">
        <v>8290</v>
      </c>
      <c r="C8262" s="3" t="s">
        <v>189</v>
      </c>
      <c r="D8262" s="3">
        <v>201.0</v>
      </c>
      <c r="E8262" s="3">
        <v>8.3</v>
      </c>
      <c r="F8262" s="3">
        <v>29.65</v>
      </c>
      <c r="G8262" s="3">
        <v>0.0</v>
      </c>
    </row>
    <row r="8263">
      <c r="A8263" s="3">
        <v>781811.0</v>
      </c>
      <c r="B8263" s="3" t="s">
        <v>8291</v>
      </c>
      <c r="C8263" s="3" t="s">
        <v>196</v>
      </c>
      <c r="D8263" s="3">
        <v>106.0</v>
      </c>
      <c r="E8263" s="3">
        <v>5.21</v>
      </c>
      <c r="F8263" s="3">
        <v>12.86</v>
      </c>
      <c r="G8263" s="3">
        <v>1.26</v>
      </c>
    </row>
    <row r="8264">
      <c r="A8264" s="3">
        <v>781813.0</v>
      </c>
      <c r="B8264" s="3" t="s">
        <v>8292</v>
      </c>
      <c r="C8264" s="3" t="s">
        <v>189</v>
      </c>
      <c r="D8264" s="3">
        <v>260.0</v>
      </c>
      <c r="E8264" s="3">
        <v>16.82</v>
      </c>
      <c r="F8264" s="3">
        <v>25.54</v>
      </c>
      <c r="G8264" s="3">
        <v>0.0</v>
      </c>
    </row>
    <row r="8265">
      <c r="A8265" s="3">
        <v>781814.0</v>
      </c>
      <c r="B8265" s="3" t="s">
        <v>8293</v>
      </c>
      <c r="C8265" s="3" t="s">
        <v>189</v>
      </c>
      <c r="D8265" s="3">
        <v>184.0</v>
      </c>
      <c r="E8265" s="3">
        <v>6.75</v>
      </c>
      <c r="F8265" s="3">
        <v>29.23</v>
      </c>
      <c r="G8265" s="3">
        <v>0.0</v>
      </c>
    </row>
    <row r="8266">
      <c r="A8266" s="3">
        <v>781815.0</v>
      </c>
      <c r="B8266" s="3" t="s">
        <v>8294</v>
      </c>
      <c r="C8266" s="3" t="s">
        <v>189</v>
      </c>
      <c r="D8266" s="3">
        <v>235.0</v>
      </c>
      <c r="E8266" s="3">
        <v>13.44</v>
      </c>
      <c r="F8266" s="3">
        <v>27.06</v>
      </c>
      <c r="G8266" s="3">
        <v>0.0</v>
      </c>
    </row>
    <row r="8267">
      <c r="A8267" s="3">
        <v>781816.0</v>
      </c>
      <c r="B8267" s="3" t="s">
        <v>8295</v>
      </c>
      <c r="C8267" s="3" t="s">
        <v>189</v>
      </c>
      <c r="D8267" s="3">
        <v>184.0</v>
      </c>
      <c r="E8267" s="3">
        <v>6.75</v>
      </c>
      <c r="F8267" s="3">
        <v>29.23</v>
      </c>
      <c r="G8267" s="3">
        <v>0.0</v>
      </c>
    </row>
    <row r="8268">
      <c r="A8268" s="3">
        <v>781817.0</v>
      </c>
      <c r="B8268" s="3" t="s">
        <v>8296</v>
      </c>
      <c r="C8268" s="3" t="s">
        <v>189</v>
      </c>
      <c r="D8268" s="3">
        <v>184.0</v>
      </c>
      <c r="E8268" s="3">
        <v>6.75</v>
      </c>
      <c r="F8268" s="3">
        <v>29.23</v>
      </c>
      <c r="G8268" s="3">
        <v>0.0</v>
      </c>
    </row>
    <row r="8269">
      <c r="A8269" s="3">
        <v>781818.0</v>
      </c>
      <c r="B8269" s="3" t="s">
        <v>8297</v>
      </c>
      <c r="C8269" s="3" t="s">
        <v>189</v>
      </c>
      <c r="D8269" s="3">
        <v>235.0</v>
      </c>
      <c r="E8269" s="3">
        <v>13.44</v>
      </c>
      <c r="F8269" s="3">
        <v>27.06</v>
      </c>
      <c r="G8269" s="3">
        <v>0.0</v>
      </c>
    </row>
    <row r="8270">
      <c r="A8270" s="3">
        <v>781819.0</v>
      </c>
      <c r="B8270" s="3" t="s">
        <v>8298</v>
      </c>
      <c r="C8270" s="3" t="s">
        <v>189</v>
      </c>
      <c r="D8270" s="3">
        <v>184.0</v>
      </c>
      <c r="E8270" s="3">
        <v>6.75</v>
      </c>
      <c r="F8270" s="3">
        <v>29.23</v>
      </c>
      <c r="G8270" s="3">
        <v>0.0</v>
      </c>
    </row>
    <row r="8271">
      <c r="A8271" s="3">
        <v>781821.0</v>
      </c>
      <c r="B8271" s="3" t="s">
        <v>8299</v>
      </c>
      <c r="C8271" s="3" t="s">
        <v>189</v>
      </c>
      <c r="D8271" s="3">
        <v>184.0</v>
      </c>
      <c r="E8271" s="3">
        <v>6.75</v>
      </c>
      <c r="F8271" s="3">
        <v>29.23</v>
      </c>
      <c r="G8271" s="3">
        <v>0.0</v>
      </c>
    </row>
    <row r="8272">
      <c r="A8272" s="3">
        <v>781822.0</v>
      </c>
      <c r="B8272" s="3" t="s">
        <v>8300</v>
      </c>
      <c r="C8272" s="3" t="s">
        <v>189</v>
      </c>
      <c r="D8272" s="3">
        <v>184.0</v>
      </c>
      <c r="E8272" s="3">
        <v>6.75</v>
      </c>
      <c r="F8272" s="3">
        <v>29.23</v>
      </c>
      <c r="G8272" s="3">
        <v>0.0</v>
      </c>
    </row>
    <row r="8273">
      <c r="A8273" s="3">
        <v>781823.0</v>
      </c>
      <c r="B8273" s="3" t="s">
        <v>8301</v>
      </c>
      <c r="C8273" s="3" t="s">
        <v>189</v>
      </c>
      <c r="D8273" s="3">
        <v>235.0</v>
      </c>
      <c r="E8273" s="3">
        <v>13.44</v>
      </c>
      <c r="F8273" s="3">
        <v>27.06</v>
      </c>
      <c r="G8273" s="3">
        <v>0.0</v>
      </c>
    </row>
    <row r="8274">
      <c r="A8274" s="3">
        <v>781824.0</v>
      </c>
      <c r="B8274" s="3" t="s">
        <v>8302</v>
      </c>
      <c r="C8274" s="3" t="s">
        <v>189</v>
      </c>
      <c r="D8274" s="3">
        <v>184.0</v>
      </c>
      <c r="E8274" s="3">
        <v>6.75</v>
      </c>
      <c r="F8274" s="3">
        <v>29.23</v>
      </c>
      <c r="G8274" s="3">
        <v>0.0</v>
      </c>
    </row>
    <row r="8275">
      <c r="A8275" s="3">
        <v>781825.0</v>
      </c>
      <c r="B8275" s="3" t="s">
        <v>8303</v>
      </c>
      <c r="C8275" s="3" t="s">
        <v>189</v>
      </c>
      <c r="D8275" s="3">
        <v>184.0</v>
      </c>
      <c r="E8275" s="3">
        <v>6.75</v>
      </c>
      <c r="F8275" s="3">
        <v>29.23</v>
      </c>
      <c r="G8275" s="3">
        <v>0.0</v>
      </c>
    </row>
    <row r="8276">
      <c r="A8276" s="3">
        <v>781826.0</v>
      </c>
      <c r="B8276" s="3" t="s">
        <v>8304</v>
      </c>
      <c r="C8276" s="3" t="s">
        <v>189</v>
      </c>
      <c r="D8276" s="3">
        <v>235.0</v>
      </c>
      <c r="E8276" s="3">
        <v>13.44</v>
      </c>
      <c r="F8276" s="3">
        <v>27.06</v>
      </c>
      <c r="G8276" s="3">
        <v>0.0</v>
      </c>
    </row>
    <row r="8277">
      <c r="A8277" s="3">
        <v>781827.0</v>
      </c>
      <c r="B8277" s="3" t="s">
        <v>8305</v>
      </c>
      <c r="C8277" s="3" t="s">
        <v>189</v>
      </c>
      <c r="D8277" s="3">
        <v>184.0</v>
      </c>
      <c r="E8277" s="3">
        <v>6.75</v>
      </c>
      <c r="F8277" s="3">
        <v>29.23</v>
      </c>
      <c r="G8277" s="3">
        <v>0.0</v>
      </c>
    </row>
    <row r="8278">
      <c r="A8278" s="3">
        <v>781828.0</v>
      </c>
      <c r="B8278" s="3" t="s">
        <v>8306</v>
      </c>
      <c r="C8278" s="3" t="s">
        <v>189</v>
      </c>
      <c r="D8278" s="3">
        <v>184.0</v>
      </c>
      <c r="E8278" s="3">
        <v>6.75</v>
      </c>
      <c r="F8278" s="3">
        <v>29.23</v>
      </c>
      <c r="G8278" s="3">
        <v>0.0</v>
      </c>
    </row>
    <row r="8279">
      <c r="A8279" s="3">
        <v>781829.0</v>
      </c>
      <c r="B8279" s="3" t="s">
        <v>8307</v>
      </c>
      <c r="C8279" s="3" t="s">
        <v>189</v>
      </c>
      <c r="D8279" s="3">
        <v>235.0</v>
      </c>
      <c r="E8279" s="3">
        <v>13.44</v>
      </c>
      <c r="F8279" s="3">
        <v>27.06</v>
      </c>
      <c r="G8279" s="3">
        <v>0.0</v>
      </c>
    </row>
    <row r="8280">
      <c r="A8280" s="3">
        <v>781830.0</v>
      </c>
      <c r="B8280" s="3" t="s">
        <v>8308</v>
      </c>
      <c r="C8280" s="3" t="s">
        <v>189</v>
      </c>
      <c r="D8280" s="3">
        <v>184.0</v>
      </c>
      <c r="E8280" s="3">
        <v>6.75</v>
      </c>
      <c r="F8280" s="3">
        <v>29.23</v>
      </c>
      <c r="G8280" s="3">
        <v>0.0</v>
      </c>
    </row>
    <row r="8281">
      <c r="A8281" s="3">
        <v>781831.0</v>
      </c>
      <c r="B8281" s="3" t="s">
        <v>8309</v>
      </c>
      <c r="C8281" s="3" t="s">
        <v>189</v>
      </c>
      <c r="D8281" s="3">
        <v>247.0</v>
      </c>
      <c r="E8281" s="3">
        <v>10.91</v>
      </c>
      <c r="F8281" s="3">
        <v>25.04</v>
      </c>
      <c r="G8281" s="3">
        <v>12.18</v>
      </c>
    </row>
    <row r="8282">
      <c r="A8282" s="3">
        <v>781832.0</v>
      </c>
      <c r="B8282" s="3" t="s">
        <v>8310</v>
      </c>
      <c r="C8282" s="3" t="s">
        <v>189</v>
      </c>
      <c r="D8282" s="3">
        <v>267.0</v>
      </c>
      <c r="E8282" s="3">
        <v>13.37</v>
      </c>
      <c r="F8282" s="3">
        <v>24.42</v>
      </c>
      <c r="G8282" s="3">
        <v>12.18</v>
      </c>
    </row>
    <row r="8283">
      <c r="A8283" s="3">
        <v>781833.0</v>
      </c>
      <c r="B8283" s="3" t="s">
        <v>8311</v>
      </c>
      <c r="C8283" s="3" t="s">
        <v>189</v>
      </c>
      <c r="D8283" s="3">
        <v>247.0</v>
      </c>
      <c r="E8283" s="3">
        <v>10.91</v>
      </c>
      <c r="F8283" s="3">
        <v>25.04</v>
      </c>
      <c r="G8283" s="3">
        <v>12.18</v>
      </c>
    </row>
    <row r="8284">
      <c r="A8284" s="3">
        <v>781834.0</v>
      </c>
      <c r="B8284" s="3" t="s">
        <v>8312</v>
      </c>
      <c r="C8284" s="3" t="s">
        <v>189</v>
      </c>
      <c r="D8284" s="3">
        <v>231.0</v>
      </c>
      <c r="E8284" s="3">
        <v>11.79</v>
      </c>
      <c r="F8284" s="3">
        <v>21.2</v>
      </c>
      <c r="G8284" s="3">
        <v>9.96</v>
      </c>
    </row>
    <row r="8285">
      <c r="A8285" s="3">
        <v>781835.0</v>
      </c>
      <c r="B8285" s="3" t="s">
        <v>8313</v>
      </c>
      <c r="C8285" s="3" t="s">
        <v>189</v>
      </c>
      <c r="D8285" s="3">
        <v>252.0</v>
      </c>
      <c r="E8285" s="3">
        <v>14.2</v>
      </c>
      <c r="F8285" s="3">
        <v>19.86</v>
      </c>
      <c r="G8285" s="3">
        <v>11.02</v>
      </c>
    </row>
    <row r="8286">
      <c r="A8286" s="3">
        <v>781836.0</v>
      </c>
      <c r="B8286" s="3" t="s">
        <v>8314</v>
      </c>
      <c r="C8286" s="3" t="s">
        <v>189</v>
      </c>
      <c r="D8286" s="3">
        <v>236.0</v>
      </c>
      <c r="E8286" s="3">
        <v>12.28</v>
      </c>
      <c r="F8286" s="3">
        <v>20.34</v>
      </c>
      <c r="G8286" s="3">
        <v>11.02</v>
      </c>
    </row>
    <row r="8287">
      <c r="A8287" s="3">
        <v>781837.0</v>
      </c>
      <c r="B8287" s="3" t="s">
        <v>8315</v>
      </c>
      <c r="C8287" s="3" t="s">
        <v>189</v>
      </c>
      <c r="D8287" s="3">
        <v>251.0</v>
      </c>
      <c r="E8287" s="3">
        <v>13.19</v>
      </c>
      <c r="F8287" s="3">
        <v>30.8</v>
      </c>
      <c r="G8287" s="3">
        <v>0.0</v>
      </c>
    </row>
    <row r="8288">
      <c r="A8288" s="3">
        <v>781838.0</v>
      </c>
      <c r="B8288" s="3" t="s">
        <v>8316</v>
      </c>
      <c r="C8288" s="3" t="s">
        <v>189</v>
      </c>
      <c r="D8288" s="3">
        <v>251.0</v>
      </c>
      <c r="E8288" s="3">
        <v>13.19</v>
      </c>
      <c r="F8288" s="3">
        <v>30.8</v>
      </c>
      <c r="G8288" s="3">
        <v>0.0</v>
      </c>
    </row>
    <row r="8289">
      <c r="A8289" s="3">
        <v>781839.0</v>
      </c>
      <c r="B8289" s="3" t="s">
        <v>8317</v>
      </c>
      <c r="C8289" s="3" t="s">
        <v>189</v>
      </c>
      <c r="D8289" s="3">
        <v>164.0</v>
      </c>
      <c r="E8289" s="3">
        <v>5.34</v>
      </c>
      <c r="F8289" s="3">
        <v>28.94</v>
      </c>
      <c r="G8289" s="3">
        <v>0.0</v>
      </c>
    </row>
    <row r="8290">
      <c r="A8290" s="3">
        <v>781840.0</v>
      </c>
      <c r="B8290" s="3" t="s">
        <v>8318</v>
      </c>
      <c r="C8290" s="3" t="s">
        <v>189</v>
      </c>
      <c r="D8290" s="3">
        <v>251.0</v>
      </c>
      <c r="E8290" s="3">
        <v>13.19</v>
      </c>
      <c r="F8290" s="3">
        <v>30.8</v>
      </c>
      <c r="G8290" s="3">
        <v>0.0</v>
      </c>
    </row>
    <row r="8291">
      <c r="A8291" s="3">
        <v>781841.0</v>
      </c>
      <c r="B8291" s="3" t="s">
        <v>8319</v>
      </c>
      <c r="C8291" s="3" t="s">
        <v>189</v>
      </c>
      <c r="D8291" s="3">
        <v>299.0</v>
      </c>
      <c r="E8291" s="3">
        <v>19.06</v>
      </c>
      <c r="F8291" s="3">
        <v>29.87</v>
      </c>
      <c r="G8291" s="3">
        <v>0.0</v>
      </c>
    </row>
    <row r="8292">
      <c r="A8292" s="3">
        <v>781842.0</v>
      </c>
      <c r="B8292" s="3" t="s">
        <v>8320</v>
      </c>
      <c r="C8292" s="3" t="s">
        <v>189</v>
      </c>
      <c r="D8292" s="3">
        <v>293.0</v>
      </c>
      <c r="E8292" s="3">
        <v>17.98</v>
      </c>
      <c r="F8292" s="3">
        <v>30.5</v>
      </c>
      <c r="G8292" s="3">
        <v>0.0</v>
      </c>
    </row>
    <row r="8293">
      <c r="A8293" s="3">
        <v>781843.0</v>
      </c>
      <c r="B8293" s="3" t="s">
        <v>8321</v>
      </c>
      <c r="C8293" s="3" t="s">
        <v>189</v>
      </c>
      <c r="D8293" s="3">
        <v>467.0</v>
      </c>
      <c r="E8293" s="3">
        <v>41.63</v>
      </c>
      <c r="F8293" s="3">
        <v>21.39</v>
      </c>
      <c r="G8293" s="3">
        <v>0.0</v>
      </c>
    </row>
    <row r="8294">
      <c r="A8294" s="3">
        <v>781844.0</v>
      </c>
      <c r="B8294" s="3" t="s">
        <v>8322</v>
      </c>
      <c r="C8294" s="3" t="s">
        <v>189</v>
      </c>
      <c r="D8294" s="3">
        <v>293.0</v>
      </c>
      <c r="E8294" s="3">
        <v>17.98</v>
      </c>
      <c r="F8294" s="3">
        <v>30.5</v>
      </c>
      <c r="G8294" s="3">
        <v>0.0</v>
      </c>
    </row>
    <row r="8295">
      <c r="A8295" s="3">
        <v>781845.0</v>
      </c>
      <c r="B8295" s="3" t="s">
        <v>8323</v>
      </c>
      <c r="C8295" s="3" t="s">
        <v>189</v>
      </c>
      <c r="D8295" s="3">
        <v>397.0</v>
      </c>
      <c r="E8295" s="3">
        <v>30.81</v>
      </c>
      <c r="F8295" s="3">
        <v>15.98</v>
      </c>
      <c r="G8295" s="3">
        <v>12.74</v>
      </c>
    </row>
    <row r="8296">
      <c r="A8296" s="3">
        <v>781846.0</v>
      </c>
      <c r="B8296" s="3" t="s">
        <v>8324</v>
      </c>
      <c r="C8296" s="3" t="s">
        <v>189</v>
      </c>
      <c r="D8296" s="3">
        <v>397.0</v>
      </c>
      <c r="E8296" s="3">
        <v>30.81</v>
      </c>
      <c r="F8296" s="3">
        <v>15.98</v>
      </c>
      <c r="G8296" s="3">
        <v>12.74</v>
      </c>
    </row>
    <row r="8297">
      <c r="A8297" s="3">
        <v>781847.0</v>
      </c>
      <c r="B8297" s="3" t="s">
        <v>8325</v>
      </c>
      <c r="C8297" s="3" t="s">
        <v>189</v>
      </c>
      <c r="D8297" s="3">
        <v>269.0</v>
      </c>
      <c r="E8297" s="3">
        <v>13.42</v>
      </c>
      <c r="F8297" s="3">
        <v>22.68</v>
      </c>
      <c r="G8297" s="3">
        <v>12.74</v>
      </c>
    </row>
    <row r="8298">
      <c r="A8298" s="3">
        <v>781848.0</v>
      </c>
      <c r="B8298" s="3" t="s">
        <v>8326</v>
      </c>
      <c r="C8298" s="3" t="s">
        <v>189</v>
      </c>
      <c r="D8298" s="3">
        <v>257.0</v>
      </c>
      <c r="E8298" s="3">
        <v>16.45</v>
      </c>
      <c r="F8298" s="3">
        <v>25.89</v>
      </c>
      <c r="G8298" s="3">
        <v>0.0</v>
      </c>
    </row>
    <row r="8299">
      <c r="A8299" s="3">
        <v>781849.0</v>
      </c>
      <c r="B8299" s="3" t="s">
        <v>8327</v>
      </c>
      <c r="C8299" s="3" t="s">
        <v>189</v>
      </c>
      <c r="D8299" s="3">
        <v>167.0</v>
      </c>
      <c r="E8299" s="3">
        <v>4.94</v>
      </c>
      <c r="F8299" s="3">
        <v>28.57</v>
      </c>
      <c r="G8299" s="3">
        <v>0.0</v>
      </c>
    </row>
    <row r="8300">
      <c r="A8300" s="3">
        <v>781850.0</v>
      </c>
      <c r="B8300" s="3" t="s">
        <v>8328</v>
      </c>
      <c r="C8300" s="3" t="s">
        <v>189</v>
      </c>
      <c r="D8300" s="3">
        <v>159.0</v>
      </c>
      <c r="E8300" s="3">
        <v>4.45</v>
      </c>
      <c r="F8300" s="3">
        <v>29.65</v>
      </c>
      <c r="G8300" s="3">
        <v>0.0</v>
      </c>
    </row>
    <row r="8301">
      <c r="A8301" s="3">
        <v>781851.0</v>
      </c>
      <c r="B8301" s="3" t="s">
        <v>8329</v>
      </c>
      <c r="C8301" s="3" t="s">
        <v>189</v>
      </c>
      <c r="D8301" s="3">
        <v>150.0</v>
      </c>
      <c r="E8301" s="3">
        <v>3.71</v>
      </c>
      <c r="F8301" s="3">
        <v>29.13</v>
      </c>
      <c r="G8301" s="3">
        <v>0.0</v>
      </c>
    </row>
    <row r="8302">
      <c r="A8302" s="3">
        <v>781853.0</v>
      </c>
      <c r="B8302" s="3" t="s">
        <v>8330</v>
      </c>
      <c r="C8302" s="3" t="s">
        <v>189</v>
      </c>
      <c r="D8302" s="3">
        <v>251.0</v>
      </c>
      <c r="E8302" s="3">
        <v>13.19</v>
      </c>
      <c r="F8302" s="3">
        <v>30.8</v>
      </c>
      <c r="G8302" s="3">
        <v>0.0</v>
      </c>
    </row>
    <row r="8303">
      <c r="A8303" s="3">
        <v>781854.0</v>
      </c>
      <c r="B8303" s="3" t="s">
        <v>8331</v>
      </c>
      <c r="C8303" s="3" t="s">
        <v>189</v>
      </c>
      <c r="D8303" s="3">
        <v>155.0</v>
      </c>
      <c r="E8303" s="3">
        <v>4.34</v>
      </c>
      <c r="F8303" s="3">
        <v>29.09</v>
      </c>
      <c r="G8303" s="3">
        <v>0.0</v>
      </c>
    </row>
    <row r="8304">
      <c r="A8304" s="3">
        <v>781855.0</v>
      </c>
      <c r="B8304" s="3" t="s">
        <v>8332</v>
      </c>
      <c r="C8304" s="3" t="s">
        <v>189</v>
      </c>
      <c r="D8304" s="3">
        <v>251.0</v>
      </c>
      <c r="E8304" s="3">
        <v>13.19</v>
      </c>
      <c r="F8304" s="3">
        <v>30.8</v>
      </c>
      <c r="G8304" s="3">
        <v>0.0</v>
      </c>
    </row>
    <row r="8305">
      <c r="A8305" s="3">
        <v>781856.0</v>
      </c>
      <c r="B8305" s="3" t="s">
        <v>8333</v>
      </c>
      <c r="C8305" s="3" t="s">
        <v>189</v>
      </c>
      <c r="D8305" s="3">
        <v>251.0</v>
      </c>
      <c r="E8305" s="3">
        <v>13.19</v>
      </c>
      <c r="F8305" s="3">
        <v>30.8</v>
      </c>
      <c r="G8305" s="3">
        <v>0.0</v>
      </c>
    </row>
    <row r="8306">
      <c r="A8306" s="3">
        <v>781857.0</v>
      </c>
      <c r="B8306" s="3" t="s">
        <v>8334</v>
      </c>
      <c r="C8306" s="3" t="s">
        <v>189</v>
      </c>
      <c r="D8306" s="3">
        <v>236.0</v>
      </c>
      <c r="E8306" s="3">
        <v>10.05</v>
      </c>
      <c r="F8306" s="3">
        <v>34.05</v>
      </c>
      <c r="G8306" s="3">
        <v>0.0</v>
      </c>
    </row>
    <row r="8307">
      <c r="A8307" s="3">
        <v>781858.0</v>
      </c>
      <c r="B8307" s="3" t="s">
        <v>8335</v>
      </c>
      <c r="C8307" s="3" t="s">
        <v>189</v>
      </c>
      <c r="D8307" s="3">
        <v>251.0</v>
      </c>
      <c r="E8307" s="3">
        <v>13.19</v>
      </c>
      <c r="F8307" s="3">
        <v>30.8</v>
      </c>
      <c r="G8307" s="3">
        <v>0.0</v>
      </c>
    </row>
    <row r="8308">
      <c r="A8308" s="3">
        <v>781863.0</v>
      </c>
      <c r="B8308" s="3" t="s">
        <v>8336</v>
      </c>
      <c r="C8308" s="3" t="s">
        <v>189</v>
      </c>
      <c r="D8308" s="3">
        <v>216.0</v>
      </c>
      <c r="E8308" s="3">
        <v>10.0</v>
      </c>
      <c r="F8308" s="3">
        <v>29.5</v>
      </c>
      <c r="G8308" s="3">
        <v>0.0</v>
      </c>
    </row>
    <row r="8309">
      <c r="A8309" s="3">
        <v>781864.0</v>
      </c>
      <c r="B8309" s="3" t="s">
        <v>8337</v>
      </c>
      <c r="C8309" s="3" t="s">
        <v>189</v>
      </c>
      <c r="D8309" s="3">
        <v>289.0</v>
      </c>
      <c r="E8309" s="3">
        <v>19.36</v>
      </c>
      <c r="F8309" s="3">
        <v>26.57</v>
      </c>
      <c r="G8309" s="3">
        <v>0.0</v>
      </c>
    </row>
    <row r="8310">
      <c r="A8310" s="3">
        <v>781865.0</v>
      </c>
      <c r="B8310" s="3" t="s">
        <v>8338</v>
      </c>
      <c r="C8310" s="3" t="s">
        <v>189</v>
      </c>
      <c r="D8310" s="3">
        <v>216.0</v>
      </c>
      <c r="E8310" s="3">
        <v>10.0</v>
      </c>
      <c r="F8310" s="3">
        <v>29.5</v>
      </c>
      <c r="G8310" s="3">
        <v>0.0</v>
      </c>
    </row>
    <row r="8311">
      <c r="A8311" s="3">
        <v>781866.0</v>
      </c>
      <c r="B8311" s="3" t="s">
        <v>8339</v>
      </c>
      <c r="C8311" s="3" t="s">
        <v>189</v>
      </c>
      <c r="D8311" s="3">
        <v>329.0</v>
      </c>
      <c r="E8311" s="3">
        <v>27.81</v>
      </c>
      <c r="F8311" s="3">
        <v>18.41</v>
      </c>
      <c r="G8311" s="3">
        <v>0.0</v>
      </c>
    </row>
    <row r="8312">
      <c r="A8312" s="3">
        <v>781867.0</v>
      </c>
      <c r="B8312" s="3" t="s">
        <v>8340</v>
      </c>
      <c r="C8312" s="3" t="s">
        <v>189</v>
      </c>
      <c r="D8312" s="3">
        <v>247.0</v>
      </c>
      <c r="E8312" s="3">
        <v>19.07</v>
      </c>
      <c r="F8312" s="3">
        <v>17.44</v>
      </c>
      <c r="G8312" s="3">
        <v>0.0</v>
      </c>
    </row>
    <row r="8313">
      <c r="A8313" s="3">
        <v>781868.0</v>
      </c>
      <c r="B8313" s="3" t="s">
        <v>8341</v>
      </c>
      <c r="C8313" s="3" t="s">
        <v>189</v>
      </c>
      <c r="D8313" s="3">
        <v>260.0</v>
      </c>
      <c r="E8313" s="3">
        <v>16.82</v>
      </c>
      <c r="F8313" s="3">
        <v>25.54</v>
      </c>
      <c r="G8313" s="3">
        <v>0.0</v>
      </c>
    </row>
    <row r="8314">
      <c r="A8314" s="3">
        <v>781869.0</v>
      </c>
      <c r="B8314" s="3" t="s">
        <v>8342</v>
      </c>
      <c r="C8314" s="3" t="s">
        <v>189</v>
      </c>
      <c r="D8314" s="3">
        <v>272.0</v>
      </c>
      <c r="E8314" s="3">
        <v>18.18</v>
      </c>
      <c r="F8314" s="3">
        <v>25.45</v>
      </c>
      <c r="G8314" s="3">
        <v>0.0</v>
      </c>
    </row>
    <row r="8315">
      <c r="A8315" s="3">
        <v>781873.0</v>
      </c>
      <c r="B8315" s="3" t="s">
        <v>8343</v>
      </c>
      <c r="C8315" s="3" t="s">
        <v>189</v>
      </c>
      <c r="D8315" s="3">
        <v>229.0</v>
      </c>
      <c r="E8315" s="3">
        <v>11.9</v>
      </c>
      <c r="F8315" s="3">
        <v>27.94</v>
      </c>
      <c r="G8315" s="3">
        <v>2.48</v>
      </c>
    </row>
    <row r="8316">
      <c r="A8316" s="3">
        <v>781878.0</v>
      </c>
      <c r="B8316" s="3" t="s">
        <v>8344</v>
      </c>
      <c r="C8316" s="3" t="s">
        <v>189</v>
      </c>
      <c r="D8316" s="3">
        <v>211.0</v>
      </c>
      <c r="E8316" s="3">
        <v>10.5</v>
      </c>
      <c r="F8316" s="3">
        <v>27.69</v>
      </c>
      <c r="G8316" s="3">
        <v>0.0</v>
      </c>
    </row>
    <row r="8317">
      <c r="A8317" s="3">
        <v>781879.0</v>
      </c>
      <c r="B8317" s="3" t="s">
        <v>8345</v>
      </c>
      <c r="C8317" s="3" t="s">
        <v>189</v>
      </c>
      <c r="D8317" s="3">
        <v>211.0</v>
      </c>
      <c r="E8317" s="3">
        <v>10.5</v>
      </c>
      <c r="F8317" s="3">
        <v>27.69</v>
      </c>
      <c r="G8317" s="3">
        <v>0.0</v>
      </c>
    </row>
    <row r="8318">
      <c r="A8318" s="3">
        <v>781880.0</v>
      </c>
      <c r="B8318" s="3" t="s">
        <v>8346</v>
      </c>
      <c r="C8318" s="3" t="s">
        <v>189</v>
      </c>
      <c r="D8318" s="3">
        <v>164.0</v>
      </c>
      <c r="E8318" s="3">
        <v>4.55</v>
      </c>
      <c r="F8318" s="3">
        <v>29.13</v>
      </c>
      <c r="G8318" s="3">
        <v>0.09</v>
      </c>
    </row>
    <row r="8319">
      <c r="A8319" s="3">
        <v>781881.0</v>
      </c>
      <c r="B8319" s="3" t="s">
        <v>8347</v>
      </c>
      <c r="C8319" s="3" t="s">
        <v>189</v>
      </c>
      <c r="D8319" s="3">
        <v>211.0</v>
      </c>
      <c r="E8319" s="3">
        <v>10.5</v>
      </c>
      <c r="F8319" s="3">
        <v>27.69</v>
      </c>
      <c r="G8319" s="3">
        <v>0.0</v>
      </c>
    </row>
    <row r="8320">
      <c r="A8320" s="3">
        <v>781882.0</v>
      </c>
      <c r="B8320" s="3" t="s">
        <v>8348</v>
      </c>
      <c r="C8320" s="3" t="s">
        <v>189</v>
      </c>
      <c r="D8320" s="3">
        <v>211.0</v>
      </c>
      <c r="E8320" s="3">
        <v>10.5</v>
      </c>
      <c r="F8320" s="3">
        <v>27.69</v>
      </c>
      <c r="G8320" s="3">
        <v>0.0</v>
      </c>
    </row>
    <row r="8321">
      <c r="A8321" s="3">
        <v>781883.0</v>
      </c>
      <c r="B8321" s="3" t="s">
        <v>8349</v>
      </c>
      <c r="C8321" s="3" t="s">
        <v>189</v>
      </c>
      <c r="D8321" s="3">
        <v>164.0</v>
      </c>
      <c r="E8321" s="3">
        <v>4.55</v>
      </c>
      <c r="F8321" s="3">
        <v>29.13</v>
      </c>
      <c r="G8321" s="3">
        <v>0.09</v>
      </c>
    </row>
    <row r="8322">
      <c r="A8322" s="3">
        <v>781884.0</v>
      </c>
      <c r="B8322" s="3" t="s">
        <v>8350</v>
      </c>
      <c r="C8322" s="3" t="s">
        <v>189</v>
      </c>
      <c r="D8322" s="3">
        <v>270.0</v>
      </c>
      <c r="E8322" s="3">
        <v>11.07</v>
      </c>
      <c r="F8322" s="3">
        <v>25.03</v>
      </c>
      <c r="G8322" s="3">
        <v>16.28</v>
      </c>
    </row>
    <row r="8323">
      <c r="A8323" s="3">
        <v>781885.0</v>
      </c>
      <c r="B8323" s="3" t="s">
        <v>8351</v>
      </c>
      <c r="C8323" s="3" t="s">
        <v>189</v>
      </c>
      <c r="D8323" s="3">
        <v>304.0</v>
      </c>
      <c r="E8323" s="3">
        <v>15.31</v>
      </c>
      <c r="F8323" s="3">
        <v>24.0</v>
      </c>
      <c r="G8323" s="3">
        <v>16.21</v>
      </c>
    </row>
    <row r="8324">
      <c r="A8324" s="3">
        <v>781886.0</v>
      </c>
      <c r="B8324" s="3" t="s">
        <v>8352</v>
      </c>
      <c r="C8324" s="3" t="s">
        <v>189</v>
      </c>
      <c r="D8324" s="3">
        <v>270.0</v>
      </c>
      <c r="E8324" s="3">
        <v>11.07</v>
      </c>
      <c r="F8324" s="3">
        <v>25.03</v>
      </c>
      <c r="G8324" s="3">
        <v>16.28</v>
      </c>
    </row>
    <row r="8325">
      <c r="A8325" s="3">
        <v>781888.0</v>
      </c>
      <c r="B8325" s="3" t="s">
        <v>8353</v>
      </c>
      <c r="C8325" s="3" t="s">
        <v>189</v>
      </c>
      <c r="D8325" s="3">
        <v>295.0</v>
      </c>
      <c r="E8325" s="3">
        <v>20.6</v>
      </c>
      <c r="F8325" s="3">
        <v>25.48</v>
      </c>
      <c r="G8325" s="3">
        <v>0.0</v>
      </c>
    </row>
    <row r="8326">
      <c r="A8326" s="3">
        <v>781889.0</v>
      </c>
      <c r="B8326" s="3" t="s">
        <v>8354</v>
      </c>
      <c r="C8326" s="3" t="s">
        <v>189</v>
      </c>
      <c r="D8326" s="3">
        <v>333.0</v>
      </c>
      <c r="E8326" s="3">
        <v>22.72</v>
      </c>
      <c r="F8326" s="3">
        <v>20.3</v>
      </c>
      <c r="G8326" s="3">
        <v>10.54</v>
      </c>
    </row>
    <row r="8327">
      <c r="A8327" s="3">
        <v>781891.0</v>
      </c>
      <c r="B8327" s="3" t="s">
        <v>8355</v>
      </c>
      <c r="C8327" s="3" t="s">
        <v>189</v>
      </c>
      <c r="D8327" s="3">
        <v>211.0</v>
      </c>
      <c r="E8327" s="3">
        <v>10.5</v>
      </c>
      <c r="F8327" s="3">
        <v>27.69</v>
      </c>
      <c r="G8327" s="3">
        <v>0.0</v>
      </c>
    </row>
    <row r="8328">
      <c r="A8328" s="3">
        <v>781892.0</v>
      </c>
      <c r="B8328" s="3" t="s">
        <v>8356</v>
      </c>
      <c r="C8328" s="3" t="s">
        <v>189</v>
      </c>
      <c r="D8328" s="3">
        <v>211.0</v>
      </c>
      <c r="E8328" s="3">
        <v>10.5</v>
      </c>
      <c r="F8328" s="3">
        <v>27.69</v>
      </c>
      <c r="G8328" s="3">
        <v>0.0</v>
      </c>
    </row>
    <row r="8329">
      <c r="A8329" s="3">
        <v>781893.0</v>
      </c>
      <c r="B8329" s="3" t="s">
        <v>8357</v>
      </c>
      <c r="C8329" s="3" t="s">
        <v>189</v>
      </c>
      <c r="D8329" s="3">
        <v>164.0</v>
      </c>
      <c r="E8329" s="3">
        <v>4.55</v>
      </c>
      <c r="F8329" s="3">
        <v>29.13</v>
      </c>
      <c r="G8329" s="3">
        <v>0.09</v>
      </c>
    </row>
    <row r="8330">
      <c r="A8330" s="3">
        <v>781894.0</v>
      </c>
      <c r="B8330" s="3" t="s">
        <v>8358</v>
      </c>
      <c r="C8330" s="3" t="s">
        <v>189</v>
      </c>
      <c r="D8330" s="3">
        <v>211.0</v>
      </c>
      <c r="E8330" s="3">
        <v>10.5</v>
      </c>
      <c r="F8330" s="3">
        <v>27.69</v>
      </c>
      <c r="G8330" s="3">
        <v>0.0</v>
      </c>
    </row>
    <row r="8331">
      <c r="A8331" s="3">
        <v>781895.0</v>
      </c>
      <c r="B8331" s="3" t="s">
        <v>8359</v>
      </c>
      <c r="C8331" s="3" t="s">
        <v>189</v>
      </c>
      <c r="D8331" s="3">
        <v>211.0</v>
      </c>
      <c r="E8331" s="3">
        <v>10.5</v>
      </c>
      <c r="F8331" s="3">
        <v>27.69</v>
      </c>
      <c r="G8331" s="3">
        <v>0.0</v>
      </c>
    </row>
    <row r="8332">
      <c r="A8332" s="3">
        <v>781896.0</v>
      </c>
      <c r="B8332" s="3" t="s">
        <v>8360</v>
      </c>
      <c r="C8332" s="3" t="s">
        <v>189</v>
      </c>
      <c r="D8332" s="3">
        <v>164.0</v>
      </c>
      <c r="E8332" s="3">
        <v>4.55</v>
      </c>
      <c r="F8332" s="3">
        <v>29.13</v>
      </c>
      <c r="G8332" s="3">
        <v>0.09</v>
      </c>
    </row>
    <row r="8333">
      <c r="A8333" s="3">
        <v>781897.0</v>
      </c>
      <c r="B8333" s="3" t="s">
        <v>8361</v>
      </c>
      <c r="C8333" s="3" t="s">
        <v>189</v>
      </c>
      <c r="D8333" s="3">
        <v>239.0</v>
      </c>
      <c r="E8333" s="3">
        <v>10.21</v>
      </c>
      <c r="F8333" s="3">
        <v>26.87</v>
      </c>
      <c r="G8333" s="3">
        <v>8.4</v>
      </c>
    </row>
    <row r="8334">
      <c r="A8334" s="3">
        <v>781898.0</v>
      </c>
      <c r="B8334" s="3" t="s">
        <v>8362</v>
      </c>
      <c r="C8334" s="3" t="s">
        <v>189</v>
      </c>
      <c r="D8334" s="3">
        <v>239.0</v>
      </c>
      <c r="E8334" s="3">
        <v>10.21</v>
      </c>
      <c r="F8334" s="3">
        <v>26.87</v>
      </c>
      <c r="G8334" s="3">
        <v>8.4</v>
      </c>
    </row>
    <row r="8335">
      <c r="A8335" s="3">
        <v>781899.0</v>
      </c>
      <c r="B8335" s="3" t="s">
        <v>8363</v>
      </c>
      <c r="C8335" s="3" t="s">
        <v>189</v>
      </c>
      <c r="D8335" s="3">
        <v>196.0</v>
      </c>
      <c r="E8335" s="3">
        <v>4.8</v>
      </c>
      <c r="F8335" s="3">
        <v>28.19</v>
      </c>
      <c r="G8335" s="3">
        <v>8.48</v>
      </c>
    </row>
    <row r="8336">
      <c r="A8336" s="3">
        <v>781900.0</v>
      </c>
      <c r="B8336" s="3" t="s">
        <v>8364</v>
      </c>
      <c r="C8336" s="3" t="s">
        <v>189</v>
      </c>
      <c r="D8336" s="3">
        <v>211.0</v>
      </c>
      <c r="E8336" s="3">
        <v>10.5</v>
      </c>
      <c r="F8336" s="3">
        <v>27.69</v>
      </c>
      <c r="G8336" s="3">
        <v>0.0</v>
      </c>
    </row>
    <row r="8337">
      <c r="A8337" s="3">
        <v>781901.0</v>
      </c>
      <c r="B8337" s="3" t="s">
        <v>8365</v>
      </c>
      <c r="C8337" s="3" t="s">
        <v>189</v>
      </c>
      <c r="D8337" s="3">
        <v>211.0</v>
      </c>
      <c r="E8337" s="3">
        <v>10.5</v>
      </c>
      <c r="F8337" s="3">
        <v>27.69</v>
      </c>
      <c r="G8337" s="3">
        <v>0.0</v>
      </c>
    </row>
    <row r="8338">
      <c r="A8338" s="3">
        <v>781902.0</v>
      </c>
      <c r="B8338" s="3" t="s">
        <v>8366</v>
      </c>
      <c r="C8338" s="3" t="s">
        <v>189</v>
      </c>
      <c r="D8338" s="3">
        <v>164.0</v>
      </c>
      <c r="E8338" s="3">
        <v>4.55</v>
      </c>
      <c r="F8338" s="3">
        <v>29.13</v>
      </c>
      <c r="G8338" s="3">
        <v>0.09</v>
      </c>
    </row>
    <row r="8339">
      <c r="A8339" s="3">
        <v>781903.0</v>
      </c>
      <c r="B8339" s="3" t="s">
        <v>8367</v>
      </c>
      <c r="C8339" s="3" t="s">
        <v>189</v>
      </c>
      <c r="D8339" s="3">
        <v>304.0</v>
      </c>
      <c r="E8339" s="3">
        <v>15.31</v>
      </c>
      <c r="F8339" s="3">
        <v>24.0</v>
      </c>
      <c r="G8339" s="3">
        <v>16.21</v>
      </c>
    </row>
    <row r="8340">
      <c r="A8340" s="3">
        <v>781904.0</v>
      </c>
      <c r="B8340" s="3" t="s">
        <v>8368</v>
      </c>
      <c r="C8340" s="3" t="s">
        <v>189</v>
      </c>
      <c r="D8340" s="3">
        <v>304.0</v>
      </c>
      <c r="E8340" s="3">
        <v>15.31</v>
      </c>
      <c r="F8340" s="3">
        <v>24.0</v>
      </c>
      <c r="G8340" s="3">
        <v>16.21</v>
      </c>
    </row>
    <row r="8341">
      <c r="A8341" s="3">
        <v>781905.0</v>
      </c>
      <c r="B8341" s="3" t="s">
        <v>8369</v>
      </c>
      <c r="C8341" s="3" t="s">
        <v>189</v>
      </c>
      <c r="D8341" s="3">
        <v>270.0</v>
      </c>
      <c r="E8341" s="3">
        <v>11.07</v>
      </c>
      <c r="F8341" s="3">
        <v>25.03</v>
      </c>
      <c r="G8341" s="3">
        <v>16.28</v>
      </c>
    </row>
    <row r="8342">
      <c r="A8342" s="3">
        <v>781906.0</v>
      </c>
      <c r="B8342" s="3" t="s">
        <v>8370</v>
      </c>
      <c r="C8342" s="3" t="s">
        <v>189</v>
      </c>
      <c r="D8342" s="3">
        <v>281.0</v>
      </c>
      <c r="E8342" s="3">
        <v>14.97</v>
      </c>
      <c r="F8342" s="3">
        <v>22.6</v>
      </c>
      <c r="G8342" s="3">
        <v>12.78</v>
      </c>
    </row>
    <row r="8343">
      <c r="A8343" s="3">
        <v>781907.0</v>
      </c>
      <c r="B8343" s="3" t="s">
        <v>8371</v>
      </c>
      <c r="C8343" s="3" t="s">
        <v>189</v>
      </c>
      <c r="D8343" s="3">
        <v>281.0</v>
      </c>
      <c r="E8343" s="3">
        <v>14.97</v>
      </c>
      <c r="F8343" s="3">
        <v>22.6</v>
      </c>
      <c r="G8343" s="3">
        <v>12.78</v>
      </c>
    </row>
    <row r="8344">
      <c r="A8344" s="3">
        <v>781908.0</v>
      </c>
      <c r="B8344" s="3" t="s">
        <v>8372</v>
      </c>
      <c r="C8344" s="3" t="s">
        <v>189</v>
      </c>
      <c r="D8344" s="3">
        <v>246.0</v>
      </c>
      <c r="E8344" s="3">
        <v>10.57</v>
      </c>
      <c r="F8344" s="3">
        <v>23.67</v>
      </c>
      <c r="G8344" s="3">
        <v>12.84</v>
      </c>
    </row>
    <row r="8345">
      <c r="A8345" s="3">
        <v>781909.0</v>
      </c>
      <c r="B8345" s="3" t="s">
        <v>8373</v>
      </c>
      <c r="C8345" s="3" t="s">
        <v>189</v>
      </c>
      <c r="D8345" s="3">
        <v>211.0</v>
      </c>
      <c r="E8345" s="3">
        <v>10.5</v>
      </c>
      <c r="F8345" s="3">
        <v>27.69</v>
      </c>
      <c r="G8345" s="3">
        <v>0.0</v>
      </c>
    </row>
    <row r="8346">
      <c r="A8346" s="3">
        <v>781910.0</v>
      </c>
      <c r="B8346" s="3" t="s">
        <v>8374</v>
      </c>
      <c r="C8346" s="3" t="s">
        <v>189</v>
      </c>
      <c r="D8346" s="3">
        <v>211.0</v>
      </c>
      <c r="E8346" s="3">
        <v>10.5</v>
      </c>
      <c r="F8346" s="3">
        <v>27.69</v>
      </c>
      <c r="G8346" s="3">
        <v>0.0</v>
      </c>
    </row>
    <row r="8347">
      <c r="A8347" s="3">
        <v>781911.0</v>
      </c>
      <c r="B8347" s="3" t="s">
        <v>8375</v>
      </c>
      <c r="C8347" s="3" t="s">
        <v>189</v>
      </c>
      <c r="D8347" s="3">
        <v>164.0</v>
      </c>
      <c r="E8347" s="3">
        <v>4.55</v>
      </c>
      <c r="F8347" s="3">
        <v>29.13</v>
      </c>
      <c r="G8347" s="3">
        <v>0.09</v>
      </c>
    </row>
    <row r="8348">
      <c r="A8348" s="3">
        <v>781915.0</v>
      </c>
      <c r="B8348" s="3" t="s">
        <v>8376</v>
      </c>
      <c r="C8348" s="3" t="s">
        <v>189</v>
      </c>
      <c r="D8348" s="3">
        <v>239.0</v>
      </c>
      <c r="E8348" s="3">
        <v>15.86</v>
      </c>
      <c r="F8348" s="3">
        <v>22.96</v>
      </c>
      <c r="G8348" s="3">
        <v>0.06</v>
      </c>
    </row>
    <row r="8349">
      <c r="A8349" s="3">
        <v>781916.0</v>
      </c>
      <c r="B8349" s="3" t="s">
        <v>8377</v>
      </c>
      <c r="C8349" s="3" t="s">
        <v>189</v>
      </c>
      <c r="D8349" s="3">
        <v>239.0</v>
      </c>
      <c r="E8349" s="3">
        <v>15.86</v>
      </c>
      <c r="F8349" s="3">
        <v>22.96</v>
      </c>
      <c r="G8349" s="3">
        <v>0.06</v>
      </c>
    </row>
    <row r="8350">
      <c r="A8350" s="3">
        <v>781917.0</v>
      </c>
      <c r="B8350" s="3" t="s">
        <v>8378</v>
      </c>
      <c r="C8350" s="3" t="s">
        <v>189</v>
      </c>
      <c r="D8350" s="3">
        <v>171.0</v>
      </c>
      <c r="E8350" s="3">
        <v>7.42</v>
      </c>
      <c r="F8350" s="3">
        <v>24.61</v>
      </c>
      <c r="G8350" s="3">
        <v>0.07</v>
      </c>
    </row>
    <row r="8351">
      <c r="A8351" s="3">
        <v>781918.0</v>
      </c>
      <c r="B8351" s="3" t="s">
        <v>8379</v>
      </c>
      <c r="C8351" s="3" t="s">
        <v>189</v>
      </c>
      <c r="D8351" s="3">
        <v>271.0</v>
      </c>
      <c r="E8351" s="3">
        <v>17.53</v>
      </c>
      <c r="F8351" s="3">
        <v>19.87</v>
      </c>
      <c r="G8351" s="3">
        <v>7.62</v>
      </c>
    </row>
    <row r="8352">
      <c r="A8352" s="3">
        <v>781919.0</v>
      </c>
      <c r="B8352" s="3" t="s">
        <v>8380</v>
      </c>
      <c r="C8352" s="3" t="s">
        <v>189</v>
      </c>
      <c r="D8352" s="3">
        <v>271.0</v>
      </c>
      <c r="E8352" s="3">
        <v>17.53</v>
      </c>
      <c r="F8352" s="3">
        <v>19.87</v>
      </c>
      <c r="G8352" s="3">
        <v>7.62</v>
      </c>
    </row>
    <row r="8353">
      <c r="A8353" s="3">
        <v>781920.0</v>
      </c>
      <c r="B8353" s="3" t="s">
        <v>8381</v>
      </c>
      <c r="C8353" s="3" t="s">
        <v>189</v>
      </c>
      <c r="D8353" s="3">
        <v>216.0</v>
      </c>
      <c r="E8353" s="3">
        <v>10.76</v>
      </c>
      <c r="F8353" s="3">
        <v>21.19</v>
      </c>
      <c r="G8353" s="3">
        <v>7.63</v>
      </c>
    </row>
    <row r="8354">
      <c r="A8354" s="3">
        <v>781921.0</v>
      </c>
      <c r="B8354" s="3" t="s">
        <v>8382</v>
      </c>
      <c r="C8354" s="3" t="s">
        <v>189</v>
      </c>
      <c r="D8354" s="3">
        <v>239.0</v>
      </c>
      <c r="E8354" s="3">
        <v>15.86</v>
      </c>
      <c r="F8354" s="3">
        <v>22.96</v>
      </c>
      <c r="G8354" s="3">
        <v>0.06</v>
      </c>
    </row>
    <row r="8355">
      <c r="A8355" s="3">
        <v>781922.0</v>
      </c>
      <c r="B8355" s="3" t="s">
        <v>8383</v>
      </c>
      <c r="C8355" s="3" t="s">
        <v>189</v>
      </c>
      <c r="D8355" s="3">
        <v>239.0</v>
      </c>
      <c r="E8355" s="3">
        <v>15.86</v>
      </c>
      <c r="F8355" s="3">
        <v>22.96</v>
      </c>
      <c r="G8355" s="3">
        <v>0.06</v>
      </c>
    </row>
    <row r="8356">
      <c r="A8356" s="3">
        <v>781923.0</v>
      </c>
      <c r="B8356" s="3" t="s">
        <v>8384</v>
      </c>
      <c r="C8356" s="3" t="s">
        <v>189</v>
      </c>
      <c r="D8356" s="3">
        <v>171.0</v>
      </c>
      <c r="E8356" s="3">
        <v>7.42</v>
      </c>
      <c r="F8356" s="3">
        <v>24.61</v>
      </c>
      <c r="G8356" s="3">
        <v>0.07</v>
      </c>
    </row>
    <row r="8357">
      <c r="A8357" s="3">
        <v>781924.0</v>
      </c>
      <c r="B8357" s="3" t="s">
        <v>8385</v>
      </c>
      <c r="C8357" s="3" t="s">
        <v>189</v>
      </c>
      <c r="D8357" s="3">
        <v>239.0</v>
      </c>
      <c r="E8357" s="3">
        <v>15.86</v>
      </c>
      <c r="F8357" s="3">
        <v>22.96</v>
      </c>
      <c r="G8357" s="3">
        <v>0.06</v>
      </c>
    </row>
    <row r="8358">
      <c r="A8358" s="3">
        <v>781925.0</v>
      </c>
      <c r="B8358" s="3" t="s">
        <v>8386</v>
      </c>
      <c r="C8358" s="3" t="s">
        <v>189</v>
      </c>
      <c r="D8358" s="3">
        <v>239.0</v>
      </c>
      <c r="E8358" s="3">
        <v>15.86</v>
      </c>
      <c r="F8358" s="3">
        <v>22.96</v>
      </c>
      <c r="G8358" s="3">
        <v>0.06</v>
      </c>
    </row>
    <row r="8359">
      <c r="A8359" s="3">
        <v>781926.0</v>
      </c>
      <c r="B8359" s="3" t="s">
        <v>8387</v>
      </c>
      <c r="C8359" s="3" t="s">
        <v>189</v>
      </c>
      <c r="D8359" s="3">
        <v>171.0</v>
      </c>
      <c r="E8359" s="3">
        <v>7.42</v>
      </c>
      <c r="F8359" s="3">
        <v>24.61</v>
      </c>
      <c r="G8359" s="3">
        <v>0.07</v>
      </c>
    </row>
    <row r="8360">
      <c r="A8360" s="3">
        <v>781927.0</v>
      </c>
      <c r="B8360" s="3" t="s">
        <v>8388</v>
      </c>
      <c r="C8360" s="3" t="s">
        <v>189</v>
      </c>
      <c r="D8360" s="3">
        <v>264.0</v>
      </c>
      <c r="E8360" s="3">
        <v>14.79</v>
      </c>
      <c r="F8360" s="3">
        <v>22.3</v>
      </c>
      <c r="G8360" s="3">
        <v>9.15</v>
      </c>
    </row>
    <row r="8361">
      <c r="A8361" s="3">
        <v>781928.0</v>
      </c>
      <c r="B8361" s="3" t="s">
        <v>8389</v>
      </c>
      <c r="C8361" s="3" t="s">
        <v>189</v>
      </c>
      <c r="D8361" s="3">
        <v>264.0</v>
      </c>
      <c r="E8361" s="3">
        <v>14.79</v>
      </c>
      <c r="F8361" s="3">
        <v>22.3</v>
      </c>
      <c r="G8361" s="3">
        <v>9.15</v>
      </c>
    </row>
    <row r="8362">
      <c r="A8362" s="3">
        <v>781929.0</v>
      </c>
      <c r="B8362" s="3" t="s">
        <v>8390</v>
      </c>
      <c r="C8362" s="3" t="s">
        <v>189</v>
      </c>
      <c r="D8362" s="3">
        <v>202.0</v>
      </c>
      <c r="E8362" s="3">
        <v>7.12</v>
      </c>
      <c r="F8362" s="3">
        <v>23.8</v>
      </c>
      <c r="G8362" s="3">
        <v>9.15</v>
      </c>
    </row>
    <row r="8363">
      <c r="A8363" s="3">
        <v>781930.0</v>
      </c>
      <c r="B8363" s="3" t="s">
        <v>8391</v>
      </c>
      <c r="C8363" s="3" t="s">
        <v>189</v>
      </c>
      <c r="D8363" s="3">
        <v>305.0</v>
      </c>
      <c r="E8363" s="3">
        <v>16.65</v>
      </c>
      <c r="F8363" s="3">
        <v>21.08</v>
      </c>
      <c r="G8363" s="3">
        <v>16.61</v>
      </c>
    </row>
    <row r="8364">
      <c r="A8364" s="3">
        <v>781931.0</v>
      </c>
      <c r="B8364" s="3" t="s">
        <v>8392</v>
      </c>
      <c r="C8364" s="3" t="s">
        <v>189</v>
      </c>
      <c r="D8364" s="3">
        <v>324.0</v>
      </c>
      <c r="E8364" s="3">
        <v>19.12</v>
      </c>
      <c r="F8364" s="3">
        <v>20.64</v>
      </c>
      <c r="G8364" s="3">
        <v>16.26</v>
      </c>
    </row>
    <row r="8365">
      <c r="A8365" s="3">
        <v>781932.0</v>
      </c>
      <c r="B8365" s="3" t="s">
        <v>8393</v>
      </c>
      <c r="C8365" s="3" t="s">
        <v>189</v>
      </c>
      <c r="D8365" s="3">
        <v>275.0</v>
      </c>
      <c r="E8365" s="3">
        <v>13.11</v>
      </c>
      <c r="F8365" s="3">
        <v>21.81</v>
      </c>
      <c r="G8365" s="3">
        <v>16.26</v>
      </c>
    </row>
    <row r="8366">
      <c r="A8366" s="3">
        <v>781933.0</v>
      </c>
      <c r="B8366" s="3" t="s">
        <v>8394</v>
      </c>
      <c r="C8366" s="3" t="s">
        <v>189</v>
      </c>
      <c r="D8366" s="3">
        <v>154.0</v>
      </c>
      <c r="E8366" s="3">
        <v>4.33</v>
      </c>
      <c r="F8366" s="3">
        <v>26.9</v>
      </c>
      <c r="G8366" s="3">
        <v>0.0</v>
      </c>
    </row>
    <row r="8367">
      <c r="A8367" s="3">
        <v>781934.0</v>
      </c>
      <c r="B8367" s="3" t="s">
        <v>8395</v>
      </c>
      <c r="C8367" s="3" t="s">
        <v>189</v>
      </c>
      <c r="D8367" s="3">
        <v>294.0</v>
      </c>
      <c r="E8367" s="3">
        <v>15.55</v>
      </c>
      <c r="F8367" s="3">
        <v>22.0</v>
      </c>
      <c r="G8367" s="3">
        <v>15.22</v>
      </c>
    </row>
    <row r="8368">
      <c r="A8368" s="3">
        <v>781935.0</v>
      </c>
      <c r="B8368" s="3" t="s">
        <v>8396</v>
      </c>
      <c r="C8368" s="3" t="s">
        <v>189</v>
      </c>
      <c r="D8368" s="3">
        <v>142.0</v>
      </c>
      <c r="E8368" s="3">
        <v>2.8</v>
      </c>
      <c r="F8368" s="3">
        <v>27.24</v>
      </c>
      <c r="G8368" s="3">
        <v>0.0</v>
      </c>
    </row>
    <row r="8369">
      <c r="A8369" s="3">
        <v>781936.0</v>
      </c>
      <c r="B8369" s="3" t="s">
        <v>8397</v>
      </c>
      <c r="C8369" s="3" t="s">
        <v>189</v>
      </c>
      <c r="D8369" s="3">
        <v>154.0</v>
      </c>
      <c r="E8369" s="3">
        <v>4.33</v>
      </c>
      <c r="F8369" s="3">
        <v>26.9</v>
      </c>
      <c r="G8369" s="3">
        <v>0.0</v>
      </c>
    </row>
    <row r="8370">
      <c r="A8370" s="3">
        <v>781937.0</v>
      </c>
      <c r="B8370" s="3" t="s">
        <v>8398</v>
      </c>
      <c r="C8370" s="3" t="s">
        <v>189</v>
      </c>
      <c r="D8370" s="3">
        <v>193.0</v>
      </c>
      <c r="E8370" s="3">
        <v>7.07</v>
      </c>
      <c r="F8370" s="3">
        <v>23.29</v>
      </c>
      <c r="G8370" s="3">
        <v>7.57</v>
      </c>
    </row>
    <row r="8371">
      <c r="A8371" s="3">
        <v>781938.0</v>
      </c>
      <c r="B8371" s="3" t="s">
        <v>8399</v>
      </c>
      <c r="C8371" s="3" t="s">
        <v>189</v>
      </c>
      <c r="D8371" s="3">
        <v>187.0</v>
      </c>
      <c r="E8371" s="3">
        <v>11.41</v>
      </c>
      <c r="F8371" s="3">
        <v>19.16</v>
      </c>
      <c r="G8371" s="3">
        <v>1.28</v>
      </c>
    </row>
    <row r="8372">
      <c r="A8372" s="3">
        <v>781939.0</v>
      </c>
      <c r="B8372" s="3" t="s">
        <v>8400</v>
      </c>
      <c r="C8372" s="3" t="s">
        <v>189</v>
      </c>
      <c r="D8372" s="3">
        <v>187.0</v>
      </c>
      <c r="E8372" s="3">
        <v>11.41</v>
      </c>
      <c r="F8372" s="3">
        <v>19.16</v>
      </c>
      <c r="G8372" s="3">
        <v>1.28</v>
      </c>
    </row>
    <row r="8373">
      <c r="A8373" s="3">
        <v>781940.0</v>
      </c>
      <c r="B8373" s="3" t="s">
        <v>8401</v>
      </c>
      <c r="C8373" s="3" t="s">
        <v>189</v>
      </c>
      <c r="D8373" s="3">
        <v>177.0</v>
      </c>
      <c r="E8373" s="3">
        <v>9.77</v>
      </c>
      <c r="F8373" s="3">
        <v>20.55</v>
      </c>
      <c r="G8373" s="3">
        <v>1.0</v>
      </c>
    </row>
    <row r="8374">
      <c r="A8374" s="3">
        <v>781941.0</v>
      </c>
      <c r="B8374" s="3" t="s">
        <v>8402</v>
      </c>
      <c r="C8374" s="3" t="s">
        <v>189</v>
      </c>
      <c r="D8374" s="3">
        <v>200.0</v>
      </c>
      <c r="E8374" s="3">
        <v>10.42</v>
      </c>
      <c r="F8374" s="3">
        <v>18.36</v>
      </c>
      <c r="G8374" s="3">
        <v>7.34</v>
      </c>
    </row>
    <row r="8375">
      <c r="A8375" s="3">
        <v>781942.0</v>
      </c>
      <c r="B8375" s="3" t="s">
        <v>8403</v>
      </c>
      <c r="C8375" s="3" t="s">
        <v>189</v>
      </c>
      <c r="D8375" s="3">
        <v>200.0</v>
      </c>
      <c r="E8375" s="3">
        <v>10.42</v>
      </c>
      <c r="F8375" s="3">
        <v>18.36</v>
      </c>
      <c r="G8375" s="3">
        <v>7.34</v>
      </c>
    </row>
    <row r="8376">
      <c r="A8376" s="3">
        <v>781943.0</v>
      </c>
      <c r="B8376" s="3" t="s">
        <v>8404</v>
      </c>
      <c r="C8376" s="3" t="s">
        <v>189</v>
      </c>
      <c r="D8376" s="3">
        <v>191.0</v>
      </c>
      <c r="E8376" s="3">
        <v>9.11</v>
      </c>
      <c r="F8376" s="3">
        <v>19.66</v>
      </c>
      <c r="G8376" s="3">
        <v>6.79</v>
      </c>
    </row>
    <row r="8377">
      <c r="A8377" s="3">
        <v>781944.0</v>
      </c>
      <c r="B8377" s="3" t="s">
        <v>8405</v>
      </c>
      <c r="C8377" s="3" t="s">
        <v>189</v>
      </c>
      <c r="D8377" s="3">
        <v>271.0</v>
      </c>
      <c r="E8377" s="3">
        <v>17.46</v>
      </c>
      <c r="F8377" s="3">
        <v>26.61</v>
      </c>
      <c r="G8377" s="3">
        <v>0.0</v>
      </c>
    </row>
    <row r="8378">
      <c r="A8378" s="3">
        <v>781945.0</v>
      </c>
      <c r="B8378" s="3" t="s">
        <v>8406</v>
      </c>
      <c r="C8378" s="3" t="s">
        <v>189</v>
      </c>
      <c r="D8378" s="3">
        <v>271.0</v>
      </c>
      <c r="E8378" s="3">
        <v>17.46</v>
      </c>
      <c r="F8378" s="3">
        <v>26.61</v>
      </c>
      <c r="G8378" s="3">
        <v>0.0</v>
      </c>
    </row>
    <row r="8379">
      <c r="A8379" s="3">
        <v>781946.0</v>
      </c>
      <c r="B8379" s="3" t="s">
        <v>8407</v>
      </c>
      <c r="C8379" s="3" t="s">
        <v>189</v>
      </c>
      <c r="D8379" s="3">
        <v>209.0</v>
      </c>
      <c r="E8379" s="3">
        <v>9.36</v>
      </c>
      <c r="F8379" s="3">
        <v>29.16</v>
      </c>
      <c r="G8379" s="3">
        <v>0.0</v>
      </c>
    </row>
    <row r="8380">
      <c r="A8380" s="3">
        <v>781947.0</v>
      </c>
      <c r="B8380" s="3" t="s">
        <v>8408</v>
      </c>
      <c r="C8380" s="3" t="s">
        <v>189</v>
      </c>
      <c r="D8380" s="3">
        <v>149.0</v>
      </c>
      <c r="E8380" s="3">
        <v>6.7</v>
      </c>
      <c r="F8380" s="3">
        <v>20.09</v>
      </c>
      <c r="G8380" s="3">
        <v>1.19</v>
      </c>
    </row>
    <row r="8381">
      <c r="A8381" s="3">
        <v>781948.0</v>
      </c>
      <c r="B8381" s="3" t="s">
        <v>8409</v>
      </c>
      <c r="C8381" s="3" t="s">
        <v>189</v>
      </c>
      <c r="D8381" s="3">
        <v>149.0</v>
      </c>
      <c r="E8381" s="3">
        <v>6.7</v>
      </c>
      <c r="F8381" s="3">
        <v>20.09</v>
      </c>
      <c r="G8381" s="3">
        <v>1.19</v>
      </c>
    </row>
    <row r="8382">
      <c r="A8382" s="3">
        <v>781949.0</v>
      </c>
      <c r="B8382" s="3" t="s">
        <v>8410</v>
      </c>
      <c r="C8382" s="3" t="s">
        <v>189</v>
      </c>
      <c r="D8382" s="3">
        <v>139.0</v>
      </c>
      <c r="E8382" s="3">
        <v>4.95</v>
      </c>
      <c r="F8382" s="3">
        <v>21.64</v>
      </c>
      <c r="G8382" s="3">
        <v>1.05</v>
      </c>
    </row>
    <row r="8383">
      <c r="A8383" s="3">
        <v>781951.0</v>
      </c>
      <c r="B8383" s="3" t="s">
        <v>8411</v>
      </c>
      <c r="C8383" s="3" t="s">
        <v>189</v>
      </c>
      <c r="D8383" s="3">
        <v>132.0</v>
      </c>
      <c r="E8383" s="3">
        <v>6.17</v>
      </c>
      <c r="F8383" s="3">
        <v>17.46</v>
      </c>
      <c r="G8383" s="3">
        <v>1.0</v>
      </c>
    </row>
    <row r="8384">
      <c r="A8384" s="3">
        <v>781952.0</v>
      </c>
      <c r="B8384" s="3" t="s">
        <v>8412</v>
      </c>
      <c r="C8384" s="3" t="s">
        <v>189</v>
      </c>
      <c r="D8384" s="3">
        <v>132.0</v>
      </c>
      <c r="E8384" s="3">
        <v>6.17</v>
      </c>
      <c r="F8384" s="3">
        <v>17.46</v>
      </c>
      <c r="G8384" s="3">
        <v>1.0</v>
      </c>
    </row>
    <row r="8385">
      <c r="A8385" s="3">
        <v>781953.0</v>
      </c>
      <c r="B8385" s="3" t="s">
        <v>8413</v>
      </c>
      <c r="C8385" s="3" t="s">
        <v>189</v>
      </c>
      <c r="D8385" s="3">
        <v>117.0</v>
      </c>
      <c r="E8385" s="3">
        <v>4.31</v>
      </c>
      <c r="F8385" s="3">
        <v>17.8</v>
      </c>
      <c r="G8385" s="3">
        <v>1.0</v>
      </c>
    </row>
    <row r="8386">
      <c r="A8386" s="3">
        <v>781955.0</v>
      </c>
      <c r="B8386" s="3" t="s">
        <v>8414</v>
      </c>
      <c r="C8386" s="3" t="s">
        <v>189</v>
      </c>
      <c r="D8386" s="3">
        <v>246.0</v>
      </c>
      <c r="E8386" s="3">
        <v>14.53</v>
      </c>
      <c r="F8386" s="3">
        <v>26.86</v>
      </c>
      <c r="G8386" s="3">
        <v>0.0</v>
      </c>
    </row>
    <row r="8387">
      <c r="A8387" s="3">
        <v>781956.0</v>
      </c>
      <c r="B8387" s="3" t="s">
        <v>8415</v>
      </c>
      <c r="C8387" s="3" t="s">
        <v>189</v>
      </c>
      <c r="D8387" s="3">
        <v>246.0</v>
      </c>
      <c r="E8387" s="3">
        <v>14.53</v>
      </c>
      <c r="F8387" s="3">
        <v>26.86</v>
      </c>
      <c r="G8387" s="3">
        <v>0.0</v>
      </c>
    </row>
    <row r="8388">
      <c r="A8388" s="3">
        <v>781957.0</v>
      </c>
      <c r="B8388" s="3" t="s">
        <v>8416</v>
      </c>
      <c r="C8388" s="3" t="s">
        <v>189</v>
      </c>
      <c r="D8388" s="3">
        <v>207.0</v>
      </c>
      <c r="E8388" s="3">
        <v>9.55</v>
      </c>
      <c r="F8388" s="3">
        <v>28.38</v>
      </c>
      <c r="G8388" s="3">
        <v>0.0</v>
      </c>
    </row>
    <row r="8389">
      <c r="A8389" s="3">
        <v>781958.0</v>
      </c>
      <c r="B8389" s="3" t="s">
        <v>8417</v>
      </c>
      <c r="C8389" s="3" t="s">
        <v>189</v>
      </c>
      <c r="D8389" s="3">
        <v>246.0</v>
      </c>
      <c r="E8389" s="3">
        <v>14.53</v>
      </c>
      <c r="F8389" s="3">
        <v>26.86</v>
      </c>
      <c r="G8389" s="3">
        <v>0.0</v>
      </c>
    </row>
    <row r="8390">
      <c r="A8390" s="3">
        <v>781959.0</v>
      </c>
      <c r="B8390" s="3" t="s">
        <v>8418</v>
      </c>
      <c r="C8390" s="3" t="s">
        <v>189</v>
      </c>
      <c r="D8390" s="3">
        <v>246.0</v>
      </c>
      <c r="E8390" s="3">
        <v>14.53</v>
      </c>
      <c r="F8390" s="3">
        <v>26.86</v>
      </c>
      <c r="G8390" s="3">
        <v>0.0</v>
      </c>
    </row>
    <row r="8391">
      <c r="A8391" s="3">
        <v>781960.0</v>
      </c>
      <c r="B8391" s="3" t="s">
        <v>8419</v>
      </c>
      <c r="C8391" s="3" t="s">
        <v>189</v>
      </c>
      <c r="D8391" s="3">
        <v>207.0</v>
      </c>
      <c r="E8391" s="3">
        <v>9.55</v>
      </c>
      <c r="F8391" s="3">
        <v>28.38</v>
      </c>
      <c r="G8391" s="3">
        <v>0.0</v>
      </c>
    </row>
    <row r="8392">
      <c r="A8392" s="3">
        <v>781961.0</v>
      </c>
      <c r="B8392" s="3" t="s">
        <v>8420</v>
      </c>
      <c r="C8392" s="3" t="s">
        <v>189</v>
      </c>
      <c r="D8392" s="3">
        <v>257.0</v>
      </c>
      <c r="E8392" s="3">
        <v>11.35</v>
      </c>
      <c r="F8392" s="3">
        <v>35.33</v>
      </c>
      <c r="G8392" s="3">
        <v>0.86</v>
      </c>
    </row>
    <row r="8393">
      <c r="A8393" s="3">
        <v>781962.0</v>
      </c>
      <c r="B8393" s="3" t="s">
        <v>8421</v>
      </c>
      <c r="C8393" s="3" t="s">
        <v>189</v>
      </c>
      <c r="D8393" s="3">
        <v>290.0</v>
      </c>
      <c r="E8393" s="3">
        <v>21.21</v>
      </c>
      <c r="F8393" s="3">
        <v>23.09</v>
      </c>
      <c r="G8393" s="3">
        <v>0.0</v>
      </c>
    </row>
    <row r="8394">
      <c r="A8394" s="3">
        <v>781963.0</v>
      </c>
      <c r="B8394" s="3" t="s">
        <v>8422</v>
      </c>
      <c r="C8394" s="3" t="s">
        <v>189</v>
      </c>
      <c r="D8394" s="3">
        <v>290.0</v>
      </c>
      <c r="E8394" s="3">
        <v>21.21</v>
      </c>
      <c r="F8394" s="3">
        <v>23.09</v>
      </c>
      <c r="G8394" s="3">
        <v>0.0</v>
      </c>
    </row>
    <row r="8395">
      <c r="A8395" s="3">
        <v>781964.0</v>
      </c>
      <c r="B8395" s="3" t="s">
        <v>8423</v>
      </c>
      <c r="C8395" s="3" t="s">
        <v>189</v>
      </c>
      <c r="D8395" s="3">
        <v>228.0</v>
      </c>
      <c r="E8395" s="3">
        <v>13.43</v>
      </c>
      <c r="F8395" s="3">
        <v>25.12</v>
      </c>
      <c r="G8395" s="3">
        <v>0.0</v>
      </c>
    </row>
    <row r="8396">
      <c r="A8396" s="3">
        <v>781968.0</v>
      </c>
      <c r="B8396" s="3" t="s">
        <v>8424</v>
      </c>
      <c r="C8396" s="3" t="s">
        <v>189</v>
      </c>
      <c r="D8396" s="3">
        <v>329.0</v>
      </c>
      <c r="E8396" s="3">
        <v>28.39</v>
      </c>
      <c r="F8396" s="3">
        <v>13.07</v>
      </c>
      <c r="G8396" s="3">
        <v>4.49</v>
      </c>
    </row>
    <row r="8397">
      <c r="A8397" s="3">
        <v>781977.0</v>
      </c>
      <c r="B8397" s="3" t="s">
        <v>8425</v>
      </c>
      <c r="C8397" s="3" t="s">
        <v>189</v>
      </c>
      <c r="D8397" s="3">
        <v>750.0</v>
      </c>
      <c r="E8397" s="3">
        <v>81.93</v>
      </c>
      <c r="F8397" s="3">
        <v>2.68</v>
      </c>
      <c r="G8397" s="3">
        <v>0.0</v>
      </c>
    </row>
    <row r="8398">
      <c r="A8398" s="3">
        <v>781978.0</v>
      </c>
      <c r="B8398" s="3" t="s">
        <v>8426</v>
      </c>
      <c r="C8398" s="3" t="s">
        <v>187</v>
      </c>
      <c r="D8398" s="3">
        <v>750.0</v>
      </c>
      <c r="E8398" s="3">
        <v>81.93</v>
      </c>
      <c r="F8398" s="3">
        <v>2.68</v>
      </c>
      <c r="G8398" s="3">
        <v>0.0</v>
      </c>
    </row>
    <row r="8399">
      <c r="A8399" s="3">
        <v>781979.0</v>
      </c>
      <c r="B8399" s="3" t="s">
        <v>8427</v>
      </c>
      <c r="C8399" s="3" t="s">
        <v>189</v>
      </c>
      <c r="D8399" s="3">
        <v>394.0</v>
      </c>
      <c r="E8399" s="3">
        <v>30.05</v>
      </c>
      <c r="F8399" s="3">
        <v>28.82</v>
      </c>
      <c r="G8399" s="3">
        <v>0.0</v>
      </c>
    </row>
    <row r="8400">
      <c r="A8400" s="3">
        <v>781980.0</v>
      </c>
      <c r="B8400" s="3" t="s">
        <v>8428</v>
      </c>
      <c r="C8400" s="3" t="s">
        <v>189</v>
      </c>
      <c r="D8400" s="3">
        <v>394.0</v>
      </c>
      <c r="E8400" s="3">
        <v>30.05</v>
      </c>
      <c r="F8400" s="3">
        <v>28.82</v>
      </c>
      <c r="G8400" s="3">
        <v>0.0</v>
      </c>
    </row>
    <row r="8401">
      <c r="A8401" s="3">
        <v>781981.0</v>
      </c>
      <c r="B8401" s="3" t="s">
        <v>8429</v>
      </c>
      <c r="C8401" s="3" t="s">
        <v>189</v>
      </c>
      <c r="D8401" s="3">
        <v>206.0</v>
      </c>
      <c r="E8401" s="3">
        <v>9.24</v>
      </c>
      <c r="F8401" s="3">
        <v>28.79</v>
      </c>
      <c r="G8401" s="3">
        <v>0.0</v>
      </c>
    </row>
    <row r="8402">
      <c r="A8402" s="3">
        <v>781982.0</v>
      </c>
      <c r="B8402" s="3" t="s">
        <v>8430</v>
      </c>
      <c r="C8402" s="3" t="s">
        <v>189</v>
      </c>
      <c r="D8402" s="3">
        <v>343.0</v>
      </c>
      <c r="E8402" s="3">
        <v>22.29</v>
      </c>
      <c r="F8402" s="3">
        <v>21.45</v>
      </c>
      <c r="G8402" s="3">
        <v>12.74</v>
      </c>
    </row>
    <row r="8403">
      <c r="A8403" s="3">
        <v>781983.0</v>
      </c>
      <c r="B8403" s="3" t="s">
        <v>8431</v>
      </c>
      <c r="C8403" s="3" t="s">
        <v>189</v>
      </c>
      <c r="D8403" s="3">
        <v>343.0</v>
      </c>
      <c r="E8403" s="3">
        <v>22.29</v>
      </c>
      <c r="F8403" s="3">
        <v>21.45</v>
      </c>
      <c r="G8403" s="3">
        <v>12.74</v>
      </c>
    </row>
    <row r="8404">
      <c r="A8404" s="3">
        <v>781984.0</v>
      </c>
      <c r="B8404" s="3" t="s">
        <v>8432</v>
      </c>
      <c r="C8404" s="3" t="s">
        <v>189</v>
      </c>
      <c r="D8404" s="3">
        <v>224.0</v>
      </c>
      <c r="E8404" s="3">
        <v>9.82</v>
      </c>
      <c r="F8404" s="3">
        <v>19.63</v>
      </c>
      <c r="G8404" s="3">
        <v>12.74</v>
      </c>
    </row>
    <row r="8405">
      <c r="A8405" s="3">
        <v>781986.0</v>
      </c>
      <c r="B8405" s="3" t="s">
        <v>8433</v>
      </c>
      <c r="C8405" s="3" t="s">
        <v>189</v>
      </c>
      <c r="D8405" s="3">
        <v>236.0</v>
      </c>
      <c r="E8405" s="3">
        <v>13.77</v>
      </c>
      <c r="F8405" s="3">
        <v>26.14</v>
      </c>
      <c r="G8405" s="3">
        <v>0.0</v>
      </c>
    </row>
    <row r="8406">
      <c r="A8406" s="3">
        <v>781987.0</v>
      </c>
      <c r="B8406" s="3" t="s">
        <v>8434</v>
      </c>
      <c r="C8406" s="3" t="s">
        <v>189</v>
      </c>
      <c r="D8406" s="3">
        <v>182.0</v>
      </c>
      <c r="E8406" s="3">
        <v>7.96</v>
      </c>
      <c r="F8406" s="3">
        <v>25.85</v>
      </c>
      <c r="G8406" s="3">
        <v>0.0</v>
      </c>
    </row>
    <row r="8407">
      <c r="A8407" s="3">
        <v>781988.0</v>
      </c>
      <c r="B8407" s="3" t="s">
        <v>8435</v>
      </c>
      <c r="C8407" s="3" t="s">
        <v>189</v>
      </c>
      <c r="D8407" s="3">
        <v>236.0</v>
      </c>
      <c r="E8407" s="3">
        <v>15.92</v>
      </c>
      <c r="F8407" s="3">
        <v>21.76</v>
      </c>
      <c r="G8407" s="3">
        <v>0.0</v>
      </c>
    </row>
    <row r="8408">
      <c r="A8408" s="3">
        <v>781990.0</v>
      </c>
      <c r="B8408" s="3" t="s">
        <v>8436</v>
      </c>
      <c r="C8408" s="3" t="s">
        <v>189</v>
      </c>
      <c r="D8408" s="3">
        <v>233.0</v>
      </c>
      <c r="E8408" s="3">
        <v>14.21</v>
      </c>
      <c r="F8408" s="3">
        <v>24.67</v>
      </c>
      <c r="G8408" s="3">
        <v>0.0</v>
      </c>
    </row>
    <row r="8409">
      <c r="A8409" s="3">
        <v>781992.0</v>
      </c>
      <c r="B8409" s="3" t="s">
        <v>8437</v>
      </c>
      <c r="C8409" s="3" t="s">
        <v>189</v>
      </c>
      <c r="D8409" s="3">
        <v>621.0</v>
      </c>
      <c r="E8409" s="3">
        <v>65.55</v>
      </c>
      <c r="F8409" s="3">
        <v>7.0</v>
      </c>
      <c r="G8409" s="3">
        <v>0.0</v>
      </c>
    </row>
    <row r="8410">
      <c r="A8410" s="3">
        <v>781995.0</v>
      </c>
      <c r="B8410" s="3" t="s">
        <v>8438</v>
      </c>
      <c r="C8410" s="3" t="s">
        <v>189</v>
      </c>
      <c r="D8410" s="3">
        <v>292.0</v>
      </c>
      <c r="E8410" s="3">
        <v>20.77</v>
      </c>
      <c r="F8410" s="3">
        <v>24.32</v>
      </c>
      <c r="G8410" s="3">
        <v>0.0</v>
      </c>
    </row>
    <row r="8411">
      <c r="A8411" s="3">
        <v>781996.0</v>
      </c>
      <c r="B8411" s="3" t="s">
        <v>8439</v>
      </c>
      <c r="C8411" s="3" t="s">
        <v>189</v>
      </c>
      <c r="D8411" s="3">
        <v>313.0</v>
      </c>
      <c r="E8411" s="3">
        <v>22.89</v>
      </c>
      <c r="F8411" s="3">
        <v>24.96</v>
      </c>
      <c r="G8411" s="3">
        <v>0.0</v>
      </c>
    </row>
    <row r="8412">
      <c r="A8412" s="3">
        <v>781997.0</v>
      </c>
      <c r="B8412" s="3" t="s">
        <v>8440</v>
      </c>
      <c r="C8412" s="3" t="s">
        <v>189</v>
      </c>
      <c r="D8412" s="3">
        <v>313.0</v>
      </c>
      <c r="E8412" s="3">
        <v>22.89</v>
      </c>
      <c r="F8412" s="3">
        <v>24.96</v>
      </c>
      <c r="G8412" s="3">
        <v>0.0</v>
      </c>
    </row>
    <row r="8413">
      <c r="A8413" s="3">
        <v>781998.0</v>
      </c>
      <c r="B8413" s="3" t="s">
        <v>8441</v>
      </c>
      <c r="C8413" s="3" t="s">
        <v>189</v>
      </c>
      <c r="D8413" s="3">
        <v>214.0</v>
      </c>
      <c r="E8413" s="3">
        <v>9.65</v>
      </c>
      <c r="F8413" s="3">
        <v>29.74</v>
      </c>
      <c r="G8413" s="3">
        <v>0.0</v>
      </c>
    </row>
    <row r="8414">
      <c r="A8414" s="3">
        <v>781999.0</v>
      </c>
      <c r="B8414" s="3" t="s">
        <v>8442</v>
      </c>
      <c r="C8414" s="3" t="s">
        <v>189</v>
      </c>
      <c r="D8414" s="3">
        <v>313.0</v>
      </c>
      <c r="E8414" s="3">
        <v>22.89</v>
      </c>
      <c r="F8414" s="3">
        <v>24.96</v>
      </c>
      <c r="G8414" s="3">
        <v>0.0</v>
      </c>
    </row>
    <row r="8415">
      <c r="A8415" s="3">
        <v>782000.0</v>
      </c>
      <c r="B8415" s="3" t="s">
        <v>8443</v>
      </c>
      <c r="C8415" s="3" t="s">
        <v>189</v>
      </c>
      <c r="D8415" s="3">
        <v>313.0</v>
      </c>
      <c r="E8415" s="3">
        <v>22.89</v>
      </c>
      <c r="F8415" s="3">
        <v>24.96</v>
      </c>
      <c r="G8415" s="3">
        <v>0.0</v>
      </c>
    </row>
    <row r="8416">
      <c r="A8416" s="3">
        <v>782001.0</v>
      </c>
      <c r="B8416" s="3" t="s">
        <v>8444</v>
      </c>
      <c r="C8416" s="3" t="s">
        <v>189</v>
      </c>
      <c r="D8416" s="3">
        <v>214.0</v>
      </c>
      <c r="E8416" s="3">
        <v>9.65</v>
      </c>
      <c r="F8416" s="3">
        <v>29.74</v>
      </c>
      <c r="G8416" s="3">
        <v>0.0</v>
      </c>
    </row>
    <row r="8417">
      <c r="A8417" s="3">
        <v>782002.0</v>
      </c>
      <c r="B8417" s="3" t="s">
        <v>8445</v>
      </c>
      <c r="C8417" s="3" t="s">
        <v>189</v>
      </c>
      <c r="D8417" s="3">
        <v>274.0</v>
      </c>
      <c r="E8417" s="3">
        <v>19.8</v>
      </c>
      <c r="F8417" s="3">
        <v>22.32</v>
      </c>
      <c r="G8417" s="3">
        <v>0.0</v>
      </c>
    </row>
    <row r="8418">
      <c r="A8418" s="3">
        <v>782003.0</v>
      </c>
      <c r="B8418" s="3" t="s">
        <v>8446</v>
      </c>
      <c r="C8418" s="3" t="s">
        <v>189</v>
      </c>
      <c r="D8418" s="3">
        <v>274.0</v>
      </c>
      <c r="E8418" s="3">
        <v>19.8</v>
      </c>
      <c r="F8418" s="3">
        <v>22.32</v>
      </c>
      <c r="G8418" s="3">
        <v>0.0</v>
      </c>
    </row>
    <row r="8419">
      <c r="A8419" s="3">
        <v>782004.0</v>
      </c>
      <c r="B8419" s="3" t="s">
        <v>8447</v>
      </c>
      <c r="C8419" s="3" t="s">
        <v>189</v>
      </c>
      <c r="D8419" s="3">
        <v>202.0</v>
      </c>
      <c r="E8419" s="3">
        <v>10.68</v>
      </c>
      <c r="F8419" s="3">
        <v>24.73</v>
      </c>
      <c r="G8419" s="3">
        <v>0.0</v>
      </c>
    </row>
    <row r="8420">
      <c r="A8420" s="3">
        <v>782005.0</v>
      </c>
      <c r="B8420" s="3" t="s">
        <v>8448</v>
      </c>
      <c r="C8420" s="3" t="s">
        <v>189</v>
      </c>
      <c r="D8420" s="3">
        <v>233.0</v>
      </c>
      <c r="E8420" s="3">
        <v>12.84</v>
      </c>
      <c r="F8420" s="3">
        <v>27.51</v>
      </c>
      <c r="G8420" s="3">
        <v>0.0</v>
      </c>
    </row>
    <row r="8421">
      <c r="A8421" s="3">
        <v>782006.0</v>
      </c>
      <c r="B8421" s="3" t="s">
        <v>8449</v>
      </c>
      <c r="C8421" s="3" t="s">
        <v>189</v>
      </c>
      <c r="D8421" s="3">
        <v>358.0</v>
      </c>
      <c r="E8421" s="3">
        <v>29.34</v>
      </c>
      <c r="F8421" s="3">
        <v>21.95</v>
      </c>
      <c r="G8421" s="3">
        <v>0.0</v>
      </c>
    </row>
    <row r="8422">
      <c r="A8422" s="3">
        <v>782007.0</v>
      </c>
      <c r="B8422" s="3" t="s">
        <v>8450</v>
      </c>
      <c r="C8422" s="3" t="s">
        <v>189</v>
      </c>
      <c r="D8422" s="3">
        <v>358.0</v>
      </c>
      <c r="E8422" s="3">
        <v>29.34</v>
      </c>
      <c r="F8422" s="3">
        <v>21.95</v>
      </c>
      <c r="G8422" s="3">
        <v>0.0</v>
      </c>
    </row>
    <row r="8423">
      <c r="A8423" s="3">
        <v>782008.0</v>
      </c>
      <c r="B8423" s="3" t="s">
        <v>8451</v>
      </c>
      <c r="C8423" s="3" t="s">
        <v>189</v>
      </c>
      <c r="D8423" s="3">
        <v>241.0</v>
      </c>
      <c r="E8423" s="3">
        <v>13.35</v>
      </c>
      <c r="F8423" s="3">
        <v>28.13</v>
      </c>
      <c r="G8423" s="3">
        <v>0.0</v>
      </c>
    </row>
    <row r="8424">
      <c r="A8424" s="3">
        <v>782009.0</v>
      </c>
      <c r="B8424" s="3" t="s">
        <v>8452</v>
      </c>
      <c r="C8424" s="3" t="s">
        <v>189</v>
      </c>
      <c r="D8424" s="3">
        <v>265.0</v>
      </c>
      <c r="E8424" s="3">
        <v>18.07</v>
      </c>
      <c r="F8424" s="3">
        <v>23.83</v>
      </c>
      <c r="G8424" s="3">
        <v>0.0</v>
      </c>
    </row>
    <row r="8425">
      <c r="A8425" s="3">
        <v>782010.0</v>
      </c>
      <c r="B8425" s="3" t="s">
        <v>8453</v>
      </c>
      <c r="C8425" s="3" t="s">
        <v>189</v>
      </c>
      <c r="D8425" s="3">
        <v>265.0</v>
      </c>
      <c r="E8425" s="3">
        <v>18.07</v>
      </c>
      <c r="F8425" s="3">
        <v>23.83</v>
      </c>
      <c r="G8425" s="3">
        <v>0.0</v>
      </c>
    </row>
    <row r="8426">
      <c r="A8426" s="3">
        <v>782011.0</v>
      </c>
      <c r="B8426" s="3" t="s">
        <v>8454</v>
      </c>
      <c r="C8426" s="3" t="s">
        <v>189</v>
      </c>
      <c r="D8426" s="3">
        <v>196.0</v>
      </c>
      <c r="E8426" s="3">
        <v>9.18</v>
      </c>
      <c r="F8426" s="3">
        <v>26.4</v>
      </c>
      <c r="G8426" s="3">
        <v>0.0</v>
      </c>
    </row>
    <row r="8427">
      <c r="A8427" s="3">
        <v>782012.0</v>
      </c>
      <c r="B8427" s="3" t="s">
        <v>8455</v>
      </c>
      <c r="C8427" s="3" t="s">
        <v>189</v>
      </c>
      <c r="D8427" s="3">
        <v>281.0</v>
      </c>
      <c r="E8427" s="3">
        <v>19.49</v>
      </c>
      <c r="F8427" s="3">
        <v>24.54</v>
      </c>
      <c r="G8427" s="3">
        <v>0.0</v>
      </c>
    </row>
    <row r="8428">
      <c r="A8428" s="3">
        <v>782013.0</v>
      </c>
      <c r="B8428" s="3" t="s">
        <v>8456</v>
      </c>
      <c r="C8428" s="3" t="s">
        <v>189</v>
      </c>
      <c r="D8428" s="3">
        <v>142.0</v>
      </c>
      <c r="E8428" s="3">
        <v>3.0</v>
      </c>
      <c r="F8428" s="3">
        <v>26.87</v>
      </c>
      <c r="G8428" s="3">
        <v>0.0</v>
      </c>
    </row>
    <row r="8429">
      <c r="A8429" s="3">
        <v>782014.0</v>
      </c>
      <c r="B8429" s="3" t="s">
        <v>8457</v>
      </c>
      <c r="C8429" s="3" t="s">
        <v>189</v>
      </c>
      <c r="D8429" s="3">
        <v>153.0</v>
      </c>
      <c r="E8429" s="3">
        <v>4.52</v>
      </c>
      <c r="F8429" s="3">
        <v>26.46</v>
      </c>
      <c r="G8429" s="3">
        <v>0.0</v>
      </c>
    </row>
    <row r="8430">
      <c r="A8430" s="3">
        <v>782015.0</v>
      </c>
      <c r="B8430" s="3" t="s">
        <v>8458</v>
      </c>
      <c r="C8430" s="3" t="s">
        <v>189</v>
      </c>
      <c r="D8430" s="3">
        <v>142.0</v>
      </c>
      <c r="E8430" s="3">
        <v>3.0</v>
      </c>
      <c r="F8430" s="3">
        <v>26.87</v>
      </c>
      <c r="G8430" s="3">
        <v>0.0</v>
      </c>
    </row>
    <row r="8431">
      <c r="A8431" s="3">
        <v>782016.0</v>
      </c>
      <c r="B8431" s="3" t="s">
        <v>8459</v>
      </c>
      <c r="C8431" s="3" t="s">
        <v>189</v>
      </c>
      <c r="D8431" s="3">
        <v>144.0</v>
      </c>
      <c r="E8431" s="3">
        <v>5.46</v>
      </c>
      <c r="F8431" s="3">
        <v>21.82</v>
      </c>
      <c r="G8431" s="3">
        <v>0.48</v>
      </c>
    </row>
    <row r="8432">
      <c r="A8432" s="3">
        <v>782017.0</v>
      </c>
      <c r="B8432" s="3" t="s">
        <v>8460</v>
      </c>
      <c r="C8432" s="3" t="s">
        <v>189</v>
      </c>
      <c r="D8432" s="3">
        <v>142.0</v>
      </c>
      <c r="E8432" s="3">
        <v>3.0</v>
      </c>
      <c r="F8432" s="3">
        <v>26.87</v>
      </c>
      <c r="G8432" s="3">
        <v>0.0</v>
      </c>
    </row>
    <row r="8433">
      <c r="A8433" s="3">
        <v>782018.0</v>
      </c>
      <c r="B8433" s="3" t="s">
        <v>8461</v>
      </c>
      <c r="C8433" s="3" t="s">
        <v>189</v>
      </c>
      <c r="D8433" s="3">
        <v>229.0</v>
      </c>
      <c r="E8433" s="3">
        <v>11.3</v>
      </c>
      <c r="F8433" s="3">
        <v>29.85</v>
      </c>
      <c r="G8433" s="3">
        <v>0.0</v>
      </c>
    </row>
    <row r="8434">
      <c r="A8434" s="3">
        <v>782019.0</v>
      </c>
      <c r="B8434" s="3" t="s">
        <v>8462</v>
      </c>
      <c r="C8434" s="3" t="s">
        <v>189</v>
      </c>
      <c r="D8434" s="3">
        <v>229.0</v>
      </c>
      <c r="E8434" s="3">
        <v>11.3</v>
      </c>
      <c r="F8434" s="3">
        <v>29.85</v>
      </c>
      <c r="G8434" s="3">
        <v>0.0</v>
      </c>
    </row>
    <row r="8435">
      <c r="A8435" s="3">
        <v>782020.0</v>
      </c>
      <c r="B8435" s="3" t="s">
        <v>8463</v>
      </c>
      <c r="C8435" s="3" t="s">
        <v>189</v>
      </c>
      <c r="D8435" s="3">
        <v>194.0</v>
      </c>
      <c r="E8435" s="3">
        <v>6.52</v>
      </c>
      <c r="F8435" s="3">
        <v>31.63</v>
      </c>
      <c r="G8435" s="3">
        <v>0.0</v>
      </c>
    </row>
    <row r="8436">
      <c r="A8436" s="3">
        <v>782021.0</v>
      </c>
      <c r="B8436" s="3" t="s">
        <v>8464</v>
      </c>
      <c r="C8436" s="3" t="s">
        <v>189</v>
      </c>
      <c r="D8436" s="3">
        <v>215.0</v>
      </c>
      <c r="E8436" s="3">
        <v>12.22</v>
      </c>
      <c r="F8436" s="3">
        <v>24.59</v>
      </c>
      <c r="G8436" s="3">
        <v>0.0</v>
      </c>
    </row>
    <row r="8437">
      <c r="A8437" s="3">
        <v>782022.0</v>
      </c>
      <c r="B8437" s="3" t="s">
        <v>8465</v>
      </c>
      <c r="C8437" s="3" t="s">
        <v>189</v>
      </c>
      <c r="D8437" s="3">
        <v>215.0</v>
      </c>
      <c r="E8437" s="3">
        <v>12.22</v>
      </c>
      <c r="F8437" s="3">
        <v>24.59</v>
      </c>
      <c r="G8437" s="3">
        <v>0.0</v>
      </c>
    </row>
    <row r="8438">
      <c r="A8438" s="3">
        <v>782023.0</v>
      </c>
      <c r="B8438" s="3" t="s">
        <v>8466</v>
      </c>
      <c r="C8438" s="3" t="s">
        <v>189</v>
      </c>
      <c r="D8438" s="3">
        <v>174.0</v>
      </c>
      <c r="E8438" s="3">
        <v>6.88</v>
      </c>
      <c r="F8438" s="3">
        <v>26.1</v>
      </c>
      <c r="G8438" s="3">
        <v>0.0</v>
      </c>
    </row>
    <row r="8439">
      <c r="A8439" s="3">
        <v>782027.0</v>
      </c>
      <c r="B8439" s="3" t="s">
        <v>8467</v>
      </c>
      <c r="C8439" s="3" t="s">
        <v>189</v>
      </c>
      <c r="D8439" s="3">
        <v>215.0</v>
      </c>
      <c r="E8439" s="3">
        <v>12.22</v>
      </c>
      <c r="F8439" s="3">
        <v>24.59</v>
      </c>
      <c r="G8439" s="3">
        <v>0.0</v>
      </c>
    </row>
    <row r="8440">
      <c r="A8440" s="3">
        <v>782028.0</v>
      </c>
      <c r="B8440" s="3" t="s">
        <v>8468</v>
      </c>
      <c r="C8440" s="3" t="s">
        <v>189</v>
      </c>
      <c r="D8440" s="3">
        <v>215.0</v>
      </c>
      <c r="E8440" s="3">
        <v>12.22</v>
      </c>
      <c r="F8440" s="3">
        <v>24.59</v>
      </c>
      <c r="G8440" s="3">
        <v>0.0</v>
      </c>
    </row>
    <row r="8441">
      <c r="A8441" s="3">
        <v>782029.0</v>
      </c>
      <c r="B8441" s="3" t="s">
        <v>8469</v>
      </c>
      <c r="C8441" s="3" t="s">
        <v>189</v>
      </c>
      <c r="D8441" s="3">
        <v>174.0</v>
      </c>
      <c r="E8441" s="3">
        <v>6.88</v>
      </c>
      <c r="F8441" s="3">
        <v>26.1</v>
      </c>
      <c r="G8441" s="3">
        <v>0.0</v>
      </c>
    </row>
    <row r="8442">
      <c r="A8442" s="3">
        <v>782030.0</v>
      </c>
      <c r="B8442" s="3" t="s">
        <v>8470</v>
      </c>
      <c r="C8442" s="3" t="s">
        <v>189</v>
      </c>
      <c r="D8442" s="3">
        <v>209.0</v>
      </c>
      <c r="E8442" s="3">
        <v>7.28</v>
      </c>
      <c r="F8442" s="3">
        <v>33.67</v>
      </c>
      <c r="G8442" s="3">
        <v>0.0</v>
      </c>
    </row>
    <row r="8443">
      <c r="A8443" s="3">
        <v>782031.0</v>
      </c>
      <c r="B8443" s="3" t="s">
        <v>8471</v>
      </c>
      <c r="C8443" s="3" t="s">
        <v>189</v>
      </c>
      <c r="D8443" s="3">
        <v>209.0</v>
      </c>
      <c r="E8443" s="3">
        <v>6.28</v>
      </c>
      <c r="F8443" s="3">
        <v>35.86</v>
      </c>
      <c r="G8443" s="3">
        <v>0.0</v>
      </c>
    </row>
    <row r="8444">
      <c r="A8444" s="3">
        <v>782032.0</v>
      </c>
      <c r="B8444" s="3" t="s">
        <v>8472</v>
      </c>
      <c r="C8444" s="3" t="s">
        <v>189</v>
      </c>
      <c r="D8444" s="3">
        <v>181.0</v>
      </c>
      <c r="E8444" s="3">
        <v>4.58</v>
      </c>
      <c r="F8444" s="3">
        <v>32.89</v>
      </c>
      <c r="G8444" s="3">
        <v>0.0</v>
      </c>
    </row>
    <row r="8445">
      <c r="A8445" s="3">
        <v>782033.0</v>
      </c>
      <c r="B8445" s="3" t="s">
        <v>8473</v>
      </c>
      <c r="C8445" s="3" t="s">
        <v>189</v>
      </c>
      <c r="D8445" s="3">
        <v>159.0</v>
      </c>
      <c r="E8445" s="3">
        <v>4.61</v>
      </c>
      <c r="F8445" s="3">
        <v>27.47</v>
      </c>
      <c r="G8445" s="3">
        <v>0.0</v>
      </c>
    </row>
    <row r="8446">
      <c r="A8446" s="3">
        <v>782034.0</v>
      </c>
      <c r="B8446" s="3" t="s">
        <v>8474</v>
      </c>
      <c r="C8446" s="3" t="s">
        <v>189</v>
      </c>
      <c r="D8446" s="3">
        <v>159.0</v>
      </c>
      <c r="E8446" s="3">
        <v>4.61</v>
      </c>
      <c r="F8446" s="3">
        <v>27.47</v>
      </c>
      <c r="G8446" s="3">
        <v>0.0</v>
      </c>
    </row>
    <row r="8447">
      <c r="A8447" s="3">
        <v>782035.0</v>
      </c>
      <c r="B8447" s="3" t="s">
        <v>8475</v>
      </c>
      <c r="C8447" s="3" t="s">
        <v>189</v>
      </c>
      <c r="D8447" s="3">
        <v>181.0</v>
      </c>
      <c r="E8447" s="3">
        <v>4.58</v>
      </c>
      <c r="F8447" s="3">
        <v>32.89</v>
      </c>
      <c r="G8447" s="3">
        <v>0.0</v>
      </c>
    </row>
    <row r="8448">
      <c r="A8448" s="3">
        <v>782038.0</v>
      </c>
      <c r="B8448" s="3" t="s">
        <v>8476</v>
      </c>
      <c r="C8448" s="3" t="s">
        <v>189</v>
      </c>
      <c r="D8448" s="3">
        <v>181.0</v>
      </c>
      <c r="E8448" s="3">
        <v>4.58</v>
      </c>
      <c r="F8448" s="3">
        <v>32.89</v>
      </c>
      <c r="G8448" s="3">
        <v>0.0</v>
      </c>
    </row>
    <row r="8449">
      <c r="A8449" s="3">
        <v>782039.0</v>
      </c>
      <c r="B8449" s="3" t="s">
        <v>8477</v>
      </c>
      <c r="C8449" s="3" t="s">
        <v>189</v>
      </c>
      <c r="D8449" s="3">
        <v>229.0</v>
      </c>
      <c r="E8449" s="3">
        <v>11.3</v>
      </c>
      <c r="F8449" s="3">
        <v>29.85</v>
      </c>
      <c r="G8449" s="3">
        <v>0.0</v>
      </c>
    </row>
    <row r="8450">
      <c r="A8450" s="3">
        <v>782040.0</v>
      </c>
      <c r="B8450" s="3" t="s">
        <v>8478</v>
      </c>
      <c r="C8450" s="3" t="s">
        <v>189</v>
      </c>
      <c r="D8450" s="3">
        <v>229.0</v>
      </c>
      <c r="E8450" s="3">
        <v>11.3</v>
      </c>
      <c r="F8450" s="3">
        <v>29.85</v>
      </c>
      <c r="G8450" s="3">
        <v>0.0</v>
      </c>
    </row>
    <row r="8451">
      <c r="A8451" s="3">
        <v>782041.0</v>
      </c>
      <c r="B8451" s="3" t="s">
        <v>8479</v>
      </c>
      <c r="C8451" s="3" t="s">
        <v>189</v>
      </c>
      <c r="D8451" s="3">
        <v>174.0</v>
      </c>
      <c r="E8451" s="3">
        <v>6.88</v>
      </c>
      <c r="F8451" s="3">
        <v>26.1</v>
      </c>
      <c r="G8451" s="3">
        <v>0.0</v>
      </c>
    </row>
    <row r="8452">
      <c r="A8452" s="3">
        <v>782042.0</v>
      </c>
      <c r="B8452" s="3" t="s">
        <v>8480</v>
      </c>
      <c r="C8452" s="3" t="s">
        <v>189</v>
      </c>
      <c r="D8452" s="3">
        <v>171.0</v>
      </c>
      <c r="E8452" s="3">
        <v>7.5</v>
      </c>
      <c r="F8452" s="3">
        <v>24.18</v>
      </c>
      <c r="G8452" s="3">
        <v>0.0</v>
      </c>
    </row>
    <row r="8453">
      <c r="A8453" s="3">
        <v>782043.0</v>
      </c>
      <c r="B8453" s="3" t="s">
        <v>8481</v>
      </c>
      <c r="C8453" s="3" t="s">
        <v>189</v>
      </c>
      <c r="D8453" s="3">
        <v>234.0</v>
      </c>
      <c r="E8453" s="3">
        <v>13.79</v>
      </c>
      <c r="F8453" s="3">
        <v>20.75</v>
      </c>
      <c r="G8453" s="3">
        <v>5.27</v>
      </c>
    </row>
    <row r="8454">
      <c r="A8454" s="3">
        <v>782044.0</v>
      </c>
      <c r="B8454" s="3" t="s">
        <v>8482</v>
      </c>
      <c r="C8454" s="3" t="s">
        <v>189</v>
      </c>
      <c r="D8454" s="3">
        <v>283.0</v>
      </c>
      <c r="E8454" s="3">
        <v>17.11</v>
      </c>
      <c r="F8454" s="3">
        <v>22.23</v>
      </c>
      <c r="G8454" s="3">
        <v>8.63</v>
      </c>
    </row>
    <row r="8455">
      <c r="A8455" s="3">
        <v>782045.0</v>
      </c>
      <c r="B8455" s="3" t="s">
        <v>8483</v>
      </c>
      <c r="C8455" s="3" t="s">
        <v>189</v>
      </c>
      <c r="D8455" s="3">
        <v>205.0</v>
      </c>
      <c r="E8455" s="3">
        <v>8.38</v>
      </c>
      <c r="F8455" s="3">
        <v>30.25</v>
      </c>
      <c r="G8455" s="3">
        <v>0.0</v>
      </c>
    </row>
    <row r="8456">
      <c r="A8456" s="3">
        <v>782046.0</v>
      </c>
      <c r="B8456" s="3" t="s">
        <v>8484</v>
      </c>
      <c r="C8456" s="3" t="s">
        <v>189</v>
      </c>
      <c r="D8456" s="3">
        <v>205.0</v>
      </c>
      <c r="E8456" s="3">
        <v>8.38</v>
      </c>
      <c r="F8456" s="3">
        <v>30.25</v>
      </c>
      <c r="G8456" s="3">
        <v>0.0</v>
      </c>
    </row>
    <row r="8457">
      <c r="A8457" s="3">
        <v>782047.0</v>
      </c>
      <c r="B8457" s="3" t="s">
        <v>8485</v>
      </c>
      <c r="C8457" s="3" t="s">
        <v>189</v>
      </c>
      <c r="D8457" s="3">
        <v>248.0</v>
      </c>
      <c r="E8457" s="3">
        <v>12.16</v>
      </c>
      <c r="F8457" s="3">
        <v>27.65</v>
      </c>
      <c r="G8457" s="3">
        <v>5.06</v>
      </c>
    </row>
    <row r="8458">
      <c r="A8458" s="3">
        <v>782048.0</v>
      </c>
      <c r="B8458" s="3" t="s">
        <v>8486</v>
      </c>
      <c r="C8458" s="3" t="s">
        <v>189</v>
      </c>
      <c r="D8458" s="3">
        <v>172.0</v>
      </c>
      <c r="E8458" s="3">
        <v>3.5</v>
      </c>
      <c r="F8458" s="3">
        <v>32.88</v>
      </c>
      <c r="G8458" s="3">
        <v>0.0</v>
      </c>
    </row>
    <row r="8459">
      <c r="A8459" s="3">
        <v>782049.0</v>
      </c>
      <c r="B8459" s="3" t="s">
        <v>8487</v>
      </c>
      <c r="C8459" s="3" t="s">
        <v>189</v>
      </c>
      <c r="D8459" s="3">
        <v>190.0</v>
      </c>
      <c r="E8459" s="3">
        <v>3.93</v>
      </c>
      <c r="F8459" s="3">
        <v>36.08</v>
      </c>
      <c r="G8459" s="3">
        <v>0.0</v>
      </c>
    </row>
    <row r="8460">
      <c r="A8460" s="3">
        <v>782050.0</v>
      </c>
      <c r="B8460" s="3" t="s">
        <v>8488</v>
      </c>
      <c r="C8460" s="3" t="s">
        <v>189</v>
      </c>
      <c r="D8460" s="3">
        <v>187.0</v>
      </c>
      <c r="E8460" s="3">
        <v>4.08</v>
      </c>
      <c r="F8460" s="3">
        <v>35.11</v>
      </c>
      <c r="G8460" s="3">
        <v>0.0</v>
      </c>
    </row>
    <row r="8461">
      <c r="A8461" s="3">
        <v>782051.0</v>
      </c>
      <c r="B8461" s="3" t="s">
        <v>8489</v>
      </c>
      <c r="C8461" s="3" t="s">
        <v>189</v>
      </c>
      <c r="D8461" s="3">
        <v>190.0</v>
      </c>
      <c r="E8461" s="3">
        <v>3.93</v>
      </c>
      <c r="F8461" s="3">
        <v>36.08</v>
      </c>
      <c r="G8461" s="3">
        <v>0.0</v>
      </c>
    </row>
    <row r="8462">
      <c r="A8462" s="3">
        <v>782052.0</v>
      </c>
      <c r="B8462" s="3" t="s">
        <v>8490</v>
      </c>
      <c r="C8462" s="3" t="s">
        <v>189</v>
      </c>
      <c r="D8462" s="3">
        <v>150.0</v>
      </c>
      <c r="E8462" s="3">
        <v>2.61</v>
      </c>
      <c r="F8462" s="3">
        <v>29.8</v>
      </c>
      <c r="G8462" s="3">
        <v>0.0</v>
      </c>
    </row>
    <row r="8463">
      <c r="A8463" s="3">
        <v>782053.0</v>
      </c>
      <c r="B8463" s="3" t="s">
        <v>8491</v>
      </c>
      <c r="C8463" s="3" t="s">
        <v>189</v>
      </c>
      <c r="D8463" s="3">
        <v>224.0</v>
      </c>
      <c r="E8463" s="3">
        <v>7.68</v>
      </c>
      <c r="F8463" s="3">
        <v>24.88</v>
      </c>
      <c r="G8463" s="3">
        <v>12.38</v>
      </c>
    </row>
    <row r="8464">
      <c r="A8464" s="3">
        <v>782054.0</v>
      </c>
      <c r="B8464" s="3" t="s">
        <v>8492</v>
      </c>
      <c r="C8464" s="3" t="s">
        <v>189</v>
      </c>
      <c r="D8464" s="3">
        <v>396.0</v>
      </c>
      <c r="E8464" s="3">
        <v>22.36</v>
      </c>
      <c r="F8464" s="3">
        <v>32.2</v>
      </c>
      <c r="G8464" s="3">
        <v>14.78</v>
      </c>
    </row>
    <row r="8465">
      <c r="A8465" s="3">
        <v>782056.0</v>
      </c>
      <c r="B8465" s="3" t="s">
        <v>8493</v>
      </c>
      <c r="C8465" s="3" t="s">
        <v>189</v>
      </c>
      <c r="D8465" s="3">
        <v>193.0</v>
      </c>
      <c r="E8465" s="3">
        <v>8.28</v>
      </c>
      <c r="F8465" s="3">
        <v>28.06</v>
      </c>
      <c r="G8465" s="3">
        <v>0.0</v>
      </c>
    </row>
    <row r="8466">
      <c r="A8466" s="3">
        <v>782057.0</v>
      </c>
      <c r="B8466" s="3" t="s">
        <v>8494</v>
      </c>
      <c r="C8466" s="3" t="s">
        <v>189</v>
      </c>
      <c r="D8466" s="3">
        <v>190.0</v>
      </c>
      <c r="E8466" s="3">
        <v>3.93</v>
      </c>
      <c r="F8466" s="3">
        <v>36.08</v>
      </c>
      <c r="G8466" s="3">
        <v>0.0</v>
      </c>
    </row>
    <row r="8467">
      <c r="A8467" s="3">
        <v>782058.0</v>
      </c>
      <c r="B8467" s="3" t="s">
        <v>8495</v>
      </c>
      <c r="C8467" s="3" t="s">
        <v>189</v>
      </c>
      <c r="D8467" s="3">
        <v>190.0</v>
      </c>
      <c r="E8467" s="3">
        <v>3.93</v>
      </c>
      <c r="F8467" s="3">
        <v>36.08</v>
      </c>
      <c r="G8467" s="3">
        <v>0.0</v>
      </c>
    </row>
    <row r="8468">
      <c r="A8468" s="3">
        <v>782059.0</v>
      </c>
      <c r="B8468" s="3" t="s">
        <v>8496</v>
      </c>
      <c r="C8468" s="3" t="s">
        <v>189</v>
      </c>
      <c r="D8468" s="3">
        <v>133.0</v>
      </c>
      <c r="E8468" s="3">
        <v>0.97</v>
      </c>
      <c r="F8468" s="3">
        <v>29.15</v>
      </c>
      <c r="G8468" s="3">
        <v>0.0</v>
      </c>
    </row>
    <row r="8469">
      <c r="A8469" s="3">
        <v>782060.0</v>
      </c>
      <c r="B8469" s="3" t="s">
        <v>8497</v>
      </c>
      <c r="C8469" s="3" t="s">
        <v>189</v>
      </c>
      <c r="D8469" s="3">
        <v>258.0</v>
      </c>
      <c r="E8469" s="3">
        <v>13.33</v>
      </c>
      <c r="F8469" s="3">
        <v>32.28</v>
      </c>
      <c r="G8469" s="3">
        <v>0.0</v>
      </c>
    </row>
    <row r="8470">
      <c r="A8470" s="3">
        <v>782061.0</v>
      </c>
      <c r="B8470" s="3" t="s">
        <v>8498</v>
      </c>
      <c r="C8470" s="3" t="s">
        <v>189</v>
      </c>
      <c r="D8470" s="3">
        <v>166.0</v>
      </c>
      <c r="E8470" s="3">
        <v>4.4</v>
      </c>
      <c r="F8470" s="3">
        <v>29.64</v>
      </c>
      <c r="G8470" s="3">
        <v>0.0</v>
      </c>
    </row>
    <row r="8471">
      <c r="A8471" s="3">
        <v>782062.0</v>
      </c>
      <c r="B8471" s="3" t="s">
        <v>8499</v>
      </c>
      <c r="C8471" s="3" t="s">
        <v>189</v>
      </c>
      <c r="D8471" s="3">
        <v>142.0</v>
      </c>
      <c r="E8471" s="3">
        <v>2.41</v>
      </c>
      <c r="F8471" s="3">
        <v>28.32</v>
      </c>
      <c r="G8471" s="3">
        <v>0.0</v>
      </c>
    </row>
    <row r="8472">
      <c r="A8472" s="3">
        <v>782063.0</v>
      </c>
      <c r="B8472" s="3" t="s">
        <v>8500</v>
      </c>
      <c r="C8472" s="3" t="s">
        <v>189</v>
      </c>
      <c r="D8472" s="3">
        <v>234.0</v>
      </c>
      <c r="E8472" s="3">
        <v>13.6</v>
      </c>
      <c r="F8472" s="3">
        <v>25.96</v>
      </c>
      <c r="G8472" s="3">
        <v>0.0</v>
      </c>
    </row>
    <row r="8473">
      <c r="A8473" s="3">
        <v>782064.0</v>
      </c>
      <c r="B8473" s="3" t="s">
        <v>8501</v>
      </c>
      <c r="C8473" s="3" t="s">
        <v>189</v>
      </c>
      <c r="D8473" s="3">
        <v>220.0</v>
      </c>
      <c r="E8473" s="3">
        <v>10.16</v>
      </c>
      <c r="F8473" s="3">
        <v>30.07</v>
      </c>
      <c r="G8473" s="3">
        <v>0.0</v>
      </c>
    </row>
    <row r="8474">
      <c r="A8474" s="3">
        <v>782065.0</v>
      </c>
      <c r="B8474" s="3" t="s">
        <v>8502</v>
      </c>
      <c r="C8474" s="3" t="s">
        <v>189</v>
      </c>
      <c r="D8474" s="3">
        <v>172.0</v>
      </c>
      <c r="E8474" s="3">
        <v>4.67</v>
      </c>
      <c r="F8474" s="3">
        <v>30.64</v>
      </c>
      <c r="G8474" s="3">
        <v>0.0</v>
      </c>
    </row>
    <row r="8475">
      <c r="A8475" s="3">
        <v>782066.0</v>
      </c>
      <c r="B8475" s="3" t="s">
        <v>8503</v>
      </c>
      <c r="C8475" s="3" t="s">
        <v>189</v>
      </c>
      <c r="D8475" s="3">
        <v>211.0</v>
      </c>
      <c r="E8475" s="3">
        <v>6.93</v>
      </c>
      <c r="F8475" s="3">
        <v>34.7</v>
      </c>
      <c r="G8475" s="3">
        <v>0.0</v>
      </c>
    </row>
    <row r="8476">
      <c r="A8476" s="3">
        <v>782067.0</v>
      </c>
      <c r="B8476" s="3" t="s">
        <v>8504</v>
      </c>
      <c r="C8476" s="3" t="s">
        <v>189</v>
      </c>
      <c r="D8476" s="3">
        <v>254.0</v>
      </c>
      <c r="E8476" s="3">
        <v>14.44</v>
      </c>
      <c r="F8476" s="3">
        <v>29.08</v>
      </c>
      <c r="G8476" s="3">
        <v>0.0</v>
      </c>
    </row>
    <row r="8477">
      <c r="A8477" s="3">
        <v>782068.0</v>
      </c>
      <c r="B8477" s="3" t="s">
        <v>8505</v>
      </c>
      <c r="C8477" s="3" t="s">
        <v>189</v>
      </c>
      <c r="D8477" s="3">
        <v>159.0</v>
      </c>
      <c r="E8477" s="3">
        <v>4.36</v>
      </c>
      <c r="F8477" s="3">
        <v>28.18</v>
      </c>
      <c r="G8477" s="3">
        <v>0.0</v>
      </c>
    </row>
    <row r="8478">
      <c r="A8478" s="3">
        <v>782069.0</v>
      </c>
      <c r="B8478" s="3" t="s">
        <v>8506</v>
      </c>
      <c r="C8478" s="3" t="s">
        <v>189</v>
      </c>
      <c r="D8478" s="3">
        <v>157.0</v>
      </c>
      <c r="E8478" s="3">
        <v>4.3</v>
      </c>
      <c r="F8478" s="3">
        <v>27.8</v>
      </c>
      <c r="G8478" s="3">
        <v>0.0</v>
      </c>
    </row>
    <row r="8479">
      <c r="A8479" s="3">
        <v>782070.0</v>
      </c>
      <c r="B8479" s="3" t="s">
        <v>8507</v>
      </c>
      <c r="C8479" s="3" t="s">
        <v>189</v>
      </c>
      <c r="D8479" s="3">
        <v>174.0</v>
      </c>
      <c r="E8479" s="3">
        <v>7.01</v>
      </c>
      <c r="F8479" s="3">
        <v>25.93</v>
      </c>
      <c r="G8479" s="3">
        <v>0.0</v>
      </c>
    </row>
    <row r="8480">
      <c r="A8480" s="3">
        <v>782071.0</v>
      </c>
      <c r="B8480" s="3" t="s">
        <v>8508</v>
      </c>
      <c r="C8480" s="3" t="s">
        <v>196</v>
      </c>
      <c r="D8480" s="3">
        <v>87.0</v>
      </c>
      <c r="E8480" s="3">
        <v>3.41</v>
      </c>
      <c r="F8480" s="3">
        <v>14.07</v>
      </c>
      <c r="G8480" s="3">
        <v>0.85</v>
      </c>
    </row>
    <row r="8481">
      <c r="A8481" s="3">
        <v>782073.0</v>
      </c>
      <c r="B8481" s="3" t="s">
        <v>8509</v>
      </c>
      <c r="C8481" s="3" t="s">
        <v>189</v>
      </c>
      <c r="D8481" s="3">
        <v>164.0</v>
      </c>
      <c r="E8481" s="3">
        <v>6.36</v>
      </c>
      <c r="F8481" s="3">
        <v>26.79</v>
      </c>
      <c r="G8481" s="3">
        <v>0.0</v>
      </c>
    </row>
    <row r="8482">
      <c r="A8482" s="3">
        <v>782074.0</v>
      </c>
      <c r="B8482" s="3" t="s">
        <v>8510</v>
      </c>
      <c r="C8482" s="3" t="s">
        <v>189</v>
      </c>
      <c r="D8482" s="3">
        <v>196.0</v>
      </c>
      <c r="E8482" s="3">
        <v>10.65</v>
      </c>
      <c r="F8482" s="3">
        <v>25.07</v>
      </c>
      <c r="G8482" s="3">
        <v>0.1</v>
      </c>
    </row>
    <row r="8483">
      <c r="A8483" s="3">
        <v>782075.0</v>
      </c>
      <c r="B8483" s="3" t="s">
        <v>8511</v>
      </c>
      <c r="C8483" s="3" t="s">
        <v>189</v>
      </c>
      <c r="D8483" s="3">
        <v>164.0</v>
      </c>
      <c r="E8483" s="3">
        <v>6.36</v>
      </c>
      <c r="F8483" s="3">
        <v>26.79</v>
      </c>
      <c r="G8483" s="3">
        <v>0.0</v>
      </c>
    </row>
    <row r="8484">
      <c r="A8484" s="3">
        <v>782076.0</v>
      </c>
      <c r="B8484" s="3" t="s">
        <v>8512</v>
      </c>
      <c r="C8484" s="3" t="s">
        <v>189</v>
      </c>
      <c r="D8484" s="3">
        <v>165.0</v>
      </c>
      <c r="E8484" s="3">
        <v>5.32</v>
      </c>
      <c r="F8484" s="3">
        <v>27.32</v>
      </c>
      <c r="G8484" s="3">
        <v>0.0</v>
      </c>
    </row>
    <row r="8485">
      <c r="A8485" s="3">
        <v>782077.0</v>
      </c>
      <c r="B8485" s="3" t="s">
        <v>8513</v>
      </c>
      <c r="C8485" s="3" t="s">
        <v>189</v>
      </c>
      <c r="D8485" s="3">
        <v>203.0</v>
      </c>
      <c r="E8485" s="3">
        <v>10.8</v>
      </c>
      <c r="F8485" s="3">
        <v>24.7</v>
      </c>
      <c r="G8485" s="3">
        <v>0.0</v>
      </c>
    </row>
    <row r="8486">
      <c r="A8486" s="3">
        <v>782078.0</v>
      </c>
      <c r="B8486" s="3" t="s">
        <v>8514</v>
      </c>
      <c r="C8486" s="3" t="s">
        <v>189</v>
      </c>
      <c r="D8486" s="3">
        <v>165.0</v>
      </c>
      <c r="E8486" s="3">
        <v>5.32</v>
      </c>
      <c r="F8486" s="3">
        <v>27.32</v>
      </c>
      <c r="G8486" s="3">
        <v>0.0</v>
      </c>
    </row>
    <row r="8487">
      <c r="A8487" s="3">
        <v>782079.0</v>
      </c>
      <c r="B8487" s="3" t="s">
        <v>8515</v>
      </c>
      <c r="C8487" s="3" t="s">
        <v>189</v>
      </c>
      <c r="D8487" s="3">
        <v>164.0</v>
      </c>
      <c r="E8487" s="3">
        <v>6.36</v>
      </c>
      <c r="F8487" s="3">
        <v>26.79</v>
      </c>
      <c r="G8487" s="3">
        <v>0.0</v>
      </c>
    </row>
    <row r="8488">
      <c r="A8488" s="3">
        <v>782080.0</v>
      </c>
      <c r="B8488" s="3" t="s">
        <v>8516</v>
      </c>
      <c r="C8488" s="3" t="s">
        <v>189</v>
      </c>
      <c r="D8488" s="3">
        <v>196.0</v>
      </c>
      <c r="E8488" s="3">
        <v>10.65</v>
      </c>
      <c r="F8488" s="3">
        <v>25.07</v>
      </c>
      <c r="G8488" s="3">
        <v>0.1</v>
      </c>
    </row>
    <row r="8489">
      <c r="A8489" s="3">
        <v>782081.0</v>
      </c>
      <c r="B8489" s="3" t="s">
        <v>8517</v>
      </c>
      <c r="C8489" s="3" t="s">
        <v>189</v>
      </c>
      <c r="D8489" s="3">
        <v>164.0</v>
      </c>
      <c r="E8489" s="3">
        <v>6.36</v>
      </c>
      <c r="F8489" s="3">
        <v>26.79</v>
      </c>
      <c r="G8489" s="3">
        <v>0.0</v>
      </c>
    </row>
    <row r="8490">
      <c r="A8490" s="3">
        <v>782082.0</v>
      </c>
      <c r="B8490" s="3" t="s">
        <v>8518</v>
      </c>
      <c r="C8490" s="3" t="s">
        <v>189</v>
      </c>
      <c r="D8490" s="3">
        <v>156.0</v>
      </c>
      <c r="E8490" s="3">
        <v>5.38</v>
      </c>
      <c r="F8490" s="3">
        <v>26.03</v>
      </c>
      <c r="G8490" s="3">
        <v>0.0</v>
      </c>
    </row>
    <row r="8491">
      <c r="A8491" s="3">
        <v>782083.0</v>
      </c>
      <c r="B8491" s="3" t="s">
        <v>8519</v>
      </c>
      <c r="C8491" s="3" t="s">
        <v>189</v>
      </c>
      <c r="D8491" s="3">
        <v>196.0</v>
      </c>
      <c r="E8491" s="3">
        <v>10.86</v>
      </c>
      <c r="F8491" s="3">
        <v>23.58</v>
      </c>
      <c r="G8491" s="3">
        <v>0.0</v>
      </c>
    </row>
    <row r="8492">
      <c r="A8492" s="3">
        <v>782084.0</v>
      </c>
      <c r="B8492" s="3" t="s">
        <v>8520</v>
      </c>
      <c r="C8492" s="3" t="s">
        <v>189</v>
      </c>
      <c r="D8492" s="3">
        <v>156.0</v>
      </c>
      <c r="E8492" s="3">
        <v>5.38</v>
      </c>
      <c r="F8492" s="3">
        <v>26.03</v>
      </c>
      <c r="G8492" s="3">
        <v>0.0</v>
      </c>
    </row>
    <row r="8493">
      <c r="A8493" s="3">
        <v>782085.0</v>
      </c>
      <c r="B8493" s="3" t="s">
        <v>8521</v>
      </c>
      <c r="C8493" s="3" t="s">
        <v>189</v>
      </c>
      <c r="D8493" s="3">
        <v>179.0</v>
      </c>
      <c r="E8493" s="3">
        <v>7.2</v>
      </c>
      <c r="F8493" s="3">
        <v>26.74</v>
      </c>
      <c r="G8493" s="3">
        <v>0.0</v>
      </c>
    </row>
    <row r="8494">
      <c r="A8494" s="3">
        <v>782086.0</v>
      </c>
      <c r="B8494" s="3" t="s">
        <v>8522</v>
      </c>
      <c r="C8494" s="3" t="s">
        <v>189</v>
      </c>
      <c r="D8494" s="3">
        <v>216.0</v>
      </c>
      <c r="E8494" s="3">
        <v>12.57</v>
      </c>
      <c r="F8494" s="3">
        <v>24.19</v>
      </c>
      <c r="G8494" s="3">
        <v>0.0</v>
      </c>
    </row>
    <row r="8495">
      <c r="A8495" s="3">
        <v>782087.0</v>
      </c>
      <c r="B8495" s="3" t="s">
        <v>8523</v>
      </c>
      <c r="C8495" s="3" t="s">
        <v>189</v>
      </c>
      <c r="D8495" s="3">
        <v>179.0</v>
      </c>
      <c r="E8495" s="3">
        <v>7.2</v>
      </c>
      <c r="F8495" s="3">
        <v>26.74</v>
      </c>
      <c r="G8495" s="3">
        <v>0.0</v>
      </c>
    </row>
    <row r="8496">
      <c r="A8496" s="3">
        <v>782088.0</v>
      </c>
      <c r="B8496" s="3" t="s">
        <v>8524</v>
      </c>
      <c r="C8496" s="3" t="s">
        <v>189</v>
      </c>
      <c r="D8496" s="3">
        <v>180.0</v>
      </c>
      <c r="E8496" s="3">
        <v>6.36</v>
      </c>
      <c r="F8496" s="3">
        <v>21.98</v>
      </c>
      <c r="G8496" s="3">
        <v>7.31</v>
      </c>
    </row>
    <row r="8497">
      <c r="A8497" s="3">
        <v>782089.0</v>
      </c>
      <c r="B8497" s="3" t="s">
        <v>8525</v>
      </c>
      <c r="C8497" s="3" t="s">
        <v>189</v>
      </c>
      <c r="D8497" s="3">
        <v>211.0</v>
      </c>
      <c r="E8497" s="3">
        <v>10.74</v>
      </c>
      <c r="F8497" s="3">
        <v>19.89</v>
      </c>
      <c r="G8497" s="3">
        <v>7.31</v>
      </c>
    </row>
    <row r="8498">
      <c r="A8498" s="3">
        <v>782090.0</v>
      </c>
      <c r="B8498" s="3" t="s">
        <v>8526</v>
      </c>
      <c r="C8498" s="3" t="s">
        <v>189</v>
      </c>
      <c r="D8498" s="3">
        <v>180.0</v>
      </c>
      <c r="E8498" s="3">
        <v>6.36</v>
      </c>
      <c r="F8498" s="3">
        <v>21.98</v>
      </c>
      <c r="G8498" s="3">
        <v>7.31</v>
      </c>
    </row>
    <row r="8499">
      <c r="A8499" s="3">
        <v>782091.0</v>
      </c>
      <c r="B8499" s="3" t="s">
        <v>8527</v>
      </c>
      <c r="C8499" s="3" t="s">
        <v>189</v>
      </c>
      <c r="D8499" s="3">
        <v>216.0</v>
      </c>
      <c r="E8499" s="3">
        <v>12.57</v>
      </c>
      <c r="F8499" s="3">
        <v>24.19</v>
      </c>
      <c r="G8499" s="3">
        <v>0.0</v>
      </c>
    </row>
    <row r="8500">
      <c r="A8500" s="3">
        <v>782092.0</v>
      </c>
      <c r="B8500" s="3" t="s">
        <v>8528</v>
      </c>
      <c r="C8500" s="3" t="s">
        <v>189</v>
      </c>
      <c r="D8500" s="3">
        <v>179.0</v>
      </c>
      <c r="E8500" s="3">
        <v>7.2</v>
      </c>
      <c r="F8500" s="3">
        <v>26.74</v>
      </c>
      <c r="G8500" s="3">
        <v>0.0</v>
      </c>
    </row>
    <row r="8501">
      <c r="A8501" s="3">
        <v>782093.0</v>
      </c>
      <c r="B8501" s="3" t="s">
        <v>8529</v>
      </c>
      <c r="C8501" s="3" t="s">
        <v>189</v>
      </c>
      <c r="D8501" s="3">
        <v>251.0</v>
      </c>
      <c r="E8501" s="3">
        <v>15.02</v>
      </c>
      <c r="F8501" s="3">
        <v>21.75</v>
      </c>
      <c r="G8501" s="3">
        <v>7.14</v>
      </c>
    </row>
    <row r="8502">
      <c r="A8502" s="3">
        <v>782094.0</v>
      </c>
      <c r="B8502" s="3" t="s">
        <v>8530</v>
      </c>
      <c r="C8502" s="3" t="s">
        <v>189</v>
      </c>
      <c r="D8502" s="3">
        <v>164.0</v>
      </c>
      <c r="E8502" s="3">
        <v>6.58</v>
      </c>
      <c r="F8502" s="3">
        <v>26.18</v>
      </c>
      <c r="G8502" s="3">
        <v>0.07</v>
      </c>
    </row>
    <row r="8503">
      <c r="A8503" s="3">
        <v>782095.0</v>
      </c>
      <c r="B8503" s="3" t="s">
        <v>8531</v>
      </c>
      <c r="C8503" s="3" t="s">
        <v>189</v>
      </c>
      <c r="D8503" s="3">
        <v>251.0</v>
      </c>
      <c r="E8503" s="3">
        <v>15.02</v>
      </c>
      <c r="F8503" s="3">
        <v>21.75</v>
      </c>
      <c r="G8503" s="3">
        <v>7.14</v>
      </c>
    </row>
    <row r="8504">
      <c r="A8504" s="3">
        <v>782096.0</v>
      </c>
      <c r="B8504" s="3" t="s">
        <v>8532</v>
      </c>
      <c r="C8504" s="3" t="s">
        <v>189</v>
      </c>
      <c r="D8504" s="3">
        <v>164.0</v>
      </c>
      <c r="E8504" s="3">
        <v>6.58</v>
      </c>
      <c r="F8504" s="3">
        <v>26.18</v>
      </c>
      <c r="G8504" s="3">
        <v>0.07</v>
      </c>
    </row>
    <row r="8505">
      <c r="A8505" s="3">
        <v>782099.0</v>
      </c>
      <c r="B8505" s="3" t="s">
        <v>8533</v>
      </c>
      <c r="C8505" s="3" t="s">
        <v>189</v>
      </c>
      <c r="D8505" s="3">
        <v>192.0</v>
      </c>
      <c r="E8505" s="3">
        <v>8.8</v>
      </c>
      <c r="F8505" s="3">
        <v>26.25</v>
      </c>
      <c r="G8505" s="3">
        <v>0.0</v>
      </c>
    </row>
    <row r="8506">
      <c r="A8506" s="3">
        <v>782100.0</v>
      </c>
      <c r="B8506" s="3" t="s">
        <v>8534</v>
      </c>
      <c r="C8506" s="3" t="s">
        <v>189</v>
      </c>
      <c r="D8506" s="3">
        <v>161.0</v>
      </c>
      <c r="E8506" s="3">
        <v>3.52</v>
      </c>
      <c r="F8506" s="3">
        <v>30.22</v>
      </c>
      <c r="G8506" s="3">
        <v>0.0</v>
      </c>
    </row>
    <row r="8507">
      <c r="A8507" s="3">
        <v>782103.0</v>
      </c>
      <c r="B8507" s="3" t="s">
        <v>8535</v>
      </c>
      <c r="C8507" s="3" t="s">
        <v>189</v>
      </c>
      <c r="D8507" s="3">
        <v>205.0</v>
      </c>
      <c r="E8507" s="3">
        <v>10.6</v>
      </c>
      <c r="F8507" s="3">
        <v>25.67</v>
      </c>
      <c r="G8507" s="3">
        <v>0.0</v>
      </c>
    </row>
    <row r="8508">
      <c r="A8508" s="3">
        <v>782104.0</v>
      </c>
      <c r="B8508" s="3" t="s">
        <v>8536</v>
      </c>
      <c r="C8508" s="3" t="s">
        <v>189</v>
      </c>
      <c r="D8508" s="3">
        <v>175.0</v>
      </c>
      <c r="E8508" s="3">
        <v>5.44</v>
      </c>
      <c r="F8508" s="3">
        <v>29.56</v>
      </c>
      <c r="G8508" s="3">
        <v>0.0</v>
      </c>
    </row>
    <row r="8509">
      <c r="A8509" s="3">
        <v>782105.0</v>
      </c>
      <c r="B8509" s="3" t="s">
        <v>8537</v>
      </c>
      <c r="C8509" s="3" t="s">
        <v>189</v>
      </c>
      <c r="D8509" s="3">
        <v>204.0</v>
      </c>
      <c r="E8509" s="3">
        <v>10.45</v>
      </c>
      <c r="F8509" s="3">
        <v>25.32</v>
      </c>
      <c r="G8509" s="3">
        <v>0.31</v>
      </c>
    </row>
    <row r="8510">
      <c r="A8510" s="3">
        <v>782106.0</v>
      </c>
      <c r="B8510" s="3" t="s">
        <v>8538</v>
      </c>
      <c r="C8510" s="3" t="s">
        <v>189</v>
      </c>
      <c r="D8510" s="3">
        <v>174.0</v>
      </c>
      <c r="E8510" s="3">
        <v>5.38</v>
      </c>
      <c r="F8510" s="3">
        <v>29.13</v>
      </c>
      <c r="G8510" s="3">
        <v>0.31</v>
      </c>
    </row>
    <row r="8511">
      <c r="A8511" s="3">
        <v>782109.0</v>
      </c>
      <c r="B8511" s="3" t="s">
        <v>8539</v>
      </c>
      <c r="C8511" s="3" t="s">
        <v>189</v>
      </c>
      <c r="D8511" s="3">
        <v>181.0</v>
      </c>
      <c r="E8511" s="3">
        <v>8.28</v>
      </c>
      <c r="F8511" s="3">
        <v>24.7</v>
      </c>
      <c r="G8511" s="3">
        <v>0.0</v>
      </c>
    </row>
    <row r="8512">
      <c r="A8512" s="3">
        <v>782110.0</v>
      </c>
      <c r="B8512" s="3" t="s">
        <v>8540</v>
      </c>
      <c r="C8512" s="3" t="s">
        <v>189</v>
      </c>
      <c r="D8512" s="3">
        <v>149.0</v>
      </c>
      <c r="E8512" s="3">
        <v>3.26</v>
      </c>
      <c r="F8512" s="3">
        <v>27.96</v>
      </c>
      <c r="G8512" s="3">
        <v>0.0</v>
      </c>
    </row>
    <row r="8513">
      <c r="A8513" s="3">
        <v>782111.0</v>
      </c>
      <c r="B8513" s="3" t="s">
        <v>8541</v>
      </c>
      <c r="C8513" s="3" t="s">
        <v>189</v>
      </c>
      <c r="D8513" s="3">
        <v>206.0</v>
      </c>
      <c r="E8513" s="3">
        <v>10.62</v>
      </c>
      <c r="F8513" s="3">
        <v>25.72</v>
      </c>
      <c r="G8513" s="3">
        <v>0.0</v>
      </c>
    </row>
    <row r="8514">
      <c r="A8514" s="3">
        <v>782112.0</v>
      </c>
      <c r="B8514" s="3" t="s">
        <v>8542</v>
      </c>
      <c r="C8514" s="3" t="s">
        <v>189</v>
      </c>
      <c r="D8514" s="3">
        <v>176.0</v>
      </c>
      <c r="E8514" s="3">
        <v>5.45</v>
      </c>
      <c r="F8514" s="3">
        <v>29.62</v>
      </c>
      <c r="G8514" s="3">
        <v>0.0</v>
      </c>
    </row>
    <row r="8515">
      <c r="A8515" s="3">
        <v>782113.0</v>
      </c>
      <c r="B8515" s="3" t="s">
        <v>8543</v>
      </c>
      <c r="C8515" s="3" t="s">
        <v>189</v>
      </c>
      <c r="D8515" s="3">
        <v>202.0</v>
      </c>
      <c r="E8515" s="3">
        <v>9.15</v>
      </c>
      <c r="F8515" s="3">
        <v>21.15</v>
      </c>
      <c r="G8515" s="3">
        <v>7.34</v>
      </c>
    </row>
    <row r="8516">
      <c r="A8516" s="3">
        <v>782114.0</v>
      </c>
      <c r="B8516" s="3" t="s">
        <v>8544</v>
      </c>
      <c r="C8516" s="3" t="s">
        <v>189</v>
      </c>
      <c r="D8516" s="3">
        <v>178.0</v>
      </c>
      <c r="E8516" s="3">
        <v>4.93</v>
      </c>
      <c r="F8516" s="3">
        <v>24.33</v>
      </c>
      <c r="G8516" s="3">
        <v>7.34</v>
      </c>
    </row>
    <row r="8517">
      <c r="A8517" s="3">
        <v>782115.0</v>
      </c>
      <c r="B8517" s="3" t="s">
        <v>8545</v>
      </c>
      <c r="C8517" s="3" t="s">
        <v>189</v>
      </c>
      <c r="D8517" s="3">
        <v>206.0</v>
      </c>
      <c r="E8517" s="3">
        <v>10.62</v>
      </c>
      <c r="F8517" s="3">
        <v>25.72</v>
      </c>
      <c r="G8517" s="3">
        <v>0.0</v>
      </c>
    </row>
    <row r="8518">
      <c r="A8518" s="3">
        <v>782116.0</v>
      </c>
      <c r="B8518" s="3" t="s">
        <v>8546</v>
      </c>
      <c r="C8518" s="3" t="s">
        <v>189</v>
      </c>
      <c r="D8518" s="3">
        <v>176.0</v>
      </c>
      <c r="E8518" s="3">
        <v>5.45</v>
      </c>
      <c r="F8518" s="3">
        <v>29.62</v>
      </c>
      <c r="G8518" s="3">
        <v>0.0</v>
      </c>
    </row>
    <row r="8519">
      <c r="A8519" s="3">
        <v>782117.0</v>
      </c>
      <c r="B8519" s="3" t="s">
        <v>8547</v>
      </c>
      <c r="C8519" s="3" t="s">
        <v>189</v>
      </c>
      <c r="D8519" s="3">
        <v>242.0</v>
      </c>
      <c r="E8519" s="3">
        <v>14.07</v>
      </c>
      <c r="F8519" s="3">
        <v>21.42</v>
      </c>
      <c r="G8519" s="3">
        <v>5.95</v>
      </c>
    </row>
    <row r="8520">
      <c r="A8520" s="3">
        <v>782118.0</v>
      </c>
      <c r="B8520" s="3" t="s">
        <v>8548</v>
      </c>
      <c r="C8520" s="3" t="s">
        <v>189</v>
      </c>
      <c r="D8520" s="3">
        <v>176.0</v>
      </c>
      <c r="E8520" s="3">
        <v>5.45</v>
      </c>
      <c r="F8520" s="3">
        <v>29.62</v>
      </c>
      <c r="G8520" s="3">
        <v>0.0</v>
      </c>
    </row>
    <row r="8521">
      <c r="A8521" s="3">
        <v>782119.0</v>
      </c>
      <c r="B8521" s="3" t="s">
        <v>8549</v>
      </c>
      <c r="C8521" s="3" t="s">
        <v>189</v>
      </c>
      <c r="D8521" s="3">
        <v>218.0</v>
      </c>
      <c r="E8521" s="3">
        <v>9.95</v>
      </c>
      <c r="F8521" s="3">
        <v>24.52</v>
      </c>
      <c r="G8521" s="3">
        <v>5.95</v>
      </c>
    </row>
    <row r="8522">
      <c r="A8522" s="3">
        <v>782120.0</v>
      </c>
      <c r="B8522" s="3" t="s">
        <v>8550</v>
      </c>
      <c r="C8522" s="3" t="s">
        <v>189</v>
      </c>
      <c r="D8522" s="3">
        <v>249.0</v>
      </c>
      <c r="E8522" s="3">
        <v>14.74</v>
      </c>
      <c r="F8522" s="3">
        <v>20.54</v>
      </c>
      <c r="G8522" s="3">
        <v>7.13</v>
      </c>
    </row>
    <row r="8523">
      <c r="A8523" s="3">
        <v>782121.0</v>
      </c>
      <c r="B8523" s="3" t="s">
        <v>8551</v>
      </c>
      <c r="C8523" s="3" t="s">
        <v>189</v>
      </c>
      <c r="D8523" s="3">
        <v>176.0</v>
      </c>
      <c r="E8523" s="3">
        <v>5.45</v>
      </c>
      <c r="F8523" s="3">
        <v>29.62</v>
      </c>
      <c r="G8523" s="3">
        <v>0.0</v>
      </c>
    </row>
    <row r="8524">
      <c r="A8524" s="3">
        <v>782122.0</v>
      </c>
      <c r="B8524" s="3" t="s">
        <v>8552</v>
      </c>
      <c r="C8524" s="3" t="s">
        <v>189</v>
      </c>
      <c r="D8524" s="3">
        <v>271.0</v>
      </c>
      <c r="E8524" s="3">
        <v>16.91</v>
      </c>
      <c r="F8524" s="3">
        <v>19.29</v>
      </c>
      <c r="G8524" s="3">
        <v>10.65</v>
      </c>
    </row>
    <row r="8525">
      <c r="A8525" s="3">
        <v>782123.0</v>
      </c>
      <c r="B8525" s="3" t="s">
        <v>8553</v>
      </c>
      <c r="C8525" s="3" t="s">
        <v>189</v>
      </c>
      <c r="D8525" s="3">
        <v>211.0</v>
      </c>
      <c r="E8525" s="3">
        <v>10.75</v>
      </c>
      <c r="F8525" s="3">
        <v>22.73</v>
      </c>
      <c r="G8525" s="3">
        <v>5.95</v>
      </c>
    </row>
    <row r="8526">
      <c r="A8526" s="3">
        <v>782124.0</v>
      </c>
      <c r="B8526" s="3" t="s">
        <v>8554</v>
      </c>
      <c r="C8526" s="3" t="s">
        <v>189</v>
      </c>
      <c r="D8526" s="3">
        <v>207.0</v>
      </c>
      <c r="E8526" s="3">
        <v>9.88</v>
      </c>
      <c r="F8526" s="3">
        <v>23.73</v>
      </c>
      <c r="G8526" s="3">
        <v>3.96</v>
      </c>
    </row>
    <row r="8527">
      <c r="A8527" s="3">
        <v>782125.0</v>
      </c>
      <c r="B8527" s="3" t="s">
        <v>8555</v>
      </c>
      <c r="C8527" s="3" t="s">
        <v>189</v>
      </c>
      <c r="D8527" s="3">
        <v>176.0</v>
      </c>
      <c r="E8527" s="3">
        <v>5.45</v>
      </c>
      <c r="F8527" s="3">
        <v>29.62</v>
      </c>
      <c r="G8527" s="3">
        <v>0.0</v>
      </c>
    </row>
    <row r="8528">
      <c r="A8528" s="3">
        <v>782126.0</v>
      </c>
      <c r="B8528" s="3" t="s">
        <v>8556</v>
      </c>
      <c r="C8528" s="3" t="s">
        <v>189</v>
      </c>
      <c r="D8528" s="3">
        <v>218.0</v>
      </c>
      <c r="E8528" s="3">
        <v>13.63</v>
      </c>
      <c r="F8528" s="3">
        <v>23.77</v>
      </c>
      <c r="G8528" s="3">
        <v>0.12</v>
      </c>
    </row>
    <row r="8529">
      <c r="A8529" s="3">
        <v>782127.0</v>
      </c>
      <c r="B8529" s="3" t="s">
        <v>8557</v>
      </c>
      <c r="C8529" s="3" t="s">
        <v>189</v>
      </c>
      <c r="D8529" s="3">
        <v>185.0</v>
      </c>
      <c r="E8529" s="3">
        <v>9.15</v>
      </c>
      <c r="F8529" s="3">
        <v>25.54</v>
      </c>
      <c r="G8529" s="3">
        <v>0.0</v>
      </c>
    </row>
    <row r="8530">
      <c r="A8530" s="3">
        <v>782128.0</v>
      </c>
      <c r="B8530" s="3" t="s">
        <v>8558</v>
      </c>
      <c r="C8530" s="3" t="s">
        <v>189</v>
      </c>
      <c r="D8530" s="3">
        <v>214.0</v>
      </c>
      <c r="E8530" s="3">
        <v>12.81</v>
      </c>
      <c r="F8530" s="3">
        <v>23.16</v>
      </c>
      <c r="G8530" s="3">
        <v>0.0</v>
      </c>
    </row>
    <row r="8531">
      <c r="A8531" s="3">
        <v>782129.0</v>
      </c>
      <c r="B8531" s="3" t="s">
        <v>8559</v>
      </c>
      <c r="C8531" s="3" t="s">
        <v>189</v>
      </c>
      <c r="D8531" s="3">
        <v>168.0</v>
      </c>
      <c r="E8531" s="3">
        <v>7.13</v>
      </c>
      <c r="F8531" s="3">
        <v>24.41</v>
      </c>
      <c r="G8531" s="3">
        <v>0.0</v>
      </c>
    </row>
    <row r="8532">
      <c r="A8532" s="3">
        <v>782130.0</v>
      </c>
      <c r="B8532" s="3" t="s">
        <v>8560</v>
      </c>
      <c r="C8532" s="3" t="s">
        <v>189</v>
      </c>
      <c r="D8532" s="3">
        <v>218.0</v>
      </c>
      <c r="E8532" s="3">
        <v>13.63</v>
      </c>
      <c r="F8532" s="3">
        <v>23.77</v>
      </c>
      <c r="G8532" s="3">
        <v>0.12</v>
      </c>
    </row>
    <row r="8533">
      <c r="A8533" s="3">
        <v>782131.0</v>
      </c>
      <c r="B8533" s="3" t="s">
        <v>8561</v>
      </c>
      <c r="C8533" s="3" t="s">
        <v>189</v>
      </c>
      <c r="D8533" s="3">
        <v>185.0</v>
      </c>
      <c r="E8533" s="3">
        <v>9.15</v>
      </c>
      <c r="F8533" s="3">
        <v>25.54</v>
      </c>
      <c r="G8533" s="3">
        <v>0.0</v>
      </c>
    </row>
    <row r="8534">
      <c r="A8534" s="3">
        <v>782132.0</v>
      </c>
      <c r="B8534" s="3" t="s">
        <v>8562</v>
      </c>
      <c r="C8534" s="3" t="s">
        <v>189</v>
      </c>
      <c r="D8534" s="3">
        <v>211.0</v>
      </c>
      <c r="E8534" s="3">
        <v>13.44</v>
      </c>
      <c r="F8534" s="3">
        <v>22.45</v>
      </c>
      <c r="G8534" s="3">
        <v>0.0</v>
      </c>
    </row>
    <row r="8535">
      <c r="A8535" s="3">
        <v>782133.0</v>
      </c>
      <c r="B8535" s="3" t="s">
        <v>8563</v>
      </c>
      <c r="C8535" s="3" t="s">
        <v>189</v>
      </c>
      <c r="D8535" s="3">
        <v>164.0</v>
      </c>
      <c r="E8535" s="3">
        <v>7.5</v>
      </c>
      <c r="F8535" s="3">
        <v>24.11</v>
      </c>
      <c r="G8535" s="3">
        <v>0.0</v>
      </c>
    </row>
    <row r="8536">
      <c r="A8536" s="3">
        <v>782134.0</v>
      </c>
      <c r="B8536" s="3" t="s">
        <v>8564</v>
      </c>
      <c r="C8536" s="3" t="s">
        <v>189</v>
      </c>
      <c r="D8536" s="3">
        <v>227.0</v>
      </c>
      <c r="E8536" s="3">
        <v>14.52</v>
      </c>
      <c r="F8536" s="3">
        <v>22.65</v>
      </c>
      <c r="G8536" s="3">
        <v>0.0</v>
      </c>
    </row>
    <row r="8537">
      <c r="A8537" s="3">
        <v>782135.0</v>
      </c>
      <c r="B8537" s="3" t="s">
        <v>8565</v>
      </c>
      <c r="C8537" s="3" t="s">
        <v>189</v>
      </c>
      <c r="D8537" s="3">
        <v>182.0</v>
      </c>
      <c r="E8537" s="3">
        <v>8.96</v>
      </c>
      <c r="F8537" s="3">
        <v>23.87</v>
      </c>
      <c r="G8537" s="3">
        <v>0.0</v>
      </c>
    </row>
    <row r="8538">
      <c r="A8538" s="3">
        <v>782136.0</v>
      </c>
      <c r="B8538" s="3" t="s">
        <v>8566</v>
      </c>
      <c r="C8538" s="3" t="s">
        <v>189</v>
      </c>
      <c r="D8538" s="3">
        <v>219.0</v>
      </c>
      <c r="E8538" s="3">
        <v>12.32</v>
      </c>
      <c r="F8538" s="3">
        <v>18.64</v>
      </c>
      <c r="G8538" s="3">
        <v>7.28</v>
      </c>
    </row>
    <row r="8539">
      <c r="A8539" s="3">
        <v>782137.0</v>
      </c>
      <c r="B8539" s="3" t="s">
        <v>8567</v>
      </c>
      <c r="C8539" s="3" t="s">
        <v>189</v>
      </c>
      <c r="D8539" s="3">
        <v>183.0</v>
      </c>
      <c r="E8539" s="3">
        <v>7.79</v>
      </c>
      <c r="F8539" s="3">
        <v>19.63</v>
      </c>
      <c r="G8539" s="3">
        <v>7.28</v>
      </c>
    </row>
    <row r="8540">
      <c r="A8540" s="3">
        <v>782138.0</v>
      </c>
      <c r="B8540" s="3" t="s">
        <v>8568</v>
      </c>
      <c r="C8540" s="3" t="s">
        <v>189</v>
      </c>
      <c r="D8540" s="3">
        <v>227.0</v>
      </c>
      <c r="E8540" s="3">
        <v>14.52</v>
      </c>
      <c r="F8540" s="3">
        <v>22.65</v>
      </c>
      <c r="G8540" s="3">
        <v>0.0</v>
      </c>
    </row>
    <row r="8541">
      <c r="A8541" s="3">
        <v>782139.0</v>
      </c>
      <c r="B8541" s="3" t="s">
        <v>8569</v>
      </c>
      <c r="C8541" s="3" t="s">
        <v>189</v>
      </c>
      <c r="D8541" s="3">
        <v>182.0</v>
      </c>
      <c r="E8541" s="3">
        <v>8.96</v>
      </c>
      <c r="F8541" s="3">
        <v>23.87</v>
      </c>
      <c r="G8541" s="3">
        <v>0.0</v>
      </c>
    </row>
    <row r="8542">
      <c r="A8542" s="3">
        <v>782140.0</v>
      </c>
      <c r="B8542" s="3" t="s">
        <v>8570</v>
      </c>
      <c r="C8542" s="3" t="s">
        <v>189</v>
      </c>
      <c r="D8542" s="3">
        <v>259.0</v>
      </c>
      <c r="E8542" s="3">
        <v>17.16</v>
      </c>
      <c r="F8542" s="3">
        <v>19.0</v>
      </c>
      <c r="G8542" s="3">
        <v>5.91</v>
      </c>
    </row>
    <row r="8543">
      <c r="A8543" s="3">
        <v>782141.0</v>
      </c>
      <c r="B8543" s="3" t="s">
        <v>8571</v>
      </c>
      <c r="C8543" s="3" t="s">
        <v>189</v>
      </c>
      <c r="D8543" s="3">
        <v>183.0</v>
      </c>
      <c r="E8543" s="3">
        <v>8.98</v>
      </c>
      <c r="F8543" s="3">
        <v>23.92</v>
      </c>
      <c r="G8543" s="3">
        <v>0.0</v>
      </c>
    </row>
    <row r="8544">
      <c r="A8544" s="3">
        <v>782142.0</v>
      </c>
      <c r="B8544" s="3" t="s">
        <v>8572</v>
      </c>
      <c r="C8544" s="3" t="s">
        <v>189</v>
      </c>
      <c r="D8544" s="3">
        <v>226.0</v>
      </c>
      <c r="E8544" s="3">
        <v>13.38</v>
      </c>
      <c r="F8544" s="3">
        <v>20.96</v>
      </c>
      <c r="G8544" s="3">
        <v>3.93</v>
      </c>
    </row>
    <row r="8545">
      <c r="A8545" s="3">
        <v>782143.0</v>
      </c>
      <c r="B8545" s="3" t="s">
        <v>8573</v>
      </c>
      <c r="C8545" s="3" t="s">
        <v>189</v>
      </c>
      <c r="D8545" s="3">
        <v>182.0</v>
      </c>
      <c r="E8545" s="3">
        <v>8.96</v>
      </c>
      <c r="F8545" s="3">
        <v>23.87</v>
      </c>
      <c r="G8545" s="3">
        <v>0.0</v>
      </c>
    </row>
    <row r="8546">
      <c r="A8546" s="3">
        <v>782146.0</v>
      </c>
      <c r="B8546" s="3" t="s">
        <v>8574</v>
      </c>
      <c r="C8546" s="3" t="s">
        <v>189</v>
      </c>
      <c r="D8546" s="3">
        <v>190.0</v>
      </c>
      <c r="E8546" s="3">
        <v>10.09</v>
      </c>
      <c r="F8546" s="3">
        <v>23.21</v>
      </c>
      <c r="G8546" s="3">
        <v>0.0</v>
      </c>
    </row>
    <row r="8547">
      <c r="A8547" s="3">
        <v>782147.0</v>
      </c>
      <c r="B8547" s="3" t="s">
        <v>8575</v>
      </c>
      <c r="C8547" s="3" t="s">
        <v>189</v>
      </c>
      <c r="D8547" s="3">
        <v>154.0</v>
      </c>
      <c r="E8547" s="3">
        <v>5.67</v>
      </c>
      <c r="F8547" s="3">
        <v>24.1</v>
      </c>
      <c r="G8547" s="3">
        <v>0.0</v>
      </c>
    </row>
    <row r="8548">
      <c r="A8548" s="3">
        <v>782150.0</v>
      </c>
      <c r="B8548" s="3" t="s">
        <v>8576</v>
      </c>
      <c r="C8548" s="3" t="s">
        <v>189</v>
      </c>
      <c r="D8548" s="3">
        <v>203.0</v>
      </c>
      <c r="E8548" s="3">
        <v>11.83</v>
      </c>
      <c r="F8548" s="3">
        <v>22.66</v>
      </c>
      <c r="G8548" s="3">
        <v>0.0</v>
      </c>
    </row>
    <row r="8549">
      <c r="A8549" s="3">
        <v>782151.0</v>
      </c>
      <c r="B8549" s="3" t="s">
        <v>8577</v>
      </c>
      <c r="C8549" s="3" t="s">
        <v>189</v>
      </c>
      <c r="D8549" s="3">
        <v>168.0</v>
      </c>
      <c r="E8549" s="3">
        <v>7.51</v>
      </c>
      <c r="F8549" s="3">
        <v>23.52</v>
      </c>
      <c r="G8549" s="3">
        <v>0.0</v>
      </c>
    </row>
    <row r="8550">
      <c r="A8550" s="3">
        <v>782154.0</v>
      </c>
      <c r="B8550" s="3" t="s">
        <v>8578</v>
      </c>
      <c r="C8550" s="3" t="s">
        <v>189</v>
      </c>
      <c r="D8550" s="3">
        <v>203.0</v>
      </c>
      <c r="E8550" s="3">
        <v>11.85</v>
      </c>
      <c r="F8550" s="3">
        <v>22.7</v>
      </c>
      <c r="G8550" s="3">
        <v>0.0</v>
      </c>
    </row>
    <row r="8551">
      <c r="A8551" s="3">
        <v>782155.0</v>
      </c>
      <c r="B8551" s="3" t="s">
        <v>8579</v>
      </c>
      <c r="C8551" s="3" t="s">
        <v>189</v>
      </c>
      <c r="D8551" s="3">
        <v>168.0</v>
      </c>
      <c r="E8551" s="3">
        <v>7.53</v>
      </c>
      <c r="F8551" s="3">
        <v>23.57</v>
      </c>
      <c r="G8551" s="3">
        <v>0.0</v>
      </c>
    </row>
    <row r="8552">
      <c r="A8552" s="3">
        <v>782156.0</v>
      </c>
      <c r="B8552" s="3" t="s">
        <v>8580</v>
      </c>
      <c r="C8552" s="3" t="s">
        <v>189</v>
      </c>
      <c r="D8552" s="3">
        <v>200.0</v>
      </c>
      <c r="E8552" s="3">
        <v>10.15</v>
      </c>
      <c r="F8552" s="3">
        <v>18.68</v>
      </c>
      <c r="G8552" s="3">
        <v>7.28</v>
      </c>
    </row>
    <row r="8553">
      <c r="A8553" s="3">
        <v>782157.0</v>
      </c>
      <c r="B8553" s="3" t="s">
        <v>8581</v>
      </c>
      <c r="C8553" s="3" t="s">
        <v>189</v>
      </c>
      <c r="D8553" s="3">
        <v>171.0</v>
      </c>
      <c r="E8553" s="3">
        <v>6.62</v>
      </c>
      <c r="F8553" s="3">
        <v>19.39</v>
      </c>
      <c r="G8553" s="3">
        <v>7.28</v>
      </c>
    </row>
    <row r="8554">
      <c r="A8554" s="3">
        <v>782158.0</v>
      </c>
      <c r="B8554" s="3" t="s">
        <v>8582</v>
      </c>
      <c r="C8554" s="3" t="s">
        <v>189</v>
      </c>
      <c r="D8554" s="3">
        <v>186.0</v>
      </c>
      <c r="E8554" s="3">
        <v>10.64</v>
      </c>
      <c r="F8554" s="3">
        <v>22.54</v>
      </c>
      <c r="G8554" s="3">
        <v>0.0</v>
      </c>
    </row>
    <row r="8555">
      <c r="A8555" s="3">
        <v>782159.0</v>
      </c>
      <c r="B8555" s="3" t="s">
        <v>8583</v>
      </c>
      <c r="C8555" s="3" t="s">
        <v>189</v>
      </c>
      <c r="D8555" s="3">
        <v>148.0</v>
      </c>
      <c r="E8555" s="3">
        <v>5.9</v>
      </c>
      <c r="F8555" s="3">
        <v>23.74</v>
      </c>
      <c r="G8555" s="3">
        <v>0.0</v>
      </c>
    </row>
    <row r="8556">
      <c r="A8556" s="3">
        <v>782160.0</v>
      </c>
      <c r="B8556" s="3" t="s">
        <v>8584</v>
      </c>
      <c r="C8556" s="3" t="s">
        <v>189</v>
      </c>
      <c r="D8556" s="3">
        <v>203.0</v>
      </c>
      <c r="E8556" s="3">
        <v>11.85</v>
      </c>
      <c r="F8556" s="3">
        <v>22.7</v>
      </c>
      <c r="G8556" s="3">
        <v>0.0</v>
      </c>
    </row>
    <row r="8557">
      <c r="A8557" s="3">
        <v>782161.0</v>
      </c>
      <c r="B8557" s="3" t="s">
        <v>8585</v>
      </c>
      <c r="C8557" s="3" t="s">
        <v>189</v>
      </c>
      <c r="D8557" s="3">
        <v>168.0</v>
      </c>
      <c r="E8557" s="3">
        <v>7.53</v>
      </c>
      <c r="F8557" s="3">
        <v>23.57</v>
      </c>
      <c r="G8557" s="3">
        <v>0.0</v>
      </c>
    </row>
    <row r="8558">
      <c r="A8558" s="3">
        <v>782162.0</v>
      </c>
      <c r="B8558" s="3" t="s">
        <v>8586</v>
      </c>
      <c r="C8558" s="3" t="s">
        <v>189</v>
      </c>
      <c r="D8558" s="3">
        <v>240.0</v>
      </c>
      <c r="E8558" s="3">
        <v>15.04</v>
      </c>
      <c r="F8558" s="3">
        <v>19.05</v>
      </c>
      <c r="G8558" s="3">
        <v>5.91</v>
      </c>
    </row>
    <row r="8559">
      <c r="A8559" s="3">
        <v>782163.0</v>
      </c>
      <c r="B8559" s="3" t="s">
        <v>8587</v>
      </c>
      <c r="C8559" s="3" t="s">
        <v>189</v>
      </c>
      <c r="D8559" s="3">
        <v>169.0</v>
      </c>
      <c r="E8559" s="3">
        <v>7.54</v>
      </c>
      <c r="F8559" s="3">
        <v>23.61</v>
      </c>
      <c r="G8559" s="3">
        <v>0.0</v>
      </c>
    </row>
    <row r="8560">
      <c r="A8560" s="3">
        <v>782164.0</v>
      </c>
      <c r="B8560" s="3" t="s">
        <v>8588</v>
      </c>
      <c r="C8560" s="3" t="s">
        <v>189</v>
      </c>
      <c r="D8560" s="3">
        <v>211.0</v>
      </c>
      <c r="E8560" s="3">
        <v>11.56</v>
      </c>
      <c r="F8560" s="3">
        <v>19.7</v>
      </c>
      <c r="G8560" s="3">
        <v>5.9</v>
      </c>
    </row>
    <row r="8561">
      <c r="A8561" s="3">
        <v>782165.0</v>
      </c>
      <c r="B8561" s="3" t="s">
        <v>8589</v>
      </c>
      <c r="C8561" s="3" t="s">
        <v>189</v>
      </c>
      <c r="D8561" s="3">
        <v>246.0</v>
      </c>
      <c r="E8561" s="3">
        <v>15.62</v>
      </c>
      <c r="F8561" s="3">
        <v>18.25</v>
      </c>
      <c r="G8561" s="3">
        <v>7.07</v>
      </c>
    </row>
    <row r="8562">
      <c r="A8562" s="3">
        <v>782166.0</v>
      </c>
      <c r="B8562" s="3" t="s">
        <v>8590</v>
      </c>
      <c r="C8562" s="3" t="s">
        <v>189</v>
      </c>
      <c r="D8562" s="3">
        <v>168.0</v>
      </c>
      <c r="E8562" s="3">
        <v>7.53</v>
      </c>
      <c r="F8562" s="3">
        <v>23.57</v>
      </c>
      <c r="G8562" s="3">
        <v>0.0</v>
      </c>
    </row>
    <row r="8563">
      <c r="A8563" s="3">
        <v>782167.0</v>
      </c>
      <c r="B8563" s="3" t="s">
        <v>8591</v>
      </c>
      <c r="C8563" s="3" t="s">
        <v>189</v>
      </c>
      <c r="D8563" s="3">
        <v>288.0</v>
      </c>
      <c r="E8563" s="3">
        <v>18.72</v>
      </c>
      <c r="F8563" s="3">
        <v>17.73</v>
      </c>
      <c r="G8563" s="3">
        <v>12.07</v>
      </c>
    </row>
    <row r="8564">
      <c r="A8564" s="3">
        <v>782168.0</v>
      </c>
      <c r="B8564" s="3" t="s">
        <v>8592</v>
      </c>
      <c r="C8564" s="3" t="s">
        <v>189</v>
      </c>
      <c r="D8564" s="3">
        <v>212.0</v>
      </c>
      <c r="E8564" s="3">
        <v>11.18</v>
      </c>
      <c r="F8564" s="3">
        <v>21.78</v>
      </c>
      <c r="G8564" s="3">
        <v>6.05</v>
      </c>
    </row>
    <row r="8565">
      <c r="A8565" s="3">
        <v>782169.0</v>
      </c>
      <c r="B8565" s="3" t="s">
        <v>8593</v>
      </c>
      <c r="C8565" s="3" t="s">
        <v>189</v>
      </c>
      <c r="D8565" s="3">
        <v>204.0</v>
      </c>
      <c r="E8565" s="3">
        <v>10.98</v>
      </c>
      <c r="F8565" s="3">
        <v>21.01</v>
      </c>
      <c r="G8565" s="3">
        <v>3.93</v>
      </c>
    </row>
    <row r="8566">
      <c r="A8566" s="3">
        <v>782170.0</v>
      </c>
      <c r="B8566" s="3" t="s">
        <v>8594</v>
      </c>
      <c r="C8566" s="3" t="s">
        <v>189</v>
      </c>
      <c r="D8566" s="3">
        <v>168.0</v>
      </c>
      <c r="E8566" s="3">
        <v>7.53</v>
      </c>
      <c r="F8566" s="3">
        <v>23.57</v>
      </c>
      <c r="G8566" s="3">
        <v>0.0</v>
      </c>
    </row>
    <row r="8567">
      <c r="A8567" s="3">
        <v>782173.0</v>
      </c>
      <c r="B8567" s="3" t="s">
        <v>8595</v>
      </c>
      <c r="C8567" s="3" t="s">
        <v>189</v>
      </c>
      <c r="D8567" s="3">
        <v>231.0</v>
      </c>
      <c r="E8567" s="3">
        <v>14.62</v>
      </c>
      <c r="F8567" s="3">
        <v>23.12</v>
      </c>
      <c r="G8567" s="3">
        <v>0.0</v>
      </c>
    </row>
    <row r="8568">
      <c r="A8568" s="3">
        <v>782174.0</v>
      </c>
      <c r="B8568" s="3" t="s">
        <v>8596</v>
      </c>
      <c r="C8568" s="3" t="s">
        <v>189</v>
      </c>
      <c r="D8568" s="3">
        <v>178.0</v>
      </c>
      <c r="E8568" s="3">
        <v>8.1</v>
      </c>
      <c r="F8568" s="3">
        <v>24.61</v>
      </c>
      <c r="G8568" s="3">
        <v>0.0</v>
      </c>
    </row>
    <row r="8569">
      <c r="A8569" s="3">
        <v>782177.0</v>
      </c>
      <c r="B8569" s="3" t="s">
        <v>8597</v>
      </c>
      <c r="C8569" s="3" t="s">
        <v>189</v>
      </c>
      <c r="D8569" s="3">
        <v>243.0</v>
      </c>
      <c r="E8569" s="3">
        <v>16.25</v>
      </c>
      <c r="F8569" s="3">
        <v>22.57</v>
      </c>
      <c r="G8569" s="3">
        <v>0.0</v>
      </c>
    </row>
    <row r="8570">
      <c r="A8570" s="3">
        <v>782178.0</v>
      </c>
      <c r="B8570" s="3" t="s">
        <v>8598</v>
      </c>
      <c r="C8570" s="3" t="s">
        <v>189</v>
      </c>
      <c r="D8570" s="3">
        <v>191.0</v>
      </c>
      <c r="E8570" s="3">
        <v>9.89</v>
      </c>
      <c r="F8570" s="3">
        <v>24.02</v>
      </c>
      <c r="G8570" s="3">
        <v>0.0</v>
      </c>
    </row>
    <row r="8571">
      <c r="A8571" s="3">
        <v>782181.0</v>
      </c>
      <c r="B8571" s="3" t="s">
        <v>8599</v>
      </c>
      <c r="C8571" s="3" t="s">
        <v>189</v>
      </c>
      <c r="D8571" s="3">
        <v>227.0</v>
      </c>
      <c r="E8571" s="3">
        <v>15.31</v>
      </c>
      <c r="F8571" s="3">
        <v>22.39</v>
      </c>
      <c r="G8571" s="3">
        <v>0.0</v>
      </c>
    </row>
    <row r="8572">
      <c r="A8572" s="3">
        <v>782182.0</v>
      </c>
      <c r="B8572" s="3" t="s">
        <v>8600</v>
      </c>
      <c r="C8572" s="3" t="s">
        <v>189</v>
      </c>
      <c r="D8572" s="3">
        <v>175.0</v>
      </c>
      <c r="E8572" s="3">
        <v>8.56</v>
      </c>
      <c r="F8572" s="3">
        <v>24.36</v>
      </c>
      <c r="G8572" s="3">
        <v>0.0</v>
      </c>
    </row>
    <row r="8573">
      <c r="A8573" s="3">
        <v>782183.0</v>
      </c>
      <c r="B8573" s="3" t="s">
        <v>8601</v>
      </c>
      <c r="C8573" s="3" t="s">
        <v>189</v>
      </c>
      <c r="D8573" s="3">
        <v>243.0</v>
      </c>
      <c r="E8573" s="3">
        <v>16.29</v>
      </c>
      <c r="F8573" s="3">
        <v>22.61</v>
      </c>
      <c r="G8573" s="3">
        <v>0.0</v>
      </c>
    </row>
    <row r="8574">
      <c r="A8574" s="3">
        <v>782184.0</v>
      </c>
      <c r="B8574" s="3" t="s">
        <v>8602</v>
      </c>
      <c r="C8574" s="3" t="s">
        <v>189</v>
      </c>
      <c r="D8574" s="3">
        <v>192.0</v>
      </c>
      <c r="E8574" s="3">
        <v>9.91</v>
      </c>
      <c r="F8574" s="3">
        <v>24.07</v>
      </c>
      <c r="G8574" s="3">
        <v>0.0</v>
      </c>
    </row>
    <row r="8575">
      <c r="A8575" s="3">
        <v>782185.0</v>
      </c>
      <c r="B8575" s="3" t="s">
        <v>8603</v>
      </c>
      <c r="C8575" s="3" t="s">
        <v>189</v>
      </c>
      <c r="D8575" s="3">
        <v>232.0</v>
      </c>
      <c r="E8575" s="3">
        <v>13.77</v>
      </c>
      <c r="F8575" s="3">
        <v>18.61</v>
      </c>
      <c r="G8575" s="3">
        <v>7.28</v>
      </c>
    </row>
    <row r="8576">
      <c r="A8576" s="3">
        <v>782186.0</v>
      </c>
      <c r="B8576" s="3" t="s">
        <v>8604</v>
      </c>
      <c r="C8576" s="3" t="s">
        <v>189</v>
      </c>
      <c r="D8576" s="3">
        <v>190.0</v>
      </c>
      <c r="E8576" s="3">
        <v>8.56</v>
      </c>
      <c r="F8576" s="3">
        <v>19.8</v>
      </c>
      <c r="G8576" s="3">
        <v>7.28</v>
      </c>
    </row>
    <row r="8577">
      <c r="A8577" s="3">
        <v>782187.0</v>
      </c>
      <c r="B8577" s="3" t="s">
        <v>8605</v>
      </c>
      <c r="C8577" s="3" t="s">
        <v>189</v>
      </c>
      <c r="D8577" s="3">
        <v>243.0</v>
      </c>
      <c r="E8577" s="3">
        <v>16.29</v>
      </c>
      <c r="F8577" s="3">
        <v>22.61</v>
      </c>
      <c r="G8577" s="3">
        <v>0.0</v>
      </c>
    </row>
    <row r="8578">
      <c r="A8578" s="3">
        <v>782188.0</v>
      </c>
      <c r="B8578" s="3" t="s">
        <v>8606</v>
      </c>
      <c r="C8578" s="3" t="s">
        <v>189</v>
      </c>
      <c r="D8578" s="3">
        <v>192.0</v>
      </c>
      <c r="E8578" s="3">
        <v>9.91</v>
      </c>
      <c r="F8578" s="3">
        <v>24.07</v>
      </c>
      <c r="G8578" s="3">
        <v>0.0</v>
      </c>
    </row>
    <row r="8579">
      <c r="A8579" s="3">
        <v>782189.0</v>
      </c>
      <c r="B8579" s="3" t="s">
        <v>8607</v>
      </c>
      <c r="C8579" s="3" t="s">
        <v>189</v>
      </c>
      <c r="D8579" s="3">
        <v>271.0</v>
      </c>
      <c r="E8579" s="3">
        <v>18.57</v>
      </c>
      <c r="F8579" s="3">
        <v>18.98</v>
      </c>
      <c r="G8579" s="3">
        <v>5.91</v>
      </c>
    </row>
    <row r="8580">
      <c r="A8580" s="3">
        <v>782190.0</v>
      </c>
      <c r="B8580" s="3" t="s">
        <v>8608</v>
      </c>
      <c r="C8580" s="3" t="s">
        <v>189</v>
      </c>
      <c r="D8580" s="3">
        <v>192.0</v>
      </c>
      <c r="E8580" s="3">
        <v>9.93</v>
      </c>
      <c r="F8580" s="3">
        <v>24.12</v>
      </c>
      <c r="G8580" s="3">
        <v>0.0</v>
      </c>
    </row>
    <row r="8581">
      <c r="A8581" s="3">
        <v>782191.0</v>
      </c>
      <c r="B8581" s="3" t="s">
        <v>8609</v>
      </c>
      <c r="C8581" s="3" t="s">
        <v>189</v>
      </c>
      <c r="D8581" s="3">
        <v>230.0</v>
      </c>
      <c r="E8581" s="3">
        <v>13.46</v>
      </c>
      <c r="F8581" s="3">
        <v>20.1</v>
      </c>
      <c r="G8581" s="3">
        <v>5.9</v>
      </c>
    </row>
    <row r="8582">
      <c r="A8582" s="3">
        <v>782192.0</v>
      </c>
      <c r="B8582" s="3" t="s">
        <v>8610</v>
      </c>
      <c r="C8582" s="3" t="s">
        <v>189</v>
      </c>
      <c r="D8582" s="3">
        <v>276.0</v>
      </c>
      <c r="E8582" s="3">
        <v>18.96</v>
      </c>
      <c r="F8582" s="3">
        <v>18.19</v>
      </c>
      <c r="G8582" s="3">
        <v>7.07</v>
      </c>
    </row>
    <row r="8583">
      <c r="A8583" s="3">
        <v>782193.0</v>
      </c>
      <c r="B8583" s="3" t="s">
        <v>8611</v>
      </c>
      <c r="C8583" s="3" t="s">
        <v>189</v>
      </c>
      <c r="D8583" s="3">
        <v>192.0</v>
      </c>
      <c r="E8583" s="3">
        <v>9.91</v>
      </c>
      <c r="F8583" s="3">
        <v>24.07</v>
      </c>
      <c r="G8583" s="3">
        <v>0.0</v>
      </c>
    </row>
    <row r="8584">
      <c r="A8584" s="3">
        <v>782194.0</v>
      </c>
      <c r="B8584" s="3" t="s">
        <v>8612</v>
      </c>
      <c r="C8584" s="3" t="s">
        <v>189</v>
      </c>
      <c r="D8584" s="3">
        <v>293.0</v>
      </c>
      <c r="E8584" s="3">
        <v>19.64</v>
      </c>
      <c r="F8584" s="3">
        <v>16.22</v>
      </c>
      <c r="G8584" s="3">
        <v>12.94</v>
      </c>
    </row>
    <row r="8585">
      <c r="A8585" s="3">
        <v>782195.0</v>
      </c>
      <c r="B8585" s="3" t="s">
        <v>8613</v>
      </c>
      <c r="C8585" s="3" t="s">
        <v>189</v>
      </c>
      <c r="D8585" s="3">
        <v>217.0</v>
      </c>
      <c r="E8585" s="3">
        <v>12.76</v>
      </c>
      <c r="F8585" s="3">
        <v>19.38</v>
      </c>
      <c r="G8585" s="3">
        <v>6.24</v>
      </c>
    </row>
    <row r="8586">
      <c r="A8586" s="3">
        <v>782196.0</v>
      </c>
      <c r="B8586" s="3" t="s">
        <v>8614</v>
      </c>
      <c r="C8586" s="3" t="s">
        <v>189</v>
      </c>
      <c r="D8586" s="3">
        <v>293.0</v>
      </c>
      <c r="E8586" s="3">
        <v>19.64</v>
      </c>
      <c r="F8586" s="3">
        <v>16.22</v>
      </c>
      <c r="G8586" s="3">
        <v>12.94</v>
      </c>
    </row>
    <row r="8587">
      <c r="A8587" s="3">
        <v>782197.0</v>
      </c>
      <c r="B8587" s="3" t="s">
        <v>8615</v>
      </c>
      <c r="C8587" s="3" t="s">
        <v>189</v>
      </c>
      <c r="D8587" s="3">
        <v>217.0</v>
      </c>
      <c r="E8587" s="3">
        <v>12.76</v>
      </c>
      <c r="F8587" s="3">
        <v>19.38</v>
      </c>
      <c r="G8587" s="3">
        <v>6.24</v>
      </c>
    </row>
    <row r="8588">
      <c r="A8588" s="3">
        <v>782198.0</v>
      </c>
      <c r="B8588" s="3" t="s">
        <v>8616</v>
      </c>
      <c r="C8588" s="3" t="s">
        <v>189</v>
      </c>
      <c r="D8588" s="3">
        <v>240.0</v>
      </c>
      <c r="E8588" s="3">
        <v>14.96</v>
      </c>
      <c r="F8588" s="3">
        <v>20.93</v>
      </c>
      <c r="G8588" s="3">
        <v>3.93</v>
      </c>
    </row>
    <row r="8589">
      <c r="A8589" s="3">
        <v>782199.0</v>
      </c>
      <c r="B8589" s="3" t="s">
        <v>8617</v>
      </c>
      <c r="C8589" s="3" t="s">
        <v>189</v>
      </c>
      <c r="D8589" s="3">
        <v>192.0</v>
      </c>
      <c r="E8589" s="3">
        <v>9.91</v>
      </c>
      <c r="F8589" s="3">
        <v>24.07</v>
      </c>
      <c r="G8589" s="3">
        <v>0.0</v>
      </c>
    </row>
    <row r="8590">
      <c r="A8590" s="3">
        <v>782201.0</v>
      </c>
      <c r="B8590" s="3" t="s">
        <v>8618</v>
      </c>
      <c r="C8590" s="3" t="s">
        <v>189</v>
      </c>
      <c r="D8590" s="3">
        <v>252.0</v>
      </c>
      <c r="E8590" s="3">
        <v>16.74</v>
      </c>
      <c r="F8590" s="3">
        <v>23.6</v>
      </c>
      <c r="G8590" s="3">
        <v>0.0</v>
      </c>
    </row>
    <row r="8591">
      <c r="A8591" s="3">
        <v>782203.0</v>
      </c>
      <c r="B8591" s="3" t="s">
        <v>8619</v>
      </c>
      <c r="C8591" s="3" t="s">
        <v>189</v>
      </c>
      <c r="D8591" s="3">
        <v>264.0</v>
      </c>
      <c r="E8591" s="3">
        <v>18.35</v>
      </c>
      <c r="F8591" s="3">
        <v>23.08</v>
      </c>
      <c r="G8591" s="3">
        <v>0.0</v>
      </c>
    </row>
    <row r="8592">
      <c r="A8592" s="3">
        <v>782205.0</v>
      </c>
      <c r="B8592" s="3" t="s">
        <v>8620</v>
      </c>
      <c r="C8592" s="3" t="s">
        <v>189</v>
      </c>
      <c r="D8592" s="3">
        <v>247.0</v>
      </c>
      <c r="E8592" s="3">
        <v>16.69</v>
      </c>
      <c r="F8592" s="3">
        <v>22.6</v>
      </c>
      <c r="G8592" s="3">
        <v>0.0</v>
      </c>
    </row>
    <row r="8593">
      <c r="A8593" s="3">
        <v>782206.0</v>
      </c>
      <c r="B8593" s="3" t="s">
        <v>8621</v>
      </c>
      <c r="C8593" s="3" t="s">
        <v>189</v>
      </c>
      <c r="D8593" s="3">
        <v>265.0</v>
      </c>
      <c r="E8593" s="3">
        <v>18.39</v>
      </c>
      <c r="F8593" s="3">
        <v>23.13</v>
      </c>
      <c r="G8593" s="3">
        <v>0.0</v>
      </c>
    </row>
    <row r="8594">
      <c r="A8594" s="3">
        <v>782207.0</v>
      </c>
      <c r="B8594" s="3" t="s">
        <v>8622</v>
      </c>
      <c r="C8594" s="3" t="s">
        <v>189</v>
      </c>
      <c r="D8594" s="3">
        <v>250.0</v>
      </c>
      <c r="E8594" s="3">
        <v>15.49</v>
      </c>
      <c r="F8594" s="3">
        <v>19.03</v>
      </c>
      <c r="G8594" s="3">
        <v>7.28</v>
      </c>
    </row>
    <row r="8595">
      <c r="A8595" s="3">
        <v>782208.0</v>
      </c>
      <c r="B8595" s="3" t="s">
        <v>8623</v>
      </c>
      <c r="C8595" s="3" t="s">
        <v>189</v>
      </c>
      <c r="D8595" s="3">
        <v>265.0</v>
      </c>
      <c r="E8595" s="3">
        <v>18.39</v>
      </c>
      <c r="F8595" s="3">
        <v>23.13</v>
      </c>
      <c r="G8595" s="3">
        <v>0.0</v>
      </c>
    </row>
    <row r="8596">
      <c r="A8596" s="3">
        <v>782209.0</v>
      </c>
      <c r="B8596" s="3" t="s">
        <v>8624</v>
      </c>
      <c r="C8596" s="3" t="s">
        <v>189</v>
      </c>
      <c r="D8596" s="3">
        <v>288.0</v>
      </c>
      <c r="E8596" s="3">
        <v>20.2</v>
      </c>
      <c r="F8596" s="3">
        <v>19.35</v>
      </c>
      <c r="G8596" s="3">
        <v>5.9</v>
      </c>
    </row>
    <row r="8597">
      <c r="A8597" s="3">
        <v>782210.0</v>
      </c>
      <c r="B8597" s="3" t="s">
        <v>8625</v>
      </c>
      <c r="C8597" s="3" t="s">
        <v>189</v>
      </c>
      <c r="D8597" s="3">
        <v>292.0</v>
      </c>
      <c r="E8597" s="3">
        <v>20.55</v>
      </c>
      <c r="F8597" s="3">
        <v>18.58</v>
      </c>
      <c r="G8597" s="3">
        <v>7.07</v>
      </c>
    </row>
    <row r="8598">
      <c r="A8598" s="3">
        <v>782211.0</v>
      </c>
      <c r="B8598" s="3" t="s">
        <v>8626</v>
      </c>
      <c r="C8598" s="3" t="s">
        <v>189</v>
      </c>
      <c r="D8598" s="3">
        <v>322.0</v>
      </c>
      <c r="E8598" s="3">
        <v>21.24</v>
      </c>
      <c r="F8598" s="3">
        <v>17.74</v>
      </c>
      <c r="G8598" s="3">
        <v>14.93</v>
      </c>
    </row>
    <row r="8599">
      <c r="A8599" s="3">
        <v>782212.0</v>
      </c>
      <c r="B8599" s="3" t="s">
        <v>8627</v>
      </c>
      <c r="C8599" s="3" t="s">
        <v>189</v>
      </c>
      <c r="D8599" s="3">
        <v>322.0</v>
      </c>
      <c r="E8599" s="3">
        <v>21.24</v>
      </c>
      <c r="F8599" s="3">
        <v>17.74</v>
      </c>
      <c r="G8599" s="3">
        <v>14.93</v>
      </c>
    </row>
    <row r="8600">
      <c r="A8600" s="3">
        <v>782213.0</v>
      </c>
      <c r="B8600" s="3" t="s">
        <v>8628</v>
      </c>
      <c r="C8600" s="3" t="s">
        <v>189</v>
      </c>
      <c r="D8600" s="3">
        <v>259.0</v>
      </c>
      <c r="E8600" s="3">
        <v>16.85</v>
      </c>
      <c r="F8600" s="3">
        <v>21.4</v>
      </c>
      <c r="G8600" s="3">
        <v>3.93</v>
      </c>
    </row>
    <row r="8601">
      <c r="A8601" s="3">
        <v>782214.0</v>
      </c>
      <c r="B8601" s="3" t="s">
        <v>8629</v>
      </c>
      <c r="C8601" s="3" t="s">
        <v>189</v>
      </c>
      <c r="D8601" s="3">
        <v>269.0</v>
      </c>
      <c r="E8601" s="3">
        <v>19.97</v>
      </c>
      <c r="F8601" s="3">
        <v>16.78</v>
      </c>
      <c r="G8601" s="3">
        <v>6.19</v>
      </c>
    </row>
    <row r="8602">
      <c r="A8602" s="3">
        <v>782215.0</v>
      </c>
      <c r="B8602" s="3" t="s">
        <v>8630</v>
      </c>
      <c r="C8602" s="3" t="s">
        <v>189</v>
      </c>
      <c r="D8602" s="3">
        <v>276.0</v>
      </c>
      <c r="E8602" s="3">
        <v>17.39</v>
      </c>
      <c r="F8602" s="3">
        <v>16.95</v>
      </c>
      <c r="G8602" s="3">
        <v>13.13</v>
      </c>
    </row>
    <row r="8603">
      <c r="A8603" s="3">
        <v>782216.0</v>
      </c>
      <c r="B8603" s="3" t="s">
        <v>8631</v>
      </c>
      <c r="C8603" s="3" t="s">
        <v>189</v>
      </c>
      <c r="D8603" s="3">
        <v>322.0</v>
      </c>
      <c r="E8603" s="3">
        <v>21.24</v>
      </c>
      <c r="F8603" s="3">
        <v>17.74</v>
      </c>
      <c r="G8603" s="3">
        <v>14.93</v>
      </c>
    </row>
    <row r="8604">
      <c r="A8604" s="3">
        <v>782217.0</v>
      </c>
      <c r="B8604" s="3" t="s">
        <v>8632</v>
      </c>
      <c r="C8604" s="3" t="s">
        <v>189</v>
      </c>
      <c r="D8604" s="3">
        <v>251.0</v>
      </c>
      <c r="E8604" s="3">
        <v>19.26</v>
      </c>
      <c r="F8604" s="3">
        <v>17.57</v>
      </c>
      <c r="G8604" s="3">
        <v>2.5</v>
      </c>
    </row>
    <row r="8605">
      <c r="A8605" s="3">
        <v>782218.0</v>
      </c>
      <c r="B8605" s="3" t="s">
        <v>8633</v>
      </c>
      <c r="C8605" s="3" t="s">
        <v>189</v>
      </c>
      <c r="D8605" s="3">
        <v>257.0</v>
      </c>
      <c r="E8605" s="3">
        <v>16.67</v>
      </c>
      <c r="F8605" s="3">
        <v>17.74</v>
      </c>
      <c r="G8605" s="3">
        <v>9.42</v>
      </c>
    </row>
    <row r="8606">
      <c r="A8606" s="3">
        <v>782219.0</v>
      </c>
      <c r="B8606" s="3" t="s">
        <v>8634</v>
      </c>
      <c r="C8606" s="3" t="s">
        <v>189</v>
      </c>
      <c r="D8606" s="3">
        <v>292.0</v>
      </c>
      <c r="E8606" s="3">
        <v>20.55</v>
      </c>
      <c r="F8606" s="3">
        <v>18.58</v>
      </c>
      <c r="G8606" s="3">
        <v>7.07</v>
      </c>
    </row>
    <row r="8607">
      <c r="A8607" s="3">
        <v>782220.0</v>
      </c>
      <c r="B8607" s="3" t="s">
        <v>8635</v>
      </c>
      <c r="C8607" s="3" t="s">
        <v>189</v>
      </c>
      <c r="D8607" s="3">
        <v>264.0</v>
      </c>
      <c r="E8607" s="3">
        <v>19.76</v>
      </c>
      <c r="F8607" s="3">
        <v>17.02</v>
      </c>
      <c r="G8607" s="3">
        <v>5.08</v>
      </c>
    </row>
    <row r="8608">
      <c r="A8608" s="3">
        <v>782221.0</v>
      </c>
      <c r="B8608" s="3" t="s">
        <v>8636</v>
      </c>
      <c r="C8608" s="3" t="s">
        <v>189</v>
      </c>
      <c r="D8608" s="3">
        <v>270.0</v>
      </c>
      <c r="E8608" s="3">
        <v>17.17</v>
      </c>
      <c r="F8608" s="3">
        <v>17.19</v>
      </c>
      <c r="G8608" s="3">
        <v>12.01</v>
      </c>
    </row>
    <row r="8609">
      <c r="A8609" s="3">
        <v>782222.0</v>
      </c>
      <c r="B8609" s="3" t="s">
        <v>8637</v>
      </c>
      <c r="C8609" s="3" t="s">
        <v>189</v>
      </c>
      <c r="D8609" s="3">
        <v>313.0</v>
      </c>
      <c r="E8609" s="3">
        <v>21.03</v>
      </c>
      <c r="F8609" s="3">
        <v>17.99</v>
      </c>
      <c r="G8609" s="3">
        <v>12.57</v>
      </c>
    </row>
    <row r="8610">
      <c r="A8610" s="3">
        <v>782223.0</v>
      </c>
      <c r="B8610" s="3" t="s">
        <v>8638</v>
      </c>
      <c r="C8610" s="3" t="s">
        <v>189</v>
      </c>
      <c r="D8610" s="3">
        <v>281.0</v>
      </c>
      <c r="E8610" s="3">
        <v>16.8</v>
      </c>
      <c r="F8610" s="3">
        <v>12.35</v>
      </c>
      <c r="G8610" s="3">
        <v>20.01</v>
      </c>
    </row>
    <row r="8611">
      <c r="A8611" s="3">
        <v>782224.0</v>
      </c>
      <c r="B8611" s="3" t="s">
        <v>8639</v>
      </c>
      <c r="C8611" s="3" t="s">
        <v>189</v>
      </c>
      <c r="D8611" s="3">
        <v>231.0</v>
      </c>
      <c r="E8611" s="3">
        <v>11.75</v>
      </c>
      <c r="F8611" s="3">
        <v>11.38</v>
      </c>
      <c r="G8611" s="3">
        <v>19.95</v>
      </c>
    </row>
    <row r="8612">
      <c r="A8612" s="3">
        <v>782225.0</v>
      </c>
      <c r="B8612" s="3" t="s">
        <v>8640</v>
      </c>
      <c r="C8612" s="3" t="s">
        <v>189</v>
      </c>
      <c r="D8612" s="3">
        <v>298.0</v>
      </c>
      <c r="E8612" s="3">
        <v>20.8</v>
      </c>
      <c r="F8612" s="3">
        <v>25.73</v>
      </c>
      <c r="G8612" s="3">
        <v>0.0</v>
      </c>
    </row>
    <row r="8613">
      <c r="A8613" s="3">
        <v>782226.0</v>
      </c>
      <c r="B8613" s="3" t="s">
        <v>8641</v>
      </c>
      <c r="C8613" s="3" t="s">
        <v>189</v>
      </c>
      <c r="D8613" s="3">
        <v>245.0</v>
      </c>
      <c r="E8613" s="3">
        <v>17.95</v>
      </c>
      <c r="F8613" s="3">
        <v>19.45</v>
      </c>
      <c r="G8613" s="3">
        <v>0.0</v>
      </c>
    </row>
    <row r="8614">
      <c r="A8614" s="3">
        <v>782228.0</v>
      </c>
      <c r="B8614" s="3" t="s">
        <v>8642</v>
      </c>
      <c r="C8614" s="3" t="s">
        <v>189</v>
      </c>
      <c r="D8614" s="3">
        <v>450.0</v>
      </c>
      <c r="E8614" s="3">
        <v>40.34</v>
      </c>
      <c r="F8614" s="3">
        <v>20.19</v>
      </c>
      <c r="G8614" s="3">
        <v>0.0</v>
      </c>
    </row>
    <row r="8615">
      <c r="A8615" s="3">
        <v>782231.0</v>
      </c>
      <c r="B8615" s="3" t="s">
        <v>8643</v>
      </c>
      <c r="C8615" s="3" t="s">
        <v>189</v>
      </c>
      <c r="D8615" s="3">
        <v>189.0</v>
      </c>
      <c r="E8615" s="3">
        <v>7.38</v>
      </c>
      <c r="F8615" s="3">
        <v>28.81</v>
      </c>
      <c r="G8615" s="3">
        <v>0.0</v>
      </c>
    </row>
    <row r="8616">
      <c r="A8616" s="3">
        <v>782234.0</v>
      </c>
      <c r="B8616" s="3" t="s">
        <v>8644</v>
      </c>
      <c r="C8616" s="3" t="s">
        <v>189</v>
      </c>
      <c r="D8616" s="3">
        <v>145.0</v>
      </c>
      <c r="E8616" s="3">
        <v>5.2</v>
      </c>
      <c r="F8616" s="3">
        <v>22.24</v>
      </c>
      <c r="G8616" s="3">
        <v>2.37</v>
      </c>
    </row>
    <row r="8617">
      <c r="A8617" s="3">
        <v>782235.0</v>
      </c>
      <c r="B8617" s="3" t="s">
        <v>8645</v>
      </c>
      <c r="C8617" s="3" t="s">
        <v>189</v>
      </c>
      <c r="D8617" s="3">
        <v>201.0</v>
      </c>
      <c r="E8617" s="3">
        <v>10.31</v>
      </c>
      <c r="F8617" s="3">
        <v>27.14</v>
      </c>
      <c r="G8617" s="3">
        <v>0.0</v>
      </c>
    </row>
    <row r="8618">
      <c r="A8618" s="3">
        <v>782240.0</v>
      </c>
      <c r="B8618" s="3" t="s">
        <v>8646</v>
      </c>
      <c r="C8618" s="3" t="s">
        <v>189</v>
      </c>
      <c r="D8618" s="3">
        <v>298.0</v>
      </c>
      <c r="E8618" s="3">
        <v>19.23</v>
      </c>
      <c r="F8618" s="3">
        <v>13.36</v>
      </c>
      <c r="G8618" s="3">
        <v>17.88</v>
      </c>
    </row>
    <row r="8619">
      <c r="A8619" s="3">
        <v>782241.0</v>
      </c>
      <c r="B8619" s="3" t="s">
        <v>8647</v>
      </c>
      <c r="C8619" s="3" t="s">
        <v>189</v>
      </c>
      <c r="D8619" s="3">
        <v>304.0</v>
      </c>
      <c r="E8619" s="3">
        <v>20.02</v>
      </c>
      <c r="F8619" s="3">
        <v>15.15</v>
      </c>
      <c r="G8619" s="3">
        <v>15.81</v>
      </c>
    </row>
    <row r="8620">
      <c r="A8620" s="3">
        <v>782244.0</v>
      </c>
      <c r="B8620" s="3" t="s">
        <v>8648</v>
      </c>
      <c r="C8620" s="3" t="s">
        <v>189</v>
      </c>
      <c r="D8620" s="3">
        <v>283.0</v>
      </c>
      <c r="E8620" s="3">
        <v>15.62</v>
      </c>
      <c r="F8620" s="3">
        <v>18.82</v>
      </c>
      <c r="G8620" s="3">
        <v>16.9</v>
      </c>
    </row>
    <row r="8621">
      <c r="A8621" s="3">
        <v>782247.0</v>
      </c>
      <c r="B8621" s="3" t="s">
        <v>8649</v>
      </c>
      <c r="C8621" s="3" t="s">
        <v>189</v>
      </c>
      <c r="D8621" s="3">
        <v>262.0</v>
      </c>
      <c r="E8621" s="3">
        <v>13.84</v>
      </c>
      <c r="F8621" s="3">
        <v>17.84</v>
      </c>
      <c r="G8621" s="3">
        <v>16.53</v>
      </c>
    </row>
    <row r="8622">
      <c r="A8622" s="3">
        <v>782248.0</v>
      </c>
      <c r="B8622" s="3" t="s">
        <v>8650</v>
      </c>
      <c r="C8622" s="3" t="s">
        <v>189</v>
      </c>
      <c r="D8622" s="3">
        <v>349.0</v>
      </c>
      <c r="E8622" s="3">
        <v>19.75</v>
      </c>
      <c r="F8622" s="3">
        <v>20.98</v>
      </c>
      <c r="G8622" s="3">
        <v>20.6</v>
      </c>
    </row>
    <row r="8623">
      <c r="A8623" s="3">
        <v>782249.0</v>
      </c>
      <c r="B8623" s="3" t="s">
        <v>8651</v>
      </c>
      <c r="C8623" s="3" t="s">
        <v>189</v>
      </c>
      <c r="D8623" s="3">
        <v>139.0</v>
      </c>
      <c r="E8623" s="3">
        <v>2.06</v>
      </c>
      <c r="F8623" s="3">
        <v>28.81</v>
      </c>
      <c r="G8623" s="3">
        <v>0.0</v>
      </c>
    </row>
    <row r="8624">
      <c r="A8624" s="3">
        <v>782250.0</v>
      </c>
      <c r="B8624" s="3" t="s">
        <v>8652</v>
      </c>
      <c r="C8624" s="3" t="s">
        <v>189</v>
      </c>
      <c r="D8624" s="3">
        <v>139.0</v>
      </c>
      <c r="E8624" s="3">
        <v>2.06</v>
      </c>
      <c r="F8624" s="3">
        <v>28.81</v>
      </c>
      <c r="G8624" s="3">
        <v>0.0</v>
      </c>
    </row>
    <row r="8625">
      <c r="A8625" s="3">
        <v>782251.0</v>
      </c>
      <c r="B8625" s="3" t="s">
        <v>8653</v>
      </c>
      <c r="C8625" s="3" t="s">
        <v>189</v>
      </c>
      <c r="D8625" s="3">
        <v>169.0</v>
      </c>
      <c r="E8625" s="3">
        <v>5.55</v>
      </c>
      <c r="F8625" s="3">
        <v>28.28</v>
      </c>
      <c r="G8625" s="3">
        <v>0.03</v>
      </c>
    </row>
    <row r="8626">
      <c r="A8626" s="3">
        <v>782252.0</v>
      </c>
      <c r="B8626" s="3" t="s">
        <v>8654</v>
      </c>
      <c r="C8626" s="3" t="s">
        <v>189</v>
      </c>
      <c r="D8626" s="3">
        <v>172.0</v>
      </c>
      <c r="E8626" s="3">
        <v>3.7</v>
      </c>
      <c r="F8626" s="3">
        <v>27.33</v>
      </c>
      <c r="G8626" s="3">
        <v>6.14</v>
      </c>
    </row>
    <row r="8627">
      <c r="A8627" s="3">
        <v>782253.0</v>
      </c>
      <c r="B8627" s="3" t="s">
        <v>8655</v>
      </c>
      <c r="C8627" s="3" t="s">
        <v>189</v>
      </c>
      <c r="D8627" s="3">
        <v>199.0</v>
      </c>
      <c r="E8627" s="3">
        <v>6.85</v>
      </c>
      <c r="F8627" s="3">
        <v>26.85</v>
      </c>
      <c r="G8627" s="3">
        <v>6.17</v>
      </c>
    </row>
    <row r="8628">
      <c r="A8628" s="3">
        <v>782254.0</v>
      </c>
      <c r="B8628" s="3" t="s">
        <v>8656</v>
      </c>
      <c r="C8628" s="3" t="s">
        <v>189</v>
      </c>
      <c r="D8628" s="3">
        <v>139.0</v>
      </c>
      <c r="E8628" s="3">
        <v>2.06</v>
      </c>
      <c r="F8628" s="3">
        <v>28.81</v>
      </c>
      <c r="G8628" s="3">
        <v>0.0</v>
      </c>
    </row>
    <row r="8629">
      <c r="A8629" s="3">
        <v>782255.0</v>
      </c>
      <c r="B8629" s="3" t="s">
        <v>8657</v>
      </c>
      <c r="C8629" s="3" t="s">
        <v>189</v>
      </c>
      <c r="D8629" s="3">
        <v>169.0</v>
      </c>
      <c r="E8629" s="3">
        <v>5.55</v>
      </c>
      <c r="F8629" s="3">
        <v>28.28</v>
      </c>
      <c r="G8629" s="3">
        <v>0.03</v>
      </c>
    </row>
    <row r="8630">
      <c r="A8630" s="3">
        <v>782256.0</v>
      </c>
      <c r="B8630" s="3" t="s">
        <v>8658</v>
      </c>
      <c r="C8630" s="3" t="s">
        <v>189</v>
      </c>
      <c r="D8630" s="3">
        <v>167.0</v>
      </c>
      <c r="E8630" s="3">
        <v>5.98</v>
      </c>
      <c r="F8630" s="3">
        <v>26.94</v>
      </c>
      <c r="G8630" s="3">
        <v>0.0</v>
      </c>
    </row>
    <row r="8631">
      <c r="A8631" s="3">
        <v>782257.0</v>
      </c>
      <c r="B8631" s="3" t="s">
        <v>8659</v>
      </c>
      <c r="C8631" s="3" t="s">
        <v>189</v>
      </c>
      <c r="D8631" s="3">
        <v>202.0</v>
      </c>
      <c r="E8631" s="3">
        <v>10.16</v>
      </c>
      <c r="F8631" s="3">
        <v>26.46</v>
      </c>
      <c r="G8631" s="3">
        <v>0.05</v>
      </c>
    </row>
    <row r="8632">
      <c r="A8632" s="3">
        <v>782258.0</v>
      </c>
      <c r="B8632" s="3" t="s">
        <v>8660</v>
      </c>
      <c r="C8632" s="3" t="s">
        <v>189</v>
      </c>
      <c r="D8632" s="3">
        <v>151.0</v>
      </c>
      <c r="E8632" s="3">
        <v>3.76</v>
      </c>
      <c r="F8632" s="3">
        <v>27.99</v>
      </c>
      <c r="G8632" s="3">
        <v>0.0</v>
      </c>
    </row>
    <row r="8633">
      <c r="A8633" s="3">
        <v>782259.0</v>
      </c>
      <c r="B8633" s="3" t="s">
        <v>8661</v>
      </c>
      <c r="C8633" s="3" t="s">
        <v>189</v>
      </c>
      <c r="D8633" s="3">
        <v>183.0</v>
      </c>
      <c r="E8633" s="3">
        <v>7.54</v>
      </c>
      <c r="F8633" s="3">
        <v>27.48</v>
      </c>
      <c r="G8633" s="3">
        <v>0.04</v>
      </c>
    </row>
    <row r="8634">
      <c r="A8634" s="3">
        <v>782260.0</v>
      </c>
      <c r="B8634" s="3" t="s">
        <v>8662</v>
      </c>
      <c r="C8634" s="3" t="s">
        <v>189</v>
      </c>
      <c r="D8634" s="3">
        <v>165.0</v>
      </c>
      <c r="E8634" s="3">
        <v>5.05</v>
      </c>
      <c r="F8634" s="3">
        <v>27.22</v>
      </c>
      <c r="G8634" s="3">
        <v>1.4</v>
      </c>
    </row>
    <row r="8635">
      <c r="A8635" s="3">
        <v>782261.0</v>
      </c>
      <c r="B8635" s="3" t="s">
        <v>8663</v>
      </c>
      <c r="C8635" s="3" t="s">
        <v>189</v>
      </c>
      <c r="D8635" s="3">
        <v>192.0</v>
      </c>
      <c r="E8635" s="3">
        <v>8.5</v>
      </c>
      <c r="F8635" s="3">
        <v>26.19</v>
      </c>
      <c r="G8635" s="3">
        <v>1.4</v>
      </c>
    </row>
    <row r="8636">
      <c r="A8636" s="3">
        <v>782262.0</v>
      </c>
      <c r="B8636" s="3" t="s">
        <v>8664</v>
      </c>
      <c r="C8636" s="3" t="s">
        <v>189</v>
      </c>
      <c r="D8636" s="3">
        <v>154.0</v>
      </c>
      <c r="E8636" s="3">
        <v>2.94</v>
      </c>
      <c r="F8636" s="3">
        <v>30.88</v>
      </c>
      <c r="G8636" s="3">
        <v>0.13</v>
      </c>
    </row>
    <row r="8637">
      <c r="A8637" s="3">
        <v>782263.0</v>
      </c>
      <c r="B8637" s="3" t="s">
        <v>8665</v>
      </c>
      <c r="C8637" s="3" t="s">
        <v>189</v>
      </c>
      <c r="D8637" s="3">
        <v>203.0</v>
      </c>
      <c r="E8637" s="3">
        <v>8.52</v>
      </c>
      <c r="F8637" s="3">
        <v>30.25</v>
      </c>
      <c r="G8637" s="3">
        <v>0.14</v>
      </c>
    </row>
    <row r="8638">
      <c r="A8638" s="3">
        <v>782265.0</v>
      </c>
      <c r="B8638" s="3" t="s">
        <v>8666</v>
      </c>
      <c r="C8638" s="3" t="s">
        <v>189</v>
      </c>
      <c r="D8638" s="3">
        <v>170.0</v>
      </c>
      <c r="E8638" s="3">
        <v>5.0</v>
      </c>
      <c r="F8638" s="3">
        <v>29.3</v>
      </c>
      <c r="G8638" s="3">
        <v>0.0</v>
      </c>
    </row>
    <row r="8639">
      <c r="A8639" s="3">
        <v>782266.0</v>
      </c>
      <c r="B8639" s="3" t="s">
        <v>8667</v>
      </c>
      <c r="C8639" s="3" t="s">
        <v>189</v>
      </c>
      <c r="D8639" s="3">
        <v>144.0</v>
      </c>
      <c r="E8639" s="3">
        <v>3.38</v>
      </c>
      <c r="F8639" s="3">
        <v>28.52</v>
      </c>
      <c r="G8639" s="3">
        <v>0.0</v>
      </c>
    </row>
    <row r="8640">
      <c r="A8640" s="3">
        <v>782267.0</v>
      </c>
      <c r="B8640" s="3" t="s">
        <v>8668</v>
      </c>
      <c r="C8640" s="3" t="s">
        <v>189</v>
      </c>
      <c r="D8640" s="3">
        <v>206.0</v>
      </c>
      <c r="E8640" s="3">
        <v>9.74</v>
      </c>
      <c r="F8640" s="3">
        <v>27.64</v>
      </c>
      <c r="G8640" s="3">
        <v>0.0</v>
      </c>
    </row>
    <row r="8641">
      <c r="A8641" s="3">
        <v>782268.0</v>
      </c>
      <c r="B8641" s="3" t="s">
        <v>8669</v>
      </c>
      <c r="C8641" s="3" t="s">
        <v>189</v>
      </c>
      <c r="D8641" s="3">
        <v>144.0</v>
      </c>
      <c r="E8641" s="3">
        <v>3.38</v>
      </c>
      <c r="F8641" s="3">
        <v>28.52</v>
      </c>
      <c r="G8641" s="3">
        <v>0.0</v>
      </c>
    </row>
    <row r="8642">
      <c r="A8642" s="3">
        <v>782269.0</v>
      </c>
      <c r="B8642" s="3" t="s">
        <v>8670</v>
      </c>
      <c r="C8642" s="3" t="s">
        <v>189</v>
      </c>
      <c r="D8642" s="3">
        <v>203.0</v>
      </c>
      <c r="E8642" s="3">
        <v>10.07</v>
      </c>
      <c r="F8642" s="3">
        <v>26.86</v>
      </c>
      <c r="G8642" s="3">
        <v>0.0</v>
      </c>
    </row>
    <row r="8643">
      <c r="A8643" s="3">
        <v>782270.0</v>
      </c>
      <c r="B8643" s="3" t="s">
        <v>8671</v>
      </c>
      <c r="C8643" s="3" t="s">
        <v>189</v>
      </c>
      <c r="D8643" s="3">
        <v>208.0</v>
      </c>
      <c r="E8643" s="3">
        <v>9.8</v>
      </c>
      <c r="F8643" s="3">
        <v>27.9</v>
      </c>
      <c r="G8643" s="3">
        <v>0.0</v>
      </c>
    </row>
    <row r="8644">
      <c r="A8644" s="3">
        <v>782271.0</v>
      </c>
      <c r="B8644" s="3" t="s">
        <v>8672</v>
      </c>
      <c r="C8644" s="3" t="s">
        <v>189</v>
      </c>
      <c r="D8644" s="3">
        <v>182.0</v>
      </c>
      <c r="E8644" s="3">
        <v>9.26</v>
      </c>
      <c r="F8644" s="3">
        <v>24.36</v>
      </c>
      <c r="G8644" s="3">
        <v>0.27</v>
      </c>
    </row>
    <row r="8645">
      <c r="A8645" s="3">
        <v>782272.0</v>
      </c>
      <c r="B8645" s="3" t="s">
        <v>8673</v>
      </c>
      <c r="C8645" s="3" t="s">
        <v>189</v>
      </c>
      <c r="D8645" s="3">
        <v>161.0</v>
      </c>
      <c r="E8645" s="3">
        <v>5.98</v>
      </c>
      <c r="F8645" s="3">
        <v>26.94</v>
      </c>
      <c r="G8645" s="3">
        <v>0.0</v>
      </c>
    </row>
    <row r="8646">
      <c r="A8646" s="3">
        <v>782273.0</v>
      </c>
      <c r="B8646" s="3" t="s">
        <v>8674</v>
      </c>
      <c r="C8646" s="3" t="s">
        <v>189</v>
      </c>
      <c r="D8646" s="3">
        <v>161.0</v>
      </c>
      <c r="E8646" s="3">
        <v>7.3</v>
      </c>
      <c r="F8646" s="3">
        <v>22.29</v>
      </c>
      <c r="G8646" s="3">
        <v>0.0</v>
      </c>
    </row>
    <row r="8647">
      <c r="A8647" s="3">
        <v>782274.0</v>
      </c>
      <c r="B8647" s="3" t="s">
        <v>8675</v>
      </c>
      <c r="C8647" s="3" t="s">
        <v>189</v>
      </c>
      <c r="D8647" s="3">
        <v>139.0</v>
      </c>
      <c r="E8647" s="3">
        <v>2.06</v>
      </c>
      <c r="F8647" s="3">
        <v>28.81</v>
      </c>
      <c r="G8647" s="3">
        <v>0.0</v>
      </c>
    </row>
    <row r="8648">
      <c r="A8648" s="3">
        <v>782275.0</v>
      </c>
      <c r="B8648" s="3" t="s">
        <v>8676</v>
      </c>
      <c r="C8648" s="3" t="s">
        <v>189</v>
      </c>
      <c r="D8648" s="3">
        <v>202.0</v>
      </c>
      <c r="E8648" s="3">
        <v>9.97</v>
      </c>
      <c r="F8648" s="3">
        <v>26.87</v>
      </c>
      <c r="G8648" s="3">
        <v>0.0</v>
      </c>
    </row>
    <row r="8649">
      <c r="A8649" s="3">
        <v>782277.0</v>
      </c>
      <c r="B8649" s="3" t="s">
        <v>8677</v>
      </c>
      <c r="C8649" s="3" t="s">
        <v>189</v>
      </c>
      <c r="D8649" s="3">
        <v>294.0</v>
      </c>
      <c r="E8649" s="3">
        <v>22.8</v>
      </c>
      <c r="F8649" s="3">
        <v>22.25</v>
      </c>
      <c r="G8649" s="3">
        <v>0.0</v>
      </c>
    </row>
    <row r="8650">
      <c r="A8650" s="3">
        <v>782278.0</v>
      </c>
      <c r="B8650" s="3" t="s">
        <v>8678</v>
      </c>
      <c r="C8650" s="3" t="s">
        <v>189</v>
      </c>
      <c r="D8650" s="3">
        <v>203.0</v>
      </c>
      <c r="E8650" s="3">
        <v>11.26</v>
      </c>
      <c r="F8650" s="3">
        <v>25.58</v>
      </c>
      <c r="G8650" s="3">
        <v>0.0</v>
      </c>
    </row>
    <row r="8651">
      <c r="A8651" s="3">
        <v>782280.0</v>
      </c>
      <c r="B8651" s="3" t="s">
        <v>8679</v>
      </c>
      <c r="C8651" s="3" t="s">
        <v>189</v>
      </c>
      <c r="D8651" s="3">
        <v>201.0</v>
      </c>
      <c r="E8651" s="3">
        <v>10.31</v>
      </c>
      <c r="F8651" s="3">
        <v>27.14</v>
      </c>
      <c r="G8651" s="3">
        <v>0.0</v>
      </c>
    </row>
    <row r="8652">
      <c r="A8652" s="3">
        <v>782281.0</v>
      </c>
      <c r="B8652" s="3" t="s">
        <v>8680</v>
      </c>
      <c r="C8652" s="3" t="s">
        <v>189</v>
      </c>
      <c r="D8652" s="3">
        <v>233.0</v>
      </c>
      <c r="E8652" s="3">
        <v>8.71</v>
      </c>
      <c r="F8652" s="3">
        <v>22.37</v>
      </c>
      <c r="G8652" s="3">
        <v>16.31</v>
      </c>
    </row>
    <row r="8653">
      <c r="A8653" s="3">
        <v>782284.0</v>
      </c>
      <c r="B8653" s="3" t="s">
        <v>8681</v>
      </c>
      <c r="C8653" s="3" t="s">
        <v>189</v>
      </c>
      <c r="D8653" s="3">
        <v>195.0</v>
      </c>
      <c r="E8653" s="3">
        <v>8.16</v>
      </c>
      <c r="F8653" s="3">
        <v>18.23</v>
      </c>
      <c r="G8653" s="3">
        <v>12.23</v>
      </c>
    </row>
    <row r="8654">
      <c r="A8654" s="3">
        <v>782285.0</v>
      </c>
      <c r="B8654" s="3" t="s">
        <v>8682</v>
      </c>
      <c r="C8654" s="3" t="s">
        <v>189</v>
      </c>
      <c r="D8654" s="3">
        <v>150.0</v>
      </c>
      <c r="E8654" s="3">
        <v>2.82</v>
      </c>
      <c r="F8654" s="3">
        <v>18.86</v>
      </c>
      <c r="G8654" s="3">
        <v>12.23</v>
      </c>
    </row>
    <row r="8655">
      <c r="A8655" s="3">
        <v>782286.0</v>
      </c>
      <c r="B8655" s="3" t="s">
        <v>8683</v>
      </c>
      <c r="C8655" s="3" t="s">
        <v>189</v>
      </c>
      <c r="D8655" s="3">
        <v>336.0</v>
      </c>
      <c r="E8655" s="3">
        <v>28.23</v>
      </c>
      <c r="F8655" s="3">
        <v>18.91</v>
      </c>
      <c r="G8655" s="3">
        <v>0.0</v>
      </c>
    </row>
    <row r="8656">
      <c r="A8656" s="3">
        <v>782287.0</v>
      </c>
      <c r="B8656" s="3" t="s">
        <v>8684</v>
      </c>
      <c r="C8656" s="3" t="s">
        <v>189</v>
      </c>
      <c r="D8656" s="3">
        <v>200.0</v>
      </c>
      <c r="E8656" s="3">
        <v>11.15</v>
      </c>
      <c r="F8656" s="3">
        <v>23.38</v>
      </c>
      <c r="G8656" s="3">
        <v>0.0</v>
      </c>
    </row>
    <row r="8657">
      <c r="A8657" s="3">
        <v>782288.0</v>
      </c>
      <c r="B8657" s="3" t="s">
        <v>8685</v>
      </c>
      <c r="C8657" s="3" t="s">
        <v>189</v>
      </c>
      <c r="D8657" s="3">
        <v>336.0</v>
      </c>
      <c r="E8657" s="3">
        <v>28.23</v>
      </c>
      <c r="F8657" s="3">
        <v>18.91</v>
      </c>
      <c r="G8657" s="3">
        <v>0.0</v>
      </c>
    </row>
    <row r="8658">
      <c r="A8658" s="3">
        <v>782289.0</v>
      </c>
      <c r="B8658" s="3" t="s">
        <v>8686</v>
      </c>
      <c r="C8658" s="3" t="s">
        <v>189</v>
      </c>
      <c r="D8658" s="3">
        <v>200.0</v>
      </c>
      <c r="E8658" s="3">
        <v>11.15</v>
      </c>
      <c r="F8658" s="3">
        <v>23.38</v>
      </c>
      <c r="G8658" s="3">
        <v>0.0</v>
      </c>
    </row>
    <row r="8659">
      <c r="A8659" s="3">
        <v>782290.0</v>
      </c>
      <c r="B8659" s="3" t="s">
        <v>8687</v>
      </c>
      <c r="C8659" s="3" t="s">
        <v>189</v>
      </c>
      <c r="D8659" s="3">
        <v>225.0</v>
      </c>
      <c r="E8659" s="3">
        <v>10.92</v>
      </c>
      <c r="F8659" s="3">
        <v>22.3</v>
      </c>
      <c r="G8659" s="3">
        <v>7.95</v>
      </c>
    </row>
    <row r="8660">
      <c r="A8660" s="3">
        <v>782291.0</v>
      </c>
      <c r="B8660" s="3" t="s">
        <v>8688</v>
      </c>
      <c r="C8660" s="3" t="s">
        <v>189</v>
      </c>
      <c r="D8660" s="3">
        <v>153.0</v>
      </c>
      <c r="E8660" s="3">
        <v>11.63</v>
      </c>
      <c r="F8660" s="3">
        <v>5.34</v>
      </c>
      <c r="G8660" s="3">
        <v>6.83</v>
      </c>
    </row>
    <row r="8661">
      <c r="A8661" s="3">
        <v>782292.0</v>
      </c>
      <c r="B8661" s="3" t="s">
        <v>8689</v>
      </c>
      <c r="C8661" s="3" t="s">
        <v>189</v>
      </c>
      <c r="D8661" s="3">
        <v>304.0</v>
      </c>
      <c r="E8661" s="3">
        <v>21.83</v>
      </c>
      <c r="F8661" s="3">
        <v>25.06</v>
      </c>
      <c r="G8661" s="3">
        <v>0.0</v>
      </c>
    </row>
    <row r="8662">
      <c r="A8662" s="3">
        <v>782293.0</v>
      </c>
      <c r="B8662" s="3" t="s">
        <v>8690</v>
      </c>
      <c r="C8662" s="3" t="s">
        <v>189</v>
      </c>
      <c r="D8662" s="3">
        <v>257.0</v>
      </c>
      <c r="E8662" s="3">
        <v>18.06</v>
      </c>
      <c r="F8662" s="3">
        <v>22.08</v>
      </c>
      <c r="G8662" s="3">
        <v>0.0</v>
      </c>
    </row>
    <row r="8663">
      <c r="A8663" s="3">
        <v>782294.0</v>
      </c>
      <c r="B8663" s="3" t="s">
        <v>8691</v>
      </c>
      <c r="C8663" s="3" t="s">
        <v>189</v>
      </c>
      <c r="D8663" s="3">
        <v>133.0</v>
      </c>
      <c r="E8663" s="3">
        <v>3.84</v>
      </c>
      <c r="F8663" s="3">
        <v>23.11</v>
      </c>
      <c r="G8663" s="3">
        <v>0.0</v>
      </c>
    </row>
    <row r="8664">
      <c r="A8664" s="3">
        <v>782295.0</v>
      </c>
      <c r="B8664" s="3" t="s">
        <v>8692</v>
      </c>
      <c r="C8664" s="3" t="s">
        <v>189</v>
      </c>
      <c r="D8664" s="3">
        <v>257.0</v>
      </c>
      <c r="E8664" s="3">
        <v>18.06</v>
      </c>
      <c r="F8664" s="3">
        <v>22.08</v>
      </c>
      <c r="G8664" s="3">
        <v>0.0</v>
      </c>
    </row>
    <row r="8665">
      <c r="A8665" s="3">
        <v>782296.0</v>
      </c>
      <c r="B8665" s="3" t="s">
        <v>8693</v>
      </c>
      <c r="C8665" s="3" t="s">
        <v>189</v>
      </c>
      <c r="D8665" s="3">
        <v>133.0</v>
      </c>
      <c r="E8665" s="3">
        <v>3.84</v>
      </c>
      <c r="F8665" s="3">
        <v>23.11</v>
      </c>
      <c r="G8665" s="3">
        <v>0.0</v>
      </c>
    </row>
    <row r="8666">
      <c r="A8666" s="3">
        <v>782297.0</v>
      </c>
      <c r="B8666" s="3" t="s">
        <v>8694</v>
      </c>
      <c r="C8666" s="3" t="s">
        <v>189</v>
      </c>
      <c r="D8666" s="3">
        <v>212.0</v>
      </c>
      <c r="E8666" s="3">
        <v>12.95</v>
      </c>
      <c r="F8666" s="3">
        <v>23.8</v>
      </c>
      <c r="G8666" s="3">
        <v>0.0</v>
      </c>
    </row>
    <row r="8667">
      <c r="A8667" s="3">
        <v>782298.0</v>
      </c>
      <c r="B8667" s="3" t="s">
        <v>8695</v>
      </c>
      <c r="C8667" s="3" t="s">
        <v>189</v>
      </c>
      <c r="D8667" s="3">
        <v>223.0</v>
      </c>
      <c r="E8667" s="3">
        <v>13.82</v>
      </c>
      <c r="F8667" s="3">
        <v>23.06</v>
      </c>
      <c r="G8667" s="3">
        <v>1.44</v>
      </c>
    </row>
    <row r="8668">
      <c r="A8668" s="3">
        <v>782299.0</v>
      </c>
      <c r="B8668" s="3" t="s">
        <v>8696</v>
      </c>
      <c r="C8668" s="3" t="s">
        <v>189</v>
      </c>
      <c r="D8668" s="3">
        <v>226.0</v>
      </c>
      <c r="E8668" s="3">
        <v>14.04</v>
      </c>
      <c r="F8668" s="3">
        <v>25.0</v>
      </c>
      <c r="G8668" s="3">
        <v>0.0</v>
      </c>
    </row>
    <row r="8669">
      <c r="A8669" s="3">
        <v>782300.0</v>
      </c>
      <c r="B8669" s="3" t="s">
        <v>8697</v>
      </c>
      <c r="C8669" s="3" t="s">
        <v>189</v>
      </c>
      <c r="D8669" s="3">
        <v>238.0</v>
      </c>
      <c r="E8669" s="3">
        <v>12.05</v>
      </c>
      <c r="F8669" s="3">
        <v>32.26</v>
      </c>
      <c r="G8669" s="3">
        <v>0.0</v>
      </c>
    </row>
    <row r="8670">
      <c r="A8670" s="3">
        <v>782301.0</v>
      </c>
      <c r="B8670" s="3" t="s">
        <v>8698</v>
      </c>
      <c r="C8670" s="3" t="s">
        <v>196</v>
      </c>
      <c r="D8670" s="3">
        <v>138.0</v>
      </c>
      <c r="E8670" s="3">
        <v>8.75</v>
      </c>
      <c r="F8670" s="3">
        <v>13.85</v>
      </c>
      <c r="G8670" s="3">
        <v>0.05</v>
      </c>
    </row>
    <row r="8671">
      <c r="A8671" s="3">
        <v>782309.0</v>
      </c>
      <c r="B8671" s="3" t="s">
        <v>8699</v>
      </c>
      <c r="C8671" s="3" t="s">
        <v>189</v>
      </c>
      <c r="D8671" s="3">
        <v>189.0</v>
      </c>
      <c r="E8671" s="3">
        <v>5.22</v>
      </c>
      <c r="F8671" s="3">
        <v>28.84</v>
      </c>
      <c r="G8671" s="3">
        <v>5.09</v>
      </c>
    </row>
    <row r="8672">
      <c r="A8672" s="3">
        <v>782310.0</v>
      </c>
      <c r="B8672" s="3" t="s">
        <v>8700</v>
      </c>
      <c r="C8672" s="3" t="s">
        <v>189</v>
      </c>
      <c r="D8672" s="3">
        <v>174.0</v>
      </c>
      <c r="E8672" s="3">
        <v>4.64</v>
      </c>
      <c r="F8672" s="3">
        <v>26.3</v>
      </c>
      <c r="G8672" s="3">
        <v>5.12</v>
      </c>
    </row>
    <row r="8673">
      <c r="A8673" s="3">
        <v>782311.0</v>
      </c>
      <c r="B8673" s="3" t="s">
        <v>8701</v>
      </c>
      <c r="C8673" s="3" t="s">
        <v>189</v>
      </c>
      <c r="D8673" s="3">
        <v>166.0</v>
      </c>
      <c r="E8673" s="3">
        <v>6.46</v>
      </c>
      <c r="F8673" s="3">
        <v>24.26</v>
      </c>
      <c r="G8673" s="3">
        <v>0.86</v>
      </c>
    </row>
    <row r="8674">
      <c r="A8674" s="3">
        <v>782312.0</v>
      </c>
      <c r="B8674" s="3" t="s">
        <v>8702</v>
      </c>
      <c r="C8674" s="3" t="s">
        <v>189</v>
      </c>
      <c r="D8674" s="3">
        <v>189.0</v>
      </c>
      <c r="E8674" s="3">
        <v>8.66</v>
      </c>
      <c r="F8674" s="3">
        <v>19.98</v>
      </c>
      <c r="G8674" s="3">
        <v>6.41</v>
      </c>
    </row>
    <row r="8675">
      <c r="A8675" s="3">
        <v>782314.0</v>
      </c>
      <c r="B8675" s="3" t="s">
        <v>8703</v>
      </c>
      <c r="C8675" s="3" t="s">
        <v>189</v>
      </c>
      <c r="D8675" s="3">
        <v>164.0</v>
      </c>
      <c r="E8675" s="3">
        <v>4.69</v>
      </c>
      <c r="F8675" s="3">
        <v>28.24</v>
      </c>
      <c r="G8675" s="3">
        <v>0.15</v>
      </c>
    </row>
    <row r="8676">
      <c r="A8676" s="3">
        <v>782315.0</v>
      </c>
      <c r="B8676" s="3" t="s">
        <v>8704</v>
      </c>
      <c r="C8676" s="3" t="s">
        <v>189</v>
      </c>
      <c r="D8676" s="3">
        <v>157.0</v>
      </c>
      <c r="E8676" s="3">
        <v>4.61</v>
      </c>
      <c r="F8676" s="3">
        <v>27.04</v>
      </c>
      <c r="G8676" s="3">
        <v>0.0</v>
      </c>
    </row>
    <row r="8677">
      <c r="A8677" s="3">
        <v>782316.0</v>
      </c>
      <c r="B8677" s="3" t="s">
        <v>8705</v>
      </c>
      <c r="C8677" s="3" t="s">
        <v>189</v>
      </c>
      <c r="D8677" s="3">
        <v>124.0</v>
      </c>
      <c r="E8677" s="3">
        <v>3.08</v>
      </c>
      <c r="F8677" s="3">
        <v>22.48</v>
      </c>
      <c r="G8677" s="3">
        <v>0.0</v>
      </c>
    </row>
    <row r="8678">
      <c r="A8678" s="3">
        <v>782317.0</v>
      </c>
      <c r="B8678" s="3" t="s">
        <v>8706</v>
      </c>
      <c r="C8678" s="3" t="s">
        <v>189</v>
      </c>
      <c r="D8678" s="3">
        <v>150.0</v>
      </c>
      <c r="E8678" s="3">
        <v>10.44</v>
      </c>
      <c r="F8678" s="3">
        <v>11.57</v>
      </c>
      <c r="G8678" s="3">
        <v>1.47</v>
      </c>
    </row>
    <row r="8679">
      <c r="A8679" s="3">
        <v>782318.0</v>
      </c>
      <c r="B8679" s="3" t="s">
        <v>8707</v>
      </c>
      <c r="C8679" s="3" t="s">
        <v>189</v>
      </c>
      <c r="D8679" s="3">
        <v>282.0</v>
      </c>
      <c r="E8679" s="3">
        <v>22.11</v>
      </c>
      <c r="F8679" s="3">
        <v>19.13</v>
      </c>
      <c r="G8679" s="3">
        <v>0.0</v>
      </c>
    </row>
    <row r="8680">
      <c r="A8680" s="3">
        <v>782319.0</v>
      </c>
      <c r="B8680" s="3" t="s">
        <v>8708</v>
      </c>
      <c r="C8680" s="3" t="s">
        <v>189</v>
      </c>
      <c r="D8680" s="3">
        <v>277.0</v>
      </c>
      <c r="E8680" s="3">
        <v>21.74</v>
      </c>
      <c r="F8680" s="3">
        <v>18.8</v>
      </c>
      <c r="G8680" s="3">
        <v>0.0</v>
      </c>
    </row>
    <row r="8681">
      <c r="A8681" s="3">
        <v>782320.0</v>
      </c>
      <c r="B8681" s="3" t="s">
        <v>8709</v>
      </c>
      <c r="C8681" s="3" t="s">
        <v>189</v>
      </c>
      <c r="D8681" s="3">
        <v>317.0</v>
      </c>
      <c r="E8681" s="3">
        <v>25.02</v>
      </c>
      <c r="F8681" s="3">
        <v>21.03</v>
      </c>
      <c r="G8681" s="3">
        <v>0.34</v>
      </c>
    </row>
    <row r="8682">
      <c r="A8682" s="3">
        <v>782321.0</v>
      </c>
      <c r="B8682" s="3" t="s">
        <v>8710</v>
      </c>
      <c r="C8682" s="3" t="s">
        <v>189</v>
      </c>
      <c r="D8682" s="3">
        <v>89.0</v>
      </c>
      <c r="E8682" s="3">
        <v>3.85</v>
      </c>
      <c r="F8682" s="3">
        <v>12.6</v>
      </c>
      <c r="G8682" s="3">
        <v>0.0</v>
      </c>
    </row>
    <row r="8683">
      <c r="A8683" s="3">
        <v>782322.0</v>
      </c>
      <c r="B8683" s="3" t="s">
        <v>8711</v>
      </c>
      <c r="C8683" s="3" t="s">
        <v>189</v>
      </c>
      <c r="D8683" s="3">
        <v>231.0</v>
      </c>
      <c r="E8683" s="3">
        <v>20.15</v>
      </c>
      <c r="F8683" s="3">
        <v>12.39</v>
      </c>
      <c r="G8683" s="3">
        <v>0.0</v>
      </c>
    </row>
    <row r="8684">
      <c r="A8684" s="3">
        <v>782323.0</v>
      </c>
      <c r="B8684" s="3" t="s">
        <v>8712</v>
      </c>
      <c r="C8684" s="3" t="s">
        <v>189</v>
      </c>
      <c r="D8684" s="3">
        <v>250.0</v>
      </c>
      <c r="E8684" s="3">
        <v>15.96</v>
      </c>
      <c r="F8684" s="3">
        <v>26.52</v>
      </c>
      <c r="G8684" s="3">
        <v>0.0</v>
      </c>
    </row>
    <row r="8685">
      <c r="A8685" s="3">
        <v>782324.0</v>
      </c>
      <c r="B8685" s="3" t="s">
        <v>8713</v>
      </c>
      <c r="C8685" s="3" t="s">
        <v>189</v>
      </c>
      <c r="D8685" s="3">
        <v>153.0</v>
      </c>
      <c r="E8685" s="3">
        <v>2.66</v>
      </c>
      <c r="F8685" s="3">
        <v>30.14</v>
      </c>
      <c r="G8685" s="3">
        <v>0.0</v>
      </c>
    </row>
    <row r="8686">
      <c r="A8686" s="3">
        <v>782325.0</v>
      </c>
      <c r="B8686" s="3" t="s">
        <v>8714</v>
      </c>
      <c r="C8686" s="3" t="s">
        <v>189</v>
      </c>
      <c r="D8686" s="3">
        <v>332.0</v>
      </c>
      <c r="E8686" s="3">
        <v>29.58</v>
      </c>
      <c r="F8686" s="3">
        <v>12.3</v>
      </c>
      <c r="G8686" s="3">
        <v>3.13</v>
      </c>
    </row>
    <row r="8687">
      <c r="A8687" s="3">
        <v>782326.0</v>
      </c>
      <c r="B8687" s="3" t="s">
        <v>8715</v>
      </c>
      <c r="C8687" s="3" t="s">
        <v>189</v>
      </c>
      <c r="D8687" s="3">
        <v>345.0</v>
      </c>
      <c r="E8687" s="3">
        <v>30.53</v>
      </c>
      <c r="F8687" s="3">
        <v>14.84</v>
      </c>
      <c r="G8687" s="3">
        <v>1.59</v>
      </c>
    </row>
    <row r="8688">
      <c r="A8688" s="3">
        <v>782327.0</v>
      </c>
      <c r="B8688" s="3" t="s">
        <v>8716</v>
      </c>
      <c r="C8688" s="3" t="s">
        <v>189</v>
      </c>
      <c r="D8688" s="3">
        <v>332.0</v>
      </c>
      <c r="E8688" s="3">
        <v>29.58</v>
      </c>
      <c r="F8688" s="3">
        <v>12.3</v>
      </c>
      <c r="G8688" s="3">
        <v>3.13</v>
      </c>
    </row>
    <row r="8689">
      <c r="A8689" s="3">
        <v>782328.0</v>
      </c>
      <c r="B8689" s="3" t="s">
        <v>8717</v>
      </c>
      <c r="C8689" s="3" t="s">
        <v>189</v>
      </c>
      <c r="D8689" s="3">
        <v>292.0</v>
      </c>
      <c r="E8689" s="3">
        <v>25.45</v>
      </c>
      <c r="F8689" s="3">
        <v>10.23</v>
      </c>
      <c r="G8689" s="3">
        <v>5.28</v>
      </c>
    </row>
    <row r="8690">
      <c r="A8690" s="3">
        <v>782329.0</v>
      </c>
      <c r="B8690" s="3" t="s">
        <v>8718</v>
      </c>
      <c r="C8690" s="3" t="s">
        <v>189</v>
      </c>
      <c r="D8690" s="3">
        <v>292.0</v>
      </c>
      <c r="E8690" s="3">
        <v>25.45</v>
      </c>
      <c r="F8690" s="3">
        <v>10.23</v>
      </c>
      <c r="G8690" s="3">
        <v>5.28</v>
      </c>
    </row>
    <row r="8691">
      <c r="A8691" s="3">
        <v>782330.0</v>
      </c>
      <c r="B8691" s="3" t="s">
        <v>8719</v>
      </c>
      <c r="C8691" s="3" t="s">
        <v>189</v>
      </c>
      <c r="D8691" s="3">
        <v>115.0</v>
      </c>
      <c r="E8691" s="3">
        <v>1.67</v>
      </c>
      <c r="F8691" s="3">
        <v>13.16</v>
      </c>
      <c r="G8691" s="3">
        <v>11.8</v>
      </c>
    </row>
    <row r="8692">
      <c r="A8692" s="3">
        <v>782331.0</v>
      </c>
      <c r="B8692" s="3" t="s">
        <v>8720</v>
      </c>
      <c r="C8692" s="3" t="s">
        <v>189</v>
      </c>
      <c r="D8692" s="3">
        <v>292.0</v>
      </c>
      <c r="E8692" s="3">
        <v>25.45</v>
      </c>
      <c r="F8692" s="3">
        <v>10.23</v>
      </c>
      <c r="G8692" s="3">
        <v>5.28</v>
      </c>
    </row>
    <row r="8693">
      <c r="A8693" s="3">
        <v>782332.0</v>
      </c>
      <c r="B8693" s="3" t="s">
        <v>8721</v>
      </c>
      <c r="C8693" s="3" t="s">
        <v>189</v>
      </c>
      <c r="D8693" s="3">
        <v>127.0</v>
      </c>
      <c r="E8693" s="3">
        <v>2.95</v>
      </c>
      <c r="F8693" s="3">
        <v>16.32</v>
      </c>
      <c r="G8693" s="3">
        <v>8.84</v>
      </c>
    </row>
    <row r="8694">
      <c r="A8694" s="3">
        <v>782333.0</v>
      </c>
      <c r="B8694" s="3" t="s">
        <v>8722</v>
      </c>
      <c r="C8694" s="3" t="s">
        <v>189</v>
      </c>
      <c r="D8694" s="3">
        <v>235.0</v>
      </c>
      <c r="E8694" s="3">
        <v>17.04</v>
      </c>
      <c r="F8694" s="3">
        <v>16.33</v>
      </c>
      <c r="G8694" s="3">
        <v>2.88</v>
      </c>
    </row>
    <row r="8695">
      <c r="A8695" s="3">
        <v>782334.0</v>
      </c>
      <c r="B8695" s="3" t="s">
        <v>8723</v>
      </c>
      <c r="C8695" s="3" t="s">
        <v>189</v>
      </c>
      <c r="D8695" s="3">
        <v>235.0</v>
      </c>
      <c r="E8695" s="3">
        <v>18.2</v>
      </c>
      <c r="F8695" s="3">
        <v>12.87</v>
      </c>
      <c r="G8695" s="3">
        <v>4.01</v>
      </c>
    </row>
    <row r="8696">
      <c r="A8696" s="3">
        <v>782335.0</v>
      </c>
      <c r="B8696" s="3" t="s">
        <v>8724</v>
      </c>
      <c r="C8696" s="3" t="s">
        <v>189</v>
      </c>
      <c r="D8696" s="3">
        <v>127.0</v>
      </c>
      <c r="E8696" s="3">
        <v>2.95</v>
      </c>
      <c r="F8696" s="3">
        <v>16.32</v>
      </c>
      <c r="G8696" s="3">
        <v>8.84</v>
      </c>
    </row>
    <row r="8697">
      <c r="A8697" s="3">
        <v>782336.0</v>
      </c>
      <c r="B8697" s="3" t="s">
        <v>8725</v>
      </c>
      <c r="C8697" s="3" t="s">
        <v>189</v>
      </c>
      <c r="D8697" s="3">
        <v>127.0</v>
      </c>
      <c r="E8697" s="3">
        <v>2.95</v>
      </c>
      <c r="F8697" s="3">
        <v>16.32</v>
      </c>
      <c r="G8697" s="3">
        <v>8.84</v>
      </c>
    </row>
    <row r="8698">
      <c r="A8698" s="3">
        <v>782337.0</v>
      </c>
      <c r="B8698" s="3" t="s">
        <v>8726</v>
      </c>
      <c r="C8698" s="3" t="s">
        <v>189</v>
      </c>
      <c r="D8698" s="3">
        <v>405.0</v>
      </c>
      <c r="E8698" s="3">
        <v>37.57</v>
      </c>
      <c r="F8698" s="3">
        <v>15.5</v>
      </c>
      <c r="G8698" s="3">
        <v>0.03</v>
      </c>
    </row>
    <row r="8699">
      <c r="A8699" s="3">
        <v>782340.0</v>
      </c>
      <c r="B8699" s="3" t="s">
        <v>8727</v>
      </c>
      <c r="C8699" s="3" t="s">
        <v>189</v>
      </c>
      <c r="D8699" s="3">
        <v>402.0</v>
      </c>
      <c r="E8699" s="3">
        <v>36.99</v>
      </c>
      <c r="F8699" s="3">
        <v>15.76</v>
      </c>
      <c r="G8699" s="3">
        <v>0.4</v>
      </c>
    </row>
    <row r="8700">
      <c r="A8700" s="3">
        <v>782343.0</v>
      </c>
      <c r="B8700" s="3" t="s">
        <v>8728</v>
      </c>
      <c r="C8700" s="3" t="s">
        <v>189</v>
      </c>
      <c r="D8700" s="3">
        <v>337.0</v>
      </c>
      <c r="E8700" s="3">
        <v>29.44</v>
      </c>
      <c r="F8700" s="3">
        <v>14.16</v>
      </c>
      <c r="G8700" s="3">
        <v>2.94</v>
      </c>
    </row>
    <row r="8701">
      <c r="A8701" s="3">
        <v>782348.0</v>
      </c>
      <c r="B8701" s="3" t="s">
        <v>8729</v>
      </c>
      <c r="C8701" s="3" t="s">
        <v>189</v>
      </c>
      <c r="D8701" s="3">
        <v>268.0</v>
      </c>
      <c r="E8701" s="3">
        <v>19.14</v>
      </c>
      <c r="F8701" s="3">
        <v>17.6</v>
      </c>
      <c r="G8701" s="3">
        <v>5.64</v>
      </c>
    </row>
    <row r="8702">
      <c r="A8702" s="3">
        <v>782359.0</v>
      </c>
      <c r="B8702" s="3" t="s">
        <v>8730</v>
      </c>
      <c r="C8702" s="3" t="s">
        <v>189</v>
      </c>
      <c r="D8702" s="3">
        <v>344.0</v>
      </c>
      <c r="E8702" s="3">
        <v>27.31</v>
      </c>
      <c r="F8702" s="3">
        <v>19.12</v>
      </c>
      <c r="G8702" s="3">
        <v>4.27</v>
      </c>
    </row>
    <row r="8703">
      <c r="A8703" s="3">
        <v>782369.0</v>
      </c>
      <c r="B8703" s="3" t="s">
        <v>8731</v>
      </c>
      <c r="C8703" s="3" t="s">
        <v>189</v>
      </c>
      <c r="D8703" s="3">
        <v>227.0</v>
      </c>
      <c r="E8703" s="3">
        <v>14.76</v>
      </c>
      <c r="F8703" s="3">
        <v>8.57</v>
      </c>
      <c r="G8703" s="3">
        <v>14.96</v>
      </c>
    </row>
    <row r="8704">
      <c r="A8704" s="3">
        <v>782377.0</v>
      </c>
      <c r="B8704" s="3" t="s">
        <v>8732</v>
      </c>
      <c r="C8704" s="3" t="s">
        <v>189</v>
      </c>
      <c r="D8704" s="3">
        <v>393.0</v>
      </c>
      <c r="E8704" s="3">
        <v>35.96</v>
      </c>
      <c r="F8704" s="3">
        <v>13.69</v>
      </c>
      <c r="G8704" s="3">
        <v>2.68</v>
      </c>
    </row>
    <row r="8705">
      <c r="A8705" s="3">
        <v>782383.0</v>
      </c>
      <c r="B8705" s="3" t="s">
        <v>8733</v>
      </c>
      <c r="C8705" s="3" t="s">
        <v>189</v>
      </c>
      <c r="D8705" s="3">
        <v>180.0</v>
      </c>
      <c r="E8705" s="3">
        <v>10.3</v>
      </c>
      <c r="F8705" s="3">
        <v>16.5</v>
      </c>
      <c r="G8705" s="3">
        <v>4.2</v>
      </c>
    </row>
    <row r="8706">
      <c r="A8706" s="3">
        <v>782391.0</v>
      </c>
      <c r="B8706" s="3" t="s">
        <v>8734</v>
      </c>
      <c r="C8706" s="3" t="s">
        <v>189</v>
      </c>
      <c r="D8706" s="3">
        <v>124.0</v>
      </c>
      <c r="E8706" s="3">
        <v>3.8</v>
      </c>
      <c r="F8706" s="3">
        <v>19.6</v>
      </c>
      <c r="G8706" s="3">
        <v>2.93</v>
      </c>
    </row>
    <row r="8707">
      <c r="A8707" s="3">
        <v>782397.0</v>
      </c>
      <c r="B8707" s="3" t="s">
        <v>8735</v>
      </c>
      <c r="C8707" s="3" t="s">
        <v>252</v>
      </c>
      <c r="D8707" s="3">
        <v>109.0</v>
      </c>
      <c r="E8707" s="3">
        <v>3.57</v>
      </c>
      <c r="F8707" s="3">
        <v>18.12</v>
      </c>
      <c r="G8707" s="3">
        <v>0.0</v>
      </c>
    </row>
    <row r="8708">
      <c r="A8708" s="3">
        <v>782398.0</v>
      </c>
      <c r="B8708" s="3" t="s">
        <v>8736</v>
      </c>
      <c r="C8708" s="3" t="s">
        <v>252</v>
      </c>
      <c r="D8708" s="3">
        <v>166.0</v>
      </c>
      <c r="E8708" s="3">
        <v>8.04</v>
      </c>
      <c r="F8708" s="3">
        <v>22.16</v>
      </c>
      <c r="G8708" s="3">
        <v>0.1</v>
      </c>
    </row>
    <row r="8709">
      <c r="A8709" s="3">
        <v>782399.0</v>
      </c>
      <c r="B8709" s="3" t="s">
        <v>8737</v>
      </c>
      <c r="C8709" s="3" t="s">
        <v>252</v>
      </c>
      <c r="D8709" s="3">
        <v>166.0</v>
      </c>
      <c r="E8709" s="3">
        <v>8.04</v>
      </c>
      <c r="F8709" s="3">
        <v>22.16</v>
      </c>
      <c r="G8709" s="3">
        <v>0.1</v>
      </c>
    </row>
    <row r="8710">
      <c r="A8710" s="3">
        <v>782400.0</v>
      </c>
      <c r="B8710" s="3" t="s">
        <v>8738</v>
      </c>
      <c r="C8710" s="3" t="s">
        <v>252</v>
      </c>
      <c r="D8710" s="3">
        <v>160.0</v>
      </c>
      <c r="E8710" s="3">
        <v>7.46</v>
      </c>
      <c r="F8710" s="3">
        <v>22.17</v>
      </c>
      <c r="G8710" s="3">
        <v>0.1</v>
      </c>
    </row>
    <row r="8711">
      <c r="A8711" s="3">
        <v>782401.0</v>
      </c>
      <c r="B8711" s="3" t="s">
        <v>8739</v>
      </c>
      <c r="C8711" s="3" t="s">
        <v>252</v>
      </c>
      <c r="D8711" s="3">
        <v>153.0</v>
      </c>
      <c r="E8711" s="3">
        <v>6.67</v>
      </c>
      <c r="F8711" s="3">
        <v>22.14</v>
      </c>
      <c r="G8711" s="3">
        <v>0.13</v>
      </c>
    </row>
    <row r="8712">
      <c r="A8712" s="3">
        <v>782402.0</v>
      </c>
      <c r="B8712" s="3" t="s">
        <v>8740</v>
      </c>
      <c r="C8712" s="3" t="s">
        <v>252</v>
      </c>
      <c r="D8712" s="3">
        <v>137.0</v>
      </c>
      <c r="E8712" s="3">
        <v>4.5</v>
      </c>
      <c r="F8712" s="3">
        <v>22.82</v>
      </c>
      <c r="G8712" s="3">
        <v>0.1</v>
      </c>
    </row>
    <row r="8713">
      <c r="A8713" s="3">
        <v>782403.0</v>
      </c>
      <c r="B8713" s="3" t="s">
        <v>8741</v>
      </c>
      <c r="C8713" s="3" t="s">
        <v>252</v>
      </c>
      <c r="D8713" s="3">
        <v>140.0</v>
      </c>
      <c r="E8713" s="3">
        <v>4.87</v>
      </c>
      <c r="F8713" s="3">
        <v>22.73</v>
      </c>
      <c r="G8713" s="3">
        <v>0.2</v>
      </c>
    </row>
    <row r="8714">
      <c r="A8714" s="3">
        <v>782404.0</v>
      </c>
      <c r="B8714" s="3" t="s">
        <v>8742</v>
      </c>
      <c r="C8714" s="3" t="s">
        <v>252</v>
      </c>
      <c r="D8714" s="3">
        <v>218.0</v>
      </c>
      <c r="E8714" s="3">
        <v>9.68</v>
      </c>
      <c r="F8714" s="3">
        <v>19.21</v>
      </c>
      <c r="G8714" s="3">
        <v>12.52</v>
      </c>
    </row>
    <row r="8715">
      <c r="A8715" s="3">
        <v>782405.0</v>
      </c>
      <c r="B8715" s="3" t="s">
        <v>8743</v>
      </c>
      <c r="C8715" s="3" t="s">
        <v>252</v>
      </c>
      <c r="D8715" s="3">
        <v>210.0</v>
      </c>
      <c r="E8715" s="3">
        <v>8.79</v>
      </c>
      <c r="F8715" s="3">
        <v>19.22</v>
      </c>
      <c r="G8715" s="3">
        <v>12.5</v>
      </c>
    </row>
    <row r="8716">
      <c r="A8716" s="3">
        <v>782406.0</v>
      </c>
      <c r="B8716" s="3" t="s">
        <v>8744</v>
      </c>
      <c r="C8716" s="3" t="s">
        <v>252</v>
      </c>
      <c r="D8716" s="3">
        <v>199.0</v>
      </c>
      <c r="E8716" s="3">
        <v>7.58</v>
      </c>
      <c r="F8716" s="3">
        <v>19.18</v>
      </c>
      <c r="G8716" s="3">
        <v>12.55</v>
      </c>
    </row>
    <row r="8717">
      <c r="A8717" s="3">
        <v>782407.0</v>
      </c>
      <c r="B8717" s="3" t="s">
        <v>8745</v>
      </c>
      <c r="C8717" s="3" t="s">
        <v>252</v>
      </c>
      <c r="D8717" s="3">
        <v>176.0</v>
      </c>
      <c r="E8717" s="3">
        <v>4.26</v>
      </c>
      <c r="F8717" s="3">
        <v>20.09</v>
      </c>
      <c r="G8717" s="3">
        <v>13.1</v>
      </c>
    </row>
    <row r="8718">
      <c r="A8718" s="3">
        <v>782408.0</v>
      </c>
      <c r="B8718" s="3" t="s">
        <v>8746</v>
      </c>
      <c r="C8718" s="3" t="s">
        <v>252</v>
      </c>
      <c r="D8718" s="3">
        <v>179.0</v>
      </c>
      <c r="E8718" s="3">
        <v>4.55</v>
      </c>
      <c r="F8718" s="3">
        <v>20.03</v>
      </c>
      <c r="G8718" s="3">
        <v>13.14</v>
      </c>
    </row>
    <row r="8719">
      <c r="A8719" s="3">
        <v>782409.0</v>
      </c>
      <c r="B8719" s="3" t="s">
        <v>8747</v>
      </c>
      <c r="C8719" s="3" t="s">
        <v>252</v>
      </c>
      <c r="D8719" s="3">
        <v>237.0</v>
      </c>
      <c r="E8719" s="3">
        <v>13.37</v>
      </c>
      <c r="F8719" s="3">
        <v>18.46</v>
      </c>
      <c r="G8719" s="3">
        <v>9.85</v>
      </c>
    </row>
    <row r="8720">
      <c r="A8720" s="3">
        <v>782410.0</v>
      </c>
      <c r="B8720" s="3" t="s">
        <v>8748</v>
      </c>
      <c r="C8720" s="3" t="s">
        <v>252</v>
      </c>
      <c r="D8720" s="3">
        <v>222.0</v>
      </c>
      <c r="E8720" s="3">
        <v>11.73</v>
      </c>
      <c r="F8720" s="3">
        <v>18.53</v>
      </c>
      <c r="G8720" s="3">
        <v>9.86</v>
      </c>
    </row>
    <row r="8721">
      <c r="A8721" s="3">
        <v>782411.0</v>
      </c>
      <c r="B8721" s="3" t="s">
        <v>8749</v>
      </c>
      <c r="C8721" s="3" t="s">
        <v>252</v>
      </c>
      <c r="D8721" s="3">
        <v>206.0</v>
      </c>
      <c r="E8721" s="3">
        <v>9.87</v>
      </c>
      <c r="F8721" s="3">
        <v>18.47</v>
      </c>
      <c r="G8721" s="3">
        <v>9.93</v>
      </c>
    </row>
    <row r="8722">
      <c r="A8722" s="3">
        <v>782412.0</v>
      </c>
      <c r="B8722" s="3" t="s">
        <v>8750</v>
      </c>
      <c r="C8722" s="3" t="s">
        <v>252</v>
      </c>
      <c r="D8722" s="3">
        <v>188.0</v>
      </c>
      <c r="E8722" s="3">
        <v>5.49</v>
      </c>
      <c r="F8722" s="3">
        <v>21.72</v>
      </c>
      <c r="G8722" s="3">
        <v>11.6</v>
      </c>
    </row>
    <row r="8723">
      <c r="A8723" s="3">
        <v>782413.0</v>
      </c>
      <c r="B8723" s="3" t="s">
        <v>8751</v>
      </c>
      <c r="C8723" s="3" t="s">
        <v>252</v>
      </c>
      <c r="D8723" s="3">
        <v>191.0</v>
      </c>
      <c r="E8723" s="3">
        <v>5.78</v>
      </c>
      <c r="F8723" s="3">
        <v>21.66</v>
      </c>
      <c r="G8723" s="3">
        <v>11.64</v>
      </c>
    </row>
    <row r="8724">
      <c r="A8724" s="3">
        <v>782414.0</v>
      </c>
      <c r="B8724" s="3" t="s">
        <v>8752</v>
      </c>
      <c r="C8724" s="3" t="s">
        <v>252</v>
      </c>
      <c r="D8724" s="3">
        <v>160.0</v>
      </c>
      <c r="E8724" s="3">
        <v>5.53</v>
      </c>
      <c r="F8724" s="3">
        <v>25.78</v>
      </c>
      <c r="G8724" s="3">
        <v>0.0</v>
      </c>
    </row>
    <row r="8725">
      <c r="A8725" s="3">
        <v>782423.0</v>
      </c>
      <c r="B8725" s="3" t="s">
        <v>8753</v>
      </c>
      <c r="C8725" s="3" t="s">
        <v>252</v>
      </c>
      <c r="D8725" s="3">
        <v>226.0</v>
      </c>
      <c r="E8725" s="3">
        <v>13.33</v>
      </c>
      <c r="F8725" s="3">
        <v>24.56</v>
      </c>
      <c r="G8725" s="3">
        <v>0.1</v>
      </c>
    </row>
    <row r="8726">
      <c r="A8726" s="3">
        <v>782424.0</v>
      </c>
      <c r="B8726" s="3" t="s">
        <v>8754</v>
      </c>
      <c r="C8726" s="3" t="s">
        <v>252</v>
      </c>
      <c r="D8726" s="3">
        <v>226.0</v>
      </c>
      <c r="E8726" s="3">
        <v>13.33</v>
      </c>
      <c r="F8726" s="3">
        <v>24.56</v>
      </c>
      <c r="G8726" s="3">
        <v>0.1</v>
      </c>
    </row>
    <row r="8727">
      <c r="A8727" s="3">
        <v>782425.0</v>
      </c>
      <c r="B8727" s="3" t="s">
        <v>8755</v>
      </c>
      <c r="C8727" s="3" t="s">
        <v>252</v>
      </c>
      <c r="D8727" s="3">
        <v>199.0</v>
      </c>
      <c r="E8727" s="3">
        <v>9.94</v>
      </c>
      <c r="F8727" s="3">
        <v>25.28</v>
      </c>
      <c r="G8727" s="3">
        <v>0.1</v>
      </c>
    </row>
    <row r="8728">
      <c r="A8728" s="3">
        <v>782426.0</v>
      </c>
      <c r="B8728" s="3" t="s">
        <v>8756</v>
      </c>
      <c r="C8728" s="3" t="s">
        <v>252</v>
      </c>
      <c r="D8728" s="3">
        <v>264.0</v>
      </c>
      <c r="E8728" s="3">
        <v>13.71</v>
      </c>
      <c r="F8728" s="3">
        <v>21.03</v>
      </c>
      <c r="G8728" s="3">
        <v>12.52</v>
      </c>
    </row>
    <row r="8729">
      <c r="A8729" s="3">
        <v>782427.0</v>
      </c>
      <c r="B8729" s="3" t="s">
        <v>8757</v>
      </c>
      <c r="C8729" s="3" t="s">
        <v>252</v>
      </c>
      <c r="D8729" s="3">
        <v>224.0</v>
      </c>
      <c r="E8729" s="3">
        <v>8.47</v>
      </c>
      <c r="F8729" s="3">
        <v>22.0</v>
      </c>
      <c r="G8729" s="3">
        <v>13.1</v>
      </c>
    </row>
    <row r="8730">
      <c r="A8730" s="3">
        <v>782428.0</v>
      </c>
      <c r="B8730" s="3" t="s">
        <v>8758</v>
      </c>
      <c r="C8730" s="3" t="s">
        <v>252</v>
      </c>
      <c r="D8730" s="3">
        <v>279.0</v>
      </c>
      <c r="E8730" s="3">
        <v>17.06</v>
      </c>
      <c r="F8730" s="3">
        <v>20.13</v>
      </c>
      <c r="G8730" s="3">
        <v>9.85</v>
      </c>
    </row>
    <row r="8731">
      <c r="A8731" s="3">
        <v>782429.0</v>
      </c>
      <c r="B8731" s="3" t="s">
        <v>8759</v>
      </c>
      <c r="C8731" s="3" t="s">
        <v>252</v>
      </c>
      <c r="D8731" s="3">
        <v>199.0</v>
      </c>
      <c r="E8731" s="3">
        <v>9.92</v>
      </c>
      <c r="F8731" s="3">
        <v>25.24</v>
      </c>
      <c r="G8731" s="3">
        <v>0.0</v>
      </c>
    </row>
    <row r="8732">
      <c r="A8732" s="3">
        <v>782430.0</v>
      </c>
      <c r="B8732" s="3" t="s">
        <v>8760</v>
      </c>
      <c r="C8732" s="3" t="s">
        <v>252</v>
      </c>
      <c r="D8732" s="3">
        <v>253.0</v>
      </c>
      <c r="E8732" s="3">
        <v>15.11</v>
      </c>
      <c r="F8732" s="3">
        <v>18.22</v>
      </c>
      <c r="G8732" s="3">
        <v>9.85</v>
      </c>
    </row>
    <row r="8733">
      <c r="A8733" s="3">
        <v>782431.0</v>
      </c>
      <c r="B8733" s="3" t="s">
        <v>8761</v>
      </c>
      <c r="C8733" s="3" t="s">
        <v>252</v>
      </c>
      <c r="D8733" s="3">
        <v>188.0</v>
      </c>
      <c r="E8733" s="3">
        <v>10.53</v>
      </c>
      <c r="F8733" s="3">
        <v>21.82</v>
      </c>
      <c r="G8733" s="3">
        <v>0.1</v>
      </c>
    </row>
    <row r="8734">
      <c r="A8734" s="3">
        <v>782432.0</v>
      </c>
      <c r="B8734" s="3" t="s">
        <v>8762</v>
      </c>
      <c r="C8734" s="3" t="s">
        <v>252</v>
      </c>
      <c r="D8734" s="3">
        <v>160.0</v>
      </c>
      <c r="E8734" s="3">
        <v>7.06</v>
      </c>
      <c r="F8734" s="3">
        <v>22.46</v>
      </c>
      <c r="G8734" s="3">
        <v>0.1</v>
      </c>
    </row>
    <row r="8735">
      <c r="A8735" s="3">
        <v>782433.0</v>
      </c>
      <c r="B8735" s="3" t="s">
        <v>8763</v>
      </c>
      <c r="C8735" s="3" t="s">
        <v>252</v>
      </c>
      <c r="D8735" s="3">
        <v>235.0</v>
      </c>
      <c r="E8735" s="3">
        <v>11.57</v>
      </c>
      <c r="F8735" s="3">
        <v>18.94</v>
      </c>
      <c r="G8735" s="3">
        <v>12.52</v>
      </c>
    </row>
    <row r="8736">
      <c r="A8736" s="3">
        <v>782434.0</v>
      </c>
      <c r="B8736" s="3" t="s">
        <v>8764</v>
      </c>
      <c r="C8736" s="3" t="s">
        <v>252</v>
      </c>
      <c r="D8736" s="3">
        <v>194.0</v>
      </c>
      <c r="E8736" s="3">
        <v>6.24</v>
      </c>
      <c r="F8736" s="3">
        <v>19.81</v>
      </c>
      <c r="G8736" s="3">
        <v>13.1</v>
      </c>
    </row>
    <row r="8737">
      <c r="A8737" s="3">
        <v>782435.0</v>
      </c>
      <c r="B8737" s="3" t="s">
        <v>8765</v>
      </c>
      <c r="C8737" s="3" t="s">
        <v>252</v>
      </c>
      <c r="D8737" s="3">
        <v>253.0</v>
      </c>
      <c r="E8737" s="3">
        <v>15.11</v>
      </c>
      <c r="F8737" s="3">
        <v>18.22</v>
      </c>
      <c r="G8737" s="3">
        <v>9.85</v>
      </c>
    </row>
    <row r="8738">
      <c r="A8738" s="3">
        <v>782436.0</v>
      </c>
      <c r="B8738" s="3" t="s">
        <v>8766</v>
      </c>
      <c r="C8738" s="3" t="s">
        <v>252</v>
      </c>
      <c r="D8738" s="3">
        <v>160.0</v>
      </c>
      <c r="E8738" s="3">
        <v>7.04</v>
      </c>
      <c r="F8738" s="3">
        <v>22.42</v>
      </c>
      <c r="G8738" s="3">
        <v>0.0</v>
      </c>
    </row>
    <row r="8739">
      <c r="A8739" s="3">
        <v>782437.0</v>
      </c>
      <c r="B8739" s="3" t="s">
        <v>8767</v>
      </c>
      <c r="C8739" s="3" t="s">
        <v>252</v>
      </c>
      <c r="D8739" s="3">
        <v>198.0</v>
      </c>
      <c r="E8739" s="3">
        <v>8.74</v>
      </c>
      <c r="F8739" s="3">
        <v>27.84</v>
      </c>
      <c r="G8739" s="3">
        <v>0.0</v>
      </c>
    </row>
    <row r="8740">
      <c r="A8740" s="3">
        <v>782438.0</v>
      </c>
      <c r="B8740" s="3" t="s">
        <v>8768</v>
      </c>
      <c r="C8740" s="3" t="s">
        <v>252</v>
      </c>
      <c r="D8740" s="3">
        <v>246.0</v>
      </c>
      <c r="E8740" s="3">
        <v>15.4</v>
      </c>
      <c r="F8740" s="3">
        <v>16.0</v>
      </c>
      <c r="G8740" s="3">
        <v>9.86</v>
      </c>
    </row>
    <row r="8741">
      <c r="A8741" s="3">
        <v>782439.0</v>
      </c>
      <c r="B8741" s="3" t="s">
        <v>8769</v>
      </c>
      <c r="C8741" s="3" t="s">
        <v>252</v>
      </c>
      <c r="D8741" s="3">
        <v>178.0</v>
      </c>
      <c r="E8741" s="3">
        <v>10.94</v>
      </c>
      <c r="F8741" s="3">
        <v>18.64</v>
      </c>
      <c r="G8741" s="3">
        <v>0.1</v>
      </c>
    </row>
    <row r="8742">
      <c r="A8742" s="3">
        <v>782440.0</v>
      </c>
      <c r="B8742" s="3" t="s">
        <v>8770</v>
      </c>
      <c r="C8742" s="3" t="s">
        <v>252</v>
      </c>
      <c r="D8742" s="3">
        <v>173.0</v>
      </c>
      <c r="E8742" s="3">
        <v>10.36</v>
      </c>
      <c r="F8742" s="3">
        <v>18.65</v>
      </c>
      <c r="G8742" s="3">
        <v>0.1</v>
      </c>
    </row>
    <row r="8743">
      <c r="A8743" s="3">
        <v>782441.0</v>
      </c>
      <c r="B8743" s="3" t="s">
        <v>8771</v>
      </c>
      <c r="C8743" s="3" t="s">
        <v>252</v>
      </c>
      <c r="D8743" s="3">
        <v>166.0</v>
      </c>
      <c r="E8743" s="3">
        <v>9.56</v>
      </c>
      <c r="F8743" s="3">
        <v>18.61</v>
      </c>
      <c r="G8743" s="3">
        <v>0.13</v>
      </c>
    </row>
    <row r="8744">
      <c r="A8744" s="3">
        <v>782442.0</v>
      </c>
      <c r="B8744" s="3" t="s">
        <v>8772</v>
      </c>
      <c r="C8744" s="3" t="s">
        <v>252</v>
      </c>
      <c r="D8744" s="3">
        <v>150.0</v>
      </c>
      <c r="E8744" s="3">
        <v>7.48</v>
      </c>
      <c r="F8744" s="3">
        <v>19.18</v>
      </c>
      <c r="G8744" s="3">
        <v>0.1</v>
      </c>
    </row>
    <row r="8745">
      <c r="A8745" s="3">
        <v>782443.0</v>
      </c>
      <c r="B8745" s="3" t="s">
        <v>8773</v>
      </c>
      <c r="C8745" s="3" t="s">
        <v>252</v>
      </c>
      <c r="D8745" s="3">
        <v>154.0</v>
      </c>
      <c r="E8745" s="3">
        <v>7.85</v>
      </c>
      <c r="F8745" s="3">
        <v>19.11</v>
      </c>
      <c r="G8745" s="3">
        <v>0.2</v>
      </c>
    </row>
    <row r="8746">
      <c r="A8746" s="3">
        <v>782444.0</v>
      </c>
      <c r="B8746" s="3" t="s">
        <v>8774</v>
      </c>
      <c r="C8746" s="3" t="s">
        <v>252</v>
      </c>
      <c r="D8746" s="3">
        <v>228.0</v>
      </c>
      <c r="E8746" s="3">
        <v>11.89</v>
      </c>
      <c r="F8746" s="3">
        <v>16.51</v>
      </c>
      <c r="G8746" s="3">
        <v>12.52</v>
      </c>
    </row>
    <row r="8747">
      <c r="A8747" s="3">
        <v>782445.0</v>
      </c>
      <c r="B8747" s="3" t="s">
        <v>8775</v>
      </c>
      <c r="C8747" s="3" t="s">
        <v>252</v>
      </c>
      <c r="D8747" s="3">
        <v>220.0</v>
      </c>
      <c r="E8747" s="3">
        <v>11.0</v>
      </c>
      <c r="F8747" s="3">
        <v>16.53</v>
      </c>
      <c r="G8747" s="3">
        <v>12.5</v>
      </c>
    </row>
    <row r="8748">
      <c r="A8748" s="3">
        <v>782446.0</v>
      </c>
      <c r="B8748" s="3" t="s">
        <v>8776</v>
      </c>
      <c r="C8748" s="3" t="s">
        <v>252</v>
      </c>
      <c r="D8748" s="3">
        <v>209.0</v>
      </c>
      <c r="E8748" s="3">
        <v>9.78</v>
      </c>
      <c r="F8748" s="3">
        <v>16.49</v>
      </c>
      <c r="G8748" s="3">
        <v>12.55</v>
      </c>
    </row>
    <row r="8749">
      <c r="A8749" s="3">
        <v>782447.0</v>
      </c>
      <c r="B8749" s="3" t="s">
        <v>8777</v>
      </c>
      <c r="C8749" s="3" t="s">
        <v>252</v>
      </c>
      <c r="D8749" s="3">
        <v>186.0</v>
      </c>
      <c r="E8749" s="3">
        <v>6.57</v>
      </c>
      <c r="F8749" s="3">
        <v>17.27</v>
      </c>
      <c r="G8749" s="3">
        <v>13.1</v>
      </c>
    </row>
    <row r="8750">
      <c r="A8750" s="3">
        <v>782448.0</v>
      </c>
      <c r="B8750" s="3" t="s">
        <v>8778</v>
      </c>
      <c r="C8750" s="3" t="s">
        <v>252</v>
      </c>
      <c r="D8750" s="3">
        <v>189.0</v>
      </c>
      <c r="E8750" s="3">
        <v>6.85</v>
      </c>
      <c r="F8750" s="3">
        <v>17.22</v>
      </c>
      <c r="G8750" s="3">
        <v>13.14</v>
      </c>
    </row>
    <row r="8751">
      <c r="A8751" s="3">
        <v>782449.0</v>
      </c>
      <c r="B8751" s="3" t="s">
        <v>8779</v>
      </c>
      <c r="C8751" s="3" t="s">
        <v>252</v>
      </c>
      <c r="D8751" s="3">
        <v>246.0</v>
      </c>
      <c r="E8751" s="3">
        <v>15.4</v>
      </c>
      <c r="F8751" s="3">
        <v>16.0</v>
      </c>
      <c r="G8751" s="3">
        <v>9.85</v>
      </c>
    </row>
    <row r="8752">
      <c r="A8752" s="3">
        <v>782450.0</v>
      </c>
      <c r="B8752" s="3" t="s">
        <v>8780</v>
      </c>
      <c r="C8752" s="3" t="s">
        <v>252</v>
      </c>
      <c r="D8752" s="3">
        <v>231.0</v>
      </c>
      <c r="E8752" s="3">
        <v>13.75</v>
      </c>
      <c r="F8752" s="3">
        <v>16.07</v>
      </c>
      <c r="G8752" s="3">
        <v>9.86</v>
      </c>
    </row>
    <row r="8753">
      <c r="A8753" s="3">
        <v>782451.0</v>
      </c>
      <c r="B8753" s="3" t="s">
        <v>8781</v>
      </c>
      <c r="C8753" s="3" t="s">
        <v>252</v>
      </c>
      <c r="D8753" s="3">
        <v>215.0</v>
      </c>
      <c r="E8753" s="3">
        <v>11.9</v>
      </c>
      <c r="F8753" s="3">
        <v>16.01</v>
      </c>
      <c r="G8753" s="3">
        <v>9.93</v>
      </c>
    </row>
    <row r="8754">
      <c r="A8754" s="3">
        <v>782452.0</v>
      </c>
      <c r="B8754" s="3" t="s">
        <v>8782</v>
      </c>
      <c r="C8754" s="3" t="s">
        <v>252</v>
      </c>
      <c r="D8754" s="3">
        <v>199.0</v>
      </c>
      <c r="E8754" s="3">
        <v>7.87</v>
      </c>
      <c r="F8754" s="3">
        <v>18.83</v>
      </c>
      <c r="G8754" s="3">
        <v>11.6</v>
      </c>
    </row>
    <row r="8755">
      <c r="A8755" s="3">
        <v>782453.0</v>
      </c>
      <c r="B8755" s="3" t="s">
        <v>8783</v>
      </c>
      <c r="C8755" s="3" t="s">
        <v>252</v>
      </c>
      <c r="D8755" s="3">
        <v>201.0</v>
      </c>
      <c r="E8755" s="3">
        <v>8.16</v>
      </c>
      <c r="F8755" s="3">
        <v>18.77</v>
      </c>
      <c r="G8755" s="3">
        <v>11.64</v>
      </c>
    </row>
    <row r="8756">
      <c r="A8756" s="3">
        <v>782454.0</v>
      </c>
      <c r="B8756" s="3" t="s">
        <v>8784</v>
      </c>
      <c r="C8756" s="3" t="s">
        <v>252</v>
      </c>
      <c r="D8756" s="3">
        <v>150.0</v>
      </c>
      <c r="E8756" s="3">
        <v>7.47</v>
      </c>
      <c r="F8756" s="3">
        <v>19.15</v>
      </c>
      <c r="G8756" s="3">
        <v>0.0</v>
      </c>
    </row>
    <row r="8757">
      <c r="A8757" s="3">
        <v>782455.0</v>
      </c>
      <c r="B8757" s="3" t="s">
        <v>8785</v>
      </c>
      <c r="C8757" s="3" t="s">
        <v>252</v>
      </c>
      <c r="D8757" s="3">
        <v>117.0</v>
      </c>
      <c r="E8757" s="3">
        <v>4.18</v>
      </c>
      <c r="F8757" s="3">
        <v>18.68</v>
      </c>
      <c r="G8757" s="3">
        <v>0.1</v>
      </c>
    </row>
    <row r="8758">
      <c r="A8758" s="3">
        <v>782456.0</v>
      </c>
      <c r="B8758" s="3" t="s">
        <v>8786</v>
      </c>
      <c r="C8758" s="3" t="s">
        <v>252</v>
      </c>
      <c r="D8758" s="3">
        <v>117.0</v>
      </c>
      <c r="E8758" s="3">
        <v>4.18</v>
      </c>
      <c r="F8758" s="3">
        <v>18.68</v>
      </c>
      <c r="G8758" s="3">
        <v>0.1</v>
      </c>
    </row>
    <row r="8759">
      <c r="A8759" s="3">
        <v>782457.0</v>
      </c>
      <c r="B8759" s="3" t="s">
        <v>8787</v>
      </c>
      <c r="C8759" s="3" t="s">
        <v>252</v>
      </c>
      <c r="D8759" s="3">
        <v>112.0</v>
      </c>
      <c r="E8759" s="3">
        <v>3.6</v>
      </c>
      <c r="F8759" s="3">
        <v>18.7</v>
      </c>
      <c r="G8759" s="3">
        <v>0.1</v>
      </c>
    </row>
    <row r="8760">
      <c r="A8760" s="3">
        <v>782458.0</v>
      </c>
      <c r="B8760" s="3" t="s">
        <v>8788</v>
      </c>
      <c r="C8760" s="3" t="s">
        <v>252</v>
      </c>
      <c r="D8760" s="3">
        <v>105.0</v>
      </c>
      <c r="E8760" s="3">
        <v>2.81</v>
      </c>
      <c r="F8760" s="3">
        <v>18.66</v>
      </c>
      <c r="G8760" s="3">
        <v>0.13</v>
      </c>
    </row>
    <row r="8761">
      <c r="A8761" s="3">
        <v>782459.0</v>
      </c>
      <c r="B8761" s="3" t="s">
        <v>8789</v>
      </c>
      <c r="C8761" s="3" t="s">
        <v>252</v>
      </c>
      <c r="D8761" s="3">
        <v>87.0</v>
      </c>
      <c r="E8761" s="3">
        <v>0.52</v>
      </c>
      <c r="F8761" s="3">
        <v>19.24</v>
      </c>
      <c r="G8761" s="3">
        <v>0.1</v>
      </c>
    </row>
    <row r="8762">
      <c r="A8762" s="3">
        <v>782460.0</v>
      </c>
      <c r="B8762" s="3" t="s">
        <v>8790</v>
      </c>
      <c r="C8762" s="3" t="s">
        <v>252</v>
      </c>
      <c r="D8762" s="3">
        <v>91.0</v>
      </c>
      <c r="E8762" s="3">
        <v>0.91</v>
      </c>
      <c r="F8762" s="3">
        <v>19.16</v>
      </c>
      <c r="G8762" s="3">
        <v>0.2</v>
      </c>
    </row>
    <row r="8763">
      <c r="A8763" s="3">
        <v>782461.0</v>
      </c>
      <c r="B8763" s="3" t="s">
        <v>8791</v>
      </c>
      <c r="C8763" s="3" t="s">
        <v>252</v>
      </c>
      <c r="D8763" s="3">
        <v>181.0</v>
      </c>
      <c r="E8763" s="3">
        <v>6.73</v>
      </c>
      <c r="F8763" s="3">
        <v>16.55</v>
      </c>
      <c r="G8763" s="3">
        <v>12.52</v>
      </c>
    </row>
    <row r="8764">
      <c r="A8764" s="3">
        <v>782462.0</v>
      </c>
      <c r="B8764" s="3" t="s">
        <v>8792</v>
      </c>
      <c r="C8764" s="3" t="s">
        <v>252</v>
      </c>
      <c r="D8764" s="3">
        <v>173.0</v>
      </c>
      <c r="E8764" s="3">
        <v>5.84</v>
      </c>
      <c r="F8764" s="3">
        <v>16.57</v>
      </c>
      <c r="G8764" s="3">
        <v>12.5</v>
      </c>
    </row>
    <row r="8765">
      <c r="A8765" s="3">
        <v>782463.0</v>
      </c>
      <c r="B8765" s="3" t="s">
        <v>8793</v>
      </c>
      <c r="C8765" s="3" t="s">
        <v>252</v>
      </c>
      <c r="D8765" s="3">
        <v>162.0</v>
      </c>
      <c r="E8765" s="3">
        <v>4.63</v>
      </c>
      <c r="F8765" s="3">
        <v>16.52</v>
      </c>
      <c r="G8765" s="3">
        <v>12.55</v>
      </c>
    </row>
    <row r="8766">
      <c r="A8766" s="3">
        <v>782464.0</v>
      </c>
      <c r="B8766" s="3" t="s">
        <v>8794</v>
      </c>
      <c r="C8766" s="3" t="s">
        <v>252</v>
      </c>
      <c r="D8766" s="3">
        <v>137.0</v>
      </c>
      <c r="E8766" s="3">
        <v>1.17</v>
      </c>
      <c r="F8766" s="3">
        <v>17.31</v>
      </c>
      <c r="G8766" s="3">
        <v>13.1</v>
      </c>
    </row>
    <row r="8767">
      <c r="A8767" s="3">
        <v>782465.0</v>
      </c>
      <c r="B8767" s="3" t="s">
        <v>8795</v>
      </c>
      <c r="C8767" s="3" t="s">
        <v>252</v>
      </c>
      <c r="D8767" s="3">
        <v>140.0</v>
      </c>
      <c r="E8767" s="3">
        <v>1.47</v>
      </c>
      <c r="F8767" s="3">
        <v>17.26</v>
      </c>
      <c r="G8767" s="3">
        <v>13.14</v>
      </c>
    </row>
    <row r="8768">
      <c r="A8768" s="3">
        <v>782466.0</v>
      </c>
      <c r="B8768" s="3" t="s">
        <v>8796</v>
      </c>
      <c r="C8768" s="3" t="s">
        <v>252</v>
      </c>
      <c r="D8768" s="3">
        <v>203.0</v>
      </c>
      <c r="E8768" s="3">
        <v>10.68</v>
      </c>
      <c r="F8768" s="3">
        <v>16.03</v>
      </c>
      <c r="G8768" s="3">
        <v>9.85</v>
      </c>
    </row>
    <row r="8769">
      <c r="A8769" s="3">
        <v>782467.0</v>
      </c>
      <c r="B8769" s="3" t="s">
        <v>8797</v>
      </c>
      <c r="C8769" s="3" t="s">
        <v>252</v>
      </c>
      <c r="D8769" s="3">
        <v>188.0</v>
      </c>
      <c r="E8769" s="3">
        <v>9.03</v>
      </c>
      <c r="F8769" s="3">
        <v>16.1</v>
      </c>
      <c r="G8769" s="3">
        <v>9.86</v>
      </c>
    </row>
    <row r="8770">
      <c r="A8770" s="3">
        <v>782468.0</v>
      </c>
      <c r="B8770" s="3" t="s">
        <v>8798</v>
      </c>
      <c r="C8770" s="3" t="s">
        <v>252</v>
      </c>
      <c r="D8770" s="3">
        <v>172.0</v>
      </c>
      <c r="E8770" s="3">
        <v>7.18</v>
      </c>
      <c r="F8770" s="3">
        <v>16.05</v>
      </c>
      <c r="G8770" s="3">
        <v>9.93</v>
      </c>
    </row>
    <row r="8771">
      <c r="A8771" s="3">
        <v>782469.0</v>
      </c>
      <c r="B8771" s="3" t="s">
        <v>8799</v>
      </c>
      <c r="C8771" s="3" t="s">
        <v>252</v>
      </c>
      <c r="D8771" s="3">
        <v>148.0</v>
      </c>
      <c r="E8771" s="3">
        <v>2.31</v>
      </c>
      <c r="F8771" s="3">
        <v>18.87</v>
      </c>
      <c r="G8771" s="3">
        <v>11.6</v>
      </c>
    </row>
    <row r="8772">
      <c r="A8772" s="3">
        <v>782470.0</v>
      </c>
      <c r="B8772" s="3" t="s">
        <v>8800</v>
      </c>
      <c r="C8772" s="3" t="s">
        <v>252</v>
      </c>
      <c r="D8772" s="3">
        <v>151.0</v>
      </c>
      <c r="E8772" s="3">
        <v>2.62</v>
      </c>
      <c r="F8772" s="3">
        <v>18.81</v>
      </c>
      <c r="G8772" s="3">
        <v>11.64</v>
      </c>
    </row>
    <row r="8773">
      <c r="A8773" s="3">
        <v>782471.0</v>
      </c>
      <c r="B8773" s="3" t="s">
        <v>8801</v>
      </c>
      <c r="C8773" s="3" t="s">
        <v>252</v>
      </c>
      <c r="D8773" s="3">
        <v>87.0</v>
      </c>
      <c r="E8773" s="3">
        <v>0.52</v>
      </c>
      <c r="F8773" s="3">
        <v>19.2</v>
      </c>
      <c r="G8773" s="3">
        <v>0.0</v>
      </c>
    </row>
    <row r="8774">
      <c r="A8774" s="3">
        <v>782474.0</v>
      </c>
      <c r="B8774" s="3" t="s">
        <v>8802</v>
      </c>
      <c r="C8774" s="3" t="s">
        <v>252</v>
      </c>
      <c r="D8774" s="3">
        <v>108.0</v>
      </c>
      <c r="E8774" s="3">
        <v>0.64</v>
      </c>
      <c r="F8774" s="3">
        <v>23.91</v>
      </c>
      <c r="G8774" s="3">
        <v>0.0</v>
      </c>
    </row>
    <row r="8775">
      <c r="A8775" s="3">
        <v>782475.0</v>
      </c>
      <c r="B8775" s="3" t="s">
        <v>8803</v>
      </c>
      <c r="C8775" s="3" t="s">
        <v>252</v>
      </c>
      <c r="D8775" s="3">
        <v>160.0</v>
      </c>
      <c r="E8775" s="3">
        <v>7.56</v>
      </c>
      <c r="F8775" s="3">
        <v>21.76</v>
      </c>
      <c r="G8775" s="3">
        <v>0.1</v>
      </c>
    </row>
    <row r="8776">
      <c r="A8776" s="3">
        <v>782476.0</v>
      </c>
      <c r="B8776" s="3" t="s">
        <v>8804</v>
      </c>
      <c r="C8776" s="3" t="s">
        <v>252</v>
      </c>
      <c r="D8776" s="3">
        <v>160.0</v>
      </c>
      <c r="E8776" s="3">
        <v>7.56</v>
      </c>
      <c r="F8776" s="3">
        <v>21.76</v>
      </c>
      <c r="G8776" s="3">
        <v>0.1</v>
      </c>
    </row>
    <row r="8777">
      <c r="A8777" s="3">
        <v>782477.0</v>
      </c>
      <c r="B8777" s="3" t="s">
        <v>8805</v>
      </c>
      <c r="C8777" s="3" t="s">
        <v>252</v>
      </c>
      <c r="D8777" s="3">
        <v>131.0</v>
      </c>
      <c r="E8777" s="3">
        <v>4.0</v>
      </c>
      <c r="F8777" s="3">
        <v>22.4</v>
      </c>
      <c r="G8777" s="3">
        <v>0.1</v>
      </c>
    </row>
    <row r="8778">
      <c r="A8778" s="3">
        <v>782478.0</v>
      </c>
      <c r="B8778" s="3" t="s">
        <v>8806</v>
      </c>
      <c r="C8778" s="3" t="s">
        <v>252</v>
      </c>
      <c r="D8778" s="3">
        <v>214.0</v>
      </c>
      <c r="E8778" s="3">
        <v>9.3</v>
      </c>
      <c r="F8778" s="3">
        <v>18.89</v>
      </c>
      <c r="G8778" s="3">
        <v>12.52</v>
      </c>
    </row>
    <row r="8779">
      <c r="A8779" s="3">
        <v>782479.0</v>
      </c>
      <c r="B8779" s="3" t="s">
        <v>8807</v>
      </c>
      <c r="C8779" s="3" t="s">
        <v>252</v>
      </c>
      <c r="D8779" s="3">
        <v>172.0</v>
      </c>
      <c r="E8779" s="3">
        <v>3.86</v>
      </c>
      <c r="F8779" s="3">
        <v>19.76</v>
      </c>
      <c r="G8779" s="3">
        <v>13.1</v>
      </c>
    </row>
    <row r="8780">
      <c r="A8780" s="3">
        <v>782480.0</v>
      </c>
      <c r="B8780" s="3" t="s">
        <v>8808</v>
      </c>
      <c r="C8780" s="3" t="s">
        <v>252</v>
      </c>
      <c r="D8780" s="3">
        <v>233.0</v>
      </c>
      <c r="E8780" s="3">
        <v>13.03</v>
      </c>
      <c r="F8780" s="3">
        <v>18.17</v>
      </c>
      <c r="G8780" s="3">
        <v>9.85</v>
      </c>
    </row>
    <row r="8781">
      <c r="A8781" s="3">
        <v>782481.0</v>
      </c>
      <c r="B8781" s="3" t="s">
        <v>8809</v>
      </c>
      <c r="C8781" s="3" t="s">
        <v>252</v>
      </c>
      <c r="D8781" s="3">
        <v>131.0</v>
      </c>
      <c r="E8781" s="3">
        <v>3.99</v>
      </c>
      <c r="F8781" s="3">
        <v>22.36</v>
      </c>
      <c r="G8781" s="3">
        <v>0.0</v>
      </c>
    </row>
    <row r="8782">
      <c r="A8782" s="3">
        <v>782482.0</v>
      </c>
      <c r="B8782" s="3" t="s">
        <v>8810</v>
      </c>
      <c r="C8782" s="3" t="s">
        <v>252</v>
      </c>
      <c r="D8782" s="3">
        <v>298.0</v>
      </c>
      <c r="E8782" s="3">
        <v>20.09</v>
      </c>
      <c r="F8782" s="3">
        <v>18.67</v>
      </c>
      <c r="G8782" s="3">
        <v>9.34</v>
      </c>
    </row>
    <row r="8783">
      <c r="A8783" s="3">
        <v>782483.0</v>
      </c>
      <c r="B8783" s="3" t="s">
        <v>8811</v>
      </c>
      <c r="C8783" s="3" t="s">
        <v>252</v>
      </c>
      <c r="D8783" s="3">
        <v>231.0</v>
      </c>
      <c r="E8783" s="3">
        <v>14.66</v>
      </c>
      <c r="F8783" s="3">
        <v>23.19</v>
      </c>
      <c r="G8783" s="3">
        <v>0.0</v>
      </c>
    </row>
    <row r="8784">
      <c r="A8784" s="3">
        <v>782484.0</v>
      </c>
      <c r="B8784" s="3" t="s">
        <v>8812</v>
      </c>
      <c r="C8784" s="3" t="s">
        <v>252</v>
      </c>
      <c r="D8784" s="3">
        <v>287.0</v>
      </c>
      <c r="E8784" s="3">
        <v>18.17</v>
      </c>
      <c r="F8784" s="3">
        <v>28.73</v>
      </c>
      <c r="G8784" s="3">
        <v>0.0</v>
      </c>
    </row>
    <row r="8785">
      <c r="A8785" s="3">
        <v>782486.0</v>
      </c>
      <c r="B8785" s="3" t="s">
        <v>8813</v>
      </c>
      <c r="C8785" s="3" t="s">
        <v>252</v>
      </c>
      <c r="D8785" s="3">
        <v>204.0</v>
      </c>
      <c r="E8785" s="3">
        <v>11.98</v>
      </c>
      <c r="F8785" s="3">
        <v>13.59</v>
      </c>
      <c r="G8785" s="3">
        <v>9.86</v>
      </c>
    </row>
    <row r="8786">
      <c r="A8786" s="3">
        <v>782487.0</v>
      </c>
      <c r="B8786" s="3" t="s">
        <v>8814</v>
      </c>
      <c r="C8786" s="3" t="s">
        <v>252</v>
      </c>
      <c r="D8786" s="3">
        <v>118.0</v>
      </c>
      <c r="E8786" s="3">
        <v>6.04</v>
      </c>
      <c r="F8786" s="3">
        <v>15.19</v>
      </c>
      <c r="G8786" s="3">
        <v>0.1</v>
      </c>
    </row>
    <row r="8787">
      <c r="A8787" s="3">
        <v>782488.0</v>
      </c>
      <c r="B8787" s="3" t="s">
        <v>8815</v>
      </c>
      <c r="C8787" s="3" t="s">
        <v>252</v>
      </c>
      <c r="D8787" s="3">
        <v>113.0</v>
      </c>
      <c r="E8787" s="3">
        <v>5.46</v>
      </c>
      <c r="F8787" s="3">
        <v>15.2</v>
      </c>
      <c r="G8787" s="3">
        <v>0.1</v>
      </c>
    </row>
    <row r="8788">
      <c r="A8788" s="3">
        <v>782489.0</v>
      </c>
      <c r="B8788" s="3" t="s">
        <v>8816</v>
      </c>
      <c r="C8788" s="3" t="s">
        <v>252</v>
      </c>
      <c r="D8788" s="3">
        <v>106.0</v>
      </c>
      <c r="E8788" s="3">
        <v>4.67</v>
      </c>
      <c r="F8788" s="3">
        <v>15.17</v>
      </c>
      <c r="G8788" s="3">
        <v>0.13</v>
      </c>
    </row>
    <row r="8789">
      <c r="A8789" s="3">
        <v>782490.0</v>
      </c>
      <c r="B8789" s="3" t="s">
        <v>8817</v>
      </c>
      <c r="C8789" s="3" t="s">
        <v>252</v>
      </c>
      <c r="D8789" s="3">
        <v>88.0</v>
      </c>
      <c r="E8789" s="3">
        <v>2.43</v>
      </c>
      <c r="F8789" s="3">
        <v>15.63</v>
      </c>
      <c r="G8789" s="3">
        <v>0.1</v>
      </c>
    </row>
    <row r="8790">
      <c r="A8790" s="3">
        <v>782491.0</v>
      </c>
      <c r="B8790" s="3" t="s">
        <v>8818</v>
      </c>
      <c r="C8790" s="3" t="s">
        <v>252</v>
      </c>
      <c r="D8790" s="3">
        <v>92.0</v>
      </c>
      <c r="E8790" s="3">
        <v>2.82</v>
      </c>
      <c r="F8790" s="3">
        <v>15.57</v>
      </c>
      <c r="G8790" s="3">
        <v>0.2</v>
      </c>
    </row>
    <row r="8791">
      <c r="A8791" s="3">
        <v>782492.0</v>
      </c>
      <c r="B8791" s="3" t="s">
        <v>8819</v>
      </c>
      <c r="C8791" s="3" t="s">
        <v>252</v>
      </c>
      <c r="D8791" s="3">
        <v>182.0</v>
      </c>
      <c r="E8791" s="3">
        <v>8.15</v>
      </c>
      <c r="F8791" s="3">
        <v>13.88</v>
      </c>
      <c r="G8791" s="3">
        <v>12.52</v>
      </c>
    </row>
    <row r="8792">
      <c r="A8792" s="3">
        <v>782493.0</v>
      </c>
      <c r="B8792" s="3" t="s">
        <v>8820</v>
      </c>
      <c r="C8792" s="3" t="s">
        <v>252</v>
      </c>
      <c r="D8792" s="3">
        <v>174.0</v>
      </c>
      <c r="E8792" s="3">
        <v>7.26</v>
      </c>
      <c r="F8792" s="3">
        <v>13.9</v>
      </c>
      <c r="G8792" s="3">
        <v>12.5</v>
      </c>
    </row>
    <row r="8793">
      <c r="A8793" s="3">
        <v>782494.0</v>
      </c>
      <c r="B8793" s="3" t="s">
        <v>8821</v>
      </c>
      <c r="C8793" s="3" t="s">
        <v>252</v>
      </c>
      <c r="D8793" s="3">
        <v>163.0</v>
      </c>
      <c r="E8793" s="3">
        <v>6.05</v>
      </c>
      <c r="F8793" s="3">
        <v>13.86</v>
      </c>
      <c r="G8793" s="3">
        <v>12.55</v>
      </c>
    </row>
    <row r="8794">
      <c r="A8794" s="3">
        <v>782495.0</v>
      </c>
      <c r="B8794" s="3" t="s">
        <v>8822</v>
      </c>
      <c r="C8794" s="3" t="s">
        <v>252</v>
      </c>
      <c r="D8794" s="3">
        <v>138.0</v>
      </c>
      <c r="E8794" s="3">
        <v>2.65</v>
      </c>
      <c r="F8794" s="3">
        <v>14.52</v>
      </c>
      <c r="G8794" s="3">
        <v>13.1</v>
      </c>
    </row>
    <row r="8795">
      <c r="A8795" s="3">
        <v>782496.0</v>
      </c>
      <c r="B8795" s="3" t="s">
        <v>8823</v>
      </c>
      <c r="C8795" s="3" t="s">
        <v>252</v>
      </c>
      <c r="D8795" s="3">
        <v>141.0</v>
      </c>
      <c r="E8795" s="3">
        <v>2.95</v>
      </c>
      <c r="F8795" s="3">
        <v>14.47</v>
      </c>
      <c r="G8795" s="3">
        <v>13.14</v>
      </c>
    </row>
    <row r="8796">
      <c r="A8796" s="3">
        <v>782497.0</v>
      </c>
      <c r="B8796" s="3" t="s">
        <v>8824</v>
      </c>
      <c r="C8796" s="3" t="s">
        <v>252</v>
      </c>
      <c r="D8796" s="3">
        <v>204.0</v>
      </c>
      <c r="E8796" s="3">
        <v>11.98</v>
      </c>
      <c r="F8796" s="3">
        <v>13.59</v>
      </c>
      <c r="G8796" s="3">
        <v>9.85</v>
      </c>
    </row>
    <row r="8797">
      <c r="A8797" s="3">
        <v>782498.0</v>
      </c>
      <c r="B8797" s="3" t="s">
        <v>8825</v>
      </c>
      <c r="C8797" s="3" t="s">
        <v>252</v>
      </c>
      <c r="D8797" s="3">
        <v>189.0</v>
      </c>
      <c r="E8797" s="3">
        <v>10.33</v>
      </c>
      <c r="F8797" s="3">
        <v>13.66</v>
      </c>
      <c r="G8797" s="3">
        <v>9.86</v>
      </c>
    </row>
    <row r="8798">
      <c r="A8798" s="3">
        <v>782499.0</v>
      </c>
      <c r="B8798" s="3" t="s">
        <v>8826</v>
      </c>
      <c r="C8798" s="3" t="s">
        <v>252</v>
      </c>
      <c r="D8798" s="3">
        <v>173.0</v>
      </c>
      <c r="E8798" s="3">
        <v>8.47</v>
      </c>
      <c r="F8798" s="3">
        <v>13.6</v>
      </c>
      <c r="G8798" s="3">
        <v>9.93</v>
      </c>
    </row>
    <row r="8799">
      <c r="A8799" s="3">
        <v>782500.0</v>
      </c>
      <c r="B8799" s="3" t="s">
        <v>8827</v>
      </c>
      <c r="C8799" s="3" t="s">
        <v>252</v>
      </c>
      <c r="D8799" s="3">
        <v>149.0</v>
      </c>
      <c r="E8799" s="3">
        <v>3.84</v>
      </c>
      <c r="F8799" s="3">
        <v>15.99</v>
      </c>
      <c r="G8799" s="3">
        <v>11.6</v>
      </c>
    </row>
    <row r="8800">
      <c r="A8800" s="3">
        <v>782501.0</v>
      </c>
      <c r="B8800" s="3" t="s">
        <v>8828</v>
      </c>
      <c r="C8800" s="3" t="s">
        <v>252</v>
      </c>
      <c r="D8800" s="3">
        <v>152.0</v>
      </c>
      <c r="E8800" s="3">
        <v>4.14</v>
      </c>
      <c r="F8800" s="3">
        <v>15.94</v>
      </c>
      <c r="G8800" s="3">
        <v>11.64</v>
      </c>
    </row>
    <row r="8801">
      <c r="A8801" s="3">
        <v>782502.0</v>
      </c>
      <c r="B8801" s="3" t="s">
        <v>8829</v>
      </c>
      <c r="C8801" s="3" t="s">
        <v>252</v>
      </c>
      <c r="D8801" s="3">
        <v>88.0</v>
      </c>
      <c r="E8801" s="3">
        <v>2.43</v>
      </c>
      <c r="F8801" s="3">
        <v>15.61</v>
      </c>
      <c r="G8801" s="3">
        <v>0.0</v>
      </c>
    </row>
    <row r="8802">
      <c r="A8802" s="3">
        <v>782503.0</v>
      </c>
      <c r="B8802" s="3" t="s">
        <v>8830</v>
      </c>
      <c r="C8802" s="3" t="s">
        <v>252</v>
      </c>
      <c r="D8802" s="3">
        <v>169.0</v>
      </c>
      <c r="E8802" s="3">
        <v>4.66</v>
      </c>
      <c r="F8802" s="3">
        <v>29.98</v>
      </c>
      <c r="G8802" s="3">
        <v>0.0</v>
      </c>
    </row>
    <row r="8803">
      <c r="A8803" s="3">
        <v>782504.0</v>
      </c>
      <c r="B8803" s="3" t="s">
        <v>8831</v>
      </c>
      <c r="C8803" s="3" t="s">
        <v>252</v>
      </c>
      <c r="D8803" s="3">
        <v>123.0</v>
      </c>
      <c r="E8803" s="3">
        <v>4.23</v>
      </c>
      <c r="F8803" s="3">
        <v>19.97</v>
      </c>
      <c r="G8803" s="3">
        <v>0.1</v>
      </c>
    </row>
    <row r="8804">
      <c r="A8804" s="3">
        <v>782505.0</v>
      </c>
      <c r="B8804" s="3" t="s">
        <v>8832</v>
      </c>
      <c r="C8804" s="3" t="s">
        <v>252</v>
      </c>
      <c r="D8804" s="3">
        <v>123.0</v>
      </c>
      <c r="E8804" s="3">
        <v>4.23</v>
      </c>
      <c r="F8804" s="3">
        <v>19.97</v>
      </c>
      <c r="G8804" s="3">
        <v>0.1</v>
      </c>
    </row>
    <row r="8805">
      <c r="A8805" s="3">
        <v>782506.0</v>
      </c>
      <c r="B8805" s="3" t="s">
        <v>8833</v>
      </c>
      <c r="C8805" s="3" t="s">
        <v>252</v>
      </c>
      <c r="D8805" s="3">
        <v>94.0</v>
      </c>
      <c r="E8805" s="3">
        <v>0.57</v>
      </c>
      <c r="F8805" s="3">
        <v>20.56</v>
      </c>
      <c r="G8805" s="3">
        <v>0.1</v>
      </c>
    </row>
    <row r="8806">
      <c r="A8806" s="3">
        <v>782507.0</v>
      </c>
      <c r="B8806" s="3" t="s">
        <v>8834</v>
      </c>
      <c r="C8806" s="3" t="s">
        <v>252</v>
      </c>
      <c r="D8806" s="3">
        <v>186.0</v>
      </c>
      <c r="E8806" s="3">
        <v>6.76</v>
      </c>
      <c r="F8806" s="3">
        <v>17.53</v>
      </c>
      <c r="G8806" s="3">
        <v>12.52</v>
      </c>
    </row>
    <row r="8807">
      <c r="A8807" s="3">
        <v>782508.0</v>
      </c>
      <c r="B8807" s="3" t="s">
        <v>8835</v>
      </c>
      <c r="C8807" s="3" t="s">
        <v>252</v>
      </c>
      <c r="D8807" s="3">
        <v>142.0</v>
      </c>
      <c r="E8807" s="3">
        <v>1.21</v>
      </c>
      <c r="F8807" s="3">
        <v>18.33</v>
      </c>
      <c r="G8807" s="3">
        <v>13.1</v>
      </c>
    </row>
    <row r="8808">
      <c r="A8808" s="3">
        <v>782509.0</v>
      </c>
      <c r="B8808" s="3" t="s">
        <v>8836</v>
      </c>
      <c r="C8808" s="3" t="s">
        <v>252</v>
      </c>
      <c r="D8808" s="3">
        <v>207.0</v>
      </c>
      <c r="E8808" s="3">
        <v>10.71</v>
      </c>
      <c r="F8808" s="3">
        <v>16.93</v>
      </c>
      <c r="G8808" s="3">
        <v>9.85</v>
      </c>
    </row>
    <row r="8809">
      <c r="A8809" s="3">
        <v>782510.0</v>
      </c>
      <c r="B8809" s="3" t="s">
        <v>8837</v>
      </c>
      <c r="C8809" s="3" t="s">
        <v>252</v>
      </c>
      <c r="D8809" s="3">
        <v>93.0</v>
      </c>
      <c r="E8809" s="3">
        <v>0.57</v>
      </c>
      <c r="F8809" s="3">
        <v>20.52</v>
      </c>
      <c r="G8809" s="3">
        <v>0.0</v>
      </c>
    </row>
    <row r="8810">
      <c r="A8810" s="3">
        <v>782513.0</v>
      </c>
      <c r="B8810" s="3" t="s">
        <v>8838</v>
      </c>
      <c r="C8810" s="3" t="s">
        <v>252</v>
      </c>
      <c r="D8810" s="3">
        <v>144.0</v>
      </c>
      <c r="E8810" s="3">
        <v>5.3</v>
      </c>
      <c r="F8810" s="3">
        <v>22.71</v>
      </c>
      <c r="G8810" s="3">
        <v>0.1</v>
      </c>
    </row>
    <row r="8811">
      <c r="A8811" s="3">
        <v>782514.0</v>
      </c>
      <c r="B8811" s="3" t="s">
        <v>8839</v>
      </c>
      <c r="C8811" s="3" t="s">
        <v>252</v>
      </c>
      <c r="D8811" s="3">
        <v>144.0</v>
      </c>
      <c r="E8811" s="3">
        <v>5.3</v>
      </c>
      <c r="F8811" s="3">
        <v>22.71</v>
      </c>
      <c r="G8811" s="3">
        <v>0.1</v>
      </c>
    </row>
    <row r="8812">
      <c r="A8812" s="3">
        <v>782515.0</v>
      </c>
      <c r="B8812" s="3" t="s">
        <v>8840</v>
      </c>
      <c r="C8812" s="3" t="s">
        <v>252</v>
      </c>
      <c r="D8812" s="3">
        <v>139.0</v>
      </c>
      <c r="E8812" s="3">
        <v>4.73</v>
      </c>
      <c r="F8812" s="3">
        <v>22.72</v>
      </c>
      <c r="G8812" s="3">
        <v>0.1</v>
      </c>
    </row>
    <row r="8813">
      <c r="A8813" s="3">
        <v>782516.0</v>
      </c>
      <c r="B8813" s="3" t="s">
        <v>8841</v>
      </c>
      <c r="C8813" s="3" t="s">
        <v>252</v>
      </c>
      <c r="D8813" s="3">
        <v>132.0</v>
      </c>
      <c r="E8813" s="3">
        <v>3.93</v>
      </c>
      <c r="F8813" s="3">
        <v>22.68</v>
      </c>
      <c r="G8813" s="3">
        <v>0.13</v>
      </c>
    </row>
    <row r="8814">
      <c r="A8814" s="3">
        <v>782517.0</v>
      </c>
      <c r="B8814" s="3" t="s">
        <v>8842</v>
      </c>
      <c r="C8814" s="3" t="s">
        <v>252</v>
      </c>
      <c r="D8814" s="3">
        <v>115.0</v>
      </c>
      <c r="E8814" s="3">
        <v>1.68</v>
      </c>
      <c r="F8814" s="3">
        <v>23.38</v>
      </c>
      <c r="G8814" s="3">
        <v>0.1</v>
      </c>
    </row>
    <row r="8815">
      <c r="A8815" s="3">
        <v>782518.0</v>
      </c>
      <c r="B8815" s="3" t="s">
        <v>8843</v>
      </c>
      <c r="C8815" s="3" t="s">
        <v>252</v>
      </c>
      <c r="D8815" s="3">
        <v>118.0</v>
      </c>
      <c r="E8815" s="3">
        <v>2.06</v>
      </c>
      <c r="F8815" s="3">
        <v>23.29</v>
      </c>
      <c r="G8815" s="3">
        <v>0.2</v>
      </c>
    </row>
    <row r="8816">
      <c r="A8816" s="3">
        <v>782519.0</v>
      </c>
      <c r="B8816" s="3" t="s">
        <v>8844</v>
      </c>
      <c r="C8816" s="3" t="s">
        <v>252</v>
      </c>
      <c r="D8816" s="3">
        <v>202.0</v>
      </c>
      <c r="E8816" s="3">
        <v>7.59</v>
      </c>
      <c r="F8816" s="3">
        <v>19.62</v>
      </c>
      <c r="G8816" s="3">
        <v>12.52</v>
      </c>
    </row>
    <row r="8817">
      <c r="A8817" s="3">
        <v>782520.0</v>
      </c>
      <c r="B8817" s="3" t="s">
        <v>8845</v>
      </c>
      <c r="C8817" s="3" t="s">
        <v>252</v>
      </c>
      <c r="D8817" s="3">
        <v>194.0</v>
      </c>
      <c r="E8817" s="3">
        <v>6.7</v>
      </c>
      <c r="F8817" s="3">
        <v>19.64</v>
      </c>
      <c r="G8817" s="3">
        <v>12.5</v>
      </c>
    </row>
    <row r="8818">
      <c r="A8818" s="3">
        <v>782521.0</v>
      </c>
      <c r="B8818" s="3" t="s">
        <v>8846</v>
      </c>
      <c r="C8818" s="3" t="s">
        <v>252</v>
      </c>
      <c r="D8818" s="3">
        <v>183.0</v>
      </c>
      <c r="E8818" s="3">
        <v>5.49</v>
      </c>
      <c r="F8818" s="3">
        <v>19.59</v>
      </c>
      <c r="G8818" s="3">
        <v>12.55</v>
      </c>
    </row>
    <row r="8819">
      <c r="A8819" s="3">
        <v>782522.0</v>
      </c>
      <c r="B8819" s="3" t="s">
        <v>8847</v>
      </c>
      <c r="C8819" s="3" t="s">
        <v>252</v>
      </c>
      <c r="D8819" s="3">
        <v>159.0</v>
      </c>
      <c r="E8819" s="3">
        <v>2.07</v>
      </c>
      <c r="F8819" s="3">
        <v>20.52</v>
      </c>
      <c r="G8819" s="3">
        <v>13.1</v>
      </c>
    </row>
    <row r="8820">
      <c r="A8820" s="3">
        <v>782523.0</v>
      </c>
      <c r="B8820" s="3" t="s">
        <v>8848</v>
      </c>
      <c r="C8820" s="3" t="s">
        <v>252</v>
      </c>
      <c r="D8820" s="3">
        <v>162.0</v>
      </c>
      <c r="E8820" s="3">
        <v>2.37</v>
      </c>
      <c r="F8820" s="3">
        <v>20.46</v>
      </c>
      <c r="G8820" s="3">
        <v>13.14</v>
      </c>
    </row>
    <row r="8821">
      <c r="A8821" s="3">
        <v>782524.0</v>
      </c>
      <c r="B8821" s="3" t="s">
        <v>8849</v>
      </c>
      <c r="C8821" s="3" t="s">
        <v>252</v>
      </c>
      <c r="D8821" s="3">
        <v>222.0</v>
      </c>
      <c r="E8821" s="3">
        <v>11.46</v>
      </c>
      <c r="F8821" s="3">
        <v>18.84</v>
      </c>
      <c r="G8821" s="3">
        <v>9.85</v>
      </c>
    </row>
    <row r="8822">
      <c r="A8822" s="3">
        <v>782525.0</v>
      </c>
      <c r="B8822" s="3" t="s">
        <v>8850</v>
      </c>
      <c r="C8822" s="3" t="s">
        <v>252</v>
      </c>
      <c r="D8822" s="3">
        <v>207.0</v>
      </c>
      <c r="E8822" s="3">
        <v>9.82</v>
      </c>
      <c r="F8822" s="3">
        <v>18.91</v>
      </c>
      <c r="G8822" s="3">
        <v>9.86</v>
      </c>
    </row>
    <row r="8823">
      <c r="A8823" s="3">
        <v>782526.0</v>
      </c>
      <c r="B8823" s="3" t="s">
        <v>8851</v>
      </c>
      <c r="C8823" s="3" t="s">
        <v>252</v>
      </c>
      <c r="D8823" s="3">
        <v>191.0</v>
      </c>
      <c r="E8823" s="3">
        <v>7.96</v>
      </c>
      <c r="F8823" s="3">
        <v>18.85</v>
      </c>
      <c r="G8823" s="3">
        <v>9.93</v>
      </c>
    </row>
    <row r="8824">
      <c r="A8824" s="3">
        <v>782527.0</v>
      </c>
      <c r="B8824" s="3" t="s">
        <v>8852</v>
      </c>
      <c r="C8824" s="3" t="s">
        <v>252</v>
      </c>
      <c r="D8824" s="3">
        <v>170.0</v>
      </c>
      <c r="E8824" s="3">
        <v>3.24</v>
      </c>
      <c r="F8824" s="3">
        <v>22.17</v>
      </c>
      <c r="G8824" s="3">
        <v>11.6</v>
      </c>
    </row>
    <row r="8825">
      <c r="A8825" s="3">
        <v>782528.0</v>
      </c>
      <c r="B8825" s="3" t="s">
        <v>8853</v>
      </c>
      <c r="C8825" s="3" t="s">
        <v>252</v>
      </c>
      <c r="D8825" s="3">
        <v>173.0</v>
      </c>
      <c r="E8825" s="3">
        <v>3.54</v>
      </c>
      <c r="F8825" s="3">
        <v>22.1</v>
      </c>
      <c r="G8825" s="3">
        <v>11.64</v>
      </c>
    </row>
    <row r="8826">
      <c r="A8826" s="3">
        <v>782529.0</v>
      </c>
      <c r="B8826" s="3" t="s">
        <v>8854</v>
      </c>
      <c r="C8826" s="3" t="s">
        <v>252</v>
      </c>
      <c r="D8826" s="3">
        <v>114.0</v>
      </c>
      <c r="E8826" s="3">
        <v>1.67</v>
      </c>
      <c r="F8826" s="3">
        <v>23.34</v>
      </c>
      <c r="G8826" s="3">
        <v>0.0</v>
      </c>
    </row>
    <row r="8827">
      <c r="A8827" s="3">
        <v>782530.0</v>
      </c>
      <c r="B8827" s="3" t="s">
        <v>8855</v>
      </c>
      <c r="C8827" s="3" t="s">
        <v>252</v>
      </c>
      <c r="D8827" s="3">
        <v>219.0</v>
      </c>
      <c r="E8827" s="3">
        <v>3.2</v>
      </c>
      <c r="F8827" s="3">
        <v>44.61</v>
      </c>
      <c r="G8827" s="3">
        <v>0.0</v>
      </c>
    </row>
    <row r="8828">
      <c r="A8828" s="3">
        <v>782532.0</v>
      </c>
      <c r="B8828" s="3" t="s">
        <v>8856</v>
      </c>
      <c r="C8828" s="3" t="s">
        <v>252</v>
      </c>
      <c r="D8828" s="3">
        <v>226.0</v>
      </c>
      <c r="E8828" s="3">
        <v>14.74</v>
      </c>
      <c r="F8828" s="3">
        <v>21.98</v>
      </c>
      <c r="G8828" s="3">
        <v>0.1</v>
      </c>
    </row>
    <row r="8829">
      <c r="A8829" s="3">
        <v>782533.0</v>
      </c>
      <c r="B8829" s="3" t="s">
        <v>8857</v>
      </c>
      <c r="C8829" s="3" t="s">
        <v>252</v>
      </c>
      <c r="D8829" s="3">
        <v>226.0</v>
      </c>
      <c r="E8829" s="3">
        <v>14.74</v>
      </c>
      <c r="F8829" s="3">
        <v>21.98</v>
      </c>
      <c r="G8829" s="3">
        <v>0.1</v>
      </c>
    </row>
    <row r="8830">
      <c r="A8830" s="3">
        <v>782534.0</v>
      </c>
      <c r="B8830" s="3" t="s">
        <v>8858</v>
      </c>
      <c r="C8830" s="3" t="s">
        <v>252</v>
      </c>
      <c r="D8830" s="3">
        <v>199.0</v>
      </c>
      <c r="E8830" s="3">
        <v>11.39</v>
      </c>
      <c r="F8830" s="3">
        <v>22.62</v>
      </c>
      <c r="G8830" s="3">
        <v>0.1</v>
      </c>
    </row>
    <row r="8831">
      <c r="A8831" s="3">
        <v>782535.0</v>
      </c>
      <c r="B8831" s="3" t="s">
        <v>8859</v>
      </c>
      <c r="C8831" s="3" t="s">
        <v>252</v>
      </c>
      <c r="D8831" s="3">
        <v>264.0</v>
      </c>
      <c r="E8831" s="3">
        <v>14.79</v>
      </c>
      <c r="F8831" s="3">
        <v>19.06</v>
      </c>
      <c r="G8831" s="3">
        <v>12.52</v>
      </c>
    </row>
    <row r="8832">
      <c r="A8832" s="3">
        <v>782536.0</v>
      </c>
      <c r="B8832" s="3" t="s">
        <v>8860</v>
      </c>
      <c r="C8832" s="3" t="s">
        <v>252</v>
      </c>
      <c r="D8832" s="3">
        <v>224.0</v>
      </c>
      <c r="E8832" s="3">
        <v>9.6</v>
      </c>
      <c r="F8832" s="3">
        <v>19.93</v>
      </c>
      <c r="G8832" s="3">
        <v>13.1</v>
      </c>
    </row>
    <row r="8833">
      <c r="A8833" s="3">
        <v>782537.0</v>
      </c>
      <c r="B8833" s="3" t="s">
        <v>8861</v>
      </c>
      <c r="C8833" s="3" t="s">
        <v>252</v>
      </c>
      <c r="D8833" s="3">
        <v>279.0</v>
      </c>
      <c r="E8833" s="3">
        <v>18.04</v>
      </c>
      <c r="F8833" s="3">
        <v>18.33</v>
      </c>
      <c r="G8833" s="3">
        <v>9.85</v>
      </c>
    </row>
    <row r="8834">
      <c r="A8834" s="3">
        <v>782538.0</v>
      </c>
      <c r="B8834" s="3" t="s">
        <v>8862</v>
      </c>
      <c r="C8834" s="3" t="s">
        <v>252</v>
      </c>
      <c r="D8834" s="3">
        <v>249.0</v>
      </c>
      <c r="E8834" s="3">
        <v>18.27</v>
      </c>
      <c r="F8834" s="3">
        <v>11.81</v>
      </c>
      <c r="G8834" s="3">
        <v>8.63</v>
      </c>
    </row>
    <row r="8835">
      <c r="A8835" s="3">
        <v>782539.0</v>
      </c>
      <c r="B8835" s="3" t="s">
        <v>8863</v>
      </c>
      <c r="C8835" s="3" t="s">
        <v>252</v>
      </c>
      <c r="D8835" s="3">
        <v>490.0</v>
      </c>
      <c r="E8835" s="3">
        <v>28.04</v>
      </c>
      <c r="F8835" s="3">
        <v>55.71</v>
      </c>
      <c r="G8835" s="3">
        <v>0.0</v>
      </c>
    </row>
    <row r="8836">
      <c r="A8836" s="3">
        <v>782542.0</v>
      </c>
      <c r="B8836" s="3" t="s">
        <v>8864</v>
      </c>
      <c r="C8836" s="3" t="s">
        <v>252</v>
      </c>
      <c r="D8836" s="3">
        <v>189.0</v>
      </c>
      <c r="E8836" s="3">
        <v>11.91</v>
      </c>
      <c r="F8836" s="3">
        <v>19.08</v>
      </c>
      <c r="G8836" s="3">
        <v>0.0</v>
      </c>
    </row>
    <row r="8837">
      <c r="A8837" s="3">
        <v>782543.0</v>
      </c>
      <c r="B8837" s="3" t="s">
        <v>8865</v>
      </c>
      <c r="C8837" s="3" t="s">
        <v>252</v>
      </c>
      <c r="D8837" s="3">
        <v>264.0</v>
      </c>
      <c r="E8837" s="3">
        <v>18.22</v>
      </c>
      <c r="F8837" s="3">
        <v>23.36</v>
      </c>
      <c r="G8837" s="3">
        <v>0.1</v>
      </c>
    </row>
    <row r="8838">
      <c r="A8838" s="3">
        <v>782544.0</v>
      </c>
      <c r="B8838" s="3" t="s">
        <v>8866</v>
      </c>
      <c r="C8838" s="3" t="s">
        <v>252</v>
      </c>
      <c r="D8838" s="3">
        <v>264.0</v>
      </c>
      <c r="E8838" s="3">
        <v>18.22</v>
      </c>
      <c r="F8838" s="3">
        <v>23.36</v>
      </c>
      <c r="G8838" s="3">
        <v>0.1</v>
      </c>
    </row>
    <row r="8839">
      <c r="A8839" s="3">
        <v>782545.0</v>
      </c>
      <c r="B8839" s="3" t="s">
        <v>8867</v>
      </c>
      <c r="C8839" s="3" t="s">
        <v>252</v>
      </c>
      <c r="D8839" s="3">
        <v>239.0</v>
      </c>
      <c r="E8839" s="3">
        <v>14.98</v>
      </c>
      <c r="F8839" s="3">
        <v>24.05</v>
      </c>
      <c r="G8839" s="3">
        <v>0.1</v>
      </c>
    </row>
    <row r="8840">
      <c r="A8840" s="3">
        <v>782546.0</v>
      </c>
      <c r="B8840" s="3" t="s">
        <v>8868</v>
      </c>
      <c r="C8840" s="3" t="s">
        <v>252</v>
      </c>
      <c r="D8840" s="3">
        <v>293.0</v>
      </c>
      <c r="E8840" s="3">
        <v>17.45</v>
      </c>
      <c r="F8840" s="3">
        <v>20.12</v>
      </c>
      <c r="G8840" s="3">
        <v>12.52</v>
      </c>
    </row>
    <row r="8841">
      <c r="A8841" s="3">
        <v>782547.0</v>
      </c>
      <c r="B8841" s="3" t="s">
        <v>8869</v>
      </c>
      <c r="C8841" s="3" t="s">
        <v>252</v>
      </c>
      <c r="D8841" s="3">
        <v>255.0</v>
      </c>
      <c r="E8841" s="3">
        <v>12.38</v>
      </c>
      <c r="F8841" s="3">
        <v>21.04</v>
      </c>
      <c r="G8841" s="3">
        <v>13.09</v>
      </c>
    </row>
    <row r="8842">
      <c r="A8842" s="3">
        <v>782548.0</v>
      </c>
      <c r="B8842" s="3" t="s">
        <v>8870</v>
      </c>
      <c r="C8842" s="3" t="s">
        <v>252</v>
      </c>
      <c r="D8842" s="3">
        <v>306.0</v>
      </c>
      <c r="E8842" s="3">
        <v>20.47</v>
      </c>
      <c r="F8842" s="3">
        <v>19.29</v>
      </c>
      <c r="G8842" s="3">
        <v>9.85</v>
      </c>
    </row>
    <row r="8843">
      <c r="A8843" s="3">
        <v>782549.0</v>
      </c>
      <c r="B8843" s="3" t="s">
        <v>8871</v>
      </c>
      <c r="C8843" s="3" t="s">
        <v>252</v>
      </c>
      <c r="D8843" s="3">
        <v>217.0</v>
      </c>
      <c r="E8843" s="3">
        <v>17.05</v>
      </c>
      <c r="F8843" s="3">
        <v>11.11</v>
      </c>
      <c r="G8843" s="3">
        <v>4.03</v>
      </c>
    </row>
    <row r="8844">
      <c r="A8844" s="3">
        <v>782551.0</v>
      </c>
      <c r="B8844" s="3" t="s">
        <v>8872</v>
      </c>
      <c r="C8844" s="3" t="s">
        <v>252</v>
      </c>
      <c r="D8844" s="3">
        <v>200.0</v>
      </c>
      <c r="E8844" s="3">
        <v>10.04</v>
      </c>
      <c r="F8844" s="3">
        <v>25.54</v>
      </c>
      <c r="G8844" s="3">
        <v>0.0</v>
      </c>
    </row>
    <row r="8845">
      <c r="A8845" s="3">
        <v>782553.0</v>
      </c>
      <c r="B8845" s="3" t="s">
        <v>8873</v>
      </c>
      <c r="C8845" s="3" t="s">
        <v>252</v>
      </c>
      <c r="D8845" s="3">
        <v>244.0</v>
      </c>
      <c r="E8845" s="3">
        <v>13.56</v>
      </c>
      <c r="F8845" s="3">
        <v>19.51</v>
      </c>
      <c r="G8845" s="3">
        <v>9.86</v>
      </c>
    </row>
    <row r="8846">
      <c r="A8846" s="3">
        <v>782554.0</v>
      </c>
      <c r="B8846" s="3" t="s">
        <v>8874</v>
      </c>
      <c r="C8846" s="3" t="s">
        <v>252</v>
      </c>
      <c r="D8846" s="3">
        <v>176.0</v>
      </c>
      <c r="E8846" s="3">
        <v>8.31</v>
      </c>
      <c r="F8846" s="3">
        <v>23.68</v>
      </c>
      <c r="G8846" s="3">
        <v>0.1</v>
      </c>
    </row>
    <row r="8847">
      <c r="A8847" s="3">
        <v>782555.0</v>
      </c>
      <c r="B8847" s="3" t="s">
        <v>8875</v>
      </c>
      <c r="C8847" s="3" t="s">
        <v>252</v>
      </c>
      <c r="D8847" s="3">
        <v>148.0</v>
      </c>
      <c r="E8847" s="3">
        <v>4.78</v>
      </c>
      <c r="F8847" s="3">
        <v>24.37</v>
      </c>
      <c r="G8847" s="3">
        <v>0.1</v>
      </c>
    </row>
    <row r="8848">
      <c r="A8848" s="3">
        <v>782556.0</v>
      </c>
      <c r="B8848" s="3" t="s">
        <v>8876</v>
      </c>
      <c r="C8848" s="3" t="s">
        <v>252</v>
      </c>
      <c r="D8848" s="3">
        <v>226.0</v>
      </c>
      <c r="E8848" s="3">
        <v>9.88</v>
      </c>
      <c r="F8848" s="3">
        <v>20.36</v>
      </c>
      <c r="G8848" s="3">
        <v>12.52</v>
      </c>
    </row>
    <row r="8849">
      <c r="A8849" s="3">
        <v>782557.0</v>
      </c>
      <c r="B8849" s="3" t="s">
        <v>8877</v>
      </c>
      <c r="C8849" s="3" t="s">
        <v>252</v>
      </c>
      <c r="D8849" s="3">
        <v>184.0</v>
      </c>
      <c r="E8849" s="3">
        <v>4.47</v>
      </c>
      <c r="F8849" s="3">
        <v>21.29</v>
      </c>
      <c r="G8849" s="3">
        <v>13.1</v>
      </c>
    </row>
    <row r="8850">
      <c r="A8850" s="3">
        <v>782558.0</v>
      </c>
      <c r="B8850" s="3" t="s">
        <v>8878</v>
      </c>
      <c r="C8850" s="3" t="s">
        <v>252</v>
      </c>
      <c r="D8850" s="3">
        <v>244.0</v>
      </c>
      <c r="E8850" s="3">
        <v>13.56</v>
      </c>
      <c r="F8850" s="3">
        <v>19.51</v>
      </c>
      <c r="G8850" s="3">
        <v>9.85</v>
      </c>
    </row>
    <row r="8851">
      <c r="A8851" s="3">
        <v>782559.0</v>
      </c>
      <c r="B8851" s="3" t="s">
        <v>8879</v>
      </c>
      <c r="C8851" s="3" t="s">
        <v>252</v>
      </c>
      <c r="D8851" s="3">
        <v>147.0</v>
      </c>
      <c r="E8851" s="3">
        <v>4.77</v>
      </c>
      <c r="F8851" s="3">
        <v>24.33</v>
      </c>
      <c r="G8851" s="3">
        <v>0.0</v>
      </c>
    </row>
    <row r="8852">
      <c r="A8852" s="3">
        <v>782561.0</v>
      </c>
      <c r="B8852" s="3" t="s">
        <v>8880</v>
      </c>
      <c r="C8852" s="3" t="s">
        <v>252</v>
      </c>
      <c r="D8852" s="3">
        <v>129.0</v>
      </c>
      <c r="E8852" s="3">
        <v>5.56</v>
      </c>
      <c r="F8852" s="3">
        <v>18.73</v>
      </c>
      <c r="G8852" s="3">
        <v>0.1</v>
      </c>
    </row>
    <row r="8853">
      <c r="A8853" s="3">
        <v>782562.0</v>
      </c>
      <c r="B8853" s="3" t="s">
        <v>8881</v>
      </c>
      <c r="C8853" s="3" t="s">
        <v>252</v>
      </c>
      <c r="D8853" s="3">
        <v>129.0</v>
      </c>
      <c r="E8853" s="3">
        <v>5.56</v>
      </c>
      <c r="F8853" s="3">
        <v>18.73</v>
      </c>
      <c r="G8853" s="3">
        <v>0.1</v>
      </c>
    </row>
    <row r="8854">
      <c r="A8854" s="3">
        <v>782563.0</v>
      </c>
      <c r="B8854" s="3" t="s">
        <v>8882</v>
      </c>
      <c r="C8854" s="3" t="s">
        <v>252</v>
      </c>
      <c r="D8854" s="3">
        <v>100.0</v>
      </c>
      <c r="E8854" s="3">
        <v>1.94</v>
      </c>
      <c r="F8854" s="3">
        <v>19.29</v>
      </c>
      <c r="G8854" s="3">
        <v>0.1</v>
      </c>
    </row>
    <row r="8855">
      <c r="A8855" s="3">
        <v>782564.0</v>
      </c>
      <c r="B8855" s="3" t="s">
        <v>8883</v>
      </c>
      <c r="C8855" s="3" t="s">
        <v>252</v>
      </c>
      <c r="D8855" s="3">
        <v>190.0</v>
      </c>
      <c r="E8855" s="3">
        <v>7.78</v>
      </c>
      <c r="F8855" s="3">
        <v>16.59</v>
      </c>
      <c r="G8855" s="3">
        <v>12.52</v>
      </c>
    </row>
    <row r="8856">
      <c r="A8856" s="3">
        <v>782565.0</v>
      </c>
      <c r="B8856" s="3" t="s">
        <v>8884</v>
      </c>
      <c r="C8856" s="3" t="s">
        <v>252</v>
      </c>
      <c r="D8856" s="3">
        <v>147.0</v>
      </c>
      <c r="E8856" s="3">
        <v>2.27</v>
      </c>
      <c r="F8856" s="3">
        <v>17.35</v>
      </c>
      <c r="G8856" s="3">
        <v>13.1</v>
      </c>
    </row>
    <row r="8857">
      <c r="A8857" s="3">
        <v>782566.0</v>
      </c>
      <c r="B8857" s="3" t="s">
        <v>8885</v>
      </c>
      <c r="C8857" s="3" t="s">
        <v>252</v>
      </c>
      <c r="D8857" s="3">
        <v>212.0</v>
      </c>
      <c r="E8857" s="3">
        <v>11.64</v>
      </c>
      <c r="F8857" s="3">
        <v>16.07</v>
      </c>
      <c r="G8857" s="3">
        <v>9.85</v>
      </c>
    </row>
    <row r="8858">
      <c r="A8858" s="3">
        <v>782567.0</v>
      </c>
      <c r="B8858" s="3" t="s">
        <v>8886</v>
      </c>
      <c r="C8858" s="3" t="s">
        <v>252</v>
      </c>
      <c r="D8858" s="3">
        <v>99.0</v>
      </c>
      <c r="E8858" s="3">
        <v>1.94</v>
      </c>
      <c r="F8858" s="3">
        <v>19.25</v>
      </c>
      <c r="G8858" s="3">
        <v>0.0</v>
      </c>
    </row>
    <row r="8859">
      <c r="A8859" s="3">
        <v>782568.0</v>
      </c>
      <c r="B8859" s="3" t="s">
        <v>8887</v>
      </c>
      <c r="C8859" s="3" t="s">
        <v>252</v>
      </c>
      <c r="D8859" s="3">
        <v>222.0</v>
      </c>
      <c r="E8859" s="3">
        <v>11.11</v>
      </c>
      <c r="F8859" s="3">
        <v>19.55</v>
      </c>
      <c r="G8859" s="3">
        <v>9.86</v>
      </c>
    </row>
    <row r="8860">
      <c r="A8860" s="3">
        <v>782569.0</v>
      </c>
      <c r="B8860" s="3" t="s">
        <v>8888</v>
      </c>
      <c r="C8860" s="3" t="s">
        <v>252</v>
      </c>
      <c r="D8860" s="3">
        <v>144.0</v>
      </c>
      <c r="E8860" s="3">
        <v>4.8</v>
      </c>
      <c r="F8860" s="3">
        <v>23.72</v>
      </c>
      <c r="G8860" s="3">
        <v>0.1</v>
      </c>
    </row>
    <row r="8861">
      <c r="A8861" s="3">
        <v>782570.0</v>
      </c>
      <c r="B8861" s="3" t="s">
        <v>8889</v>
      </c>
      <c r="C8861" s="3" t="s">
        <v>252</v>
      </c>
      <c r="D8861" s="3">
        <v>139.0</v>
      </c>
      <c r="E8861" s="3">
        <v>4.23</v>
      </c>
      <c r="F8861" s="3">
        <v>23.73</v>
      </c>
      <c r="G8861" s="3">
        <v>0.1</v>
      </c>
    </row>
    <row r="8862">
      <c r="A8862" s="3">
        <v>782571.0</v>
      </c>
      <c r="B8862" s="3" t="s">
        <v>8890</v>
      </c>
      <c r="C8862" s="3" t="s">
        <v>252</v>
      </c>
      <c r="D8862" s="3">
        <v>132.0</v>
      </c>
      <c r="E8862" s="3">
        <v>3.43</v>
      </c>
      <c r="F8862" s="3">
        <v>23.7</v>
      </c>
      <c r="G8862" s="3">
        <v>0.13</v>
      </c>
    </row>
    <row r="8863">
      <c r="A8863" s="3">
        <v>782572.0</v>
      </c>
      <c r="B8863" s="3" t="s">
        <v>8891</v>
      </c>
      <c r="C8863" s="3" t="s">
        <v>252</v>
      </c>
      <c r="D8863" s="3">
        <v>115.0</v>
      </c>
      <c r="E8863" s="3">
        <v>1.16</v>
      </c>
      <c r="F8863" s="3">
        <v>24.42</v>
      </c>
      <c r="G8863" s="3">
        <v>0.1</v>
      </c>
    </row>
    <row r="8864">
      <c r="A8864" s="3">
        <v>782573.0</v>
      </c>
      <c r="B8864" s="3" t="s">
        <v>8892</v>
      </c>
      <c r="C8864" s="3" t="s">
        <v>252</v>
      </c>
      <c r="D8864" s="3">
        <v>118.0</v>
      </c>
      <c r="E8864" s="3">
        <v>1.55</v>
      </c>
      <c r="F8864" s="3">
        <v>24.33</v>
      </c>
      <c r="G8864" s="3">
        <v>0.2</v>
      </c>
    </row>
    <row r="8865">
      <c r="A8865" s="3">
        <v>782574.0</v>
      </c>
      <c r="B8865" s="3" t="s">
        <v>8893</v>
      </c>
      <c r="C8865" s="3" t="s">
        <v>252</v>
      </c>
      <c r="D8865" s="3">
        <v>202.0</v>
      </c>
      <c r="E8865" s="3">
        <v>7.2</v>
      </c>
      <c r="F8865" s="3">
        <v>20.4</v>
      </c>
      <c r="G8865" s="3">
        <v>12.52</v>
      </c>
    </row>
    <row r="8866">
      <c r="A8866" s="3">
        <v>782575.0</v>
      </c>
      <c r="B8866" s="3" t="s">
        <v>8894</v>
      </c>
      <c r="C8866" s="3" t="s">
        <v>252</v>
      </c>
      <c r="D8866" s="3">
        <v>194.0</v>
      </c>
      <c r="E8866" s="3">
        <v>6.32</v>
      </c>
      <c r="F8866" s="3">
        <v>20.41</v>
      </c>
      <c r="G8866" s="3">
        <v>12.5</v>
      </c>
    </row>
    <row r="8867">
      <c r="A8867" s="3">
        <v>782576.0</v>
      </c>
      <c r="B8867" s="3" t="s">
        <v>8895</v>
      </c>
      <c r="C8867" s="3" t="s">
        <v>252</v>
      </c>
      <c r="D8867" s="3">
        <v>183.0</v>
      </c>
      <c r="E8867" s="3">
        <v>5.11</v>
      </c>
      <c r="F8867" s="3">
        <v>20.36</v>
      </c>
      <c r="G8867" s="3">
        <v>12.55</v>
      </c>
    </row>
    <row r="8868">
      <c r="A8868" s="3">
        <v>782577.0</v>
      </c>
      <c r="B8868" s="3" t="s">
        <v>8896</v>
      </c>
      <c r="C8868" s="3" t="s">
        <v>252</v>
      </c>
      <c r="D8868" s="3">
        <v>159.0</v>
      </c>
      <c r="E8868" s="3">
        <v>1.67</v>
      </c>
      <c r="F8868" s="3">
        <v>21.33</v>
      </c>
      <c r="G8868" s="3">
        <v>13.1</v>
      </c>
    </row>
    <row r="8869">
      <c r="A8869" s="3">
        <v>782578.0</v>
      </c>
      <c r="B8869" s="3" t="s">
        <v>8897</v>
      </c>
      <c r="C8869" s="3" t="s">
        <v>252</v>
      </c>
      <c r="D8869" s="3">
        <v>162.0</v>
      </c>
      <c r="E8869" s="3">
        <v>1.97</v>
      </c>
      <c r="F8869" s="3">
        <v>21.27</v>
      </c>
      <c r="G8869" s="3">
        <v>13.14</v>
      </c>
    </row>
    <row r="8870">
      <c r="A8870" s="3">
        <v>782579.0</v>
      </c>
      <c r="B8870" s="3" t="s">
        <v>8898</v>
      </c>
      <c r="C8870" s="3" t="s">
        <v>252</v>
      </c>
      <c r="D8870" s="3">
        <v>222.0</v>
      </c>
      <c r="E8870" s="3">
        <v>11.11</v>
      </c>
      <c r="F8870" s="3">
        <v>19.55</v>
      </c>
      <c r="G8870" s="3">
        <v>9.85</v>
      </c>
    </row>
    <row r="8871">
      <c r="A8871" s="3">
        <v>782580.0</v>
      </c>
      <c r="B8871" s="3" t="s">
        <v>8899</v>
      </c>
      <c r="C8871" s="3" t="s">
        <v>252</v>
      </c>
      <c r="D8871" s="3">
        <v>207.0</v>
      </c>
      <c r="E8871" s="3">
        <v>9.47</v>
      </c>
      <c r="F8871" s="3">
        <v>19.62</v>
      </c>
      <c r="G8871" s="3">
        <v>9.86</v>
      </c>
    </row>
    <row r="8872">
      <c r="A8872" s="3">
        <v>782581.0</v>
      </c>
      <c r="B8872" s="3" t="s">
        <v>8900</v>
      </c>
      <c r="C8872" s="3" t="s">
        <v>252</v>
      </c>
      <c r="D8872" s="3">
        <v>191.0</v>
      </c>
      <c r="E8872" s="3">
        <v>7.61</v>
      </c>
      <c r="F8872" s="3">
        <v>19.56</v>
      </c>
      <c r="G8872" s="3">
        <v>9.93</v>
      </c>
    </row>
    <row r="8873">
      <c r="A8873" s="3">
        <v>782582.0</v>
      </c>
      <c r="B8873" s="3" t="s">
        <v>8901</v>
      </c>
      <c r="C8873" s="3" t="s">
        <v>252</v>
      </c>
      <c r="D8873" s="3">
        <v>170.0</v>
      </c>
      <c r="E8873" s="3">
        <v>2.82</v>
      </c>
      <c r="F8873" s="3">
        <v>23.0</v>
      </c>
      <c r="G8873" s="3">
        <v>11.6</v>
      </c>
    </row>
    <row r="8874">
      <c r="A8874" s="3">
        <v>782583.0</v>
      </c>
      <c r="B8874" s="3" t="s">
        <v>8902</v>
      </c>
      <c r="C8874" s="3" t="s">
        <v>252</v>
      </c>
      <c r="D8874" s="3">
        <v>173.0</v>
      </c>
      <c r="E8874" s="3">
        <v>3.13</v>
      </c>
      <c r="F8874" s="3">
        <v>22.94</v>
      </c>
      <c r="G8874" s="3">
        <v>11.64</v>
      </c>
    </row>
    <row r="8875">
      <c r="A8875" s="3">
        <v>782584.0</v>
      </c>
      <c r="B8875" s="3" t="s">
        <v>8903</v>
      </c>
      <c r="C8875" s="3" t="s">
        <v>252</v>
      </c>
      <c r="D8875" s="3">
        <v>114.0</v>
      </c>
      <c r="E8875" s="3">
        <v>1.16</v>
      </c>
      <c r="F8875" s="3">
        <v>24.38</v>
      </c>
      <c r="G8875" s="3">
        <v>0.0</v>
      </c>
    </row>
    <row r="8876">
      <c r="A8876" s="3">
        <v>782585.0</v>
      </c>
      <c r="B8876" s="3" t="s">
        <v>8904</v>
      </c>
      <c r="C8876" s="3" t="s">
        <v>252</v>
      </c>
      <c r="D8876" s="3">
        <v>236.0</v>
      </c>
      <c r="E8876" s="3">
        <v>11.13</v>
      </c>
      <c r="F8876" s="3">
        <v>19.15</v>
      </c>
      <c r="G8876" s="3">
        <v>13.87</v>
      </c>
    </row>
    <row r="8877">
      <c r="A8877" s="3">
        <v>782586.0</v>
      </c>
      <c r="B8877" s="3" t="s">
        <v>8905</v>
      </c>
      <c r="C8877" s="3" t="s">
        <v>252</v>
      </c>
      <c r="D8877" s="3">
        <v>140.0</v>
      </c>
      <c r="E8877" s="3">
        <v>4.52</v>
      </c>
      <c r="F8877" s="3">
        <v>23.56</v>
      </c>
      <c r="G8877" s="3">
        <v>0.1</v>
      </c>
    </row>
    <row r="8878">
      <c r="A8878" s="3">
        <v>782587.0</v>
      </c>
      <c r="B8878" s="3" t="s">
        <v>8906</v>
      </c>
      <c r="C8878" s="3" t="s">
        <v>252</v>
      </c>
      <c r="D8878" s="3">
        <v>111.0</v>
      </c>
      <c r="E8878" s="3">
        <v>0.87</v>
      </c>
      <c r="F8878" s="3">
        <v>24.26</v>
      </c>
      <c r="G8878" s="3">
        <v>0.1</v>
      </c>
    </row>
    <row r="8879">
      <c r="A8879" s="3">
        <v>782588.0</v>
      </c>
      <c r="B8879" s="3" t="s">
        <v>8907</v>
      </c>
      <c r="C8879" s="3" t="s">
        <v>252</v>
      </c>
      <c r="D8879" s="3">
        <v>199.0</v>
      </c>
      <c r="E8879" s="3">
        <v>6.99</v>
      </c>
      <c r="F8879" s="3">
        <v>20.28</v>
      </c>
      <c r="G8879" s="3">
        <v>12.52</v>
      </c>
    </row>
    <row r="8880">
      <c r="A8880" s="3">
        <v>782589.0</v>
      </c>
      <c r="B8880" s="3" t="s">
        <v>8908</v>
      </c>
      <c r="C8880" s="3" t="s">
        <v>252</v>
      </c>
      <c r="D8880" s="3">
        <v>156.0</v>
      </c>
      <c r="E8880" s="3">
        <v>1.44</v>
      </c>
      <c r="F8880" s="3">
        <v>21.2</v>
      </c>
      <c r="G8880" s="3">
        <v>13.1</v>
      </c>
    </row>
    <row r="8881">
      <c r="A8881" s="3">
        <v>782590.0</v>
      </c>
      <c r="B8881" s="3" t="s">
        <v>8909</v>
      </c>
      <c r="C8881" s="3" t="s">
        <v>252</v>
      </c>
      <c r="D8881" s="3">
        <v>219.0</v>
      </c>
      <c r="E8881" s="3">
        <v>10.92</v>
      </c>
      <c r="F8881" s="3">
        <v>19.44</v>
      </c>
      <c r="G8881" s="3">
        <v>9.85</v>
      </c>
    </row>
    <row r="8882">
      <c r="A8882" s="3">
        <v>782591.0</v>
      </c>
      <c r="B8882" s="3" t="s">
        <v>8910</v>
      </c>
      <c r="C8882" s="3" t="s">
        <v>252</v>
      </c>
      <c r="D8882" s="3">
        <v>111.0</v>
      </c>
      <c r="E8882" s="3">
        <v>0.87</v>
      </c>
      <c r="F8882" s="3">
        <v>24.22</v>
      </c>
      <c r="G8882" s="3">
        <v>0.0</v>
      </c>
    </row>
    <row r="8883">
      <c r="A8883" s="3">
        <v>782593.0</v>
      </c>
      <c r="B8883" s="3" t="s">
        <v>8911</v>
      </c>
      <c r="C8883" s="3" t="s">
        <v>252</v>
      </c>
      <c r="D8883" s="3">
        <v>233.0</v>
      </c>
      <c r="E8883" s="3">
        <v>15.26</v>
      </c>
      <c r="F8883" s="3">
        <v>22.61</v>
      </c>
      <c r="G8883" s="3">
        <v>0.1</v>
      </c>
    </row>
    <row r="8884">
      <c r="A8884" s="3">
        <v>782594.0</v>
      </c>
      <c r="B8884" s="3" t="s">
        <v>8912</v>
      </c>
      <c r="C8884" s="3" t="s">
        <v>252</v>
      </c>
      <c r="D8884" s="3">
        <v>233.0</v>
      </c>
      <c r="E8884" s="3">
        <v>15.26</v>
      </c>
      <c r="F8884" s="3">
        <v>22.61</v>
      </c>
      <c r="G8884" s="3">
        <v>0.1</v>
      </c>
    </row>
    <row r="8885">
      <c r="A8885" s="3">
        <v>782595.0</v>
      </c>
      <c r="B8885" s="3" t="s">
        <v>8913</v>
      </c>
      <c r="C8885" s="3" t="s">
        <v>252</v>
      </c>
      <c r="D8885" s="3">
        <v>207.0</v>
      </c>
      <c r="E8885" s="3">
        <v>11.93</v>
      </c>
      <c r="F8885" s="3">
        <v>23.28</v>
      </c>
      <c r="G8885" s="3">
        <v>0.1</v>
      </c>
    </row>
    <row r="8886">
      <c r="A8886" s="3">
        <v>782596.0</v>
      </c>
      <c r="B8886" s="3" t="s">
        <v>8914</v>
      </c>
      <c r="C8886" s="3" t="s">
        <v>252</v>
      </c>
      <c r="D8886" s="3">
        <v>270.0</v>
      </c>
      <c r="E8886" s="3">
        <v>15.19</v>
      </c>
      <c r="F8886" s="3">
        <v>19.55</v>
      </c>
      <c r="G8886" s="3">
        <v>12.52</v>
      </c>
    </row>
    <row r="8887">
      <c r="A8887" s="3">
        <v>782597.0</v>
      </c>
      <c r="B8887" s="3" t="s">
        <v>8915</v>
      </c>
      <c r="C8887" s="3" t="s">
        <v>252</v>
      </c>
      <c r="D8887" s="3">
        <v>230.0</v>
      </c>
      <c r="E8887" s="3">
        <v>10.02</v>
      </c>
      <c r="F8887" s="3">
        <v>20.44</v>
      </c>
      <c r="G8887" s="3">
        <v>13.1</v>
      </c>
    </row>
    <row r="8888">
      <c r="A8888" s="3">
        <v>782598.0</v>
      </c>
      <c r="B8888" s="3" t="s">
        <v>8916</v>
      </c>
      <c r="C8888" s="3" t="s">
        <v>252</v>
      </c>
      <c r="D8888" s="3">
        <v>284.0</v>
      </c>
      <c r="E8888" s="3">
        <v>18.41</v>
      </c>
      <c r="F8888" s="3">
        <v>18.77</v>
      </c>
      <c r="G8888" s="3">
        <v>9.85</v>
      </c>
    </row>
    <row r="8889">
      <c r="A8889" s="3">
        <v>782599.0</v>
      </c>
      <c r="B8889" s="3" t="s">
        <v>8917</v>
      </c>
      <c r="C8889" s="3" t="s">
        <v>252</v>
      </c>
      <c r="D8889" s="3">
        <v>206.0</v>
      </c>
      <c r="E8889" s="3">
        <v>11.91</v>
      </c>
      <c r="F8889" s="3">
        <v>23.24</v>
      </c>
      <c r="G8889" s="3">
        <v>0.0</v>
      </c>
    </row>
    <row r="8890">
      <c r="A8890" s="3">
        <v>782600.0</v>
      </c>
      <c r="B8890" s="3" t="s">
        <v>8918</v>
      </c>
      <c r="C8890" s="3" t="s">
        <v>252</v>
      </c>
      <c r="D8890" s="3">
        <v>192.0</v>
      </c>
      <c r="E8890" s="3">
        <v>11.06</v>
      </c>
      <c r="F8890" s="3">
        <v>21.58</v>
      </c>
      <c r="G8890" s="3">
        <v>0.0</v>
      </c>
    </row>
    <row r="8891">
      <c r="A8891" s="3">
        <v>782602.0</v>
      </c>
      <c r="B8891" s="3" t="s">
        <v>8919</v>
      </c>
      <c r="C8891" s="3" t="s">
        <v>252</v>
      </c>
      <c r="D8891" s="3">
        <v>161.0</v>
      </c>
      <c r="E8891" s="3">
        <v>7.02</v>
      </c>
      <c r="F8891" s="3">
        <v>23.1</v>
      </c>
      <c r="G8891" s="3">
        <v>0.1</v>
      </c>
    </row>
    <row r="8892">
      <c r="A8892" s="3">
        <v>782603.0</v>
      </c>
      <c r="B8892" s="3" t="s">
        <v>8920</v>
      </c>
      <c r="C8892" s="3" t="s">
        <v>252</v>
      </c>
      <c r="D8892" s="3">
        <v>161.0</v>
      </c>
      <c r="E8892" s="3">
        <v>7.02</v>
      </c>
      <c r="F8892" s="3">
        <v>23.1</v>
      </c>
      <c r="G8892" s="3">
        <v>0.1</v>
      </c>
    </row>
    <row r="8893">
      <c r="A8893" s="3">
        <v>782604.0</v>
      </c>
      <c r="B8893" s="3" t="s">
        <v>8921</v>
      </c>
      <c r="C8893" s="3" t="s">
        <v>252</v>
      </c>
      <c r="D8893" s="3">
        <v>133.0</v>
      </c>
      <c r="E8893" s="3">
        <v>3.44</v>
      </c>
      <c r="F8893" s="3">
        <v>23.78</v>
      </c>
      <c r="G8893" s="3">
        <v>0.1</v>
      </c>
    </row>
    <row r="8894">
      <c r="A8894" s="3">
        <v>782605.0</v>
      </c>
      <c r="B8894" s="3" t="s">
        <v>8922</v>
      </c>
      <c r="C8894" s="3" t="s">
        <v>252</v>
      </c>
      <c r="D8894" s="3">
        <v>215.0</v>
      </c>
      <c r="E8894" s="3">
        <v>8.89</v>
      </c>
      <c r="F8894" s="3">
        <v>19.92</v>
      </c>
      <c r="G8894" s="3">
        <v>12.52</v>
      </c>
    </row>
    <row r="8895">
      <c r="A8895" s="3">
        <v>782606.0</v>
      </c>
      <c r="B8895" s="3" t="s">
        <v>8923</v>
      </c>
      <c r="C8895" s="3" t="s">
        <v>252</v>
      </c>
      <c r="D8895" s="3">
        <v>173.0</v>
      </c>
      <c r="E8895" s="3">
        <v>3.44</v>
      </c>
      <c r="F8895" s="3">
        <v>20.83</v>
      </c>
      <c r="G8895" s="3">
        <v>13.1</v>
      </c>
    </row>
    <row r="8896">
      <c r="A8896" s="3">
        <v>782607.0</v>
      </c>
      <c r="B8896" s="3" t="s">
        <v>8924</v>
      </c>
      <c r="C8896" s="3" t="s">
        <v>252</v>
      </c>
      <c r="D8896" s="3">
        <v>234.0</v>
      </c>
      <c r="E8896" s="3">
        <v>12.66</v>
      </c>
      <c r="F8896" s="3">
        <v>19.11</v>
      </c>
      <c r="G8896" s="3">
        <v>9.85</v>
      </c>
    </row>
    <row r="8897">
      <c r="A8897" s="3">
        <v>782608.0</v>
      </c>
      <c r="B8897" s="3" t="s">
        <v>8925</v>
      </c>
      <c r="C8897" s="3" t="s">
        <v>252</v>
      </c>
      <c r="D8897" s="3">
        <v>132.0</v>
      </c>
      <c r="E8897" s="3">
        <v>3.43</v>
      </c>
      <c r="F8897" s="3">
        <v>23.74</v>
      </c>
      <c r="G8897" s="3">
        <v>0.0</v>
      </c>
    </row>
    <row r="8898">
      <c r="A8898" s="3">
        <v>782609.0</v>
      </c>
      <c r="B8898" s="3" t="s">
        <v>8926</v>
      </c>
      <c r="C8898" s="3" t="s">
        <v>252</v>
      </c>
      <c r="D8898" s="3">
        <v>192.0</v>
      </c>
      <c r="E8898" s="3">
        <v>9.2</v>
      </c>
      <c r="F8898" s="3">
        <v>25.67</v>
      </c>
      <c r="G8898" s="3">
        <v>0.1</v>
      </c>
    </row>
    <row r="8899">
      <c r="A8899" s="3">
        <v>782610.0</v>
      </c>
      <c r="B8899" s="3" t="s">
        <v>8927</v>
      </c>
      <c r="C8899" s="3" t="s">
        <v>252</v>
      </c>
      <c r="D8899" s="3">
        <v>192.0</v>
      </c>
      <c r="E8899" s="3">
        <v>9.2</v>
      </c>
      <c r="F8899" s="3">
        <v>25.67</v>
      </c>
      <c r="G8899" s="3">
        <v>0.1</v>
      </c>
    </row>
    <row r="8900">
      <c r="A8900" s="3">
        <v>782611.0</v>
      </c>
      <c r="B8900" s="3" t="s">
        <v>8928</v>
      </c>
      <c r="C8900" s="3" t="s">
        <v>252</v>
      </c>
      <c r="D8900" s="3">
        <v>164.0</v>
      </c>
      <c r="E8900" s="3">
        <v>5.68</v>
      </c>
      <c r="F8900" s="3">
        <v>26.43</v>
      </c>
      <c r="G8900" s="3">
        <v>0.1</v>
      </c>
    </row>
    <row r="8901">
      <c r="A8901" s="3">
        <v>782612.0</v>
      </c>
      <c r="B8901" s="3" t="s">
        <v>8929</v>
      </c>
      <c r="C8901" s="3" t="s">
        <v>252</v>
      </c>
      <c r="D8901" s="3">
        <v>238.0</v>
      </c>
      <c r="E8901" s="3">
        <v>10.56</v>
      </c>
      <c r="F8901" s="3">
        <v>21.88</v>
      </c>
      <c r="G8901" s="3">
        <v>12.52</v>
      </c>
    </row>
    <row r="8902">
      <c r="A8902" s="3">
        <v>782613.0</v>
      </c>
      <c r="B8902" s="3" t="s">
        <v>8930</v>
      </c>
      <c r="C8902" s="3" t="s">
        <v>252</v>
      </c>
      <c r="D8902" s="3">
        <v>197.0</v>
      </c>
      <c r="E8902" s="3">
        <v>5.17</v>
      </c>
      <c r="F8902" s="3">
        <v>22.88</v>
      </c>
      <c r="G8902" s="3">
        <v>13.1</v>
      </c>
    </row>
    <row r="8903">
      <c r="A8903" s="3">
        <v>782614.0</v>
      </c>
      <c r="B8903" s="3" t="s">
        <v>8931</v>
      </c>
      <c r="C8903" s="3" t="s">
        <v>252</v>
      </c>
      <c r="D8903" s="3">
        <v>255.0</v>
      </c>
      <c r="E8903" s="3">
        <v>14.18</v>
      </c>
      <c r="F8903" s="3">
        <v>20.9</v>
      </c>
      <c r="G8903" s="3">
        <v>9.85</v>
      </c>
    </row>
    <row r="8904">
      <c r="A8904" s="3">
        <v>782615.0</v>
      </c>
      <c r="B8904" s="3" t="s">
        <v>8932</v>
      </c>
      <c r="C8904" s="3" t="s">
        <v>252</v>
      </c>
      <c r="D8904" s="3">
        <v>163.0</v>
      </c>
      <c r="E8904" s="3">
        <v>5.67</v>
      </c>
      <c r="F8904" s="3">
        <v>26.38</v>
      </c>
      <c r="G8904" s="3">
        <v>0.0</v>
      </c>
    </row>
    <row r="8905">
      <c r="A8905" s="3">
        <v>782617.0</v>
      </c>
      <c r="B8905" s="3" t="s">
        <v>8933</v>
      </c>
      <c r="C8905" s="3" t="s">
        <v>252</v>
      </c>
      <c r="D8905" s="3">
        <v>188.0</v>
      </c>
      <c r="E8905" s="3">
        <v>9.06</v>
      </c>
      <c r="F8905" s="3">
        <v>25.08</v>
      </c>
      <c r="G8905" s="3">
        <v>0.1</v>
      </c>
    </row>
    <row r="8906">
      <c r="A8906" s="3">
        <v>782618.0</v>
      </c>
      <c r="B8906" s="3" t="s">
        <v>8934</v>
      </c>
      <c r="C8906" s="3" t="s">
        <v>252</v>
      </c>
      <c r="D8906" s="3">
        <v>188.0</v>
      </c>
      <c r="E8906" s="3">
        <v>9.06</v>
      </c>
      <c r="F8906" s="3">
        <v>25.08</v>
      </c>
      <c r="G8906" s="3">
        <v>0.1</v>
      </c>
    </row>
    <row r="8907">
      <c r="A8907" s="3">
        <v>782619.0</v>
      </c>
      <c r="B8907" s="3" t="s">
        <v>8935</v>
      </c>
      <c r="C8907" s="3" t="s">
        <v>252</v>
      </c>
      <c r="D8907" s="3">
        <v>183.0</v>
      </c>
      <c r="E8907" s="3">
        <v>8.48</v>
      </c>
      <c r="F8907" s="3">
        <v>25.08</v>
      </c>
      <c r="G8907" s="3">
        <v>0.1</v>
      </c>
    </row>
    <row r="8908">
      <c r="A8908" s="3">
        <v>782620.0</v>
      </c>
      <c r="B8908" s="3" t="s">
        <v>8936</v>
      </c>
      <c r="C8908" s="3" t="s">
        <v>252</v>
      </c>
      <c r="D8908" s="3">
        <v>176.0</v>
      </c>
      <c r="E8908" s="3">
        <v>7.68</v>
      </c>
      <c r="F8908" s="3">
        <v>25.05</v>
      </c>
      <c r="G8908" s="3">
        <v>0.13</v>
      </c>
    </row>
    <row r="8909">
      <c r="A8909" s="3">
        <v>782621.0</v>
      </c>
      <c r="B8909" s="3" t="s">
        <v>8937</v>
      </c>
      <c r="C8909" s="3" t="s">
        <v>252</v>
      </c>
      <c r="D8909" s="3">
        <v>160.0</v>
      </c>
      <c r="E8909" s="3">
        <v>5.54</v>
      </c>
      <c r="F8909" s="3">
        <v>25.82</v>
      </c>
      <c r="G8909" s="3">
        <v>0.1</v>
      </c>
    </row>
    <row r="8910">
      <c r="A8910" s="3">
        <v>782622.0</v>
      </c>
      <c r="B8910" s="3" t="s">
        <v>8938</v>
      </c>
      <c r="C8910" s="3" t="s">
        <v>252</v>
      </c>
      <c r="D8910" s="3">
        <v>164.0</v>
      </c>
      <c r="E8910" s="3">
        <v>5.92</v>
      </c>
      <c r="F8910" s="3">
        <v>25.72</v>
      </c>
      <c r="G8910" s="3">
        <v>0.2</v>
      </c>
    </row>
    <row r="8911">
      <c r="A8911" s="3">
        <v>782623.0</v>
      </c>
      <c r="B8911" s="3" t="s">
        <v>8939</v>
      </c>
      <c r="C8911" s="3" t="s">
        <v>252</v>
      </c>
      <c r="D8911" s="3">
        <v>235.0</v>
      </c>
      <c r="E8911" s="3">
        <v>10.45</v>
      </c>
      <c r="F8911" s="3">
        <v>21.43</v>
      </c>
      <c r="G8911" s="3">
        <v>12.52</v>
      </c>
    </row>
    <row r="8912">
      <c r="A8912" s="3">
        <v>782624.0</v>
      </c>
      <c r="B8912" s="3" t="s">
        <v>8940</v>
      </c>
      <c r="C8912" s="3" t="s">
        <v>252</v>
      </c>
      <c r="D8912" s="3">
        <v>227.0</v>
      </c>
      <c r="E8912" s="3">
        <v>9.56</v>
      </c>
      <c r="F8912" s="3">
        <v>21.44</v>
      </c>
      <c r="G8912" s="3">
        <v>12.5</v>
      </c>
    </row>
    <row r="8913">
      <c r="A8913" s="3">
        <v>782625.0</v>
      </c>
      <c r="B8913" s="3" t="s">
        <v>8941</v>
      </c>
      <c r="C8913" s="3" t="s">
        <v>252</v>
      </c>
      <c r="D8913" s="3">
        <v>217.0</v>
      </c>
      <c r="E8913" s="3">
        <v>8.35</v>
      </c>
      <c r="F8913" s="3">
        <v>21.4</v>
      </c>
      <c r="G8913" s="3">
        <v>12.55</v>
      </c>
    </row>
    <row r="8914">
      <c r="A8914" s="3">
        <v>782626.0</v>
      </c>
      <c r="B8914" s="3" t="s">
        <v>8942</v>
      </c>
      <c r="C8914" s="3" t="s">
        <v>252</v>
      </c>
      <c r="D8914" s="3">
        <v>194.0</v>
      </c>
      <c r="E8914" s="3">
        <v>5.07</v>
      </c>
      <c r="F8914" s="3">
        <v>22.42</v>
      </c>
      <c r="G8914" s="3">
        <v>13.1</v>
      </c>
    </row>
    <row r="8915">
      <c r="A8915" s="3">
        <v>782627.0</v>
      </c>
      <c r="B8915" s="3" t="s">
        <v>8943</v>
      </c>
      <c r="C8915" s="3" t="s">
        <v>252</v>
      </c>
      <c r="D8915" s="3">
        <v>197.0</v>
      </c>
      <c r="E8915" s="3">
        <v>5.35</v>
      </c>
      <c r="F8915" s="3">
        <v>22.35</v>
      </c>
      <c r="G8915" s="3">
        <v>13.14</v>
      </c>
    </row>
    <row r="8916">
      <c r="A8916" s="3">
        <v>782628.0</v>
      </c>
      <c r="B8916" s="3" t="s">
        <v>8944</v>
      </c>
      <c r="C8916" s="3" t="s">
        <v>252</v>
      </c>
      <c r="D8916" s="3">
        <v>253.0</v>
      </c>
      <c r="E8916" s="3">
        <v>14.08</v>
      </c>
      <c r="F8916" s="3">
        <v>20.5</v>
      </c>
      <c r="G8916" s="3">
        <v>9.85</v>
      </c>
    </row>
    <row r="8917">
      <c r="A8917" s="3">
        <v>782629.0</v>
      </c>
      <c r="B8917" s="3" t="s">
        <v>8945</v>
      </c>
      <c r="C8917" s="3" t="s">
        <v>252</v>
      </c>
      <c r="D8917" s="3">
        <v>238.0</v>
      </c>
      <c r="E8917" s="3">
        <v>12.44</v>
      </c>
      <c r="F8917" s="3">
        <v>20.57</v>
      </c>
      <c r="G8917" s="3">
        <v>9.86</v>
      </c>
    </row>
    <row r="8918">
      <c r="A8918" s="3">
        <v>782630.0</v>
      </c>
      <c r="B8918" s="3" t="s">
        <v>8946</v>
      </c>
      <c r="C8918" s="3" t="s">
        <v>252</v>
      </c>
      <c r="D8918" s="3">
        <v>222.0</v>
      </c>
      <c r="E8918" s="3">
        <v>10.58</v>
      </c>
      <c r="F8918" s="3">
        <v>20.51</v>
      </c>
      <c r="G8918" s="3">
        <v>9.93</v>
      </c>
    </row>
    <row r="8919">
      <c r="A8919" s="3">
        <v>782631.0</v>
      </c>
      <c r="B8919" s="3" t="s">
        <v>8947</v>
      </c>
      <c r="C8919" s="3" t="s">
        <v>252</v>
      </c>
      <c r="D8919" s="3">
        <v>207.0</v>
      </c>
      <c r="E8919" s="3">
        <v>6.32</v>
      </c>
      <c r="F8919" s="3">
        <v>24.12</v>
      </c>
      <c r="G8919" s="3">
        <v>11.6</v>
      </c>
    </row>
    <row r="8920">
      <c r="A8920" s="3">
        <v>782632.0</v>
      </c>
      <c r="B8920" s="3" t="s">
        <v>8948</v>
      </c>
      <c r="C8920" s="3" t="s">
        <v>252</v>
      </c>
      <c r="D8920" s="3">
        <v>209.0</v>
      </c>
      <c r="E8920" s="3">
        <v>6.61</v>
      </c>
      <c r="F8920" s="3">
        <v>24.05</v>
      </c>
      <c r="G8920" s="3">
        <v>11.64</v>
      </c>
    </row>
    <row r="8921">
      <c r="A8921" s="3">
        <v>782633.0</v>
      </c>
      <c r="B8921" s="3" t="s">
        <v>8949</v>
      </c>
      <c r="C8921" s="3" t="s">
        <v>252</v>
      </c>
      <c r="D8921" s="3">
        <v>160.0</v>
      </c>
      <c r="E8921" s="3">
        <v>5.53</v>
      </c>
      <c r="F8921" s="3">
        <v>25.78</v>
      </c>
      <c r="G8921" s="3">
        <v>0.0</v>
      </c>
    </row>
    <row r="8922">
      <c r="A8922" s="3">
        <v>782634.0</v>
      </c>
      <c r="B8922" s="3" t="s">
        <v>8950</v>
      </c>
      <c r="C8922" s="3" t="s">
        <v>252</v>
      </c>
      <c r="D8922" s="3">
        <v>397.0</v>
      </c>
      <c r="E8922" s="3">
        <v>13.75</v>
      </c>
      <c r="F8922" s="3">
        <v>64.06</v>
      </c>
      <c r="G8922" s="3">
        <v>0.0</v>
      </c>
    </row>
    <row r="8923">
      <c r="A8923" s="3">
        <v>782635.0</v>
      </c>
      <c r="B8923" s="3" t="s">
        <v>8951</v>
      </c>
      <c r="C8923" s="3" t="s">
        <v>252</v>
      </c>
      <c r="D8923" s="3">
        <v>137.0</v>
      </c>
      <c r="E8923" s="3">
        <v>5.48</v>
      </c>
      <c r="F8923" s="3">
        <v>20.55</v>
      </c>
      <c r="G8923" s="3">
        <v>0.0</v>
      </c>
    </row>
    <row r="8924">
      <c r="A8924" s="3">
        <v>782638.0</v>
      </c>
      <c r="B8924" s="3" t="s">
        <v>8952</v>
      </c>
      <c r="C8924" s="3" t="s">
        <v>252</v>
      </c>
      <c r="D8924" s="3">
        <v>406.0</v>
      </c>
      <c r="E8924" s="3">
        <v>23.18</v>
      </c>
      <c r="F8924" s="3">
        <v>46.06</v>
      </c>
      <c r="G8924" s="3">
        <v>0.0</v>
      </c>
    </row>
    <row r="8925">
      <c r="A8925" s="3">
        <v>782641.0</v>
      </c>
      <c r="B8925" s="3" t="s">
        <v>8953</v>
      </c>
      <c r="C8925" s="3" t="s">
        <v>252</v>
      </c>
      <c r="D8925" s="3">
        <v>152.0</v>
      </c>
      <c r="E8925" s="3">
        <v>6.12</v>
      </c>
      <c r="F8925" s="3">
        <v>22.55</v>
      </c>
      <c r="G8925" s="3">
        <v>0.1</v>
      </c>
    </row>
    <row r="8926">
      <c r="A8926" s="3">
        <v>782642.0</v>
      </c>
      <c r="B8926" s="3" t="s">
        <v>8954</v>
      </c>
      <c r="C8926" s="3" t="s">
        <v>252</v>
      </c>
      <c r="D8926" s="3">
        <v>152.0</v>
      </c>
      <c r="E8926" s="3">
        <v>6.12</v>
      </c>
      <c r="F8926" s="3">
        <v>22.55</v>
      </c>
      <c r="G8926" s="3">
        <v>0.1</v>
      </c>
    </row>
    <row r="8927">
      <c r="A8927" s="3">
        <v>782643.0</v>
      </c>
      <c r="B8927" s="3" t="s">
        <v>8955</v>
      </c>
      <c r="C8927" s="3" t="s">
        <v>252</v>
      </c>
      <c r="D8927" s="3">
        <v>122.0</v>
      </c>
      <c r="E8927" s="3">
        <v>2.52</v>
      </c>
      <c r="F8927" s="3">
        <v>23.22</v>
      </c>
      <c r="G8927" s="3">
        <v>0.1</v>
      </c>
    </row>
    <row r="8928">
      <c r="A8928" s="3">
        <v>782644.0</v>
      </c>
      <c r="B8928" s="3" t="s">
        <v>8956</v>
      </c>
      <c r="C8928" s="3" t="s">
        <v>252</v>
      </c>
      <c r="D8928" s="3">
        <v>207.0</v>
      </c>
      <c r="E8928" s="3">
        <v>8.21</v>
      </c>
      <c r="F8928" s="3">
        <v>19.5</v>
      </c>
      <c r="G8928" s="3">
        <v>12.52</v>
      </c>
    </row>
    <row r="8929">
      <c r="A8929" s="3">
        <v>782645.0</v>
      </c>
      <c r="B8929" s="3" t="s">
        <v>8957</v>
      </c>
      <c r="C8929" s="3" t="s">
        <v>252</v>
      </c>
      <c r="D8929" s="3">
        <v>165.0</v>
      </c>
      <c r="E8929" s="3">
        <v>2.72</v>
      </c>
      <c r="F8929" s="3">
        <v>20.39</v>
      </c>
      <c r="G8929" s="3">
        <v>13.1</v>
      </c>
    </row>
    <row r="8930">
      <c r="A8930" s="3">
        <v>782646.0</v>
      </c>
      <c r="B8930" s="3" t="s">
        <v>8958</v>
      </c>
      <c r="C8930" s="3" t="s">
        <v>252</v>
      </c>
      <c r="D8930" s="3">
        <v>227.0</v>
      </c>
      <c r="E8930" s="3">
        <v>12.04</v>
      </c>
      <c r="F8930" s="3">
        <v>18.73</v>
      </c>
      <c r="G8930" s="3">
        <v>9.85</v>
      </c>
    </row>
    <row r="8931">
      <c r="A8931" s="3">
        <v>782647.0</v>
      </c>
      <c r="B8931" s="3" t="s">
        <v>8959</v>
      </c>
      <c r="C8931" s="3" t="s">
        <v>252</v>
      </c>
      <c r="D8931" s="3">
        <v>122.0</v>
      </c>
      <c r="E8931" s="3">
        <v>2.52</v>
      </c>
      <c r="F8931" s="3">
        <v>23.18</v>
      </c>
      <c r="G8931" s="3">
        <v>0.0</v>
      </c>
    </row>
    <row r="8932">
      <c r="A8932" s="3">
        <v>782648.0</v>
      </c>
      <c r="B8932" s="3" t="s">
        <v>8960</v>
      </c>
      <c r="C8932" s="3" t="s">
        <v>252</v>
      </c>
      <c r="D8932" s="3">
        <v>155.0</v>
      </c>
      <c r="E8932" s="3">
        <v>10.26</v>
      </c>
      <c r="F8932" s="3">
        <v>11.01</v>
      </c>
      <c r="G8932" s="3">
        <v>4.03</v>
      </c>
    </row>
    <row r="8933">
      <c r="A8933" s="3">
        <v>782649.0</v>
      </c>
      <c r="B8933" s="3" t="s">
        <v>8961</v>
      </c>
      <c r="C8933" s="3" t="s">
        <v>252</v>
      </c>
      <c r="D8933" s="3">
        <v>192.0</v>
      </c>
      <c r="E8933" s="3">
        <v>9.2</v>
      </c>
      <c r="F8933" s="3">
        <v>25.67</v>
      </c>
      <c r="G8933" s="3">
        <v>0.1</v>
      </c>
    </row>
    <row r="8934">
      <c r="A8934" s="3">
        <v>782650.0</v>
      </c>
      <c r="B8934" s="3" t="s">
        <v>8962</v>
      </c>
      <c r="C8934" s="3" t="s">
        <v>252</v>
      </c>
      <c r="D8934" s="3">
        <v>192.0</v>
      </c>
      <c r="E8934" s="3">
        <v>9.2</v>
      </c>
      <c r="F8934" s="3">
        <v>25.67</v>
      </c>
      <c r="G8934" s="3">
        <v>0.1</v>
      </c>
    </row>
    <row r="8935">
      <c r="A8935" s="3">
        <v>782651.0</v>
      </c>
      <c r="B8935" s="3" t="s">
        <v>8963</v>
      </c>
      <c r="C8935" s="3" t="s">
        <v>252</v>
      </c>
      <c r="D8935" s="3">
        <v>164.0</v>
      </c>
      <c r="E8935" s="3">
        <v>5.68</v>
      </c>
      <c r="F8935" s="3">
        <v>26.43</v>
      </c>
      <c r="G8935" s="3">
        <v>0.1</v>
      </c>
    </row>
    <row r="8936">
      <c r="A8936" s="3">
        <v>782652.0</v>
      </c>
      <c r="B8936" s="3" t="s">
        <v>8964</v>
      </c>
      <c r="C8936" s="3" t="s">
        <v>252</v>
      </c>
      <c r="D8936" s="3">
        <v>238.0</v>
      </c>
      <c r="E8936" s="3">
        <v>10.56</v>
      </c>
      <c r="F8936" s="3">
        <v>21.88</v>
      </c>
      <c r="G8936" s="3">
        <v>12.52</v>
      </c>
    </row>
    <row r="8937">
      <c r="A8937" s="3">
        <v>782653.0</v>
      </c>
      <c r="B8937" s="3" t="s">
        <v>8965</v>
      </c>
      <c r="C8937" s="3" t="s">
        <v>252</v>
      </c>
      <c r="D8937" s="3">
        <v>197.0</v>
      </c>
      <c r="E8937" s="3">
        <v>5.17</v>
      </c>
      <c r="F8937" s="3">
        <v>22.88</v>
      </c>
      <c r="G8937" s="3">
        <v>13.1</v>
      </c>
    </row>
    <row r="8938">
      <c r="A8938" s="3">
        <v>782654.0</v>
      </c>
      <c r="B8938" s="3" t="s">
        <v>8966</v>
      </c>
      <c r="C8938" s="3" t="s">
        <v>252</v>
      </c>
      <c r="D8938" s="3">
        <v>255.0</v>
      </c>
      <c r="E8938" s="3">
        <v>14.18</v>
      </c>
      <c r="F8938" s="3">
        <v>20.9</v>
      </c>
      <c r="G8938" s="3">
        <v>9.85</v>
      </c>
    </row>
    <row r="8939">
      <c r="A8939" s="3">
        <v>782655.0</v>
      </c>
      <c r="B8939" s="3" t="s">
        <v>8967</v>
      </c>
      <c r="C8939" s="3" t="s">
        <v>252</v>
      </c>
      <c r="D8939" s="3">
        <v>163.0</v>
      </c>
      <c r="E8939" s="3">
        <v>5.67</v>
      </c>
      <c r="F8939" s="3">
        <v>26.38</v>
      </c>
      <c r="G8939" s="3">
        <v>0.0</v>
      </c>
    </row>
    <row r="8940">
      <c r="A8940" s="3">
        <v>782656.0</v>
      </c>
      <c r="B8940" s="3" t="s">
        <v>8968</v>
      </c>
      <c r="C8940" s="3" t="s">
        <v>252</v>
      </c>
      <c r="D8940" s="3">
        <v>161.0</v>
      </c>
      <c r="E8940" s="3">
        <v>8.62</v>
      </c>
      <c r="F8940" s="3">
        <v>19.75</v>
      </c>
      <c r="G8940" s="3">
        <v>0.1</v>
      </c>
    </row>
    <row r="8941">
      <c r="A8941" s="3">
        <v>782657.0</v>
      </c>
      <c r="B8941" s="3" t="s">
        <v>8969</v>
      </c>
      <c r="C8941" s="3" t="s">
        <v>252</v>
      </c>
      <c r="D8941" s="3">
        <v>161.0</v>
      </c>
      <c r="E8941" s="3">
        <v>8.62</v>
      </c>
      <c r="F8941" s="3">
        <v>19.75</v>
      </c>
      <c r="G8941" s="3">
        <v>0.1</v>
      </c>
    </row>
    <row r="8942">
      <c r="A8942" s="3">
        <v>782658.0</v>
      </c>
      <c r="B8942" s="3" t="s">
        <v>8970</v>
      </c>
      <c r="C8942" s="3" t="s">
        <v>252</v>
      </c>
      <c r="D8942" s="3">
        <v>132.0</v>
      </c>
      <c r="E8942" s="3">
        <v>5.08</v>
      </c>
      <c r="F8942" s="3">
        <v>20.3</v>
      </c>
      <c r="G8942" s="3">
        <v>0.0</v>
      </c>
    </row>
    <row r="8943">
      <c r="A8943" s="3">
        <v>782659.0</v>
      </c>
      <c r="B8943" s="3" t="s">
        <v>8971</v>
      </c>
      <c r="C8943" s="3" t="s">
        <v>252</v>
      </c>
      <c r="D8943" s="3">
        <v>234.0</v>
      </c>
      <c r="E8943" s="3">
        <v>13.78</v>
      </c>
      <c r="F8943" s="3">
        <v>16.77</v>
      </c>
      <c r="G8943" s="3">
        <v>9.85</v>
      </c>
    </row>
    <row r="8944">
      <c r="A8944" s="3">
        <v>782661.0</v>
      </c>
      <c r="B8944" s="3" t="s">
        <v>8972</v>
      </c>
      <c r="C8944" s="3" t="s">
        <v>252</v>
      </c>
      <c r="D8944" s="3">
        <v>209.0</v>
      </c>
      <c r="E8944" s="3">
        <v>11.81</v>
      </c>
      <c r="F8944" s="3">
        <v>24.06</v>
      </c>
      <c r="G8944" s="3">
        <v>0.1</v>
      </c>
    </row>
    <row r="8945">
      <c r="A8945" s="3">
        <v>782662.0</v>
      </c>
      <c r="B8945" s="3" t="s">
        <v>8973</v>
      </c>
      <c r="C8945" s="3" t="s">
        <v>252</v>
      </c>
      <c r="D8945" s="3">
        <v>209.0</v>
      </c>
      <c r="E8945" s="3">
        <v>11.81</v>
      </c>
      <c r="F8945" s="3">
        <v>24.06</v>
      </c>
      <c r="G8945" s="3">
        <v>0.1</v>
      </c>
    </row>
    <row r="8946">
      <c r="A8946" s="3">
        <v>782663.0</v>
      </c>
      <c r="B8946" s="3" t="s">
        <v>8974</v>
      </c>
      <c r="C8946" s="3" t="s">
        <v>252</v>
      </c>
      <c r="D8946" s="3">
        <v>182.0</v>
      </c>
      <c r="E8946" s="3">
        <v>8.38</v>
      </c>
      <c r="F8946" s="3">
        <v>24.76</v>
      </c>
      <c r="G8946" s="3">
        <v>0.1</v>
      </c>
    </row>
    <row r="8947">
      <c r="A8947" s="3">
        <v>782664.0</v>
      </c>
      <c r="B8947" s="3" t="s">
        <v>8975</v>
      </c>
      <c r="C8947" s="3" t="s">
        <v>252</v>
      </c>
      <c r="D8947" s="3">
        <v>251.0</v>
      </c>
      <c r="E8947" s="3">
        <v>12.56</v>
      </c>
      <c r="F8947" s="3">
        <v>20.65</v>
      </c>
      <c r="G8947" s="3">
        <v>12.52</v>
      </c>
    </row>
    <row r="8948">
      <c r="A8948" s="3">
        <v>782665.0</v>
      </c>
      <c r="B8948" s="3" t="s">
        <v>8976</v>
      </c>
      <c r="C8948" s="3" t="s">
        <v>252</v>
      </c>
      <c r="D8948" s="3">
        <v>211.0</v>
      </c>
      <c r="E8948" s="3">
        <v>7.26</v>
      </c>
      <c r="F8948" s="3">
        <v>21.59</v>
      </c>
      <c r="G8948" s="3">
        <v>13.1</v>
      </c>
    </row>
    <row r="8949">
      <c r="A8949" s="3">
        <v>782666.0</v>
      </c>
      <c r="B8949" s="3" t="s">
        <v>8977</v>
      </c>
      <c r="C8949" s="3" t="s">
        <v>252</v>
      </c>
      <c r="D8949" s="3">
        <v>267.0</v>
      </c>
      <c r="E8949" s="3">
        <v>16.0</v>
      </c>
      <c r="F8949" s="3">
        <v>19.78</v>
      </c>
      <c r="G8949" s="3">
        <v>9.85</v>
      </c>
    </row>
    <row r="8950">
      <c r="A8950" s="3">
        <v>782667.0</v>
      </c>
      <c r="B8950" s="3" t="s">
        <v>8978</v>
      </c>
      <c r="C8950" s="3" t="s">
        <v>252</v>
      </c>
      <c r="D8950" s="3">
        <v>181.0</v>
      </c>
      <c r="E8950" s="3">
        <v>8.36</v>
      </c>
      <c r="F8950" s="3">
        <v>24.72</v>
      </c>
      <c r="G8950" s="3">
        <v>0.0</v>
      </c>
    </row>
    <row r="8951">
      <c r="A8951" s="3">
        <v>782668.0</v>
      </c>
      <c r="B8951" s="3" t="s">
        <v>8979</v>
      </c>
      <c r="C8951" s="3" t="s">
        <v>252</v>
      </c>
      <c r="D8951" s="3">
        <v>205.0</v>
      </c>
      <c r="E8951" s="3">
        <v>11.24</v>
      </c>
      <c r="F8951" s="3">
        <v>24.4</v>
      </c>
      <c r="G8951" s="3">
        <v>0.1</v>
      </c>
    </row>
    <row r="8952">
      <c r="A8952" s="3">
        <v>782669.0</v>
      </c>
      <c r="B8952" s="3" t="s">
        <v>8980</v>
      </c>
      <c r="C8952" s="3" t="s">
        <v>252</v>
      </c>
      <c r="D8952" s="3">
        <v>205.0</v>
      </c>
      <c r="E8952" s="3">
        <v>11.24</v>
      </c>
      <c r="F8952" s="3">
        <v>24.4</v>
      </c>
      <c r="G8952" s="3">
        <v>0.1</v>
      </c>
    </row>
    <row r="8953">
      <c r="A8953" s="3">
        <v>782670.0</v>
      </c>
      <c r="B8953" s="3" t="s">
        <v>8981</v>
      </c>
      <c r="C8953" s="3" t="s">
        <v>252</v>
      </c>
      <c r="D8953" s="3">
        <v>200.0</v>
      </c>
      <c r="E8953" s="3">
        <v>10.65</v>
      </c>
      <c r="F8953" s="3">
        <v>24.4</v>
      </c>
      <c r="G8953" s="3">
        <v>0.1</v>
      </c>
    </row>
    <row r="8954">
      <c r="A8954" s="3">
        <v>782671.0</v>
      </c>
      <c r="B8954" s="3" t="s">
        <v>8982</v>
      </c>
      <c r="C8954" s="3" t="s">
        <v>252</v>
      </c>
      <c r="D8954" s="3">
        <v>193.0</v>
      </c>
      <c r="E8954" s="3">
        <v>9.86</v>
      </c>
      <c r="F8954" s="3">
        <v>24.37</v>
      </c>
      <c r="G8954" s="3">
        <v>0.13</v>
      </c>
    </row>
    <row r="8955">
      <c r="A8955" s="3">
        <v>782672.0</v>
      </c>
      <c r="B8955" s="3" t="s">
        <v>8983</v>
      </c>
      <c r="C8955" s="3" t="s">
        <v>252</v>
      </c>
      <c r="D8955" s="3">
        <v>178.0</v>
      </c>
      <c r="E8955" s="3">
        <v>7.79</v>
      </c>
      <c r="F8955" s="3">
        <v>25.12</v>
      </c>
      <c r="G8955" s="3">
        <v>0.1</v>
      </c>
    </row>
    <row r="8956">
      <c r="A8956" s="3">
        <v>782673.0</v>
      </c>
      <c r="B8956" s="3" t="s">
        <v>8984</v>
      </c>
      <c r="C8956" s="3" t="s">
        <v>252</v>
      </c>
      <c r="D8956" s="3">
        <v>181.0</v>
      </c>
      <c r="E8956" s="3">
        <v>8.15</v>
      </c>
      <c r="F8956" s="3">
        <v>25.02</v>
      </c>
      <c r="G8956" s="3">
        <v>0.2</v>
      </c>
    </row>
    <row r="8957">
      <c r="A8957" s="3">
        <v>782674.0</v>
      </c>
      <c r="B8957" s="3" t="s">
        <v>8985</v>
      </c>
      <c r="C8957" s="3" t="s">
        <v>252</v>
      </c>
      <c r="D8957" s="3">
        <v>248.0</v>
      </c>
      <c r="E8957" s="3">
        <v>12.12</v>
      </c>
      <c r="F8957" s="3">
        <v>20.91</v>
      </c>
      <c r="G8957" s="3">
        <v>12.52</v>
      </c>
    </row>
    <row r="8958">
      <c r="A8958" s="3">
        <v>782675.0</v>
      </c>
      <c r="B8958" s="3" t="s">
        <v>8986</v>
      </c>
      <c r="C8958" s="3" t="s">
        <v>252</v>
      </c>
      <c r="D8958" s="3">
        <v>240.0</v>
      </c>
      <c r="E8958" s="3">
        <v>11.22</v>
      </c>
      <c r="F8958" s="3">
        <v>20.92</v>
      </c>
      <c r="G8958" s="3">
        <v>12.5</v>
      </c>
    </row>
    <row r="8959">
      <c r="A8959" s="3">
        <v>782676.0</v>
      </c>
      <c r="B8959" s="3" t="s">
        <v>8987</v>
      </c>
      <c r="C8959" s="3" t="s">
        <v>252</v>
      </c>
      <c r="D8959" s="3">
        <v>230.0</v>
      </c>
      <c r="E8959" s="3">
        <v>10.01</v>
      </c>
      <c r="F8959" s="3">
        <v>20.88</v>
      </c>
      <c r="G8959" s="3">
        <v>12.55</v>
      </c>
    </row>
    <row r="8960">
      <c r="A8960" s="3">
        <v>782677.0</v>
      </c>
      <c r="B8960" s="3" t="s">
        <v>8988</v>
      </c>
      <c r="C8960" s="3" t="s">
        <v>252</v>
      </c>
      <c r="D8960" s="3">
        <v>208.0</v>
      </c>
      <c r="E8960" s="3">
        <v>6.8</v>
      </c>
      <c r="F8960" s="3">
        <v>21.87</v>
      </c>
      <c r="G8960" s="3">
        <v>13.1</v>
      </c>
    </row>
    <row r="8961">
      <c r="A8961" s="3">
        <v>782678.0</v>
      </c>
      <c r="B8961" s="3" t="s">
        <v>8989</v>
      </c>
      <c r="C8961" s="3" t="s">
        <v>252</v>
      </c>
      <c r="D8961" s="3">
        <v>210.0</v>
      </c>
      <c r="E8961" s="3">
        <v>7.09</v>
      </c>
      <c r="F8961" s="3">
        <v>21.8</v>
      </c>
      <c r="G8961" s="3">
        <v>13.14</v>
      </c>
    </row>
    <row r="8962">
      <c r="A8962" s="3">
        <v>782679.0</v>
      </c>
      <c r="B8962" s="3" t="s">
        <v>8990</v>
      </c>
      <c r="C8962" s="3" t="s">
        <v>252</v>
      </c>
      <c r="D8962" s="3">
        <v>265.0</v>
      </c>
      <c r="E8962" s="3">
        <v>15.6</v>
      </c>
      <c r="F8962" s="3">
        <v>20.02</v>
      </c>
      <c r="G8962" s="3">
        <v>9.85</v>
      </c>
    </row>
    <row r="8963">
      <c r="A8963" s="3">
        <v>782680.0</v>
      </c>
      <c r="B8963" s="3" t="s">
        <v>8991</v>
      </c>
      <c r="C8963" s="3" t="s">
        <v>252</v>
      </c>
      <c r="D8963" s="3">
        <v>250.0</v>
      </c>
      <c r="E8963" s="3">
        <v>13.96</v>
      </c>
      <c r="F8963" s="3">
        <v>20.09</v>
      </c>
      <c r="G8963" s="3">
        <v>9.86</v>
      </c>
    </row>
    <row r="8964">
      <c r="A8964" s="3">
        <v>782681.0</v>
      </c>
      <c r="B8964" s="3" t="s">
        <v>8992</v>
      </c>
      <c r="C8964" s="3" t="s">
        <v>252</v>
      </c>
      <c r="D8964" s="3">
        <v>234.0</v>
      </c>
      <c r="E8964" s="3">
        <v>12.1</v>
      </c>
      <c r="F8964" s="3">
        <v>20.03</v>
      </c>
      <c r="G8964" s="3">
        <v>9.93</v>
      </c>
    </row>
    <row r="8965">
      <c r="A8965" s="3">
        <v>782682.0</v>
      </c>
      <c r="B8965" s="3" t="s">
        <v>8993</v>
      </c>
      <c r="C8965" s="3" t="s">
        <v>252</v>
      </c>
      <c r="D8965" s="3">
        <v>221.0</v>
      </c>
      <c r="E8965" s="3">
        <v>8.11</v>
      </c>
      <c r="F8965" s="3">
        <v>23.56</v>
      </c>
      <c r="G8965" s="3">
        <v>11.6</v>
      </c>
    </row>
    <row r="8966">
      <c r="A8966" s="3">
        <v>782683.0</v>
      </c>
      <c r="B8966" s="3" t="s">
        <v>8994</v>
      </c>
      <c r="C8966" s="3" t="s">
        <v>252</v>
      </c>
      <c r="D8966" s="3">
        <v>223.0</v>
      </c>
      <c r="E8966" s="3">
        <v>8.4</v>
      </c>
      <c r="F8966" s="3">
        <v>23.49</v>
      </c>
      <c r="G8966" s="3">
        <v>11.64</v>
      </c>
    </row>
    <row r="8967">
      <c r="A8967" s="3">
        <v>782684.0</v>
      </c>
      <c r="B8967" s="3" t="s">
        <v>8995</v>
      </c>
      <c r="C8967" s="3" t="s">
        <v>252</v>
      </c>
      <c r="D8967" s="3">
        <v>177.0</v>
      </c>
      <c r="E8967" s="3">
        <v>7.77</v>
      </c>
      <c r="F8967" s="3">
        <v>25.08</v>
      </c>
      <c r="G8967" s="3">
        <v>0.0</v>
      </c>
    </row>
    <row r="8968">
      <c r="A8968" s="3">
        <v>782685.0</v>
      </c>
      <c r="B8968" s="3" t="s">
        <v>8996</v>
      </c>
      <c r="C8968" s="3" t="s">
        <v>252</v>
      </c>
      <c r="D8968" s="3">
        <v>251.0</v>
      </c>
      <c r="E8968" s="3">
        <v>10.99</v>
      </c>
      <c r="F8968" s="3">
        <v>35.47</v>
      </c>
      <c r="G8968" s="3">
        <v>0.0</v>
      </c>
    </row>
    <row r="8969">
      <c r="A8969" s="3">
        <v>782687.0</v>
      </c>
      <c r="B8969" s="3" t="s">
        <v>8997</v>
      </c>
      <c r="C8969" s="3" t="s">
        <v>252</v>
      </c>
      <c r="D8969" s="3">
        <v>166.0</v>
      </c>
      <c r="E8969" s="3">
        <v>4.28</v>
      </c>
      <c r="F8969" s="3">
        <v>29.85</v>
      </c>
      <c r="G8969" s="3">
        <v>0.1</v>
      </c>
    </row>
    <row r="8970">
      <c r="A8970" s="3">
        <v>782688.0</v>
      </c>
      <c r="B8970" s="3" t="s">
        <v>8998</v>
      </c>
      <c r="C8970" s="3" t="s">
        <v>252</v>
      </c>
      <c r="D8970" s="3">
        <v>166.0</v>
      </c>
      <c r="E8970" s="3">
        <v>4.28</v>
      </c>
      <c r="F8970" s="3">
        <v>29.85</v>
      </c>
      <c r="G8970" s="3">
        <v>0.1</v>
      </c>
    </row>
    <row r="8971">
      <c r="A8971" s="3">
        <v>782689.0</v>
      </c>
      <c r="B8971" s="3" t="s">
        <v>8999</v>
      </c>
      <c r="C8971" s="3" t="s">
        <v>252</v>
      </c>
      <c r="D8971" s="3">
        <v>138.0</v>
      </c>
      <c r="E8971" s="3">
        <v>0.62</v>
      </c>
      <c r="F8971" s="3">
        <v>30.73</v>
      </c>
      <c r="G8971" s="3">
        <v>0.1</v>
      </c>
    </row>
    <row r="8972">
      <c r="A8972" s="3">
        <v>782690.0</v>
      </c>
      <c r="B8972" s="3" t="s">
        <v>9000</v>
      </c>
      <c r="C8972" s="3" t="s">
        <v>252</v>
      </c>
      <c r="D8972" s="3">
        <v>218.0</v>
      </c>
      <c r="E8972" s="3">
        <v>6.8</v>
      </c>
      <c r="F8972" s="3">
        <v>25.08</v>
      </c>
      <c r="G8972" s="3">
        <v>12.52</v>
      </c>
    </row>
    <row r="8973">
      <c r="A8973" s="3">
        <v>782691.0</v>
      </c>
      <c r="B8973" s="3" t="s">
        <v>9001</v>
      </c>
      <c r="C8973" s="3" t="s">
        <v>252</v>
      </c>
      <c r="D8973" s="3">
        <v>177.0</v>
      </c>
      <c r="E8973" s="3">
        <v>1.25</v>
      </c>
      <c r="F8973" s="3">
        <v>26.22</v>
      </c>
      <c r="G8973" s="3">
        <v>13.1</v>
      </c>
    </row>
    <row r="8974">
      <c r="A8974" s="3">
        <v>782692.0</v>
      </c>
      <c r="B8974" s="3" t="s">
        <v>9002</v>
      </c>
      <c r="C8974" s="3" t="s">
        <v>252</v>
      </c>
      <c r="D8974" s="3">
        <v>237.0</v>
      </c>
      <c r="E8974" s="3">
        <v>10.75</v>
      </c>
      <c r="F8974" s="3">
        <v>23.82</v>
      </c>
      <c r="G8974" s="3">
        <v>9.85</v>
      </c>
    </row>
    <row r="8975">
      <c r="A8975" s="3">
        <v>782693.0</v>
      </c>
      <c r="B8975" s="3" t="s">
        <v>9003</v>
      </c>
      <c r="C8975" s="3" t="s">
        <v>252</v>
      </c>
      <c r="D8975" s="3">
        <v>137.0</v>
      </c>
      <c r="E8975" s="3">
        <v>0.62</v>
      </c>
      <c r="F8975" s="3">
        <v>30.68</v>
      </c>
      <c r="G8975" s="3">
        <v>0.0</v>
      </c>
    </row>
    <row r="8976">
      <c r="A8976" s="3">
        <v>782694.0</v>
      </c>
      <c r="B8976" s="3" t="s">
        <v>9004</v>
      </c>
      <c r="C8976" s="3" t="s">
        <v>252</v>
      </c>
      <c r="D8976" s="3">
        <v>341.0</v>
      </c>
      <c r="E8976" s="3">
        <v>1.53</v>
      </c>
      <c r="F8976" s="3">
        <v>76.25</v>
      </c>
      <c r="G8976" s="3">
        <v>0.0</v>
      </c>
    </row>
    <row r="8977">
      <c r="A8977" s="3">
        <v>782695.0</v>
      </c>
      <c r="B8977" s="3" t="s">
        <v>9005</v>
      </c>
      <c r="C8977" s="3" t="s">
        <v>252</v>
      </c>
      <c r="D8977" s="3">
        <v>200.0</v>
      </c>
      <c r="E8977" s="3">
        <v>10.04</v>
      </c>
      <c r="F8977" s="3">
        <v>25.54</v>
      </c>
      <c r="G8977" s="3">
        <v>0.0</v>
      </c>
    </row>
    <row r="8978">
      <c r="A8978" s="3">
        <v>782699.0</v>
      </c>
      <c r="B8978" s="3" t="s">
        <v>9006</v>
      </c>
      <c r="C8978" s="3" t="s">
        <v>252</v>
      </c>
      <c r="D8978" s="3">
        <v>221.0</v>
      </c>
      <c r="E8978" s="3">
        <v>11.44</v>
      </c>
      <c r="F8978" s="3">
        <v>18.62</v>
      </c>
      <c r="G8978" s="3">
        <v>9.86</v>
      </c>
    </row>
    <row r="8979">
      <c r="A8979" s="3">
        <v>782700.0</v>
      </c>
      <c r="B8979" s="3" t="s">
        <v>9007</v>
      </c>
      <c r="C8979" s="3" t="s">
        <v>252</v>
      </c>
      <c r="D8979" s="3">
        <v>143.0</v>
      </c>
      <c r="E8979" s="3">
        <v>5.28</v>
      </c>
      <c r="F8979" s="3">
        <v>22.4</v>
      </c>
      <c r="G8979" s="3">
        <v>0.1</v>
      </c>
    </row>
    <row r="8980">
      <c r="A8980" s="3">
        <v>782701.0</v>
      </c>
      <c r="B8980" s="3" t="s">
        <v>9008</v>
      </c>
      <c r="C8980" s="3" t="s">
        <v>252</v>
      </c>
      <c r="D8980" s="3">
        <v>138.0</v>
      </c>
      <c r="E8980" s="3">
        <v>4.7</v>
      </c>
      <c r="F8980" s="3">
        <v>22.41</v>
      </c>
      <c r="G8980" s="3">
        <v>0.1</v>
      </c>
    </row>
    <row r="8981">
      <c r="A8981" s="3">
        <v>782702.0</v>
      </c>
      <c r="B8981" s="3" t="s">
        <v>9009</v>
      </c>
      <c r="C8981" s="3" t="s">
        <v>252</v>
      </c>
      <c r="D8981" s="3">
        <v>131.0</v>
      </c>
      <c r="E8981" s="3">
        <v>3.91</v>
      </c>
      <c r="F8981" s="3">
        <v>22.38</v>
      </c>
      <c r="G8981" s="3">
        <v>0.13</v>
      </c>
    </row>
    <row r="8982">
      <c r="A8982" s="3">
        <v>782703.0</v>
      </c>
      <c r="B8982" s="3" t="s">
        <v>9010</v>
      </c>
      <c r="C8982" s="3" t="s">
        <v>252</v>
      </c>
      <c r="D8982" s="3">
        <v>114.0</v>
      </c>
      <c r="E8982" s="3">
        <v>1.65</v>
      </c>
      <c r="F8982" s="3">
        <v>23.06</v>
      </c>
      <c r="G8982" s="3">
        <v>0.1</v>
      </c>
    </row>
    <row r="8983">
      <c r="A8983" s="3">
        <v>782704.0</v>
      </c>
      <c r="B8983" s="3" t="s">
        <v>9011</v>
      </c>
      <c r="C8983" s="3" t="s">
        <v>252</v>
      </c>
      <c r="D8983" s="3">
        <v>117.0</v>
      </c>
      <c r="E8983" s="3">
        <v>2.04</v>
      </c>
      <c r="F8983" s="3">
        <v>22.98</v>
      </c>
      <c r="G8983" s="3">
        <v>0.2</v>
      </c>
    </row>
    <row r="8984">
      <c r="A8984" s="3">
        <v>782705.0</v>
      </c>
      <c r="B8984" s="3" t="s">
        <v>9012</v>
      </c>
      <c r="C8984" s="3" t="s">
        <v>252</v>
      </c>
      <c r="D8984" s="3">
        <v>201.0</v>
      </c>
      <c r="E8984" s="3">
        <v>7.57</v>
      </c>
      <c r="F8984" s="3">
        <v>19.39</v>
      </c>
      <c r="G8984" s="3">
        <v>12.52</v>
      </c>
    </row>
    <row r="8985">
      <c r="A8985" s="3">
        <v>782706.0</v>
      </c>
      <c r="B8985" s="3" t="s">
        <v>9013</v>
      </c>
      <c r="C8985" s="3" t="s">
        <v>252</v>
      </c>
      <c r="D8985" s="3">
        <v>193.0</v>
      </c>
      <c r="E8985" s="3">
        <v>6.68</v>
      </c>
      <c r="F8985" s="3">
        <v>19.4</v>
      </c>
      <c r="G8985" s="3">
        <v>12.5</v>
      </c>
    </row>
    <row r="8986">
      <c r="A8986" s="3">
        <v>782707.0</v>
      </c>
      <c r="B8986" s="3" t="s">
        <v>9014</v>
      </c>
      <c r="C8986" s="3" t="s">
        <v>252</v>
      </c>
      <c r="D8986" s="3">
        <v>182.0</v>
      </c>
      <c r="E8986" s="3">
        <v>5.47</v>
      </c>
      <c r="F8986" s="3">
        <v>19.36</v>
      </c>
      <c r="G8986" s="3">
        <v>12.55</v>
      </c>
    </row>
    <row r="8987">
      <c r="A8987" s="3">
        <v>782708.0</v>
      </c>
      <c r="B8987" s="3" t="s">
        <v>9015</v>
      </c>
      <c r="C8987" s="3" t="s">
        <v>252</v>
      </c>
      <c r="D8987" s="3">
        <v>158.0</v>
      </c>
      <c r="E8987" s="3">
        <v>2.05</v>
      </c>
      <c r="F8987" s="3">
        <v>20.28</v>
      </c>
      <c r="G8987" s="3">
        <v>13.1</v>
      </c>
    </row>
    <row r="8988">
      <c r="A8988" s="3">
        <v>782709.0</v>
      </c>
      <c r="B8988" s="3" t="s">
        <v>9016</v>
      </c>
      <c r="C8988" s="3" t="s">
        <v>252</v>
      </c>
      <c r="D8988" s="3">
        <v>161.0</v>
      </c>
      <c r="E8988" s="3">
        <v>2.35</v>
      </c>
      <c r="F8988" s="3">
        <v>20.22</v>
      </c>
      <c r="G8988" s="3">
        <v>13.14</v>
      </c>
    </row>
    <row r="8989">
      <c r="A8989" s="3">
        <v>782710.0</v>
      </c>
      <c r="B8989" s="3" t="s">
        <v>9017</v>
      </c>
      <c r="C8989" s="3" t="s">
        <v>252</v>
      </c>
      <c r="D8989" s="3">
        <v>221.0</v>
      </c>
      <c r="E8989" s="3">
        <v>11.45</v>
      </c>
      <c r="F8989" s="3">
        <v>18.62</v>
      </c>
      <c r="G8989" s="3">
        <v>9.85</v>
      </c>
    </row>
    <row r="8990">
      <c r="A8990" s="3">
        <v>782711.0</v>
      </c>
      <c r="B8990" s="3" t="s">
        <v>9018</v>
      </c>
      <c r="C8990" s="3" t="s">
        <v>252</v>
      </c>
      <c r="D8990" s="3">
        <v>206.0</v>
      </c>
      <c r="E8990" s="3">
        <v>9.8</v>
      </c>
      <c r="F8990" s="3">
        <v>18.7</v>
      </c>
      <c r="G8990" s="3">
        <v>9.86</v>
      </c>
    </row>
    <row r="8991">
      <c r="A8991" s="3">
        <v>782712.0</v>
      </c>
      <c r="B8991" s="3" t="s">
        <v>9019</v>
      </c>
      <c r="C8991" s="3" t="s">
        <v>252</v>
      </c>
      <c r="D8991" s="3">
        <v>190.0</v>
      </c>
      <c r="E8991" s="3">
        <v>7.94</v>
      </c>
      <c r="F8991" s="3">
        <v>18.64</v>
      </c>
      <c r="G8991" s="3">
        <v>9.93</v>
      </c>
    </row>
    <row r="8992">
      <c r="A8992" s="3">
        <v>782713.0</v>
      </c>
      <c r="B8992" s="3" t="s">
        <v>9020</v>
      </c>
      <c r="C8992" s="3" t="s">
        <v>252</v>
      </c>
      <c r="D8992" s="3">
        <v>169.0</v>
      </c>
      <c r="E8992" s="3">
        <v>3.22</v>
      </c>
      <c r="F8992" s="3">
        <v>21.92</v>
      </c>
      <c r="G8992" s="3">
        <v>11.6</v>
      </c>
    </row>
    <row r="8993">
      <c r="A8993" s="3">
        <v>782714.0</v>
      </c>
      <c r="B8993" s="3" t="s">
        <v>9021</v>
      </c>
      <c r="C8993" s="3" t="s">
        <v>252</v>
      </c>
      <c r="D8993" s="3">
        <v>172.0</v>
      </c>
      <c r="E8993" s="3">
        <v>3.52</v>
      </c>
      <c r="F8993" s="3">
        <v>21.85</v>
      </c>
      <c r="G8993" s="3">
        <v>11.64</v>
      </c>
    </row>
    <row r="8994">
      <c r="A8994" s="3">
        <v>782715.0</v>
      </c>
      <c r="B8994" s="3" t="s">
        <v>9022</v>
      </c>
      <c r="C8994" s="3" t="s">
        <v>252</v>
      </c>
      <c r="D8994" s="3">
        <v>113.0</v>
      </c>
      <c r="E8994" s="3">
        <v>1.65</v>
      </c>
      <c r="F8994" s="3">
        <v>23.02</v>
      </c>
      <c r="G8994" s="3">
        <v>0.0</v>
      </c>
    </row>
    <row r="8995">
      <c r="A8995" s="3">
        <v>782716.0</v>
      </c>
      <c r="B8995" s="3" t="s">
        <v>9023</v>
      </c>
      <c r="C8995" s="3" t="s">
        <v>252</v>
      </c>
      <c r="D8995" s="3">
        <v>150.0</v>
      </c>
      <c r="E8995" s="3">
        <v>5.76</v>
      </c>
      <c r="F8995" s="3">
        <v>24.57</v>
      </c>
      <c r="G8995" s="3">
        <v>0.1</v>
      </c>
    </row>
    <row r="8996">
      <c r="A8996" s="3">
        <v>782717.0</v>
      </c>
      <c r="B8996" s="3" t="s">
        <v>9024</v>
      </c>
      <c r="C8996" s="3" t="s">
        <v>252</v>
      </c>
      <c r="D8996" s="3">
        <v>150.0</v>
      </c>
      <c r="E8996" s="3">
        <v>5.76</v>
      </c>
      <c r="F8996" s="3">
        <v>24.57</v>
      </c>
      <c r="G8996" s="3">
        <v>0.1</v>
      </c>
    </row>
    <row r="8997">
      <c r="A8997" s="3">
        <v>782718.0</v>
      </c>
      <c r="B8997" s="3" t="s">
        <v>9025</v>
      </c>
      <c r="C8997" s="3" t="s">
        <v>252</v>
      </c>
      <c r="D8997" s="3">
        <v>145.0</v>
      </c>
      <c r="E8997" s="3">
        <v>5.18</v>
      </c>
      <c r="F8997" s="3">
        <v>24.57</v>
      </c>
      <c r="G8997" s="3">
        <v>0.1</v>
      </c>
    </row>
    <row r="8998">
      <c r="A8998" s="3">
        <v>782719.0</v>
      </c>
      <c r="B8998" s="3" t="s">
        <v>9026</v>
      </c>
      <c r="C8998" s="3" t="s">
        <v>252</v>
      </c>
      <c r="D8998" s="3">
        <v>138.0</v>
      </c>
      <c r="E8998" s="3">
        <v>4.38</v>
      </c>
      <c r="F8998" s="3">
        <v>24.54</v>
      </c>
      <c r="G8998" s="3">
        <v>0.13</v>
      </c>
    </row>
    <row r="8999">
      <c r="A8999" s="3">
        <v>782720.0</v>
      </c>
      <c r="B8999" s="3" t="s">
        <v>9027</v>
      </c>
      <c r="C8999" s="3" t="s">
        <v>252</v>
      </c>
      <c r="D8999" s="3">
        <v>121.0</v>
      </c>
      <c r="E8999" s="3">
        <v>2.14</v>
      </c>
      <c r="F8999" s="3">
        <v>25.29</v>
      </c>
      <c r="G8999" s="3">
        <v>0.1</v>
      </c>
    </row>
    <row r="9000">
      <c r="A9000" s="3">
        <v>782721.0</v>
      </c>
      <c r="B9000" s="3" t="s">
        <v>9028</v>
      </c>
      <c r="C9000" s="3" t="s">
        <v>252</v>
      </c>
      <c r="D9000" s="3">
        <v>125.0</v>
      </c>
      <c r="E9000" s="3">
        <v>2.53</v>
      </c>
      <c r="F9000" s="3">
        <v>25.2</v>
      </c>
      <c r="G9000" s="3">
        <v>0.2</v>
      </c>
    </row>
    <row r="9001">
      <c r="A9001" s="3">
        <v>782722.0</v>
      </c>
      <c r="B9001" s="3" t="s">
        <v>9029</v>
      </c>
      <c r="C9001" s="3" t="s">
        <v>252</v>
      </c>
      <c r="D9001" s="3">
        <v>206.0</v>
      </c>
      <c r="E9001" s="3">
        <v>7.93</v>
      </c>
      <c r="F9001" s="3">
        <v>21.04</v>
      </c>
      <c r="G9001" s="3">
        <v>12.52</v>
      </c>
    </row>
    <row r="9002">
      <c r="A9002" s="3">
        <v>782723.0</v>
      </c>
      <c r="B9002" s="3" t="s">
        <v>9030</v>
      </c>
      <c r="C9002" s="3" t="s">
        <v>252</v>
      </c>
      <c r="D9002" s="3">
        <v>198.0</v>
      </c>
      <c r="E9002" s="3">
        <v>7.05</v>
      </c>
      <c r="F9002" s="3">
        <v>21.05</v>
      </c>
      <c r="G9002" s="3">
        <v>12.5</v>
      </c>
    </row>
    <row r="9003">
      <c r="A9003" s="3">
        <v>782724.0</v>
      </c>
      <c r="B9003" s="3" t="s">
        <v>9031</v>
      </c>
      <c r="C9003" s="3" t="s">
        <v>252</v>
      </c>
      <c r="D9003" s="3">
        <v>188.0</v>
      </c>
      <c r="E9003" s="3">
        <v>5.83</v>
      </c>
      <c r="F9003" s="3">
        <v>21.0</v>
      </c>
      <c r="G9003" s="3">
        <v>12.55</v>
      </c>
    </row>
    <row r="9004">
      <c r="A9004" s="3">
        <v>782725.0</v>
      </c>
      <c r="B9004" s="3" t="s">
        <v>9032</v>
      </c>
      <c r="C9004" s="3" t="s">
        <v>252</v>
      </c>
      <c r="D9004" s="3">
        <v>164.0</v>
      </c>
      <c r="E9004" s="3">
        <v>2.43</v>
      </c>
      <c r="F9004" s="3">
        <v>22.0</v>
      </c>
      <c r="G9004" s="3">
        <v>13.1</v>
      </c>
    </row>
    <row r="9005">
      <c r="A9005" s="3">
        <v>782726.0</v>
      </c>
      <c r="B9005" s="3" t="s">
        <v>9033</v>
      </c>
      <c r="C9005" s="3" t="s">
        <v>252</v>
      </c>
      <c r="D9005" s="3">
        <v>166.0</v>
      </c>
      <c r="E9005" s="3">
        <v>2.73</v>
      </c>
      <c r="F9005" s="3">
        <v>21.94</v>
      </c>
      <c r="G9005" s="3">
        <v>13.14</v>
      </c>
    </row>
    <row r="9006">
      <c r="A9006" s="3">
        <v>782727.0</v>
      </c>
      <c r="B9006" s="3" t="s">
        <v>9034</v>
      </c>
      <c r="C9006" s="3" t="s">
        <v>252</v>
      </c>
      <c r="D9006" s="3">
        <v>226.0</v>
      </c>
      <c r="E9006" s="3">
        <v>11.78</v>
      </c>
      <c r="F9006" s="3">
        <v>20.14</v>
      </c>
      <c r="G9006" s="3">
        <v>9.85</v>
      </c>
    </row>
    <row r="9007">
      <c r="A9007" s="3">
        <v>782728.0</v>
      </c>
      <c r="B9007" s="3" t="s">
        <v>9035</v>
      </c>
      <c r="C9007" s="3" t="s">
        <v>252</v>
      </c>
      <c r="D9007" s="3">
        <v>212.0</v>
      </c>
      <c r="E9007" s="3">
        <v>10.13</v>
      </c>
      <c r="F9007" s="3">
        <v>20.21</v>
      </c>
      <c r="G9007" s="3">
        <v>9.86</v>
      </c>
    </row>
    <row r="9008">
      <c r="A9008" s="3">
        <v>782729.0</v>
      </c>
      <c r="B9008" s="3" t="s">
        <v>9036</v>
      </c>
      <c r="C9008" s="3" t="s">
        <v>252</v>
      </c>
      <c r="D9008" s="3">
        <v>195.0</v>
      </c>
      <c r="E9008" s="3">
        <v>8.28</v>
      </c>
      <c r="F9008" s="3">
        <v>20.15</v>
      </c>
      <c r="G9008" s="3">
        <v>9.93</v>
      </c>
    </row>
    <row r="9009">
      <c r="A9009" s="3">
        <v>782730.0</v>
      </c>
      <c r="B9009" s="3" t="s">
        <v>9037</v>
      </c>
      <c r="C9009" s="3" t="s">
        <v>252</v>
      </c>
      <c r="D9009" s="3">
        <v>175.0</v>
      </c>
      <c r="E9009" s="3">
        <v>3.61</v>
      </c>
      <c r="F9009" s="3">
        <v>23.7</v>
      </c>
      <c r="G9009" s="3">
        <v>11.6</v>
      </c>
    </row>
    <row r="9010">
      <c r="A9010" s="3">
        <v>782731.0</v>
      </c>
      <c r="B9010" s="3" t="s">
        <v>9038</v>
      </c>
      <c r="C9010" s="3" t="s">
        <v>252</v>
      </c>
      <c r="D9010" s="3">
        <v>178.0</v>
      </c>
      <c r="E9010" s="3">
        <v>3.91</v>
      </c>
      <c r="F9010" s="3">
        <v>23.63</v>
      </c>
      <c r="G9010" s="3">
        <v>11.64</v>
      </c>
    </row>
    <row r="9011">
      <c r="A9011" s="3">
        <v>782732.0</v>
      </c>
      <c r="B9011" s="3" t="s">
        <v>9039</v>
      </c>
      <c r="C9011" s="3" t="s">
        <v>252</v>
      </c>
      <c r="D9011" s="3">
        <v>121.0</v>
      </c>
      <c r="E9011" s="3">
        <v>2.14</v>
      </c>
      <c r="F9011" s="3">
        <v>25.25</v>
      </c>
      <c r="G9011" s="3">
        <v>0.0</v>
      </c>
    </row>
    <row r="9012">
      <c r="A9012" s="3">
        <v>782733.0</v>
      </c>
      <c r="B9012" s="3" t="s">
        <v>9040</v>
      </c>
      <c r="C9012" s="3" t="s">
        <v>252</v>
      </c>
      <c r="D9012" s="3">
        <v>214.0</v>
      </c>
      <c r="E9012" s="3">
        <v>10.97</v>
      </c>
      <c r="F9012" s="3">
        <v>17.62</v>
      </c>
      <c r="G9012" s="3">
        <v>10.21</v>
      </c>
    </row>
    <row r="9013">
      <c r="A9013" s="3">
        <v>782734.0</v>
      </c>
      <c r="B9013" s="3" t="s">
        <v>9041</v>
      </c>
      <c r="C9013" s="3" t="s">
        <v>252</v>
      </c>
      <c r="D9013" s="3">
        <v>92.0</v>
      </c>
      <c r="E9013" s="3">
        <v>0.38</v>
      </c>
      <c r="F9013" s="3">
        <v>20.62</v>
      </c>
      <c r="G9013" s="3">
        <v>0.0</v>
      </c>
    </row>
    <row r="9014">
      <c r="A9014" s="3">
        <v>782735.0</v>
      </c>
      <c r="B9014" s="3" t="s">
        <v>9042</v>
      </c>
      <c r="C9014" s="3" t="s">
        <v>252</v>
      </c>
      <c r="D9014" s="3">
        <v>222.0</v>
      </c>
      <c r="E9014" s="3">
        <v>11.63</v>
      </c>
      <c r="F9014" s="3">
        <v>16.3</v>
      </c>
      <c r="G9014" s="3">
        <v>12.16</v>
      </c>
    </row>
    <row r="9015">
      <c r="A9015" s="3">
        <v>782736.0</v>
      </c>
      <c r="B9015" s="3" t="s">
        <v>9043</v>
      </c>
      <c r="C9015" s="3" t="s">
        <v>252</v>
      </c>
      <c r="D9015" s="3">
        <v>163.0</v>
      </c>
      <c r="E9015" s="3">
        <v>2.07</v>
      </c>
      <c r="F9015" s="3">
        <v>29.62</v>
      </c>
      <c r="G9015" s="3">
        <v>4.37</v>
      </c>
    </row>
    <row r="9016">
      <c r="A9016" s="3">
        <v>782737.0</v>
      </c>
      <c r="B9016" s="3" t="s">
        <v>9044</v>
      </c>
      <c r="C9016" s="3" t="s">
        <v>252</v>
      </c>
      <c r="D9016" s="3">
        <v>311.0</v>
      </c>
      <c r="E9016" s="3">
        <v>3.94</v>
      </c>
      <c r="F9016" s="3">
        <v>56.52</v>
      </c>
      <c r="G9016" s="3">
        <v>8.34</v>
      </c>
    </row>
    <row r="9017">
      <c r="A9017" s="3">
        <v>782738.0</v>
      </c>
      <c r="B9017" s="3" t="s">
        <v>9045</v>
      </c>
      <c r="C9017" s="3" t="s">
        <v>252</v>
      </c>
      <c r="D9017" s="3">
        <v>163.0</v>
      </c>
      <c r="E9017" s="3">
        <v>2.07</v>
      </c>
      <c r="F9017" s="3">
        <v>29.69</v>
      </c>
      <c r="G9017" s="3">
        <v>4.38</v>
      </c>
    </row>
    <row r="9018">
      <c r="A9018" s="3">
        <v>782739.0</v>
      </c>
      <c r="B9018" s="3" t="s">
        <v>9046</v>
      </c>
      <c r="C9018" s="3" t="s">
        <v>252</v>
      </c>
      <c r="D9018" s="3">
        <v>164.0</v>
      </c>
      <c r="E9018" s="3">
        <v>2.08</v>
      </c>
      <c r="F9018" s="3">
        <v>29.82</v>
      </c>
      <c r="G9018" s="3">
        <v>4.4</v>
      </c>
    </row>
    <row r="9019">
      <c r="A9019" s="3">
        <v>782740.0</v>
      </c>
      <c r="B9019" s="3" t="s">
        <v>9047</v>
      </c>
      <c r="C9019" s="3" t="s">
        <v>252</v>
      </c>
      <c r="D9019" s="3">
        <v>208.0</v>
      </c>
      <c r="E9019" s="3">
        <v>11.53</v>
      </c>
      <c r="F9019" s="3">
        <v>27.31</v>
      </c>
      <c r="G9019" s="3">
        <v>1.93</v>
      </c>
    </row>
    <row r="9020">
      <c r="A9020" s="3">
        <v>782744.0</v>
      </c>
      <c r="B9020" s="3" t="s">
        <v>9048</v>
      </c>
      <c r="C9020" s="3" t="s">
        <v>252</v>
      </c>
      <c r="D9020" s="3">
        <v>142.0</v>
      </c>
      <c r="E9020" s="3">
        <v>5.23</v>
      </c>
      <c r="F9020" s="3">
        <v>18.59</v>
      </c>
      <c r="G9020" s="3">
        <v>3.77</v>
      </c>
    </row>
    <row r="9021">
      <c r="A9021" s="3">
        <v>782745.0</v>
      </c>
      <c r="B9021" s="3" t="s">
        <v>9049</v>
      </c>
      <c r="C9021" s="3" t="s">
        <v>252</v>
      </c>
      <c r="D9021" s="3">
        <v>113.0</v>
      </c>
      <c r="E9021" s="3">
        <v>1.7</v>
      </c>
      <c r="F9021" s="3">
        <v>19.14</v>
      </c>
      <c r="G9021" s="3">
        <v>3.88</v>
      </c>
    </row>
    <row r="9022">
      <c r="A9022" s="3">
        <v>782746.0</v>
      </c>
      <c r="B9022" s="3" t="s">
        <v>9050</v>
      </c>
      <c r="C9022" s="3" t="s">
        <v>252</v>
      </c>
      <c r="D9022" s="3">
        <v>198.0</v>
      </c>
      <c r="E9022" s="3">
        <v>7.44</v>
      </c>
      <c r="F9022" s="3">
        <v>16.42</v>
      </c>
      <c r="G9022" s="3">
        <v>15.01</v>
      </c>
    </row>
    <row r="9023">
      <c r="A9023" s="3">
        <v>782747.0</v>
      </c>
      <c r="B9023" s="3" t="s">
        <v>9051</v>
      </c>
      <c r="C9023" s="3" t="s">
        <v>252</v>
      </c>
      <c r="D9023" s="3">
        <v>156.0</v>
      </c>
      <c r="E9023" s="3">
        <v>2.06</v>
      </c>
      <c r="F9023" s="3">
        <v>17.17</v>
      </c>
      <c r="G9023" s="3">
        <v>15.7</v>
      </c>
    </row>
    <row r="9024">
      <c r="A9024" s="3">
        <v>782748.0</v>
      </c>
      <c r="B9024" s="3" t="s">
        <v>9052</v>
      </c>
      <c r="C9024" s="3" t="s">
        <v>252</v>
      </c>
      <c r="D9024" s="3">
        <v>231.0</v>
      </c>
      <c r="E9024" s="3">
        <v>11.93</v>
      </c>
      <c r="F9024" s="3">
        <v>16.89</v>
      </c>
      <c r="G9024" s="3">
        <v>12.94</v>
      </c>
    </row>
    <row r="9025">
      <c r="A9025" s="3">
        <v>782749.0</v>
      </c>
      <c r="B9025" s="3" t="s">
        <v>9053</v>
      </c>
      <c r="C9025" s="3" t="s">
        <v>252</v>
      </c>
      <c r="D9025" s="3">
        <v>183.0</v>
      </c>
      <c r="E9025" s="3">
        <v>2.75</v>
      </c>
      <c r="F9025" s="3">
        <v>31.02</v>
      </c>
      <c r="G9025" s="3">
        <v>6.13</v>
      </c>
    </row>
    <row r="9026">
      <c r="A9026" s="3">
        <v>782750.0</v>
      </c>
      <c r="B9026" s="3" t="s">
        <v>9054</v>
      </c>
      <c r="C9026" s="3" t="s">
        <v>252</v>
      </c>
      <c r="D9026" s="3">
        <v>348.0</v>
      </c>
      <c r="E9026" s="3">
        <v>5.22</v>
      </c>
      <c r="F9026" s="3">
        <v>58.94</v>
      </c>
      <c r="G9026" s="3">
        <v>11.65</v>
      </c>
    </row>
    <row r="9027">
      <c r="A9027" s="3">
        <v>782751.0</v>
      </c>
      <c r="B9027" s="3" t="s">
        <v>9055</v>
      </c>
      <c r="C9027" s="3" t="s">
        <v>252</v>
      </c>
      <c r="D9027" s="3">
        <v>93.0</v>
      </c>
      <c r="E9027" s="3">
        <v>1.32</v>
      </c>
      <c r="F9027" s="3">
        <v>14.93</v>
      </c>
      <c r="G9027" s="3">
        <v>2.96</v>
      </c>
    </row>
    <row r="9028">
      <c r="A9028" s="3">
        <v>782752.0</v>
      </c>
      <c r="B9028" s="3" t="s">
        <v>9056</v>
      </c>
      <c r="C9028" s="3" t="s">
        <v>252</v>
      </c>
      <c r="D9028" s="3">
        <v>106.0</v>
      </c>
      <c r="E9028" s="3">
        <v>1.59</v>
      </c>
      <c r="F9028" s="3">
        <v>17.9</v>
      </c>
      <c r="G9028" s="3">
        <v>3.54</v>
      </c>
    </row>
    <row r="9029">
      <c r="A9029" s="3">
        <v>782753.0</v>
      </c>
      <c r="B9029" s="3" t="s">
        <v>9057</v>
      </c>
      <c r="C9029" s="3" t="s">
        <v>252</v>
      </c>
      <c r="D9029" s="3">
        <v>138.0</v>
      </c>
      <c r="E9029" s="3">
        <v>4.18</v>
      </c>
      <c r="F9029" s="3">
        <v>23.62</v>
      </c>
      <c r="G9029" s="3">
        <v>0.09</v>
      </c>
    </row>
    <row r="9030">
      <c r="A9030" s="3">
        <v>782754.0</v>
      </c>
      <c r="B9030" s="3" t="s">
        <v>9058</v>
      </c>
      <c r="C9030" s="3" t="s">
        <v>252</v>
      </c>
      <c r="D9030" s="3">
        <v>157.0</v>
      </c>
      <c r="E9030" s="3">
        <v>4.49</v>
      </c>
      <c r="F9030" s="3">
        <v>20.4</v>
      </c>
      <c r="G9030" s="3">
        <v>7.26</v>
      </c>
    </row>
    <row r="9031">
      <c r="A9031" s="3">
        <v>782755.0</v>
      </c>
      <c r="B9031" s="3" t="s">
        <v>9059</v>
      </c>
      <c r="C9031" s="3" t="s">
        <v>252</v>
      </c>
      <c r="D9031" s="3">
        <v>242.0</v>
      </c>
      <c r="E9031" s="3">
        <v>11.38</v>
      </c>
      <c r="F9031" s="3">
        <v>18.24</v>
      </c>
      <c r="G9031" s="3">
        <v>15.53</v>
      </c>
    </row>
    <row r="9032">
      <c r="A9032" s="3">
        <v>782756.0</v>
      </c>
      <c r="B9032" s="3" t="s">
        <v>9060</v>
      </c>
      <c r="C9032" s="3" t="s">
        <v>252</v>
      </c>
      <c r="D9032" s="3">
        <v>209.0</v>
      </c>
      <c r="E9032" s="3">
        <v>1.51</v>
      </c>
      <c r="F9032" s="3">
        <v>34.05</v>
      </c>
      <c r="G9032" s="3">
        <v>11.97</v>
      </c>
    </row>
    <row r="9033">
      <c r="A9033" s="3">
        <v>782758.0</v>
      </c>
      <c r="B9033" s="3" t="s">
        <v>9061</v>
      </c>
      <c r="C9033" s="3" t="s">
        <v>252</v>
      </c>
      <c r="D9033" s="3">
        <v>135.0</v>
      </c>
      <c r="E9033" s="3">
        <v>4.73</v>
      </c>
      <c r="F9033" s="3">
        <v>17.5</v>
      </c>
      <c r="G9033" s="3">
        <v>4.35</v>
      </c>
    </row>
    <row r="9034">
      <c r="A9034" s="3">
        <v>782759.0</v>
      </c>
      <c r="B9034" s="3" t="s">
        <v>9062</v>
      </c>
      <c r="C9034" s="3" t="s">
        <v>252</v>
      </c>
      <c r="D9034" s="3">
        <v>135.0</v>
      </c>
      <c r="E9034" s="3">
        <v>4.73</v>
      </c>
      <c r="F9034" s="3">
        <v>17.5</v>
      </c>
      <c r="G9034" s="3">
        <v>4.35</v>
      </c>
    </row>
    <row r="9035">
      <c r="A9035" s="3">
        <v>782760.0</v>
      </c>
      <c r="B9035" s="3" t="s">
        <v>9063</v>
      </c>
      <c r="C9035" s="3" t="s">
        <v>252</v>
      </c>
      <c r="D9035" s="3">
        <v>106.0</v>
      </c>
      <c r="E9035" s="3">
        <v>1.18</v>
      </c>
      <c r="F9035" s="3">
        <v>18.02</v>
      </c>
      <c r="G9035" s="3">
        <v>4.48</v>
      </c>
    </row>
    <row r="9036">
      <c r="A9036" s="3">
        <v>782761.0</v>
      </c>
      <c r="B9036" s="3" t="s">
        <v>9064</v>
      </c>
      <c r="C9036" s="3" t="s">
        <v>252</v>
      </c>
      <c r="D9036" s="3">
        <v>192.0</v>
      </c>
      <c r="E9036" s="3">
        <v>7.06</v>
      </c>
      <c r="F9036" s="3">
        <v>15.59</v>
      </c>
      <c r="G9036" s="3">
        <v>15.46</v>
      </c>
    </row>
    <row r="9037">
      <c r="A9037" s="3">
        <v>782762.0</v>
      </c>
      <c r="B9037" s="3" t="s">
        <v>9065</v>
      </c>
      <c r="C9037" s="3" t="s">
        <v>252</v>
      </c>
      <c r="D9037" s="3">
        <v>150.0</v>
      </c>
      <c r="E9037" s="3">
        <v>1.66</v>
      </c>
      <c r="F9037" s="3">
        <v>16.3</v>
      </c>
      <c r="G9037" s="3">
        <v>16.17</v>
      </c>
    </row>
    <row r="9038">
      <c r="A9038" s="3">
        <v>782763.0</v>
      </c>
      <c r="B9038" s="3" t="s">
        <v>9066</v>
      </c>
      <c r="C9038" s="3" t="s">
        <v>252</v>
      </c>
      <c r="D9038" s="3">
        <v>226.0</v>
      </c>
      <c r="E9038" s="3">
        <v>11.56</v>
      </c>
      <c r="F9038" s="3">
        <v>16.09</v>
      </c>
      <c r="G9038" s="3">
        <v>13.37</v>
      </c>
    </row>
    <row r="9039">
      <c r="A9039" s="3">
        <v>782764.0</v>
      </c>
      <c r="B9039" s="3" t="s">
        <v>9067</v>
      </c>
      <c r="C9039" s="3" t="s">
        <v>252</v>
      </c>
      <c r="D9039" s="3">
        <v>171.0</v>
      </c>
      <c r="E9039" s="3">
        <v>1.91</v>
      </c>
      <c r="F9039" s="3">
        <v>29.21</v>
      </c>
      <c r="G9039" s="3">
        <v>7.11</v>
      </c>
    </row>
    <row r="9040">
      <c r="A9040" s="3">
        <v>782765.0</v>
      </c>
      <c r="B9040" s="3" t="s">
        <v>9068</v>
      </c>
      <c r="C9040" s="3" t="s">
        <v>252</v>
      </c>
      <c r="D9040" s="3">
        <v>108.0</v>
      </c>
      <c r="E9040" s="3">
        <v>1.2</v>
      </c>
      <c r="F9040" s="3">
        <v>18.34</v>
      </c>
      <c r="G9040" s="3">
        <v>4.46</v>
      </c>
    </row>
    <row r="9041">
      <c r="A9041" s="3">
        <v>782766.0</v>
      </c>
      <c r="B9041" s="3" t="s">
        <v>9069</v>
      </c>
      <c r="C9041" s="3" t="s">
        <v>252</v>
      </c>
      <c r="D9041" s="3">
        <v>192.0</v>
      </c>
      <c r="E9041" s="3">
        <v>11.82</v>
      </c>
      <c r="F9041" s="3">
        <v>16.64</v>
      </c>
      <c r="G9041" s="3">
        <v>4.05</v>
      </c>
    </row>
    <row r="9042">
      <c r="A9042" s="3">
        <v>782767.0</v>
      </c>
      <c r="B9042" s="3" t="s">
        <v>9070</v>
      </c>
      <c r="C9042" s="3" t="s">
        <v>252</v>
      </c>
      <c r="D9042" s="3">
        <v>82.0</v>
      </c>
      <c r="E9042" s="3">
        <v>0.74</v>
      </c>
      <c r="F9042" s="3">
        <v>17.76</v>
      </c>
      <c r="G9042" s="3">
        <v>0.0</v>
      </c>
    </row>
    <row r="9043">
      <c r="A9043" s="3">
        <v>782768.0</v>
      </c>
      <c r="B9043" s="3" t="s">
        <v>9071</v>
      </c>
      <c r="C9043" s="3" t="s">
        <v>252</v>
      </c>
      <c r="D9043" s="3">
        <v>131.0</v>
      </c>
      <c r="E9043" s="3">
        <v>4.47</v>
      </c>
      <c r="F9043" s="3">
        <v>21.33</v>
      </c>
      <c r="G9043" s="3">
        <v>0.09</v>
      </c>
    </row>
    <row r="9044">
      <c r="A9044" s="3">
        <v>782769.0</v>
      </c>
      <c r="B9044" s="3" t="s">
        <v>9072</v>
      </c>
      <c r="C9044" s="3" t="s">
        <v>252</v>
      </c>
      <c r="D9044" s="3">
        <v>102.0</v>
      </c>
      <c r="E9044" s="3">
        <v>0.91</v>
      </c>
      <c r="F9044" s="3">
        <v>21.96</v>
      </c>
      <c r="G9044" s="3">
        <v>0.1</v>
      </c>
    </row>
    <row r="9045">
      <c r="A9045" s="3">
        <v>782770.0</v>
      </c>
      <c r="B9045" s="3" t="s">
        <v>9073</v>
      </c>
      <c r="C9045" s="3" t="s">
        <v>252</v>
      </c>
      <c r="D9045" s="3">
        <v>189.0</v>
      </c>
      <c r="E9045" s="3">
        <v>6.86</v>
      </c>
      <c r="F9045" s="3">
        <v>18.51</v>
      </c>
      <c r="G9045" s="3">
        <v>12.21</v>
      </c>
    </row>
    <row r="9046">
      <c r="A9046" s="3">
        <v>782771.0</v>
      </c>
      <c r="B9046" s="3" t="s">
        <v>9074</v>
      </c>
      <c r="C9046" s="3" t="s">
        <v>252</v>
      </c>
      <c r="D9046" s="3">
        <v>147.0</v>
      </c>
      <c r="E9046" s="3">
        <v>1.45</v>
      </c>
      <c r="F9046" s="3">
        <v>19.36</v>
      </c>
      <c r="G9046" s="3">
        <v>12.77</v>
      </c>
    </row>
    <row r="9047">
      <c r="A9047" s="3">
        <v>782772.0</v>
      </c>
      <c r="B9047" s="3" t="s">
        <v>9075</v>
      </c>
      <c r="C9047" s="3" t="s">
        <v>252</v>
      </c>
      <c r="D9047" s="3">
        <v>82.0</v>
      </c>
      <c r="E9047" s="3">
        <v>0.74</v>
      </c>
      <c r="F9047" s="3">
        <v>17.76</v>
      </c>
      <c r="G9047" s="3">
        <v>0.0</v>
      </c>
    </row>
    <row r="9048">
      <c r="A9048" s="3">
        <v>782774.0</v>
      </c>
      <c r="B9048" s="3" t="s">
        <v>9076</v>
      </c>
      <c r="C9048" s="3" t="s">
        <v>252</v>
      </c>
      <c r="D9048" s="3">
        <v>223.0</v>
      </c>
      <c r="E9048" s="3">
        <v>11.36</v>
      </c>
      <c r="F9048" s="3">
        <v>18.93</v>
      </c>
      <c r="G9048" s="3">
        <v>10.21</v>
      </c>
    </row>
    <row r="9049">
      <c r="A9049" s="3">
        <v>782775.0</v>
      </c>
      <c r="B9049" s="3" t="s">
        <v>9077</v>
      </c>
      <c r="C9049" s="3" t="s">
        <v>252</v>
      </c>
      <c r="D9049" s="3">
        <v>218.0</v>
      </c>
      <c r="E9049" s="3">
        <v>11.55</v>
      </c>
      <c r="F9049" s="3">
        <v>17.24</v>
      </c>
      <c r="G9049" s="3">
        <v>10.21</v>
      </c>
    </row>
    <row r="9050">
      <c r="A9050" s="3">
        <v>782776.0</v>
      </c>
      <c r="B9050" s="3" t="s">
        <v>9078</v>
      </c>
      <c r="C9050" s="3" t="s">
        <v>252</v>
      </c>
      <c r="D9050" s="3">
        <v>81.0</v>
      </c>
      <c r="E9050" s="3">
        <v>1.19</v>
      </c>
      <c r="F9050" s="3">
        <v>16.66</v>
      </c>
      <c r="G9050" s="3">
        <v>0.0</v>
      </c>
    </row>
    <row r="9051">
      <c r="A9051" s="3">
        <v>782777.0</v>
      </c>
      <c r="B9051" s="3" t="s">
        <v>9079</v>
      </c>
      <c r="C9051" s="3" t="s">
        <v>252</v>
      </c>
      <c r="D9051" s="3">
        <v>88.0</v>
      </c>
      <c r="E9051" s="3">
        <v>0.85</v>
      </c>
      <c r="F9051" s="3">
        <v>18.88</v>
      </c>
      <c r="G9051" s="3">
        <v>0.0</v>
      </c>
    </row>
    <row r="9052">
      <c r="A9052" s="3">
        <v>782778.0</v>
      </c>
      <c r="B9052" s="3" t="s">
        <v>9080</v>
      </c>
      <c r="C9052" s="3" t="s">
        <v>252</v>
      </c>
      <c r="D9052" s="3">
        <v>124.0</v>
      </c>
      <c r="E9052" s="3">
        <v>4.48</v>
      </c>
      <c r="F9052" s="3">
        <v>19.71</v>
      </c>
      <c r="G9052" s="3">
        <v>0.09</v>
      </c>
    </row>
    <row r="9053">
      <c r="A9053" s="3">
        <v>782779.0</v>
      </c>
      <c r="B9053" s="3" t="s">
        <v>9081</v>
      </c>
      <c r="C9053" s="3" t="s">
        <v>252</v>
      </c>
      <c r="D9053" s="3">
        <v>95.0</v>
      </c>
      <c r="E9053" s="3">
        <v>0.92</v>
      </c>
      <c r="F9053" s="3">
        <v>20.29</v>
      </c>
      <c r="G9053" s="3">
        <v>0.1</v>
      </c>
    </row>
    <row r="9054">
      <c r="A9054" s="3">
        <v>782780.0</v>
      </c>
      <c r="B9054" s="3" t="s">
        <v>9082</v>
      </c>
      <c r="C9054" s="3" t="s">
        <v>252</v>
      </c>
      <c r="D9054" s="3">
        <v>218.0</v>
      </c>
      <c r="E9054" s="3">
        <v>11.37</v>
      </c>
      <c r="F9054" s="3">
        <v>17.72</v>
      </c>
      <c r="G9054" s="3">
        <v>10.21</v>
      </c>
    </row>
    <row r="9055">
      <c r="A9055" s="3">
        <v>782781.0</v>
      </c>
      <c r="B9055" s="3" t="s">
        <v>9083</v>
      </c>
      <c r="C9055" s="3" t="s">
        <v>252</v>
      </c>
      <c r="D9055" s="3">
        <v>88.0</v>
      </c>
      <c r="E9055" s="3">
        <v>0.85</v>
      </c>
      <c r="F9055" s="3">
        <v>18.88</v>
      </c>
      <c r="G9055" s="3">
        <v>0.0</v>
      </c>
    </row>
    <row r="9056">
      <c r="A9056" s="3">
        <v>782782.0</v>
      </c>
      <c r="B9056" s="3" t="s">
        <v>9084</v>
      </c>
      <c r="C9056" s="3" t="s">
        <v>252</v>
      </c>
      <c r="D9056" s="3">
        <v>184.0</v>
      </c>
      <c r="E9056" s="3">
        <v>6.87</v>
      </c>
      <c r="F9056" s="3">
        <v>17.27</v>
      </c>
      <c r="G9056" s="3">
        <v>12.21</v>
      </c>
    </row>
    <row r="9057">
      <c r="A9057" s="3">
        <v>782783.0</v>
      </c>
      <c r="B9057" s="3" t="s">
        <v>9085</v>
      </c>
      <c r="C9057" s="3" t="s">
        <v>252</v>
      </c>
      <c r="D9057" s="3">
        <v>142.0</v>
      </c>
      <c r="E9057" s="3">
        <v>1.46</v>
      </c>
      <c r="F9057" s="3">
        <v>18.07</v>
      </c>
      <c r="G9057" s="3">
        <v>12.77</v>
      </c>
    </row>
    <row r="9058">
      <c r="A9058" s="3">
        <v>782786.0</v>
      </c>
      <c r="B9058" s="3" t="s">
        <v>9086</v>
      </c>
      <c r="C9058" s="3" t="s">
        <v>252</v>
      </c>
      <c r="D9058" s="3">
        <v>171.0</v>
      </c>
      <c r="E9058" s="3">
        <v>4.46</v>
      </c>
      <c r="F9058" s="3">
        <v>23.7</v>
      </c>
      <c r="G9058" s="3">
        <v>7.35</v>
      </c>
    </row>
    <row r="9059">
      <c r="A9059" s="3">
        <v>782787.0</v>
      </c>
      <c r="B9059" s="3" t="s">
        <v>9087</v>
      </c>
      <c r="C9059" s="3" t="s">
        <v>252</v>
      </c>
      <c r="D9059" s="3">
        <v>171.0</v>
      </c>
      <c r="E9059" s="3">
        <v>4.46</v>
      </c>
      <c r="F9059" s="3">
        <v>23.7</v>
      </c>
      <c r="G9059" s="3">
        <v>7.35</v>
      </c>
    </row>
    <row r="9060">
      <c r="A9060" s="3">
        <v>782789.0</v>
      </c>
      <c r="B9060" s="3" t="s">
        <v>9088</v>
      </c>
      <c r="C9060" s="3" t="s">
        <v>252</v>
      </c>
      <c r="D9060" s="3">
        <v>195.0</v>
      </c>
      <c r="E9060" s="3">
        <v>12.22</v>
      </c>
      <c r="F9060" s="3">
        <v>8.16</v>
      </c>
      <c r="G9060" s="3">
        <v>12.62</v>
      </c>
    </row>
    <row r="9061">
      <c r="A9061" s="3">
        <v>782790.0</v>
      </c>
      <c r="B9061" s="3" t="s">
        <v>9089</v>
      </c>
      <c r="C9061" s="3" t="s">
        <v>252</v>
      </c>
      <c r="D9061" s="3">
        <v>93.0</v>
      </c>
      <c r="E9061" s="3">
        <v>5.62</v>
      </c>
      <c r="F9061" s="3">
        <v>6.82</v>
      </c>
      <c r="G9061" s="3">
        <v>3.34</v>
      </c>
    </row>
    <row r="9062">
      <c r="A9062" s="3">
        <v>782791.0</v>
      </c>
      <c r="B9062" s="3" t="s">
        <v>9090</v>
      </c>
      <c r="C9062" s="3" t="s">
        <v>252</v>
      </c>
      <c r="D9062" s="3">
        <v>63.0</v>
      </c>
      <c r="E9062" s="3">
        <v>2.1</v>
      </c>
      <c r="F9062" s="3">
        <v>7.02</v>
      </c>
      <c r="G9062" s="3">
        <v>3.44</v>
      </c>
    </row>
    <row r="9063">
      <c r="A9063" s="3">
        <v>782792.0</v>
      </c>
      <c r="B9063" s="3" t="s">
        <v>9091</v>
      </c>
      <c r="C9063" s="3" t="s">
        <v>252</v>
      </c>
      <c r="D9063" s="3">
        <v>102.0</v>
      </c>
      <c r="E9063" s="3">
        <v>3.4</v>
      </c>
      <c r="F9063" s="3">
        <v>11.37</v>
      </c>
      <c r="G9063" s="3">
        <v>5.42</v>
      </c>
    </row>
    <row r="9064">
      <c r="A9064" s="3">
        <v>782793.0</v>
      </c>
      <c r="B9064" s="3" t="s">
        <v>9092</v>
      </c>
      <c r="C9064" s="3" t="s">
        <v>252</v>
      </c>
      <c r="D9064" s="3">
        <v>195.0</v>
      </c>
      <c r="E9064" s="3">
        <v>12.22</v>
      </c>
      <c r="F9064" s="3">
        <v>8.16</v>
      </c>
      <c r="G9064" s="3">
        <v>12.62</v>
      </c>
    </row>
    <row r="9065">
      <c r="A9065" s="3">
        <v>782794.0</v>
      </c>
      <c r="B9065" s="3" t="s">
        <v>9093</v>
      </c>
      <c r="C9065" s="3" t="s">
        <v>252</v>
      </c>
      <c r="D9065" s="3">
        <v>160.0</v>
      </c>
      <c r="E9065" s="3">
        <v>7.74</v>
      </c>
      <c r="F9065" s="3">
        <v>7.43</v>
      </c>
      <c r="G9065" s="3">
        <v>14.69</v>
      </c>
    </row>
    <row r="9066">
      <c r="A9066" s="3">
        <v>782795.0</v>
      </c>
      <c r="B9066" s="3" t="s">
        <v>9094</v>
      </c>
      <c r="C9066" s="3" t="s">
        <v>252</v>
      </c>
      <c r="D9066" s="3">
        <v>117.0</v>
      </c>
      <c r="E9066" s="3">
        <v>2.38</v>
      </c>
      <c r="F9066" s="3">
        <v>7.77</v>
      </c>
      <c r="G9066" s="3">
        <v>15.36</v>
      </c>
    </row>
    <row r="9067">
      <c r="A9067" s="3">
        <v>782796.0</v>
      </c>
      <c r="B9067" s="3" t="s">
        <v>9095</v>
      </c>
      <c r="C9067" s="3" t="s">
        <v>252</v>
      </c>
      <c r="D9067" s="3">
        <v>74.0</v>
      </c>
      <c r="E9067" s="3">
        <v>2.68</v>
      </c>
      <c r="F9067" s="3">
        <v>7.67</v>
      </c>
      <c r="G9067" s="3">
        <v>4.25</v>
      </c>
    </row>
    <row r="9068">
      <c r="A9068" s="3">
        <v>782797.0</v>
      </c>
      <c r="B9068" s="3" t="s">
        <v>9096</v>
      </c>
      <c r="C9068" s="3" t="s">
        <v>252</v>
      </c>
      <c r="D9068" s="3">
        <v>82.0</v>
      </c>
      <c r="E9068" s="3">
        <v>2.76</v>
      </c>
      <c r="F9068" s="3">
        <v>9.2</v>
      </c>
      <c r="G9068" s="3">
        <v>4.38</v>
      </c>
    </row>
    <row r="9069">
      <c r="A9069" s="3">
        <v>782798.0</v>
      </c>
      <c r="B9069" s="3" t="s">
        <v>9097</v>
      </c>
      <c r="C9069" s="3" t="s">
        <v>252</v>
      </c>
      <c r="D9069" s="3">
        <v>114.0</v>
      </c>
      <c r="E9069" s="3">
        <v>4.17</v>
      </c>
      <c r="F9069" s="3">
        <v>14.39</v>
      </c>
      <c r="G9069" s="3">
        <v>3.89</v>
      </c>
    </row>
    <row r="9070">
      <c r="A9070" s="3">
        <v>782799.0</v>
      </c>
      <c r="B9070" s="3" t="s">
        <v>9098</v>
      </c>
      <c r="C9070" s="3" t="s">
        <v>252</v>
      </c>
      <c r="D9070" s="3">
        <v>114.0</v>
      </c>
      <c r="E9070" s="3">
        <v>4.17</v>
      </c>
      <c r="F9070" s="3">
        <v>14.39</v>
      </c>
      <c r="G9070" s="3">
        <v>3.89</v>
      </c>
    </row>
    <row r="9071">
      <c r="A9071" s="3">
        <v>782800.0</v>
      </c>
      <c r="B9071" s="3" t="s">
        <v>9099</v>
      </c>
      <c r="C9071" s="3" t="s">
        <v>252</v>
      </c>
      <c r="D9071" s="3">
        <v>85.0</v>
      </c>
      <c r="E9071" s="3">
        <v>0.6</v>
      </c>
      <c r="F9071" s="3">
        <v>14.81</v>
      </c>
      <c r="G9071" s="3">
        <v>4.0</v>
      </c>
    </row>
    <row r="9072">
      <c r="A9072" s="3">
        <v>782801.0</v>
      </c>
      <c r="B9072" s="3" t="s">
        <v>9100</v>
      </c>
      <c r="C9072" s="3" t="s">
        <v>252</v>
      </c>
      <c r="D9072" s="3">
        <v>137.0</v>
      </c>
      <c r="E9072" s="3">
        <v>0.98</v>
      </c>
      <c r="F9072" s="3">
        <v>24.01</v>
      </c>
      <c r="G9072" s="3">
        <v>6.33</v>
      </c>
    </row>
    <row r="9073">
      <c r="A9073" s="3">
        <v>782802.0</v>
      </c>
      <c r="B9073" s="3" t="s">
        <v>9101</v>
      </c>
      <c r="C9073" s="3" t="s">
        <v>252</v>
      </c>
      <c r="D9073" s="3">
        <v>211.0</v>
      </c>
      <c r="E9073" s="3">
        <v>11.14</v>
      </c>
      <c r="F9073" s="3">
        <v>13.78</v>
      </c>
      <c r="G9073" s="3">
        <v>13.03</v>
      </c>
    </row>
    <row r="9074">
      <c r="A9074" s="3">
        <v>782803.0</v>
      </c>
      <c r="B9074" s="3" t="s">
        <v>9102</v>
      </c>
      <c r="C9074" s="3" t="s">
        <v>252</v>
      </c>
      <c r="D9074" s="3">
        <v>177.0</v>
      </c>
      <c r="E9074" s="3">
        <v>6.63</v>
      </c>
      <c r="F9074" s="3">
        <v>13.21</v>
      </c>
      <c r="G9074" s="3">
        <v>15.1</v>
      </c>
    </row>
    <row r="9075">
      <c r="A9075" s="3">
        <v>782804.0</v>
      </c>
      <c r="B9075" s="3" t="s">
        <v>9103</v>
      </c>
      <c r="C9075" s="3" t="s">
        <v>252</v>
      </c>
      <c r="D9075" s="3">
        <v>134.0</v>
      </c>
      <c r="E9075" s="3">
        <v>1.22</v>
      </c>
      <c r="F9075" s="3">
        <v>13.82</v>
      </c>
      <c r="G9075" s="3">
        <v>15.8</v>
      </c>
    </row>
    <row r="9076">
      <c r="A9076" s="3">
        <v>782805.0</v>
      </c>
      <c r="B9076" s="3" t="s">
        <v>9104</v>
      </c>
      <c r="C9076" s="3" t="s">
        <v>252</v>
      </c>
      <c r="D9076" s="3">
        <v>212.0</v>
      </c>
      <c r="E9076" s="3">
        <v>11.6</v>
      </c>
      <c r="F9076" s="3">
        <v>15.15</v>
      </c>
      <c r="G9076" s="3">
        <v>11.02</v>
      </c>
    </row>
    <row r="9077">
      <c r="A9077" s="3">
        <v>782806.0</v>
      </c>
      <c r="B9077" s="3" t="s">
        <v>9105</v>
      </c>
      <c r="C9077" s="3" t="s">
        <v>252</v>
      </c>
      <c r="D9077" s="3">
        <v>117.0</v>
      </c>
      <c r="E9077" s="3">
        <v>4.79</v>
      </c>
      <c r="F9077" s="3">
        <v>16.24</v>
      </c>
      <c r="G9077" s="3">
        <v>1.18</v>
      </c>
    </row>
    <row r="9078">
      <c r="A9078" s="3">
        <v>782807.0</v>
      </c>
      <c r="B9078" s="3" t="s">
        <v>9106</v>
      </c>
      <c r="C9078" s="3" t="s">
        <v>252</v>
      </c>
      <c r="D9078" s="3">
        <v>112.0</v>
      </c>
      <c r="E9078" s="3">
        <v>4.23</v>
      </c>
      <c r="F9078" s="3">
        <v>16.25</v>
      </c>
      <c r="G9078" s="3">
        <v>1.18</v>
      </c>
    </row>
    <row r="9079">
      <c r="A9079" s="3">
        <v>782808.0</v>
      </c>
      <c r="B9079" s="3" t="s">
        <v>9107</v>
      </c>
      <c r="C9079" s="3" t="s">
        <v>252</v>
      </c>
      <c r="D9079" s="3">
        <v>105.0</v>
      </c>
      <c r="E9079" s="3">
        <v>3.45</v>
      </c>
      <c r="F9079" s="3">
        <v>16.22</v>
      </c>
      <c r="G9079" s="3">
        <v>1.21</v>
      </c>
    </row>
    <row r="9080">
      <c r="A9080" s="3">
        <v>782809.0</v>
      </c>
      <c r="B9080" s="3" t="s">
        <v>9108</v>
      </c>
      <c r="C9080" s="3" t="s">
        <v>252</v>
      </c>
      <c r="D9080" s="3">
        <v>87.0</v>
      </c>
      <c r="E9080" s="3">
        <v>1.24</v>
      </c>
      <c r="F9080" s="3">
        <v>16.72</v>
      </c>
      <c r="G9080" s="3">
        <v>1.21</v>
      </c>
    </row>
    <row r="9081">
      <c r="A9081" s="3">
        <v>782810.0</v>
      </c>
      <c r="B9081" s="3" t="s">
        <v>9109</v>
      </c>
      <c r="C9081" s="3" t="s">
        <v>252</v>
      </c>
      <c r="D9081" s="3">
        <v>91.0</v>
      </c>
      <c r="E9081" s="3">
        <v>1.62</v>
      </c>
      <c r="F9081" s="3">
        <v>16.65</v>
      </c>
      <c r="G9081" s="3">
        <v>1.31</v>
      </c>
    </row>
    <row r="9082">
      <c r="A9082" s="3">
        <v>782811.0</v>
      </c>
      <c r="B9082" s="3" t="s">
        <v>9110</v>
      </c>
      <c r="C9082" s="3" t="s">
        <v>252</v>
      </c>
      <c r="D9082" s="3">
        <v>91.0</v>
      </c>
      <c r="E9082" s="3">
        <v>1.29</v>
      </c>
      <c r="F9082" s="3">
        <v>17.37</v>
      </c>
      <c r="G9082" s="3">
        <v>1.16</v>
      </c>
    </row>
    <row r="9083">
      <c r="A9083" s="3">
        <v>782812.0</v>
      </c>
      <c r="B9083" s="3" t="s">
        <v>9111</v>
      </c>
      <c r="C9083" s="3" t="s">
        <v>252</v>
      </c>
      <c r="D9083" s="3">
        <v>212.0</v>
      </c>
      <c r="E9083" s="3">
        <v>11.6</v>
      </c>
      <c r="F9083" s="3">
        <v>15.15</v>
      </c>
      <c r="G9083" s="3">
        <v>11.02</v>
      </c>
    </row>
    <row r="9084">
      <c r="A9084" s="3">
        <v>782813.0</v>
      </c>
      <c r="B9084" s="3" t="s">
        <v>9112</v>
      </c>
      <c r="C9084" s="3" t="s">
        <v>252</v>
      </c>
      <c r="D9084" s="3">
        <v>197.0</v>
      </c>
      <c r="E9084" s="3">
        <v>9.89</v>
      </c>
      <c r="F9084" s="3">
        <v>15.22</v>
      </c>
      <c r="G9084" s="3">
        <v>11.02</v>
      </c>
    </row>
    <row r="9085">
      <c r="A9085" s="3">
        <v>782814.0</v>
      </c>
      <c r="B9085" s="3" t="s">
        <v>9113</v>
      </c>
      <c r="C9085" s="3" t="s">
        <v>252</v>
      </c>
      <c r="D9085" s="3">
        <v>181.0</v>
      </c>
      <c r="E9085" s="3">
        <v>7.97</v>
      </c>
      <c r="F9085" s="3">
        <v>15.16</v>
      </c>
      <c r="G9085" s="3">
        <v>11.1</v>
      </c>
    </row>
    <row r="9086">
      <c r="A9086" s="3">
        <v>782815.0</v>
      </c>
      <c r="B9086" s="3" t="s">
        <v>9114</v>
      </c>
      <c r="C9086" s="3" t="s">
        <v>252</v>
      </c>
      <c r="D9086" s="3">
        <v>147.0</v>
      </c>
      <c r="E9086" s="3">
        <v>2.84</v>
      </c>
      <c r="F9086" s="3">
        <v>16.77</v>
      </c>
      <c r="G9086" s="3">
        <v>12.2</v>
      </c>
    </row>
    <row r="9087">
      <c r="A9087" s="3">
        <v>782816.0</v>
      </c>
      <c r="B9087" s="3" t="s">
        <v>9115</v>
      </c>
      <c r="C9087" s="3" t="s">
        <v>252</v>
      </c>
      <c r="D9087" s="3">
        <v>149.0</v>
      </c>
      <c r="E9087" s="3">
        <v>3.14</v>
      </c>
      <c r="F9087" s="3">
        <v>16.72</v>
      </c>
      <c r="G9087" s="3">
        <v>12.24</v>
      </c>
    </row>
    <row r="9088">
      <c r="A9088" s="3">
        <v>782818.0</v>
      </c>
      <c r="B9088" s="3" t="s">
        <v>9116</v>
      </c>
      <c r="C9088" s="3" t="s">
        <v>252</v>
      </c>
      <c r="D9088" s="3">
        <v>178.0</v>
      </c>
      <c r="E9088" s="3">
        <v>7.11</v>
      </c>
      <c r="F9088" s="3">
        <v>14.62</v>
      </c>
      <c r="G9088" s="3">
        <v>13.04</v>
      </c>
    </row>
    <row r="9089">
      <c r="A9089" s="3">
        <v>782819.0</v>
      </c>
      <c r="B9089" s="3" t="s">
        <v>9117</v>
      </c>
      <c r="C9089" s="3" t="s">
        <v>252</v>
      </c>
      <c r="D9089" s="3">
        <v>170.0</v>
      </c>
      <c r="E9089" s="3">
        <v>6.24</v>
      </c>
      <c r="F9089" s="3">
        <v>14.65</v>
      </c>
      <c r="G9089" s="3">
        <v>13.02</v>
      </c>
    </row>
    <row r="9090">
      <c r="A9090" s="3">
        <v>782820.0</v>
      </c>
      <c r="B9090" s="3" t="s">
        <v>9118</v>
      </c>
      <c r="C9090" s="3" t="s">
        <v>252</v>
      </c>
      <c r="D9090" s="3">
        <v>160.0</v>
      </c>
      <c r="E9090" s="3">
        <v>5.06</v>
      </c>
      <c r="F9090" s="3">
        <v>14.6</v>
      </c>
      <c r="G9090" s="3">
        <v>13.06</v>
      </c>
    </row>
    <row r="9091">
      <c r="A9091" s="3">
        <v>782821.0</v>
      </c>
      <c r="B9091" s="3" t="s">
        <v>9119</v>
      </c>
      <c r="C9091" s="3" t="s">
        <v>252</v>
      </c>
      <c r="D9091" s="3">
        <v>136.0</v>
      </c>
      <c r="E9091" s="3">
        <v>1.71</v>
      </c>
      <c r="F9091" s="3">
        <v>15.29</v>
      </c>
      <c r="G9091" s="3">
        <v>13.64</v>
      </c>
    </row>
    <row r="9092">
      <c r="A9092" s="3">
        <v>782822.0</v>
      </c>
      <c r="B9092" s="3" t="s">
        <v>9120</v>
      </c>
      <c r="C9092" s="3" t="s">
        <v>252</v>
      </c>
      <c r="D9092" s="3">
        <v>138.0</v>
      </c>
      <c r="E9092" s="3">
        <v>2.0</v>
      </c>
      <c r="F9092" s="3">
        <v>15.25</v>
      </c>
      <c r="G9092" s="3">
        <v>13.67</v>
      </c>
    </row>
    <row r="9093">
      <c r="A9093" s="3">
        <v>782823.0</v>
      </c>
      <c r="B9093" s="3" t="s">
        <v>9121</v>
      </c>
      <c r="C9093" s="3" t="s">
        <v>252</v>
      </c>
      <c r="D9093" s="3">
        <v>253.0</v>
      </c>
      <c r="E9093" s="3">
        <v>3.44</v>
      </c>
      <c r="F9093" s="3">
        <v>51.7</v>
      </c>
      <c r="G9093" s="3">
        <v>0.0</v>
      </c>
    </row>
    <row r="9094">
      <c r="A9094" s="3">
        <v>782825.0</v>
      </c>
      <c r="B9094" s="3" t="s">
        <v>9122</v>
      </c>
      <c r="C9094" s="3" t="s">
        <v>252</v>
      </c>
      <c r="D9094" s="3">
        <v>139.0</v>
      </c>
      <c r="E9094" s="3">
        <v>5.26</v>
      </c>
      <c r="F9094" s="3">
        <v>19.21</v>
      </c>
      <c r="G9094" s="3">
        <v>2.48</v>
      </c>
    </row>
    <row r="9095">
      <c r="A9095" s="3">
        <v>782826.0</v>
      </c>
      <c r="B9095" s="3" t="s">
        <v>9123</v>
      </c>
      <c r="C9095" s="3" t="s">
        <v>189</v>
      </c>
      <c r="D9095" s="3">
        <v>149.0</v>
      </c>
      <c r="E9095" s="3">
        <v>6.36</v>
      </c>
      <c r="F9095" s="3">
        <v>21.72</v>
      </c>
      <c r="G9095" s="3">
        <v>1.58</v>
      </c>
    </row>
    <row r="9096">
      <c r="A9096" s="3">
        <v>782827.0</v>
      </c>
      <c r="B9096" s="3" t="s">
        <v>9124</v>
      </c>
      <c r="C9096" s="3" t="s">
        <v>189</v>
      </c>
      <c r="D9096" s="3">
        <v>102.0</v>
      </c>
      <c r="E9096" s="3">
        <v>3.78</v>
      </c>
      <c r="F9096" s="3">
        <v>13.69</v>
      </c>
      <c r="G9096" s="3">
        <v>2.79</v>
      </c>
    </row>
    <row r="9097">
      <c r="A9097" s="3">
        <v>782828.0</v>
      </c>
      <c r="B9097" s="3" t="s">
        <v>9125</v>
      </c>
      <c r="C9097" s="3" t="s">
        <v>189</v>
      </c>
      <c r="D9097" s="3">
        <v>146.0</v>
      </c>
      <c r="E9097" s="3">
        <v>5.94</v>
      </c>
      <c r="F9097" s="3">
        <v>18.5</v>
      </c>
      <c r="G9097" s="3">
        <v>4.06</v>
      </c>
    </row>
    <row r="9098">
      <c r="A9098" s="3">
        <v>782829.0</v>
      </c>
      <c r="B9098" s="3" t="s">
        <v>9126</v>
      </c>
      <c r="C9098" s="3" t="s">
        <v>189</v>
      </c>
      <c r="D9098" s="3">
        <v>115.0</v>
      </c>
      <c r="E9098" s="3">
        <v>4.39</v>
      </c>
      <c r="F9098" s="3">
        <v>14.8</v>
      </c>
      <c r="G9098" s="3">
        <v>3.33</v>
      </c>
    </row>
    <row r="9099">
      <c r="A9099" s="3">
        <v>782830.0</v>
      </c>
      <c r="B9099" s="3" t="s">
        <v>9127</v>
      </c>
      <c r="C9099" s="3" t="s">
        <v>189</v>
      </c>
      <c r="D9099" s="3">
        <v>97.0</v>
      </c>
      <c r="E9099" s="3">
        <v>3.34</v>
      </c>
      <c r="F9099" s="3">
        <v>11.66</v>
      </c>
      <c r="G9099" s="3">
        <v>5.23</v>
      </c>
    </row>
    <row r="9100">
      <c r="A9100" s="3">
        <v>782831.0</v>
      </c>
      <c r="B9100" s="3" t="s">
        <v>9128</v>
      </c>
      <c r="C9100" s="3" t="s">
        <v>189</v>
      </c>
      <c r="D9100" s="3">
        <v>98.0</v>
      </c>
      <c r="E9100" s="3">
        <v>4.21</v>
      </c>
      <c r="F9100" s="3">
        <v>8.05</v>
      </c>
      <c r="G9100" s="3">
        <v>7.22</v>
      </c>
    </row>
    <row r="9101">
      <c r="A9101" s="3">
        <v>782833.0</v>
      </c>
      <c r="B9101" s="3" t="s">
        <v>9129</v>
      </c>
      <c r="C9101" s="3" t="s">
        <v>189</v>
      </c>
      <c r="D9101" s="3">
        <v>98.0</v>
      </c>
      <c r="E9101" s="3">
        <v>4.21</v>
      </c>
      <c r="F9101" s="3">
        <v>8.05</v>
      </c>
      <c r="G9101" s="3">
        <v>7.21</v>
      </c>
    </row>
    <row r="9102">
      <c r="A9102" s="3">
        <v>782835.0</v>
      </c>
      <c r="B9102" s="3" t="s">
        <v>9130</v>
      </c>
      <c r="C9102" s="3" t="s">
        <v>189</v>
      </c>
      <c r="D9102" s="3">
        <v>104.0</v>
      </c>
      <c r="E9102" s="3">
        <v>3.81</v>
      </c>
      <c r="F9102" s="3">
        <v>6.88</v>
      </c>
      <c r="G9102" s="3">
        <v>10.71</v>
      </c>
    </row>
    <row r="9103">
      <c r="A9103" s="3">
        <v>782837.0</v>
      </c>
      <c r="B9103" s="3" t="s">
        <v>9131</v>
      </c>
      <c r="C9103" s="3" t="s">
        <v>189</v>
      </c>
      <c r="D9103" s="3">
        <v>123.0</v>
      </c>
      <c r="E9103" s="3">
        <v>5.03</v>
      </c>
      <c r="F9103" s="3">
        <v>6.69</v>
      </c>
      <c r="G9103" s="3">
        <v>12.58</v>
      </c>
    </row>
    <row r="9104">
      <c r="A9104" s="3">
        <v>782838.0</v>
      </c>
      <c r="B9104" s="3" t="s">
        <v>9132</v>
      </c>
      <c r="C9104" s="3" t="s">
        <v>189</v>
      </c>
      <c r="D9104" s="3">
        <v>123.0</v>
      </c>
      <c r="E9104" s="3">
        <v>5.03</v>
      </c>
      <c r="F9104" s="3">
        <v>6.69</v>
      </c>
      <c r="G9104" s="3">
        <v>12.58</v>
      </c>
    </row>
    <row r="9105">
      <c r="A9105" s="3">
        <v>782839.0</v>
      </c>
      <c r="B9105" s="3" t="s">
        <v>9133</v>
      </c>
      <c r="C9105" s="3" t="s">
        <v>189</v>
      </c>
      <c r="D9105" s="3">
        <v>138.0</v>
      </c>
      <c r="E9105" s="3">
        <v>6.77</v>
      </c>
      <c r="F9105" s="3">
        <v>10.78</v>
      </c>
      <c r="G9105" s="3">
        <v>8.75</v>
      </c>
    </row>
    <row r="9106">
      <c r="A9106" s="3">
        <v>782840.0</v>
      </c>
      <c r="B9106" s="3" t="s">
        <v>9134</v>
      </c>
      <c r="C9106" s="3" t="s">
        <v>189</v>
      </c>
      <c r="D9106" s="3">
        <v>156.0</v>
      </c>
      <c r="E9106" s="3">
        <v>7.05</v>
      </c>
      <c r="F9106" s="3">
        <v>21.56</v>
      </c>
      <c r="G9106" s="3">
        <v>1.58</v>
      </c>
    </row>
    <row r="9107">
      <c r="A9107" s="3">
        <v>782842.0</v>
      </c>
      <c r="B9107" s="3" t="s">
        <v>9135</v>
      </c>
      <c r="C9107" s="3" t="s">
        <v>189</v>
      </c>
      <c r="D9107" s="3">
        <v>186.0</v>
      </c>
      <c r="E9107" s="3">
        <v>9.44</v>
      </c>
      <c r="F9107" s="3">
        <v>22.5</v>
      </c>
      <c r="G9107" s="3">
        <v>2.74</v>
      </c>
    </row>
    <row r="9108">
      <c r="A9108" s="3">
        <v>782843.0</v>
      </c>
      <c r="B9108" s="3" t="s">
        <v>9136</v>
      </c>
      <c r="C9108" s="3" t="s">
        <v>189</v>
      </c>
      <c r="D9108" s="3">
        <v>149.0</v>
      </c>
      <c r="E9108" s="3">
        <v>9.45</v>
      </c>
      <c r="F9108" s="3">
        <v>9.98</v>
      </c>
      <c r="G9108" s="3">
        <v>6.0</v>
      </c>
    </row>
    <row r="9109">
      <c r="A9109" s="3">
        <v>782844.0</v>
      </c>
      <c r="B9109" s="3" t="s">
        <v>9137</v>
      </c>
      <c r="C9109" s="3" t="s">
        <v>189</v>
      </c>
      <c r="D9109" s="3">
        <v>131.0</v>
      </c>
      <c r="E9109" s="3">
        <v>7.95</v>
      </c>
      <c r="F9109" s="3">
        <v>7.57</v>
      </c>
      <c r="G9109" s="3">
        <v>7.55</v>
      </c>
    </row>
    <row r="9110">
      <c r="A9110" s="3">
        <v>782845.0</v>
      </c>
      <c r="B9110" s="3" t="s">
        <v>9138</v>
      </c>
      <c r="C9110" s="3" t="s">
        <v>189</v>
      </c>
      <c r="D9110" s="3">
        <v>170.0</v>
      </c>
      <c r="E9110" s="3">
        <v>9.88</v>
      </c>
      <c r="F9110" s="3">
        <v>12.43</v>
      </c>
      <c r="G9110" s="3">
        <v>7.22</v>
      </c>
    </row>
    <row r="9111">
      <c r="A9111" s="3">
        <v>782846.0</v>
      </c>
      <c r="B9111" s="3" t="s">
        <v>9139</v>
      </c>
      <c r="C9111" s="3" t="s">
        <v>189</v>
      </c>
      <c r="D9111" s="3">
        <v>163.0</v>
      </c>
      <c r="E9111" s="3">
        <v>7.53</v>
      </c>
      <c r="F9111" s="3">
        <v>21.96</v>
      </c>
      <c r="G9111" s="3">
        <v>1.84</v>
      </c>
    </row>
    <row r="9112">
      <c r="A9112" s="3">
        <v>782847.0</v>
      </c>
      <c r="B9112" s="3" t="s">
        <v>9140</v>
      </c>
      <c r="C9112" s="3" t="s">
        <v>1464</v>
      </c>
      <c r="D9112" s="3">
        <v>184.0</v>
      </c>
      <c r="E9112" s="3">
        <v>12.21</v>
      </c>
      <c r="F9112" s="3">
        <v>15.83</v>
      </c>
      <c r="G9112" s="3">
        <v>3.37</v>
      </c>
    </row>
    <row r="9113">
      <c r="A9113" s="3">
        <v>782848.0</v>
      </c>
      <c r="B9113" s="3" t="s">
        <v>9141</v>
      </c>
      <c r="C9113" s="3" t="s">
        <v>1464</v>
      </c>
      <c r="D9113" s="3">
        <v>198.0</v>
      </c>
      <c r="E9113" s="3">
        <v>8.25</v>
      </c>
      <c r="F9113" s="3">
        <v>28.86</v>
      </c>
      <c r="G9113" s="3">
        <v>1.94</v>
      </c>
    </row>
    <row r="9114">
      <c r="A9114" s="3">
        <v>782849.0</v>
      </c>
      <c r="B9114" s="3" t="s">
        <v>9142</v>
      </c>
      <c r="C9114" s="3" t="s">
        <v>189</v>
      </c>
      <c r="D9114" s="3">
        <v>104.0</v>
      </c>
      <c r="E9114" s="3">
        <v>5.93</v>
      </c>
      <c r="F9114" s="3">
        <v>6.28</v>
      </c>
      <c r="G9114" s="3">
        <v>6.83</v>
      </c>
    </row>
    <row r="9115">
      <c r="A9115" s="3">
        <v>782850.0</v>
      </c>
      <c r="B9115" s="3" t="s">
        <v>9143</v>
      </c>
      <c r="C9115" s="3" t="s">
        <v>189</v>
      </c>
      <c r="D9115" s="3">
        <v>187.0</v>
      </c>
      <c r="E9115" s="3">
        <v>6.23</v>
      </c>
      <c r="F9115" s="3">
        <v>20.86</v>
      </c>
      <c r="G9115" s="3">
        <v>11.75</v>
      </c>
    </row>
    <row r="9116">
      <c r="A9116" s="3">
        <v>782851.0</v>
      </c>
      <c r="B9116" s="3" t="s">
        <v>9144</v>
      </c>
      <c r="C9116" s="3" t="s">
        <v>1464</v>
      </c>
      <c r="D9116" s="3">
        <v>183.0</v>
      </c>
      <c r="E9116" s="3">
        <v>8.24</v>
      </c>
      <c r="F9116" s="3">
        <v>11.6</v>
      </c>
      <c r="G9116" s="3">
        <v>16.28</v>
      </c>
    </row>
    <row r="9117">
      <c r="A9117" s="3">
        <v>782852.0</v>
      </c>
      <c r="B9117" s="3" t="s">
        <v>9145</v>
      </c>
      <c r="C9117" s="3" t="s">
        <v>189</v>
      </c>
      <c r="D9117" s="3">
        <v>194.0</v>
      </c>
      <c r="E9117" s="3">
        <v>14.58</v>
      </c>
      <c r="F9117" s="3">
        <v>13.5</v>
      </c>
      <c r="G9117" s="3">
        <v>1.31</v>
      </c>
    </row>
    <row r="9118">
      <c r="A9118" s="3">
        <v>782853.0</v>
      </c>
      <c r="B9118" s="3" t="s">
        <v>9146</v>
      </c>
      <c r="C9118" s="3" t="s">
        <v>189</v>
      </c>
      <c r="D9118" s="3">
        <v>197.0</v>
      </c>
      <c r="E9118" s="3">
        <v>13.84</v>
      </c>
      <c r="F9118" s="3">
        <v>15.67</v>
      </c>
      <c r="G9118" s="3">
        <v>1.56</v>
      </c>
    </row>
    <row r="9119">
      <c r="A9119" s="3">
        <v>782854.0</v>
      </c>
      <c r="B9119" s="3" t="s">
        <v>9147</v>
      </c>
      <c r="C9119" s="3" t="s">
        <v>189</v>
      </c>
      <c r="D9119" s="3">
        <v>239.0</v>
      </c>
      <c r="E9119" s="3">
        <v>17.19</v>
      </c>
      <c r="F9119" s="3">
        <v>13.82</v>
      </c>
      <c r="G9119" s="3">
        <v>6.87</v>
      </c>
    </row>
    <row r="9120">
      <c r="A9120" s="3">
        <v>782855.0</v>
      </c>
      <c r="B9120" s="3" t="s">
        <v>9148</v>
      </c>
      <c r="C9120" s="3" t="s">
        <v>189</v>
      </c>
      <c r="D9120" s="3">
        <v>296.0</v>
      </c>
      <c r="E9120" s="3">
        <v>25.29</v>
      </c>
      <c r="F9120" s="3">
        <v>13.12</v>
      </c>
      <c r="G9120" s="3">
        <v>3.92</v>
      </c>
    </row>
    <row r="9121">
      <c r="A9121" s="3">
        <v>782856.0</v>
      </c>
      <c r="B9121" s="3" t="s">
        <v>9149</v>
      </c>
      <c r="C9121" s="3" t="s">
        <v>189</v>
      </c>
      <c r="D9121" s="3">
        <v>253.0</v>
      </c>
      <c r="E9121" s="3">
        <v>18.76</v>
      </c>
      <c r="F9121" s="3">
        <v>17.74</v>
      </c>
      <c r="G9121" s="3">
        <v>3.89</v>
      </c>
    </row>
    <row r="9122">
      <c r="A9122" s="3">
        <v>782857.0</v>
      </c>
      <c r="B9122" s="3" t="s">
        <v>9150</v>
      </c>
      <c r="C9122" s="3" t="s">
        <v>189</v>
      </c>
      <c r="D9122" s="3">
        <v>253.0</v>
      </c>
      <c r="E9122" s="3">
        <v>18.84</v>
      </c>
      <c r="F9122" s="3">
        <v>18.64</v>
      </c>
      <c r="G9122" s="3">
        <v>1.2</v>
      </c>
    </row>
    <row r="9123">
      <c r="A9123" s="3">
        <v>782858.0</v>
      </c>
      <c r="B9123" s="3" t="s">
        <v>9151</v>
      </c>
      <c r="C9123" s="3" t="s">
        <v>189</v>
      </c>
      <c r="D9123" s="3">
        <v>232.0</v>
      </c>
      <c r="E9123" s="3">
        <v>17.34</v>
      </c>
      <c r="F9123" s="3">
        <v>16.54</v>
      </c>
      <c r="G9123" s="3">
        <v>1.89</v>
      </c>
    </row>
    <row r="9124">
      <c r="A9124" s="3">
        <v>782859.0</v>
      </c>
      <c r="B9124" s="3" t="s">
        <v>9152</v>
      </c>
      <c r="C9124" s="3" t="s">
        <v>189</v>
      </c>
      <c r="D9124" s="3">
        <v>160.0</v>
      </c>
      <c r="E9124" s="3">
        <v>7.49</v>
      </c>
      <c r="F9124" s="3">
        <v>20.15</v>
      </c>
      <c r="G9124" s="3">
        <v>1.58</v>
      </c>
    </row>
    <row r="9125">
      <c r="A9125" s="3">
        <v>782860.0</v>
      </c>
      <c r="B9125" s="3" t="s">
        <v>9153</v>
      </c>
      <c r="C9125" s="3" t="s">
        <v>189</v>
      </c>
      <c r="D9125" s="3">
        <v>205.0</v>
      </c>
      <c r="E9125" s="3">
        <v>7.19</v>
      </c>
      <c r="F9125" s="3">
        <v>21.04</v>
      </c>
      <c r="G9125" s="3">
        <v>12.69</v>
      </c>
    </row>
    <row r="9126">
      <c r="A9126" s="3">
        <v>782861.0</v>
      </c>
      <c r="B9126" s="3" t="s">
        <v>9154</v>
      </c>
      <c r="C9126" s="3" t="s">
        <v>1464</v>
      </c>
      <c r="D9126" s="3">
        <v>194.0</v>
      </c>
      <c r="E9126" s="3">
        <v>8.31</v>
      </c>
      <c r="F9126" s="3">
        <v>11.6</v>
      </c>
      <c r="G9126" s="3">
        <v>18.09</v>
      </c>
    </row>
    <row r="9127">
      <c r="A9127" s="3">
        <v>782862.0</v>
      </c>
      <c r="B9127" s="3" t="s">
        <v>9155</v>
      </c>
      <c r="C9127" s="3" t="s">
        <v>189</v>
      </c>
      <c r="D9127" s="3">
        <v>130.0</v>
      </c>
      <c r="E9127" s="3">
        <v>9.04</v>
      </c>
      <c r="F9127" s="3">
        <v>7.52</v>
      </c>
      <c r="G9127" s="3">
        <v>4.97</v>
      </c>
    </row>
    <row r="9128">
      <c r="A9128" s="3">
        <v>782863.0</v>
      </c>
      <c r="B9128" s="3" t="s">
        <v>9156</v>
      </c>
      <c r="C9128" s="3" t="s">
        <v>189</v>
      </c>
      <c r="D9128" s="3">
        <v>166.0</v>
      </c>
      <c r="E9128" s="3">
        <v>7.97</v>
      </c>
      <c r="F9128" s="3">
        <v>20.54</v>
      </c>
      <c r="G9128" s="3">
        <v>1.84</v>
      </c>
    </row>
    <row r="9129">
      <c r="A9129" s="3">
        <v>782864.0</v>
      </c>
      <c r="B9129" s="3" t="s">
        <v>9157</v>
      </c>
      <c r="C9129" s="3" t="s">
        <v>189</v>
      </c>
      <c r="D9129" s="3">
        <v>153.0</v>
      </c>
      <c r="E9129" s="3">
        <v>6.8</v>
      </c>
      <c r="F9129" s="3">
        <v>20.3</v>
      </c>
      <c r="G9129" s="3">
        <v>1.59</v>
      </c>
    </row>
    <row r="9130">
      <c r="A9130" s="3">
        <v>782865.0</v>
      </c>
      <c r="B9130" s="3" t="s">
        <v>9158</v>
      </c>
      <c r="C9130" s="3" t="s">
        <v>189</v>
      </c>
      <c r="D9130" s="3">
        <v>234.0</v>
      </c>
      <c r="E9130" s="3">
        <v>19.09</v>
      </c>
      <c r="F9130" s="3">
        <v>13.28</v>
      </c>
      <c r="G9130" s="3">
        <v>2.58</v>
      </c>
    </row>
    <row r="9131">
      <c r="A9131" s="3">
        <v>782866.0</v>
      </c>
      <c r="B9131" s="3" t="s">
        <v>9159</v>
      </c>
      <c r="C9131" s="3" t="s">
        <v>189</v>
      </c>
      <c r="D9131" s="3">
        <v>163.0</v>
      </c>
      <c r="E9131" s="3">
        <v>11.96</v>
      </c>
      <c r="F9131" s="3">
        <v>6.67</v>
      </c>
      <c r="G9131" s="3">
        <v>7.31</v>
      </c>
    </row>
    <row r="9132">
      <c r="A9132" s="3">
        <v>782867.0</v>
      </c>
      <c r="B9132" s="3" t="s">
        <v>9160</v>
      </c>
      <c r="C9132" s="3" t="s">
        <v>189</v>
      </c>
      <c r="D9132" s="3">
        <v>112.0</v>
      </c>
      <c r="E9132" s="3">
        <v>4.27</v>
      </c>
      <c r="F9132" s="3">
        <v>14.31</v>
      </c>
      <c r="G9132" s="3">
        <v>3.33</v>
      </c>
    </row>
    <row r="9133">
      <c r="A9133" s="3">
        <v>782868.0</v>
      </c>
      <c r="B9133" s="3" t="s">
        <v>9161</v>
      </c>
      <c r="C9133" s="3" t="s">
        <v>1464</v>
      </c>
      <c r="D9133" s="3">
        <v>187.0</v>
      </c>
      <c r="E9133" s="3">
        <v>12.52</v>
      </c>
      <c r="F9133" s="3">
        <v>14.84</v>
      </c>
      <c r="G9133" s="3">
        <v>3.37</v>
      </c>
    </row>
    <row r="9134">
      <c r="A9134" s="3">
        <v>782869.0</v>
      </c>
      <c r="B9134" s="3" t="s">
        <v>9162</v>
      </c>
      <c r="C9134" s="3" t="s">
        <v>189</v>
      </c>
      <c r="D9134" s="3">
        <v>89.0</v>
      </c>
      <c r="E9134" s="3">
        <v>4.32</v>
      </c>
      <c r="F9134" s="3">
        <v>6.17</v>
      </c>
      <c r="G9134" s="3">
        <v>6.64</v>
      </c>
    </row>
    <row r="9135">
      <c r="A9135" s="3">
        <v>782870.0</v>
      </c>
      <c r="B9135" s="3" t="s">
        <v>9163</v>
      </c>
      <c r="C9135" s="3" t="s">
        <v>189</v>
      </c>
      <c r="D9135" s="3">
        <v>213.0</v>
      </c>
      <c r="E9135" s="3">
        <v>15.77</v>
      </c>
      <c r="F9135" s="3">
        <v>8.86</v>
      </c>
      <c r="G9135" s="3">
        <v>8.4</v>
      </c>
    </row>
    <row r="9136">
      <c r="A9136" s="3">
        <v>782871.0</v>
      </c>
      <c r="B9136" s="3" t="s">
        <v>9164</v>
      </c>
      <c r="C9136" s="3" t="s">
        <v>189</v>
      </c>
      <c r="D9136" s="3">
        <v>238.0</v>
      </c>
      <c r="E9136" s="3">
        <v>20.71</v>
      </c>
      <c r="F9136" s="3">
        <v>8.94</v>
      </c>
      <c r="G9136" s="3">
        <v>3.77</v>
      </c>
    </row>
    <row r="9137">
      <c r="A9137" s="3">
        <v>782872.0</v>
      </c>
      <c r="B9137" s="3" t="s">
        <v>9165</v>
      </c>
      <c r="C9137" s="3" t="s">
        <v>189</v>
      </c>
      <c r="D9137" s="3">
        <v>97.0</v>
      </c>
      <c r="E9137" s="3">
        <v>4.02</v>
      </c>
      <c r="F9137" s="3">
        <v>11.75</v>
      </c>
      <c r="G9137" s="3">
        <v>3.03</v>
      </c>
    </row>
    <row r="9138">
      <c r="A9138" s="3">
        <v>782873.0</v>
      </c>
      <c r="B9138" s="3" t="s">
        <v>9166</v>
      </c>
      <c r="C9138" s="3" t="s">
        <v>189</v>
      </c>
      <c r="D9138" s="3">
        <v>197.0</v>
      </c>
      <c r="E9138" s="3">
        <v>12.48</v>
      </c>
      <c r="F9138" s="3">
        <v>17.94</v>
      </c>
      <c r="G9138" s="3">
        <v>2.77</v>
      </c>
    </row>
    <row r="9139">
      <c r="A9139" s="3">
        <v>782874.0</v>
      </c>
      <c r="B9139" s="3" t="s">
        <v>9167</v>
      </c>
      <c r="C9139" s="3" t="s">
        <v>189</v>
      </c>
      <c r="D9139" s="3">
        <v>106.0</v>
      </c>
      <c r="E9139" s="3">
        <v>5.12</v>
      </c>
      <c r="F9139" s="3">
        <v>8.07</v>
      </c>
      <c r="G9139" s="3">
        <v>7.2</v>
      </c>
    </row>
    <row r="9140">
      <c r="A9140" s="3">
        <v>782875.0</v>
      </c>
      <c r="B9140" s="3" t="s">
        <v>9168</v>
      </c>
      <c r="C9140" s="3" t="s">
        <v>189</v>
      </c>
      <c r="D9140" s="3">
        <v>219.0</v>
      </c>
      <c r="E9140" s="3">
        <v>15.37</v>
      </c>
      <c r="F9140" s="3">
        <v>17.29</v>
      </c>
      <c r="G9140" s="3">
        <v>1.58</v>
      </c>
    </row>
    <row r="9141">
      <c r="A9141" s="3">
        <v>782876.0</v>
      </c>
      <c r="B9141" s="3" t="s">
        <v>9169</v>
      </c>
      <c r="C9141" s="3" t="s">
        <v>189</v>
      </c>
      <c r="D9141" s="3">
        <v>124.0</v>
      </c>
      <c r="E9141" s="3">
        <v>6.38</v>
      </c>
      <c r="F9141" s="3">
        <v>13.07</v>
      </c>
      <c r="G9141" s="3">
        <v>3.1</v>
      </c>
    </row>
    <row r="9142">
      <c r="A9142" s="3">
        <v>782877.0</v>
      </c>
      <c r="B9142" s="3" t="s">
        <v>9170</v>
      </c>
      <c r="C9142" s="3" t="s">
        <v>189</v>
      </c>
      <c r="D9142" s="3">
        <v>94.0</v>
      </c>
      <c r="E9142" s="3">
        <v>5.58</v>
      </c>
      <c r="F9142" s="3">
        <v>4.48</v>
      </c>
      <c r="G9142" s="3">
        <v>7.05</v>
      </c>
    </row>
    <row r="9143">
      <c r="A9143" s="3">
        <v>782878.0</v>
      </c>
      <c r="B9143" s="3" t="s">
        <v>9171</v>
      </c>
      <c r="C9143" s="3" t="s">
        <v>189</v>
      </c>
      <c r="D9143" s="3">
        <v>260.0</v>
      </c>
      <c r="E9143" s="3">
        <v>17.71</v>
      </c>
      <c r="F9143" s="3">
        <v>22.39</v>
      </c>
      <c r="G9143" s="3">
        <v>2.0</v>
      </c>
    </row>
    <row r="9144">
      <c r="A9144" s="3">
        <v>782879.0</v>
      </c>
      <c r="B9144" s="3" t="s">
        <v>9172</v>
      </c>
      <c r="C9144" s="3" t="s">
        <v>189</v>
      </c>
      <c r="D9144" s="3">
        <v>161.0</v>
      </c>
      <c r="E9144" s="3">
        <v>5.19</v>
      </c>
      <c r="F9144" s="3">
        <v>25.4</v>
      </c>
      <c r="G9144" s="3">
        <v>1.58</v>
      </c>
    </row>
    <row r="9145">
      <c r="A9145" s="3">
        <v>782880.0</v>
      </c>
      <c r="B9145" s="3" t="s">
        <v>9173</v>
      </c>
      <c r="C9145" s="3" t="s">
        <v>189</v>
      </c>
      <c r="D9145" s="3">
        <v>240.0</v>
      </c>
      <c r="E9145" s="3">
        <v>17.57</v>
      </c>
      <c r="F9145" s="3">
        <v>18.39</v>
      </c>
      <c r="G9145" s="3">
        <v>1.54</v>
      </c>
    </row>
    <row r="9146">
      <c r="A9146" s="3">
        <v>782881.0</v>
      </c>
      <c r="B9146" s="3" t="s">
        <v>9174</v>
      </c>
      <c r="C9146" s="3" t="s">
        <v>189</v>
      </c>
      <c r="D9146" s="3">
        <v>191.0</v>
      </c>
      <c r="E9146" s="3">
        <v>7.58</v>
      </c>
      <c r="F9146" s="3">
        <v>26.33</v>
      </c>
      <c r="G9146" s="3">
        <v>2.74</v>
      </c>
    </row>
    <row r="9147">
      <c r="A9147" s="3">
        <v>782882.0</v>
      </c>
      <c r="B9147" s="3" t="s">
        <v>9175</v>
      </c>
      <c r="C9147" s="3" t="s">
        <v>189</v>
      </c>
      <c r="D9147" s="3">
        <v>152.0</v>
      </c>
      <c r="E9147" s="3">
        <v>9.34</v>
      </c>
      <c r="F9147" s="3">
        <v>15.07</v>
      </c>
      <c r="G9147" s="3">
        <v>1.49</v>
      </c>
    </row>
    <row r="9148">
      <c r="A9148" s="3">
        <v>782883.0</v>
      </c>
      <c r="B9148" s="3" t="s">
        <v>9176</v>
      </c>
      <c r="C9148" s="3" t="s">
        <v>189</v>
      </c>
      <c r="D9148" s="3">
        <v>172.0</v>
      </c>
      <c r="E9148" s="3">
        <v>8.56</v>
      </c>
      <c r="F9148" s="3">
        <v>16.5</v>
      </c>
      <c r="G9148" s="3">
        <v>6.64</v>
      </c>
    </row>
    <row r="9149">
      <c r="A9149" s="3">
        <v>782884.0</v>
      </c>
      <c r="B9149" s="3" t="s">
        <v>9177</v>
      </c>
      <c r="C9149" s="3" t="s">
        <v>189</v>
      </c>
      <c r="D9149" s="3">
        <v>203.0</v>
      </c>
      <c r="E9149" s="3">
        <v>12.04</v>
      </c>
      <c r="F9149" s="3">
        <v>15.14</v>
      </c>
      <c r="G9149" s="3">
        <v>8.04</v>
      </c>
    </row>
    <row r="9150">
      <c r="A9150" s="3">
        <v>782885.0</v>
      </c>
      <c r="B9150" s="3" t="s">
        <v>9178</v>
      </c>
      <c r="C9150" s="3" t="s">
        <v>189</v>
      </c>
      <c r="D9150" s="3">
        <v>259.0</v>
      </c>
      <c r="E9150" s="3">
        <v>14.82</v>
      </c>
      <c r="F9150" s="3">
        <v>20.68</v>
      </c>
      <c r="G9150" s="3">
        <v>9.61</v>
      </c>
    </row>
    <row r="9151">
      <c r="A9151" s="3">
        <v>782886.0</v>
      </c>
      <c r="B9151" s="3" t="s">
        <v>9179</v>
      </c>
      <c r="C9151" s="3" t="s">
        <v>189</v>
      </c>
      <c r="D9151" s="3">
        <v>140.0</v>
      </c>
      <c r="E9151" s="3">
        <v>2.84</v>
      </c>
      <c r="F9151" s="3">
        <v>25.64</v>
      </c>
      <c r="G9151" s="3">
        <v>1.59</v>
      </c>
    </row>
    <row r="9152">
      <c r="A9152" s="3">
        <v>782887.0</v>
      </c>
      <c r="B9152" s="3" t="s">
        <v>9180</v>
      </c>
      <c r="C9152" s="3" t="s">
        <v>189</v>
      </c>
      <c r="D9152" s="3">
        <v>147.0</v>
      </c>
      <c r="E9152" s="3">
        <v>3.53</v>
      </c>
      <c r="F9152" s="3">
        <v>25.48</v>
      </c>
      <c r="G9152" s="3">
        <v>1.58</v>
      </c>
    </row>
    <row r="9153">
      <c r="A9153" s="3">
        <v>782888.0</v>
      </c>
      <c r="B9153" s="3" t="s">
        <v>9181</v>
      </c>
      <c r="C9153" s="3" t="s">
        <v>189</v>
      </c>
      <c r="D9153" s="3">
        <v>84.0</v>
      </c>
      <c r="E9153" s="3">
        <v>2.19</v>
      </c>
      <c r="F9153" s="3">
        <v>8.3</v>
      </c>
      <c r="G9153" s="3">
        <v>8.06</v>
      </c>
    </row>
    <row r="9154">
      <c r="A9154" s="3">
        <v>782889.0</v>
      </c>
      <c r="B9154" s="3" t="s">
        <v>9182</v>
      </c>
      <c r="C9154" s="3" t="s">
        <v>189</v>
      </c>
      <c r="D9154" s="3">
        <v>184.0</v>
      </c>
      <c r="E9154" s="3">
        <v>10.52</v>
      </c>
      <c r="F9154" s="3">
        <v>17.14</v>
      </c>
      <c r="G9154" s="3">
        <v>4.64</v>
      </c>
    </row>
    <row r="9155">
      <c r="A9155" s="3">
        <v>782890.0</v>
      </c>
      <c r="B9155" s="3" t="s">
        <v>9183</v>
      </c>
      <c r="C9155" s="3" t="s">
        <v>225</v>
      </c>
      <c r="D9155" s="3">
        <v>73.0</v>
      </c>
      <c r="E9155" s="3">
        <v>2.61</v>
      </c>
      <c r="F9155" s="3">
        <v>6.3</v>
      </c>
      <c r="G9155" s="3">
        <v>6.04</v>
      </c>
    </row>
    <row r="9156">
      <c r="A9156" s="3">
        <v>782891.0</v>
      </c>
      <c r="B9156" s="3" t="s">
        <v>9184</v>
      </c>
      <c r="C9156" s="3" t="s">
        <v>225</v>
      </c>
      <c r="D9156" s="3">
        <v>68.0</v>
      </c>
      <c r="E9156" s="3">
        <v>2.37</v>
      </c>
      <c r="F9156" s="3">
        <v>6.3</v>
      </c>
      <c r="G9156" s="3">
        <v>5.57</v>
      </c>
    </row>
    <row r="9157">
      <c r="A9157" s="3">
        <v>782892.0</v>
      </c>
      <c r="B9157" s="3" t="s">
        <v>9185</v>
      </c>
      <c r="C9157" s="3" t="s">
        <v>189</v>
      </c>
      <c r="D9157" s="3">
        <v>120.0</v>
      </c>
      <c r="E9157" s="3">
        <v>7.06</v>
      </c>
      <c r="F9157" s="3">
        <v>11.98</v>
      </c>
      <c r="G9157" s="3">
        <v>2.46</v>
      </c>
    </row>
    <row r="9158">
      <c r="A9158" s="3">
        <v>782893.0</v>
      </c>
      <c r="B9158" s="3" t="s">
        <v>9186</v>
      </c>
      <c r="C9158" s="3" t="s">
        <v>189</v>
      </c>
      <c r="D9158" s="3">
        <v>84.0</v>
      </c>
      <c r="E9158" s="3">
        <v>2.67</v>
      </c>
      <c r="F9158" s="3">
        <v>8.42</v>
      </c>
      <c r="G9158" s="3">
        <v>7.36</v>
      </c>
    </row>
    <row r="9159">
      <c r="A9159" s="3">
        <v>782894.0</v>
      </c>
      <c r="B9159" s="3" t="s">
        <v>9187</v>
      </c>
      <c r="C9159" s="3" t="s">
        <v>189</v>
      </c>
      <c r="D9159" s="3">
        <v>129.0</v>
      </c>
      <c r="E9159" s="3">
        <v>5.21</v>
      </c>
      <c r="F9159" s="3">
        <v>18.88</v>
      </c>
      <c r="G9159" s="3">
        <v>1.58</v>
      </c>
    </row>
    <row r="9160">
      <c r="A9160" s="3">
        <v>782895.0</v>
      </c>
      <c r="B9160" s="3" t="s">
        <v>9188</v>
      </c>
      <c r="C9160" s="3" t="s">
        <v>189</v>
      </c>
      <c r="D9160" s="3">
        <v>121.0</v>
      </c>
      <c r="E9160" s="3">
        <v>7.14</v>
      </c>
      <c r="F9160" s="3">
        <v>10.65</v>
      </c>
      <c r="G9160" s="3">
        <v>3.5</v>
      </c>
    </row>
    <row r="9161">
      <c r="A9161" s="3">
        <v>782896.0</v>
      </c>
      <c r="B9161" s="3" t="s">
        <v>9189</v>
      </c>
      <c r="C9161" s="3" t="s">
        <v>189</v>
      </c>
      <c r="D9161" s="3">
        <v>125.0</v>
      </c>
      <c r="E9161" s="3">
        <v>3.46</v>
      </c>
      <c r="F9161" s="3">
        <v>20.46</v>
      </c>
      <c r="G9161" s="3">
        <v>1.58</v>
      </c>
    </row>
    <row r="9162">
      <c r="A9162" s="3">
        <v>782897.0</v>
      </c>
      <c r="B9162" s="3" t="s">
        <v>9190</v>
      </c>
      <c r="C9162" s="3" t="s">
        <v>189</v>
      </c>
      <c r="D9162" s="3">
        <v>158.0</v>
      </c>
      <c r="E9162" s="3">
        <v>7.61</v>
      </c>
      <c r="F9162" s="3">
        <v>19.82</v>
      </c>
      <c r="G9162" s="3">
        <v>2.74</v>
      </c>
    </row>
    <row r="9163">
      <c r="A9163" s="3">
        <v>782898.0</v>
      </c>
      <c r="B9163" s="3" t="s">
        <v>9191</v>
      </c>
      <c r="C9163" s="3" t="s">
        <v>189</v>
      </c>
      <c r="D9163" s="3">
        <v>135.0</v>
      </c>
      <c r="E9163" s="3">
        <v>5.7</v>
      </c>
      <c r="F9163" s="3">
        <v>19.28</v>
      </c>
      <c r="G9163" s="3">
        <v>1.84</v>
      </c>
    </row>
    <row r="9164">
      <c r="A9164" s="3">
        <v>782899.0</v>
      </c>
      <c r="B9164" s="3" t="s">
        <v>9192</v>
      </c>
      <c r="C9164" s="3" t="s">
        <v>1464</v>
      </c>
      <c r="D9164" s="3">
        <v>163.0</v>
      </c>
      <c r="E9164" s="3">
        <v>5.96</v>
      </c>
      <c r="F9164" s="3">
        <v>25.73</v>
      </c>
      <c r="G9164" s="3">
        <v>1.62</v>
      </c>
    </row>
    <row r="9165">
      <c r="A9165" s="3">
        <v>782900.0</v>
      </c>
      <c r="B9165" s="3" t="s">
        <v>9193</v>
      </c>
      <c r="C9165" s="3" t="s">
        <v>189</v>
      </c>
      <c r="D9165" s="3">
        <v>167.0</v>
      </c>
      <c r="E9165" s="3">
        <v>4.64</v>
      </c>
      <c r="F9165" s="3">
        <v>19.0</v>
      </c>
      <c r="G9165" s="3">
        <v>12.23</v>
      </c>
    </row>
    <row r="9166">
      <c r="A9166" s="3">
        <v>782903.0</v>
      </c>
      <c r="B9166" s="3" t="s">
        <v>9194</v>
      </c>
      <c r="C9166" s="3" t="s">
        <v>189</v>
      </c>
      <c r="D9166" s="3">
        <v>82.0</v>
      </c>
      <c r="E9166" s="3">
        <v>3.85</v>
      </c>
      <c r="F9166" s="3">
        <v>5.73</v>
      </c>
      <c r="G9166" s="3">
        <v>6.67</v>
      </c>
    </row>
    <row r="9167">
      <c r="A9167" s="3">
        <v>782904.0</v>
      </c>
      <c r="B9167" s="3" t="s">
        <v>9195</v>
      </c>
      <c r="C9167" s="3" t="s">
        <v>189</v>
      </c>
      <c r="D9167" s="3">
        <v>157.0</v>
      </c>
      <c r="E9167" s="3">
        <v>7.51</v>
      </c>
      <c r="F9167" s="3">
        <v>19.54</v>
      </c>
      <c r="G9167" s="3">
        <v>3.45</v>
      </c>
    </row>
    <row r="9168">
      <c r="A9168" s="3">
        <v>782905.0</v>
      </c>
      <c r="B9168" s="3" t="s">
        <v>9196</v>
      </c>
      <c r="C9168" s="3" t="s">
        <v>189</v>
      </c>
      <c r="D9168" s="3">
        <v>173.0</v>
      </c>
      <c r="E9168" s="3">
        <v>8.9</v>
      </c>
      <c r="F9168" s="3">
        <v>21.77</v>
      </c>
      <c r="G9168" s="3">
        <v>1.64</v>
      </c>
    </row>
    <row r="9169">
      <c r="A9169" s="3">
        <v>782906.0</v>
      </c>
      <c r="B9169" s="3" t="s">
        <v>9197</v>
      </c>
      <c r="C9169" s="3" t="s">
        <v>189</v>
      </c>
      <c r="D9169" s="3">
        <v>216.0</v>
      </c>
      <c r="E9169" s="3">
        <v>9.57</v>
      </c>
      <c r="F9169" s="3">
        <v>22.62</v>
      </c>
      <c r="G9169" s="3">
        <v>9.61</v>
      </c>
    </row>
    <row r="9170">
      <c r="A9170" s="3">
        <v>782907.0</v>
      </c>
      <c r="B9170" s="3" t="s">
        <v>9198</v>
      </c>
      <c r="C9170" s="3" t="s">
        <v>189</v>
      </c>
      <c r="D9170" s="3">
        <v>174.0</v>
      </c>
      <c r="E9170" s="3">
        <v>8.45</v>
      </c>
      <c r="F9170" s="3">
        <v>16.06</v>
      </c>
      <c r="G9170" s="3">
        <v>8.01</v>
      </c>
    </row>
    <row r="9171">
      <c r="A9171" s="3">
        <v>782910.0</v>
      </c>
      <c r="B9171" s="3" t="s">
        <v>9199</v>
      </c>
      <c r="C9171" s="3" t="s">
        <v>189</v>
      </c>
      <c r="D9171" s="3">
        <v>253.0</v>
      </c>
      <c r="E9171" s="3">
        <v>13.1</v>
      </c>
      <c r="F9171" s="3">
        <v>28.0</v>
      </c>
      <c r="G9171" s="3">
        <v>4.25</v>
      </c>
    </row>
    <row r="9172">
      <c r="A9172" s="3">
        <v>782911.0</v>
      </c>
      <c r="B9172" s="3" t="s">
        <v>9200</v>
      </c>
      <c r="C9172" s="3" t="s">
        <v>189</v>
      </c>
      <c r="D9172" s="3">
        <v>234.0</v>
      </c>
      <c r="E9172" s="3">
        <v>10.43</v>
      </c>
      <c r="F9172" s="3">
        <v>28.07</v>
      </c>
      <c r="G9172" s="3">
        <v>6.53</v>
      </c>
    </row>
    <row r="9173">
      <c r="A9173" s="3">
        <v>782912.0</v>
      </c>
      <c r="B9173" s="3" t="s">
        <v>9201</v>
      </c>
      <c r="C9173" s="3" t="s">
        <v>252</v>
      </c>
      <c r="D9173" s="3">
        <v>117.0</v>
      </c>
      <c r="E9173" s="3">
        <v>3.77</v>
      </c>
      <c r="F9173" s="3">
        <v>17.05</v>
      </c>
      <c r="G9173" s="3">
        <v>2.74</v>
      </c>
    </row>
    <row r="9174">
      <c r="A9174" s="3">
        <v>782913.0</v>
      </c>
      <c r="B9174" s="3" t="s">
        <v>9202</v>
      </c>
      <c r="C9174" s="3" t="s">
        <v>252</v>
      </c>
      <c r="D9174" s="3">
        <v>187.0</v>
      </c>
      <c r="E9174" s="3">
        <v>9.62</v>
      </c>
      <c r="F9174" s="3">
        <v>11.92</v>
      </c>
      <c r="G9174" s="3">
        <v>13.28</v>
      </c>
    </row>
    <row r="9175">
      <c r="A9175" s="3">
        <v>782914.0</v>
      </c>
      <c r="B9175" s="3" t="s">
        <v>9203</v>
      </c>
      <c r="C9175" s="3" t="s">
        <v>252</v>
      </c>
      <c r="D9175" s="3">
        <v>137.0</v>
      </c>
      <c r="E9175" s="3">
        <v>7.32</v>
      </c>
      <c r="F9175" s="3">
        <v>13.94</v>
      </c>
      <c r="G9175" s="3">
        <v>3.22</v>
      </c>
    </row>
    <row r="9176">
      <c r="A9176" s="3">
        <v>782915.0</v>
      </c>
      <c r="B9176" s="3" t="s">
        <v>9204</v>
      </c>
      <c r="C9176" s="3" t="s">
        <v>252</v>
      </c>
      <c r="D9176" s="3">
        <v>148.0</v>
      </c>
      <c r="E9176" s="3">
        <v>10.97</v>
      </c>
      <c r="F9176" s="3">
        <v>10.22</v>
      </c>
      <c r="G9176" s="3">
        <v>1.75</v>
      </c>
    </row>
    <row r="9177">
      <c r="A9177" s="3">
        <v>782916.0</v>
      </c>
      <c r="B9177" s="3" t="s">
        <v>9205</v>
      </c>
      <c r="C9177" s="3" t="s">
        <v>252</v>
      </c>
      <c r="D9177" s="3">
        <v>241.0</v>
      </c>
      <c r="E9177" s="3">
        <v>20.14</v>
      </c>
      <c r="F9177" s="3">
        <v>11.61</v>
      </c>
      <c r="G9177" s="3">
        <v>3.59</v>
      </c>
    </row>
    <row r="9178">
      <c r="A9178" s="3">
        <v>782917.0</v>
      </c>
      <c r="B9178" s="3" t="s">
        <v>9206</v>
      </c>
      <c r="C9178" s="3" t="s">
        <v>252</v>
      </c>
      <c r="D9178" s="3">
        <v>159.0</v>
      </c>
      <c r="E9178" s="3">
        <v>9.78</v>
      </c>
      <c r="F9178" s="3">
        <v>16.98</v>
      </c>
      <c r="G9178" s="3">
        <v>0.01</v>
      </c>
    </row>
    <row r="9179">
      <c r="A9179" s="3">
        <v>782918.0</v>
      </c>
      <c r="B9179" s="3" t="s">
        <v>9207</v>
      </c>
      <c r="C9179" s="3" t="s">
        <v>252</v>
      </c>
      <c r="D9179" s="3">
        <v>75.0</v>
      </c>
      <c r="E9179" s="3">
        <v>3.15</v>
      </c>
      <c r="F9179" s="3">
        <v>5.0</v>
      </c>
      <c r="G9179" s="3">
        <v>7.14</v>
      </c>
    </row>
    <row r="9180">
      <c r="A9180" s="3">
        <v>782919.0</v>
      </c>
      <c r="B9180" s="3" t="s">
        <v>9208</v>
      </c>
      <c r="C9180" s="3" t="s">
        <v>252</v>
      </c>
      <c r="D9180" s="3">
        <v>121.0</v>
      </c>
      <c r="E9180" s="3">
        <v>1.48</v>
      </c>
      <c r="F9180" s="3">
        <v>15.37</v>
      </c>
      <c r="G9180" s="3">
        <v>10.76</v>
      </c>
    </row>
    <row r="9181">
      <c r="A9181" s="3">
        <v>782920.0</v>
      </c>
      <c r="B9181" s="3" t="s">
        <v>9209</v>
      </c>
      <c r="C9181" s="3" t="s">
        <v>252</v>
      </c>
      <c r="D9181" s="3">
        <v>104.0</v>
      </c>
      <c r="E9181" s="3">
        <v>3.85</v>
      </c>
      <c r="F9181" s="3">
        <v>14.73</v>
      </c>
      <c r="G9181" s="3">
        <v>2.75</v>
      </c>
    </row>
    <row r="9182">
      <c r="A9182" s="3">
        <v>782921.0</v>
      </c>
      <c r="B9182" s="3" t="s">
        <v>9210</v>
      </c>
      <c r="C9182" s="3" t="s">
        <v>252</v>
      </c>
      <c r="D9182" s="3">
        <v>245.0</v>
      </c>
      <c r="E9182" s="3">
        <v>20.26</v>
      </c>
      <c r="F9182" s="3">
        <v>12.02</v>
      </c>
      <c r="G9182" s="3">
        <v>3.82</v>
      </c>
    </row>
    <row r="9183">
      <c r="A9183" s="3">
        <v>782922.0</v>
      </c>
      <c r="B9183" s="3" t="s">
        <v>9211</v>
      </c>
      <c r="C9183" s="3" t="s">
        <v>252</v>
      </c>
      <c r="D9183" s="3">
        <v>196.0</v>
      </c>
      <c r="E9183" s="3">
        <v>16.95</v>
      </c>
      <c r="F9183" s="3">
        <v>8.57</v>
      </c>
      <c r="G9183" s="3">
        <v>2.57</v>
      </c>
    </row>
    <row r="9184">
      <c r="A9184" s="3">
        <v>782923.0</v>
      </c>
      <c r="B9184" s="3" t="s">
        <v>9212</v>
      </c>
      <c r="C9184" s="3" t="s">
        <v>225</v>
      </c>
      <c r="D9184" s="3">
        <v>63.0</v>
      </c>
      <c r="E9184" s="3">
        <v>1.58</v>
      </c>
      <c r="F9184" s="3">
        <v>5.32</v>
      </c>
      <c r="G9184" s="3">
        <v>6.59</v>
      </c>
    </row>
    <row r="9185">
      <c r="A9185" s="3">
        <v>782924.0</v>
      </c>
      <c r="B9185" s="3" t="s">
        <v>9213</v>
      </c>
      <c r="C9185" s="3" t="s">
        <v>225</v>
      </c>
      <c r="D9185" s="3">
        <v>58.0</v>
      </c>
      <c r="E9185" s="3">
        <v>1.34</v>
      </c>
      <c r="F9185" s="3">
        <v>5.32</v>
      </c>
      <c r="G9185" s="3">
        <v>6.13</v>
      </c>
    </row>
    <row r="9186">
      <c r="A9186" s="3">
        <v>782925.0</v>
      </c>
      <c r="B9186" s="3" t="s">
        <v>9214</v>
      </c>
      <c r="C9186" s="3" t="s">
        <v>252</v>
      </c>
      <c r="D9186" s="3">
        <v>150.0</v>
      </c>
      <c r="E9186" s="3">
        <v>7.76</v>
      </c>
      <c r="F9186" s="3">
        <v>16.79</v>
      </c>
      <c r="G9186" s="3">
        <v>2.22</v>
      </c>
    </row>
    <row r="9187">
      <c r="A9187" s="3">
        <v>782926.0</v>
      </c>
      <c r="B9187" s="3" t="s">
        <v>9215</v>
      </c>
      <c r="C9187" s="3" t="s">
        <v>1464</v>
      </c>
      <c r="D9187" s="3">
        <v>168.0</v>
      </c>
      <c r="E9187" s="3">
        <v>8.53</v>
      </c>
      <c r="F9187" s="3">
        <v>7.17</v>
      </c>
      <c r="G9187" s="3">
        <v>15.78</v>
      </c>
    </row>
    <row r="9188">
      <c r="A9188" s="3">
        <v>782927.0</v>
      </c>
      <c r="B9188" s="3" t="s">
        <v>9216</v>
      </c>
      <c r="C9188" s="3" t="s">
        <v>225</v>
      </c>
      <c r="D9188" s="3">
        <v>146.0</v>
      </c>
      <c r="E9188" s="3">
        <v>10.41</v>
      </c>
      <c r="F9188" s="3">
        <v>8.6</v>
      </c>
      <c r="G9188" s="3">
        <v>4.21</v>
      </c>
    </row>
    <row r="9189">
      <c r="A9189" s="3">
        <v>782928.0</v>
      </c>
      <c r="B9189" s="3" t="s">
        <v>9217</v>
      </c>
      <c r="C9189" s="3" t="s">
        <v>225</v>
      </c>
      <c r="D9189" s="3">
        <v>127.0</v>
      </c>
      <c r="E9189" s="3">
        <v>8.12</v>
      </c>
      <c r="F9189" s="3">
        <v>5.5</v>
      </c>
      <c r="G9189" s="3">
        <v>7.76</v>
      </c>
    </row>
    <row r="9190">
      <c r="A9190" s="3">
        <v>782930.0</v>
      </c>
      <c r="B9190" s="3" t="s">
        <v>9218</v>
      </c>
      <c r="C9190" s="3" t="s">
        <v>252</v>
      </c>
      <c r="D9190" s="3">
        <v>195.0</v>
      </c>
      <c r="E9190" s="3">
        <v>11.73</v>
      </c>
      <c r="F9190" s="3">
        <v>19.7</v>
      </c>
      <c r="G9190" s="3">
        <v>1.77</v>
      </c>
    </row>
    <row r="9191">
      <c r="A9191" s="3">
        <v>782931.0</v>
      </c>
      <c r="B9191" s="3" t="s">
        <v>9219</v>
      </c>
      <c r="C9191" s="3" t="s">
        <v>252</v>
      </c>
      <c r="D9191" s="3">
        <v>340.0</v>
      </c>
      <c r="E9191" s="3">
        <v>15.74</v>
      </c>
      <c r="F9191" s="3">
        <v>37.85</v>
      </c>
      <c r="G9191" s="3">
        <v>10.72</v>
      </c>
    </row>
    <row r="9192">
      <c r="A9192" s="3">
        <v>782932.0</v>
      </c>
      <c r="B9192" s="3" t="s">
        <v>9220</v>
      </c>
      <c r="C9192" s="3" t="s">
        <v>252</v>
      </c>
      <c r="D9192" s="3">
        <v>80.0</v>
      </c>
      <c r="E9192" s="3">
        <v>0.69</v>
      </c>
      <c r="F9192" s="3">
        <v>16.28</v>
      </c>
      <c r="G9192" s="3">
        <v>1.59</v>
      </c>
    </row>
    <row r="9193">
      <c r="A9193" s="3">
        <v>782933.0</v>
      </c>
      <c r="B9193" s="3" t="s">
        <v>9221</v>
      </c>
      <c r="C9193" s="3" t="s">
        <v>252</v>
      </c>
      <c r="D9193" s="3">
        <v>70.0</v>
      </c>
      <c r="E9193" s="3">
        <v>2.93</v>
      </c>
      <c r="F9193" s="3">
        <v>4.5</v>
      </c>
      <c r="G9193" s="3">
        <v>6.83</v>
      </c>
    </row>
    <row r="9194">
      <c r="A9194" s="3">
        <v>782934.0</v>
      </c>
      <c r="B9194" s="3" t="s">
        <v>9222</v>
      </c>
      <c r="C9194" s="3" t="s">
        <v>252</v>
      </c>
      <c r="D9194" s="3">
        <v>92.0</v>
      </c>
      <c r="E9194" s="3">
        <v>2.32</v>
      </c>
      <c r="F9194" s="3">
        <v>12.2</v>
      </c>
      <c r="G9194" s="3">
        <v>5.02</v>
      </c>
    </row>
    <row r="9195">
      <c r="A9195" s="3">
        <v>782937.0</v>
      </c>
      <c r="B9195" s="3" t="s">
        <v>9223</v>
      </c>
      <c r="C9195" s="3" t="s">
        <v>1464</v>
      </c>
      <c r="D9195" s="3">
        <v>120.0</v>
      </c>
      <c r="E9195" s="3">
        <v>1.56</v>
      </c>
      <c r="F9195" s="3">
        <v>21.62</v>
      </c>
      <c r="G9195" s="3">
        <v>3.34</v>
      </c>
    </row>
    <row r="9196">
      <c r="A9196" s="3">
        <v>782938.0</v>
      </c>
      <c r="B9196" s="3" t="s">
        <v>9224</v>
      </c>
      <c r="C9196" s="3" t="s">
        <v>252</v>
      </c>
      <c r="D9196" s="3">
        <v>137.0</v>
      </c>
      <c r="E9196" s="3">
        <v>5.06</v>
      </c>
      <c r="F9196" s="3">
        <v>17.48</v>
      </c>
      <c r="G9196" s="3">
        <v>5.43</v>
      </c>
    </row>
    <row r="9197">
      <c r="A9197" s="3">
        <v>782939.0</v>
      </c>
      <c r="B9197" s="3" t="s">
        <v>9225</v>
      </c>
      <c r="C9197" s="3" t="s">
        <v>252</v>
      </c>
      <c r="D9197" s="3">
        <v>62.0</v>
      </c>
      <c r="E9197" s="3">
        <v>0.75</v>
      </c>
      <c r="F9197" s="3">
        <v>10.34</v>
      </c>
      <c r="G9197" s="3">
        <v>3.58</v>
      </c>
    </row>
    <row r="9198">
      <c r="A9198" s="3">
        <v>782940.0</v>
      </c>
      <c r="B9198" s="3" t="s">
        <v>9226</v>
      </c>
      <c r="C9198" s="3" t="s">
        <v>252</v>
      </c>
      <c r="D9198" s="3">
        <v>140.0</v>
      </c>
      <c r="E9198" s="3">
        <v>8.62</v>
      </c>
      <c r="F9198" s="3">
        <v>12.54</v>
      </c>
      <c r="G9198" s="3">
        <v>2.97</v>
      </c>
    </row>
    <row r="9199">
      <c r="A9199" s="3">
        <v>782941.0</v>
      </c>
      <c r="B9199" s="3" t="s">
        <v>9227</v>
      </c>
      <c r="C9199" s="3" t="s">
        <v>252</v>
      </c>
      <c r="D9199" s="3">
        <v>277.0</v>
      </c>
      <c r="E9199" s="3">
        <v>24.7</v>
      </c>
      <c r="F9199" s="3">
        <v>11.58</v>
      </c>
      <c r="G9199" s="3">
        <v>2.52</v>
      </c>
    </row>
    <row r="9200">
      <c r="A9200" s="3">
        <v>782942.0</v>
      </c>
      <c r="B9200" s="3" t="s">
        <v>9228</v>
      </c>
      <c r="C9200" s="3" t="s">
        <v>252</v>
      </c>
      <c r="D9200" s="3">
        <v>105.0</v>
      </c>
      <c r="E9200" s="3">
        <v>4.27</v>
      </c>
      <c r="F9200" s="3">
        <v>12.13</v>
      </c>
      <c r="G9200" s="3">
        <v>4.46</v>
      </c>
    </row>
    <row r="9201">
      <c r="A9201" s="3">
        <v>782943.0</v>
      </c>
      <c r="B9201" s="3" t="s">
        <v>9229</v>
      </c>
      <c r="C9201" s="3" t="s">
        <v>189</v>
      </c>
      <c r="D9201" s="3">
        <v>201.0</v>
      </c>
      <c r="E9201" s="3">
        <v>6.8</v>
      </c>
      <c r="F9201" s="3">
        <v>20.88</v>
      </c>
      <c r="G9201" s="3">
        <v>12.74</v>
      </c>
    </row>
    <row r="9202">
      <c r="A9202" s="3">
        <v>782944.0</v>
      </c>
      <c r="B9202" s="3" t="s">
        <v>9230</v>
      </c>
      <c r="C9202" s="3" t="s">
        <v>189</v>
      </c>
      <c r="D9202" s="3">
        <v>185.0</v>
      </c>
      <c r="E9202" s="3">
        <v>11.98</v>
      </c>
      <c r="F9202" s="3">
        <v>18.03</v>
      </c>
      <c r="G9202" s="3">
        <v>0.13</v>
      </c>
    </row>
    <row r="9203">
      <c r="A9203" s="3">
        <v>782945.0</v>
      </c>
      <c r="B9203" s="3" t="s">
        <v>9231</v>
      </c>
      <c r="C9203" s="3" t="s">
        <v>189</v>
      </c>
      <c r="D9203" s="3">
        <v>323.0</v>
      </c>
      <c r="E9203" s="3">
        <v>21.79</v>
      </c>
      <c r="F9203" s="3">
        <v>19.81</v>
      </c>
      <c r="G9203" s="3">
        <v>10.6</v>
      </c>
    </row>
    <row r="9204">
      <c r="A9204" s="3">
        <v>782946.0</v>
      </c>
      <c r="B9204" s="3" t="s">
        <v>9232</v>
      </c>
      <c r="C9204" s="3" t="s">
        <v>189</v>
      </c>
      <c r="D9204" s="3">
        <v>149.0</v>
      </c>
      <c r="E9204" s="3">
        <v>6.36</v>
      </c>
      <c r="F9204" s="3">
        <v>21.72</v>
      </c>
      <c r="G9204" s="3">
        <v>1.58</v>
      </c>
    </row>
    <row r="9205">
      <c r="A9205" s="3">
        <v>782947.0</v>
      </c>
      <c r="B9205" s="3" t="s">
        <v>9233</v>
      </c>
      <c r="C9205" s="3" t="s">
        <v>225</v>
      </c>
      <c r="D9205" s="3">
        <v>89.0</v>
      </c>
      <c r="E9205" s="3">
        <v>4.46</v>
      </c>
      <c r="F9205" s="3">
        <v>5.92</v>
      </c>
      <c r="G9205" s="3">
        <v>6.04</v>
      </c>
    </row>
    <row r="9206">
      <c r="A9206" s="3">
        <v>782948.0</v>
      </c>
      <c r="B9206" s="3" t="s">
        <v>9234</v>
      </c>
      <c r="C9206" s="3" t="s">
        <v>225</v>
      </c>
      <c r="D9206" s="3">
        <v>84.0</v>
      </c>
      <c r="E9206" s="3">
        <v>4.22</v>
      </c>
      <c r="F9206" s="3">
        <v>5.92</v>
      </c>
      <c r="G9206" s="3">
        <v>5.57</v>
      </c>
    </row>
    <row r="9207">
      <c r="A9207" s="3">
        <v>782949.0</v>
      </c>
      <c r="B9207" s="3" t="s">
        <v>9235</v>
      </c>
      <c r="C9207" s="3" t="s">
        <v>189</v>
      </c>
      <c r="D9207" s="3">
        <v>139.0</v>
      </c>
      <c r="E9207" s="3">
        <v>6.98</v>
      </c>
      <c r="F9207" s="3">
        <v>16.7</v>
      </c>
      <c r="G9207" s="3">
        <v>1.48</v>
      </c>
    </row>
    <row r="9208">
      <c r="A9208" s="3">
        <v>782950.0</v>
      </c>
      <c r="B9208" s="3" t="s">
        <v>9236</v>
      </c>
      <c r="C9208" s="3" t="s">
        <v>189</v>
      </c>
      <c r="D9208" s="3">
        <v>156.0</v>
      </c>
      <c r="E9208" s="3">
        <v>7.05</v>
      </c>
      <c r="F9208" s="3">
        <v>21.56</v>
      </c>
      <c r="G9208" s="3">
        <v>1.58</v>
      </c>
    </row>
    <row r="9209">
      <c r="A9209" s="3">
        <v>782951.0</v>
      </c>
      <c r="B9209" s="3" t="s">
        <v>9237</v>
      </c>
      <c r="C9209" s="3" t="s">
        <v>189</v>
      </c>
      <c r="D9209" s="3">
        <v>133.0</v>
      </c>
      <c r="E9209" s="3">
        <v>4.93</v>
      </c>
      <c r="F9209" s="3">
        <v>7.92</v>
      </c>
      <c r="G9209" s="3">
        <v>14.52</v>
      </c>
    </row>
    <row r="9210">
      <c r="A9210" s="3">
        <v>782952.0</v>
      </c>
      <c r="B9210" s="3" t="s">
        <v>9238</v>
      </c>
      <c r="C9210" s="3" t="s">
        <v>189</v>
      </c>
      <c r="D9210" s="3">
        <v>103.0</v>
      </c>
      <c r="E9210" s="3">
        <v>3.29</v>
      </c>
      <c r="F9210" s="3">
        <v>8.74</v>
      </c>
      <c r="G9210" s="3">
        <v>9.55</v>
      </c>
    </row>
    <row r="9211">
      <c r="A9211" s="3">
        <v>782953.0</v>
      </c>
      <c r="B9211" s="3" t="s">
        <v>9239</v>
      </c>
      <c r="C9211" s="3" t="s">
        <v>189</v>
      </c>
      <c r="D9211" s="3">
        <v>110.0</v>
      </c>
      <c r="E9211" s="3">
        <v>3.59</v>
      </c>
      <c r="F9211" s="3">
        <v>12.48</v>
      </c>
      <c r="G9211" s="3">
        <v>6.47</v>
      </c>
    </row>
    <row r="9212">
      <c r="A9212" s="3">
        <v>782954.0</v>
      </c>
      <c r="B9212" s="3" t="s">
        <v>9240</v>
      </c>
      <c r="C9212" s="3" t="s">
        <v>189</v>
      </c>
      <c r="D9212" s="3">
        <v>117.0</v>
      </c>
      <c r="E9212" s="3">
        <v>4.39</v>
      </c>
      <c r="F9212" s="3">
        <v>11.46</v>
      </c>
      <c r="G9212" s="3">
        <v>7.68</v>
      </c>
    </row>
    <row r="9213">
      <c r="A9213" s="3">
        <v>782955.0</v>
      </c>
      <c r="B9213" s="3" t="s">
        <v>9241</v>
      </c>
      <c r="C9213" s="3" t="s">
        <v>189</v>
      </c>
      <c r="D9213" s="3">
        <v>101.0</v>
      </c>
      <c r="E9213" s="3">
        <v>3.81</v>
      </c>
      <c r="F9213" s="3">
        <v>7.72</v>
      </c>
      <c r="G9213" s="3">
        <v>8.67</v>
      </c>
    </row>
    <row r="9214">
      <c r="A9214" s="3">
        <v>782956.0</v>
      </c>
      <c r="B9214" s="3" t="s">
        <v>9242</v>
      </c>
      <c r="C9214" s="3" t="s">
        <v>189</v>
      </c>
      <c r="D9214" s="3">
        <v>100.0</v>
      </c>
      <c r="E9214" s="3">
        <v>3.47</v>
      </c>
      <c r="F9214" s="3">
        <v>9.19</v>
      </c>
      <c r="G9214" s="3">
        <v>7.63</v>
      </c>
    </row>
    <row r="9215">
      <c r="A9215" s="3">
        <v>782957.0</v>
      </c>
      <c r="B9215" s="3" t="s">
        <v>9243</v>
      </c>
      <c r="C9215" s="3" t="s">
        <v>189</v>
      </c>
      <c r="D9215" s="3">
        <v>158.0</v>
      </c>
      <c r="E9215" s="3">
        <v>7.43</v>
      </c>
      <c r="F9215" s="3">
        <v>11.34</v>
      </c>
      <c r="G9215" s="3">
        <v>11.05</v>
      </c>
    </row>
    <row r="9216">
      <c r="A9216" s="3">
        <v>782959.0</v>
      </c>
      <c r="B9216" s="3" t="s">
        <v>9244</v>
      </c>
      <c r="C9216" s="3" t="s">
        <v>189</v>
      </c>
      <c r="D9216" s="3">
        <v>126.0</v>
      </c>
      <c r="E9216" s="3">
        <v>5.6</v>
      </c>
      <c r="F9216" s="3">
        <v>8.15</v>
      </c>
      <c r="G9216" s="3">
        <v>11.1</v>
      </c>
    </row>
    <row r="9217">
      <c r="A9217" s="3">
        <v>782960.0</v>
      </c>
      <c r="B9217" s="3" t="s">
        <v>9245</v>
      </c>
      <c r="C9217" s="3" t="s">
        <v>189</v>
      </c>
      <c r="D9217" s="3">
        <v>154.0</v>
      </c>
      <c r="E9217" s="3">
        <v>10.09</v>
      </c>
      <c r="F9217" s="3">
        <v>9.9</v>
      </c>
      <c r="G9217" s="3">
        <v>5.61</v>
      </c>
    </row>
    <row r="9218">
      <c r="A9218" s="3">
        <v>782961.0</v>
      </c>
      <c r="B9218" s="3" t="s">
        <v>9246</v>
      </c>
      <c r="C9218" s="3" t="s">
        <v>189</v>
      </c>
      <c r="D9218" s="3">
        <v>189.0</v>
      </c>
      <c r="E9218" s="3">
        <v>8.43</v>
      </c>
      <c r="F9218" s="3">
        <v>11.37</v>
      </c>
      <c r="G9218" s="3">
        <v>16.23</v>
      </c>
    </row>
    <row r="9219">
      <c r="A9219" s="3">
        <v>782962.0</v>
      </c>
      <c r="B9219" s="3" t="s">
        <v>9247</v>
      </c>
      <c r="C9219" s="3" t="s">
        <v>189</v>
      </c>
      <c r="D9219" s="3">
        <v>137.0</v>
      </c>
      <c r="E9219" s="3">
        <v>5.38</v>
      </c>
      <c r="F9219" s="3">
        <v>9.1</v>
      </c>
      <c r="G9219" s="3">
        <v>12.38</v>
      </c>
    </row>
    <row r="9220">
      <c r="A9220" s="3">
        <v>782963.0</v>
      </c>
      <c r="B9220" s="3" t="s">
        <v>9248</v>
      </c>
      <c r="C9220" s="3" t="s">
        <v>189</v>
      </c>
      <c r="D9220" s="3">
        <v>115.0</v>
      </c>
      <c r="E9220" s="3">
        <v>3.92</v>
      </c>
      <c r="F9220" s="3">
        <v>8.74</v>
      </c>
      <c r="G9220" s="3">
        <v>10.67</v>
      </c>
    </row>
    <row r="9221">
      <c r="A9221" s="3">
        <v>782964.0</v>
      </c>
      <c r="B9221" s="3" t="s">
        <v>9249</v>
      </c>
      <c r="C9221" s="3" t="s">
        <v>189</v>
      </c>
      <c r="D9221" s="3">
        <v>118.0</v>
      </c>
      <c r="E9221" s="3">
        <v>2.92</v>
      </c>
      <c r="F9221" s="3">
        <v>5.8</v>
      </c>
      <c r="G9221" s="3">
        <v>16.91</v>
      </c>
    </row>
    <row r="9222">
      <c r="A9222" s="3">
        <v>782965.0</v>
      </c>
      <c r="B9222" s="3" t="s">
        <v>9250</v>
      </c>
      <c r="C9222" s="3" t="s">
        <v>189</v>
      </c>
      <c r="D9222" s="3">
        <v>142.0</v>
      </c>
      <c r="E9222" s="3">
        <v>5.1</v>
      </c>
      <c r="F9222" s="3">
        <v>12.5</v>
      </c>
      <c r="G9222" s="3">
        <v>10.88</v>
      </c>
    </row>
    <row r="9223">
      <c r="A9223" s="3">
        <v>782966.0</v>
      </c>
      <c r="B9223" s="3" t="s">
        <v>9251</v>
      </c>
      <c r="C9223" s="3" t="s">
        <v>189</v>
      </c>
      <c r="D9223" s="3">
        <v>138.0</v>
      </c>
      <c r="E9223" s="3">
        <v>5.07</v>
      </c>
      <c r="F9223" s="3">
        <v>7.7</v>
      </c>
      <c r="G9223" s="3">
        <v>15.39</v>
      </c>
    </row>
    <row r="9224">
      <c r="A9224" s="3">
        <v>782967.0</v>
      </c>
      <c r="B9224" s="3" t="s">
        <v>9252</v>
      </c>
      <c r="C9224" s="3" t="s">
        <v>189</v>
      </c>
      <c r="D9224" s="3">
        <v>141.0</v>
      </c>
      <c r="E9224" s="3">
        <v>5.46</v>
      </c>
      <c r="F9224" s="3">
        <v>7.86</v>
      </c>
      <c r="G9224" s="3">
        <v>15.01</v>
      </c>
    </row>
    <row r="9225">
      <c r="A9225" s="3">
        <v>782968.0</v>
      </c>
      <c r="B9225" s="3" t="s">
        <v>9253</v>
      </c>
      <c r="C9225" s="3" t="s">
        <v>189</v>
      </c>
      <c r="D9225" s="3">
        <v>128.0</v>
      </c>
      <c r="E9225" s="3">
        <v>6.86</v>
      </c>
      <c r="F9225" s="3">
        <v>7.69</v>
      </c>
      <c r="G9225" s="3">
        <v>8.87</v>
      </c>
    </row>
    <row r="9226">
      <c r="A9226" s="3">
        <v>782969.0</v>
      </c>
      <c r="B9226" s="3" t="s">
        <v>9254</v>
      </c>
      <c r="C9226" s="3" t="s">
        <v>189</v>
      </c>
      <c r="D9226" s="3">
        <v>136.0</v>
      </c>
      <c r="E9226" s="3">
        <v>5.13</v>
      </c>
      <c r="F9226" s="3">
        <v>7.53</v>
      </c>
      <c r="G9226" s="3">
        <v>14.97</v>
      </c>
    </row>
    <row r="9227">
      <c r="A9227" s="3">
        <v>782970.0</v>
      </c>
      <c r="B9227" s="3" t="s">
        <v>9255</v>
      </c>
      <c r="C9227" s="3" t="s">
        <v>1464</v>
      </c>
      <c r="D9227" s="3">
        <v>171.0</v>
      </c>
      <c r="E9227" s="3">
        <v>9.91</v>
      </c>
      <c r="F9227" s="3">
        <v>13.16</v>
      </c>
      <c r="G9227" s="3">
        <v>7.56</v>
      </c>
    </row>
    <row r="9228">
      <c r="A9228" s="3">
        <v>782971.0</v>
      </c>
      <c r="B9228" s="3" t="s">
        <v>9256</v>
      </c>
      <c r="C9228" s="3" t="s">
        <v>189</v>
      </c>
      <c r="D9228" s="3">
        <v>145.0</v>
      </c>
      <c r="E9228" s="3">
        <v>5.0</v>
      </c>
      <c r="F9228" s="3">
        <v>7.27</v>
      </c>
      <c r="G9228" s="3">
        <v>17.23</v>
      </c>
    </row>
    <row r="9229">
      <c r="A9229" s="3">
        <v>782972.0</v>
      </c>
      <c r="B9229" s="3" t="s">
        <v>9257</v>
      </c>
      <c r="C9229" s="3" t="s">
        <v>1464</v>
      </c>
      <c r="D9229" s="3">
        <v>144.0</v>
      </c>
      <c r="E9229" s="3">
        <v>6.77</v>
      </c>
      <c r="F9229" s="3">
        <v>8.4</v>
      </c>
      <c r="G9229" s="3">
        <v>12.07</v>
      </c>
    </row>
    <row r="9230">
      <c r="A9230" s="3">
        <v>782973.0</v>
      </c>
      <c r="B9230" s="3" t="s">
        <v>9258</v>
      </c>
      <c r="C9230" s="3" t="s">
        <v>189</v>
      </c>
      <c r="D9230" s="3">
        <v>136.0</v>
      </c>
      <c r="E9230" s="3">
        <v>5.15</v>
      </c>
      <c r="F9230" s="3">
        <v>6.39</v>
      </c>
      <c r="G9230" s="3">
        <v>15.88</v>
      </c>
    </row>
    <row r="9231">
      <c r="A9231" s="3">
        <v>782974.0</v>
      </c>
      <c r="B9231" s="3" t="s">
        <v>9259</v>
      </c>
      <c r="C9231" s="3" t="s">
        <v>189</v>
      </c>
      <c r="D9231" s="3">
        <v>153.0</v>
      </c>
      <c r="E9231" s="3">
        <v>6.2</v>
      </c>
      <c r="F9231" s="3">
        <v>10.35</v>
      </c>
      <c r="G9231" s="3">
        <v>13.39</v>
      </c>
    </row>
    <row r="9232">
      <c r="A9232" s="3">
        <v>782975.0</v>
      </c>
      <c r="B9232" s="3" t="s">
        <v>9260</v>
      </c>
      <c r="C9232" s="3" t="s">
        <v>189</v>
      </c>
      <c r="D9232" s="3">
        <v>112.0</v>
      </c>
      <c r="E9232" s="3">
        <v>2.72</v>
      </c>
      <c r="F9232" s="3">
        <v>5.07</v>
      </c>
      <c r="G9232" s="3">
        <v>16.65</v>
      </c>
    </row>
    <row r="9233">
      <c r="A9233" s="3">
        <v>782976.0</v>
      </c>
      <c r="B9233" s="3" t="s">
        <v>9261</v>
      </c>
      <c r="C9233" s="3" t="s">
        <v>189</v>
      </c>
      <c r="D9233" s="3">
        <v>137.0</v>
      </c>
      <c r="E9233" s="3">
        <v>5.12</v>
      </c>
      <c r="F9233" s="3">
        <v>6.28</v>
      </c>
      <c r="G9233" s="3">
        <v>15.98</v>
      </c>
    </row>
    <row r="9234">
      <c r="A9234" s="3">
        <v>782977.0</v>
      </c>
      <c r="B9234" s="3" t="s">
        <v>9262</v>
      </c>
      <c r="C9234" s="3" t="s">
        <v>189</v>
      </c>
      <c r="D9234" s="3">
        <v>140.0</v>
      </c>
      <c r="E9234" s="3">
        <v>5.36</v>
      </c>
      <c r="F9234" s="3">
        <v>6.7</v>
      </c>
      <c r="G9234" s="3">
        <v>15.89</v>
      </c>
    </row>
    <row r="9235">
      <c r="A9235" s="3">
        <v>782978.0</v>
      </c>
      <c r="B9235" s="3" t="s">
        <v>9263</v>
      </c>
      <c r="C9235" s="3" t="s">
        <v>189</v>
      </c>
      <c r="D9235" s="3">
        <v>135.0</v>
      </c>
      <c r="E9235" s="3">
        <v>5.18</v>
      </c>
      <c r="F9235" s="3">
        <v>6.24</v>
      </c>
      <c r="G9235" s="3">
        <v>15.54</v>
      </c>
    </row>
    <row r="9236">
      <c r="A9236" s="3">
        <v>782979.0</v>
      </c>
      <c r="B9236" s="3" t="s">
        <v>9264</v>
      </c>
      <c r="C9236" s="3" t="s">
        <v>189</v>
      </c>
      <c r="D9236" s="3">
        <v>157.0</v>
      </c>
      <c r="E9236" s="3">
        <v>7.76</v>
      </c>
      <c r="F9236" s="3">
        <v>10.33</v>
      </c>
      <c r="G9236" s="3">
        <v>10.71</v>
      </c>
    </row>
    <row r="9237">
      <c r="A9237" s="3">
        <v>782980.0</v>
      </c>
      <c r="B9237" s="3" t="s">
        <v>9265</v>
      </c>
      <c r="C9237" s="3" t="s">
        <v>1464</v>
      </c>
      <c r="D9237" s="3">
        <v>176.0</v>
      </c>
      <c r="E9237" s="3">
        <v>10.12</v>
      </c>
      <c r="F9237" s="3">
        <v>13.55</v>
      </c>
      <c r="G9237" s="3">
        <v>7.98</v>
      </c>
    </row>
    <row r="9238">
      <c r="A9238" s="3">
        <v>782981.0</v>
      </c>
      <c r="B9238" s="3" t="s">
        <v>9266</v>
      </c>
      <c r="C9238" s="3" t="s">
        <v>189</v>
      </c>
      <c r="D9238" s="3">
        <v>143.0</v>
      </c>
      <c r="E9238" s="3">
        <v>5.34</v>
      </c>
      <c r="F9238" s="3">
        <v>8.06</v>
      </c>
      <c r="G9238" s="3">
        <v>14.78</v>
      </c>
    </row>
    <row r="9239">
      <c r="A9239" s="3">
        <v>782982.0</v>
      </c>
      <c r="B9239" s="3" t="s">
        <v>9267</v>
      </c>
      <c r="C9239" s="3" t="s">
        <v>189</v>
      </c>
      <c r="D9239" s="3">
        <v>199.0</v>
      </c>
      <c r="E9239" s="3">
        <v>10.65</v>
      </c>
      <c r="F9239" s="3">
        <v>17.43</v>
      </c>
      <c r="G9239" s="3">
        <v>7.22</v>
      </c>
    </row>
    <row r="9240">
      <c r="A9240" s="3">
        <v>782983.0</v>
      </c>
      <c r="B9240" s="3" t="s">
        <v>9268</v>
      </c>
      <c r="C9240" s="3" t="s">
        <v>189</v>
      </c>
      <c r="D9240" s="3">
        <v>159.0</v>
      </c>
      <c r="E9240" s="3">
        <v>8.3</v>
      </c>
      <c r="F9240" s="3">
        <v>13.74</v>
      </c>
      <c r="G9240" s="3">
        <v>6.79</v>
      </c>
    </row>
    <row r="9241">
      <c r="A9241" s="3">
        <v>782984.0</v>
      </c>
      <c r="B9241" s="3" t="s">
        <v>9269</v>
      </c>
      <c r="C9241" s="3" t="s">
        <v>189</v>
      </c>
      <c r="D9241" s="3">
        <v>368.0</v>
      </c>
      <c r="E9241" s="3">
        <v>27.35</v>
      </c>
      <c r="F9241" s="3">
        <v>19.1</v>
      </c>
      <c r="G9241" s="3">
        <v>10.1</v>
      </c>
    </row>
    <row r="9242">
      <c r="A9242" s="3">
        <v>782986.0</v>
      </c>
      <c r="B9242" s="3" t="s">
        <v>9270</v>
      </c>
      <c r="C9242" s="3" t="s">
        <v>189</v>
      </c>
      <c r="D9242" s="3">
        <v>127.0</v>
      </c>
      <c r="E9242" s="3">
        <v>5.94</v>
      </c>
      <c r="F9242" s="3">
        <v>10.89</v>
      </c>
      <c r="G9242" s="3">
        <v>7.74</v>
      </c>
    </row>
    <row r="9243">
      <c r="A9243" s="3">
        <v>782987.0</v>
      </c>
      <c r="B9243" s="3" t="s">
        <v>9271</v>
      </c>
      <c r="C9243" s="3" t="s">
        <v>189</v>
      </c>
      <c r="D9243" s="3">
        <v>345.0</v>
      </c>
      <c r="E9243" s="3">
        <v>23.47</v>
      </c>
      <c r="F9243" s="3">
        <v>24.41</v>
      </c>
      <c r="G9243" s="3">
        <v>7.77</v>
      </c>
    </row>
    <row r="9244">
      <c r="A9244" s="3">
        <v>782988.0</v>
      </c>
      <c r="B9244" s="3" t="s">
        <v>9272</v>
      </c>
      <c r="C9244" s="3" t="s">
        <v>189</v>
      </c>
      <c r="D9244" s="3">
        <v>218.0</v>
      </c>
      <c r="E9244" s="3">
        <v>14.69</v>
      </c>
      <c r="F9244" s="3">
        <v>14.58</v>
      </c>
      <c r="G9244" s="3">
        <v>6.57</v>
      </c>
    </row>
    <row r="9245">
      <c r="A9245" s="3">
        <v>782989.0</v>
      </c>
      <c r="B9245" s="3" t="s">
        <v>9273</v>
      </c>
      <c r="C9245" s="3" t="s">
        <v>189</v>
      </c>
      <c r="D9245" s="3">
        <v>195.0</v>
      </c>
      <c r="E9245" s="3">
        <v>11.03</v>
      </c>
      <c r="F9245" s="3">
        <v>13.44</v>
      </c>
      <c r="G9245" s="3">
        <v>10.33</v>
      </c>
    </row>
    <row r="9246">
      <c r="A9246" s="3">
        <v>782990.0</v>
      </c>
      <c r="B9246" s="3" t="s">
        <v>9274</v>
      </c>
      <c r="C9246" s="3" t="s">
        <v>189</v>
      </c>
      <c r="D9246" s="3">
        <v>178.0</v>
      </c>
      <c r="E9246" s="3">
        <v>7.47</v>
      </c>
      <c r="F9246" s="3">
        <v>20.67</v>
      </c>
      <c r="G9246" s="3">
        <v>6.13</v>
      </c>
    </row>
    <row r="9247">
      <c r="A9247" s="3">
        <v>782991.0</v>
      </c>
      <c r="B9247" s="3" t="s">
        <v>9275</v>
      </c>
      <c r="C9247" s="3" t="s">
        <v>189</v>
      </c>
      <c r="D9247" s="3">
        <v>140.0</v>
      </c>
      <c r="E9247" s="3">
        <v>5.57</v>
      </c>
      <c r="F9247" s="3">
        <v>6.81</v>
      </c>
      <c r="G9247" s="3">
        <v>15.31</v>
      </c>
    </row>
    <row r="9248">
      <c r="A9248" s="3">
        <v>782992.0</v>
      </c>
      <c r="B9248" s="3" t="s">
        <v>9276</v>
      </c>
      <c r="C9248" s="3" t="s">
        <v>189</v>
      </c>
      <c r="D9248" s="3">
        <v>135.0</v>
      </c>
      <c r="E9248" s="3">
        <v>5.18</v>
      </c>
      <c r="F9248" s="3">
        <v>5.36</v>
      </c>
      <c r="G9248" s="3">
        <v>16.28</v>
      </c>
    </row>
    <row r="9249">
      <c r="A9249" s="3">
        <v>782993.0</v>
      </c>
      <c r="B9249" s="3" t="s">
        <v>9277</v>
      </c>
      <c r="C9249" s="3" t="s">
        <v>189</v>
      </c>
      <c r="D9249" s="3">
        <v>143.0</v>
      </c>
      <c r="E9249" s="3">
        <v>8.27</v>
      </c>
      <c r="F9249" s="3">
        <v>6.26</v>
      </c>
      <c r="G9249" s="3">
        <v>10.43</v>
      </c>
    </row>
    <row r="9250">
      <c r="A9250" s="3">
        <v>782994.0</v>
      </c>
      <c r="B9250" s="3" t="s">
        <v>9278</v>
      </c>
      <c r="C9250" s="3" t="s">
        <v>189</v>
      </c>
      <c r="D9250" s="3">
        <v>273.0</v>
      </c>
      <c r="E9250" s="3">
        <v>20.7</v>
      </c>
      <c r="F9250" s="3">
        <v>17.98</v>
      </c>
      <c r="G9250" s="3">
        <v>2.58</v>
      </c>
    </row>
    <row r="9251">
      <c r="A9251" s="3">
        <v>782995.0</v>
      </c>
      <c r="B9251" s="3" t="s">
        <v>9279</v>
      </c>
      <c r="C9251" s="3" t="s">
        <v>189</v>
      </c>
      <c r="D9251" s="3">
        <v>139.0</v>
      </c>
      <c r="E9251" s="3">
        <v>5.0</v>
      </c>
      <c r="F9251" s="3">
        <v>6.42</v>
      </c>
      <c r="G9251" s="3">
        <v>16.78</v>
      </c>
    </row>
    <row r="9252">
      <c r="A9252" s="3">
        <v>782996.0</v>
      </c>
      <c r="B9252" s="3" t="s">
        <v>9280</v>
      </c>
      <c r="C9252" s="3" t="s">
        <v>189</v>
      </c>
      <c r="D9252" s="3">
        <v>134.0</v>
      </c>
      <c r="E9252" s="3">
        <v>5.49</v>
      </c>
      <c r="F9252" s="3">
        <v>4.63</v>
      </c>
      <c r="G9252" s="3">
        <v>16.4</v>
      </c>
    </row>
    <row r="9253">
      <c r="A9253" s="3">
        <v>782997.0</v>
      </c>
      <c r="B9253" s="3" t="s">
        <v>9281</v>
      </c>
      <c r="C9253" s="3" t="s">
        <v>189</v>
      </c>
      <c r="D9253" s="3">
        <v>142.0</v>
      </c>
      <c r="E9253" s="3">
        <v>6.01</v>
      </c>
      <c r="F9253" s="3">
        <v>4.85</v>
      </c>
      <c r="G9253" s="3">
        <v>16.8</v>
      </c>
    </row>
    <row r="9254">
      <c r="A9254" s="3">
        <v>782998.0</v>
      </c>
      <c r="B9254" s="3" t="s">
        <v>9282</v>
      </c>
      <c r="C9254" s="3" t="s">
        <v>189</v>
      </c>
      <c r="D9254" s="3">
        <v>151.0</v>
      </c>
      <c r="E9254" s="3">
        <v>7.61</v>
      </c>
      <c r="F9254" s="3">
        <v>6.32</v>
      </c>
      <c r="G9254" s="3">
        <v>13.94</v>
      </c>
    </row>
    <row r="9255">
      <c r="A9255" s="3">
        <v>782999.0</v>
      </c>
      <c r="B9255" s="3" t="s">
        <v>9283</v>
      </c>
      <c r="C9255" s="3" t="s">
        <v>189</v>
      </c>
      <c r="D9255" s="3">
        <v>154.0</v>
      </c>
      <c r="E9255" s="3">
        <v>7.92</v>
      </c>
      <c r="F9255" s="3">
        <v>5.91</v>
      </c>
      <c r="G9255" s="3">
        <v>14.82</v>
      </c>
    </row>
    <row r="9256">
      <c r="A9256" s="3">
        <v>783000.0</v>
      </c>
      <c r="B9256" s="3" t="s">
        <v>9284</v>
      </c>
      <c r="C9256" s="3" t="s">
        <v>189</v>
      </c>
      <c r="D9256" s="3">
        <v>143.0</v>
      </c>
      <c r="E9256" s="3">
        <v>5.54</v>
      </c>
      <c r="F9256" s="3">
        <v>7.15</v>
      </c>
      <c r="G9256" s="3">
        <v>15.88</v>
      </c>
    </row>
    <row r="9257">
      <c r="A9257" s="3">
        <v>783001.0</v>
      </c>
      <c r="B9257" s="3" t="s">
        <v>9285</v>
      </c>
      <c r="C9257" s="3" t="s">
        <v>189</v>
      </c>
      <c r="D9257" s="3">
        <v>142.0</v>
      </c>
      <c r="E9257" s="3">
        <v>4.99</v>
      </c>
      <c r="F9257" s="3">
        <v>6.73</v>
      </c>
      <c r="G9257" s="3">
        <v>16.8</v>
      </c>
    </row>
    <row r="9258">
      <c r="A9258" s="3">
        <v>783002.0</v>
      </c>
      <c r="B9258" s="3" t="s">
        <v>9286</v>
      </c>
      <c r="C9258" s="3" t="s">
        <v>189</v>
      </c>
      <c r="D9258" s="3">
        <v>125.0</v>
      </c>
      <c r="E9258" s="3">
        <v>6.33</v>
      </c>
      <c r="F9258" s="3">
        <v>5.4</v>
      </c>
      <c r="G9258" s="3">
        <v>11.68</v>
      </c>
    </row>
    <row r="9259">
      <c r="A9259" s="3">
        <v>783003.0</v>
      </c>
      <c r="B9259" s="3" t="s">
        <v>9287</v>
      </c>
      <c r="C9259" s="3" t="s">
        <v>189</v>
      </c>
      <c r="D9259" s="3">
        <v>127.0</v>
      </c>
      <c r="E9259" s="3">
        <v>5.69</v>
      </c>
      <c r="F9259" s="3">
        <v>7.86</v>
      </c>
      <c r="G9259" s="3">
        <v>11.11</v>
      </c>
    </row>
    <row r="9260">
      <c r="A9260" s="3">
        <v>783004.0</v>
      </c>
      <c r="B9260" s="3" t="s">
        <v>9288</v>
      </c>
      <c r="C9260" s="3" t="s">
        <v>189</v>
      </c>
      <c r="D9260" s="3">
        <v>141.0</v>
      </c>
      <c r="E9260" s="3">
        <v>9.2</v>
      </c>
      <c r="F9260" s="3">
        <v>10.23</v>
      </c>
      <c r="G9260" s="3">
        <v>4.1</v>
      </c>
    </row>
    <row r="9261">
      <c r="A9261" s="3">
        <v>783005.0</v>
      </c>
      <c r="B9261" s="3" t="s">
        <v>9289</v>
      </c>
      <c r="C9261" s="3" t="s">
        <v>189</v>
      </c>
      <c r="D9261" s="3">
        <v>159.0</v>
      </c>
      <c r="E9261" s="3">
        <v>8.06</v>
      </c>
      <c r="F9261" s="3">
        <v>18.76</v>
      </c>
      <c r="G9261" s="3">
        <v>1.93</v>
      </c>
    </row>
    <row r="9262">
      <c r="A9262" s="3">
        <v>783006.0</v>
      </c>
      <c r="B9262" s="3" t="s">
        <v>9290</v>
      </c>
      <c r="C9262" s="3" t="s">
        <v>189</v>
      </c>
      <c r="D9262" s="3">
        <v>109.0</v>
      </c>
      <c r="E9262" s="3">
        <v>3.84</v>
      </c>
      <c r="F9262" s="3">
        <v>13.08</v>
      </c>
      <c r="G9262" s="3">
        <v>5.06</v>
      </c>
    </row>
    <row r="9263">
      <c r="A9263" s="3">
        <v>783007.0</v>
      </c>
      <c r="B9263" s="3" t="s">
        <v>9291</v>
      </c>
      <c r="C9263" s="3" t="s">
        <v>189</v>
      </c>
      <c r="D9263" s="3">
        <v>183.0</v>
      </c>
      <c r="E9263" s="3">
        <v>11.04</v>
      </c>
      <c r="F9263" s="3">
        <v>13.06</v>
      </c>
      <c r="G9263" s="3">
        <v>7.43</v>
      </c>
    </row>
    <row r="9264">
      <c r="A9264" s="3">
        <v>783008.0</v>
      </c>
      <c r="B9264" s="3" t="s">
        <v>9292</v>
      </c>
      <c r="C9264" s="3" t="s">
        <v>189</v>
      </c>
      <c r="D9264" s="3">
        <v>129.0</v>
      </c>
      <c r="E9264" s="3">
        <v>6.46</v>
      </c>
      <c r="F9264" s="3">
        <v>5.13</v>
      </c>
      <c r="G9264" s="3">
        <v>12.53</v>
      </c>
    </row>
    <row r="9265">
      <c r="A9265" s="3">
        <v>783009.0</v>
      </c>
      <c r="B9265" s="3" t="s">
        <v>9293</v>
      </c>
      <c r="C9265" s="3" t="s">
        <v>189</v>
      </c>
      <c r="D9265" s="3">
        <v>125.0</v>
      </c>
      <c r="E9265" s="3">
        <v>6.22</v>
      </c>
      <c r="F9265" s="3">
        <v>5.26</v>
      </c>
      <c r="G9265" s="3">
        <v>12.48</v>
      </c>
    </row>
    <row r="9266">
      <c r="A9266" s="3">
        <v>783010.0</v>
      </c>
      <c r="B9266" s="3" t="s">
        <v>9294</v>
      </c>
      <c r="C9266" s="3" t="s">
        <v>189</v>
      </c>
      <c r="D9266" s="3">
        <v>141.0</v>
      </c>
      <c r="E9266" s="3">
        <v>5.48</v>
      </c>
      <c r="F9266" s="3">
        <v>6.8</v>
      </c>
      <c r="G9266" s="3">
        <v>15.63</v>
      </c>
    </row>
    <row r="9267">
      <c r="A9267" s="3">
        <v>783011.0</v>
      </c>
      <c r="B9267" s="3" t="s">
        <v>9295</v>
      </c>
      <c r="C9267" s="3" t="s">
        <v>189</v>
      </c>
      <c r="D9267" s="3">
        <v>166.0</v>
      </c>
      <c r="E9267" s="3">
        <v>6.67</v>
      </c>
      <c r="F9267" s="3">
        <v>18.96</v>
      </c>
      <c r="G9267" s="3">
        <v>6.32</v>
      </c>
    </row>
    <row r="9268">
      <c r="A9268" s="3">
        <v>783012.0</v>
      </c>
      <c r="B9268" s="3" t="s">
        <v>9296</v>
      </c>
      <c r="C9268" s="3" t="s">
        <v>189</v>
      </c>
      <c r="D9268" s="3">
        <v>145.0</v>
      </c>
      <c r="E9268" s="3">
        <v>5.83</v>
      </c>
      <c r="F9268" s="3">
        <v>8.35</v>
      </c>
      <c r="G9268" s="3">
        <v>14.47</v>
      </c>
    </row>
    <row r="9269">
      <c r="A9269" s="3">
        <v>783013.0</v>
      </c>
      <c r="B9269" s="3" t="s">
        <v>9297</v>
      </c>
      <c r="C9269" s="3" t="s">
        <v>189</v>
      </c>
      <c r="D9269" s="3">
        <v>142.0</v>
      </c>
      <c r="E9269" s="3">
        <v>5.49</v>
      </c>
      <c r="F9269" s="3">
        <v>8.37</v>
      </c>
      <c r="G9269" s="3">
        <v>14.47</v>
      </c>
    </row>
    <row r="9270">
      <c r="A9270" s="3">
        <v>783014.0</v>
      </c>
      <c r="B9270" s="3" t="s">
        <v>9298</v>
      </c>
      <c r="C9270" s="3" t="s">
        <v>189</v>
      </c>
      <c r="D9270" s="3">
        <v>110.0</v>
      </c>
      <c r="E9270" s="3">
        <v>4.1</v>
      </c>
      <c r="F9270" s="3">
        <v>9.68</v>
      </c>
      <c r="G9270" s="3">
        <v>8.49</v>
      </c>
    </row>
    <row r="9271">
      <c r="A9271" s="3">
        <v>783015.0</v>
      </c>
      <c r="B9271" s="3" t="s">
        <v>9299</v>
      </c>
      <c r="C9271" s="3" t="s">
        <v>189</v>
      </c>
      <c r="D9271" s="3">
        <v>119.0</v>
      </c>
      <c r="E9271" s="3">
        <v>6.19</v>
      </c>
      <c r="F9271" s="3">
        <v>7.27</v>
      </c>
      <c r="G9271" s="3">
        <v>8.91</v>
      </c>
    </row>
    <row r="9272">
      <c r="A9272" s="3">
        <v>783016.0</v>
      </c>
      <c r="B9272" s="3" t="s">
        <v>9300</v>
      </c>
      <c r="C9272" s="3" t="s">
        <v>189</v>
      </c>
      <c r="D9272" s="3">
        <v>148.0</v>
      </c>
      <c r="E9272" s="3">
        <v>6.14</v>
      </c>
      <c r="F9272" s="3">
        <v>7.73</v>
      </c>
      <c r="G9272" s="3">
        <v>15.47</v>
      </c>
    </row>
    <row r="9273">
      <c r="A9273" s="3">
        <v>783017.0</v>
      </c>
      <c r="B9273" s="3" t="s">
        <v>9301</v>
      </c>
      <c r="C9273" s="3" t="s">
        <v>189</v>
      </c>
      <c r="D9273" s="3">
        <v>140.0</v>
      </c>
      <c r="E9273" s="3">
        <v>5.67</v>
      </c>
      <c r="F9273" s="3">
        <v>6.99</v>
      </c>
      <c r="G9273" s="3">
        <v>15.23</v>
      </c>
    </row>
    <row r="9274">
      <c r="A9274" s="3">
        <v>783018.0</v>
      </c>
      <c r="B9274" s="3" t="s">
        <v>9302</v>
      </c>
      <c r="C9274" s="3" t="s">
        <v>189</v>
      </c>
      <c r="D9274" s="3">
        <v>136.0</v>
      </c>
      <c r="E9274" s="3">
        <v>5.45</v>
      </c>
      <c r="F9274" s="3">
        <v>6.91</v>
      </c>
      <c r="G9274" s="3">
        <v>14.87</v>
      </c>
    </row>
    <row r="9275">
      <c r="A9275" s="3">
        <v>783019.0</v>
      </c>
      <c r="B9275" s="3" t="s">
        <v>9303</v>
      </c>
      <c r="C9275" s="3" t="s">
        <v>189</v>
      </c>
      <c r="D9275" s="3">
        <v>141.0</v>
      </c>
      <c r="E9275" s="3">
        <v>5.64</v>
      </c>
      <c r="F9275" s="3">
        <v>7.39</v>
      </c>
      <c r="G9275" s="3">
        <v>15.22</v>
      </c>
    </row>
    <row r="9276">
      <c r="A9276" s="3">
        <v>783020.0</v>
      </c>
      <c r="B9276" s="3" t="s">
        <v>9304</v>
      </c>
      <c r="C9276" s="3" t="s">
        <v>189</v>
      </c>
      <c r="D9276" s="3">
        <v>146.0</v>
      </c>
      <c r="E9276" s="3">
        <v>6.16</v>
      </c>
      <c r="F9276" s="3">
        <v>8.95</v>
      </c>
      <c r="G9276" s="3">
        <v>13.56</v>
      </c>
    </row>
    <row r="9277">
      <c r="A9277" s="3">
        <v>783021.0</v>
      </c>
      <c r="B9277" s="3" t="s">
        <v>9305</v>
      </c>
      <c r="C9277" s="3" t="s">
        <v>189</v>
      </c>
      <c r="D9277" s="3">
        <v>118.0</v>
      </c>
      <c r="E9277" s="3">
        <v>4.78</v>
      </c>
      <c r="F9277" s="3">
        <v>11.96</v>
      </c>
      <c r="G9277" s="3">
        <v>6.96</v>
      </c>
    </row>
    <row r="9278">
      <c r="A9278" s="3">
        <v>783022.0</v>
      </c>
      <c r="B9278" s="3" t="s">
        <v>9306</v>
      </c>
      <c r="C9278" s="3" t="s">
        <v>189</v>
      </c>
      <c r="D9278" s="3">
        <v>136.0</v>
      </c>
      <c r="E9278" s="3">
        <v>5.44</v>
      </c>
      <c r="F9278" s="3">
        <v>7.12</v>
      </c>
      <c r="G9278" s="3">
        <v>15.17</v>
      </c>
    </row>
    <row r="9279">
      <c r="A9279" s="3">
        <v>783023.0</v>
      </c>
      <c r="B9279" s="3" t="s">
        <v>9307</v>
      </c>
      <c r="C9279" s="3" t="s">
        <v>1464</v>
      </c>
      <c r="D9279" s="3">
        <v>155.0</v>
      </c>
      <c r="E9279" s="3">
        <v>8.88</v>
      </c>
      <c r="F9279" s="3">
        <v>11.58</v>
      </c>
      <c r="G9279" s="3">
        <v>7.62</v>
      </c>
    </row>
    <row r="9280">
      <c r="A9280" s="3">
        <v>783024.0</v>
      </c>
      <c r="B9280" s="3" t="s">
        <v>9308</v>
      </c>
      <c r="C9280" s="3" t="s">
        <v>189</v>
      </c>
      <c r="D9280" s="3">
        <v>148.0</v>
      </c>
      <c r="E9280" s="3">
        <v>5.84</v>
      </c>
      <c r="F9280" s="3">
        <v>6.46</v>
      </c>
      <c r="G9280" s="3">
        <v>16.97</v>
      </c>
    </row>
    <row r="9281">
      <c r="A9281" s="3">
        <v>783025.0</v>
      </c>
      <c r="B9281" s="3" t="s">
        <v>9309</v>
      </c>
      <c r="C9281" s="3" t="s">
        <v>1464</v>
      </c>
      <c r="D9281" s="3">
        <v>102.0</v>
      </c>
      <c r="E9281" s="3">
        <v>2.36</v>
      </c>
      <c r="F9281" s="3">
        <v>7.04</v>
      </c>
      <c r="G9281" s="3">
        <v>13.42</v>
      </c>
    </row>
    <row r="9282">
      <c r="A9282" s="3">
        <v>783026.0</v>
      </c>
      <c r="B9282" s="3" t="s">
        <v>9310</v>
      </c>
      <c r="C9282" s="3" t="s">
        <v>189</v>
      </c>
      <c r="D9282" s="3">
        <v>136.0</v>
      </c>
      <c r="E9282" s="3">
        <v>5.87</v>
      </c>
      <c r="F9282" s="3">
        <v>8.1</v>
      </c>
      <c r="G9282" s="3">
        <v>12.77</v>
      </c>
    </row>
    <row r="9283">
      <c r="A9283" s="3">
        <v>783027.0</v>
      </c>
      <c r="B9283" s="3" t="s">
        <v>9311</v>
      </c>
      <c r="C9283" s="3" t="s">
        <v>189</v>
      </c>
      <c r="D9283" s="3">
        <v>135.0</v>
      </c>
      <c r="E9283" s="3">
        <v>5.47</v>
      </c>
      <c r="F9283" s="3">
        <v>5.66</v>
      </c>
      <c r="G9283" s="3">
        <v>15.44</v>
      </c>
    </row>
    <row r="9284">
      <c r="A9284" s="3">
        <v>783028.0</v>
      </c>
      <c r="B9284" s="3" t="s">
        <v>9312</v>
      </c>
      <c r="C9284" s="3" t="s">
        <v>189</v>
      </c>
      <c r="D9284" s="3">
        <v>141.0</v>
      </c>
      <c r="E9284" s="3">
        <v>6.18</v>
      </c>
      <c r="F9284" s="3">
        <v>5.72</v>
      </c>
      <c r="G9284" s="3">
        <v>15.66</v>
      </c>
    </row>
    <row r="9285">
      <c r="A9285" s="3">
        <v>783029.0</v>
      </c>
      <c r="B9285" s="3" t="s">
        <v>9313</v>
      </c>
      <c r="C9285" s="3" t="s">
        <v>1464</v>
      </c>
      <c r="D9285" s="3">
        <v>160.0</v>
      </c>
      <c r="E9285" s="3">
        <v>9.07</v>
      </c>
      <c r="F9285" s="3">
        <v>11.93</v>
      </c>
      <c r="G9285" s="3">
        <v>8.03</v>
      </c>
    </row>
    <row r="9286">
      <c r="A9286" s="3">
        <v>783030.0</v>
      </c>
      <c r="B9286" s="3" t="s">
        <v>9314</v>
      </c>
      <c r="C9286" s="3" t="s">
        <v>189</v>
      </c>
      <c r="D9286" s="3">
        <v>160.0</v>
      </c>
      <c r="E9286" s="3">
        <v>7.7</v>
      </c>
      <c r="F9286" s="3">
        <v>9.72</v>
      </c>
      <c r="G9286" s="3">
        <v>12.82</v>
      </c>
    </row>
    <row r="9287">
      <c r="A9287" s="3">
        <v>783031.0</v>
      </c>
      <c r="B9287" s="3" t="s">
        <v>9315</v>
      </c>
      <c r="C9287" s="3" t="s">
        <v>189</v>
      </c>
      <c r="D9287" s="3">
        <v>144.0</v>
      </c>
      <c r="E9287" s="3">
        <v>5.49</v>
      </c>
      <c r="F9287" s="3">
        <v>15.63</v>
      </c>
      <c r="G9287" s="3">
        <v>7.94</v>
      </c>
    </row>
    <row r="9288">
      <c r="A9288" s="3">
        <v>783032.0</v>
      </c>
      <c r="B9288" s="3" t="s">
        <v>9316</v>
      </c>
      <c r="C9288" s="3" t="s">
        <v>189</v>
      </c>
      <c r="D9288" s="3">
        <v>172.0</v>
      </c>
      <c r="E9288" s="3">
        <v>4.88</v>
      </c>
      <c r="F9288" s="3">
        <v>20.04</v>
      </c>
      <c r="G9288" s="3">
        <v>11.74</v>
      </c>
    </row>
    <row r="9289">
      <c r="A9289" s="3">
        <v>783033.0</v>
      </c>
      <c r="B9289" s="3" t="s">
        <v>9317</v>
      </c>
      <c r="C9289" s="3" t="s">
        <v>189</v>
      </c>
      <c r="D9289" s="3">
        <v>262.0</v>
      </c>
      <c r="E9289" s="3">
        <v>18.7</v>
      </c>
      <c r="F9289" s="3">
        <v>20.85</v>
      </c>
      <c r="G9289" s="3">
        <v>2.56</v>
      </c>
    </row>
    <row r="9290">
      <c r="A9290" s="3">
        <v>783034.0</v>
      </c>
      <c r="B9290" s="3" t="s">
        <v>9318</v>
      </c>
      <c r="C9290" s="3" t="s">
        <v>7823</v>
      </c>
      <c r="D9290" s="3">
        <v>169.0</v>
      </c>
      <c r="E9290" s="3">
        <v>11.14</v>
      </c>
      <c r="F9290" s="3">
        <v>11.7</v>
      </c>
      <c r="G9290" s="3">
        <v>5.48</v>
      </c>
    </row>
    <row r="9291">
      <c r="A9291" s="3">
        <v>783035.0</v>
      </c>
      <c r="B9291" s="3" t="s">
        <v>9319</v>
      </c>
      <c r="C9291" s="3" t="s">
        <v>189</v>
      </c>
      <c r="D9291" s="3">
        <v>172.0</v>
      </c>
      <c r="E9291" s="3">
        <v>7.19</v>
      </c>
      <c r="F9291" s="3">
        <v>18.71</v>
      </c>
      <c r="G9291" s="3">
        <v>8.11</v>
      </c>
    </row>
    <row r="9292">
      <c r="A9292" s="3">
        <v>783036.0</v>
      </c>
      <c r="B9292" s="3" t="s">
        <v>9320</v>
      </c>
      <c r="C9292" s="3" t="s">
        <v>189</v>
      </c>
      <c r="D9292" s="3">
        <v>145.0</v>
      </c>
      <c r="E9292" s="3">
        <v>6.14</v>
      </c>
      <c r="F9292" s="3">
        <v>15.41</v>
      </c>
      <c r="G9292" s="3">
        <v>7.3</v>
      </c>
    </row>
    <row r="9293">
      <c r="A9293" s="3">
        <v>783037.0</v>
      </c>
      <c r="B9293" s="3" t="s">
        <v>9321</v>
      </c>
      <c r="C9293" s="3" t="s">
        <v>252</v>
      </c>
      <c r="D9293" s="3">
        <v>200.0</v>
      </c>
      <c r="E9293" s="3">
        <v>11.2</v>
      </c>
      <c r="F9293" s="3">
        <v>11.85</v>
      </c>
      <c r="G9293" s="3">
        <v>12.92</v>
      </c>
    </row>
    <row r="9294">
      <c r="A9294" s="3">
        <v>783038.0</v>
      </c>
      <c r="B9294" s="3" t="s">
        <v>9322</v>
      </c>
      <c r="C9294" s="3" t="s">
        <v>252</v>
      </c>
      <c r="D9294" s="3">
        <v>178.0</v>
      </c>
      <c r="E9294" s="3">
        <v>7.39</v>
      </c>
      <c r="F9294" s="3">
        <v>14.29</v>
      </c>
      <c r="G9294" s="3">
        <v>12.95</v>
      </c>
    </row>
    <row r="9295">
      <c r="A9295" s="3">
        <v>783039.0</v>
      </c>
      <c r="B9295" s="3" t="s">
        <v>9323</v>
      </c>
      <c r="C9295" s="3" t="s">
        <v>252</v>
      </c>
      <c r="D9295" s="3">
        <v>205.0</v>
      </c>
      <c r="E9295" s="3">
        <v>14.75</v>
      </c>
      <c r="F9295" s="3">
        <v>14.57</v>
      </c>
      <c r="G9295" s="3">
        <v>2.58</v>
      </c>
    </row>
    <row r="9296">
      <c r="A9296" s="3">
        <v>783040.0</v>
      </c>
      <c r="B9296" s="3" t="s">
        <v>9324</v>
      </c>
      <c r="C9296" s="3" t="s">
        <v>252</v>
      </c>
      <c r="D9296" s="3">
        <v>204.0</v>
      </c>
      <c r="E9296" s="3">
        <v>10.66</v>
      </c>
      <c r="F9296" s="3">
        <v>13.9</v>
      </c>
      <c r="G9296" s="3">
        <v>12.63</v>
      </c>
    </row>
    <row r="9297">
      <c r="A9297" s="3">
        <v>783041.0</v>
      </c>
      <c r="B9297" s="3" t="s">
        <v>9325</v>
      </c>
      <c r="C9297" s="3" t="s">
        <v>252</v>
      </c>
      <c r="D9297" s="3">
        <v>113.0</v>
      </c>
      <c r="E9297" s="3">
        <v>3.8</v>
      </c>
      <c r="F9297" s="3">
        <v>17.52</v>
      </c>
      <c r="G9297" s="3">
        <v>1.03</v>
      </c>
    </row>
    <row r="9298">
      <c r="A9298" s="3">
        <v>783042.0</v>
      </c>
      <c r="B9298" s="3" t="s">
        <v>9326</v>
      </c>
      <c r="C9298" s="3" t="s">
        <v>252</v>
      </c>
      <c r="D9298" s="3">
        <v>246.0</v>
      </c>
      <c r="E9298" s="3">
        <v>18.16</v>
      </c>
      <c r="F9298" s="3">
        <v>17.12</v>
      </c>
      <c r="G9298" s="3">
        <v>2.58</v>
      </c>
    </row>
    <row r="9299">
      <c r="A9299" s="3">
        <v>783043.0</v>
      </c>
      <c r="B9299" s="3" t="s">
        <v>9327</v>
      </c>
      <c r="C9299" s="3" t="s">
        <v>252</v>
      </c>
      <c r="D9299" s="3">
        <v>192.0</v>
      </c>
      <c r="E9299" s="3">
        <v>9.89</v>
      </c>
      <c r="F9299" s="3">
        <v>15.72</v>
      </c>
      <c r="G9299" s="3">
        <v>9.14</v>
      </c>
    </row>
    <row r="9300">
      <c r="A9300" s="3">
        <v>783044.0</v>
      </c>
      <c r="B9300" s="3" t="s">
        <v>9328</v>
      </c>
      <c r="C9300" s="3" t="s">
        <v>252</v>
      </c>
      <c r="D9300" s="3">
        <v>145.0</v>
      </c>
      <c r="E9300" s="3">
        <v>5.64</v>
      </c>
      <c r="F9300" s="3">
        <v>8.46</v>
      </c>
      <c r="G9300" s="3">
        <v>15.05</v>
      </c>
    </row>
    <row r="9301">
      <c r="A9301" s="3">
        <v>783045.0</v>
      </c>
      <c r="B9301" s="3" t="s">
        <v>9329</v>
      </c>
      <c r="C9301" s="3" t="s">
        <v>252</v>
      </c>
      <c r="D9301" s="3">
        <v>146.0</v>
      </c>
      <c r="E9301" s="3">
        <v>5.5</v>
      </c>
      <c r="F9301" s="3">
        <v>7.3</v>
      </c>
      <c r="G9301" s="3">
        <v>16.43</v>
      </c>
    </row>
    <row r="9302">
      <c r="A9302" s="3">
        <v>783046.0</v>
      </c>
      <c r="B9302" s="3" t="s">
        <v>9330</v>
      </c>
      <c r="C9302" s="3" t="s">
        <v>252</v>
      </c>
      <c r="D9302" s="3">
        <v>130.0</v>
      </c>
      <c r="E9302" s="3">
        <v>5.18</v>
      </c>
      <c r="F9302" s="3">
        <v>6.02</v>
      </c>
      <c r="G9302" s="3">
        <v>14.7</v>
      </c>
    </row>
    <row r="9303">
      <c r="A9303" s="3">
        <v>783047.0</v>
      </c>
      <c r="B9303" s="3" t="s">
        <v>9331</v>
      </c>
      <c r="C9303" s="3" t="s">
        <v>252</v>
      </c>
      <c r="D9303" s="3">
        <v>133.0</v>
      </c>
      <c r="E9303" s="3">
        <v>5.24</v>
      </c>
      <c r="F9303" s="3">
        <v>6.3</v>
      </c>
      <c r="G9303" s="3">
        <v>15.05</v>
      </c>
    </row>
    <row r="9304">
      <c r="A9304" s="3">
        <v>783048.0</v>
      </c>
      <c r="B9304" s="3" t="s">
        <v>9332</v>
      </c>
      <c r="C9304" s="3" t="s">
        <v>252</v>
      </c>
      <c r="D9304" s="3">
        <v>144.0</v>
      </c>
      <c r="E9304" s="3">
        <v>5.46</v>
      </c>
      <c r="F9304" s="3">
        <v>7.14</v>
      </c>
      <c r="G9304" s="3">
        <v>16.24</v>
      </c>
    </row>
    <row r="9305">
      <c r="A9305" s="3">
        <v>783049.0</v>
      </c>
      <c r="B9305" s="3" t="s">
        <v>9333</v>
      </c>
      <c r="C9305" s="3" t="s">
        <v>1464</v>
      </c>
      <c r="D9305" s="3">
        <v>139.0</v>
      </c>
      <c r="E9305" s="3">
        <v>7.11</v>
      </c>
      <c r="F9305" s="3">
        <v>10.18</v>
      </c>
      <c r="G9305" s="3">
        <v>8.19</v>
      </c>
    </row>
    <row r="9306">
      <c r="A9306" s="3">
        <v>783050.0</v>
      </c>
      <c r="B9306" s="3" t="s">
        <v>9334</v>
      </c>
      <c r="C9306" s="3" t="s">
        <v>252</v>
      </c>
      <c r="D9306" s="3">
        <v>136.0</v>
      </c>
      <c r="E9306" s="3">
        <v>5.37</v>
      </c>
      <c r="F9306" s="3">
        <v>8.18</v>
      </c>
      <c r="G9306" s="3">
        <v>13.45</v>
      </c>
    </row>
    <row r="9307">
      <c r="A9307" s="3">
        <v>783051.0</v>
      </c>
      <c r="B9307" s="3" t="s">
        <v>9335</v>
      </c>
      <c r="C9307" s="3" t="s">
        <v>252</v>
      </c>
      <c r="D9307" s="3">
        <v>134.0</v>
      </c>
      <c r="E9307" s="3">
        <v>5.22</v>
      </c>
      <c r="F9307" s="3">
        <v>6.46</v>
      </c>
      <c r="G9307" s="3">
        <v>15.39</v>
      </c>
    </row>
    <row r="9308">
      <c r="A9308" s="3">
        <v>783052.0</v>
      </c>
      <c r="B9308" s="3" t="s">
        <v>9336</v>
      </c>
      <c r="C9308" s="3" t="s">
        <v>252</v>
      </c>
      <c r="D9308" s="3">
        <v>232.0</v>
      </c>
      <c r="E9308" s="3">
        <v>11.83</v>
      </c>
      <c r="F9308" s="3">
        <v>20.98</v>
      </c>
      <c r="G9308" s="3">
        <v>9.35</v>
      </c>
    </row>
    <row r="9309">
      <c r="A9309" s="3">
        <v>783053.0</v>
      </c>
      <c r="B9309" s="3" t="s">
        <v>9337</v>
      </c>
      <c r="C9309" s="3" t="s">
        <v>252</v>
      </c>
      <c r="D9309" s="3">
        <v>206.0</v>
      </c>
      <c r="E9309" s="3">
        <v>14.89</v>
      </c>
      <c r="F9309" s="3">
        <v>15.66</v>
      </c>
      <c r="G9309" s="3">
        <v>2.57</v>
      </c>
    </row>
    <row r="9310">
      <c r="A9310" s="3">
        <v>783054.0</v>
      </c>
      <c r="B9310" s="3" t="s">
        <v>9338</v>
      </c>
      <c r="C9310" s="3" t="s">
        <v>252</v>
      </c>
      <c r="D9310" s="3">
        <v>246.0</v>
      </c>
      <c r="E9310" s="3">
        <v>15.31</v>
      </c>
      <c r="F9310" s="3">
        <v>19.04</v>
      </c>
      <c r="G9310" s="3">
        <v>6.77</v>
      </c>
    </row>
    <row r="9311">
      <c r="A9311" s="3">
        <v>783055.0</v>
      </c>
      <c r="B9311" s="3" t="s">
        <v>9339</v>
      </c>
      <c r="C9311" s="3" t="s">
        <v>252</v>
      </c>
      <c r="D9311" s="3">
        <v>196.0</v>
      </c>
      <c r="E9311" s="3">
        <v>16.22</v>
      </c>
      <c r="F9311" s="3">
        <v>6.93</v>
      </c>
      <c r="G9311" s="3">
        <v>5.22</v>
      </c>
    </row>
    <row r="9312">
      <c r="A9312" s="3">
        <v>783056.0</v>
      </c>
      <c r="B9312" s="3" t="s">
        <v>9340</v>
      </c>
      <c r="C9312" s="3" t="s">
        <v>252</v>
      </c>
      <c r="D9312" s="3">
        <v>136.0</v>
      </c>
      <c r="E9312" s="3">
        <v>5.51</v>
      </c>
      <c r="F9312" s="3">
        <v>15.01</v>
      </c>
      <c r="G9312" s="3">
        <v>5.74</v>
      </c>
    </row>
    <row r="9313">
      <c r="A9313" s="3">
        <v>783057.0</v>
      </c>
      <c r="B9313" s="3" t="s">
        <v>9341</v>
      </c>
      <c r="C9313" s="3" t="s">
        <v>252</v>
      </c>
      <c r="D9313" s="3">
        <v>175.0</v>
      </c>
      <c r="E9313" s="3">
        <v>8.2</v>
      </c>
      <c r="F9313" s="3">
        <v>14.85</v>
      </c>
      <c r="G9313" s="3">
        <v>9.86</v>
      </c>
    </row>
    <row r="9314">
      <c r="A9314" s="3">
        <v>783058.0</v>
      </c>
      <c r="B9314" s="3" t="s">
        <v>9342</v>
      </c>
      <c r="C9314" s="3" t="s">
        <v>252</v>
      </c>
      <c r="D9314" s="3">
        <v>118.0</v>
      </c>
      <c r="E9314" s="3">
        <v>4.76</v>
      </c>
      <c r="F9314" s="3">
        <v>8.72</v>
      </c>
      <c r="G9314" s="3">
        <v>9.82</v>
      </c>
    </row>
    <row r="9315">
      <c r="A9315" s="3">
        <v>783059.0</v>
      </c>
      <c r="B9315" s="3" t="s">
        <v>9343</v>
      </c>
      <c r="C9315" s="3" t="s">
        <v>252</v>
      </c>
      <c r="D9315" s="3">
        <v>258.0</v>
      </c>
      <c r="E9315" s="3">
        <v>15.12</v>
      </c>
      <c r="F9315" s="3">
        <v>16.5</v>
      </c>
      <c r="G9315" s="3">
        <v>13.18</v>
      </c>
    </row>
    <row r="9316">
      <c r="A9316" s="3">
        <v>783060.0</v>
      </c>
      <c r="B9316" s="3" t="s">
        <v>9344</v>
      </c>
      <c r="C9316" s="3" t="s">
        <v>252</v>
      </c>
      <c r="D9316" s="3">
        <v>204.0</v>
      </c>
      <c r="E9316" s="3">
        <v>10.66</v>
      </c>
      <c r="F9316" s="3">
        <v>13.9</v>
      </c>
      <c r="G9316" s="3">
        <v>12.63</v>
      </c>
    </row>
    <row r="9317">
      <c r="A9317" s="3">
        <v>783061.0</v>
      </c>
      <c r="B9317" s="3" t="s">
        <v>9345</v>
      </c>
      <c r="C9317" s="3" t="s">
        <v>252</v>
      </c>
      <c r="D9317" s="3">
        <v>230.0</v>
      </c>
      <c r="E9317" s="3">
        <v>15.45</v>
      </c>
      <c r="F9317" s="3">
        <v>18.1</v>
      </c>
      <c r="G9317" s="3">
        <v>3.67</v>
      </c>
    </row>
    <row r="9318">
      <c r="A9318" s="3">
        <v>783062.0</v>
      </c>
      <c r="B9318" s="3" t="s">
        <v>9346</v>
      </c>
      <c r="C9318" s="3" t="s">
        <v>252</v>
      </c>
      <c r="D9318" s="3">
        <v>174.0</v>
      </c>
      <c r="E9318" s="3">
        <v>8.94</v>
      </c>
      <c r="F9318" s="3">
        <v>16.39</v>
      </c>
      <c r="G9318" s="3">
        <v>6.09</v>
      </c>
    </row>
    <row r="9319">
      <c r="A9319" s="3">
        <v>783063.0</v>
      </c>
      <c r="B9319" s="3" t="s">
        <v>9347</v>
      </c>
      <c r="C9319" s="3" t="s">
        <v>252</v>
      </c>
      <c r="D9319" s="3">
        <v>223.0</v>
      </c>
      <c r="E9319" s="3">
        <v>15.44</v>
      </c>
      <c r="F9319" s="3">
        <v>8.42</v>
      </c>
      <c r="G9319" s="3">
        <v>12.66</v>
      </c>
    </row>
    <row r="9320">
      <c r="A9320" s="3">
        <v>783065.0</v>
      </c>
      <c r="B9320" s="3" t="s">
        <v>9348</v>
      </c>
      <c r="C9320" s="3" t="s">
        <v>7823</v>
      </c>
      <c r="D9320" s="3">
        <v>151.0</v>
      </c>
      <c r="E9320" s="3">
        <v>9.83</v>
      </c>
      <c r="F9320" s="3">
        <v>9.91</v>
      </c>
      <c r="G9320" s="3">
        <v>5.47</v>
      </c>
    </row>
    <row r="9321">
      <c r="A9321" s="3">
        <v>783066.0</v>
      </c>
      <c r="B9321" s="3" t="s">
        <v>9349</v>
      </c>
      <c r="C9321" s="3" t="s">
        <v>252</v>
      </c>
      <c r="D9321" s="3">
        <v>169.0</v>
      </c>
      <c r="E9321" s="3">
        <v>7.52</v>
      </c>
      <c r="F9321" s="3">
        <v>10.19</v>
      </c>
      <c r="G9321" s="3">
        <v>15.29</v>
      </c>
    </row>
    <row r="9322">
      <c r="A9322" s="3">
        <v>783067.0</v>
      </c>
      <c r="B9322" s="3" t="s">
        <v>9350</v>
      </c>
      <c r="C9322" s="3" t="s">
        <v>252</v>
      </c>
      <c r="D9322" s="3">
        <v>138.0</v>
      </c>
      <c r="E9322" s="3">
        <v>5.17</v>
      </c>
      <c r="F9322" s="3">
        <v>9.15</v>
      </c>
      <c r="G9322" s="3">
        <v>13.89</v>
      </c>
    </row>
    <row r="9323">
      <c r="A9323" s="3">
        <v>783068.0</v>
      </c>
      <c r="B9323" s="3" t="s">
        <v>9351</v>
      </c>
      <c r="C9323" s="3" t="s">
        <v>252</v>
      </c>
      <c r="D9323" s="3">
        <v>127.0</v>
      </c>
      <c r="E9323" s="3">
        <v>5.16</v>
      </c>
      <c r="F9323" s="3">
        <v>4.62</v>
      </c>
      <c r="G9323" s="3">
        <v>15.38</v>
      </c>
    </row>
    <row r="9324">
      <c r="A9324" s="3">
        <v>783069.0</v>
      </c>
      <c r="B9324" s="3" t="s">
        <v>9352</v>
      </c>
      <c r="C9324" s="3" t="s">
        <v>252</v>
      </c>
      <c r="D9324" s="3">
        <v>135.0</v>
      </c>
      <c r="E9324" s="3">
        <v>5.12</v>
      </c>
      <c r="F9324" s="3">
        <v>5.41</v>
      </c>
      <c r="G9324" s="3">
        <v>16.53</v>
      </c>
    </row>
    <row r="9325">
      <c r="A9325" s="3">
        <v>783070.0</v>
      </c>
      <c r="B9325" s="3" t="s">
        <v>9353</v>
      </c>
      <c r="C9325" s="3" t="s">
        <v>252</v>
      </c>
      <c r="D9325" s="3">
        <v>133.0</v>
      </c>
      <c r="E9325" s="3">
        <v>5.1</v>
      </c>
      <c r="F9325" s="3">
        <v>5.54</v>
      </c>
      <c r="G9325" s="3">
        <v>15.74</v>
      </c>
    </row>
    <row r="9326">
      <c r="A9326" s="3">
        <v>783071.0</v>
      </c>
      <c r="B9326" s="3" t="s">
        <v>9354</v>
      </c>
      <c r="C9326" s="3" t="s">
        <v>252</v>
      </c>
      <c r="D9326" s="3">
        <v>134.0</v>
      </c>
      <c r="E9326" s="3">
        <v>5.16</v>
      </c>
      <c r="F9326" s="3">
        <v>5.34</v>
      </c>
      <c r="G9326" s="3">
        <v>16.12</v>
      </c>
    </row>
    <row r="9327">
      <c r="A9327" s="3">
        <v>783072.0</v>
      </c>
      <c r="B9327" s="3" t="s">
        <v>9355</v>
      </c>
      <c r="C9327" s="3" t="s">
        <v>252</v>
      </c>
      <c r="D9327" s="3">
        <v>131.0</v>
      </c>
      <c r="E9327" s="3">
        <v>5.1</v>
      </c>
      <c r="F9327" s="3">
        <v>6.29</v>
      </c>
      <c r="G9327" s="3">
        <v>14.79</v>
      </c>
    </row>
    <row r="9328">
      <c r="A9328" s="3">
        <v>783073.0</v>
      </c>
      <c r="B9328" s="3" t="s">
        <v>9356</v>
      </c>
      <c r="C9328" s="3" t="s">
        <v>252</v>
      </c>
      <c r="D9328" s="3">
        <v>134.0</v>
      </c>
      <c r="E9328" s="3">
        <v>5.04</v>
      </c>
      <c r="F9328" s="3">
        <v>6.58</v>
      </c>
      <c r="G9328" s="3">
        <v>15.74</v>
      </c>
    </row>
    <row r="9329">
      <c r="A9329" s="3">
        <v>783074.0</v>
      </c>
      <c r="B9329" s="3" t="s">
        <v>9357</v>
      </c>
      <c r="C9329" s="3" t="s">
        <v>252</v>
      </c>
      <c r="D9329" s="3">
        <v>145.0</v>
      </c>
      <c r="E9329" s="3">
        <v>6.93</v>
      </c>
      <c r="F9329" s="3">
        <v>12.03</v>
      </c>
      <c r="G9329" s="3">
        <v>8.48</v>
      </c>
    </row>
    <row r="9330">
      <c r="A9330" s="3">
        <v>783075.0</v>
      </c>
      <c r="B9330" s="3" t="s">
        <v>9358</v>
      </c>
      <c r="C9330" s="3" t="s">
        <v>189</v>
      </c>
      <c r="D9330" s="3">
        <v>202.0</v>
      </c>
      <c r="E9330" s="3">
        <v>10.96</v>
      </c>
      <c r="F9330" s="3">
        <v>17.42</v>
      </c>
      <c r="G9330" s="3">
        <v>7.21</v>
      </c>
    </row>
    <row r="9331">
      <c r="A9331" s="3">
        <v>783076.0</v>
      </c>
      <c r="B9331" s="3" t="s">
        <v>9359</v>
      </c>
      <c r="C9331" s="3" t="s">
        <v>189</v>
      </c>
      <c r="D9331" s="3">
        <v>144.0</v>
      </c>
      <c r="E9331" s="3">
        <v>7.53</v>
      </c>
      <c r="F9331" s="3">
        <v>12.28</v>
      </c>
      <c r="G9331" s="3">
        <v>6.32</v>
      </c>
    </row>
    <row r="9332">
      <c r="A9332" s="3">
        <v>783077.0</v>
      </c>
      <c r="B9332" s="3" t="s">
        <v>9360</v>
      </c>
      <c r="C9332" s="3" t="s">
        <v>189</v>
      </c>
      <c r="D9332" s="3">
        <v>196.0</v>
      </c>
      <c r="E9332" s="3">
        <v>10.42</v>
      </c>
      <c r="F9332" s="3">
        <v>17.21</v>
      </c>
      <c r="G9332" s="3">
        <v>7.19</v>
      </c>
    </row>
    <row r="9333">
      <c r="A9333" s="3">
        <v>783078.0</v>
      </c>
      <c r="B9333" s="3" t="s">
        <v>9361</v>
      </c>
      <c r="C9333" s="3" t="s">
        <v>189</v>
      </c>
      <c r="D9333" s="3">
        <v>196.0</v>
      </c>
      <c r="E9333" s="3">
        <v>10.42</v>
      </c>
      <c r="F9333" s="3">
        <v>17.21</v>
      </c>
      <c r="G9333" s="3">
        <v>7.19</v>
      </c>
    </row>
    <row r="9334">
      <c r="A9334" s="3">
        <v>783079.0</v>
      </c>
      <c r="B9334" s="3" t="s">
        <v>9362</v>
      </c>
      <c r="C9334" s="3" t="s">
        <v>189</v>
      </c>
      <c r="D9334" s="3">
        <v>157.0</v>
      </c>
      <c r="E9334" s="3">
        <v>8.13</v>
      </c>
      <c r="F9334" s="3">
        <v>13.58</v>
      </c>
      <c r="G9334" s="3">
        <v>6.76</v>
      </c>
    </row>
    <row r="9335">
      <c r="A9335" s="3">
        <v>783081.0</v>
      </c>
      <c r="B9335" s="3" t="s">
        <v>9363</v>
      </c>
      <c r="C9335" s="3" t="s">
        <v>189</v>
      </c>
      <c r="D9335" s="3">
        <v>215.0</v>
      </c>
      <c r="E9335" s="3">
        <v>16.12</v>
      </c>
      <c r="F9335" s="3">
        <v>5.09</v>
      </c>
      <c r="G9335" s="3">
        <v>13.1</v>
      </c>
    </row>
    <row r="9336">
      <c r="A9336" s="3">
        <v>783082.0</v>
      </c>
      <c r="B9336" s="3" t="s">
        <v>9364</v>
      </c>
      <c r="C9336" s="3" t="s">
        <v>189</v>
      </c>
      <c r="D9336" s="3">
        <v>286.0</v>
      </c>
      <c r="E9336" s="3">
        <v>15.45</v>
      </c>
      <c r="F9336" s="3">
        <v>23.05</v>
      </c>
      <c r="G9336" s="3">
        <v>12.8</v>
      </c>
    </row>
    <row r="9337">
      <c r="A9337" s="3">
        <v>783083.0</v>
      </c>
      <c r="B9337" s="3" t="s">
        <v>9365</v>
      </c>
      <c r="C9337" s="3" t="s">
        <v>189</v>
      </c>
      <c r="D9337" s="3">
        <v>246.0</v>
      </c>
      <c r="E9337" s="3">
        <v>14.73</v>
      </c>
      <c r="F9337" s="3">
        <v>10.09</v>
      </c>
      <c r="G9337" s="3">
        <v>17.4</v>
      </c>
    </row>
    <row r="9338">
      <c r="A9338" s="3">
        <v>783084.0</v>
      </c>
      <c r="B9338" s="3" t="s">
        <v>9366</v>
      </c>
      <c r="C9338" s="3" t="s">
        <v>189</v>
      </c>
      <c r="D9338" s="3">
        <v>143.0</v>
      </c>
      <c r="E9338" s="3">
        <v>8.03</v>
      </c>
      <c r="F9338" s="3">
        <v>12.84</v>
      </c>
      <c r="G9338" s="3">
        <v>4.19</v>
      </c>
    </row>
    <row r="9339">
      <c r="A9339" s="3">
        <v>783085.0</v>
      </c>
      <c r="B9339" s="3" t="s">
        <v>9367</v>
      </c>
      <c r="C9339" s="3" t="s">
        <v>189</v>
      </c>
      <c r="D9339" s="3">
        <v>125.0</v>
      </c>
      <c r="E9339" s="3">
        <v>5.15</v>
      </c>
      <c r="F9339" s="3">
        <v>6.93</v>
      </c>
      <c r="G9339" s="3">
        <v>13.46</v>
      </c>
    </row>
    <row r="9340">
      <c r="A9340" s="3">
        <v>783086.0</v>
      </c>
      <c r="B9340" s="3" t="s">
        <v>9368</v>
      </c>
      <c r="C9340" s="3" t="s">
        <v>189</v>
      </c>
      <c r="D9340" s="3">
        <v>130.0</v>
      </c>
      <c r="E9340" s="3">
        <v>5.1</v>
      </c>
      <c r="F9340" s="3">
        <v>6.97</v>
      </c>
      <c r="G9340" s="3">
        <v>14.97</v>
      </c>
    </row>
    <row r="9341">
      <c r="A9341" s="3">
        <v>783087.0</v>
      </c>
      <c r="B9341" s="3" t="s">
        <v>9369</v>
      </c>
      <c r="C9341" s="3" t="s">
        <v>189</v>
      </c>
      <c r="D9341" s="3">
        <v>126.0</v>
      </c>
      <c r="E9341" s="3">
        <v>6.0</v>
      </c>
      <c r="F9341" s="3">
        <v>4.76</v>
      </c>
      <c r="G9341" s="3">
        <v>13.73</v>
      </c>
    </row>
    <row r="9342">
      <c r="A9342" s="3">
        <v>783088.0</v>
      </c>
      <c r="B9342" s="3" t="s">
        <v>9370</v>
      </c>
      <c r="C9342" s="3" t="s">
        <v>189</v>
      </c>
      <c r="D9342" s="3">
        <v>127.0</v>
      </c>
      <c r="E9342" s="3">
        <v>5.38</v>
      </c>
      <c r="F9342" s="3">
        <v>4.84</v>
      </c>
      <c r="G9342" s="3">
        <v>15.35</v>
      </c>
    </row>
    <row r="9343">
      <c r="A9343" s="3">
        <v>783089.0</v>
      </c>
      <c r="B9343" s="3" t="s">
        <v>9371</v>
      </c>
      <c r="C9343" s="3" t="s">
        <v>189</v>
      </c>
      <c r="D9343" s="3">
        <v>90.0</v>
      </c>
      <c r="E9343" s="3">
        <v>3.96</v>
      </c>
      <c r="F9343" s="3">
        <v>5.23</v>
      </c>
      <c r="G9343" s="3">
        <v>8.25</v>
      </c>
    </row>
    <row r="9344">
      <c r="A9344" s="3">
        <v>783090.0</v>
      </c>
      <c r="B9344" s="3" t="s">
        <v>9372</v>
      </c>
      <c r="C9344" s="3" t="s">
        <v>189</v>
      </c>
      <c r="D9344" s="3">
        <v>82.0</v>
      </c>
      <c r="E9344" s="3">
        <v>2.33</v>
      </c>
      <c r="F9344" s="3">
        <v>6.63</v>
      </c>
      <c r="G9344" s="3">
        <v>8.5</v>
      </c>
    </row>
    <row r="9345">
      <c r="A9345" s="3">
        <v>783091.0</v>
      </c>
      <c r="B9345" s="3" t="s">
        <v>9373</v>
      </c>
      <c r="C9345" s="3" t="s">
        <v>189</v>
      </c>
      <c r="D9345" s="3">
        <v>79.0</v>
      </c>
      <c r="E9345" s="3">
        <v>2.18</v>
      </c>
      <c r="F9345" s="3">
        <v>6.22</v>
      </c>
      <c r="G9345" s="3">
        <v>8.6</v>
      </c>
    </row>
    <row r="9346">
      <c r="A9346" s="3">
        <v>783092.0</v>
      </c>
      <c r="B9346" s="3" t="s">
        <v>9374</v>
      </c>
      <c r="C9346" s="3" t="s">
        <v>189</v>
      </c>
      <c r="D9346" s="3">
        <v>83.0</v>
      </c>
      <c r="E9346" s="3">
        <v>2.38</v>
      </c>
      <c r="F9346" s="3">
        <v>6.76</v>
      </c>
      <c r="G9346" s="3">
        <v>8.48</v>
      </c>
    </row>
    <row r="9347">
      <c r="A9347" s="3">
        <v>783093.0</v>
      </c>
      <c r="B9347" s="3" t="s">
        <v>9375</v>
      </c>
      <c r="C9347" s="3" t="s">
        <v>189</v>
      </c>
      <c r="D9347" s="3">
        <v>109.0</v>
      </c>
      <c r="E9347" s="3">
        <v>3.16</v>
      </c>
      <c r="F9347" s="3">
        <v>6.36</v>
      </c>
      <c r="G9347" s="3">
        <v>14.16</v>
      </c>
    </row>
    <row r="9348">
      <c r="A9348" s="3">
        <v>783094.0</v>
      </c>
      <c r="B9348" s="3" t="s">
        <v>9376</v>
      </c>
      <c r="C9348" s="3" t="s">
        <v>189</v>
      </c>
      <c r="D9348" s="3">
        <v>128.0</v>
      </c>
      <c r="E9348" s="3">
        <v>7.16</v>
      </c>
      <c r="F9348" s="3">
        <v>5.23</v>
      </c>
      <c r="G9348" s="3">
        <v>11.17</v>
      </c>
    </row>
    <row r="9349">
      <c r="A9349" s="3">
        <v>783095.0</v>
      </c>
      <c r="B9349" s="3" t="s">
        <v>9377</v>
      </c>
      <c r="C9349" s="3" t="s">
        <v>189</v>
      </c>
      <c r="D9349" s="3">
        <v>125.0</v>
      </c>
      <c r="E9349" s="3">
        <v>6.34</v>
      </c>
      <c r="F9349" s="3">
        <v>5.3</v>
      </c>
      <c r="G9349" s="3">
        <v>12.36</v>
      </c>
    </row>
    <row r="9350">
      <c r="A9350" s="3">
        <v>783096.0</v>
      </c>
      <c r="B9350" s="3" t="s">
        <v>9378</v>
      </c>
      <c r="C9350" s="3" t="s">
        <v>189</v>
      </c>
      <c r="D9350" s="3">
        <v>127.0</v>
      </c>
      <c r="E9350" s="3">
        <v>7.06</v>
      </c>
      <c r="F9350" s="3">
        <v>5.27</v>
      </c>
      <c r="G9350" s="3">
        <v>11.13</v>
      </c>
    </row>
    <row r="9351">
      <c r="A9351" s="3">
        <v>783097.0</v>
      </c>
      <c r="B9351" s="3" t="s">
        <v>9379</v>
      </c>
      <c r="C9351" s="3" t="s">
        <v>189</v>
      </c>
      <c r="D9351" s="3">
        <v>127.0</v>
      </c>
      <c r="E9351" s="3">
        <v>6.68</v>
      </c>
      <c r="F9351" s="3">
        <v>5.32</v>
      </c>
      <c r="G9351" s="3">
        <v>12.19</v>
      </c>
    </row>
    <row r="9352">
      <c r="A9352" s="3">
        <v>783098.0</v>
      </c>
      <c r="B9352" s="3" t="s">
        <v>9380</v>
      </c>
      <c r="C9352" s="3" t="s">
        <v>189</v>
      </c>
      <c r="D9352" s="3">
        <v>125.0</v>
      </c>
      <c r="E9352" s="3">
        <v>6.96</v>
      </c>
      <c r="F9352" s="3">
        <v>5.33</v>
      </c>
      <c r="G9352" s="3">
        <v>11.13</v>
      </c>
    </row>
    <row r="9353">
      <c r="A9353" s="3">
        <v>783099.0</v>
      </c>
      <c r="B9353" s="3" t="s">
        <v>9381</v>
      </c>
      <c r="C9353" s="3" t="s">
        <v>189</v>
      </c>
      <c r="D9353" s="3">
        <v>125.0</v>
      </c>
      <c r="E9353" s="3">
        <v>6.56</v>
      </c>
      <c r="F9353" s="3">
        <v>5.39</v>
      </c>
      <c r="G9353" s="3">
        <v>12.28</v>
      </c>
    </row>
    <row r="9354">
      <c r="A9354" s="3">
        <v>783100.0</v>
      </c>
      <c r="B9354" s="3" t="s">
        <v>9382</v>
      </c>
      <c r="C9354" s="3" t="s">
        <v>189</v>
      </c>
      <c r="D9354" s="3">
        <v>127.0</v>
      </c>
      <c r="E9354" s="3">
        <v>5.43</v>
      </c>
      <c r="F9354" s="3">
        <v>8.14</v>
      </c>
      <c r="G9354" s="3">
        <v>11.82</v>
      </c>
    </row>
    <row r="9355">
      <c r="A9355" s="3">
        <v>783101.0</v>
      </c>
      <c r="B9355" s="3" t="s">
        <v>9383</v>
      </c>
      <c r="C9355" s="3" t="s">
        <v>189</v>
      </c>
      <c r="D9355" s="3">
        <v>131.0</v>
      </c>
      <c r="E9355" s="3">
        <v>5.43</v>
      </c>
      <c r="F9355" s="3">
        <v>8.17</v>
      </c>
      <c r="G9355" s="3">
        <v>12.97</v>
      </c>
    </row>
    <row r="9356">
      <c r="A9356" s="3">
        <v>783102.0</v>
      </c>
      <c r="B9356" s="3" t="s">
        <v>9384</v>
      </c>
      <c r="C9356" s="3" t="s">
        <v>1464</v>
      </c>
      <c r="D9356" s="3">
        <v>146.0</v>
      </c>
      <c r="E9356" s="3">
        <v>8.68</v>
      </c>
      <c r="F9356" s="3">
        <v>11.65</v>
      </c>
      <c r="G9356" s="3">
        <v>6.04</v>
      </c>
    </row>
    <row r="9357">
      <c r="A9357" s="3">
        <v>783103.0</v>
      </c>
      <c r="B9357" s="3" t="s">
        <v>9385</v>
      </c>
      <c r="C9357" s="3" t="s">
        <v>1464</v>
      </c>
      <c r="D9357" s="3">
        <v>145.0</v>
      </c>
      <c r="E9357" s="3">
        <v>8.69</v>
      </c>
      <c r="F9357" s="3">
        <v>11.67</v>
      </c>
      <c r="G9357" s="3">
        <v>5.84</v>
      </c>
    </row>
    <row r="9358">
      <c r="A9358" s="3">
        <v>783104.0</v>
      </c>
      <c r="B9358" s="3" t="s">
        <v>9386</v>
      </c>
      <c r="C9358" s="3" t="s">
        <v>189</v>
      </c>
      <c r="D9358" s="3">
        <v>147.0</v>
      </c>
      <c r="E9358" s="3">
        <v>5.19</v>
      </c>
      <c r="F9358" s="3">
        <v>8.71</v>
      </c>
      <c r="G9358" s="3">
        <v>16.71</v>
      </c>
    </row>
    <row r="9359">
      <c r="A9359" s="3">
        <v>783105.0</v>
      </c>
      <c r="B9359" s="3" t="s">
        <v>9387</v>
      </c>
      <c r="C9359" s="3" t="s">
        <v>189</v>
      </c>
      <c r="D9359" s="3">
        <v>150.0</v>
      </c>
      <c r="E9359" s="3">
        <v>4.91</v>
      </c>
      <c r="F9359" s="3">
        <v>8.78</v>
      </c>
      <c r="G9359" s="3">
        <v>18.29</v>
      </c>
    </row>
    <row r="9360">
      <c r="A9360" s="3">
        <v>783106.0</v>
      </c>
      <c r="B9360" s="3" t="s">
        <v>9388</v>
      </c>
      <c r="C9360" s="3" t="s">
        <v>1464</v>
      </c>
      <c r="D9360" s="3">
        <v>130.0</v>
      </c>
      <c r="E9360" s="3">
        <v>4.18</v>
      </c>
      <c r="F9360" s="3">
        <v>10.44</v>
      </c>
      <c r="G9360" s="3">
        <v>12.29</v>
      </c>
    </row>
    <row r="9361">
      <c r="A9361" s="3">
        <v>783107.0</v>
      </c>
      <c r="B9361" s="3" t="s">
        <v>9389</v>
      </c>
      <c r="C9361" s="3" t="s">
        <v>1464</v>
      </c>
      <c r="D9361" s="3">
        <v>137.0</v>
      </c>
      <c r="E9361" s="3">
        <v>7.48</v>
      </c>
      <c r="F9361" s="3">
        <v>10.25</v>
      </c>
      <c r="G9361" s="3">
        <v>7.7</v>
      </c>
    </row>
    <row r="9362">
      <c r="A9362" s="3">
        <v>783108.0</v>
      </c>
      <c r="B9362" s="3" t="s">
        <v>9390</v>
      </c>
      <c r="C9362" s="3" t="s">
        <v>1464</v>
      </c>
      <c r="D9362" s="3">
        <v>139.0</v>
      </c>
      <c r="E9362" s="3">
        <v>7.72</v>
      </c>
      <c r="F9362" s="3">
        <v>10.51</v>
      </c>
      <c r="G9362" s="3">
        <v>7.47</v>
      </c>
    </row>
    <row r="9363">
      <c r="A9363" s="3">
        <v>783109.0</v>
      </c>
      <c r="B9363" s="3" t="s">
        <v>9391</v>
      </c>
      <c r="C9363" s="3" t="s">
        <v>189</v>
      </c>
      <c r="D9363" s="3">
        <v>125.0</v>
      </c>
      <c r="E9363" s="3">
        <v>5.06</v>
      </c>
      <c r="F9363" s="3">
        <v>6.74</v>
      </c>
      <c r="G9363" s="3">
        <v>13.74</v>
      </c>
    </row>
    <row r="9364">
      <c r="A9364" s="3">
        <v>783110.0</v>
      </c>
      <c r="B9364" s="3" t="s">
        <v>9392</v>
      </c>
      <c r="C9364" s="3" t="s">
        <v>189</v>
      </c>
      <c r="D9364" s="3">
        <v>129.0</v>
      </c>
      <c r="E9364" s="3">
        <v>5.07</v>
      </c>
      <c r="F9364" s="3">
        <v>6.77</v>
      </c>
      <c r="G9364" s="3">
        <v>14.86</v>
      </c>
    </row>
    <row r="9365">
      <c r="A9365" s="3">
        <v>783111.0</v>
      </c>
      <c r="B9365" s="3" t="s">
        <v>9393</v>
      </c>
      <c r="C9365" s="3" t="s">
        <v>189</v>
      </c>
      <c r="D9365" s="3">
        <v>125.0</v>
      </c>
      <c r="E9365" s="3">
        <v>5.06</v>
      </c>
      <c r="F9365" s="3">
        <v>6.6</v>
      </c>
      <c r="G9365" s="3">
        <v>13.58</v>
      </c>
    </row>
    <row r="9366">
      <c r="A9366" s="3">
        <v>783112.0</v>
      </c>
      <c r="B9366" s="3" t="s">
        <v>9394</v>
      </c>
      <c r="C9366" s="3" t="s">
        <v>189</v>
      </c>
      <c r="D9366" s="3">
        <v>128.0</v>
      </c>
      <c r="E9366" s="3">
        <v>5.02</v>
      </c>
      <c r="F9366" s="3">
        <v>6.62</v>
      </c>
      <c r="G9366" s="3">
        <v>14.63</v>
      </c>
    </row>
    <row r="9367">
      <c r="A9367" s="3">
        <v>783113.0</v>
      </c>
      <c r="B9367" s="3" t="s">
        <v>9395</v>
      </c>
      <c r="C9367" s="3" t="s">
        <v>189</v>
      </c>
      <c r="D9367" s="3">
        <v>127.0</v>
      </c>
      <c r="E9367" s="3">
        <v>5.04</v>
      </c>
      <c r="F9367" s="3">
        <v>6.65</v>
      </c>
      <c r="G9367" s="3">
        <v>13.81</v>
      </c>
    </row>
    <row r="9368">
      <c r="A9368" s="3">
        <v>783114.0</v>
      </c>
      <c r="B9368" s="3" t="s">
        <v>9396</v>
      </c>
      <c r="C9368" s="3" t="s">
        <v>189</v>
      </c>
      <c r="D9368" s="3">
        <v>130.0</v>
      </c>
      <c r="E9368" s="3">
        <v>5.05</v>
      </c>
      <c r="F9368" s="3">
        <v>6.68</v>
      </c>
      <c r="G9368" s="3">
        <v>14.94</v>
      </c>
    </row>
    <row r="9369">
      <c r="A9369" s="3">
        <v>783115.0</v>
      </c>
      <c r="B9369" s="3" t="s">
        <v>9397</v>
      </c>
      <c r="C9369" s="3" t="s">
        <v>189</v>
      </c>
      <c r="D9369" s="3">
        <v>148.0</v>
      </c>
      <c r="E9369" s="3">
        <v>4.86</v>
      </c>
      <c r="F9369" s="3">
        <v>7.54</v>
      </c>
      <c r="G9369" s="3">
        <v>18.38</v>
      </c>
    </row>
    <row r="9370">
      <c r="A9370" s="3">
        <v>783116.0</v>
      </c>
      <c r="B9370" s="3" t="s">
        <v>9398</v>
      </c>
      <c r="C9370" s="3" t="s">
        <v>189</v>
      </c>
      <c r="D9370" s="3">
        <v>149.0</v>
      </c>
      <c r="E9370" s="3">
        <v>4.29</v>
      </c>
      <c r="F9370" s="3">
        <v>7.62</v>
      </c>
      <c r="G9370" s="3">
        <v>20.0</v>
      </c>
    </row>
    <row r="9371">
      <c r="A9371" s="3">
        <v>783117.0</v>
      </c>
      <c r="B9371" s="3" t="s">
        <v>9399</v>
      </c>
      <c r="C9371" s="3" t="s">
        <v>189</v>
      </c>
      <c r="D9371" s="3">
        <v>131.0</v>
      </c>
      <c r="E9371" s="3">
        <v>5.4</v>
      </c>
      <c r="F9371" s="3">
        <v>5.85</v>
      </c>
      <c r="G9371" s="3">
        <v>14.9</v>
      </c>
    </row>
    <row r="9372">
      <c r="A9372" s="3">
        <v>783118.0</v>
      </c>
      <c r="B9372" s="3" t="s">
        <v>9400</v>
      </c>
      <c r="C9372" s="3" t="s">
        <v>189</v>
      </c>
      <c r="D9372" s="3">
        <v>131.0</v>
      </c>
      <c r="E9372" s="3">
        <v>4.99</v>
      </c>
      <c r="F9372" s="3">
        <v>5.91</v>
      </c>
      <c r="G9372" s="3">
        <v>16.08</v>
      </c>
    </row>
    <row r="9373">
      <c r="A9373" s="3">
        <v>783119.0</v>
      </c>
      <c r="B9373" s="3" t="s">
        <v>9401</v>
      </c>
      <c r="C9373" s="3" t="s">
        <v>189</v>
      </c>
      <c r="D9373" s="3">
        <v>112.0</v>
      </c>
      <c r="E9373" s="3">
        <v>5.03</v>
      </c>
      <c r="F9373" s="3">
        <v>8.45</v>
      </c>
      <c r="G9373" s="3">
        <v>8.51</v>
      </c>
    </row>
    <row r="9374">
      <c r="A9374" s="3">
        <v>783120.0</v>
      </c>
      <c r="B9374" s="3" t="s">
        <v>9402</v>
      </c>
      <c r="C9374" s="3" t="s">
        <v>189</v>
      </c>
      <c r="D9374" s="3">
        <v>234.0</v>
      </c>
      <c r="E9374" s="3">
        <v>18.08</v>
      </c>
      <c r="F9374" s="3">
        <v>7.9</v>
      </c>
      <c r="G9374" s="3">
        <v>11.18</v>
      </c>
    </row>
    <row r="9375">
      <c r="A9375" s="3">
        <v>783121.0</v>
      </c>
      <c r="B9375" s="3" t="s">
        <v>9403</v>
      </c>
      <c r="C9375" s="3" t="s">
        <v>189</v>
      </c>
      <c r="D9375" s="3">
        <v>129.0</v>
      </c>
      <c r="E9375" s="3">
        <v>5.22</v>
      </c>
      <c r="F9375" s="3">
        <v>5.78</v>
      </c>
      <c r="G9375" s="3">
        <v>14.69</v>
      </c>
    </row>
    <row r="9376">
      <c r="A9376" s="3">
        <v>783122.0</v>
      </c>
      <c r="B9376" s="3" t="s">
        <v>9404</v>
      </c>
      <c r="C9376" s="3" t="s">
        <v>189</v>
      </c>
      <c r="D9376" s="3">
        <v>133.0</v>
      </c>
      <c r="E9376" s="3">
        <v>5.22</v>
      </c>
      <c r="F9376" s="3">
        <v>5.8</v>
      </c>
      <c r="G9376" s="3">
        <v>15.73</v>
      </c>
    </row>
    <row r="9377">
      <c r="A9377" s="3">
        <v>783123.0</v>
      </c>
      <c r="B9377" s="3" t="s">
        <v>9405</v>
      </c>
      <c r="C9377" s="3" t="s">
        <v>189</v>
      </c>
      <c r="D9377" s="3">
        <v>147.0</v>
      </c>
      <c r="E9377" s="3">
        <v>5.51</v>
      </c>
      <c r="F9377" s="3">
        <v>8.58</v>
      </c>
      <c r="G9377" s="3">
        <v>15.54</v>
      </c>
    </row>
    <row r="9378">
      <c r="A9378" s="3">
        <v>783124.0</v>
      </c>
      <c r="B9378" s="3" t="s">
        <v>9406</v>
      </c>
      <c r="C9378" s="3" t="s">
        <v>189</v>
      </c>
      <c r="D9378" s="3">
        <v>143.0</v>
      </c>
      <c r="E9378" s="3">
        <v>5.24</v>
      </c>
      <c r="F9378" s="3">
        <v>8.18</v>
      </c>
      <c r="G9378" s="3">
        <v>15.85</v>
      </c>
    </row>
    <row r="9379">
      <c r="A9379" s="3">
        <v>783125.0</v>
      </c>
      <c r="B9379" s="3" t="s">
        <v>9407</v>
      </c>
      <c r="C9379" s="3" t="s">
        <v>189</v>
      </c>
      <c r="D9379" s="3">
        <v>130.0</v>
      </c>
      <c r="E9379" s="3">
        <v>5.18</v>
      </c>
      <c r="F9379" s="3">
        <v>5.77</v>
      </c>
      <c r="G9379" s="3">
        <v>15.01</v>
      </c>
    </row>
    <row r="9380">
      <c r="A9380" s="3">
        <v>783126.0</v>
      </c>
      <c r="B9380" s="3" t="s">
        <v>9408</v>
      </c>
      <c r="C9380" s="3" t="s">
        <v>189</v>
      </c>
      <c r="D9380" s="3">
        <v>134.0</v>
      </c>
      <c r="E9380" s="3">
        <v>5.18</v>
      </c>
      <c r="F9380" s="3">
        <v>5.8</v>
      </c>
      <c r="G9380" s="3">
        <v>16.13</v>
      </c>
    </row>
    <row r="9381">
      <c r="A9381" s="3">
        <v>783127.0</v>
      </c>
      <c r="B9381" s="3" t="s">
        <v>9409</v>
      </c>
      <c r="C9381" s="3" t="s">
        <v>1464</v>
      </c>
      <c r="D9381" s="3">
        <v>140.0</v>
      </c>
      <c r="E9381" s="3">
        <v>7.6</v>
      </c>
      <c r="F9381" s="3">
        <v>10.49</v>
      </c>
      <c r="G9381" s="3">
        <v>8.01</v>
      </c>
    </row>
    <row r="9382">
      <c r="A9382" s="3">
        <v>783128.0</v>
      </c>
      <c r="B9382" s="3" t="s">
        <v>9410</v>
      </c>
      <c r="C9382" s="3" t="s">
        <v>1464</v>
      </c>
      <c r="D9382" s="3">
        <v>143.0</v>
      </c>
      <c r="E9382" s="3">
        <v>7.84</v>
      </c>
      <c r="F9382" s="3">
        <v>10.76</v>
      </c>
      <c r="G9382" s="3">
        <v>7.79</v>
      </c>
    </row>
    <row r="9383">
      <c r="A9383" s="3">
        <v>783129.0</v>
      </c>
      <c r="B9383" s="3" t="s">
        <v>9411</v>
      </c>
      <c r="C9383" s="3" t="s">
        <v>189</v>
      </c>
      <c r="D9383" s="3">
        <v>223.0</v>
      </c>
      <c r="E9383" s="3">
        <v>13.5</v>
      </c>
      <c r="F9383" s="3">
        <v>7.99</v>
      </c>
      <c r="G9383" s="3">
        <v>17.09</v>
      </c>
    </row>
    <row r="9384">
      <c r="A9384" s="3">
        <v>783130.0</v>
      </c>
      <c r="B9384" s="3" t="s">
        <v>9412</v>
      </c>
      <c r="C9384" s="3" t="s">
        <v>189</v>
      </c>
      <c r="D9384" s="3">
        <v>127.0</v>
      </c>
      <c r="E9384" s="3">
        <v>6.3</v>
      </c>
      <c r="F9384" s="3">
        <v>6.08</v>
      </c>
      <c r="G9384" s="3">
        <v>11.59</v>
      </c>
    </row>
    <row r="9385">
      <c r="A9385" s="3">
        <v>783131.0</v>
      </c>
      <c r="B9385" s="3" t="s">
        <v>9413</v>
      </c>
      <c r="C9385" s="3" t="s">
        <v>189</v>
      </c>
      <c r="D9385" s="3">
        <v>129.0</v>
      </c>
      <c r="E9385" s="3">
        <v>6.09</v>
      </c>
      <c r="F9385" s="3">
        <v>6.12</v>
      </c>
      <c r="G9385" s="3">
        <v>12.74</v>
      </c>
    </row>
    <row r="9386">
      <c r="A9386" s="3">
        <v>783132.0</v>
      </c>
      <c r="B9386" s="3" t="s">
        <v>9414</v>
      </c>
      <c r="C9386" s="3" t="s">
        <v>189</v>
      </c>
      <c r="D9386" s="3">
        <v>161.0</v>
      </c>
      <c r="E9386" s="3">
        <v>7.23</v>
      </c>
      <c r="F9386" s="3">
        <v>8.63</v>
      </c>
      <c r="G9386" s="3">
        <v>15.56</v>
      </c>
    </row>
    <row r="9387">
      <c r="A9387" s="3">
        <v>783133.0</v>
      </c>
      <c r="B9387" s="3" t="s">
        <v>9415</v>
      </c>
      <c r="C9387" s="3" t="s">
        <v>189</v>
      </c>
      <c r="D9387" s="3">
        <v>233.0</v>
      </c>
      <c r="E9387" s="3">
        <v>14.16</v>
      </c>
      <c r="F9387" s="3">
        <v>7.99</v>
      </c>
      <c r="G9387" s="3">
        <v>18.48</v>
      </c>
    </row>
    <row r="9388">
      <c r="A9388" s="3">
        <v>783134.0</v>
      </c>
      <c r="B9388" s="3" t="s">
        <v>9416</v>
      </c>
      <c r="C9388" s="3" t="s">
        <v>189</v>
      </c>
      <c r="D9388" s="3">
        <v>150.0</v>
      </c>
      <c r="E9388" s="3">
        <v>4.91</v>
      </c>
      <c r="F9388" s="3">
        <v>8.42</v>
      </c>
      <c r="G9388" s="3">
        <v>18.31</v>
      </c>
    </row>
    <row r="9389">
      <c r="A9389" s="3">
        <v>783135.0</v>
      </c>
      <c r="B9389" s="3" t="s">
        <v>9417</v>
      </c>
      <c r="C9389" s="3" t="s">
        <v>189</v>
      </c>
      <c r="D9389" s="3">
        <v>147.0</v>
      </c>
      <c r="E9389" s="3">
        <v>5.19</v>
      </c>
      <c r="F9389" s="3">
        <v>8.35</v>
      </c>
      <c r="G9389" s="3">
        <v>16.74</v>
      </c>
    </row>
    <row r="9390">
      <c r="A9390" s="3">
        <v>783136.0</v>
      </c>
      <c r="B9390" s="3" t="s">
        <v>9418</v>
      </c>
      <c r="C9390" s="3" t="s">
        <v>189</v>
      </c>
      <c r="D9390" s="3">
        <v>155.0</v>
      </c>
      <c r="E9390" s="3">
        <v>6.42</v>
      </c>
      <c r="F9390" s="3">
        <v>9.18</v>
      </c>
      <c r="G9390" s="3">
        <v>15.32</v>
      </c>
    </row>
    <row r="9391">
      <c r="A9391" s="3">
        <v>783137.0</v>
      </c>
      <c r="B9391" s="3" t="s">
        <v>9419</v>
      </c>
      <c r="C9391" s="3" t="s">
        <v>189</v>
      </c>
      <c r="D9391" s="3">
        <v>128.0</v>
      </c>
      <c r="E9391" s="3">
        <v>5.43</v>
      </c>
      <c r="F9391" s="3">
        <v>6.55</v>
      </c>
      <c r="G9391" s="3">
        <v>13.44</v>
      </c>
    </row>
    <row r="9392">
      <c r="A9392" s="3">
        <v>783138.0</v>
      </c>
      <c r="B9392" s="3" t="s">
        <v>9420</v>
      </c>
      <c r="C9392" s="3" t="s">
        <v>189</v>
      </c>
      <c r="D9392" s="3">
        <v>125.0</v>
      </c>
      <c r="E9392" s="3">
        <v>5.02</v>
      </c>
      <c r="F9392" s="3">
        <v>6.48</v>
      </c>
      <c r="G9392" s="3">
        <v>13.75</v>
      </c>
    </row>
    <row r="9393">
      <c r="A9393" s="3">
        <v>783139.0</v>
      </c>
      <c r="B9393" s="3" t="s">
        <v>9421</v>
      </c>
      <c r="C9393" s="3" t="s">
        <v>189</v>
      </c>
      <c r="D9393" s="3">
        <v>131.0</v>
      </c>
      <c r="E9393" s="3">
        <v>5.69</v>
      </c>
      <c r="F9393" s="3">
        <v>5.26</v>
      </c>
      <c r="G9393" s="3">
        <v>15.34</v>
      </c>
    </row>
    <row r="9394">
      <c r="A9394" s="3">
        <v>783140.0</v>
      </c>
      <c r="B9394" s="3" t="s">
        <v>9422</v>
      </c>
      <c r="C9394" s="3" t="s">
        <v>189</v>
      </c>
      <c r="D9394" s="3">
        <v>127.0</v>
      </c>
      <c r="E9394" s="3">
        <v>5.69</v>
      </c>
      <c r="F9394" s="3">
        <v>5.22</v>
      </c>
      <c r="G9394" s="3">
        <v>14.19</v>
      </c>
    </row>
    <row r="9395">
      <c r="A9395" s="3">
        <v>783141.0</v>
      </c>
      <c r="B9395" s="3" t="s">
        <v>9423</v>
      </c>
      <c r="C9395" s="3" t="s">
        <v>189</v>
      </c>
      <c r="D9395" s="3">
        <v>126.0</v>
      </c>
      <c r="E9395" s="3">
        <v>7.07</v>
      </c>
      <c r="F9395" s="3">
        <v>5.01</v>
      </c>
      <c r="G9395" s="3">
        <v>11.29</v>
      </c>
    </row>
    <row r="9396">
      <c r="A9396" s="3">
        <v>783142.0</v>
      </c>
      <c r="B9396" s="3" t="s">
        <v>9424</v>
      </c>
      <c r="C9396" s="3" t="s">
        <v>189</v>
      </c>
      <c r="D9396" s="3">
        <v>126.0</v>
      </c>
      <c r="E9396" s="3">
        <v>6.64</v>
      </c>
      <c r="F9396" s="3">
        <v>5.12</v>
      </c>
      <c r="G9396" s="3">
        <v>12.28</v>
      </c>
    </row>
    <row r="9397">
      <c r="A9397" s="3">
        <v>783143.0</v>
      </c>
      <c r="B9397" s="3" t="s">
        <v>9425</v>
      </c>
      <c r="C9397" s="3" t="s">
        <v>189</v>
      </c>
      <c r="D9397" s="3">
        <v>127.0</v>
      </c>
      <c r="E9397" s="3">
        <v>7.53</v>
      </c>
      <c r="F9397" s="3">
        <v>3.73</v>
      </c>
      <c r="G9397" s="3">
        <v>11.61</v>
      </c>
    </row>
    <row r="9398">
      <c r="A9398" s="3">
        <v>783144.0</v>
      </c>
      <c r="B9398" s="3" t="s">
        <v>9426</v>
      </c>
      <c r="C9398" s="3" t="s">
        <v>189</v>
      </c>
      <c r="D9398" s="3">
        <v>128.0</v>
      </c>
      <c r="E9398" s="3">
        <v>7.12</v>
      </c>
      <c r="F9398" s="3">
        <v>3.78</v>
      </c>
      <c r="G9398" s="3">
        <v>12.78</v>
      </c>
    </row>
    <row r="9399">
      <c r="A9399" s="3">
        <v>783145.0</v>
      </c>
      <c r="B9399" s="3" t="s">
        <v>9427</v>
      </c>
      <c r="C9399" s="3" t="s">
        <v>189</v>
      </c>
      <c r="D9399" s="3">
        <v>125.0</v>
      </c>
      <c r="E9399" s="3">
        <v>6.84</v>
      </c>
      <c r="F9399" s="3">
        <v>4.98</v>
      </c>
      <c r="G9399" s="3">
        <v>11.22</v>
      </c>
    </row>
    <row r="9400">
      <c r="A9400" s="3">
        <v>783146.0</v>
      </c>
      <c r="B9400" s="3" t="s">
        <v>9428</v>
      </c>
      <c r="C9400" s="3" t="s">
        <v>189</v>
      </c>
      <c r="D9400" s="3">
        <v>126.0</v>
      </c>
      <c r="E9400" s="3">
        <v>6.43</v>
      </c>
      <c r="F9400" s="3">
        <v>5.03</v>
      </c>
      <c r="G9400" s="3">
        <v>12.37</v>
      </c>
    </row>
    <row r="9401">
      <c r="A9401" s="3">
        <v>783147.0</v>
      </c>
      <c r="B9401" s="3" t="s">
        <v>9429</v>
      </c>
      <c r="C9401" s="3" t="s">
        <v>189</v>
      </c>
      <c r="D9401" s="3">
        <v>133.0</v>
      </c>
      <c r="E9401" s="3">
        <v>5.44</v>
      </c>
      <c r="F9401" s="3">
        <v>6.59</v>
      </c>
      <c r="G9401" s="3">
        <v>14.94</v>
      </c>
    </row>
    <row r="9402">
      <c r="A9402" s="3">
        <v>783148.0</v>
      </c>
      <c r="B9402" s="3" t="s">
        <v>9430</v>
      </c>
      <c r="C9402" s="3" t="s">
        <v>1464</v>
      </c>
      <c r="D9402" s="3">
        <v>144.0</v>
      </c>
      <c r="E9402" s="3">
        <v>5.67</v>
      </c>
      <c r="F9402" s="3">
        <v>10.07</v>
      </c>
      <c r="G9402" s="3">
        <v>12.29</v>
      </c>
    </row>
    <row r="9403">
      <c r="A9403" s="3">
        <v>783149.0</v>
      </c>
      <c r="B9403" s="3" t="s">
        <v>9431</v>
      </c>
      <c r="C9403" s="3" t="s">
        <v>1464</v>
      </c>
      <c r="D9403" s="3">
        <v>142.0</v>
      </c>
      <c r="E9403" s="3">
        <v>7.79</v>
      </c>
      <c r="F9403" s="3">
        <v>9.89</v>
      </c>
      <c r="G9403" s="3">
        <v>8.01</v>
      </c>
    </row>
    <row r="9404">
      <c r="A9404" s="3">
        <v>783150.0</v>
      </c>
      <c r="B9404" s="3" t="s">
        <v>9432</v>
      </c>
      <c r="C9404" s="3" t="s">
        <v>1464</v>
      </c>
      <c r="D9404" s="3">
        <v>144.0</v>
      </c>
      <c r="E9404" s="3">
        <v>8.04</v>
      </c>
      <c r="F9404" s="3">
        <v>10.14</v>
      </c>
      <c r="G9404" s="3">
        <v>7.79</v>
      </c>
    </row>
    <row r="9405">
      <c r="A9405" s="3">
        <v>783151.0</v>
      </c>
      <c r="B9405" s="3" t="s">
        <v>9433</v>
      </c>
      <c r="C9405" s="3" t="s">
        <v>189</v>
      </c>
      <c r="D9405" s="3">
        <v>128.0</v>
      </c>
      <c r="E9405" s="3">
        <v>5.07</v>
      </c>
      <c r="F9405" s="3">
        <v>5.61</v>
      </c>
      <c r="G9405" s="3">
        <v>14.96</v>
      </c>
    </row>
    <row r="9406">
      <c r="A9406" s="3">
        <v>783152.0</v>
      </c>
      <c r="B9406" s="3" t="s">
        <v>9434</v>
      </c>
      <c r="C9406" s="3" t="s">
        <v>189</v>
      </c>
      <c r="D9406" s="3">
        <v>132.0</v>
      </c>
      <c r="E9406" s="3">
        <v>5.07</v>
      </c>
      <c r="F9406" s="3">
        <v>5.64</v>
      </c>
      <c r="G9406" s="3">
        <v>16.08</v>
      </c>
    </row>
    <row r="9407">
      <c r="A9407" s="3">
        <v>783153.0</v>
      </c>
      <c r="B9407" s="3" t="s">
        <v>9435</v>
      </c>
      <c r="C9407" s="3" t="s">
        <v>189</v>
      </c>
      <c r="D9407" s="3">
        <v>125.0</v>
      </c>
      <c r="E9407" s="3">
        <v>5.06</v>
      </c>
      <c r="F9407" s="3">
        <v>5.56</v>
      </c>
      <c r="G9407" s="3">
        <v>15.02</v>
      </c>
    </row>
    <row r="9408">
      <c r="A9408" s="3">
        <v>783154.0</v>
      </c>
      <c r="B9408" s="3" t="s">
        <v>9436</v>
      </c>
      <c r="C9408" s="3" t="s">
        <v>189</v>
      </c>
      <c r="D9408" s="3">
        <v>127.0</v>
      </c>
      <c r="E9408" s="3">
        <v>5.9</v>
      </c>
      <c r="F9408" s="3">
        <v>5.47</v>
      </c>
      <c r="G9408" s="3">
        <v>13.4</v>
      </c>
    </row>
    <row r="9409">
      <c r="A9409" s="3">
        <v>783155.0</v>
      </c>
      <c r="B9409" s="3" t="s">
        <v>9437</v>
      </c>
      <c r="C9409" s="3" t="s">
        <v>1464</v>
      </c>
      <c r="D9409" s="3">
        <v>184.0</v>
      </c>
      <c r="E9409" s="3">
        <v>7.0</v>
      </c>
      <c r="F9409" s="3">
        <v>10.16</v>
      </c>
      <c r="G9409" s="3">
        <v>19.98</v>
      </c>
    </row>
    <row r="9410">
      <c r="A9410" s="3">
        <v>783156.0</v>
      </c>
      <c r="B9410" s="3" t="s">
        <v>9438</v>
      </c>
      <c r="C9410" s="3" t="s">
        <v>189</v>
      </c>
      <c r="D9410" s="3">
        <v>122.0</v>
      </c>
      <c r="E9410" s="3">
        <v>5.04</v>
      </c>
      <c r="F9410" s="3">
        <v>6.98</v>
      </c>
      <c r="G9410" s="3">
        <v>12.47</v>
      </c>
    </row>
    <row r="9411">
      <c r="A9411" s="3">
        <v>783157.0</v>
      </c>
      <c r="B9411" s="3" t="s">
        <v>9439</v>
      </c>
      <c r="C9411" s="3" t="s">
        <v>189</v>
      </c>
      <c r="D9411" s="3">
        <v>103.0</v>
      </c>
      <c r="E9411" s="3">
        <v>2.28</v>
      </c>
      <c r="F9411" s="3">
        <v>8.82</v>
      </c>
      <c r="G9411" s="3">
        <v>11.69</v>
      </c>
    </row>
    <row r="9412">
      <c r="A9412" s="3">
        <v>783158.0</v>
      </c>
      <c r="B9412" s="3" t="s">
        <v>9440</v>
      </c>
      <c r="C9412" s="3" t="s">
        <v>189</v>
      </c>
      <c r="D9412" s="3">
        <v>136.0</v>
      </c>
      <c r="E9412" s="3">
        <v>5.51</v>
      </c>
      <c r="F9412" s="3">
        <v>5.05</v>
      </c>
      <c r="G9412" s="3">
        <v>16.34</v>
      </c>
    </row>
    <row r="9413">
      <c r="A9413" s="3">
        <v>783159.0</v>
      </c>
      <c r="B9413" s="3" t="s">
        <v>9441</v>
      </c>
      <c r="C9413" s="3" t="s">
        <v>189</v>
      </c>
      <c r="D9413" s="3">
        <v>129.0</v>
      </c>
      <c r="E9413" s="3">
        <v>5.31</v>
      </c>
      <c r="F9413" s="3">
        <v>5.13</v>
      </c>
      <c r="G9413" s="3">
        <v>15.15</v>
      </c>
    </row>
    <row r="9414">
      <c r="A9414" s="3">
        <v>783160.0</v>
      </c>
      <c r="B9414" s="3" t="s">
        <v>9442</v>
      </c>
      <c r="C9414" s="3" t="s">
        <v>189</v>
      </c>
      <c r="D9414" s="3">
        <v>132.0</v>
      </c>
      <c r="E9414" s="3">
        <v>5.5</v>
      </c>
      <c r="F9414" s="3">
        <v>5.02</v>
      </c>
      <c r="G9414" s="3">
        <v>15.2</v>
      </c>
    </row>
    <row r="9415">
      <c r="A9415" s="3">
        <v>783161.0</v>
      </c>
      <c r="B9415" s="3" t="s">
        <v>9443</v>
      </c>
      <c r="C9415" s="3" t="s">
        <v>189</v>
      </c>
      <c r="D9415" s="3">
        <v>99.0</v>
      </c>
      <c r="E9415" s="3">
        <v>2.3</v>
      </c>
      <c r="F9415" s="3">
        <v>8.78</v>
      </c>
      <c r="G9415" s="3">
        <v>10.74</v>
      </c>
    </row>
    <row r="9416">
      <c r="A9416" s="3">
        <v>783162.0</v>
      </c>
      <c r="B9416" s="3" t="s">
        <v>9444</v>
      </c>
      <c r="C9416" s="3" t="s">
        <v>189</v>
      </c>
      <c r="D9416" s="3">
        <v>266.0</v>
      </c>
      <c r="E9416" s="3">
        <v>21.21</v>
      </c>
      <c r="F9416" s="3">
        <v>8.23</v>
      </c>
      <c r="G9416" s="3">
        <v>11.86</v>
      </c>
    </row>
    <row r="9417">
      <c r="A9417" s="3">
        <v>783163.0</v>
      </c>
      <c r="B9417" s="3" t="s">
        <v>9445</v>
      </c>
      <c r="C9417" s="3" t="s">
        <v>189</v>
      </c>
      <c r="D9417" s="3">
        <v>97.0</v>
      </c>
      <c r="E9417" s="3">
        <v>1.89</v>
      </c>
      <c r="F9417" s="3">
        <v>8.25</v>
      </c>
      <c r="G9417" s="3">
        <v>11.66</v>
      </c>
    </row>
    <row r="9418">
      <c r="A9418" s="3">
        <v>783164.0</v>
      </c>
      <c r="B9418" s="3" t="s">
        <v>9446</v>
      </c>
      <c r="C9418" s="3" t="s">
        <v>189</v>
      </c>
      <c r="D9418" s="3">
        <v>93.0</v>
      </c>
      <c r="E9418" s="3">
        <v>1.9</v>
      </c>
      <c r="F9418" s="3">
        <v>8.2</v>
      </c>
      <c r="G9418" s="3">
        <v>10.72</v>
      </c>
    </row>
    <row r="9419">
      <c r="A9419" s="3">
        <v>783165.0</v>
      </c>
      <c r="B9419" s="3" t="s">
        <v>9447</v>
      </c>
      <c r="C9419" s="3" t="s">
        <v>189</v>
      </c>
      <c r="D9419" s="3">
        <v>168.0</v>
      </c>
      <c r="E9419" s="3">
        <v>7.97</v>
      </c>
      <c r="F9419" s="3">
        <v>16.38</v>
      </c>
      <c r="G9419" s="3">
        <v>7.24</v>
      </c>
    </row>
    <row r="9420">
      <c r="A9420" s="3">
        <v>783166.0</v>
      </c>
      <c r="B9420" s="3" t="s">
        <v>9448</v>
      </c>
      <c r="C9420" s="3" t="s">
        <v>189</v>
      </c>
      <c r="D9420" s="3">
        <v>79.0</v>
      </c>
      <c r="E9420" s="3">
        <v>2.76</v>
      </c>
      <c r="F9420" s="3">
        <v>6.34</v>
      </c>
      <c r="G9420" s="3">
        <v>7.1</v>
      </c>
    </row>
    <row r="9421">
      <c r="A9421" s="3">
        <v>783167.0</v>
      </c>
      <c r="B9421" s="3" t="s">
        <v>9449</v>
      </c>
      <c r="C9421" s="3" t="s">
        <v>189</v>
      </c>
      <c r="D9421" s="3">
        <v>82.0</v>
      </c>
      <c r="E9421" s="3">
        <v>2.58</v>
      </c>
      <c r="F9421" s="3">
        <v>6.18</v>
      </c>
      <c r="G9421" s="3">
        <v>8.55</v>
      </c>
    </row>
    <row r="9422">
      <c r="A9422" s="3">
        <v>783168.0</v>
      </c>
      <c r="B9422" s="3" t="s">
        <v>9450</v>
      </c>
      <c r="C9422" s="3" t="s">
        <v>189</v>
      </c>
      <c r="D9422" s="3">
        <v>63.0</v>
      </c>
      <c r="E9422" s="3">
        <v>1.81</v>
      </c>
      <c r="F9422" s="3">
        <v>6.97</v>
      </c>
      <c r="G9422" s="3">
        <v>4.44</v>
      </c>
    </row>
    <row r="9423">
      <c r="A9423" s="3">
        <v>783169.0</v>
      </c>
      <c r="B9423" s="3" t="s">
        <v>9451</v>
      </c>
      <c r="C9423" s="3" t="s">
        <v>189</v>
      </c>
      <c r="D9423" s="3">
        <v>210.0</v>
      </c>
      <c r="E9423" s="3">
        <v>12.44</v>
      </c>
      <c r="F9423" s="3">
        <v>17.18</v>
      </c>
      <c r="G9423" s="3">
        <v>6.85</v>
      </c>
    </row>
    <row r="9424">
      <c r="A9424" s="3">
        <v>783170.0</v>
      </c>
      <c r="B9424" s="3" t="s">
        <v>9452</v>
      </c>
      <c r="C9424" s="3" t="s">
        <v>189</v>
      </c>
      <c r="D9424" s="3">
        <v>71.0</v>
      </c>
      <c r="E9424" s="3">
        <v>0.82</v>
      </c>
      <c r="F9424" s="3">
        <v>7.52</v>
      </c>
      <c r="G9424" s="3">
        <v>8.39</v>
      </c>
    </row>
    <row r="9425">
      <c r="A9425" s="3">
        <v>783171.0</v>
      </c>
      <c r="B9425" s="3" t="s">
        <v>9453</v>
      </c>
      <c r="C9425" s="3" t="s">
        <v>189</v>
      </c>
      <c r="D9425" s="3">
        <v>72.0</v>
      </c>
      <c r="E9425" s="3">
        <v>0.84</v>
      </c>
      <c r="F9425" s="3">
        <v>7.79</v>
      </c>
      <c r="G9425" s="3">
        <v>8.38</v>
      </c>
    </row>
    <row r="9426">
      <c r="A9426" s="3">
        <v>783172.0</v>
      </c>
      <c r="B9426" s="3" t="s">
        <v>9454</v>
      </c>
      <c r="C9426" s="3" t="s">
        <v>189</v>
      </c>
      <c r="D9426" s="3">
        <v>126.0</v>
      </c>
      <c r="E9426" s="3">
        <v>6.5</v>
      </c>
      <c r="F9426" s="3">
        <v>5.95</v>
      </c>
      <c r="G9426" s="3">
        <v>11.17</v>
      </c>
    </row>
    <row r="9427">
      <c r="A9427" s="3">
        <v>783173.0</v>
      </c>
      <c r="B9427" s="3" t="s">
        <v>9455</v>
      </c>
      <c r="C9427" s="3" t="s">
        <v>189</v>
      </c>
      <c r="D9427" s="3">
        <v>127.0</v>
      </c>
      <c r="E9427" s="3">
        <v>6.1</v>
      </c>
      <c r="F9427" s="3">
        <v>6.01</v>
      </c>
      <c r="G9427" s="3">
        <v>12.31</v>
      </c>
    </row>
    <row r="9428">
      <c r="A9428" s="3">
        <v>783174.0</v>
      </c>
      <c r="B9428" s="3" t="s">
        <v>9456</v>
      </c>
      <c r="C9428" s="3" t="s">
        <v>189</v>
      </c>
      <c r="D9428" s="3">
        <v>129.0</v>
      </c>
      <c r="E9428" s="3">
        <v>5.11</v>
      </c>
      <c r="F9428" s="3">
        <v>7.43</v>
      </c>
      <c r="G9428" s="3">
        <v>13.64</v>
      </c>
    </row>
    <row r="9429">
      <c r="A9429" s="3">
        <v>783175.0</v>
      </c>
      <c r="B9429" s="3" t="s">
        <v>9457</v>
      </c>
      <c r="C9429" s="3" t="s">
        <v>189</v>
      </c>
      <c r="D9429" s="3">
        <v>133.0</v>
      </c>
      <c r="E9429" s="3">
        <v>5.11</v>
      </c>
      <c r="F9429" s="3">
        <v>7.47</v>
      </c>
      <c r="G9429" s="3">
        <v>14.75</v>
      </c>
    </row>
    <row r="9430">
      <c r="A9430" s="3">
        <v>783176.0</v>
      </c>
      <c r="B9430" s="3" t="s">
        <v>9458</v>
      </c>
      <c r="C9430" s="3" t="s">
        <v>189</v>
      </c>
      <c r="D9430" s="3">
        <v>127.0</v>
      </c>
      <c r="E9430" s="3">
        <v>6.37</v>
      </c>
      <c r="F9430" s="3">
        <v>4.72</v>
      </c>
      <c r="G9430" s="3">
        <v>13.56</v>
      </c>
    </row>
    <row r="9431">
      <c r="A9431" s="3">
        <v>783177.0</v>
      </c>
      <c r="B9431" s="3" t="s">
        <v>9459</v>
      </c>
      <c r="C9431" s="3" t="s">
        <v>189</v>
      </c>
      <c r="D9431" s="3">
        <v>129.0</v>
      </c>
      <c r="E9431" s="3">
        <v>5.97</v>
      </c>
      <c r="F9431" s="3">
        <v>6.16</v>
      </c>
      <c r="G9431" s="3">
        <v>13.29</v>
      </c>
    </row>
    <row r="9432">
      <c r="A9432" s="3">
        <v>783178.0</v>
      </c>
      <c r="B9432" s="3" t="s">
        <v>9460</v>
      </c>
      <c r="C9432" s="3" t="s">
        <v>189</v>
      </c>
      <c r="D9432" s="3">
        <v>132.0</v>
      </c>
      <c r="E9432" s="3">
        <v>5.7</v>
      </c>
      <c r="F9432" s="3">
        <v>6.21</v>
      </c>
      <c r="G9432" s="3">
        <v>14.81</v>
      </c>
    </row>
    <row r="9433">
      <c r="A9433" s="3">
        <v>783179.0</v>
      </c>
      <c r="B9433" s="3" t="s">
        <v>9461</v>
      </c>
      <c r="C9433" s="3" t="s">
        <v>189</v>
      </c>
      <c r="D9433" s="3">
        <v>123.0</v>
      </c>
      <c r="E9433" s="3">
        <v>6.82</v>
      </c>
      <c r="F9433" s="3">
        <v>4.72</v>
      </c>
      <c r="G9433" s="3">
        <v>11.17</v>
      </c>
    </row>
    <row r="9434">
      <c r="A9434" s="3">
        <v>783180.0</v>
      </c>
      <c r="B9434" s="3" t="s">
        <v>9462</v>
      </c>
      <c r="C9434" s="3" t="s">
        <v>189</v>
      </c>
      <c r="D9434" s="3">
        <v>126.0</v>
      </c>
      <c r="E9434" s="3">
        <v>6.82</v>
      </c>
      <c r="F9434" s="3">
        <v>4.75</v>
      </c>
      <c r="G9434" s="3">
        <v>12.27</v>
      </c>
    </row>
    <row r="9435">
      <c r="A9435" s="3">
        <v>783181.0</v>
      </c>
      <c r="B9435" s="3" t="s">
        <v>9463</v>
      </c>
      <c r="C9435" s="3" t="s">
        <v>189</v>
      </c>
      <c r="D9435" s="3">
        <v>125.0</v>
      </c>
      <c r="E9435" s="3">
        <v>7.11</v>
      </c>
      <c r="F9435" s="3">
        <v>4.78</v>
      </c>
      <c r="G9435" s="3">
        <v>11.08</v>
      </c>
    </row>
    <row r="9436">
      <c r="A9436" s="3">
        <v>783182.0</v>
      </c>
      <c r="B9436" s="3" t="s">
        <v>9464</v>
      </c>
      <c r="C9436" s="3" t="s">
        <v>189</v>
      </c>
      <c r="D9436" s="3">
        <v>125.0</v>
      </c>
      <c r="E9436" s="3">
        <v>6.74</v>
      </c>
      <c r="F9436" s="3">
        <v>4.83</v>
      </c>
      <c r="G9436" s="3">
        <v>12.15</v>
      </c>
    </row>
    <row r="9437">
      <c r="A9437" s="3">
        <v>783183.0</v>
      </c>
      <c r="B9437" s="3" t="s">
        <v>9465</v>
      </c>
      <c r="C9437" s="3" t="s">
        <v>189</v>
      </c>
      <c r="D9437" s="3">
        <v>128.0</v>
      </c>
      <c r="E9437" s="3">
        <v>5.93</v>
      </c>
      <c r="F9437" s="3">
        <v>7.54</v>
      </c>
      <c r="G9437" s="3">
        <v>11.71</v>
      </c>
    </row>
    <row r="9438">
      <c r="A9438" s="3">
        <v>783184.0</v>
      </c>
      <c r="B9438" s="3" t="s">
        <v>9466</v>
      </c>
      <c r="C9438" s="3" t="s">
        <v>189</v>
      </c>
      <c r="D9438" s="3">
        <v>132.0</v>
      </c>
      <c r="E9438" s="3">
        <v>5.93</v>
      </c>
      <c r="F9438" s="3">
        <v>7.57</v>
      </c>
      <c r="G9438" s="3">
        <v>12.86</v>
      </c>
    </row>
    <row r="9439">
      <c r="A9439" s="3">
        <v>783185.0</v>
      </c>
      <c r="B9439" s="3" t="s">
        <v>9467</v>
      </c>
      <c r="C9439" s="3" t="s">
        <v>189</v>
      </c>
      <c r="D9439" s="3">
        <v>123.0</v>
      </c>
      <c r="E9439" s="3">
        <v>7.02</v>
      </c>
      <c r="F9439" s="3">
        <v>4.81</v>
      </c>
      <c r="G9439" s="3">
        <v>11.09</v>
      </c>
    </row>
    <row r="9440">
      <c r="A9440" s="3">
        <v>783186.0</v>
      </c>
      <c r="B9440" s="3" t="s">
        <v>9468</v>
      </c>
      <c r="C9440" s="3" t="s">
        <v>189</v>
      </c>
      <c r="D9440" s="3">
        <v>127.0</v>
      </c>
      <c r="E9440" s="3">
        <v>7.03</v>
      </c>
      <c r="F9440" s="3">
        <v>4.84</v>
      </c>
      <c r="G9440" s="3">
        <v>12.18</v>
      </c>
    </row>
    <row r="9441">
      <c r="A9441" s="3">
        <v>783187.0</v>
      </c>
      <c r="B9441" s="3" t="s">
        <v>9469</v>
      </c>
      <c r="C9441" s="3" t="s">
        <v>189</v>
      </c>
      <c r="D9441" s="3">
        <v>75.0</v>
      </c>
      <c r="E9441" s="3">
        <v>2.3</v>
      </c>
      <c r="F9441" s="3">
        <v>6.08</v>
      </c>
      <c r="G9441" s="3">
        <v>7.86</v>
      </c>
    </row>
    <row r="9442">
      <c r="A9442" s="3">
        <v>783188.0</v>
      </c>
      <c r="B9442" s="3" t="s">
        <v>9470</v>
      </c>
      <c r="C9442" s="3" t="s">
        <v>189</v>
      </c>
      <c r="D9442" s="3">
        <v>80.0</v>
      </c>
      <c r="E9442" s="3">
        <v>2.26</v>
      </c>
      <c r="F9442" s="3">
        <v>6.58</v>
      </c>
      <c r="G9442" s="3">
        <v>8.58</v>
      </c>
    </row>
    <row r="9443">
      <c r="A9443" s="3">
        <v>783189.0</v>
      </c>
      <c r="B9443" s="3" t="s">
        <v>9471</v>
      </c>
      <c r="C9443" s="3" t="s">
        <v>189</v>
      </c>
      <c r="D9443" s="3">
        <v>80.0</v>
      </c>
      <c r="E9443" s="3">
        <v>2.38</v>
      </c>
      <c r="F9443" s="3">
        <v>6.33</v>
      </c>
      <c r="G9443" s="3">
        <v>9.05</v>
      </c>
    </row>
    <row r="9444">
      <c r="A9444" s="3">
        <v>783190.0</v>
      </c>
      <c r="B9444" s="3" t="s">
        <v>9472</v>
      </c>
      <c r="C9444" s="3" t="s">
        <v>189</v>
      </c>
      <c r="D9444" s="3">
        <v>85.0</v>
      </c>
      <c r="E9444" s="3">
        <v>2.34</v>
      </c>
      <c r="F9444" s="3">
        <v>6.83</v>
      </c>
      <c r="G9444" s="3">
        <v>9.74</v>
      </c>
    </row>
    <row r="9445">
      <c r="A9445" s="3">
        <v>783191.0</v>
      </c>
      <c r="B9445" s="3" t="s">
        <v>9473</v>
      </c>
      <c r="C9445" s="3" t="s">
        <v>189</v>
      </c>
      <c r="D9445" s="3">
        <v>146.0</v>
      </c>
      <c r="E9445" s="3">
        <v>5.46</v>
      </c>
      <c r="F9445" s="3">
        <v>7.95</v>
      </c>
      <c r="G9445" s="3">
        <v>16.59</v>
      </c>
    </row>
    <row r="9446">
      <c r="A9446" s="3">
        <v>783192.0</v>
      </c>
      <c r="B9446" s="3" t="s">
        <v>9474</v>
      </c>
      <c r="C9446" s="3" t="s">
        <v>189</v>
      </c>
      <c r="D9446" s="3">
        <v>151.0</v>
      </c>
      <c r="E9446" s="3">
        <v>5.41</v>
      </c>
      <c r="F9446" s="3">
        <v>8.0</v>
      </c>
      <c r="G9446" s="3">
        <v>18.11</v>
      </c>
    </row>
    <row r="9447">
      <c r="A9447" s="3">
        <v>783193.0</v>
      </c>
      <c r="B9447" s="3" t="s">
        <v>9475</v>
      </c>
      <c r="C9447" s="3" t="s">
        <v>189</v>
      </c>
      <c r="D9447" s="3">
        <v>129.0</v>
      </c>
      <c r="E9447" s="3">
        <v>5.62</v>
      </c>
      <c r="F9447" s="3">
        <v>6.08</v>
      </c>
      <c r="G9447" s="3">
        <v>13.69</v>
      </c>
    </row>
    <row r="9448">
      <c r="A9448" s="3">
        <v>783194.0</v>
      </c>
      <c r="B9448" s="3" t="s">
        <v>9476</v>
      </c>
      <c r="C9448" s="3" t="s">
        <v>189</v>
      </c>
      <c r="D9448" s="3">
        <v>129.0</v>
      </c>
      <c r="E9448" s="3">
        <v>5.2</v>
      </c>
      <c r="F9448" s="3">
        <v>6.13</v>
      </c>
      <c r="G9448" s="3">
        <v>14.86</v>
      </c>
    </row>
    <row r="9449">
      <c r="A9449" s="3">
        <v>783195.0</v>
      </c>
      <c r="B9449" s="3" t="s">
        <v>9477</v>
      </c>
      <c r="C9449" s="3" t="s">
        <v>189</v>
      </c>
      <c r="D9449" s="3">
        <v>128.0</v>
      </c>
      <c r="E9449" s="3">
        <v>5.63</v>
      </c>
      <c r="F9449" s="3">
        <v>6.06</v>
      </c>
      <c r="G9449" s="3">
        <v>13.46</v>
      </c>
    </row>
    <row r="9450">
      <c r="A9450" s="3">
        <v>783196.0</v>
      </c>
      <c r="B9450" s="3" t="s">
        <v>9478</v>
      </c>
      <c r="C9450" s="3" t="s">
        <v>189</v>
      </c>
      <c r="D9450" s="3">
        <v>131.0</v>
      </c>
      <c r="E9450" s="3">
        <v>5.63</v>
      </c>
      <c r="F9450" s="3">
        <v>6.09</v>
      </c>
      <c r="G9450" s="3">
        <v>14.49</v>
      </c>
    </row>
    <row r="9451">
      <c r="A9451" s="3">
        <v>783197.0</v>
      </c>
      <c r="B9451" s="3" t="s">
        <v>9479</v>
      </c>
      <c r="C9451" s="3" t="s">
        <v>189</v>
      </c>
      <c r="D9451" s="3">
        <v>129.0</v>
      </c>
      <c r="E9451" s="3">
        <v>5.84</v>
      </c>
      <c r="F9451" s="3">
        <v>6.16</v>
      </c>
      <c r="G9451" s="3">
        <v>13.58</v>
      </c>
    </row>
    <row r="9452">
      <c r="A9452" s="3">
        <v>783198.0</v>
      </c>
      <c r="B9452" s="3" t="s">
        <v>9480</v>
      </c>
      <c r="C9452" s="3" t="s">
        <v>189</v>
      </c>
      <c r="D9452" s="3">
        <v>133.0</v>
      </c>
      <c r="E9452" s="3">
        <v>5.84</v>
      </c>
      <c r="F9452" s="3">
        <v>6.19</v>
      </c>
      <c r="G9452" s="3">
        <v>14.69</v>
      </c>
    </row>
    <row r="9453">
      <c r="A9453" s="3">
        <v>783199.0</v>
      </c>
      <c r="B9453" s="3" t="s">
        <v>9481</v>
      </c>
      <c r="C9453" s="3" t="s">
        <v>1464</v>
      </c>
      <c r="D9453" s="3">
        <v>131.0</v>
      </c>
      <c r="E9453" s="3">
        <v>4.72</v>
      </c>
      <c r="F9453" s="3">
        <v>9.57</v>
      </c>
      <c r="G9453" s="3">
        <v>12.27</v>
      </c>
    </row>
    <row r="9454">
      <c r="A9454" s="3">
        <v>783200.0</v>
      </c>
      <c r="B9454" s="3" t="s">
        <v>9482</v>
      </c>
      <c r="C9454" s="3" t="s">
        <v>189</v>
      </c>
      <c r="D9454" s="3">
        <v>145.0</v>
      </c>
      <c r="E9454" s="3">
        <v>5.97</v>
      </c>
      <c r="F9454" s="3">
        <v>8.9</v>
      </c>
      <c r="G9454" s="3">
        <v>14.16</v>
      </c>
    </row>
    <row r="9455">
      <c r="A9455" s="3">
        <v>783201.0</v>
      </c>
      <c r="B9455" s="3" t="s">
        <v>9483</v>
      </c>
      <c r="C9455" s="3" t="s">
        <v>189</v>
      </c>
      <c r="D9455" s="3">
        <v>149.0</v>
      </c>
      <c r="E9455" s="3">
        <v>5.97</v>
      </c>
      <c r="F9455" s="3">
        <v>8.93</v>
      </c>
      <c r="G9455" s="3">
        <v>15.32</v>
      </c>
    </row>
    <row r="9456">
      <c r="A9456" s="3">
        <v>783202.0</v>
      </c>
      <c r="B9456" s="3" t="s">
        <v>9484</v>
      </c>
      <c r="C9456" s="3" t="s">
        <v>189</v>
      </c>
      <c r="D9456" s="3">
        <v>150.0</v>
      </c>
      <c r="E9456" s="3">
        <v>5.47</v>
      </c>
      <c r="F9456" s="3">
        <v>6.78</v>
      </c>
      <c r="G9456" s="3">
        <v>18.2</v>
      </c>
    </row>
    <row r="9457">
      <c r="A9457" s="3">
        <v>783203.0</v>
      </c>
      <c r="B9457" s="3" t="s">
        <v>9485</v>
      </c>
      <c r="C9457" s="3" t="s">
        <v>189</v>
      </c>
      <c r="D9457" s="3">
        <v>151.0</v>
      </c>
      <c r="E9457" s="3">
        <v>4.96</v>
      </c>
      <c r="F9457" s="3">
        <v>6.85</v>
      </c>
      <c r="G9457" s="3">
        <v>19.78</v>
      </c>
    </row>
    <row r="9458">
      <c r="A9458" s="3">
        <v>783204.0</v>
      </c>
      <c r="B9458" s="3" t="s">
        <v>9486</v>
      </c>
      <c r="C9458" s="3" t="s">
        <v>189</v>
      </c>
      <c r="D9458" s="3">
        <v>132.0</v>
      </c>
      <c r="E9458" s="3">
        <v>5.66</v>
      </c>
      <c r="F9458" s="3">
        <v>5.21</v>
      </c>
      <c r="G9458" s="3">
        <v>14.89</v>
      </c>
    </row>
    <row r="9459">
      <c r="A9459" s="3">
        <v>783205.0</v>
      </c>
      <c r="B9459" s="3" t="s">
        <v>9487</v>
      </c>
      <c r="C9459" s="3" t="s">
        <v>189</v>
      </c>
      <c r="D9459" s="3">
        <v>134.0</v>
      </c>
      <c r="E9459" s="3">
        <v>5.46</v>
      </c>
      <c r="F9459" s="3">
        <v>5.25</v>
      </c>
      <c r="G9459" s="3">
        <v>16.03</v>
      </c>
    </row>
    <row r="9460">
      <c r="A9460" s="3">
        <v>783206.0</v>
      </c>
      <c r="B9460" s="3" t="s">
        <v>9488</v>
      </c>
      <c r="C9460" s="3" t="s">
        <v>189</v>
      </c>
      <c r="D9460" s="3">
        <v>153.0</v>
      </c>
      <c r="E9460" s="3">
        <v>8.1</v>
      </c>
      <c r="F9460" s="3">
        <v>5.87</v>
      </c>
      <c r="G9460" s="3">
        <v>14.84</v>
      </c>
    </row>
    <row r="9461">
      <c r="A9461" s="3">
        <v>783207.0</v>
      </c>
      <c r="B9461" s="3" t="s">
        <v>9489</v>
      </c>
      <c r="C9461" s="3" t="s">
        <v>1464</v>
      </c>
      <c r="D9461" s="3">
        <v>128.0</v>
      </c>
      <c r="E9461" s="3">
        <v>6.82</v>
      </c>
      <c r="F9461" s="3">
        <v>9.3</v>
      </c>
      <c r="G9461" s="3">
        <v>8.05</v>
      </c>
    </row>
    <row r="9462">
      <c r="A9462" s="3">
        <v>783208.0</v>
      </c>
      <c r="B9462" s="3" t="s">
        <v>9490</v>
      </c>
      <c r="C9462" s="3" t="s">
        <v>1464</v>
      </c>
      <c r="D9462" s="3">
        <v>130.0</v>
      </c>
      <c r="E9462" s="3">
        <v>7.04</v>
      </c>
      <c r="F9462" s="3">
        <v>9.53</v>
      </c>
      <c r="G9462" s="3">
        <v>7.83</v>
      </c>
    </row>
    <row r="9463">
      <c r="A9463" s="3">
        <v>783209.0</v>
      </c>
      <c r="B9463" s="3" t="s">
        <v>9491</v>
      </c>
      <c r="C9463" s="3" t="s">
        <v>189</v>
      </c>
      <c r="D9463" s="3">
        <v>130.0</v>
      </c>
      <c r="E9463" s="3">
        <v>5.67</v>
      </c>
      <c r="F9463" s="3">
        <v>5.26</v>
      </c>
      <c r="G9463" s="3">
        <v>14.58</v>
      </c>
    </row>
    <row r="9464">
      <c r="A9464" s="3">
        <v>783210.0</v>
      </c>
      <c r="B9464" s="3" t="s">
        <v>9492</v>
      </c>
      <c r="C9464" s="3" t="s">
        <v>189</v>
      </c>
      <c r="D9464" s="3">
        <v>131.0</v>
      </c>
      <c r="E9464" s="3">
        <v>5.28</v>
      </c>
      <c r="F9464" s="3">
        <v>5.31</v>
      </c>
      <c r="G9464" s="3">
        <v>15.67</v>
      </c>
    </row>
    <row r="9465">
      <c r="A9465" s="3">
        <v>783211.0</v>
      </c>
      <c r="B9465" s="3" t="s">
        <v>9493</v>
      </c>
      <c r="C9465" s="3" t="s">
        <v>189</v>
      </c>
      <c r="D9465" s="3">
        <v>142.0</v>
      </c>
      <c r="E9465" s="3">
        <v>5.15</v>
      </c>
      <c r="F9465" s="3">
        <v>8.05</v>
      </c>
      <c r="G9465" s="3">
        <v>15.54</v>
      </c>
    </row>
    <row r="9466">
      <c r="A9466" s="3">
        <v>783212.0</v>
      </c>
      <c r="B9466" s="3" t="s">
        <v>9494</v>
      </c>
      <c r="C9466" s="3" t="s">
        <v>189</v>
      </c>
      <c r="D9466" s="3">
        <v>146.0</v>
      </c>
      <c r="E9466" s="3">
        <v>5.16</v>
      </c>
      <c r="F9466" s="3">
        <v>8.09</v>
      </c>
      <c r="G9466" s="3">
        <v>16.69</v>
      </c>
    </row>
    <row r="9467">
      <c r="A9467" s="3">
        <v>783213.0</v>
      </c>
      <c r="B9467" s="3" t="s">
        <v>9495</v>
      </c>
      <c r="C9467" s="3" t="s">
        <v>189</v>
      </c>
      <c r="D9467" s="3">
        <v>129.0</v>
      </c>
      <c r="E9467" s="3">
        <v>5.47</v>
      </c>
      <c r="F9467" s="3">
        <v>5.32</v>
      </c>
      <c r="G9467" s="3">
        <v>14.84</v>
      </c>
    </row>
    <row r="9468">
      <c r="A9468" s="3">
        <v>783214.0</v>
      </c>
      <c r="B9468" s="3" t="s">
        <v>9496</v>
      </c>
      <c r="C9468" s="3" t="s">
        <v>189</v>
      </c>
      <c r="D9468" s="3">
        <v>133.0</v>
      </c>
      <c r="E9468" s="3">
        <v>5.48</v>
      </c>
      <c r="F9468" s="3">
        <v>5.35</v>
      </c>
      <c r="G9468" s="3">
        <v>15.94</v>
      </c>
    </row>
    <row r="9469">
      <c r="A9469" s="3">
        <v>783216.0</v>
      </c>
      <c r="B9469" s="3" t="s">
        <v>9497</v>
      </c>
      <c r="C9469" s="3" t="s">
        <v>189</v>
      </c>
      <c r="D9469" s="3">
        <v>159.0</v>
      </c>
      <c r="E9469" s="3">
        <v>8.74</v>
      </c>
      <c r="F9469" s="3">
        <v>7.12</v>
      </c>
      <c r="G9469" s="3">
        <v>13.28</v>
      </c>
    </row>
    <row r="9470">
      <c r="A9470" s="3">
        <v>783217.0</v>
      </c>
      <c r="B9470" s="3" t="s">
        <v>9498</v>
      </c>
      <c r="C9470" s="3" t="s">
        <v>189</v>
      </c>
      <c r="D9470" s="3">
        <v>165.0</v>
      </c>
      <c r="E9470" s="3">
        <v>8.75</v>
      </c>
      <c r="F9470" s="3">
        <v>7.17</v>
      </c>
      <c r="G9470" s="3">
        <v>14.85</v>
      </c>
    </row>
    <row r="9471">
      <c r="A9471" s="3">
        <v>783218.0</v>
      </c>
      <c r="B9471" s="3" t="s">
        <v>9499</v>
      </c>
      <c r="C9471" s="3" t="s">
        <v>189</v>
      </c>
      <c r="D9471" s="3">
        <v>131.0</v>
      </c>
      <c r="E9471" s="3">
        <v>7.18</v>
      </c>
      <c r="F9471" s="3">
        <v>5.46</v>
      </c>
      <c r="G9471" s="3">
        <v>11.27</v>
      </c>
    </row>
    <row r="9472">
      <c r="A9472" s="3">
        <v>783219.0</v>
      </c>
      <c r="B9472" s="3" t="s">
        <v>9500</v>
      </c>
      <c r="C9472" s="3" t="s">
        <v>189</v>
      </c>
      <c r="D9472" s="3">
        <v>128.0</v>
      </c>
      <c r="E9472" s="3">
        <v>6.82</v>
      </c>
      <c r="F9472" s="3">
        <v>5.22</v>
      </c>
      <c r="G9472" s="3">
        <v>11.81</v>
      </c>
    </row>
    <row r="9473">
      <c r="A9473" s="3">
        <v>783220.0</v>
      </c>
      <c r="B9473" s="3" t="s">
        <v>9501</v>
      </c>
      <c r="C9473" s="3" t="s">
        <v>189</v>
      </c>
      <c r="D9473" s="3">
        <v>126.0</v>
      </c>
      <c r="E9473" s="3">
        <v>6.57</v>
      </c>
      <c r="F9473" s="3">
        <v>5.53</v>
      </c>
      <c r="G9473" s="3">
        <v>11.52</v>
      </c>
    </row>
    <row r="9474">
      <c r="A9474" s="3">
        <v>783221.0</v>
      </c>
      <c r="B9474" s="3" t="s">
        <v>9502</v>
      </c>
      <c r="C9474" s="3" t="s">
        <v>189</v>
      </c>
      <c r="D9474" s="3">
        <v>127.0</v>
      </c>
      <c r="E9474" s="3">
        <v>6.16</v>
      </c>
      <c r="F9474" s="3">
        <v>5.58</v>
      </c>
      <c r="G9474" s="3">
        <v>12.69</v>
      </c>
    </row>
    <row r="9475">
      <c r="A9475" s="3">
        <v>783222.0</v>
      </c>
      <c r="B9475" s="3" t="s">
        <v>9503</v>
      </c>
      <c r="C9475" s="3" t="s">
        <v>189</v>
      </c>
      <c r="D9475" s="3">
        <v>170.0</v>
      </c>
      <c r="E9475" s="3">
        <v>10.49</v>
      </c>
      <c r="F9475" s="3">
        <v>12.16</v>
      </c>
      <c r="G9475" s="3">
        <v>7.15</v>
      </c>
    </row>
    <row r="9476">
      <c r="A9476" s="3">
        <v>783223.0</v>
      </c>
      <c r="B9476" s="3" t="s">
        <v>9504</v>
      </c>
      <c r="C9476" s="3" t="s">
        <v>1464</v>
      </c>
      <c r="D9476" s="3">
        <v>142.0</v>
      </c>
      <c r="E9476" s="3">
        <v>4.68</v>
      </c>
      <c r="F9476" s="3">
        <v>8.04</v>
      </c>
      <c r="G9476" s="3">
        <v>16.43</v>
      </c>
    </row>
    <row r="9477">
      <c r="A9477" s="3">
        <v>783224.0</v>
      </c>
      <c r="B9477" s="3" t="s">
        <v>9505</v>
      </c>
      <c r="C9477" s="3" t="s">
        <v>252</v>
      </c>
      <c r="D9477" s="3">
        <v>73.0</v>
      </c>
      <c r="E9477" s="3">
        <v>1.66</v>
      </c>
      <c r="F9477" s="3">
        <v>8.68</v>
      </c>
      <c r="G9477" s="3">
        <v>5.72</v>
      </c>
    </row>
    <row r="9478">
      <c r="A9478" s="3">
        <v>783225.0</v>
      </c>
      <c r="B9478" s="3" t="s">
        <v>9506</v>
      </c>
      <c r="C9478" s="3" t="s">
        <v>1464</v>
      </c>
      <c r="D9478" s="3">
        <v>118.0</v>
      </c>
      <c r="E9478" s="3">
        <v>3.33</v>
      </c>
      <c r="F9478" s="3">
        <v>8.72</v>
      </c>
      <c r="G9478" s="3">
        <v>12.47</v>
      </c>
    </row>
    <row r="9479">
      <c r="A9479" s="3">
        <v>783226.0</v>
      </c>
      <c r="B9479" s="3" t="s">
        <v>9507</v>
      </c>
      <c r="C9479" s="3" t="s">
        <v>252</v>
      </c>
      <c r="D9479" s="3">
        <v>124.0</v>
      </c>
      <c r="E9479" s="3">
        <v>3.67</v>
      </c>
      <c r="F9479" s="3">
        <v>10.12</v>
      </c>
      <c r="G9479" s="3">
        <v>11.9</v>
      </c>
    </row>
    <row r="9480">
      <c r="A9480" s="3">
        <v>783227.0</v>
      </c>
      <c r="B9480" s="3" t="s">
        <v>9508</v>
      </c>
      <c r="C9480" s="3" t="s">
        <v>252</v>
      </c>
      <c r="D9480" s="3">
        <v>220.0</v>
      </c>
      <c r="E9480" s="3">
        <v>13.17</v>
      </c>
      <c r="F9480" s="3">
        <v>8.96</v>
      </c>
      <c r="G9480" s="3">
        <v>16.32</v>
      </c>
    </row>
    <row r="9481">
      <c r="A9481" s="3">
        <v>783228.0</v>
      </c>
      <c r="B9481" s="3" t="s">
        <v>9509</v>
      </c>
      <c r="C9481" s="3" t="s">
        <v>252</v>
      </c>
      <c r="D9481" s="3">
        <v>149.0</v>
      </c>
      <c r="E9481" s="3">
        <v>6.42</v>
      </c>
      <c r="F9481" s="3">
        <v>8.92</v>
      </c>
      <c r="G9481" s="3">
        <v>14.1</v>
      </c>
    </row>
    <row r="9482">
      <c r="A9482" s="3">
        <v>783229.0</v>
      </c>
      <c r="B9482" s="3" t="s">
        <v>9510</v>
      </c>
      <c r="C9482" s="3" t="s">
        <v>252</v>
      </c>
      <c r="D9482" s="3">
        <v>137.0</v>
      </c>
      <c r="E9482" s="3">
        <v>5.22</v>
      </c>
      <c r="F9482" s="3">
        <v>8.35</v>
      </c>
      <c r="G9482" s="3">
        <v>14.16</v>
      </c>
    </row>
    <row r="9483">
      <c r="A9483" s="3">
        <v>783230.0</v>
      </c>
      <c r="B9483" s="3" t="s">
        <v>9511</v>
      </c>
      <c r="C9483" s="3" t="s">
        <v>252</v>
      </c>
      <c r="D9483" s="3">
        <v>141.0</v>
      </c>
      <c r="E9483" s="3">
        <v>5.22</v>
      </c>
      <c r="F9483" s="3">
        <v>8.39</v>
      </c>
      <c r="G9483" s="3">
        <v>15.32</v>
      </c>
    </row>
    <row r="9484">
      <c r="A9484" s="3">
        <v>783231.0</v>
      </c>
      <c r="B9484" s="3" t="s">
        <v>9512</v>
      </c>
      <c r="C9484" s="3" t="s">
        <v>252</v>
      </c>
      <c r="D9484" s="3">
        <v>98.0</v>
      </c>
      <c r="E9484" s="3">
        <v>3.7</v>
      </c>
      <c r="F9484" s="3">
        <v>13.43</v>
      </c>
      <c r="G9484" s="3">
        <v>2.15</v>
      </c>
    </row>
    <row r="9485">
      <c r="A9485" s="3">
        <v>783232.0</v>
      </c>
      <c r="B9485" s="3" t="s">
        <v>9513</v>
      </c>
      <c r="C9485" s="3" t="s">
        <v>252</v>
      </c>
      <c r="D9485" s="3">
        <v>245.0</v>
      </c>
      <c r="E9485" s="3">
        <v>15.99</v>
      </c>
      <c r="F9485" s="3">
        <v>5.36</v>
      </c>
      <c r="G9485" s="3">
        <v>19.82</v>
      </c>
    </row>
    <row r="9486">
      <c r="A9486" s="3">
        <v>783233.0</v>
      </c>
      <c r="B9486" s="3" t="s">
        <v>9514</v>
      </c>
      <c r="C9486" s="3" t="s">
        <v>252</v>
      </c>
      <c r="D9486" s="3">
        <v>72.0</v>
      </c>
      <c r="E9486" s="3">
        <v>1.34</v>
      </c>
      <c r="F9486" s="3">
        <v>8.82</v>
      </c>
      <c r="G9486" s="3">
        <v>5.98</v>
      </c>
    </row>
    <row r="9487">
      <c r="A9487" s="3">
        <v>783234.0</v>
      </c>
      <c r="B9487" s="3" t="s">
        <v>9515</v>
      </c>
      <c r="C9487" s="3" t="s">
        <v>252</v>
      </c>
      <c r="D9487" s="3">
        <v>123.0</v>
      </c>
      <c r="E9487" s="3">
        <v>4.46</v>
      </c>
      <c r="F9487" s="3">
        <v>8.08</v>
      </c>
      <c r="G9487" s="3">
        <v>12.94</v>
      </c>
    </row>
    <row r="9488">
      <c r="A9488" s="3">
        <v>783235.0</v>
      </c>
      <c r="B9488" s="3" t="s">
        <v>9516</v>
      </c>
      <c r="C9488" s="3" t="s">
        <v>252</v>
      </c>
      <c r="D9488" s="3">
        <v>133.0</v>
      </c>
      <c r="E9488" s="3">
        <v>5.26</v>
      </c>
      <c r="F9488" s="3">
        <v>3.53</v>
      </c>
      <c r="G9488" s="3">
        <v>18.49</v>
      </c>
    </row>
    <row r="9489">
      <c r="A9489" s="3">
        <v>783236.0</v>
      </c>
      <c r="B9489" s="3" t="s">
        <v>9517</v>
      </c>
      <c r="C9489" s="3" t="s">
        <v>252</v>
      </c>
      <c r="D9489" s="3">
        <v>113.0</v>
      </c>
      <c r="E9489" s="3">
        <v>3.89</v>
      </c>
      <c r="F9489" s="3">
        <v>10.93</v>
      </c>
      <c r="G9489" s="3">
        <v>8.65</v>
      </c>
    </row>
    <row r="9490">
      <c r="A9490" s="3">
        <v>783237.0</v>
      </c>
      <c r="B9490" s="3" t="s">
        <v>9518</v>
      </c>
      <c r="C9490" s="3" t="s">
        <v>252</v>
      </c>
      <c r="D9490" s="3">
        <v>185.0</v>
      </c>
      <c r="E9490" s="3">
        <v>11.88</v>
      </c>
      <c r="F9490" s="3">
        <v>9.22</v>
      </c>
      <c r="G9490" s="3">
        <v>11.12</v>
      </c>
    </row>
    <row r="9491">
      <c r="A9491" s="3">
        <v>783238.0</v>
      </c>
      <c r="B9491" s="3" t="s">
        <v>9519</v>
      </c>
      <c r="C9491" s="3" t="s">
        <v>189</v>
      </c>
      <c r="D9491" s="3">
        <v>90.0</v>
      </c>
      <c r="E9491" s="3">
        <v>3.96</v>
      </c>
      <c r="F9491" s="3">
        <v>5.23</v>
      </c>
      <c r="G9491" s="3">
        <v>8.25</v>
      </c>
    </row>
    <row r="9492">
      <c r="A9492" s="3">
        <v>783239.0</v>
      </c>
      <c r="B9492" s="3" t="s">
        <v>9520</v>
      </c>
      <c r="C9492" s="3" t="s">
        <v>189</v>
      </c>
      <c r="D9492" s="3">
        <v>161.0</v>
      </c>
      <c r="E9492" s="3">
        <v>7.43</v>
      </c>
      <c r="F9492" s="3">
        <v>15.3</v>
      </c>
      <c r="G9492" s="3">
        <v>8.7</v>
      </c>
    </row>
    <row r="9493">
      <c r="A9493" s="3">
        <v>783241.0</v>
      </c>
      <c r="B9493" s="3" t="s">
        <v>9521</v>
      </c>
      <c r="C9493" s="3" t="s">
        <v>1464</v>
      </c>
      <c r="D9493" s="3">
        <v>131.0</v>
      </c>
      <c r="E9493" s="3">
        <v>4.72</v>
      </c>
      <c r="F9493" s="3">
        <v>9.57</v>
      </c>
      <c r="G9493" s="3">
        <v>12.27</v>
      </c>
    </row>
    <row r="9494">
      <c r="A9494" s="3">
        <v>783242.0</v>
      </c>
      <c r="B9494" s="3" t="s">
        <v>9522</v>
      </c>
      <c r="C9494" s="3" t="s">
        <v>1464</v>
      </c>
      <c r="D9494" s="3">
        <v>167.0</v>
      </c>
      <c r="E9494" s="3">
        <v>7.08</v>
      </c>
      <c r="F9494" s="3">
        <v>9.54</v>
      </c>
      <c r="G9494" s="3">
        <v>15.8</v>
      </c>
    </row>
    <row r="9495">
      <c r="A9495" s="3">
        <v>783243.0</v>
      </c>
      <c r="B9495" s="3" t="s">
        <v>9523</v>
      </c>
      <c r="C9495" s="3" t="s">
        <v>189</v>
      </c>
      <c r="D9495" s="3">
        <v>120.0</v>
      </c>
      <c r="E9495" s="3">
        <v>5.07</v>
      </c>
      <c r="F9495" s="3">
        <v>11.36</v>
      </c>
      <c r="G9495" s="3">
        <v>7.48</v>
      </c>
    </row>
    <row r="9496">
      <c r="A9496" s="3">
        <v>783244.0</v>
      </c>
      <c r="B9496" s="3" t="s">
        <v>9524</v>
      </c>
      <c r="C9496" s="3" t="s">
        <v>1464</v>
      </c>
      <c r="D9496" s="3">
        <v>135.0</v>
      </c>
      <c r="E9496" s="3">
        <v>4.86</v>
      </c>
      <c r="F9496" s="3">
        <v>10.02</v>
      </c>
      <c r="G9496" s="3">
        <v>12.28</v>
      </c>
    </row>
    <row r="9497">
      <c r="A9497" s="3">
        <v>783245.0</v>
      </c>
      <c r="B9497" s="3" t="s">
        <v>9525</v>
      </c>
      <c r="C9497" s="3" t="s">
        <v>189</v>
      </c>
      <c r="D9497" s="3">
        <v>110.0</v>
      </c>
      <c r="E9497" s="3">
        <v>2.48</v>
      </c>
      <c r="F9497" s="3">
        <v>15.78</v>
      </c>
      <c r="G9497" s="3">
        <v>5.7</v>
      </c>
    </row>
    <row r="9498">
      <c r="A9498" s="3">
        <v>783246.0</v>
      </c>
      <c r="B9498" s="3" t="s">
        <v>9526</v>
      </c>
      <c r="C9498" s="3" t="s">
        <v>189</v>
      </c>
      <c r="D9498" s="3">
        <v>108.0</v>
      </c>
      <c r="E9498" s="3">
        <v>4.02</v>
      </c>
      <c r="F9498" s="3">
        <v>8.58</v>
      </c>
      <c r="G9498" s="3">
        <v>9.46</v>
      </c>
    </row>
    <row r="9499">
      <c r="A9499" s="3">
        <v>783247.0</v>
      </c>
      <c r="B9499" s="3" t="s">
        <v>9527</v>
      </c>
      <c r="C9499" s="3" t="s">
        <v>252</v>
      </c>
      <c r="D9499" s="3">
        <v>88.0</v>
      </c>
      <c r="E9499" s="3">
        <v>3.39</v>
      </c>
      <c r="F9499" s="3">
        <v>8.18</v>
      </c>
      <c r="G9499" s="3">
        <v>6.42</v>
      </c>
    </row>
    <row r="9500">
      <c r="A9500" s="3">
        <v>783248.0</v>
      </c>
      <c r="B9500" s="3" t="s">
        <v>9528</v>
      </c>
      <c r="C9500" s="3" t="s">
        <v>1464</v>
      </c>
      <c r="D9500" s="3">
        <v>178.0</v>
      </c>
      <c r="E9500" s="3">
        <v>9.48</v>
      </c>
      <c r="F9500" s="3">
        <v>14.5</v>
      </c>
      <c r="G9500" s="3">
        <v>8.53</v>
      </c>
    </row>
    <row r="9501">
      <c r="A9501" s="3">
        <v>783249.0</v>
      </c>
      <c r="B9501" s="3" t="s">
        <v>9529</v>
      </c>
      <c r="C9501" s="3" t="s">
        <v>189</v>
      </c>
      <c r="D9501" s="3">
        <v>116.0</v>
      </c>
      <c r="E9501" s="3">
        <v>6.73</v>
      </c>
      <c r="F9501" s="3">
        <v>11.41</v>
      </c>
      <c r="G9501" s="3">
        <v>3.0</v>
      </c>
    </row>
    <row r="9502">
      <c r="A9502" s="3">
        <v>783250.0</v>
      </c>
      <c r="B9502" s="3" t="s">
        <v>9530</v>
      </c>
      <c r="C9502" s="3" t="s">
        <v>189</v>
      </c>
      <c r="D9502" s="3">
        <v>120.0</v>
      </c>
      <c r="E9502" s="3">
        <v>7.09</v>
      </c>
      <c r="F9502" s="3">
        <v>10.03</v>
      </c>
      <c r="G9502" s="3">
        <v>5.16</v>
      </c>
    </row>
    <row r="9503">
      <c r="A9503" s="3">
        <v>783251.0</v>
      </c>
      <c r="B9503" s="3" t="s">
        <v>9531</v>
      </c>
      <c r="C9503" s="3" t="s">
        <v>189</v>
      </c>
      <c r="D9503" s="3">
        <v>120.0</v>
      </c>
      <c r="E9503" s="3">
        <v>4.88</v>
      </c>
      <c r="F9503" s="3">
        <v>14.71</v>
      </c>
      <c r="G9503" s="3">
        <v>5.0</v>
      </c>
    </row>
    <row r="9504">
      <c r="A9504" s="3">
        <v>783252.0</v>
      </c>
      <c r="B9504" s="3" t="s">
        <v>9532</v>
      </c>
      <c r="C9504" s="3" t="s">
        <v>189</v>
      </c>
      <c r="D9504" s="3">
        <v>110.0</v>
      </c>
      <c r="E9504" s="3">
        <v>6.99</v>
      </c>
      <c r="F9504" s="3">
        <v>8.24</v>
      </c>
      <c r="G9504" s="3">
        <v>4.48</v>
      </c>
    </row>
    <row r="9505">
      <c r="A9505" s="3">
        <v>783253.0</v>
      </c>
      <c r="B9505" s="3" t="s">
        <v>9533</v>
      </c>
      <c r="C9505" s="3" t="s">
        <v>189</v>
      </c>
      <c r="D9505" s="3">
        <v>131.0</v>
      </c>
      <c r="E9505" s="3">
        <v>8.05</v>
      </c>
      <c r="F9505" s="3">
        <v>10.82</v>
      </c>
      <c r="G9505" s="3">
        <v>3.55</v>
      </c>
    </row>
    <row r="9506">
      <c r="A9506" s="3">
        <v>783254.0</v>
      </c>
      <c r="B9506" s="3" t="s">
        <v>9534</v>
      </c>
      <c r="C9506" s="3" t="s">
        <v>189</v>
      </c>
      <c r="D9506" s="3">
        <v>203.0</v>
      </c>
      <c r="E9506" s="3">
        <v>10.16</v>
      </c>
      <c r="F9506" s="3">
        <v>20.37</v>
      </c>
      <c r="G9506" s="3">
        <v>6.22</v>
      </c>
    </row>
    <row r="9507">
      <c r="A9507" s="3">
        <v>783255.0</v>
      </c>
      <c r="B9507" s="3" t="s">
        <v>9535</v>
      </c>
      <c r="C9507" s="3" t="s">
        <v>189</v>
      </c>
      <c r="D9507" s="3">
        <v>114.0</v>
      </c>
      <c r="E9507" s="3">
        <v>7.18</v>
      </c>
      <c r="F9507" s="3">
        <v>7.67</v>
      </c>
      <c r="G9507" s="3">
        <v>5.96</v>
      </c>
    </row>
    <row r="9508">
      <c r="A9508" s="3">
        <v>783256.0</v>
      </c>
      <c r="B9508" s="3" t="s">
        <v>9536</v>
      </c>
      <c r="C9508" s="3" t="s">
        <v>189</v>
      </c>
      <c r="D9508" s="3">
        <v>114.0</v>
      </c>
      <c r="E9508" s="3">
        <v>7.14</v>
      </c>
      <c r="F9508" s="3">
        <v>7.79</v>
      </c>
      <c r="G9508" s="3">
        <v>5.24</v>
      </c>
    </row>
    <row r="9509">
      <c r="A9509" s="3">
        <v>783257.0</v>
      </c>
      <c r="B9509" s="3" t="s">
        <v>9537</v>
      </c>
      <c r="C9509" s="3" t="s">
        <v>189</v>
      </c>
      <c r="D9509" s="3">
        <v>120.0</v>
      </c>
      <c r="E9509" s="3">
        <v>7.14</v>
      </c>
      <c r="F9509" s="3">
        <v>7.84</v>
      </c>
      <c r="G9509" s="3">
        <v>6.97</v>
      </c>
    </row>
    <row r="9510">
      <c r="A9510" s="3">
        <v>783258.0</v>
      </c>
      <c r="B9510" s="3" t="s">
        <v>9538</v>
      </c>
      <c r="C9510" s="3" t="s">
        <v>1464</v>
      </c>
      <c r="D9510" s="3">
        <v>141.0</v>
      </c>
      <c r="E9510" s="3">
        <v>8.7</v>
      </c>
      <c r="F9510" s="3">
        <v>11.64</v>
      </c>
      <c r="G9510" s="3">
        <v>4.77</v>
      </c>
    </row>
    <row r="9511">
      <c r="A9511" s="3">
        <v>783259.0</v>
      </c>
      <c r="B9511" s="3" t="s">
        <v>9539</v>
      </c>
      <c r="C9511" s="3" t="s">
        <v>1464</v>
      </c>
      <c r="D9511" s="3">
        <v>155.0</v>
      </c>
      <c r="E9511" s="3">
        <v>10.44</v>
      </c>
      <c r="F9511" s="3">
        <v>10.57</v>
      </c>
      <c r="G9511" s="3">
        <v>5.32</v>
      </c>
    </row>
    <row r="9512">
      <c r="A9512" s="3">
        <v>783260.0</v>
      </c>
      <c r="B9512" s="3" t="s">
        <v>9540</v>
      </c>
      <c r="C9512" s="3" t="s">
        <v>1464</v>
      </c>
      <c r="D9512" s="3">
        <v>112.0</v>
      </c>
      <c r="E9512" s="3">
        <v>7.56</v>
      </c>
      <c r="F9512" s="3">
        <v>7.22</v>
      </c>
      <c r="G9512" s="3">
        <v>4.86</v>
      </c>
    </row>
    <row r="9513">
      <c r="A9513" s="3">
        <v>783263.0</v>
      </c>
      <c r="B9513" s="3" t="s">
        <v>9541</v>
      </c>
      <c r="C9513" s="3" t="s">
        <v>1464</v>
      </c>
      <c r="D9513" s="3">
        <v>82.0</v>
      </c>
      <c r="E9513" s="3">
        <v>2.61</v>
      </c>
      <c r="F9513" s="3">
        <v>10.76</v>
      </c>
      <c r="G9513" s="3">
        <v>3.85</v>
      </c>
    </row>
    <row r="9514">
      <c r="A9514" s="3">
        <v>783264.0</v>
      </c>
      <c r="B9514" s="3" t="s">
        <v>9542</v>
      </c>
      <c r="C9514" s="3" t="s">
        <v>1464</v>
      </c>
      <c r="D9514" s="3">
        <v>218.0</v>
      </c>
      <c r="E9514" s="3">
        <v>14.46</v>
      </c>
      <c r="F9514" s="3">
        <v>18.35</v>
      </c>
      <c r="G9514" s="3">
        <v>4.98</v>
      </c>
    </row>
    <row r="9515">
      <c r="A9515" s="3">
        <v>783265.0</v>
      </c>
      <c r="B9515" s="3" t="s">
        <v>9543</v>
      </c>
      <c r="C9515" s="3" t="s">
        <v>1464</v>
      </c>
      <c r="D9515" s="3">
        <v>143.0</v>
      </c>
      <c r="E9515" s="3">
        <v>9.02</v>
      </c>
      <c r="F9515" s="3">
        <v>12.0</v>
      </c>
      <c r="G9515" s="3">
        <v>4.38</v>
      </c>
    </row>
    <row r="9516">
      <c r="A9516" s="3">
        <v>783266.0</v>
      </c>
      <c r="B9516" s="3" t="s">
        <v>9544</v>
      </c>
      <c r="C9516" s="3" t="s">
        <v>1464</v>
      </c>
      <c r="D9516" s="3">
        <v>114.0</v>
      </c>
      <c r="E9516" s="3">
        <v>7.83</v>
      </c>
      <c r="F9516" s="3">
        <v>7.4</v>
      </c>
      <c r="G9516" s="3">
        <v>4.49</v>
      </c>
    </row>
    <row r="9517">
      <c r="A9517" s="3">
        <v>783267.0</v>
      </c>
      <c r="B9517" s="3" t="s">
        <v>9545</v>
      </c>
      <c r="C9517" s="3" t="s">
        <v>189</v>
      </c>
      <c r="D9517" s="3">
        <v>84.0</v>
      </c>
      <c r="E9517" s="3">
        <v>1.44</v>
      </c>
      <c r="F9517" s="3">
        <v>4.47</v>
      </c>
      <c r="G9517" s="3">
        <v>14.48</v>
      </c>
    </row>
    <row r="9518">
      <c r="A9518" s="3">
        <v>783268.0</v>
      </c>
      <c r="B9518" s="3" t="s">
        <v>9546</v>
      </c>
      <c r="C9518" s="3" t="s">
        <v>189</v>
      </c>
      <c r="D9518" s="3">
        <v>143.0</v>
      </c>
      <c r="E9518" s="3">
        <v>8.99</v>
      </c>
      <c r="F9518" s="3">
        <v>11.84</v>
      </c>
      <c r="G9518" s="3">
        <v>4.36</v>
      </c>
    </row>
    <row r="9519">
      <c r="A9519" s="3">
        <v>783269.0</v>
      </c>
      <c r="B9519" s="3" t="s">
        <v>9547</v>
      </c>
      <c r="C9519" s="3" t="s">
        <v>189</v>
      </c>
      <c r="D9519" s="3">
        <v>228.0</v>
      </c>
      <c r="E9519" s="3">
        <v>14.53</v>
      </c>
      <c r="F9519" s="3">
        <v>21.86</v>
      </c>
      <c r="G9519" s="3">
        <v>1.05</v>
      </c>
    </row>
    <row r="9520">
      <c r="A9520" s="3">
        <v>783270.0</v>
      </c>
      <c r="B9520" s="3" t="s">
        <v>9548</v>
      </c>
      <c r="C9520" s="3" t="s">
        <v>189</v>
      </c>
      <c r="D9520" s="3">
        <v>260.0</v>
      </c>
      <c r="E9520" s="3">
        <v>19.32</v>
      </c>
      <c r="F9520" s="3">
        <v>17.9</v>
      </c>
      <c r="G9520" s="3">
        <v>2.82</v>
      </c>
    </row>
    <row r="9521">
      <c r="A9521" s="3">
        <v>783271.0</v>
      </c>
      <c r="B9521" s="3" t="s">
        <v>9549</v>
      </c>
      <c r="C9521" s="3" t="s">
        <v>1464</v>
      </c>
      <c r="D9521" s="3">
        <v>180.0</v>
      </c>
      <c r="E9521" s="3">
        <v>11.21</v>
      </c>
      <c r="F9521" s="3">
        <v>12.92</v>
      </c>
      <c r="G9521" s="3">
        <v>6.44</v>
      </c>
    </row>
    <row r="9522">
      <c r="A9522" s="3">
        <v>783272.0</v>
      </c>
      <c r="B9522" s="3" t="s">
        <v>9550</v>
      </c>
      <c r="C9522" s="3" t="s">
        <v>1464</v>
      </c>
      <c r="D9522" s="3">
        <v>93.0</v>
      </c>
      <c r="E9522" s="3">
        <v>3.68</v>
      </c>
      <c r="F9522" s="3">
        <v>10.85</v>
      </c>
      <c r="G9522" s="3">
        <v>4.26</v>
      </c>
    </row>
    <row r="9523">
      <c r="A9523" s="3">
        <v>783273.0</v>
      </c>
      <c r="B9523" s="3" t="s">
        <v>9551</v>
      </c>
      <c r="C9523" s="3" t="s">
        <v>189</v>
      </c>
      <c r="D9523" s="3">
        <v>115.0</v>
      </c>
      <c r="E9523" s="3">
        <v>7.34</v>
      </c>
      <c r="F9523" s="3">
        <v>8.06</v>
      </c>
      <c r="G9523" s="3">
        <v>4.5</v>
      </c>
    </row>
    <row r="9524">
      <c r="A9524" s="3">
        <v>783274.0</v>
      </c>
      <c r="B9524" s="3" t="s">
        <v>9552</v>
      </c>
      <c r="C9524" s="3" t="s">
        <v>189</v>
      </c>
      <c r="D9524" s="3">
        <v>121.0</v>
      </c>
      <c r="E9524" s="3">
        <v>7.34</v>
      </c>
      <c r="F9524" s="3">
        <v>8.11</v>
      </c>
      <c r="G9524" s="3">
        <v>6.47</v>
      </c>
    </row>
    <row r="9525">
      <c r="A9525" s="3">
        <v>783275.0</v>
      </c>
      <c r="B9525" s="3" t="s">
        <v>9553</v>
      </c>
      <c r="C9525" s="3" t="s">
        <v>189</v>
      </c>
      <c r="D9525" s="3">
        <v>205.0</v>
      </c>
      <c r="E9525" s="3">
        <v>12.68</v>
      </c>
      <c r="F9525" s="3">
        <v>18.24</v>
      </c>
      <c r="G9525" s="3">
        <v>3.64</v>
      </c>
    </row>
    <row r="9526">
      <c r="A9526" s="3">
        <v>783276.0</v>
      </c>
      <c r="B9526" s="3" t="s">
        <v>9554</v>
      </c>
      <c r="C9526" s="3" t="s">
        <v>189</v>
      </c>
      <c r="D9526" s="3">
        <v>213.0</v>
      </c>
      <c r="E9526" s="3">
        <v>13.9</v>
      </c>
      <c r="F9526" s="3">
        <v>15.04</v>
      </c>
      <c r="G9526" s="3">
        <v>6.85</v>
      </c>
    </row>
    <row r="9527">
      <c r="A9527" s="3">
        <v>783277.0</v>
      </c>
      <c r="B9527" s="3" t="s">
        <v>9555</v>
      </c>
      <c r="C9527" s="3" t="s">
        <v>189</v>
      </c>
      <c r="D9527" s="3">
        <v>199.0</v>
      </c>
      <c r="E9527" s="3">
        <v>12.31</v>
      </c>
      <c r="F9527" s="3">
        <v>19.19</v>
      </c>
      <c r="G9527" s="3">
        <v>2.04</v>
      </c>
    </row>
    <row r="9528">
      <c r="A9528" s="3">
        <v>783278.0</v>
      </c>
      <c r="B9528" s="3" t="s">
        <v>9556</v>
      </c>
      <c r="C9528" s="3" t="s">
        <v>189</v>
      </c>
      <c r="D9528" s="3">
        <v>319.0</v>
      </c>
      <c r="E9528" s="3">
        <v>23.84</v>
      </c>
      <c r="F9528" s="3">
        <v>20.96</v>
      </c>
      <c r="G9528" s="3">
        <v>3.94</v>
      </c>
    </row>
    <row r="9529">
      <c r="A9529" s="3">
        <v>783279.0</v>
      </c>
      <c r="B9529" s="3" t="s">
        <v>9557</v>
      </c>
      <c r="C9529" s="3" t="s">
        <v>189</v>
      </c>
      <c r="D9529" s="3">
        <v>68.0</v>
      </c>
      <c r="E9529" s="3">
        <v>2.46</v>
      </c>
      <c r="F9529" s="3">
        <v>7.93</v>
      </c>
      <c r="G9529" s="3">
        <v>4.14</v>
      </c>
    </row>
    <row r="9530">
      <c r="A9530" s="3">
        <v>783280.0</v>
      </c>
      <c r="B9530" s="3" t="s">
        <v>9558</v>
      </c>
      <c r="C9530" s="3" t="s">
        <v>189</v>
      </c>
      <c r="D9530" s="3">
        <v>230.0</v>
      </c>
      <c r="E9530" s="3">
        <v>18.09</v>
      </c>
      <c r="F9530" s="3">
        <v>13.31</v>
      </c>
      <c r="G9530" s="3">
        <v>2.75</v>
      </c>
    </row>
    <row r="9531">
      <c r="A9531" s="3">
        <v>783281.0</v>
      </c>
      <c r="B9531" s="3" t="s">
        <v>9559</v>
      </c>
      <c r="C9531" s="3" t="s">
        <v>189</v>
      </c>
      <c r="D9531" s="3">
        <v>212.0</v>
      </c>
      <c r="E9531" s="3">
        <v>18.28</v>
      </c>
      <c r="F9531" s="3">
        <v>7.93</v>
      </c>
      <c r="G9531" s="3">
        <v>3.57</v>
      </c>
    </row>
    <row r="9532">
      <c r="A9532" s="3">
        <v>783282.0</v>
      </c>
      <c r="B9532" s="3" t="s">
        <v>9560</v>
      </c>
      <c r="C9532" s="3" t="s">
        <v>189</v>
      </c>
      <c r="D9532" s="3">
        <v>123.0</v>
      </c>
      <c r="E9532" s="3">
        <v>7.27</v>
      </c>
      <c r="F9532" s="3">
        <v>11.2</v>
      </c>
      <c r="G9532" s="3">
        <v>3.14</v>
      </c>
    </row>
    <row r="9533">
      <c r="A9533" s="3">
        <v>783283.0</v>
      </c>
      <c r="B9533" s="3" t="s">
        <v>9561</v>
      </c>
      <c r="C9533" s="3" t="s">
        <v>101</v>
      </c>
      <c r="D9533" s="3">
        <v>47.0</v>
      </c>
      <c r="E9533" s="3">
        <v>1.43</v>
      </c>
      <c r="F9533" s="3">
        <v>4.76</v>
      </c>
      <c r="G9533" s="3">
        <v>5.08</v>
      </c>
    </row>
    <row r="9534">
      <c r="A9534" s="3">
        <v>783284.0</v>
      </c>
      <c r="B9534" s="3" t="s">
        <v>9562</v>
      </c>
      <c r="C9534" s="3" t="s">
        <v>1464</v>
      </c>
      <c r="D9534" s="3">
        <v>113.0</v>
      </c>
      <c r="E9534" s="3">
        <v>7.66</v>
      </c>
      <c r="F9534" s="3">
        <v>6.92</v>
      </c>
      <c r="G9534" s="3">
        <v>4.86</v>
      </c>
    </row>
    <row r="9535">
      <c r="A9535" s="3">
        <v>783285.0</v>
      </c>
      <c r="B9535" s="3" t="s">
        <v>9563</v>
      </c>
      <c r="C9535" s="3" t="s">
        <v>1464</v>
      </c>
      <c r="D9535" s="3">
        <v>90.0</v>
      </c>
      <c r="E9535" s="3">
        <v>3.6</v>
      </c>
      <c r="F9535" s="3">
        <v>7.48</v>
      </c>
      <c r="G9535" s="3">
        <v>7.62</v>
      </c>
    </row>
    <row r="9536">
      <c r="A9536" s="3">
        <v>783286.0</v>
      </c>
      <c r="B9536" s="3" t="s">
        <v>9564</v>
      </c>
      <c r="C9536" s="3" t="s">
        <v>1464</v>
      </c>
      <c r="D9536" s="3">
        <v>143.0</v>
      </c>
      <c r="E9536" s="3">
        <v>9.35</v>
      </c>
      <c r="F9536" s="3">
        <v>11.42</v>
      </c>
      <c r="G9536" s="3">
        <v>3.54</v>
      </c>
    </row>
    <row r="9537">
      <c r="A9537" s="3">
        <v>783287.0</v>
      </c>
      <c r="B9537" s="3" t="s">
        <v>9565</v>
      </c>
      <c r="C9537" s="3" t="s">
        <v>1464</v>
      </c>
      <c r="D9537" s="3">
        <v>221.0</v>
      </c>
      <c r="E9537" s="3">
        <v>14.78</v>
      </c>
      <c r="F9537" s="3">
        <v>17.31</v>
      </c>
      <c r="G9537" s="3">
        <v>4.98</v>
      </c>
    </row>
    <row r="9538">
      <c r="A9538" s="3">
        <v>783288.0</v>
      </c>
      <c r="B9538" s="3" t="s">
        <v>9566</v>
      </c>
      <c r="C9538" s="3" t="s">
        <v>1464</v>
      </c>
      <c r="D9538" s="3">
        <v>151.0</v>
      </c>
      <c r="E9538" s="3">
        <v>10.4</v>
      </c>
      <c r="F9538" s="3">
        <v>10.53</v>
      </c>
      <c r="G9538" s="3">
        <v>4.25</v>
      </c>
    </row>
    <row r="9539">
      <c r="A9539" s="3">
        <v>783289.0</v>
      </c>
      <c r="B9539" s="3" t="s">
        <v>9567</v>
      </c>
      <c r="C9539" s="3" t="s">
        <v>1464</v>
      </c>
      <c r="D9539" s="3">
        <v>147.0</v>
      </c>
      <c r="E9539" s="3">
        <v>9.02</v>
      </c>
      <c r="F9539" s="3">
        <v>11.03</v>
      </c>
      <c r="G9539" s="3">
        <v>5.45</v>
      </c>
    </row>
    <row r="9540">
      <c r="A9540" s="3">
        <v>783290.0</v>
      </c>
      <c r="B9540" s="3" t="s">
        <v>9568</v>
      </c>
      <c r="C9540" s="3" t="s">
        <v>189</v>
      </c>
      <c r="D9540" s="3">
        <v>188.0</v>
      </c>
      <c r="E9540" s="3">
        <v>13.62</v>
      </c>
      <c r="F9540" s="3">
        <v>13.01</v>
      </c>
      <c r="G9540" s="3">
        <v>2.82</v>
      </c>
    </row>
    <row r="9541">
      <c r="A9541" s="3">
        <v>783291.0</v>
      </c>
      <c r="B9541" s="3" t="s">
        <v>9569</v>
      </c>
      <c r="C9541" s="3" t="s">
        <v>189</v>
      </c>
      <c r="D9541" s="3">
        <v>114.0</v>
      </c>
      <c r="E9541" s="3">
        <v>8.28</v>
      </c>
      <c r="F9541" s="3">
        <v>7.45</v>
      </c>
      <c r="G9541" s="3">
        <v>2.59</v>
      </c>
    </row>
    <row r="9542">
      <c r="A9542" s="3">
        <v>783292.0</v>
      </c>
      <c r="B9542" s="3" t="s">
        <v>9570</v>
      </c>
      <c r="C9542" s="3" t="s">
        <v>189</v>
      </c>
      <c r="D9542" s="3">
        <v>119.0</v>
      </c>
      <c r="E9542" s="3">
        <v>7.83</v>
      </c>
      <c r="F9542" s="3">
        <v>7.56</v>
      </c>
      <c r="G9542" s="3">
        <v>5.12</v>
      </c>
    </row>
    <row r="9543">
      <c r="A9543" s="3">
        <v>783293.0</v>
      </c>
      <c r="B9543" s="3" t="s">
        <v>9571</v>
      </c>
      <c r="C9543" s="3" t="s">
        <v>189</v>
      </c>
      <c r="D9543" s="3">
        <v>124.0</v>
      </c>
      <c r="E9543" s="3">
        <v>7.03</v>
      </c>
      <c r="F9543" s="3">
        <v>10.07</v>
      </c>
      <c r="G9543" s="3">
        <v>5.52</v>
      </c>
    </row>
    <row r="9544">
      <c r="A9544" s="3">
        <v>783294.0</v>
      </c>
      <c r="B9544" s="3" t="s">
        <v>9572</v>
      </c>
      <c r="C9544" s="3" t="s">
        <v>1464</v>
      </c>
      <c r="D9544" s="3">
        <v>114.0</v>
      </c>
      <c r="E9544" s="3">
        <v>7.93</v>
      </c>
      <c r="F9544" s="3">
        <v>7.09</v>
      </c>
      <c r="G9544" s="3">
        <v>4.49</v>
      </c>
    </row>
    <row r="9545">
      <c r="A9545" s="3">
        <v>783295.0</v>
      </c>
      <c r="B9545" s="3" t="s">
        <v>9573</v>
      </c>
      <c r="C9545" s="3" t="s">
        <v>1464</v>
      </c>
      <c r="D9545" s="3">
        <v>98.0</v>
      </c>
      <c r="E9545" s="3">
        <v>4.3</v>
      </c>
      <c r="F9545" s="3">
        <v>10.34</v>
      </c>
      <c r="G9545" s="3">
        <v>3.85</v>
      </c>
    </row>
    <row r="9546">
      <c r="A9546" s="3">
        <v>783296.0</v>
      </c>
      <c r="B9546" s="3" t="s">
        <v>9574</v>
      </c>
      <c r="C9546" s="3" t="s">
        <v>189</v>
      </c>
      <c r="D9546" s="3">
        <v>111.0</v>
      </c>
      <c r="E9546" s="3">
        <v>7.13</v>
      </c>
      <c r="F9546" s="3">
        <v>7.76</v>
      </c>
      <c r="G9546" s="3">
        <v>4.48</v>
      </c>
    </row>
    <row r="9547">
      <c r="A9547" s="3">
        <v>783297.0</v>
      </c>
      <c r="B9547" s="3" t="s">
        <v>9575</v>
      </c>
      <c r="C9547" s="3" t="s">
        <v>189</v>
      </c>
      <c r="D9547" s="3">
        <v>117.0</v>
      </c>
      <c r="E9547" s="3">
        <v>7.14</v>
      </c>
      <c r="F9547" s="3">
        <v>7.81</v>
      </c>
      <c r="G9547" s="3">
        <v>6.44</v>
      </c>
    </row>
    <row r="9548">
      <c r="A9548" s="3">
        <v>783298.0</v>
      </c>
      <c r="B9548" s="3" t="s">
        <v>9576</v>
      </c>
      <c r="C9548" s="3" t="s">
        <v>189</v>
      </c>
      <c r="D9548" s="3">
        <v>113.0</v>
      </c>
      <c r="E9548" s="3">
        <v>8.34</v>
      </c>
      <c r="F9548" s="3">
        <v>5.56</v>
      </c>
      <c r="G9548" s="3">
        <v>4.94</v>
      </c>
    </row>
    <row r="9549">
      <c r="A9549" s="3">
        <v>783299.0</v>
      </c>
      <c r="B9549" s="3" t="s">
        <v>9577</v>
      </c>
      <c r="C9549" s="3" t="s">
        <v>189</v>
      </c>
      <c r="D9549" s="3">
        <v>120.0</v>
      </c>
      <c r="E9549" s="3">
        <v>8.34</v>
      </c>
      <c r="F9549" s="3">
        <v>5.62</v>
      </c>
      <c r="G9549" s="3">
        <v>6.94</v>
      </c>
    </row>
    <row r="9550">
      <c r="A9550" s="3">
        <v>783300.0</v>
      </c>
      <c r="B9550" s="3" t="s">
        <v>9578</v>
      </c>
      <c r="C9550" s="3" t="s">
        <v>189</v>
      </c>
      <c r="D9550" s="3">
        <v>267.0</v>
      </c>
      <c r="E9550" s="3">
        <v>20.71</v>
      </c>
      <c r="F9550" s="3">
        <v>14.69</v>
      </c>
      <c r="G9550" s="3">
        <v>4.86</v>
      </c>
    </row>
    <row r="9551">
      <c r="A9551" s="3">
        <v>783301.0</v>
      </c>
      <c r="B9551" s="3" t="s">
        <v>9579</v>
      </c>
      <c r="C9551" s="3" t="s">
        <v>1464</v>
      </c>
      <c r="D9551" s="3">
        <v>142.0</v>
      </c>
      <c r="E9551" s="3">
        <v>8.91</v>
      </c>
      <c r="F9551" s="3">
        <v>10.95</v>
      </c>
      <c r="G9551" s="3">
        <v>4.77</v>
      </c>
    </row>
    <row r="9552">
      <c r="A9552" s="3">
        <v>783302.0</v>
      </c>
      <c r="B9552" s="3" t="s">
        <v>9580</v>
      </c>
      <c r="C9552" s="3" t="s">
        <v>1464</v>
      </c>
      <c r="D9552" s="3">
        <v>145.0</v>
      </c>
      <c r="E9552" s="3">
        <v>9.24</v>
      </c>
      <c r="F9552" s="3">
        <v>11.28</v>
      </c>
      <c r="G9552" s="3">
        <v>4.38</v>
      </c>
    </row>
    <row r="9553">
      <c r="A9553" s="3">
        <v>783303.0</v>
      </c>
      <c r="B9553" s="3" t="s">
        <v>9581</v>
      </c>
      <c r="C9553" s="3" t="s">
        <v>189</v>
      </c>
      <c r="D9553" s="3">
        <v>123.0</v>
      </c>
      <c r="E9553" s="3">
        <v>5.16</v>
      </c>
      <c r="F9553" s="3">
        <v>13.78</v>
      </c>
      <c r="G9553" s="3">
        <v>5.0</v>
      </c>
    </row>
    <row r="9554">
      <c r="A9554" s="3">
        <v>783304.0</v>
      </c>
      <c r="B9554" s="3" t="s">
        <v>9582</v>
      </c>
      <c r="C9554" s="3" t="s">
        <v>189</v>
      </c>
      <c r="D9554" s="3">
        <v>213.0</v>
      </c>
      <c r="E9554" s="3">
        <v>16.01</v>
      </c>
      <c r="F9554" s="3">
        <v>12.62</v>
      </c>
      <c r="G9554" s="3">
        <v>4.44</v>
      </c>
    </row>
    <row r="9555">
      <c r="A9555" s="3">
        <v>783305.0</v>
      </c>
      <c r="B9555" s="3" t="s">
        <v>9583</v>
      </c>
      <c r="C9555" s="3" t="s">
        <v>189</v>
      </c>
      <c r="D9555" s="3">
        <v>94.0</v>
      </c>
      <c r="E9555" s="3">
        <v>3.04</v>
      </c>
      <c r="F9555" s="3">
        <v>10.84</v>
      </c>
      <c r="G9555" s="3">
        <v>6.11</v>
      </c>
    </row>
    <row r="9556">
      <c r="A9556" s="3">
        <v>783306.0</v>
      </c>
      <c r="B9556" s="3" t="s">
        <v>9584</v>
      </c>
      <c r="C9556" s="3" t="s">
        <v>189</v>
      </c>
      <c r="D9556" s="3">
        <v>117.0</v>
      </c>
      <c r="E9556" s="3">
        <v>3.79</v>
      </c>
      <c r="F9556" s="3">
        <v>13.52</v>
      </c>
      <c r="G9556" s="3">
        <v>6.37</v>
      </c>
    </row>
    <row r="9557">
      <c r="A9557" s="3">
        <v>783307.0</v>
      </c>
      <c r="B9557" s="3" t="s">
        <v>9585</v>
      </c>
      <c r="C9557" s="3" t="s">
        <v>189</v>
      </c>
      <c r="D9557" s="3">
        <v>109.0</v>
      </c>
      <c r="E9557" s="3">
        <v>3.81</v>
      </c>
      <c r="F9557" s="3">
        <v>13.4</v>
      </c>
      <c r="G9557" s="3">
        <v>4.64</v>
      </c>
    </row>
    <row r="9558">
      <c r="A9558" s="3">
        <v>783308.0</v>
      </c>
      <c r="B9558" s="3" t="s">
        <v>9586</v>
      </c>
      <c r="C9558" s="3" t="s">
        <v>189</v>
      </c>
      <c r="D9558" s="3">
        <v>96.0</v>
      </c>
      <c r="E9558" s="3">
        <v>3.61</v>
      </c>
      <c r="F9558" s="3">
        <v>12.59</v>
      </c>
      <c r="G9558" s="3">
        <v>2.79</v>
      </c>
    </row>
    <row r="9559">
      <c r="A9559" s="3">
        <v>783309.0</v>
      </c>
      <c r="B9559" s="3" t="s">
        <v>9587</v>
      </c>
      <c r="C9559" s="3" t="s">
        <v>189</v>
      </c>
      <c r="D9559" s="3">
        <v>98.0</v>
      </c>
      <c r="E9559" s="3">
        <v>3.74</v>
      </c>
      <c r="F9559" s="3">
        <v>12.96</v>
      </c>
      <c r="G9559" s="3">
        <v>2.59</v>
      </c>
    </row>
    <row r="9560">
      <c r="A9560" s="3">
        <v>783310.0</v>
      </c>
      <c r="B9560" s="3" t="s">
        <v>9588</v>
      </c>
      <c r="C9560" s="3" t="s">
        <v>189</v>
      </c>
      <c r="D9560" s="3">
        <v>123.0</v>
      </c>
      <c r="E9560" s="3">
        <v>7.02</v>
      </c>
      <c r="F9560" s="3">
        <v>9.34</v>
      </c>
      <c r="G9560" s="3">
        <v>5.46</v>
      </c>
    </row>
    <row r="9561">
      <c r="A9561" s="3">
        <v>783311.0</v>
      </c>
      <c r="B9561" s="3" t="s">
        <v>9589</v>
      </c>
      <c r="C9561" s="3" t="s">
        <v>189</v>
      </c>
      <c r="D9561" s="3">
        <v>125.0</v>
      </c>
      <c r="E9561" s="3">
        <v>6.42</v>
      </c>
      <c r="F9561" s="3">
        <v>10.6</v>
      </c>
      <c r="G9561" s="3">
        <v>6.54</v>
      </c>
    </row>
    <row r="9562">
      <c r="A9562" s="3">
        <v>783312.0</v>
      </c>
      <c r="B9562" s="3" t="s">
        <v>9590</v>
      </c>
      <c r="C9562" s="3" t="s">
        <v>189</v>
      </c>
      <c r="D9562" s="3">
        <v>120.0</v>
      </c>
      <c r="E9562" s="3">
        <v>5.68</v>
      </c>
      <c r="F9562" s="3">
        <v>12.12</v>
      </c>
      <c r="G9562" s="3">
        <v>5.0</v>
      </c>
    </row>
    <row r="9563">
      <c r="A9563" s="3">
        <v>783313.0</v>
      </c>
      <c r="B9563" s="3" t="s">
        <v>9591</v>
      </c>
      <c r="C9563" s="3" t="s">
        <v>189</v>
      </c>
      <c r="D9563" s="3">
        <v>117.0</v>
      </c>
      <c r="E9563" s="3">
        <v>7.78</v>
      </c>
      <c r="F9563" s="3">
        <v>9.66</v>
      </c>
      <c r="G9563" s="3">
        <v>2.88</v>
      </c>
    </row>
    <row r="9564">
      <c r="A9564" s="3">
        <v>783314.0</v>
      </c>
      <c r="B9564" s="3" t="s">
        <v>9592</v>
      </c>
      <c r="C9564" s="3" t="s">
        <v>189</v>
      </c>
      <c r="D9564" s="3">
        <v>123.0</v>
      </c>
      <c r="E9564" s="3">
        <v>7.96</v>
      </c>
      <c r="F9564" s="3">
        <v>8.72</v>
      </c>
      <c r="G9564" s="3">
        <v>5.08</v>
      </c>
    </row>
    <row r="9565">
      <c r="A9565" s="3">
        <v>783315.0</v>
      </c>
      <c r="B9565" s="3" t="s">
        <v>9593</v>
      </c>
      <c r="C9565" s="3" t="s">
        <v>189</v>
      </c>
      <c r="D9565" s="3">
        <v>103.0</v>
      </c>
      <c r="E9565" s="3">
        <v>3.69</v>
      </c>
      <c r="F9565" s="3">
        <v>12.95</v>
      </c>
      <c r="G9565" s="3">
        <v>5.0</v>
      </c>
    </row>
    <row r="9566">
      <c r="A9566" s="3">
        <v>783316.0</v>
      </c>
      <c r="B9566" s="3" t="s">
        <v>9594</v>
      </c>
      <c r="C9566" s="3" t="s">
        <v>189</v>
      </c>
      <c r="D9566" s="3">
        <v>103.0</v>
      </c>
      <c r="E9566" s="3">
        <v>4.22</v>
      </c>
      <c r="F9566" s="3">
        <v>13.82</v>
      </c>
      <c r="G9566" s="3">
        <v>2.96</v>
      </c>
    </row>
    <row r="9567">
      <c r="A9567" s="3">
        <v>783317.0</v>
      </c>
      <c r="B9567" s="3" t="s">
        <v>9595</v>
      </c>
      <c r="C9567" s="3" t="s">
        <v>189</v>
      </c>
      <c r="D9567" s="3">
        <v>111.0</v>
      </c>
      <c r="E9567" s="3">
        <v>7.44</v>
      </c>
      <c r="F9567" s="3">
        <v>7.1</v>
      </c>
      <c r="G9567" s="3">
        <v>4.47</v>
      </c>
    </row>
    <row r="9568">
      <c r="A9568" s="3">
        <v>783318.0</v>
      </c>
      <c r="B9568" s="3" t="s">
        <v>9596</v>
      </c>
      <c r="C9568" s="3" t="s">
        <v>189</v>
      </c>
      <c r="D9568" s="3">
        <v>118.0</v>
      </c>
      <c r="E9568" s="3">
        <v>7.45</v>
      </c>
      <c r="F9568" s="3">
        <v>7.16</v>
      </c>
      <c r="G9568" s="3">
        <v>6.43</v>
      </c>
    </row>
    <row r="9569">
      <c r="A9569" s="3">
        <v>783319.0</v>
      </c>
      <c r="B9569" s="3" t="s">
        <v>9597</v>
      </c>
      <c r="C9569" s="3" t="s">
        <v>189</v>
      </c>
      <c r="D9569" s="3">
        <v>186.0</v>
      </c>
      <c r="E9569" s="3">
        <v>13.75</v>
      </c>
      <c r="F9569" s="3">
        <v>9.35</v>
      </c>
      <c r="G9569" s="3">
        <v>6.61</v>
      </c>
    </row>
    <row r="9570">
      <c r="A9570" s="3">
        <v>783320.0</v>
      </c>
      <c r="B9570" s="3" t="s">
        <v>9598</v>
      </c>
      <c r="C9570" s="3" t="s">
        <v>189</v>
      </c>
      <c r="D9570" s="3">
        <v>180.0</v>
      </c>
      <c r="E9570" s="3">
        <v>13.3</v>
      </c>
      <c r="F9570" s="3">
        <v>9.52</v>
      </c>
      <c r="G9570" s="3">
        <v>6.18</v>
      </c>
    </row>
    <row r="9571">
      <c r="A9571" s="3">
        <v>783321.0</v>
      </c>
      <c r="B9571" s="3" t="s">
        <v>9599</v>
      </c>
      <c r="C9571" s="3" t="s">
        <v>189</v>
      </c>
      <c r="D9571" s="3">
        <v>140.0</v>
      </c>
      <c r="E9571" s="3">
        <v>7.23</v>
      </c>
      <c r="F9571" s="3">
        <v>15.44</v>
      </c>
      <c r="G9571" s="3">
        <v>4.05</v>
      </c>
    </row>
    <row r="9572">
      <c r="A9572" s="3">
        <v>783323.0</v>
      </c>
      <c r="B9572" s="3" t="s">
        <v>9600</v>
      </c>
      <c r="C9572" s="3" t="s">
        <v>1464</v>
      </c>
      <c r="D9572" s="3">
        <v>129.0</v>
      </c>
      <c r="E9572" s="3">
        <v>8.09</v>
      </c>
      <c r="F9572" s="3">
        <v>10.57</v>
      </c>
      <c r="G9572" s="3">
        <v>4.43</v>
      </c>
    </row>
    <row r="9573">
      <c r="A9573" s="3">
        <v>783324.0</v>
      </c>
      <c r="B9573" s="3" t="s">
        <v>9601</v>
      </c>
      <c r="C9573" s="3" t="s">
        <v>189</v>
      </c>
      <c r="D9573" s="3">
        <v>112.0</v>
      </c>
      <c r="E9573" s="3">
        <v>7.8</v>
      </c>
      <c r="F9573" s="3">
        <v>7.23</v>
      </c>
      <c r="G9573" s="3">
        <v>4.42</v>
      </c>
    </row>
    <row r="9574">
      <c r="A9574" s="3">
        <v>783325.0</v>
      </c>
      <c r="B9574" s="3" t="s">
        <v>9602</v>
      </c>
      <c r="C9574" s="3" t="s">
        <v>189</v>
      </c>
      <c r="D9574" s="3">
        <v>119.0</v>
      </c>
      <c r="E9574" s="3">
        <v>7.81</v>
      </c>
      <c r="F9574" s="3">
        <v>7.28</v>
      </c>
      <c r="G9574" s="3">
        <v>6.35</v>
      </c>
    </row>
    <row r="9575">
      <c r="A9575" s="3">
        <v>783327.0</v>
      </c>
      <c r="B9575" s="3" t="s">
        <v>9603</v>
      </c>
      <c r="C9575" s="3" t="s">
        <v>1464</v>
      </c>
      <c r="D9575" s="3">
        <v>74.0</v>
      </c>
      <c r="E9575" s="3">
        <v>2.41</v>
      </c>
      <c r="F9575" s="3">
        <v>7.28</v>
      </c>
      <c r="G9575" s="3">
        <v>6.39</v>
      </c>
    </row>
    <row r="9576">
      <c r="A9576" s="3">
        <v>783329.0</v>
      </c>
      <c r="B9576" s="3" t="s">
        <v>9604</v>
      </c>
      <c r="C9576" s="3" t="s">
        <v>1464</v>
      </c>
      <c r="D9576" s="3">
        <v>197.0</v>
      </c>
      <c r="E9576" s="3">
        <v>13.18</v>
      </c>
      <c r="F9576" s="3">
        <v>16.08</v>
      </c>
      <c r="G9576" s="3">
        <v>4.88</v>
      </c>
    </row>
    <row r="9577">
      <c r="A9577" s="3">
        <v>783330.0</v>
      </c>
      <c r="B9577" s="3" t="s">
        <v>9605</v>
      </c>
      <c r="C9577" s="3" t="s">
        <v>1464</v>
      </c>
      <c r="D9577" s="3">
        <v>83.0</v>
      </c>
      <c r="E9577" s="3">
        <v>3.23</v>
      </c>
      <c r="F9577" s="3">
        <v>9.78</v>
      </c>
      <c r="G9577" s="3">
        <v>3.84</v>
      </c>
    </row>
    <row r="9578">
      <c r="A9578" s="3">
        <v>783331.0</v>
      </c>
      <c r="B9578" s="3" t="s">
        <v>9606</v>
      </c>
      <c r="C9578" s="3" t="s">
        <v>189</v>
      </c>
      <c r="D9578" s="3">
        <v>235.0</v>
      </c>
      <c r="E9578" s="3">
        <v>18.76</v>
      </c>
      <c r="F9578" s="3">
        <v>13.97</v>
      </c>
      <c r="G9578" s="3">
        <v>2.8</v>
      </c>
    </row>
    <row r="9579">
      <c r="A9579" s="3">
        <v>783332.0</v>
      </c>
      <c r="B9579" s="3" t="s">
        <v>9607</v>
      </c>
      <c r="C9579" s="3" t="s">
        <v>189</v>
      </c>
      <c r="D9579" s="3">
        <v>230.0</v>
      </c>
      <c r="E9579" s="3">
        <v>17.87</v>
      </c>
      <c r="F9579" s="3">
        <v>12.49</v>
      </c>
      <c r="G9579" s="3">
        <v>5.82</v>
      </c>
    </row>
    <row r="9580">
      <c r="A9580" s="3">
        <v>783333.0</v>
      </c>
      <c r="B9580" s="3" t="s">
        <v>9608</v>
      </c>
      <c r="C9580" s="3" t="s">
        <v>189</v>
      </c>
      <c r="D9580" s="3">
        <v>228.0</v>
      </c>
      <c r="E9580" s="3">
        <v>18.06</v>
      </c>
      <c r="F9580" s="3">
        <v>13.85</v>
      </c>
      <c r="G9580" s="3">
        <v>2.66</v>
      </c>
    </row>
    <row r="9581">
      <c r="A9581" s="3">
        <v>783334.0</v>
      </c>
      <c r="B9581" s="3" t="s">
        <v>9609</v>
      </c>
      <c r="C9581" s="3" t="s">
        <v>189</v>
      </c>
      <c r="D9581" s="3">
        <v>145.0</v>
      </c>
      <c r="E9581" s="3">
        <v>8.15</v>
      </c>
      <c r="F9581" s="3">
        <v>13.6</v>
      </c>
      <c r="G9581" s="3">
        <v>4.68</v>
      </c>
    </row>
    <row r="9582">
      <c r="A9582" s="3">
        <v>783335.0</v>
      </c>
      <c r="B9582" s="3" t="s">
        <v>9610</v>
      </c>
      <c r="C9582" s="3" t="s">
        <v>189</v>
      </c>
      <c r="D9582" s="3">
        <v>148.0</v>
      </c>
      <c r="E9582" s="3">
        <v>7.95</v>
      </c>
      <c r="F9582" s="3">
        <v>13.72</v>
      </c>
      <c r="G9582" s="3">
        <v>5.87</v>
      </c>
    </row>
    <row r="9583">
      <c r="A9583" s="3">
        <v>783336.0</v>
      </c>
      <c r="B9583" s="3" t="s">
        <v>9611</v>
      </c>
      <c r="C9583" s="3" t="s">
        <v>189</v>
      </c>
      <c r="D9583" s="3">
        <v>145.0</v>
      </c>
      <c r="E9583" s="3">
        <v>8.15</v>
      </c>
      <c r="F9583" s="3">
        <v>13.6</v>
      </c>
      <c r="G9583" s="3">
        <v>4.68</v>
      </c>
    </row>
    <row r="9584">
      <c r="A9584" s="3">
        <v>783337.0</v>
      </c>
      <c r="B9584" s="3" t="s">
        <v>9612</v>
      </c>
      <c r="C9584" s="3" t="s">
        <v>189</v>
      </c>
      <c r="D9584" s="3">
        <v>188.0</v>
      </c>
      <c r="E9584" s="3">
        <v>13.09</v>
      </c>
      <c r="F9584" s="3">
        <v>13.81</v>
      </c>
      <c r="G9584" s="3">
        <v>3.94</v>
      </c>
    </row>
    <row r="9585">
      <c r="A9585" s="3">
        <v>783338.0</v>
      </c>
      <c r="B9585" s="3" t="s">
        <v>9613</v>
      </c>
      <c r="C9585" s="3" t="s">
        <v>189</v>
      </c>
      <c r="D9585" s="3">
        <v>128.0</v>
      </c>
      <c r="E9585" s="3">
        <v>6.36</v>
      </c>
      <c r="F9585" s="3">
        <v>13.79</v>
      </c>
      <c r="G9585" s="3">
        <v>4.2</v>
      </c>
    </row>
    <row r="9586">
      <c r="A9586" s="3">
        <v>783339.0</v>
      </c>
      <c r="B9586" s="3" t="s">
        <v>9614</v>
      </c>
      <c r="C9586" s="3" t="s">
        <v>189</v>
      </c>
      <c r="D9586" s="3">
        <v>145.0</v>
      </c>
      <c r="E9586" s="3">
        <v>7.84</v>
      </c>
      <c r="F9586" s="3">
        <v>13.67</v>
      </c>
      <c r="G9586" s="3">
        <v>5.29</v>
      </c>
    </row>
    <row r="9587">
      <c r="A9587" s="3">
        <v>783340.0</v>
      </c>
      <c r="B9587" s="3" t="s">
        <v>9615</v>
      </c>
      <c r="C9587" s="3" t="s">
        <v>189</v>
      </c>
      <c r="D9587" s="3">
        <v>115.0</v>
      </c>
      <c r="E9587" s="3">
        <v>4.71</v>
      </c>
      <c r="F9587" s="3">
        <v>13.6</v>
      </c>
      <c r="G9587" s="3">
        <v>4.85</v>
      </c>
    </row>
    <row r="9588">
      <c r="A9588" s="3">
        <v>783341.0</v>
      </c>
      <c r="B9588" s="3" t="s">
        <v>9616</v>
      </c>
      <c r="C9588" s="3" t="s">
        <v>189</v>
      </c>
      <c r="D9588" s="3">
        <v>111.0</v>
      </c>
      <c r="E9588" s="3">
        <v>3.81</v>
      </c>
      <c r="F9588" s="3">
        <v>13.37</v>
      </c>
      <c r="G9588" s="3">
        <v>6.21</v>
      </c>
    </row>
    <row r="9589">
      <c r="A9589" s="3">
        <v>783342.0</v>
      </c>
      <c r="B9589" s="3" t="s">
        <v>9617</v>
      </c>
      <c r="C9589" s="3" t="s">
        <v>189</v>
      </c>
      <c r="D9589" s="3">
        <v>62.0</v>
      </c>
      <c r="E9589" s="3">
        <v>1.33</v>
      </c>
      <c r="F9589" s="3">
        <v>10.19</v>
      </c>
      <c r="G9589" s="3">
        <v>2.94</v>
      </c>
    </row>
    <row r="9590">
      <c r="A9590" s="3">
        <v>783343.0</v>
      </c>
      <c r="B9590" s="3" t="s">
        <v>9618</v>
      </c>
      <c r="C9590" s="3" t="s">
        <v>189</v>
      </c>
      <c r="D9590" s="3">
        <v>64.0</v>
      </c>
      <c r="E9590" s="3">
        <v>1.42</v>
      </c>
      <c r="F9590" s="3">
        <v>10.96</v>
      </c>
      <c r="G9590" s="3">
        <v>2.52</v>
      </c>
    </row>
    <row r="9591">
      <c r="A9591" s="3">
        <v>783344.0</v>
      </c>
      <c r="B9591" s="3" t="s">
        <v>9619</v>
      </c>
      <c r="C9591" s="3" t="s">
        <v>189</v>
      </c>
      <c r="D9591" s="3">
        <v>109.0</v>
      </c>
      <c r="E9591" s="3">
        <v>5.55</v>
      </c>
      <c r="F9591" s="3">
        <v>11.71</v>
      </c>
      <c r="G9591" s="3">
        <v>2.9</v>
      </c>
    </row>
    <row r="9592">
      <c r="A9592" s="3">
        <v>783345.0</v>
      </c>
      <c r="B9592" s="3" t="s">
        <v>9620</v>
      </c>
      <c r="C9592" s="3" t="s">
        <v>189</v>
      </c>
      <c r="D9592" s="3">
        <v>120.0</v>
      </c>
      <c r="E9592" s="3">
        <v>7.69</v>
      </c>
      <c r="F9592" s="3">
        <v>6.86</v>
      </c>
      <c r="G9592" s="3">
        <v>6.22</v>
      </c>
    </row>
    <row r="9593">
      <c r="A9593" s="3">
        <v>783346.0</v>
      </c>
      <c r="B9593" s="3" t="s">
        <v>9621</v>
      </c>
      <c r="C9593" s="3" t="s">
        <v>189</v>
      </c>
      <c r="D9593" s="3">
        <v>96.0</v>
      </c>
      <c r="E9593" s="3">
        <v>4.45</v>
      </c>
      <c r="F9593" s="3">
        <v>11.08</v>
      </c>
      <c r="G9593" s="3">
        <v>2.92</v>
      </c>
    </row>
    <row r="9594">
      <c r="A9594" s="3">
        <v>783347.0</v>
      </c>
      <c r="B9594" s="3" t="s">
        <v>9622</v>
      </c>
      <c r="C9594" s="3" t="s">
        <v>189</v>
      </c>
      <c r="D9594" s="3">
        <v>120.0</v>
      </c>
      <c r="E9594" s="3">
        <v>7.83</v>
      </c>
      <c r="F9594" s="3">
        <v>6.54</v>
      </c>
      <c r="G9594" s="3">
        <v>6.38</v>
      </c>
    </row>
    <row r="9595">
      <c r="A9595" s="3">
        <v>783348.0</v>
      </c>
      <c r="B9595" s="3" t="s">
        <v>9623</v>
      </c>
      <c r="C9595" s="3" t="s">
        <v>189</v>
      </c>
      <c r="D9595" s="3">
        <v>127.0</v>
      </c>
      <c r="E9595" s="3">
        <v>5.02</v>
      </c>
      <c r="F9595" s="3">
        <v>11.31</v>
      </c>
      <c r="G9595" s="3">
        <v>10.12</v>
      </c>
    </row>
    <row r="9596">
      <c r="A9596" s="3">
        <v>783349.0</v>
      </c>
      <c r="B9596" s="3" t="s">
        <v>9624</v>
      </c>
      <c r="C9596" s="3" t="s">
        <v>189</v>
      </c>
      <c r="D9596" s="3">
        <v>121.0</v>
      </c>
      <c r="E9596" s="3">
        <v>5.14</v>
      </c>
      <c r="F9596" s="3">
        <v>11.11</v>
      </c>
      <c r="G9596" s="3">
        <v>8.24</v>
      </c>
    </row>
    <row r="9597">
      <c r="A9597" s="3">
        <v>783350.0</v>
      </c>
      <c r="B9597" s="3" t="s">
        <v>9625</v>
      </c>
      <c r="C9597" s="3" t="s">
        <v>189</v>
      </c>
      <c r="D9597" s="3">
        <v>65.0</v>
      </c>
      <c r="E9597" s="3">
        <v>1.88</v>
      </c>
      <c r="F9597" s="3">
        <v>9.55</v>
      </c>
      <c r="G9597" s="3">
        <v>2.56</v>
      </c>
    </row>
    <row r="9598">
      <c r="A9598" s="3">
        <v>783351.0</v>
      </c>
      <c r="B9598" s="3" t="s">
        <v>9626</v>
      </c>
      <c r="C9598" s="3" t="s">
        <v>189</v>
      </c>
      <c r="D9598" s="3">
        <v>112.0</v>
      </c>
      <c r="E9598" s="3">
        <v>6.79</v>
      </c>
      <c r="F9598" s="3">
        <v>6.62</v>
      </c>
      <c r="G9598" s="3">
        <v>6.67</v>
      </c>
    </row>
    <row r="9599">
      <c r="A9599" s="3">
        <v>783352.0</v>
      </c>
      <c r="B9599" s="3" t="s">
        <v>9627</v>
      </c>
      <c r="C9599" s="3" t="s">
        <v>189</v>
      </c>
      <c r="D9599" s="3">
        <v>119.0</v>
      </c>
      <c r="E9599" s="3">
        <v>7.24</v>
      </c>
      <c r="F9599" s="3">
        <v>9.83</v>
      </c>
      <c r="G9599" s="3">
        <v>3.88</v>
      </c>
    </row>
    <row r="9600">
      <c r="A9600" s="3">
        <v>783353.0</v>
      </c>
      <c r="B9600" s="3" t="s">
        <v>9628</v>
      </c>
      <c r="C9600" s="3" t="s">
        <v>189</v>
      </c>
      <c r="D9600" s="3">
        <v>124.0</v>
      </c>
      <c r="E9600" s="3">
        <v>7.24</v>
      </c>
      <c r="F9600" s="3">
        <v>9.87</v>
      </c>
      <c r="G9600" s="3">
        <v>5.54</v>
      </c>
    </row>
    <row r="9601">
      <c r="A9601" s="3">
        <v>783354.0</v>
      </c>
      <c r="B9601" s="3" t="s">
        <v>9629</v>
      </c>
      <c r="C9601" s="3" t="s">
        <v>189</v>
      </c>
      <c r="D9601" s="3">
        <v>179.0</v>
      </c>
      <c r="E9601" s="3">
        <v>12.83</v>
      </c>
      <c r="F9601" s="3">
        <v>14.04</v>
      </c>
      <c r="G9601" s="3">
        <v>2.55</v>
      </c>
    </row>
    <row r="9602">
      <c r="A9602" s="3">
        <v>783355.0</v>
      </c>
      <c r="B9602" s="3" t="s">
        <v>9630</v>
      </c>
      <c r="C9602" s="3" t="s">
        <v>189</v>
      </c>
      <c r="D9602" s="3">
        <v>198.0</v>
      </c>
      <c r="E9602" s="3">
        <v>10.85</v>
      </c>
      <c r="F9602" s="3">
        <v>25.2</v>
      </c>
      <c r="G9602" s="3">
        <v>0.0</v>
      </c>
    </row>
    <row r="9603">
      <c r="A9603" s="3">
        <v>783356.0</v>
      </c>
      <c r="B9603" s="3" t="s">
        <v>9631</v>
      </c>
      <c r="C9603" s="3" t="s">
        <v>252</v>
      </c>
      <c r="D9603" s="3">
        <v>187.0</v>
      </c>
      <c r="E9603" s="3">
        <v>15.89</v>
      </c>
      <c r="F9603" s="3">
        <v>9.44</v>
      </c>
      <c r="G9603" s="3">
        <v>1.19</v>
      </c>
    </row>
    <row r="9604">
      <c r="A9604" s="3">
        <v>783357.0</v>
      </c>
      <c r="B9604" s="3" t="s">
        <v>9632</v>
      </c>
      <c r="C9604" s="3" t="s">
        <v>252</v>
      </c>
      <c r="D9604" s="3">
        <v>187.0</v>
      </c>
      <c r="E9604" s="3">
        <v>15.4</v>
      </c>
      <c r="F9604" s="3">
        <v>10.33</v>
      </c>
      <c r="G9604" s="3">
        <v>1.15</v>
      </c>
    </row>
    <row r="9605">
      <c r="A9605" s="3">
        <v>783358.0</v>
      </c>
      <c r="B9605" s="3" t="s">
        <v>9633</v>
      </c>
      <c r="C9605" s="3" t="s">
        <v>252</v>
      </c>
      <c r="D9605" s="3">
        <v>212.0</v>
      </c>
      <c r="E9605" s="3">
        <v>17.36</v>
      </c>
      <c r="F9605" s="3">
        <v>10.86</v>
      </c>
      <c r="G9605" s="3">
        <v>2.66</v>
      </c>
    </row>
    <row r="9606">
      <c r="A9606" s="3">
        <v>783359.0</v>
      </c>
      <c r="B9606" s="3" t="s">
        <v>9634</v>
      </c>
      <c r="C9606" s="3" t="s">
        <v>1464</v>
      </c>
      <c r="D9606" s="3">
        <v>69.0</v>
      </c>
      <c r="E9606" s="3">
        <v>1.69</v>
      </c>
      <c r="F9606" s="3">
        <v>8.8</v>
      </c>
      <c r="G9606" s="3">
        <v>4.27</v>
      </c>
    </row>
    <row r="9607">
      <c r="A9607" s="3">
        <v>783360.0</v>
      </c>
      <c r="B9607" s="3" t="s">
        <v>9635</v>
      </c>
      <c r="C9607" s="3" t="s">
        <v>252</v>
      </c>
      <c r="D9607" s="3">
        <v>194.0</v>
      </c>
      <c r="E9607" s="3">
        <v>15.86</v>
      </c>
      <c r="F9607" s="3">
        <v>10.34</v>
      </c>
      <c r="G9607" s="3">
        <v>2.77</v>
      </c>
    </row>
    <row r="9608">
      <c r="A9608" s="3">
        <v>783361.0</v>
      </c>
      <c r="B9608" s="3" t="s">
        <v>9636</v>
      </c>
      <c r="C9608" s="3" t="s">
        <v>252</v>
      </c>
      <c r="D9608" s="3">
        <v>106.0</v>
      </c>
      <c r="E9608" s="3">
        <v>5.41</v>
      </c>
      <c r="F9608" s="3">
        <v>10.04</v>
      </c>
      <c r="G9608" s="3">
        <v>4.63</v>
      </c>
    </row>
    <row r="9609">
      <c r="A9609" s="3">
        <v>783362.0</v>
      </c>
      <c r="B9609" s="3" t="s">
        <v>9637</v>
      </c>
      <c r="C9609" s="3" t="s">
        <v>252</v>
      </c>
      <c r="D9609" s="3">
        <v>108.0</v>
      </c>
      <c r="E9609" s="3">
        <v>5.2</v>
      </c>
      <c r="F9609" s="3">
        <v>10.15</v>
      </c>
      <c r="G9609" s="3">
        <v>5.8</v>
      </c>
    </row>
    <row r="9610">
      <c r="A9610" s="3">
        <v>783363.0</v>
      </c>
      <c r="B9610" s="3" t="s">
        <v>9638</v>
      </c>
      <c r="C9610" s="3" t="s">
        <v>252</v>
      </c>
      <c r="D9610" s="3">
        <v>106.0</v>
      </c>
      <c r="E9610" s="3">
        <v>5.41</v>
      </c>
      <c r="F9610" s="3">
        <v>10.04</v>
      </c>
      <c r="G9610" s="3">
        <v>4.63</v>
      </c>
    </row>
    <row r="9611">
      <c r="A9611" s="3">
        <v>783364.0</v>
      </c>
      <c r="B9611" s="3" t="s">
        <v>9639</v>
      </c>
      <c r="C9611" s="3" t="s">
        <v>252</v>
      </c>
      <c r="D9611" s="3">
        <v>148.0</v>
      </c>
      <c r="E9611" s="3">
        <v>10.3</v>
      </c>
      <c r="F9611" s="3">
        <v>10.25</v>
      </c>
      <c r="G9611" s="3">
        <v>3.9</v>
      </c>
    </row>
    <row r="9612">
      <c r="A9612" s="3">
        <v>783365.0</v>
      </c>
      <c r="B9612" s="3" t="s">
        <v>9640</v>
      </c>
      <c r="C9612" s="3" t="s">
        <v>252</v>
      </c>
      <c r="D9612" s="3">
        <v>78.0</v>
      </c>
      <c r="E9612" s="3">
        <v>1.17</v>
      </c>
      <c r="F9612" s="3">
        <v>10.08</v>
      </c>
      <c r="G9612" s="3">
        <v>7.27</v>
      </c>
    </row>
    <row r="9613">
      <c r="A9613" s="3">
        <v>783366.0</v>
      </c>
      <c r="B9613" s="3" t="s">
        <v>9641</v>
      </c>
      <c r="C9613" s="3" t="s">
        <v>252</v>
      </c>
      <c r="D9613" s="3">
        <v>106.0</v>
      </c>
      <c r="E9613" s="3">
        <v>5.1</v>
      </c>
      <c r="F9613" s="3">
        <v>10.09</v>
      </c>
      <c r="G9613" s="3">
        <v>5.23</v>
      </c>
    </row>
    <row r="9614">
      <c r="A9614" s="3">
        <v>783367.0</v>
      </c>
      <c r="B9614" s="3" t="s">
        <v>9642</v>
      </c>
      <c r="C9614" s="3" t="s">
        <v>252</v>
      </c>
      <c r="D9614" s="3">
        <v>76.0</v>
      </c>
      <c r="E9614" s="3">
        <v>2.01</v>
      </c>
      <c r="F9614" s="3">
        <v>10.05</v>
      </c>
      <c r="G9614" s="3">
        <v>4.8</v>
      </c>
    </row>
    <row r="9615">
      <c r="A9615" s="3">
        <v>783368.0</v>
      </c>
      <c r="B9615" s="3" t="s">
        <v>9643</v>
      </c>
      <c r="C9615" s="3" t="s">
        <v>252</v>
      </c>
      <c r="D9615" s="3">
        <v>73.0</v>
      </c>
      <c r="E9615" s="3">
        <v>1.16</v>
      </c>
      <c r="F9615" s="3">
        <v>9.86</v>
      </c>
      <c r="G9615" s="3">
        <v>6.14</v>
      </c>
    </row>
    <row r="9616">
      <c r="A9616" s="3">
        <v>783369.0</v>
      </c>
      <c r="B9616" s="3" t="s">
        <v>9644</v>
      </c>
      <c r="C9616" s="3" t="s">
        <v>252</v>
      </c>
      <c r="D9616" s="3">
        <v>199.0</v>
      </c>
      <c r="E9616" s="3">
        <v>16.6</v>
      </c>
      <c r="F9616" s="3">
        <v>10.47</v>
      </c>
      <c r="G9616" s="3">
        <v>1.22</v>
      </c>
    </row>
    <row r="9617">
      <c r="A9617" s="3">
        <v>783370.0</v>
      </c>
      <c r="B9617" s="3" t="s">
        <v>9645</v>
      </c>
      <c r="C9617" s="3" t="s">
        <v>252</v>
      </c>
      <c r="D9617" s="3">
        <v>191.0</v>
      </c>
      <c r="E9617" s="3">
        <v>15.95</v>
      </c>
      <c r="F9617" s="3">
        <v>10.08</v>
      </c>
      <c r="G9617" s="3">
        <v>1.18</v>
      </c>
    </row>
    <row r="9618">
      <c r="A9618" s="3">
        <v>783371.0</v>
      </c>
      <c r="B9618" s="3" t="s">
        <v>9646</v>
      </c>
      <c r="C9618" s="3" t="s">
        <v>252</v>
      </c>
      <c r="D9618" s="3">
        <v>214.0</v>
      </c>
      <c r="E9618" s="3">
        <v>17.52</v>
      </c>
      <c r="F9618" s="3">
        <v>11.54</v>
      </c>
      <c r="G9618" s="3">
        <v>2.8</v>
      </c>
    </row>
    <row r="9619">
      <c r="A9619" s="3">
        <v>783372.0</v>
      </c>
      <c r="B9619" s="3" t="s">
        <v>9647</v>
      </c>
      <c r="C9619" s="3" t="s">
        <v>252</v>
      </c>
      <c r="D9619" s="3">
        <v>191.0</v>
      </c>
      <c r="E9619" s="3">
        <v>15.41</v>
      </c>
      <c r="F9619" s="3">
        <v>10.53</v>
      </c>
      <c r="G9619" s="3">
        <v>2.63</v>
      </c>
    </row>
    <row r="9620">
      <c r="A9620" s="3">
        <v>783373.0</v>
      </c>
      <c r="B9620" s="3" t="s">
        <v>9648</v>
      </c>
      <c r="C9620" s="3" t="s">
        <v>252</v>
      </c>
      <c r="D9620" s="3">
        <v>62.0</v>
      </c>
      <c r="E9620" s="3">
        <v>2.05</v>
      </c>
      <c r="F9620" s="3">
        <v>8.17</v>
      </c>
      <c r="G9620" s="3">
        <v>2.72</v>
      </c>
    </row>
    <row r="9621">
      <c r="A9621" s="3">
        <v>783374.0</v>
      </c>
      <c r="B9621" s="3" t="s">
        <v>9649</v>
      </c>
      <c r="C9621" s="3" t="s">
        <v>252</v>
      </c>
      <c r="D9621" s="3">
        <v>64.0</v>
      </c>
      <c r="E9621" s="3">
        <v>2.17</v>
      </c>
      <c r="F9621" s="3">
        <v>8.7</v>
      </c>
      <c r="G9621" s="3">
        <v>2.34</v>
      </c>
    </row>
    <row r="9622">
      <c r="A9622" s="3">
        <v>783375.0</v>
      </c>
      <c r="B9622" s="3" t="s">
        <v>9650</v>
      </c>
      <c r="C9622" s="3" t="s">
        <v>252</v>
      </c>
      <c r="D9622" s="3">
        <v>197.0</v>
      </c>
      <c r="E9622" s="3">
        <v>16.28</v>
      </c>
      <c r="F9622" s="3">
        <v>4.12</v>
      </c>
      <c r="G9622" s="3">
        <v>8.58</v>
      </c>
    </row>
    <row r="9623">
      <c r="A9623" s="3">
        <v>783376.0</v>
      </c>
      <c r="B9623" s="3" t="s">
        <v>9651</v>
      </c>
      <c r="C9623" s="3" t="s">
        <v>252</v>
      </c>
      <c r="D9623" s="3">
        <v>173.0</v>
      </c>
      <c r="E9623" s="3">
        <v>15.92</v>
      </c>
      <c r="F9623" s="3">
        <v>4.03</v>
      </c>
      <c r="G9623" s="3">
        <v>4.55</v>
      </c>
    </row>
    <row r="9624">
      <c r="A9624" s="3">
        <v>783377.0</v>
      </c>
      <c r="B9624" s="3" t="s">
        <v>9652</v>
      </c>
      <c r="C9624" s="3" t="s">
        <v>252</v>
      </c>
      <c r="D9624" s="3">
        <v>45.0</v>
      </c>
      <c r="E9624" s="3">
        <v>0.5</v>
      </c>
      <c r="F9624" s="3">
        <v>7.64</v>
      </c>
      <c r="G9624" s="3">
        <v>2.54</v>
      </c>
    </row>
    <row r="9625">
      <c r="A9625" s="3">
        <v>783378.0</v>
      </c>
      <c r="B9625" s="3" t="s">
        <v>9653</v>
      </c>
      <c r="C9625" s="3" t="s">
        <v>252</v>
      </c>
      <c r="D9625" s="3">
        <v>44.0</v>
      </c>
      <c r="E9625" s="3">
        <v>0.48</v>
      </c>
      <c r="F9625" s="3">
        <v>7.1</v>
      </c>
      <c r="G9625" s="3">
        <v>2.97</v>
      </c>
    </row>
    <row r="9626">
      <c r="A9626" s="3">
        <v>783379.0</v>
      </c>
      <c r="B9626" s="3" t="s">
        <v>9654</v>
      </c>
      <c r="C9626" s="3" t="s">
        <v>252</v>
      </c>
      <c r="D9626" s="3">
        <v>62.0</v>
      </c>
      <c r="E9626" s="3">
        <v>2.06</v>
      </c>
      <c r="F9626" s="3">
        <v>8.41</v>
      </c>
      <c r="G9626" s="3">
        <v>2.32</v>
      </c>
    </row>
    <row r="9627">
      <c r="A9627" s="3">
        <v>783380.0</v>
      </c>
      <c r="B9627" s="3" t="s">
        <v>9655</v>
      </c>
      <c r="C9627" s="3" t="s">
        <v>252</v>
      </c>
      <c r="D9627" s="3">
        <v>60.0</v>
      </c>
      <c r="E9627" s="3">
        <v>1.95</v>
      </c>
      <c r="F9627" s="3">
        <v>7.89</v>
      </c>
      <c r="G9627" s="3">
        <v>2.7</v>
      </c>
    </row>
    <row r="9628">
      <c r="A9628" s="3">
        <v>783381.0</v>
      </c>
      <c r="B9628" s="3" t="s">
        <v>9656</v>
      </c>
      <c r="C9628" s="3" t="s">
        <v>252</v>
      </c>
      <c r="D9628" s="3">
        <v>127.0</v>
      </c>
      <c r="E9628" s="3">
        <v>7.0</v>
      </c>
      <c r="F9628" s="3">
        <v>7.5</v>
      </c>
      <c r="G9628" s="3">
        <v>9.03</v>
      </c>
    </row>
    <row r="9629">
      <c r="A9629" s="3">
        <v>783382.0</v>
      </c>
      <c r="B9629" s="3" t="s">
        <v>9657</v>
      </c>
      <c r="C9629" s="3" t="s">
        <v>252</v>
      </c>
      <c r="D9629" s="3">
        <v>60.0</v>
      </c>
      <c r="E9629" s="3">
        <v>1.86</v>
      </c>
      <c r="F9629" s="3">
        <v>7.55</v>
      </c>
      <c r="G9629" s="3">
        <v>3.31</v>
      </c>
    </row>
    <row r="9630">
      <c r="A9630" s="3">
        <v>783383.0</v>
      </c>
      <c r="B9630" s="3" t="s">
        <v>9658</v>
      </c>
      <c r="C9630" s="3" t="s">
        <v>252</v>
      </c>
      <c r="D9630" s="3">
        <v>117.0</v>
      </c>
      <c r="E9630" s="3">
        <v>7.25</v>
      </c>
      <c r="F9630" s="3">
        <v>9.35</v>
      </c>
      <c r="G9630" s="3">
        <v>3.8</v>
      </c>
    </row>
    <row r="9631">
      <c r="A9631" s="3">
        <v>783384.0</v>
      </c>
      <c r="B9631" s="3" t="s">
        <v>9659</v>
      </c>
      <c r="C9631" s="3" t="s">
        <v>252</v>
      </c>
      <c r="D9631" s="3">
        <v>123.0</v>
      </c>
      <c r="E9631" s="3">
        <v>6.87</v>
      </c>
      <c r="F9631" s="3">
        <v>9.25</v>
      </c>
      <c r="G9631" s="3">
        <v>6.78</v>
      </c>
    </row>
    <row r="9632">
      <c r="A9632" s="3">
        <v>783385.0</v>
      </c>
      <c r="B9632" s="3" t="s">
        <v>9660</v>
      </c>
      <c r="C9632" s="3" t="s">
        <v>1464</v>
      </c>
      <c r="D9632" s="3">
        <v>113.0</v>
      </c>
      <c r="E9632" s="3">
        <v>6.28</v>
      </c>
      <c r="F9632" s="3">
        <v>9.08</v>
      </c>
      <c r="G9632" s="3">
        <v>5.27</v>
      </c>
    </row>
    <row r="9633">
      <c r="A9633" s="3">
        <v>783386.0</v>
      </c>
      <c r="B9633" s="3" t="s">
        <v>9661</v>
      </c>
      <c r="C9633" s="3" t="s">
        <v>1464</v>
      </c>
      <c r="D9633" s="3">
        <v>114.0</v>
      </c>
      <c r="E9633" s="3">
        <v>6.51</v>
      </c>
      <c r="F9633" s="3">
        <v>9.34</v>
      </c>
      <c r="G9633" s="3">
        <v>4.9</v>
      </c>
    </row>
    <row r="9634">
      <c r="A9634" s="3">
        <v>783387.0</v>
      </c>
      <c r="B9634" s="3" t="s">
        <v>9662</v>
      </c>
      <c r="C9634" s="3" t="s">
        <v>252</v>
      </c>
      <c r="D9634" s="3">
        <v>82.0</v>
      </c>
      <c r="E9634" s="3">
        <v>1.58</v>
      </c>
      <c r="F9634" s="3">
        <v>11.14</v>
      </c>
      <c r="G9634" s="3">
        <v>5.69</v>
      </c>
    </row>
    <row r="9635">
      <c r="A9635" s="3">
        <v>783388.0</v>
      </c>
      <c r="B9635" s="3" t="s">
        <v>9663</v>
      </c>
      <c r="C9635" s="3" t="s">
        <v>252</v>
      </c>
      <c r="D9635" s="3">
        <v>124.0</v>
      </c>
      <c r="E9635" s="3">
        <v>5.2</v>
      </c>
      <c r="F9635" s="3">
        <v>14.32</v>
      </c>
      <c r="G9635" s="3">
        <v>4.48</v>
      </c>
    </row>
    <row r="9636">
      <c r="A9636" s="3">
        <v>783389.0</v>
      </c>
      <c r="B9636" s="3" t="s">
        <v>9664</v>
      </c>
      <c r="C9636" s="3" t="s">
        <v>1464</v>
      </c>
      <c r="D9636" s="3">
        <v>175.0</v>
      </c>
      <c r="E9636" s="3">
        <v>10.76</v>
      </c>
      <c r="F9636" s="3">
        <v>14.35</v>
      </c>
      <c r="G9636" s="3">
        <v>5.75</v>
      </c>
    </row>
    <row r="9637">
      <c r="A9637" s="3">
        <v>783390.0</v>
      </c>
      <c r="B9637" s="3" t="s">
        <v>9665</v>
      </c>
      <c r="C9637" s="3" t="s">
        <v>252</v>
      </c>
      <c r="D9637" s="3">
        <v>114.0</v>
      </c>
      <c r="E9637" s="3">
        <v>5.12</v>
      </c>
      <c r="F9637" s="3">
        <v>9.01</v>
      </c>
      <c r="G9637" s="3">
        <v>8.37</v>
      </c>
    </row>
    <row r="9638">
      <c r="A9638" s="3">
        <v>783391.0</v>
      </c>
      <c r="B9638" s="3" t="s">
        <v>9666</v>
      </c>
      <c r="C9638" s="3" t="s">
        <v>1464</v>
      </c>
      <c r="D9638" s="3">
        <v>117.0</v>
      </c>
      <c r="E9638" s="3">
        <v>6.26</v>
      </c>
      <c r="F9638" s="3">
        <v>9.33</v>
      </c>
      <c r="G9638" s="3">
        <v>6.01</v>
      </c>
    </row>
    <row r="9639">
      <c r="A9639" s="3">
        <v>783392.0</v>
      </c>
      <c r="B9639" s="3" t="s">
        <v>9667</v>
      </c>
      <c r="C9639" s="3" t="s">
        <v>1464</v>
      </c>
      <c r="D9639" s="3">
        <v>118.0</v>
      </c>
      <c r="E9639" s="3">
        <v>6.49</v>
      </c>
      <c r="F9639" s="3">
        <v>9.6</v>
      </c>
      <c r="G9639" s="3">
        <v>5.67</v>
      </c>
    </row>
    <row r="9640">
      <c r="A9640" s="3">
        <v>783393.0</v>
      </c>
      <c r="B9640" s="3" t="s">
        <v>9668</v>
      </c>
      <c r="C9640" s="3" t="s">
        <v>252</v>
      </c>
      <c r="D9640" s="3">
        <v>110.0</v>
      </c>
      <c r="E9640" s="3">
        <v>6.91</v>
      </c>
      <c r="F9640" s="3">
        <v>6.24</v>
      </c>
      <c r="G9640" s="3">
        <v>5.92</v>
      </c>
    </row>
    <row r="9641">
      <c r="A9641" s="3">
        <v>783394.0</v>
      </c>
      <c r="B9641" s="3" t="s">
        <v>9669</v>
      </c>
      <c r="C9641" s="3" t="s">
        <v>252</v>
      </c>
      <c r="D9641" s="3">
        <v>116.0</v>
      </c>
      <c r="E9641" s="3">
        <v>6.92</v>
      </c>
      <c r="F9641" s="3">
        <v>6.29</v>
      </c>
      <c r="G9641" s="3">
        <v>7.63</v>
      </c>
    </row>
    <row r="9642">
      <c r="A9642" s="3">
        <v>783395.0</v>
      </c>
      <c r="B9642" s="3" t="s">
        <v>9670</v>
      </c>
      <c r="C9642" s="3" t="s">
        <v>252</v>
      </c>
      <c r="D9642" s="3">
        <v>105.0</v>
      </c>
      <c r="E9642" s="3">
        <v>7.26</v>
      </c>
      <c r="F9642" s="3">
        <v>6.28</v>
      </c>
      <c r="G9642" s="3">
        <v>4.39</v>
      </c>
    </row>
    <row r="9643">
      <c r="A9643" s="3">
        <v>783396.0</v>
      </c>
      <c r="B9643" s="3" t="s">
        <v>9671</v>
      </c>
      <c r="C9643" s="3" t="s">
        <v>252</v>
      </c>
      <c r="D9643" s="3">
        <v>111.0</v>
      </c>
      <c r="E9643" s="3">
        <v>7.26</v>
      </c>
      <c r="F9643" s="3">
        <v>6.33</v>
      </c>
      <c r="G9643" s="3">
        <v>6.3</v>
      </c>
    </row>
    <row r="9644">
      <c r="A9644" s="3">
        <v>783397.0</v>
      </c>
      <c r="B9644" s="3" t="s">
        <v>9672</v>
      </c>
      <c r="C9644" s="3" t="s">
        <v>1464</v>
      </c>
      <c r="D9644" s="3">
        <v>101.0</v>
      </c>
      <c r="E9644" s="3">
        <v>5.87</v>
      </c>
      <c r="F9644" s="3">
        <v>7.71</v>
      </c>
      <c r="G9644" s="3">
        <v>4.75</v>
      </c>
    </row>
    <row r="9645">
      <c r="A9645" s="3">
        <v>783398.0</v>
      </c>
      <c r="B9645" s="3" t="s">
        <v>9673</v>
      </c>
      <c r="C9645" s="3" t="s">
        <v>1464</v>
      </c>
      <c r="D9645" s="3">
        <v>102.0</v>
      </c>
      <c r="E9645" s="3">
        <v>6.08</v>
      </c>
      <c r="F9645" s="3">
        <v>7.91</v>
      </c>
      <c r="G9645" s="3">
        <v>4.36</v>
      </c>
    </row>
    <row r="9646">
      <c r="A9646" s="3">
        <v>783399.0</v>
      </c>
      <c r="B9646" s="3" t="s">
        <v>9674</v>
      </c>
      <c r="C9646" s="3" t="s">
        <v>252</v>
      </c>
      <c r="D9646" s="3">
        <v>67.0</v>
      </c>
      <c r="E9646" s="3">
        <v>1.04</v>
      </c>
      <c r="F9646" s="3">
        <v>9.32</v>
      </c>
      <c r="G9646" s="3">
        <v>5.0</v>
      </c>
    </row>
    <row r="9647">
      <c r="A9647" s="3">
        <v>783400.0</v>
      </c>
      <c r="B9647" s="3" t="s">
        <v>9675</v>
      </c>
      <c r="C9647" s="3" t="s">
        <v>252</v>
      </c>
      <c r="D9647" s="3">
        <v>151.0</v>
      </c>
      <c r="E9647" s="3">
        <v>10.04</v>
      </c>
      <c r="F9647" s="3">
        <v>11.84</v>
      </c>
      <c r="G9647" s="3">
        <v>3.42</v>
      </c>
    </row>
    <row r="9648">
      <c r="A9648" s="3">
        <v>783401.0</v>
      </c>
      <c r="B9648" s="3" t="s">
        <v>9676</v>
      </c>
      <c r="C9648" s="3" t="s">
        <v>252</v>
      </c>
      <c r="D9648" s="3">
        <v>149.0</v>
      </c>
      <c r="E9648" s="3">
        <v>10.23</v>
      </c>
      <c r="F9648" s="3">
        <v>10.79</v>
      </c>
      <c r="G9648" s="3">
        <v>3.97</v>
      </c>
    </row>
    <row r="9649">
      <c r="A9649" s="3">
        <v>783402.0</v>
      </c>
      <c r="B9649" s="3" t="s">
        <v>9677</v>
      </c>
      <c r="C9649" s="3" t="s">
        <v>252</v>
      </c>
      <c r="D9649" s="3">
        <v>165.0</v>
      </c>
      <c r="E9649" s="3">
        <v>11.59</v>
      </c>
      <c r="F9649" s="3">
        <v>9.7</v>
      </c>
      <c r="G9649" s="3">
        <v>5.58</v>
      </c>
    </row>
    <row r="9650">
      <c r="A9650" s="3">
        <v>783403.0</v>
      </c>
      <c r="B9650" s="3" t="s">
        <v>9678</v>
      </c>
      <c r="C9650" s="3" t="s">
        <v>252</v>
      </c>
      <c r="D9650" s="3">
        <v>176.0</v>
      </c>
      <c r="E9650" s="3">
        <v>15.48</v>
      </c>
      <c r="F9650" s="3">
        <v>6.65</v>
      </c>
      <c r="G9650" s="3">
        <v>2.83</v>
      </c>
    </row>
    <row r="9651">
      <c r="A9651" s="3">
        <v>783404.0</v>
      </c>
      <c r="B9651" s="3" t="s">
        <v>9679</v>
      </c>
      <c r="C9651" s="3" t="s">
        <v>1464</v>
      </c>
      <c r="D9651" s="3">
        <v>83.0</v>
      </c>
      <c r="E9651" s="3">
        <v>3.23</v>
      </c>
      <c r="F9651" s="3">
        <v>9.78</v>
      </c>
      <c r="G9651" s="3">
        <v>3.84</v>
      </c>
    </row>
    <row r="9652">
      <c r="A9652" s="3">
        <v>783405.0</v>
      </c>
      <c r="B9652" s="3" t="s">
        <v>9680</v>
      </c>
      <c r="C9652" s="3" t="s">
        <v>252</v>
      </c>
      <c r="D9652" s="3">
        <v>140.0</v>
      </c>
      <c r="E9652" s="3">
        <v>8.32</v>
      </c>
      <c r="F9652" s="3">
        <v>15.25</v>
      </c>
      <c r="G9652" s="3">
        <v>0.0</v>
      </c>
    </row>
    <row r="9653">
      <c r="A9653" s="3">
        <v>783406.0</v>
      </c>
      <c r="B9653" s="3" t="s">
        <v>9681</v>
      </c>
      <c r="C9653" s="3" t="s">
        <v>189</v>
      </c>
      <c r="D9653" s="3">
        <v>111.0</v>
      </c>
      <c r="E9653" s="3">
        <v>6.24</v>
      </c>
      <c r="F9653" s="3">
        <v>10.92</v>
      </c>
      <c r="G9653" s="3">
        <v>2.71</v>
      </c>
    </row>
    <row r="9654">
      <c r="A9654" s="3">
        <v>783407.0</v>
      </c>
      <c r="B9654" s="3" t="s">
        <v>9682</v>
      </c>
      <c r="C9654" s="3" t="s">
        <v>189</v>
      </c>
      <c r="D9654" s="3">
        <v>155.0</v>
      </c>
      <c r="E9654" s="3">
        <v>10.1</v>
      </c>
      <c r="F9654" s="3">
        <v>11.71</v>
      </c>
      <c r="G9654" s="3">
        <v>4.29</v>
      </c>
    </row>
    <row r="9655">
      <c r="A9655" s="3">
        <v>783408.0</v>
      </c>
      <c r="B9655" s="3" t="s">
        <v>9683</v>
      </c>
      <c r="C9655" s="3" t="s">
        <v>189</v>
      </c>
      <c r="D9655" s="3">
        <v>226.0</v>
      </c>
      <c r="E9655" s="3">
        <v>17.69</v>
      </c>
      <c r="F9655" s="3">
        <v>12.89</v>
      </c>
      <c r="G9655" s="3">
        <v>2.87</v>
      </c>
    </row>
    <row r="9656">
      <c r="A9656" s="3">
        <v>783409.0</v>
      </c>
      <c r="B9656" s="3" t="s">
        <v>9684</v>
      </c>
      <c r="C9656" s="3" t="s">
        <v>189</v>
      </c>
      <c r="D9656" s="3">
        <v>129.0</v>
      </c>
      <c r="E9656" s="3">
        <v>3.61</v>
      </c>
      <c r="F9656" s="3">
        <v>16.67</v>
      </c>
      <c r="G9656" s="3">
        <v>6.97</v>
      </c>
    </row>
    <row r="9657">
      <c r="A9657" s="3">
        <v>783410.0</v>
      </c>
      <c r="B9657" s="3" t="s">
        <v>9685</v>
      </c>
      <c r="C9657" s="3" t="s">
        <v>189</v>
      </c>
      <c r="D9657" s="3">
        <v>212.0</v>
      </c>
      <c r="E9657" s="3">
        <v>18.32</v>
      </c>
      <c r="F9657" s="3">
        <v>8.48</v>
      </c>
      <c r="G9657" s="3">
        <v>4.01</v>
      </c>
    </row>
    <row r="9658">
      <c r="A9658" s="3">
        <v>783411.0</v>
      </c>
      <c r="B9658" s="3" t="s">
        <v>9686</v>
      </c>
      <c r="C9658" s="3" t="s">
        <v>189</v>
      </c>
      <c r="D9658" s="3">
        <v>180.0</v>
      </c>
      <c r="E9658" s="3">
        <v>8.77</v>
      </c>
      <c r="F9658" s="3">
        <v>20.24</v>
      </c>
      <c r="G9658" s="3">
        <v>4.39</v>
      </c>
    </row>
    <row r="9659">
      <c r="A9659" s="3">
        <v>783412.0</v>
      </c>
      <c r="B9659" s="3" t="s">
        <v>9687</v>
      </c>
      <c r="C9659" s="3" t="s">
        <v>252</v>
      </c>
      <c r="D9659" s="3">
        <v>82.0</v>
      </c>
      <c r="E9659" s="3">
        <v>3.63</v>
      </c>
      <c r="F9659" s="3">
        <v>8.55</v>
      </c>
      <c r="G9659" s="3">
        <v>3.89</v>
      </c>
    </row>
    <row r="9660">
      <c r="A9660" s="3">
        <v>783413.0</v>
      </c>
      <c r="B9660" s="3" t="s">
        <v>9688</v>
      </c>
      <c r="C9660" s="3" t="s">
        <v>2807</v>
      </c>
      <c r="D9660" s="3">
        <v>301.0</v>
      </c>
      <c r="E9660" s="3">
        <v>13.79</v>
      </c>
      <c r="F9660" s="3">
        <v>10.47</v>
      </c>
      <c r="G9660" s="3">
        <v>32.9</v>
      </c>
    </row>
    <row r="9661">
      <c r="A9661" s="3">
        <v>783414.0</v>
      </c>
      <c r="B9661" s="3" t="s">
        <v>9689</v>
      </c>
      <c r="C9661" s="3" t="s">
        <v>2807</v>
      </c>
      <c r="D9661" s="3">
        <v>301.0</v>
      </c>
      <c r="E9661" s="3">
        <v>13.79</v>
      </c>
      <c r="F9661" s="3">
        <v>10.47</v>
      </c>
      <c r="G9661" s="3">
        <v>32.9</v>
      </c>
    </row>
    <row r="9662">
      <c r="A9662" s="3">
        <v>783415.0</v>
      </c>
      <c r="B9662" s="3" t="s">
        <v>9690</v>
      </c>
      <c r="C9662" s="3" t="s">
        <v>2807</v>
      </c>
      <c r="D9662" s="3">
        <v>205.0</v>
      </c>
      <c r="E9662" s="3">
        <v>11.19</v>
      </c>
      <c r="F9662" s="3">
        <v>12.38</v>
      </c>
      <c r="G9662" s="3">
        <v>13.96</v>
      </c>
    </row>
    <row r="9663">
      <c r="A9663" s="3">
        <v>783416.0</v>
      </c>
      <c r="B9663" s="3" t="s">
        <v>9691</v>
      </c>
      <c r="C9663" s="3" t="s">
        <v>2807</v>
      </c>
      <c r="D9663" s="3">
        <v>187.0</v>
      </c>
      <c r="E9663" s="3">
        <v>9.3</v>
      </c>
      <c r="F9663" s="3">
        <v>12.78</v>
      </c>
      <c r="G9663" s="3">
        <v>13.36</v>
      </c>
    </row>
    <row r="9664">
      <c r="A9664" s="3">
        <v>783417.0</v>
      </c>
      <c r="B9664" s="3" t="s">
        <v>9692</v>
      </c>
      <c r="C9664" s="3" t="s">
        <v>2807</v>
      </c>
      <c r="D9664" s="3">
        <v>190.0</v>
      </c>
      <c r="E9664" s="3">
        <v>7.33</v>
      </c>
      <c r="F9664" s="3">
        <v>11.93</v>
      </c>
      <c r="G9664" s="3">
        <v>18.68</v>
      </c>
    </row>
    <row r="9665">
      <c r="A9665" s="3">
        <v>783418.0</v>
      </c>
      <c r="B9665" s="3" t="s">
        <v>9693</v>
      </c>
      <c r="C9665" s="3" t="s">
        <v>2807</v>
      </c>
      <c r="D9665" s="3">
        <v>233.0</v>
      </c>
      <c r="E9665" s="3">
        <v>6.26</v>
      </c>
      <c r="F9665" s="3">
        <v>10.28</v>
      </c>
      <c r="G9665" s="3">
        <v>32.93</v>
      </c>
    </row>
    <row r="9666">
      <c r="A9666" s="3">
        <v>783419.0</v>
      </c>
      <c r="B9666" s="3" t="s">
        <v>9694</v>
      </c>
      <c r="C9666" s="3" t="s">
        <v>2807</v>
      </c>
      <c r="D9666" s="3">
        <v>221.0</v>
      </c>
      <c r="E9666" s="3">
        <v>5.37</v>
      </c>
      <c r="F9666" s="3">
        <v>16.73</v>
      </c>
      <c r="G9666" s="3">
        <v>26.04</v>
      </c>
    </row>
    <row r="9667">
      <c r="A9667" s="3">
        <v>783420.0</v>
      </c>
      <c r="B9667" s="3" t="s">
        <v>9695</v>
      </c>
      <c r="C9667" s="3" t="s">
        <v>2807</v>
      </c>
      <c r="D9667" s="3">
        <v>298.0</v>
      </c>
      <c r="E9667" s="3">
        <v>14.37</v>
      </c>
      <c r="F9667" s="3">
        <v>16.23</v>
      </c>
      <c r="G9667" s="3">
        <v>24.98</v>
      </c>
    </row>
    <row r="9668">
      <c r="A9668" s="3">
        <v>783421.0</v>
      </c>
      <c r="B9668" s="3" t="s">
        <v>9696</v>
      </c>
      <c r="C9668" s="3" t="s">
        <v>2807</v>
      </c>
      <c r="D9668" s="3">
        <v>264.0</v>
      </c>
      <c r="E9668" s="3">
        <v>13.76</v>
      </c>
      <c r="F9668" s="3">
        <v>12.91</v>
      </c>
      <c r="G9668" s="3">
        <v>21.7</v>
      </c>
    </row>
    <row r="9669">
      <c r="A9669" s="3">
        <v>783422.0</v>
      </c>
      <c r="B9669" s="3" t="s">
        <v>9697</v>
      </c>
      <c r="C9669" s="3" t="s">
        <v>2807</v>
      </c>
      <c r="D9669" s="3">
        <v>250.0</v>
      </c>
      <c r="E9669" s="3">
        <v>9.26</v>
      </c>
      <c r="F9669" s="3">
        <v>19.73</v>
      </c>
      <c r="G9669" s="3">
        <v>21.32</v>
      </c>
    </row>
    <row r="9670">
      <c r="A9670" s="3">
        <v>783423.0</v>
      </c>
      <c r="B9670" s="3" t="s">
        <v>9698</v>
      </c>
      <c r="C9670" s="3" t="s">
        <v>2807</v>
      </c>
      <c r="D9670" s="3">
        <v>233.0</v>
      </c>
      <c r="E9670" s="3">
        <v>12.21</v>
      </c>
      <c r="F9670" s="3">
        <v>14.44</v>
      </c>
      <c r="G9670" s="3">
        <v>15.62</v>
      </c>
    </row>
    <row r="9671">
      <c r="A9671" s="3">
        <v>783427.0</v>
      </c>
      <c r="B9671" s="3" t="s">
        <v>9699</v>
      </c>
      <c r="C9671" s="3" t="s">
        <v>2807</v>
      </c>
      <c r="D9671" s="3">
        <v>225.0</v>
      </c>
      <c r="E9671" s="3">
        <v>11.88</v>
      </c>
      <c r="F9671" s="3">
        <v>11.2</v>
      </c>
      <c r="G9671" s="3">
        <v>18.11</v>
      </c>
    </row>
    <row r="9672">
      <c r="A9672" s="3">
        <v>783431.0</v>
      </c>
      <c r="B9672" s="3" t="s">
        <v>9700</v>
      </c>
      <c r="C9672" s="3" t="s">
        <v>2807</v>
      </c>
      <c r="D9672" s="3">
        <v>225.0</v>
      </c>
      <c r="E9672" s="3">
        <v>11.88</v>
      </c>
      <c r="F9672" s="3">
        <v>11.2</v>
      </c>
      <c r="G9672" s="3">
        <v>18.11</v>
      </c>
    </row>
    <row r="9673">
      <c r="A9673" s="3">
        <v>783432.0</v>
      </c>
      <c r="B9673" s="3" t="s">
        <v>9701</v>
      </c>
      <c r="C9673" s="3" t="s">
        <v>2807</v>
      </c>
      <c r="D9673" s="3">
        <v>244.0</v>
      </c>
      <c r="E9673" s="3">
        <v>8.39</v>
      </c>
      <c r="F9673" s="3">
        <v>19.27</v>
      </c>
      <c r="G9673" s="3">
        <v>22.17</v>
      </c>
    </row>
    <row r="9674">
      <c r="A9674" s="3">
        <v>783433.0</v>
      </c>
      <c r="B9674" s="3" t="s">
        <v>9702</v>
      </c>
      <c r="C9674" s="3" t="s">
        <v>2807</v>
      </c>
      <c r="D9674" s="3">
        <v>288.0</v>
      </c>
      <c r="E9674" s="3">
        <v>14.41</v>
      </c>
      <c r="F9674" s="3">
        <v>18.81</v>
      </c>
      <c r="G9674" s="3">
        <v>19.58</v>
      </c>
    </row>
    <row r="9675">
      <c r="A9675" s="3">
        <v>783434.0</v>
      </c>
      <c r="B9675" s="3" t="s">
        <v>9703</v>
      </c>
      <c r="C9675" s="3" t="s">
        <v>2807</v>
      </c>
      <c r="D9675" s="3">
        <v>282.0</v>
      </c>
      <c r="E9675" s="3">
        <v>14.43</v>
      </c>
      <c r="F9675" s="3">
        <v>19.45</v>
      </c>
      <c r="G9675" s="3">
        <v>17.76</v>
      </c>
    </row>
    <row r="9676">
      <c r="A9676" s="3">
        <v>783435.0</v>
      </c>
      <c r="B9676" s="3" t="s">
        <v>9704</v>
      </c>
      <c r="C9676" s="3" t="s">
        <v>2807</v>
      </c>
      <c r="D9676" s="3">
        <v>227.0</v>
      </c>
      <c r="E9676" s="3">
        <v>11.94</v>
      </c>
      <c r="F9676" s="3">
        <v>13.51</v>
      </c>
      <c r="G9676" s="3">
        <v>15.8</v>
      </c>
    </row>
    <row r="9677">
      <c r="A9677" s="3">
        <v>783436.0</v>
      </c>
      <c r="B9677" s="3" t="s">
        <v>9705</v>
      </c>
      <c r="C9677" s="3" t="s">
        <v>2807</v>
      </c>
      <c r="D9677" s="3">
        <v>223.0</v>
      </c>
      <c r="E9677" s="3">
        <v>11.96</v>
      </c>
      <c r="F9677" s="3">
        <v>13.95</v>
      </c>
      <c r="G9677" s="3">
        <v>14.52</v>
      </c>
    </row>
    <row r="9678">
      <c r="A9678" s="3">
        <v>783437.0</v>
      </c>
      <c r="B9678" s="3" t="s">
        <v>9706</v>
      </c>
      <c r="C9678" s="3" t="s">
        <v>2807</v>
      </c>
      <c r="D9678" s="3">
        <v>223.0</v>
      </c>
      <c r="E9678" s="3">
        <v>11.96</v>
      </c>
      <c r="F9678" s="3">
        <v>13.95</v>
      </c>
      <c r="G9678" s="3">
        <v>14.52</v>
      </c>
    </row>
    <row r="9679">
      <c r="A9679" s="3">
        <v>783444.0</v>
      </c>
      <c r="B9679" s="3" t="s">
        <v>9707</v>
      </c>
      <c r="C9679" s="3" t="s">
        <v>2807</v>
      </c>
      <c r="D9679" s="3">
        <v>286.0</v>
      </c>
      <c r="E9679" s="3">
        <v>14.36</v>
      </c>
      <c r="F9679" s="3">
        <v>19.18</v>
      </c>
      <c r="G9679" s="3">
        <v>18.69</v>
      </c>
    </row>
    <row r="9680">
      <c r="A9680" s="3">
        <v>783445.0</v>
      </c>
      <c r="B9680" s="3" t="s">
        <v>9708</v>
      </c>
      <c r="C9680" s="3" t="s">
        <v>2807</v>
      </c>
      <c r="D9680" s="3">
        <v>280.0</v>
      </c>
      <c r="E9680" s="3">
        <v>14.38</v>
      </c>
      <c r="F9680" s="3">
        <v>19.78</v>
      </c>
      <c r="G9680" s="3">
        <v>16.95</v>
      </c>
    </row>
    <row r="9681">
      <c r="A9681" s="3">
        <v>783446.0</v>
      </c>
      <c r="B9681" s="3" t="s">
        <v>9709</v>
      </c>
      <c r="C9681" s="3" t="s">
        <v>2807</v>
      </c>
      <c r="D9681" s="3">
        <v>280.0</v>
      </c>
      <c r="E9681" s="3">
        <v>14.38</v>
      </c>
      <c r="F9681" s="3">
        <v>19.78</v>
      </c>
      <c r="G9681" s="3">
        <v>16.95</v>
      </c>
    </row>
    <row r="9682">
      <c r="A9682" s="3">
        <v>783447.0</v>
      </c>
      <c r="B9682" s="3" t="s">
        <v>9710</v>
      </c>
      <c r="C9682" s="3" t="s">
        <v>2807</v>
      </c>
      <c r="D9682" s="3">
        <v>233.0</v>
      </c>
      <c r="E9682" s="3">
        <v>12.21</v>
      </c>
      <c r="F9682" s="3">
        <v>14.44</v>
      </c>
      <c r="G9682" s="3">
        <v>15.62</v>
      </c>
    </row>
    <row r="9683">
      <c r="A9683" s="3">
        <v>783448.0</v>
      </c>
      <c r="B9683" s="3" t="s">
        <v>9711</v>
      </c>
      <c r="C9683" s="3" t="s">
        <v>2807</v>
      </c>
      <c r="D9683" s="3">
        <v>228.0</v>
      </c>
      <c r="E9683" s="3">
        <v>12.23</v>
      </c>
      <c r="F9683" s="3">
        <v>14.89</v>
      </c>
      <c r="G9683" s="3">
        <v>14.32</v>
      </c>
    </row>
    <row r="9684">
      <c r="A9684" s="3">
        <v>783449.0</v>
      </c>
      <c r="B9684" s="3" t="s">
        <v>9712</v>
      </c>
      <c r="C9684" s="3" t="s">
        <v>2807</v>
      </c>
      <c r="D9684" s="3">
        <v>228.0</v>
      </c>
      <c r="E9684" s="3">
        <v>12.23</v>
      </c>
      <c r="F9684" s="3">
        <v>14.89</v>
      </c>
      <c r="G9684" s="3">
        <v>14.32</v>
      </c>
    </row>
    <row r="9685">
      <c r="A9685" s="3">
        <v>783450.0</v>
      </c>
      <c r="B9685" s="3" t="s">
        <v>9713</v>
      </c>
      <c r="C9685" s="3" t="s">
        <v>2807</v>
      </c>
      <c r="D9685" s="3">
        <v>300.0</v>
      </c>
      <c r="E9685" s="3">
        <v>17.49</v>
      </c>
      <c r="F9685" s="3">
        <v>18.61</v>
      </c>
      <c r="G9685" s="3">
        <v>16.01</v>
      </c>
    </row>
    <row r="9686">
      <c r="A9686" s="3">
        <v>783451.0</v>
      </c>
      <c r="B9686" s="3" t="s">
        <v>9714</v>
      </c>
      <c r="C9686" s="3" t="s">
        <v>2807</v>
      </c>
      <c r="D9686" s="3">
        <v>219.0</v>
      </c>
      <c r="E9686" s="3">
        <v>13.26</v>
      </c>
      <c r="F9686" s="3">
        <v>12.05</v>
      </c>
      <c r="G9686" s="3">
        <v>12.6</v>
      </c>
    </row>
    <row r="9687">
      <c r="A9687" s="3">
        <v>783452.0</v>
      </c>
      <c r="B9687" s="3" t="s">
        <v>9715</v>
      </c>
      <c r="C9687" s="3" t="s">
        <v>2807</v>
      </c>
      <c r="D9687" s="3">
        <v>287.0</v>
      </c>
      <c r="E9687" s="3">
        <v>14.76</v>
      </c>
      <c r="F9687" s="3">
        <v>15.2</v>
      </c>
      <c r="G9687" s="3">
        <v>23.47</v>
      </c>
    </row>
    <row r="9688">
      <c r="A9688" s="3">
        <v>783453.0</v>
      </c>
      <c r="B9688" s="3" t="s">
        <v>9716</v>
      </c>
      <c r="C9688" s="3" t="s">
        <v>2807</v>
      </c>
      <c r="D9688" s="3">
        <v>272.0</v>
      </c>
      <c r="E9688" s="3">
        <v>13.48</v>
      </c>
      <c r="F9688" s="3">
        <v>14.81</v>
      </c>
      <c r="G9688" s="3">
        <v>23.02</v>
      </c>
    </row>
    <row r="9689">
      <c r="A9689" s="3">
        <v>783454.0</v>
      </c>
      <c r="B9689" s="3" t="s">
        <v>9717</v>
      </c>
      <c r="C9689" s="3" t="s">
        <v>2807</v>
      </c>
      <c r="D9689" s="3">
        <v>325.0</v>
      </c>
      <c r="E9689" s="3">
        <v>17.81</v>
      </c>
      <c r="F9689" s="3">
        <v>18.89</v>
      </c>
      <c r="G9689" s="3">
        <v>21.91</v>
      </c>
    </row>
    <row r="9690">
      <c r="A9690" s="3">
        <v>783455.0</v>
      </c>
      <c r="B9690" s="3" t="s">
        <v>9718</v>
      </c>
      <c r="C9690" s="3" t="s">
        <v>2807</v>
      </c>
      <c r="D9690" s="3">
        <v>282.0</v>
      </c>
      <c r="E9690" s="3">
        <v>15.8</v>
      </c>
      <c r="F9690" s="3">
        <v>16.48</v>
      </c>
      <c r="G9690" s="3">
        <v>18.5</v>
      </c>
    </row>
    <row r="9691">
      <c r="A9691" s="3">
        <v>783456.0</v>
      </c>
      <c r="B9691" s="3" t="s">
        <v>9719</v>
      </c>
      <c r="C9691" s="3" t="s">
        <v>2807</v>
      </c>
      <c r="D9691" s="3">
        <v>302.0</v>
      </c>
      <c r="E9691" s="3">
        <v>16.18</v>
      </c>
      <c r="F9691" s="3">
        <v>20.47</v>
      </c>
      <c r="G9691" s="3">
        <v>17.2</v>
      </c>
    </row>
    <row r="9692">
      <c r="A9692" s="3">
        <v>783457.0</v>
      </c>
      <c r="B9692" s="3" t="s">
        <v>9720</v>
      </c>
      <c r="C9692" s="3" t="s">
        <v>2807</v>
      </c>
      <c r="D9692" s="3">
        <v>248.0</v>
      </c>
      <c r="E9692" s="3">
        <v>13.74</v>
      </c>
      <c r="F9692" s="3">
        <v>15.74</v>
      </c>
      <c r="G9692" s="3">
        <v>14.69</v>
      </c>
    </row>
    <row r="9693">
      <c r="A9693" s="3">
        <v>783458.0</v>
      </c>
      <c r="B9693" s="3" t="s">
        <v>9721</v>
      </c>
      <c r="C9693" s="3" t="s">
        <v>2807</v>
      </c>
      <c r="D9693" s="3">
        <v>244.0</v>
      </c>
      <c r="E9693" s="3">
        <v>13.75</v>
      </c>
      <c r="F9693" s="3">
        <v>16.16</v>
      </c>
      <c r="G9693" s="3">
        <v>13.48</v>
      </c>
    </row>
    <row r="9694">
      <c r="A9694" s="3">
        <v>783459.0</v>
      </c>
      <c r="B9694" s="3" t="s">
        <v>9722</v>
      </c>
      <c r="C9694" s="3" t="s">
        <v>2807</v>
      </c>
      <c r="D9694" s="3">
        <v>244.0</v>
      </c>
      <c r="E9694" s="3">
        <v>13.75</v>
      </c>
      <c r="F9694" s="3">
        <v>16.16</v>
      </c>
      <c r="G9694" s="3">
        <v>13.48</v>
      </c>
    </row>
    <row r="9695">
      <c r="A9695" s="3">
        <v>783460.0</v>
      </c>
      <c r="B9695" s="3" t="s">
        <v>9723</v>
      </c>
      <c r="C9695" s="3" t="s">
        <v>2807</v>
      </c>
      <c r="D9695" s="3">
        <v>237.0</v>
      </c>
      <c r="E9695" s="3">
        <v>14.82</v>
      </c>
      <c r="F9695" s="3">
        <v>13.6</v>
      </c>
      <c r="G9695" s="3">
        <v>11.83</v>
      </c>
    </row>
    <row r="9696">
      <c r="A9696" s="3">
        <v>783461.0</v>
      </c>
      <c r="B9696" s="3" t="s">
        <v>9724</v>
      </c>
      <c r="C9696" s="3" t="s">
        <v>2807</v>
      </c>
      <c r="D9696" s="3">
        <v>305.0</v>
      </c>
      <c r="E9696" s="3">
        <v>16.56</v>
      </c>
      <c r="F9696" s="3">
        <v>18.2</v>
      </c>
      <c r="G9696" s="3">
        <v>20.8</v>
      </c>
    </row>
    <row r="9697">
      <c r="A9697" s="3">
        <v>783468.0</v>
      </c>
      <c r="B9697" s="3" t="s">
        <v>9725</v>
      </c>
      <c r="C9697" s="3" t="s">
        <v>2807</v>
      </c>
      <c r="D9697" s="3">
        <v>305.0</v>
      </c>
      <c r="E9697" s="3">
        <v>17.96</v>
      </c>
      <c r="F9697" s="3">
        <v>19.25</v>
      </c>
      <c r="G9697" s="3">
        <v>15.88</v>
      </c>
    </row>
    <row r="9698">
      <c r="A9698" s="3">
        <v>783472.0</v>
      </c>
      <c r="B9698" s="3" t="s">
        <v>9726</v>
      </c>
      <c r="C9698" s="3" t="s">
        <v>2807</v>
      </c>
      <c r="D9698" s="3">
        <v>255.0</v>
      </c>
      <c r="E9698" s="3">
        <v>15.27</v>
      </c>
      <c r="F9698" s="3">
        <v>14.89</v>
      </c>
      <c r="G9698" s="3">
        <v>13.77</v>
      </c>
    </row>
    <row r="9699">
      <c r="A9699" s="3">
        <v>783473.0</v>
      </c>
      <c r="B9699" s="3" t="s">
        <v>9727</v>
      </c>
      <c r="C9699" s="3" t="s">
        <v>2807</v>
      </c>
      <c r="D9699" s="3">
        <v>311.0</v>
      </c>
      <c r="E9699" s="3">
        <v>19.77</v>
      </c>
      <c r="F9699" s="3">
        <v>20.45</v>
      </c>
      <c r="G9699" s="3">
        <v>11.6</v>
      </c>
    </row>
    <row r="9700">
      <c r="A9700" s="3">
        <v>783474.0</v>
      </c>
      <c r="B9700" s="3" t="s">
        <v>9728</v>
      </c>
      <c r="C9700" s="3" t="s">
        <v>2807</v>
      </c>
      <c r="D9700" s="3">
        <v>271.0</v>
      </c>
      <c r="E9700" s="3">
        <v>17.4</v>
      </c>
      <c r="F9700" s="3">
        <v>17.07</v>
      </c>
      <c r="G9700" s="3">
        <v>10.78</v>
      </c>
    </row>
    <row r="9701">
      <c r="A9701" s="3">
        <v>783475.0</v>
      </c>
      <c r="B9701" s="3" t="s">
        <v>9729</v>
      </c>
      <c r="C9701" s="3" t="s">
        <v>2807</v>
      </c>
      <c r="D9701" s="3">
        <v>271.0</v>
      </c>
      <c r="E9701" s="3">
        <v>17.4</v>
      </c>
      <c r="F9701" s="3">
        <v>17.07</v>
      </c>
      <c r="G9701" s="3">
        <v>10.78</v>
      </c>
    </row>
    <row r="9702">
      <c r="A9702" s="3">
        <v>783476.0</v>
      </c>
      <c r="B9702" s="3" t="s">
        <v>9730</v>
      </c>
      <c r="C9702" s="3" t="s">
        <v>2807</v>
      </c>
      <c r="D9702" s="3">
        <v>293.0</v>
      </c>
      <c r="E9702" s="3">
        <v>17.32</v>
      </c>
      <c r="F9702" s="3">
        <v>17.3</v>
      </c>
      <c r="G9702" s="3">
        <v>16.99</v>
      </c>
    </row>
    <row r="9703">
      <c r="A9703" s="3">
        <v>783477.0</v>
      </c>
      <c r="B9703" s="3" t="s">
        <v>9731</v>
      </c>
      <c r="C9703" s="3" t="s">
        <v>2807</v>
      </c>
      <c r="D9703" s="3">
        <v>284.0</v>
      </c>
      <c r="E9703" s="3">
        <v>17.26</v>
      </c>
      <c r="F9703" s="3">
        <v>17.54</v>
      </c>
      <c r="G9703" s="3">
        <v>14.55</v>
      </c>
    </row>
    <row r="9704">
      <c r="A9704" s="3">
        <v>783478.0</v>
      </c>
      <c r="B9704" s="3" t="s">
        <v>9732</v>
      </c>
      <c r="C9704" s="3" t="s">
        <v>2807</v>
      </c>
      <c r="D9704" s="3">
        <v>286.0</v>
      </c>
      <c r="E9704" s="3">
        <v>11.38</v>
      </c>
      <c r="F9704" s="3">
        <v>15.3</v>
      </c>
      <c r="G9704" s="3">
        <v>29.24</v>
      </c>
    </row>
    <row r="9705">
      <c r="A9705" s="3">
        <v>783479.0</v>
      </c>
      <c r="B9705" s="3" t="s">
        <v>9733</v>
      </c>
      <c r="C9705" s="3" t="s">
        <v>2807</v>
      </c>
      <c r="D9705" s="3">
        <v>250.0</v>
      </c>
      <c r="E9705" s="3">
        <v>11.43</v>
      </c>
      <c r="F9705" s="3">
        <v>11.7</v>
      </c>
      <c r="G9705" s="3">
        <v>24.38</v>
      </c>
    </row>
    <row r="9706">
      <c r="A9706" s="3">
        <v>783480.0</v>
      </c>
      <c r="B9706" s="3" t="s">
        <v>9734</v>
      </c>
      <c r="C9706" s="3" t="s">
        <v>2807</v>
      </c>
      <c r="D9706" s="3">
        <v>237.0</v>
      </c>
      <c r="E9706" s="3">
        <v>6.94</v>
      </c>
      <c r="F9706" s="3">
        <v>18.14</v>
      </c>
      <c r="G9706" s="3">
        <v>24.91</v>
      </c>
    </row>
    <row r="9707">
      <c r="A9707" s="3">
        <v>783481.0</v>
      </c>
      <c r="B9707" s="3" t="s">
        <v>9735</v>
      </c>
      <c r="C9707" s="3" t="s">
        <v>2807</v>
      </c>
      <c r="D9707" s="3">
        <v>220.0</v>
      </c>
      <c r="E9707" s="3">
        <v>10.5</v>
      </c>
      <c r="F9707" s="3">
        <v>13.8</v>
      </c>
      <c r="G9707" s="3">
        <v>16.76</v>
      </c>
    </row>
    <row r="9708">
      <c r="A9708" s="3">
        <v>783485.0</v>
      </c>
      <c r="B9708" s="3" t="s">
        <v>9736</v>
      </c>
      <c r="C9708" s="3" t="s">
        <v>2807</v>
      </c>
      <c r="D9708" s="3">
        <v>207.0</v>
      </c>
      <c r="E9708" s="3">
        <v>9.53</v>
      </c>
      <c r="F9708" s="3">
        <v>9.88</v>
      </c>
      <c r="G9708" s="3">
        <v>20.01</v>
      </c>
    </row>
    <row r="9709">
      <c r="A9709" s="3">
        <v>783488.0</v>
      </c>
      <c r="B9709" s="3" t="s">
        <v>9737</v>
      </c>
      <c r="C9709" s="3" t="s">
        <v>2807</v>
      </c>
      <c r="D9709" s="3">
        <v>237.0</v>
      </c>
      <c r="E9709" s="3">
        <v>7.09</v>
      </c>
      <c r="F9709" s="3">
        <v>18.39</v>
      </c>
      <c r="G9709" s="3">
        <v>24.14</v>
      </c>
    </row>
    <row r="9710">
      <c r="A9710" s="3">
        <v>783489.0</v>
      </c>
      <c r="B9710" s="3" t="s">
        <v>9738</v>
      </c>
      <c r="C9710" s="3" t="s">
        <v>2807</v>
      </c>
      <c r="D9710" s="3">
        <v>275.0</v>
      </c>
      <c r="E9710" s="3">
        <v>11.84</v>
      </c>
      <c r="F9710" s="3">
        <v>18.48</v>
      </c>
      <c r="G9710" s="3">
        <v>22.28</v>
      </c>
    </row>
    <row r="9711">
      <c r="A9711" s="3">
        <v>783490.0</v>
      </c>
      <c r="B9711" s="3" t="s">
        <v>9739</v>
      </c>
      <c r="C9711" s="3" t="s">
        <v>2807</v>
      </c>
      <c r="D9711" s="3">
        <v>268.0</v>
      </c>
      <c r="E9711" s="3">
        <v>11.86</v>
      </c>
      <c r="F9711" s="3">
        <v>19.23</v>
      </c>
      <c r="G9711" s="3">
        <v>20.13</v>
      </c>
    </row>
    <row r="9712">
      <c r="A9712" s="3">
        <v>783491.0</v>
      </c>
      <c r="B9712" s="3" t="s">
        <v>9740</v>
      </c>
      <c r="C9712" s="3" t="s">
        <v>2807</v>
      </c>
      <c r="D9712" s="3">
        <v>268.0</v>
      </c>
      <c r="E9712" s="3">
        <v>11.86</v>
      </c>
      <c r="F9712" s="3">
        <v>19.23</v>
      </c>
      <c r="G9712" s="3">
        <v>20.13</v>
      </c>
    </row>
    <row r="9713">
      <c r="A9713" s="3">
        <v>783492.0</v>
      </c>
      <c r="B9713" s="3" t="s">
        <v>9741</v>
      </c>
      <c r="C9713" s="3" t="s">
        <v>2807</v>
      </c>
      <c r="D9713" s="3">
        <v>211.0</v>
      </c>
      <c r="E9713" s="3">
        <v>9.93</v>
      </c>
      <c r="F9713" s="3">
        <v>12.65</v>
      </c>
      <c r="G9713" s="3">
        <v>17.15</v>
      </c>
    </row>
    <row r="9714">
      <c r="A9714" s="3">
        <v>783493.0</v>
      </c>
      <c r="B9714" s="3" t="s">
        <v>9742</v>
      </c>
      <c r="C9714" s="3" t="s">
        <v>2807</v>
      </c>
      <c r="D9714" s="3">
        <v>206.0</v>
      </c>
      <c r="E9714" s="3">
        <v>9.94</v>
      </c>
      <c r="F9714" s="3">
        <v>13.15</v>
      </c>
      <c r="G9714" s="3">
        <v>15.72</v>
      </c>
    </row>
    <row r="9715">
      <c r="A9715" s="3">
        <v>783498.0</v>
      </c>
      <c r="B9715" s="3" t="s">
        <v>9743</v>
      </c>
      <c r="C9715" s="3" t="s">
        <v>2807</v>
      </c>
      <c r="D9715" s="3">
        <v>275.0</v>
      </c>
      <c r="E9715" s="3">
        <v>12.28</v>
      </c>
      <c r="F9715" s="3">
        <v>18.96</v>
      </c>
      <c r="G9715" s="3">
        <v>20.74</v>
      </c>
    </row>
    <row r="9716">
      <c r="A9716" s="3">
        <v>783499.0</v>
      </c>
      <c r="B9716" s="3" t="s">
        <v>9744</v>
      </c>
      <c r="C9716" s="3" t="s">
        <v>2807</v>
      </c>
      <c r="D9716" s="3">
        <v>268.0</v>
      </c>
      <c r="E9716" s="3">
        <v>12.3</v>
      </c>
      <c r="F9716" s="3">
        <v>19.66</v>
      </c>
      <c r="G9716" s="3">
        <v>18.74</v>
      </c>
    </row>
    <row r="9717">
      <c r="A9717" s="3">
        <v>783500.0</v>
      </c>
      <c r="B9717" s="3" t="s">
        <v>9745</v>
      </c>
      <c r="C9717" s="3" t="s">
        <v>2807</v>
      </c>
      <c r="D9717" s="3">
        <v>268.0</v>
      </c>
      <c r="E9717" s="3">
        <v>12.3</v>
      </c>
      <c r="F9717" s="3">
        <v>19.66</v>
      </c>
      <c r="G9717" s="3">
        <v>18.74</v>
      </c>
    </row>
    <row r="9718">
      <c r="A9718" s="3">
        <v>783501.0</v>
      </c>
      <c r="B9718" s="3" t="s">
        <v>9746</v>
      </c>
      <c r="C9718" s="3" t="s">
        <v>2807</v>
      </c>
      <c r="D9718" s="3">
        <v>220.0</v>
      </c>
      <c r="E9718" s="3">
        <v>10.5</v>
      </c>
      <c r="F9718" s="3">
        <v>13.8</v>
      </c>
      <c r="G9718" s="3">
        <v>16.76</v>
      </c>
    </row>
    <row r="9719">
      <c r="A9719" s="3">
        <v>783502.0</v>
      </c>
      <c r="B9719" s="3" t="s">
        <v>9747</v>
      </c>
      <c r="C9719" s="3" t="s">
        <v>2807</v>
      </c>
      <c r="D9719" s="3">
        <v>215.0</v>
      </c>
      <c r="E9719" s="3">
        <v>10.52</v>
      </c>
      <c r="F9719" s="3">
        <v>14.3</v>
      </c>
      <c r="G9719" s="3">
        <v>15.33</v>
      </c>
    </row>
    <row r="9720">
      <c r="A9720" s="3">
        <v>783503.0</v>
      </c>
      <c r="B9720" s="3" t="s">
        <v>9748</v>
      </c>
      <c r="C9720" s="3" t="s">
        <v>2807</v>
      </c>
      <c r="D9720" s="3">
        <v>215.0</v>
      </c>
      <c r="E9720" s="3">
        <v>10.52</v>
      </c>
      <c r="F9720" s="3">
        <v>14.3</v>
      </c>
      <c r="G9720" s="3">
        <v>15.33</v>
      </c>
    </row>
    <row r="9721">
      <c r="A9721" s="3">
        <v>783504.0</v>
      </c>
      <c r="B9721" s="3" t="s">
        <v>9749</v>
      </c>
      <c r="C9721" s="3" t="s">
        <v>2807</v>
      </c>
      <c r="D9721" s="3">
        <v>288.0</v>
      </c>
      <c r="E9721" s="3">
        <v>14.72</v>
      </c>
      <c r="F9721" s="3">
        <v>17.75</v>
      </c>
      <c r="G9721" s="3">
        <v>19.67</v>
      </c>
    </row>
    <row r="9722">
      <c r="A9722" s="3">
        <v>783505.0</v>
      </c>
      <c r="B9722" s="3" t="s">
        <v>9750</v>
      </c>
      <c r="C9722" s="3" t="s">
        <v>2807</v>
      </c>
      <c r="D9722" s="3">
        <v>225.0</v>
      </c>
      <c r="E9722" s="3">
        <v>12.12</v>
      </c>
      <c r="F9722" s="3">
        <v>12.65</v>
      </c>
      <c r="G9722" s="3">
        <v>15.8</v>
      </c>
    </row>
    <row r="9723">
      <c r="A9723" s="3">
        <v>783506.0</v>
      </c>
      <c r="B9723" s="3" t="s">
        <v>9751</v>
      </c>
      <c r="C9723" s="3" t="s">
        <v>2807</v>
      </c>
      <c r="D9723" s="3">
        <v>290.0</v>
      </c>
      <c r="E9723" s="3">
        <v>16.9</v>
      </c>
      <c r="F9723" s="3">
        <v>19.38</v>
      </c>
      <c r="G9723" s="3">
        <v>13.64</v>
      </c>
    </row>
    <row r="9724">
      <c r="A9724" s="3">
        <v>783511.0</v>
      </c>
      <c r="B9724" s="3" t="s">
        <v>9752</v>
      </c>
      <c r="C9724" s="3" t="s">
        <v>2807</v>
      </c>
      <c r="D9724" s="3">
        <v>252.0</v>
      </c>
      <c r="E9724" s="3">
        <v>12.62</v>
      </c>
      <c r="F9724" s="3">
        <v>15.54</v>
      </c>
      <c r="G9724" s="3">
        <v>18.48</v>
      </c>
    </row>
    <row r="9725">
      <c r="A9725" s="3">
        <v>783512.0</v>
      </c>
      <c r="B9725" s="3" t="s">
        <v>9753</v>
      </c>
      <c r="C9725" s="3" t="s">
        <v>2807</v>
      </c>
      <c r="D9725" s="3">
        <v>206.0</v>
      </c>
      <c r="E9725" s="3">
        <v>7.28</v>
      </c>
      <c r="F9725" s="3">
        <v>14.31</v>
      </c>
      <c r="G9725" s="3">
        <v>19.87</v>
      </c>
    </row>
    <row r="9726">
      <c r="A9726" s="3">
        <v>783513.0</v>
      </c>
      <c r="B9726" s="3" t="s">
        <v>9754</v>
      </c>
      <c r="C9726" s="3" t="s">
        <v>2807</v>
      </c>
      <c r="D9726" s="3">
        <v>285.0</v>
      </c>
      <c r="E9726" s="3">
        <v>17.25</v>
      </c>
      <c r="F9726" s="3">
        <v>12.58</v>
      </c>
      <c r="G9726" s="3">
        <v>19.32</v>
      </c>
    </row>
    <row r="9727">
      <c r="A9727" s="3">
        <v>783514.0</v>
      </c>
      <c r="B9727" s="3" t="s">
        <v>9755</v>
      </c>
      <c r="C9727" s="3" t="s">
        <v>2807</v>
      </c>
      <c r="D9727" s="3">
        <v>165.0</v>
      </c>
      <c r="E9727" s="3">
        <v>3.66</v>
      </c>
      <c r="F9727" s="3">
        <v>12.2</v>
      </c>
      <c r="G9727" s="3">
        <v>20.01</v>
      </c>
    </row>
    <row r="9728">
      <c r="A9728" s="3">
        <v>783516.0</v>
      </c>
      <c r="B9728" s="3" t="s">
        <v>9756</v>
      </c>
      <c r="C9728" s="3" t="s">
        <v>2807</v>
      </c>
      <c r="D9728" s="3">
        <v>221.0</v>
      </c>
      <c r="E9728" s="3">
        <v>12.78</v>
      </c>
      <c r="F9728" s="3">
        <v>11.99</v>
      </c>
      <c r="G9728" s="3">
        <v>13.92</v>
      </c>
    </row>
    <row r="9729">
      <c r="A9729" s="3">
        <v>783517.0</v>
      </c>
      <c r="B9729" s="3" t="s">
        <v>9757</v>
      </c>
      <c r="C9729" s="3" t="s">
        <v>2807</v>
      </c>
      <c r="D9729" s="3">
        <v>181.0</v>
      </c>
      <c r="E9729" s="3">
        <v>6.16</v>
      </c>
      <c r="F9729" s="3">
        <v>11.64</v>
      </c>
      <c r="G9729" s="3">
        <v>19.4</v>
      </c>
    </row>
    <row r="9730">
      <c r="A9730" s="3">
        <v>783518.0</v>
      </c>
      <c r="B9730" s="3" t="s">
        <v>9758</v>
      </c>
      <c r="C9730" s="3" t="s">
        <v>2807</v>
      </c>
      <c r="D9730" s="3">
        <v>190.0</v>
      </c>
      <c r="E9730" s="3">
        <v>7.33</v>
      </c>
      <c r="F9730" s="3">
        <v>11.93</v>
      </c>
      <c r="G9730" s="3">
        <v>18.68</v>
      </c>
    </row>
    <row r="9731">
      <c r="A9731" s="3">
        <v>783519.0</v>
      </c>
      <c r="B9731" s="3" t="s">
        <v>9759</v>
      </c>
      <c r="C9731" s="3" t="s">
        <v>2807</v>
      </c>
      <c r="D9731" s="3">
        <v>326.0</v>
      </c>
      <c r="E9731" s="3">
        <v>19.96</v>
      </c>
      <c r="F9731" s="3">
        <v>18.07</v>
      </c>
      <c r="G9731" s="3">
        <v>17.3</v>
      </c>
    </row>
    <row r="9732">
      <c r="A9732" s="3">
        <v>783520.0</v>
      </c>
      <c r="B9732" s="3" t="s">
        <v>9760</v>
      </c>
      <c r="C9732" s="3" t="s">
        <v>2807</v>
      </c>
      <c r="D9732" s="3">
        <v>346.0</v>
      </c>
      <c r="E9732" s="3">
        <v>20.77</v>
      </c>
      <c r="F9732" s="3">
        <v>18.82</v>
      </c>
      <c r="G9732" s="3">
        <v>19.67</v>
      </c>
    </row>
    <row r="9733">
      <c r="A9733" s="3">
        <v>783521.0</v>
      </c>
      <c r="B9733" s="3" t="s">
        <v>9761</v>
      </c>
      <c r="C9733" s="3" t="s">
        <v>2807</v>
      </c>
      <c r="D9733" s="3">
        <v>239.0</v>
      </c>
      <c r="E9733" s="3">
        <v>12.78</v>
      </c>
      <c r="F9733" s="3">
        <v>12.34</v>
      </c>
      <c r="G9733" s="3">
        <v>17.54</v>
      </c>
    </row>
    <row r="9734">
      <c r="A9734" s="3">
        <v>783522.0</v>
      </c>
      <c r="B9734" s="3" t="s">
        <v>9762</v>
      </c>
      <c r="C9734" s="3" t="s">
        <v>2807</v>
      </c>
      <c r="D9734" s="3">
        <v>202.0</v>
      </c>
      <c r="E9734" s="3">
        <v>5.95</v>
      </c>
      <c r="F9734" s="3">
        <v>15.83</v>
      </c>
      <c r="G9734" s="3">
        <v>20.31</v>
      </c>
    </row>
    <row r="9735">
      <c r="A9735" s="3">
        <v>783523.0</v>
      </c>
      <c r="B9735" s="3" t="s">
        <v>9763</v>
      </c>
      <c r="C9735" s="3" t="s">
        <v>2807</v>
      </c>
      <c r="D9735" s="3">
        <v>232.0</v>
      </c>
      <c r="E9735" s="3">
        <v>8.12</v>
      </c>
      <c r="F9735" s="3">
        <v>21.64</v>
      </c>
      <c r="G9735" s="3">
        <v>16.5</v>
      </c>
    </row>
    <row r="9736">
      <c r="A9736" s="3">
        <v>783525.0</v>
      </c>
      <c r="B9736" s="3" t="s">
        <v>9764</v>
      </c>
      <c r="C9736" s="3" t="s">
        <v>2807</v>
      </c>
      <c r="D9736" s="3">
        <v>248.0</v>
      </c>
      <c r="E9736" s="3">
        <v>10.24</v>
      </c>
      <c r="F9736" s="3">
        <v>19.7</v>
      </c>
      <c r="G9736" s="3">
        <v>18.13</v>
      </c>
    </row>
    <row r="9737">
      <c r="A9737" s="3">
        <v>783526.0</v>
      </c>
      <c r="B9737" s="3" t="s">
        <v>9765</v>
      </c>
      <c r="C9737" s="3" t="s">
        <v>2807</v>
      </c>
      <c r="D9737" s="3">
        <v>252.0</v>
      </c>
      <c r="E9737" s="3">
        <v>9.53</v>
      </c>
      <c r="F9737" s="3">
        <v>18.59</v>
      </c>
      <c r="G9737" s="3">
        <v>21.68</v>
      </c>
    </row>
    <row r="9738">
      <c r="A9738" s="3">
        <v>783527.0</v>
      </c>
      <c r="B9738" s="3" t="s">
        <v>9766</v>
      </c>
      <c r="C9738" s="3" t="s">
        <v>2807</v>
      </c>
      <c r="D9738" s="3">
        <v>160.0</v>
      </c>
      <c r="E9738" s="3">
        <v>6.91</v>
      </c>
      <c r="F9738" s="3">
        <v>9.1</v>
      </c>
      <c r="G9738" s="3">
        <v>15.34</v>
      </c>
    </row>
    <row r="9739">
      <c r="A9739" s="3">
        <v>783528.0</v>
      </c>
      <c r="B9739" s="3" t="s">
        <v>9767</v>
      </c>
      <c r="C9739" s="3" t="s">
        <v>2807</v>
      </c>
      <c r="D9739" s="3">
        <v>232.0</v>
      </c>
      <c r="E9739" s="3">
        <v>10.07</v>
      </c>
      <c r="F9739" s="3">
        <v>16.26</v>
      </c>
      <c r="G9739" s="3">
        <v>18.21</v>
      </c>
    </row>
    <row r="9740">
      <c r="A9740" s="3">
        <v>783529.0</v>
      </c>
      <c r="B9740" s="3" t="s">
        <v>9768</v>
      </c>
      <c r="C9740" s="3" t="s">
        <v>2807</v>
      </c>
      <c r="D9740" s="3">
        <v>287.0</v>
      </c>
      <c r="E9740" s="3">
        <v>9.37</v>
      </c>
      <c r="F9740" s="3">
        <v>13.63</v>
      </c>
      <c r="G9740" s="3">
        <v>36.63</v>
      </c>
    </row>
    <row r="9741">
      <c r="A9741" s="3">
        <v>783530.0</v>
      </c>
      <c r="B9741" s="3" t="s">
        <v>9769</v>
      </c>
      <c r="C9741" s="3" t="s">
        <v>2807</v>
      </c>
      <c r="D9741" s="3">
        <v>167.0</v>
      </c>
      <c r="E9741" s="3">
        <v>4.77</v>
      </c>
      <c r="F9741" s="3">
        <v>11.91</v>
      </c>
      <c r="G9741" s="3">
        <v>18.44</v>
      </c>
    </row>
    <row r="9742">
      <c r="A9742" s="3">
        <v>783531.0</v>
      </c>
      <c r="B9742" s="3" t="s">
        <v>9770</v>
      </c>
      <c r="C9742" s="3" t="s">
        <v>2807</v>
      </c>
      <c r="D9742" s="3">
        <v>270.0</v>
      </c>
      <c r="E9742" s="3">
        <v>15.57</v>
      </c>
      <c r="F9742" s="3">
        <v>12.79</v>
      </c>
      <c r="G9742" s="3">
        <v>18.88</v>
      </c>
    </row>
    <row r="9743">
      <c r="A9743" s="3">
        <v>783532.0</v>
      </c>
      <c r="B9743" s="3" t="s">
        <v>9771</v>
      </c>
      <c r="C9743" s="3" t="s">
        <v>2807</v>
      </c>
      <c r="D9743" s="3">
        <v>356.0</v>
      </c>
      <c r="E9743" s="3">
        <v>17.85</v>
      </c>
      <c r="F9743" s="3">
        <v>17.12</v>
      </c>
      <c r="G9743" s="3">
        <v>30.51</v>
      </c>
    </row>
    <row r="9744">
      <c r="A9744" s="3">
        <v>783533.0</v>
      </c>
      <c r="B9744" s="3" t="s">
        <v>9772</v>
      </c>
      <c r="C9744" s="3" t="s">
        <v>2807</v>
      </c>
      <c r="D9744" s="3">
        <v>313.0</v>
      </c>
      <c r="E9744" s="3">
        <v>16.9</v>
      </c>
      <c r="F9744" s="3">
        <v>13.44</v>
      </c>
      <c r="G9744" s="3">
        <v>26.22</v>
      </c>
    </row>
    <row r="9745">
      <c r="A9745" s="3">
        <v>783535.0</v>
      </c>
      <c r="B9745" s="3" t="s">
        <v>9773</v>
      </c>
      <c r="C9745" s="3" t="s">
        <v>2807</v>
      </c>
      <c r="D9745" s="3">
        <v>237.0</v>
      </c>
      <c r="E9745" s="3">
        <v>10.66</v>
      </c>
      <c r="F9745" s="3">
        <v>12.39</v>
      </c>
      <c r="G9745" s="3">
        <v>21.75</v>
      </c>
    </row>
    <row r="9746">
      <c r="A9746" s="3">
        <v>783536.0</v>
      </c>
      <c r="B9746" s="3" t="s">
        <v>9774</v>
      </c>
      <c r="C9746" s="3" t="s">
        <v>2807</v>
      </c>
      <c r="D9746" s="3">
        <v>207.0</v>
      </c>
      <c r="E9746" s="3">
        <v>10.28</v>
      </c>
      <c r="F9746" s="3">
        <v>7.46</v>
      </c>
      <c r="G9746" s="3">
        <v>21.2</v>
      </c>
    </row>
    <row r="9747">
      <c r="A9747" s="3">
        <v>783538.0</v>
      </c>
      <c r="B9747" s="3" t="s">
        <v>9775</v>
      </c>
      <c r="C9747" s="3" t="s">
        <v>2807</v>
      </c>
      <c r="D9747" s="3">
        <v>233.0</v>
      </c>
      <c r="E9747" s="3">
        <v>13.96</v>
      </c>
      <c r="F9747" s="3">
        <v>10.97</v>
      </c>
      <c r="G9747" s="3">
        <v>15.7</v>
      </c>
    </row>
    <row r="9748">
      <c r="A9748" s="3">
        <v>783539.0</v>
      </c>
      <c r="B9748" s="3" t="s">
        <v>9776</v>
      </c>
      <c r="C9748" s="3" t="s">
        <v>2807</v>
      </c>
      <c r="D9748" s="3">
        <v>223.0</v>
      </c>
      <c r="E9748" s="3">
        <v>11.2</v>
      </c>
      <c r="F9748" s="3">
        <v>18.08</v>
      </c>
      <c r="G9748" s="3">
        <v>12.18</v>
      </c>
    </row>
    <row r="9749">
      <c r="A9749" s="3">
        <v>783540.0</v>
      </c>
      <c r="B9749" s="3" t="s">
        <v>9777</v>
      </c>
      <c r="C9749" s="3" t="s">
        <v>2807</v>
      </c>
      <c r="D9749" s="3">
        <v>257.0</v>
      </c>
      <c r="E9749" s="3">
        <v>13.83</v>
      </c>
      <c r="F9749" s="3">
        <v>12.4</v>
      </c>
      <c r="G9749" s="3">
        <v>20.84</v>
      </c>
    </row>
    <row r="9750">
      <c r="A9750" s="3">
        <v>783542.0</v>
      </c>
      <c r="B9750" s="3" t="s">
        <v>9778</v>
      </c>
      <c r="C9750" s="3" t="s">
        <v>2807</v>
      </c>
      <c r="D9750" s="3">
        <v>355.0</v>
      </c>
      <c r="E9750" s="3">
        <v>14.11</v>
      </c>
      <c r="F9750" s="3">
        <v>9.75</v>
      </c>
      <c r="G9750" s="3">
        <v>47.19</v>
      </c>
    </row>
    <row r="9751">
      <c r="A9751" s="3">
        <v>783544.0</v>
      </c>
      <c r="B9751" s="3" t="s">
        <v>9779</v>
      </c>
      <c r="C9751" s="3" t="s">
        <v>2807</v>
      </c>
      <c r="D9751" s="3">
        <v>241.0</v>
      </c>
      <c r="E9751" s="3">
        <v>9.94</v>
      </c>
      <c r="F9751" s="3">
        <v>12.07</v>
      </c>
      <c r="G9751" s="3">
        <v>24.99</v>
      </c>
    </row>
    <row r="9752">
      <c r="A9752" s="3">
        <v>783545.0</v>
      </c>
      <c r="B9752" s="3" t="s">
        <v>9780</v>
      </c>
      <c r="C9752" s="3" t="s">
        <v>2807</v>
      </c>
      <c r="D9752" s="3">
        <v>215.0</v>
      </c>
      <c r="E9752" s="3">
        <v>8.0</v>
      </c>
      <c r="F9752" s="3">
        <v>11.39</v>
      </c>
      <c r="G9752" s="3">
        <v>23.7</v>
      </c>
    </row>
    <row r="9753">
      <c r="A9753" s="3">
        <v>783546.0</v>
      </c>
      <c r="B9753" s="3" t="s">
        <v>9781</v>
      </c>
      <c r="C9753" s="3" t="s">
        <v>2807</v>
      </c>
      <c r="D9753" s="3">
        <v>232.0</v>
      </c>
      <c r="E9753" s="3">
        <v>10.74</v>
      </c>
      <c r="F9753" s="3">
        <v>12.25</v>
      </c>
      <c r="G9753" s="3">
        <v>21.0</v>
      </c>
    </row>
    <row r="9754">
      <c r="A9754" s="3">
        <v>783547.0</v>
      </c>
      <c r="B9754" s="3" t="s">
        <v>9782</v>
      </c>
      <c r="C9754" s="3" t="s">
        <v>2807</v>
      </c>
      <c r="D9754" s="3">
        <v>219.0</v>
      </c>
      <c r="E9754" s="3">
        <v>8.54</v>
      </c>
      <c r="F9754" s="3">
        <v>12.22</v>
      </c>
      <c r="G9754" s="3">
        <v>22.36</v>
      </c>
    </row>
    <row r="9755">
      <c r="A9755" s="3">
        <v>783548.0</v>
      </c>
      <c r="B9755" s="3" t="s">
        <v>9783</v>
      </c>
      <c r="C9755" s="3" t="s">
        <v>2807</v>
      </c>
      <c r="D9755" s="3">
        <v>221.0</v>
      </c>
      <c r="E9755" s="3">
        <v>10.24</v>
      </c>
      <c r="F9755" s="3">
        <v>11.47</v>
      </c>
      <c r="G9755" s="3">
        <v>20.01</v>
      </c>
    </row>
    <row r="9756">
      <c r="A9756" s="3">
        <v>783549.0</v>
      </c>
      <c r="B9756" s="3" t="s">
        <v>9784</v>
      </c>
      <c r="C9756" s="3" t="s">
        <v>2807</v>
      </c>
      <c r="D9756" s="3">
        <v>255.0</v>
      </c>
      <c r="E9756" s="3">
        <v>12.06</v>
      </c>
      <c r="F9756" s="3">
        <v>13.26</v>
      </c>
      <c r="G9756" s="3">
        <v>22.89</v>
      </c>
    </row>
    <row r="9757">
      <c r="A9757" s="3">
        <v>783550.0</v>
      </c>
      <c r="B9757" s="3" t="s">
        <v>9785</v>
      </c>
      <c r="C9757" s="3" t="s">
        <v>2807</v>
      </c>
      <c r="D9757" s="3">
        <v>213.0</v>
      </c>
      <c r="E9757" s="3">
        <v>10.62</v>
      </c>
      <c r="F9757" s="3">
        <v>11.78</v>
      </c>
      <c r="G9757" s="3">
        <v>17.01</v>
      </c>
    </row>
    <row r="9758">
      <c r="A9758" s="3">
        <v>783551.0</v>
      </c>
      <c r="B9758" s="3" t="s">
        <v>9786</v>
      </c>
      <c r="C9758" s="3" t="s">
        <v>2807</v>
      </c>
      <c r="D9758" s="3">
        <v>213.0</v>
      </c>
      <c r="E9758" s="3">
        <v>11.45</v>
      </c>
      <c r="F9758" s="3">
        <v>10.76</v>
      </c>
      <c r="G9758" s="3">
        <v>16.18</v>
      </c>
    </row>
    <row r="9759">
      <c r="A9759" s="3">
        <v>783552.0</v>
      </c>
      <c r="B9759" s="3" t="s">
        <v>9787</v>
      </c>
      <c r="C9759" s="3" t="s">
        <v>2807</v>
      </c>
      <c r="D9759" s="3">
        <v>254.0</v>
      </c>
      <c r="E9759" s="3">
        <v>12.16</v>
      </c>
      <c r="F9759" s="3">
        <v>16.9</v>
      </c>
      <c r="G9759" s="3">
        <v>18.91</v>
      </c>
    </row>
    <row r="9760">
      <c r="A9760" s="3">
        <v>783554.0</v>
      </c>
      <c r="B9760" s="3" t="s">
        <v>9788</v>
      </c>
      <c r="C9760" s="3" t="s">
        <v>2807</v>
      </c>
      <c r="D9760" s="3">
        <v>274.0</v>
      </c>
      <c r="E9760" s="3">
        <v>12.01</v>
      </c>
      <c r="F9760" s="3">
        <v>17.79</v>
      </c>
      <c r="G9760" s="3">
        <v>22.66</v>
      </c>
    </row>
    <row r="9761">
      <c r="A9761" s="3">
        <v>783555.0</v>
      </c>
      <c r="B9761" s="3" t="s">
        <v>9789</v>
      </c>
      <c r="C9761" s="3" t="s">
        <v>2807</v>
      </c>
      <c r="D9761" s="3">
        <v>235.0</v>
      </c>
      <c r="E9761" s="3">
        <v>9.0</v>
      </c>
      <c r="F9761" s="3">
        <v>17.26</v>
      </c>
      <c r="G9761" s="3">
        <v>20.13</v>
      </c>
    </row>
    <row r="9762">
      <c r="A9762" s="3">
        <v>783556.0</v>
      </c>
      <c r="B9762" s="3" t="s">
        <v>9790</v>
      </c>
      <c r="C9762" s="3" t="s">
        <v>2807</v>
      </c>
      <c r="D9762" s="3">
        <v>223.0</v>
      </c>
      <c r="E9762" s="3">
        <v>6.46</v>
      </c>
      <c r="F9762" s="3">
        <v>13.65</v>
      </c>
      <c r="G9762" s="3">
        <v>26.52</v>
      </c>
    </row>
    <row r="9763">
      <c r="A9763" s="3">
        <v>783557.0</v>
      </c>
      <c r="B9763" s="3" t="s">
        <v>9791</v>
      </c>
      <c r="C9763" s="3" t="s">
        <v>2807</v>
      </c>
      <c r="D9763" s="3">
        <v>209.0</v>
      </c>
      <c r="E9763" s="3">
        <v>4.2</v>
      </c>
      <c r="F9763" s="3">
        <v>11.6</v>
      </c>
      <c r="G9763" s="3">
        <v>30.17</v>
      </c>
    </row>
    <row r="9764">
      <c r="A9764" s="3">
        <v>783558.0</v>
      </c>
      <c r="B9764" s="3" t="s">
        <v>9792</v>
      </c>
      <c r="C9764" s="3" t="s">
        <v>2807</v>
      </c>
      <c r="D9764" s="3">
        <v>232.0</v>
      </c>
      <c r="E9764" s="3">
        <v>6.26</v>
      </c>
      <c r="F9764" s="3">
        <v>18.16</v>
      </c>
      <c r="G9764" s="3">
        <v>24.45</v>
      </c>
    </row>
    <row r="9765">
      <c r="A9765" s="3">
        <v>783559.0</v>
      </c>
      <c r="B9765" s="3" t="s">
        <v>9793</v>
      </c>
      <c r="C9765" s="3" t="s">
        <v>2807</v>
      </c>
      <c r="D9765" s="3">
        <v>149.0</v>
      </c>
      <c r="E9765" s="3">
        <v>3.96</v>
      </c>
      <c r="F9765" s="3">
        <v>10.91</v>
      </c>
      <c r="G9765" s="3">
        <v>16.51</v>
      </c>
    </row>
    <row r="9766">
      <c r="A9766" s="3">
        <v>783560.0</v>
      </c>
      <c r="B9766" s="3" t="s">
        <v>9794</v>
      </c>
      <c r="C9766" s="3" t="s">
        <v>2807</v>
      </c>
      <c r="D9766" s="3">
        <v>237.0</v>
      </c>
      <c r="E9766" s="3">
        <v>12.98</v>
      </c>
      <c r="F9766" s="3">
        <v>10.83</v>
      </c>
      <c r="G9766" s="3">
        <v>19.39</v>
      </c>
    </row>
    <row r="9767">
      <c r="A9767" s="3">
        <v>783561.0</v>
      </c>
      <c r="B9767" s="3" t="s">
        <v>9795</v>
      </c>
      <c r="C9767" s="3" t="s">
        <v>2807</v>
      </c>
      <c r="D9767" s="3">
        <v>223.0</v>
      </c>
      <c r="E9767" s="3">
        <v>6.23</v>
      </c>
      <c r="F9767" s="3">
        <v>17.8</v>
      </c>
      <c r="G9767" s="3">
        <v>23.59</v>
      </c>
    </row>
    <row r="9768">
      <c r="A9768" s="3">
        <v>783562.0</v>
      </c>
      <c r="B9768" s="3" t="s">
        <v>9796</v>
      </c>
      <c r="C9768" s="3" t="s">
        <v>2807</v>
      </c>
      <c r="D9768" s="3">
        <v>236.0</v>
      </c>
      <c r="E9768" s="3">
        <v>8.78</v>
      </c>
      <c r="F9768" s="3">
        <v>17.54</v>
      </c>
      <c r="G9768" s="3">
        <v>21.35</v>
      </c>
    </row>
    <row r="9769">
      <c r="A9769" s="3">
        <v>783563.0</v>
      </c>
      <c r="B9769" s="3" t="s">
        <v>9797</v>
      </c>
      <c r="C9769" s="3" t="s">
        <v>2807</v>
      </c>
      <c r="D9769" s="3">
        <v>230.0</v>
      </c>
      <c r="E9769" s="3">
        <v>10.8</v>
      </c>
      <c r="F9769" s="3">
        <v>13.14</v>
      </c>
      <c r="G9769" s="3">
        <v>19.86</v>
      </c>
    </row>
    <row r="9770">
      <c r="A9770" s="3">
        <v>783564.0</v>
      </c>
      <c r="B9770" s="3" t="s">
        <v>9798</v>
      </c>
      <c r="C9770" s="3" t="s">
        <v>2807</v>
      </c>
      <c r="D9770" s="3">
        <v>222.0</v>
      </c>
      <c r="E9770" s="3">
        <v>4.91</v>
      </c>
      <c r="F9770" s="3">
        <v>17.14</v>
      </c>
      <c r="G9770" s="3">
        <v>26.14</v>
      </c>
    </row>
    <row r="9771">
      <c r="A9771" s="3">
        <v>783568.0</v>
      </c>
      <c r="B9771" s="3" t="s">
        <v>9799</v>
      </c>
      <c r="C9771" s="3" t="s">
        <v>2807</v>
      </c>
      <c r="D9771" s="3">
        <v>286.0</v>
      </c>
      <c r="E9771" s="3">
        <v>15.41</v>
      </c>
      <c r="F9771" s="3">
        <v>11.66</v>
      </c>
      <c r="G9771" s="3">
        <v>25.03</v>
      </c>
    </row>
    <row r="9772">
      <c r="A9772" s="3">
        <v>783569.0</v>
      </c>
      <c r="B9772" s="3" t="s">
        <v>9800</v>
      </c>
      <c r="C9772" s="3" t="s">
        <v>2807</v>
      </c>
      <c r="D9772" s="3">
        <v>302.0</v>
      </c>
      <c r="E9772" s="3">
        <v>13.87</v>
      </c>
      <c r="F9772" s="3">
        <v>13.97</v>
      </c>
      <c r="G9772" s="3">
        <v>30.03</v>
      </c>
    </row>
    <row r="9773">
      <c r="A9773" s="3">
        <v>783570.0</v>
      </c>
      <c r="B9773" s="3" t="s">
        <v>9801</v>
      </c>
      <c r="C9773" s="3" t="s">
        <v>2807</v>
      </c>
      <c r="D9773" s="3">
        <v>308.0</v>
      </c>
      <c r="E9773" s="3">
        <v>12.33</v>
      </c>
      <c r="F9773" s="3">
        <v>11.99</v>
      </c>
      <c r="G9773" s="3">
        <v>37.59</v>
      </c>
    </row>
    <row r="9774">
      <c r="A9774" s="3">
        <v>783572.0</v>
      </c>
      <c r="B9774" s="3" t="s">
        <v>9802</v>
      </c>
      <c r="C9774" s="3" t="s">
        <v>2807</v>
      </c>
      <c r="D9774" s="3">
        <v>156.0</v>
      </c>
      <c r="E9774" s="3">
        <v>5.74</v>
      </c>
      <c r="F9774" s="3">
        <v>10.52</v>
      </c>
      <c r="G9774" s="3">
        <v>15.26</v>
      </c>
    </row>
    <row r="9775">
      <c r="A9775" s="3">
        <v>783574.0</v>
      </c>
      <c r="B9775" s="3" t="s">
        <v>9803</v>
      </c>
      <c r="C9775" s="3" t="s">
        <v>2807</v>
      </c>
      <c r="D9775" s="3">
        <v>254.0</v>
      </c>
      <c r="E9775" s="3">
        <v>12.68</v>
      </c>
      <c r="F9775" s="3">
        <v>11.9</v>
      </c>
      <c r="G9775" s="3">
        <v>24.57</v>
      </c>
    </row>
    <row r="9776">
      <c r="A9776" s="3">
        <v>783576.0</v>
      </c>
      <c r="B9776" s="3" t="s">
        <v>9804</v>
      </c>
      <c r="C9776" s="3" t="s">
        <v>2807</v>
      </c>
      <c r="D9776" s="3">
        <v>204.0</v>
      </c>
      <c r="E9776" s="3">
        <v>7.0</v>
      </c>
      <c r="F9776" s="3">
        <v>16.17</v>
      </c>
      <c r="G9776" s="3">
        <v>19.64</v>
      </c>
    </row>
    <row r="9777">
      <c r="A9777" s="3">
        <v>783577.0</v>
      </c>
      <c r="B9777" s="3" t="s">
        <v>9805</v>
      </c>
      <c r="C9777" s="3" t="s">
        <v>2807</v>
      </c>
      <c r="D9777" s="3">
        <v>198.0</v>
      </c>
      <c r="E9777" s="3">
        <v>6.46</v>
      </c>
      <c r="F9777" s="3">
        <v>16.13</v>
      </c>
      <c r="G9777" s="3">
        <v>19.46</v>
      </c>
    </row>
    <row r="9778">
      <c r="A9778" s="3">
        <v>783578.0</v>
      </c>
      <c r="B9778" s="3" t="s">
        <v>9806</v>
      </c>
      <c r="C9778" s="3" t="s">
        <v>2807</v>
      </c>
      <c r="D9778" s="3">
        <v>201.0</v>
      </c>
      <c r="E9778" s="3">
        <v>7.04</v>
      </c>
      <c r="F9778" s="3">
        <v>16.48</v>
      </c>
      <c r="G9778" s="3">
        <v>16.92</v>
      </c>
    </row>
    <row r="9779">
      <c r="A9779" s="3">
        <v>783584.0</v>
      </c>
      <c r="B9779" s="3" t="s">
        <v>9807</v>
      </c>
      <c r="C9779" s="3" t="s">
        <v>2807</v>
      </c>
      <c r="D9779" s="3">
        <v>186.0</v>
      </c>
      <c r="E9779" s="3">
        <v>7.81</v>
      </c>
      <c r="F9779" s="3">
        <v>9.79</v>
      </c>
      <c r="G9779" s="3">
        <v>19.12</v>
      </c>
    </row>
    <row r="9780">
      <c r="A9780" s="3">
        <v>783585.0</v>
      </c>
      <c r="B9780" s="3" t="s">
        <v>9808</v>
      </c>
      <c r="C9780" s="3" t="s">
        <v>2807</v>
      </c>
      <c r="D9780" s="3">
        <v>203.0</v>
      </c>
      <c r="E9780" s="3">
        <v>9.77</v>
      </c>
      <c r="F9780" s="3">
        <v>11.43</v>
      </c>
      <c r="G9780" s="3">
        <v>17.35</v>
      </c>
    </row>
    <row r="9781">
      <c r="A9781" s="3">
        <v>783587.0</v>
      </c>
      <c r="B9781" s="3" t="s">
        <v>9809</v>
      </c>
      <c r="C9781" s="3" t="s">
        <v>2807</v>
      </c>
      <c r="D9781" s="3">
        <v>223.0</v>
      </c>
      <c r="E9781" s="3">
        <v>6.93</v>
      </c>
      <c r="F9781" s="3">
        <v>20.06</v>
      </c>
      <c r="G9781" s="3">
        <v>18.7</v>
      </c>
    </row>
    <row r="9782">
      <c r="A9782" s="3">
        <v>783588.0</v>
      </c>
      <c r="B9782" s="3" t="s">
        <v>9810</v>
      </c>
      <c r="C9782" s="3" t="s">
        <v>2807</v>
      </c>
      <c r="D9782" s="3">
        <v>228.0</v>
      </c>
      <c r="E9782" s="3">
        <v>9.83</v>
      </c>
      <c r="F9782" s="3">
        <v>14.14</v>
      </c>
      <c r="G9782" s="3">
        <v>19.6</v>
      </c>
    </row>
    <row r="9783">
      <c r="A9783" s="3">
        <v>783589.0</v>
      </c>
      <c r="B9783" s="3" t="s">
        <v>9811</v>
      </c>
      <c r="C9783" s="3" t="s">
        <v>2807</v>
      </c>
      <c r="D9783" s="3">
        <v>135.0</v>
      </c>
      <c r="E9783" s="3">
        <v>3.02</v>
      </c>
      <c r="F9783" s="3">
        <v>14.18</v>
      </c>
      <c r="G9783" s="3">
        <v>11.67</v>
      </c>
    </row>
    <row r="9784">
      <c r="A9784" s="3">
        <v>783591.0</v>
      </c>
      <c r="B9784" s="3" t="s">
        <v>9812</v>
      </c>
      <c r="C9784" s="3" t="s">
        <v>2807</v>
      </c>
      <c r="D9784" s="3">
        <v>206.0</v>
      </c>
      <c r="E9784" s="3">
        <v>9.47</v>
      </c>
      <c r="F9784" s="3">
        <v>10.43</v>
      </c>
      <c r="G9784" s="3">
        <v>19.45</v>
      </c>
    </row>
    <row r="9785">
      <c r="A9785" s="3">
        <v>783592.0</v>
      </c>
      <c r="B9785" s="3" t="s">
        <v>9813</v>
      </c>
      <c r="C9785" s="3" t="s">
        <v>2807</v>
      </c>
      <c r="D9785" s="3">
        <v>222.0</v>
      </c>
      <c r="E9785" s="3">
        <v>11.45</v>
      </c>
      <c r="F9785" s="3">
        <v>12.18</v>
      </c>
      <c r="G9785" s="3">
        <v>17.46</v>
      </c>
    </row>
    <row r="9786">
      <c r="A9786" s="3">
        <v>783593.0</v>
      </c>
      <c r="B9786" s="3" t="s">
        <v>9814</v>
      </c>
      <c r="C9786" s="3" t="s">
        <v>2807</v>
      </c>
      <c r="D9786" s="3">
        <v>166.0</v>
      </c>
      <c r="E9786" s="3">
        <v>8.06</v>
      </c>
      <c r="F9786" s="3">
        <v>7.8</v>
      </c>
      <c r="G9786" s="3">
        <v>15.18</v>
      </c>
    </row>
    <row r="9787">
      <c r="A9787" s="3">
        <v>783595.0</v>
      </c>
      <c r="B9787" s="3" t="s">
        <v>9815</v>
      </c>
      <c r="C9787" s="3" t="s">
        <v>2807</v>
      </c>
      <c r="D9787" s="3">
        <v>233.0</v>
      </c>
      <c r="E9787" s="3">
        <v>7.66</v>
      </c>
      <c r="F9787" s="3">
        <v>19.95</v>
      </c>
      <c r="G9787" s="3">
        <v>20.74</v>
      </c>
    </row>
    <row r="9788">
      <c r="A9788" s="3">
        <v>783596.0</v>
      </c>
      <c r="B9788" s="3" t="s">
        <v>9816</v>
      </c>
      <c r="C9788" s="3" t="s">
        <v>2807</v>
      </c>
      <c r="D9788" s="3">
        <v>190.0</v>
      </c>
      <c r="E9788" s="3">
        <v>7.21</v>
      </c>
      <c r="F9788" s="3">
        <v>14.51</v>
      </c>
      <c r="G9788" s="3">
        <v>16.76</v>
      </c>
    </row>
    <row r="9789">
      <c r="A9789" s="3">
        <v>783597.0</v>
      </c>
      <c r="B9789" s="3" t="s">
        <v>9817</v>
      </c>
      <c r="C9789" s="3" t="s">
        <v>2807</v>
      </c>
      <c r="D9789" s="3">
        <v>233.0</v>
      </c>
      <c r="E9789" s="3">
        <v>7.66</v>
      </c>
      <c r="F9789" s="3">
        <v>19.95</v>
      </c>
      <c r="G9789" s="3">
        <v>20.74</v>
      </c>
    </row>
    <row r="9790">
      <c r="A9790" s="3">
        <v>783598.0</v>
      </c>
      <c r="B9790" s="3" t="s">
        <v>9818</v>
      </c>
      <c r="C9790" s="3" t="s">
        <v>2807</v>
      </c>
      <c r="D9790" s="3">
        <v>227.0</v>
      </c>
      <c r="E9790" s="3">
        <v>7.68</v>
      </c>
      <c r="F9790" s="3">
        <v>20.65</v>
      </c>
      <c r="G9790" s="3">
        <v>18.74</v>
      </c>
    </row>
    <row r="9791">
      <c r="A9791" s="3">
        <v>783599.0</v>
      </c>
      <c r="B9791" s="3" t="s">
        <v>9819</v>
      </c>
      <c r="C9791" s="3" t="s">
        <v>2807</v>
      </c>
      <c r="D9791" s="3">
        <v>190.0</v>
      </c>
      <c r="E9791" s="3">
        <v>7.21</v>
      </c>
      <c r="F9791" s="3">
        <v>14.51</v>
      </c>
      <c r="G9791" s="3">
        <v>16.76</v>
      </c>
    </row>
    <row r="9792">
      <c r="A9792" s="3">
        <v>783600.0</v>
      </c>
      <c r="B9792" s="3" t="s">
        <v>9820</v>
      </c>
      <c r="C9792" s="3" t="s">
        <v>2807</v>
      </c>
      <c r="D9792" s="3">
        <v>185.0</v>
      </c>
      <c r="E9792" s="3">
        <v>7.22</v>
      </c>
      <c r="F9792" s="3">
        <v>15.0</v>
      </c>
      <c r="G9792" s="3">
        <v>15.33</v>
      </c>
    </row>
    <row r="9793">
      <c r="A9793" s="3">
        <v>783601.0</v>
      </c>
      <c r="B9793" s="3" t="s">
        <v>9821</v>
      </c>
      <c r="C9793" s="3" t="s">
        <v>2807</v>
      </c>
      <c r="D9793" s="3">
        <v>185.0</v>
      </c>
      <c r="E9793" s="3">
        <v>7.22</v>
      </c>
      <c r="F9793" s="3">
        <v>15.0</v>
      </c>
      <c r="G9793" s="3">
        <v>15.33</v>
      </c>
    </row>
    <row r="9794">
      <c r="A9794" s="3">
        <v>783604.0</v>
      </c>
      <c r="B9794" s="3" t="s">
        <v>9822</v>
      </c>
      <c r="C9794" s="3" t="s">
        <v>2807</v>
      </c>
      <c r="D9794" s="3">
        <v>234.0</v>
      </c>
      <c r="E9794" s="3">
        <v>10.42</v>
      </c>
      <c r="F9794" s="3">
        <v>12.65</v>
      </c>
      <c r="G9794" s="3">
        <v>21.59</v>
      </c>
    </row>
    <row r="9795">
      <c r="A9795" s="3">
        <v>783605.0</v>
      </c>
      <c r="B9795" s="3" t="s">
        <v>9823</v>
      </c>
      <c r="C9795" s="3" t="s">
        <v>2807</v>
      </c>
      <c r="D9795" s="3">
        <v>226.0</v>
      </c>
      <c r="E9795" s="3">
        <v>12.69</v>
      </c>
      <c r="F9795" s="3">
        <v>12.49</v>
      </c>
      <c r="G9795" s="3">
        <v>14.7</v>
      </c>
    </row>
    <row r="9796">
      <c r="A9796" s="3">
        <v>783606.0</v>
      </c>
      <c r="B9796" s="3" t="s">
        <v>9824</v>
      </c>
      <c r="C9796" s="3" t="s">
        <v>2807</v>
      </c>
      <c r="D9796" s="3">
        <v>153.0</v>
      </c>
      <c r="E9796" s="3">
        <v>3.33</v>
      </c>
      <c r="F9796" s="3">
        <v>9.68</v>
      </c>
      <c r="G9796" s="3">
        <v>21.41</v>
      </c>
    </row>
    <row r="9797">
      <c r="A9797" s="3">
        <v>783607.0</v>
      </c>
      <c r="B9797" s="3" t="s">
        <v>9825</v>
      </c>
      <c r="C9797" s="3" t="s">
        <v>2807</v>
      </c>
      <c r="D9797" s="3">
        <v>162.0</v>
      </c>
      <c r="E9797" s="3">
        <v>3.53</v>
      </c>
      <c r="F9797" s="3">
        <v>10.23</v>
      </c>
      <c r="G9797" s="3">
        <v>22.56</v>
      </c>
    </row>
    <row r="9798">
      <c r="A9798" s="3">
        <v>783608.0</v>
      </c>
      <c r="B9798" s="3" t="s">
        <v>9826</v>
      </c>
      <c r="C9798" s="3" t="s">
        <v>2807</v>
      </c>
      <c r="D9798" s="3">
        <v>232.0</v>
      </c>
      <c r="E9798" s="3">
        <v>13.53</v>
      </c>
      <c r="F9798" s="3">
        <v>10.62</v>
      </c>
      <c r="G9798" s="3">
        <v>17.06</v>
      </c>
    </row>
    <row r="9799">
      <c r="A9799" s="3">
        <v>783612.0</v>
      </c>
      <c r="B9799" s="3" t="s">
        <v>9827</v>
      </c>
      <c r="C9799" s="3" t="s">
        <v>2807</v>
      </c>
      <c r="D9799" s="3">
        <v>301.0</v>
      </c>
      <c r="E9799" s="3">
        <v>13.79</v>
      </c>
      <c r="F9799" s="3">
        <v>10.47</v>
      </c>
      <c r="G9799" s="3">
        <v>32.9</v>
      </c>
    </row>
    <row r="9800">
      <c r="A9800" s="3">
        <v>783613.0</v>
      </c>
      <c r="B9800" s="3" t="s">
        <v>9828</v>
      </c>
      <c r="C9800" s="3" t="s">
        <v>2807</v>
      </c>
      <c r="D9800" s="3">
        <v>302.0</v>
      </c>
      <c r="E9800" s="3">
        <v>16.03</v>
      </c>
      <c r="F9800" s="3">
        <v>11.83</v>
      </c>
      <c r="G9800" s="3">
        <v>27.09</v>
      </c>
    </row>
    <row r="9801">
      <c r="A9801" s="3">
        <v>783615.0</v>
      </c>
      <c r="B9801" s="3" t="s">
        <v>9829</v>
      </c>
      <c r="C9801" s="3" t="s">
        <v>2807</v>
      </c>
      <c r="D9801" s="3">
        <v>324.0</v>
      </c>
      <c r="E9801" s="3">
        <v>21.9</v>
      </c>
      <c r="F9801" s="3">
        <v>11.82</v>
      </c>
      <c r="G9801" s="3">
        <v>19.37</v>
      </c>
    </row>
    <row r="9802">
      <c r="A9802" s="3">
        <v>783616.0</v>
      </c>
      <c r="B9802" s="3" t="s">
        <v>9830</v>
      </c>
      <c r="C9802" s="3" t="s">
        <v>2807</v>
      </c>
      <c r="D9802" s="3">
        <v>334.0</v>
      </c>
      <c r="E9802" s="3">
        <v>17.98</v>
      </c>
      <c r="F9802" s="3">
        <v>10.7</v>
      </c>
      <c r="G9802" s="3">
        <v>31.86</v>
      </c>
    </row>
    <row r="9803">
      <c r="A9803" s="3">
        <v>783617.0</v>
      </c>
      <c r="B9803" s="3" t="s">
        <v>9831</v>
      </c>
      <c r="C9803" s="3" t="s">
        <v>2807</v>
      </c>
      <c r="D9803" s="3">
        <v>225.0</v>
      </c>
      <c r="E9803" s="3">
        <v>12.82</v>
      </c>
      <c r="F9803" s="3">
        <v>7.46</v>
      </c>
      <c r="G9803" s="3">
        <v>19.49</v>
      </c>
    </row>
    <row r="9804">
      <c r="A9804" s="3">
        <v>783618.0</v>
      </c>
      <c r="B9804" s="3" t="s">
        <v>9832</v>
      </c>
      <c r="C9804" s="3" t="s">
        <v>2807</v>
      </c>
      <c r="D9804" s="3">
        <v>310.0</v>
      </c>
      <c r="E9804" s="3">
        <v>14.16</v>
      </c>
      <c r="F9804" s="3">
        <v>12.55</v>
      </c>
      <c r="G9804" s="3">
        <v>32.03</v>
      </c>
    </row>
    <row r="9805">
      <c r="A9805" s="3">
        <v>783622.0</v>
      </c>
      <c r="B9805" s="3" t="s">
        <v>9833</v>
      </c>
      <c r="C9805" s="3" t="s">
        <v>189</v>
      </c>
      <c r="D9805" s="3">
        <v>394.0</v>
      </c>
      <c r="E9805" s="3">
        <v>25.71</v>
      </c>
      <c r="F9805" s="3">
        <v>17.16</v>
      </c>
      <c r="G9805" s="3">
        <v>23.16</v>
      </c>
    </row>
    <row r="9806">
      <c r="A9806" s="3">
        <v>783623.0</v>
      </c>
      <c r="B9806" s="3" t="s">
        <v>9834</v>
      </c>
      <c r="C9806" s="3" t="s">
        <v>2807</v>
      </c>
      <c r="D9806" s="3">
        <v>296.0</v>
      </c>
      <c r="E9806" s="3">
        <v>15.36</v>
      </c>
      <c r="F9806" s="3">
        <v>13.72</v>
      </c>
      <c r="G9806" s="3">
        <v>25.27</v>
      </c>
    </row>
    <row r="9807">
      <c r="A9807" s="3">
        <v>783624.0</v>
      </c>
      <c r="B9807" s="3" t="s">
        <v>9835</v>
      </c>
      <c r="C9807" s="3" t="s">
        <v>2807</v>
      </c>
      <c r="D9807" s="3">
        <v>254.0</v>
      </c>
      <c r="E9807" s="3">
        <v>13.74</v>
      </c>
      <c r="F9807" s="3">
        <v>11.93</v>
      </c>
      <c r="G9807" s="3">
        <v>19.67</v>
      </c>
    </row>
    <row r="9808">
      <c r="A9808" s="3">
        <v>783626.0</v>
      </c>
      <c r="B9808" s="3" t="s">
        <v>9836</v>
      </c>
      <c r="C9808" s="3" t="s">
        <v>2807</v>
      </c>
      <c r="D9808" s="3">
        <v>250.0</v>
      </c>
      <c r="E9808" s="3">
        <v>10.38</v>
      </c>
      <c r="F9808" s="3">
        <v>8.25</v>
      </c>
      <c r="G9808" s="3">
        <v>30.56</v>
      </c>
    </row>
    <row r="9809">
      <c r="A9809" s="3">
        <v>783627.0</v>
      </c>
      <c r="B9809" s="3" t="s">
        <v>9837</v>
      </c>
      <c r="C9809" s="3" t="s">
        <v>2807</v>
      </c>
      <c r="D9809" s="3">
        <v>308.0</v>
      </c>
      <c r="E9809" s="3">
        <v>18.25</v>
      </c>
      <c r="F9809" s="3">
        <v>11.19</v>
      </c>
      <c r="G9809" s="3">
        <v>23.86</v>
      </c>
    </row>
    <row r="9810">
      <c r="A9810" s="3">
        <v>783628.0</v>
      </c>
      <c r="B9810" s="3" t="s">
        <v>9838</v>
      </c>
      <c r="C9810" s="3" t="s">
        <v>2807</v>
      </c>
      <c r="D9810" s="3">
        <v>304.0</v>
      </c>
      <c r="E9810" s="3">
        <v>18.12</v>
      </c>
      <c r="F9810" s="3">
        <v>12.03</v>
      </c>
      <c r="G9810" s="3">
        <v>22.62</v>
      </c>
    </row>
    <row r="9811">
      <c r="A9811" s="3">
        <v>783629.0</v>
      </c>
      <c r="B9811" s="3" t="s">
        <v>9839</v>
      </c>
      <c r="C9811" s="3" t="s">
        <v>2807</v>
      </c>
      <c r="D9811" s="3">
        <v>304.0</v>
      </c>
      <c r="E9811" s="3">
        <v>18.46</v>
      </c>
      <c r="F9811" s="3">
        <v>12.34</v>
      </c>
      <c r="G9811" s="3">
        <v>21.57</v>
      </c>
    </row>
    <row r="9812">
      <c r="A9812" s="3">
        <v>783630.0</v>
      </c>
      <c r="B9812" s="3" t="s">
        <v>9840</v>
      </c>
      <c r="C9812" s="3" t="s">
        <v>2807</v>
      </c>
      <c r="D9812" s="3">
        <v>298.0</v>
      </c>
      <c r="E9812" s="3">
        <v>18.07</v>
      </c>
      <c r="F9812" s="3">
        <v>10.98</v>
      </c>
      <c r="G9812" s="3">
        <v>22.26</v>
      </c>
    </row>
    <row r="9813">
      <c r="A9813" s="3">
        <v>783631.0</v>
      </c>
      <c r="B9813" s="3" t="s">
        <v>9841</v>
      </c>
      <c r="C9813" s="3" t="s">
        <v>2807</v>
      </c>
      <c r="D9813" s="3">
        <v>301.0</v>
      </c>
      <c r="E9813" s="3">
        <v>19.18</v>
      </c>
      <c r="F9813" s="3">
        <v>11.11</v>
      </c>
      <c r="G9813" s="3">
        <v>21.42</v>
      </c>
    </row>
    <row r="9814">
      <c r="A9814" s="3">
        <v>783632.0</v>
      </c>
      <c r="B9814" s="3" t="s">
        <v>9842</v>
      </c>
      <c r="C9814" s="3" t="s">
        <v>2807</v>
      </c>
      <c r="D9814" s="3">
        <v>310.0</v>
      </c>
      <c r="E9814" s="3">
        <v>20.93</v>
      </c>
      <c r="F9814" s="3">
        <v>11.17</v>
      </c>
      <c r="G9814" s="3">
        <v>18.38</v>
      </c>
    </row>
    <row r="9815">
      <c r="A9815" s="3">
        <v>783633.0</v>
      </c>
      <c r="B9815" s="3" t="s">
        <v>9843</v>
      </c>
      <c r="C9815" s="3" t="s">
        <v>2807</v>
      </c>
      <c r="D9815" s="3">
        <v>313.0</v>
      </c>
      <c r="E9815" s="3">
        <v>21.33</v>
      </c>
      <c r="F9815" s="3">
        <v>11.77</v>
      </c>
      <c r="G9815" s="3">
        <v>17.76</v>
      </c>
    </row>
    <row r="9816">
      <c r="A9816" s="3">
        <v>783634.0</v>
      </c>
      <c r="B9816" s="3" t="s">
        <v>9844</v>
      </c>
      <c r="C9816" s="3" t="s">
        <v>2807</v>
      </c>
      <c r="D9816" s="3">
        <v>301.0</v>
      </c>
      <c r="E9816" s="3">
        <v>19.48</v>
      </c>
      <c r="F9816" s="3">
        <v>12.36</v>
      </c>
      <c r="G9816" s="3">
        <v>18.45</v>
      </c>
    </row>
    <row r="9817">
      <c r="A9817" s="3">
        <v>783635.0</v>
      </c>
      <c r="B9817" s="3" t="s">
        <v>9845</v>
      </c>
      <c r="C9817" s="3" t="s">
        <v>2807</v>
      </c>
      <c r="D9817" s="3">
        <v>295.0</v>
      </c>
      <c r="E9817" s="3">
        <v>18.96</v>
      </c>
      <c r="F9817" s="3">
        <v>11.67</v>
      </c>
      <c r="G9817" s="3">
        <v>18.91</v>
      </c>
    </row>
    <row r="9818">
      <c r="A9818" s="3">
        <v>783636.0</v>
      </c>
      <c r="B9818" s="3" t="s">
        <v>9846</v>
      </c>
      <c r="C9818" s="3" t="s">
        <v>2807</v>
      </c>
      <c r="D9818" s="3">
        <v>306.0</v>
      </c>
      <c r="E9818" s="3">
        <v>19.77</v>
      </c>
      <c r="F9818" s="3">
        <v>12.71</v>
      </c>
      <c r="G9818" s="3">
        <v>18.69</v>
      </c>
    </row>
    <row r="9819">
      <c r="A9819" s="3">
        <v>783637.0</v>
      </c>
      <c r="B9819" s="3" t="s">
        <v>9847</v>
      </c>
      <c r="C9819" s="3" t="s">
        <v>2807</v>
      </c>
      <c r="D9819" s="3">
        <v>308.0</v>
      </c>
      <c r="E9819" s="3">
        <v>18.25</v>
      </c>
      <c r="F9819" s="3">
        <v>11.19</v>
      </c>
      <c r="G9819" s="3">
        <v>23.86</v>
      </c>
    </row>
    <row r="9820">
      <c r="A9820" s="3">
        <v>783638.0</v>
      </c>
      <c r="B9820" s="3" t="s">
        <v>9848</v>
      </c>
      <c r="C9820" s="3" t="s">
        <v>2807</v>
      </c>
      <c r="D9820" s="3">
        <v>304.0</v>
      </c>
      <c r="E9820" s="3">
        <v>18.12</v>
      </c>
      <c r="F9820" s="3">
        <v>12.03</v>
      </c>
      <c r="G9820" s="3">
        <v>22.62</v>
      </c>
    </row>
    <row r="9821">
      <c r="A9821" s="3">
        <v>783639.0</v>
      </c>
      <c r="B9821" s="3" t="s">
        <v>9849</v>
      </c>
      <c r="C9821" s="3" t="s">
        <v>2807</v>
      </c>
      <c r="D9821" s="3">
        <v>304.0</v>
      </c>
      <c r="E9821" s="3">
        <v>18.46</v>
      </c>
      <c r="F9821" s="3">
        <v>12.34</v>
      </c>
      <c r="G9821" s="3">
        <v>21.57</v>
      </c>
    </row>
    <row r="9822">
      <c r="A9822" s="3">
        <v>783640.0</v>
      </c>
      <c r="B9822" s="3" t="s">
        <v>9850</v>
      </c>
      <c r="C9822" s="3" t="s">
        <v>2807</v>
      </c>
      <c r="D9822" s="3">
        <v>298.0</v>
      </c>
      <c r="E9822" s="3">
        <v>18.07</v>
      </c>
      <c r="F9822" s="3">
        <v>10.98</v>
      </c>
      <c r="G9822" s="3">
        <v>22.26</v>
      </c>
    </row>
    <row r="9823">
      <c r="A9823" s="3">
        <v>783641.0</v>
      </c>
      <c r="B9823" s="3" t="s">
        <v>9851</v>
      </c>
      <c r="C9823" s="3" t="s">
        <v>2807</v>
      </c>
      <c r="D9823" s="3">
        <v>301.0</v>
      </c>
      <c r="E9823" s="3">
        <v>19.18</v>
      </c>
      <c r="F9823" s="3">
        <v>11.11</v>
      </c>
      <c r="G9823" s="3">
        <v>21.42</v>
      </c>
    </row>
    <row r="9824">
      <c r="A9824" s="3">
        <v>783642.0</v>
      </c>
      <c r="B9824" s="3" t="s">
        <v>9852</v>
      </c>
      <c r="C9824" s="3" t="s">
        <v>2807</v>
      </c>
      <c r="D9824" s="3">
        <v>310.0</v>
      </c>
      <c r="E9824" s="3">
        <v>20.93</v>
      </c>
      <c r="F9824" s="3">
        <v>11.17</v>
      </c>
      <c r="G9824" s="3">
        <v>18.38</v>
      </c>
    </row>
    <row r="9825">
      <c r="A9825" s="3">
        <v>783643.0</v>
      </c>
      <c r="B9825" s="3" t="s">
        <v>9853</v>
      </c>
      <c r="C9825" s="3" t="s">
        <v>2807</v>
      </c>
      <c r="D9825" s="3">
        <v>313.0</v>
      </c>
      <c r="E9825" s="3">
        <v>21.33</v>
      </c>
      <c r="F9825" s="3">
        <v>11.77</v>
      </c>
      <c r="G9825" s="3">
        <v>17.76</v>
      </c>
    </row>
    <row r="9826">
      <c r="A9826" s="3">
        <v>783644.0</v>
      </c>
      <c r="B9826" s="3" t="s">
        <v>9854</v>
      </c>
      <c r="C9826" s="3" t="s">
        <v>2807</v>
      </c>
      <c r="D9826" s="3">
        <v>301.0</v>
      </c>
      <c r="E9826" s="3">
        <v>19.48</v>
      </c>
      <c r="F9826" s="3">
        <v>12.36</v>
      </c>
      <c r="G9826" s="3">
        <v>18.45</v>
      </c>
    </row>
    <row r="9827">
      <c r="A9827" s="3">
        <v>783645.0</v>
      </c>
      <c r="B9827" s="3" t="s">
        <v>9855</v>
      </c>
      <c r="C9827" s="3" t="s">
        <v>2807</v>
      </c>
      <c r="D9827" s="3">
        <v>295.0</v>
      </c>
      <c r="E9827" s="3">
        <v>18.96</v>
      </c>
      <c r="F9827" s="3">
        <v>11.67</v>
      </c>
      <c r="G9827" s="3">
        <v>18.91</v>
      </c>
    </row>
    <row r="9828">
      <c r="A9828" s="3">
        <v>783646.0</v>
      </c>
      <c r="B9828" s="3" t="s">
        <v>9856</v>
      </c>
      <c r="C9828" s="3" t="s">
        <v>2807</v>
      </c>
      <c r="D9828" s="3">
        <v>306.0</v>
      </c>
      <c r="E9828" s="3">
        <v>19.77</v>
      </c>
      <c r="F9828" s="3">
        <v>12.71</v>
      </c>
      <c r="G9828" s="3">
        <v>18.69</v>
      </c>
    </row>
    <row r="9829">
      <c r="A9829" s="3">
        <v>783647.0</v>
      </c>
      <c r="B9829" s="3" t="s">
        <v>9857</v>
      </c>
      <c r="C9829" s="3" t="s">
        <v>2807</v>
      </c>
      <c r="D9829" s="3">
        <v>293.0</v>
      </c>
      <c r="E9829" s="3">
        <v>16.04</v>
      </c>
      <c r="F9829" s="3">
        <v>10.26</v>
      </c>
      <c r="G9829" s="3">
        <v>26.23</v>
      </c>
    </row>
    <row r="9830">
      <c r="A9830" s="3">
        <v>783648.0</v>
      </c>
      <c r="B9830" s="3" t="s">
        <v>9858</v>
      </c>
      <c r="C9830" s="3" t="s">
        <v>2807</v>
      </c>
      <c r="D9830" s="3">
        <v>288.0</v>
      </c>
      <c r="E9830" s="3">
        <v>15.9</v>
      </c>
      <c r="F9830" s="3">
        <v>11.15</v>
      </c>
      <c r="G9830" s="3">
        <v>24.92</v>
      </c>
    </row>
    <row r="9831">
      <c r="A9831" s="3">
        <v>783649.0</v>
      </c>
      <c r="B9831" s="3" t="s">
        <v>9859</v>
      </c>
      <c r="C9831" s="3" t="s">
        <v>2807</v>
      </c>
      <c r="D9831" s="3">
        <v>288.0</v>
      </c>
      <c r="E9831" s="3">
        <v>16.26</v>
      </c>
      <c r="F9831" s="3">
        <v>11.47</v>
      </c>
      <c r="G9831" s="3">
        <v>23.82</v>
      </c>
    </row>
    <row r="9832">
      <c r="A9832" s="3">
        <v>783650.0</v>
      </c>
      <c r="B9832" s="3" t="s">
        <v>9860</v>
      </c>
      <c r="C9832" s="3" t="s">
        <v>2807</v>
      </c>
      <c r="D9832" s="3">
        <v>281.0</v>
      </c>
      <c r="E9832" s="3">
        <v>15.84</v>
      </c>
      <c r="F9832" s="3">
        <v>10.04</v>
      </c>
      <c r="G9832" s="3">
        <v>24.55</v>
      </c>
    </row>
    <row r="9833">
      <c r="A9833" s="3">
        <v>783651.0</v>
      </c>
      <c r="B9833" s="3" t="s">
        <v>9861</v>
      </c>
      <c r="C9833" s="3" t="s">
        <v>2807</v>
      </c>
      <c r="D9833" s="3">
        <v>285.0</v>
      </c>
      <c r="E9833" s="3">
        <v>17.01</v>
      </c>
      <c r="F9833" s="3">
        <v>10.18</v>
      </c>
      <c r="G9833" s="3">
        <v>23.66</v>
      </c>
    </row>
    <row r="9834">
      <c r="A9834" s="3">
        <v>783652.0</v>
      </c>
      <c r="B9834" s="3" t="s">
        <v>9862</v>
      </c>
      <c r="C9834" s="3" t="s">
        <v>2807</v>
      </c>
      <c r="D9834" s="3">
        <v>288.0</v>
      </c>
      <c r="E9834" s="3">
        <v>18.22</v>
      </c>
      <c r="F9834" s="3">
        <v>9.93</v>
      </c>
      <c r="G9834" s="3">
        <v>20.68</v>
      </c>
    </row>
    <row r="9835">
      <c r="A9835" s="3">
        <v>783653.0</v>
      </c>
      <c r="B9835" s="3" t="s">
        <v>9863</v>
      </c>
      <c r="C9835" s="3" t="s">
        <v>2807</v>
      </c>
      <c r="D9835" s="3">
        <v>291.0</v>
      </c>
      <c r="E9835" s="3">
        <v>18.64</v>
      </c>
      <c r="F9835" s="3">
        <v>10.56</v>
      </c>
      <c r="G9835" s="3">
        <v>20.03</v>
      </c>
    </row>
    <row r="9836">
      <c r="A9836" s="3">
        <v>783654.0</v>
      </c>
      <c r="B9836" s="3" t="s">
        <v>9864</v>
      </c>
      <c r="C9836" s="3" t="s">
        <v>2807</v>
      </c>
      <c r="D9836" s="3">
        <v>281.0</v>
      </c>
      <c r="E9836" s="3">
        <v>17.03</v>
      </c>
      <c r="F9836" s="3">
        <v>11.34</v>
      </c>
      <c r="G9836" s="3">
        <v>20.64</v>
      </c>
    </row>
    <row r="9837">
      <c r="A9837" s="3">
        <v>783655.0</v>
      </c>
      <c r="B9837" s="3" t="s">
        <v>9865</v>
      </c>
      <c r="C9837" s="3" t="s">
        <v>2807</v>
      </c>
      <c r="D9837" s="3">
        <v>276.0</v>
      </c>
      <c r="E9837" s="3">
        <v>16.48</v>
      </c>
      <c r="F9837" s="3">
        <v>10.62</v>
      </c>
      <c r="G9837" s="3">
        <v>21.13</v>
      </c>
    </row>
    <row r="9838">
      <c r="A9838" s="3">
        <v>783656.0</v>
      </c>
      <c r="B9838" s="3" t="s">
        <v>9866</v>
      </c>
      <c r="C9838" s="3" t="s">
        <v>2807</v>
      </c>
      <c r="D9838" s="3">
        <v>287.0</v>
      </c>
      <c r="E9838" s="3">
        <v>17.32</v>
      </c>
      <c r="F9838" s="3">
        <v>11.72</v>
      </c>
      <c r="G9838" s="3">
        <v>20.9</v>
      </c>
    </row>
    <row r="9839">
      <c r="A9839" s="3">
        <v>783657.0</v>
      </c>
      <c r="B9839" s="3" t="s">
        <v>9867</v>
      </c>
      <c r="C9839" s="3" t="s">
        <v>2807</v>
      </c>
      <c r="D9839" s="3">
        <v>286.0</v>
      </c>
      <c r="E9839" s="3">
        <v>15.95</v>
      </c>
      <c r="F9839" s="3">
        <v>10.03</v>
      </c>
      <c r="G9839" s="3">
        <v>25.06</v>
      </c>
    </row>
    <row r="9840">
      <c r="A9840" s="3">
        <v>783658.0</v>
      </c>
      <c r="B9840" s="3" t="s">
        <v>9868</v>
      </c>
      <c r="C9840" s="3" t="s">
        <v>2807</v>
      </c>
      <c r="D9840" s="3">
        <v>282.0</v>
      </c>
      <c r="E9840" s="3">
        <v>15.82</v>
      </c>
      <c r="F9840" s="3">
        <v>10.88</v>
      </c>
      <c r="G9840" s="3">
        <v>23.82</v>
      </c>
    </row>
    <row r="9841">
      <c r="A9841" s="3">
        <v>783659.0</v>
      </c>
      <c r="B9841" s="3" t="s">
        <v>9869</v>
      </c>
      <c r="C9841" s="3" t="s">
        <v>2807</v>
      </c>
      <c r="D9841" s="3">
        <v>282.0</v>
      </c>
      <c r="E9841" s="3">
        <v>16.16</v>
      </c>
      <c r="F9841" s="3">
        <v>11.18</v>
      </c>
      <c r="G9841" s="3">
        <v>22.78</v>
      </c>
    </row>
    <row r="9842">
      <c r="A9842" s="3">
        <v>783660.0</v>
      </c>
      <c r="B9842" s="3" t="s">
        <v>9870</v>
      </c>
      <c r="C9842" s="3" t="s">
        <v>2807</v>
      </c>
      <c r="D9842" s="3">
        <v>275.0</v>
      </c>
      <c r="E9842" s="3">
        <v>15.76</v>
      </c>
      <c r="F9842" s="3">
        <v>9.82</v>
      </c>
      <c r="G9842" s="3">
        <v>23.47</v>
      </c>
    </row>
    <row r="9843">
      <c r="A9843" s="3">
        <v>783661.0</v>
      </c>
      <c r="B9843" s="3" t="s">
        <v>9871</v>
      </c>
      <c r="C9843" s="3" t="s">
        <v>2807</v>
      </c>
      <c r="D9843" s="3">
        <v>279.0</v>
      </c>
      <c r="E9843" s="3">
        <v>16.87</v>
      </c>
      <c r="F9843" s="3">
        <v>9.95</v>
      </c>
      <c r="G9843" s="3">
        <v>22.63</v>
      </c>
    </row>
    <row r="9844">
      <c r="A9844" s="3">
        <v>783662.0</v>
      </c>
      <c r="B9844" s="3" t="s">
        <v>9872</v>
      </c>
      <c r="C9844" s="3" t="s">
        <v>2807</v>
      </c>
      <c r="D9844" s="3">
        <v>283.0</v>
      </c>
      <c r="E9844" s="3">
        <v>18.16</v>
      </c>
      <c r="F9844" s="3">
        <v>9.78</v>
      </c>
      <c r="G9844" s="3">
        <v>19.82</v>
      </c>
    </row>
    <row r="9845">
      <c r="A9845" s="3">
        <v>783663.0</v>
      </c>
      <c r="B9845" s="3" t="s">
        <v>9873</v>
      </c>
      <c r="C9845" s="3" t="s">
        <v>2807</v>
      </c>
      <c r="D9845" s="3">
        <v>286.0</v>
      </c>
      <c r="E9845" s="3">
        <v>18.56</v>
      </c>
      <c r="F9845" s="3">
        <v>10.38</v>
      </c>
      <c r="G9845" s="3">
        <v>19.2</v>
      </c>
    </row>
    <row r="9846">
      <c r="A9846" s="3">
        <v>783664.0</v>
      </c>
      <c r="B9846" s="3" t="s">
        <v>9874</v>
      </c>
      <c r="C9846" s="3" t="s">
        <v>2807</v>
      </c>
      <c r="D9846" s="3">
        <v>276.0</v>
      </c>
      <c r="E9846" s="3">
        <v>16.95</v>
      </c>
      <c r="F9846" s="3">
        <v>11.09</v>
      </c>
      <c r="G9846" s="3">
        <v>19.77</v>
      </c>
    </row>
    <row r="9847">
      <c r="A9847" s="3">
        <v>783665.0</v>
      </c>
      <c r="B9847" s="3" t="s">
        <v>9875</v>
      </c>
      <c r="C9847" s="3" t="s">
        <v>2807</v>
      </c>
      <c r="D9847" s="3">
        <v>271.0</v>
      </c>
      <c r="E9847" s="3">
        <v>16.43</v>
      </c>
      <c r="F9847" s="3">
        <v>10.4</v>
      </c>
      <c r="G9847" s="3">
        <v>20.24</v>
      </c>
    </row>
    <row r="9848">
      <c r="A9848" s="3">
        <v>783666.0</v>
      </c>
      <c r="B9848" s="3" t="s">
        <v>9876</v>
      </c>
      <c r="C9848" s="3" t="s">
        <v>2807</v>
      </c>
      <c r="D9848" s="3">
        <v>281.0</v>
      </c>
      <c r="E9848" s="3">
        <v>17.24</v>
      </c>
      <c r="F9848" s="3">
        <v>11.44</v>
      </c>
      <c r="G9848" s="3">
        <v>20.02</v>
      </c>
    </row>
    <row r="9849">
      <c r="A9849" s="3">
        <v>783667.0</v>
      </c>
      <c r="B9849" s="3" t="s">
        <v>9877</v>
      </c>
      <c r="C9849" s="3" t="s">
        <v>2807</v>
      </c>
      <c r="D9849" s="3">
        <v>254.0</v>
      </c>
      <c r="E9849" s="3">
        <v>11.25</v>
      </c>
      <c r="F9849" s="3">
        <v>13.43</v>
      </c>
      <c r="G9849" s="3">
        <v>23.72</v>
      </c>
    </row>
    <row r="9850">
      <c r="A9850" s="3">
        <v>783668.0</v>
      </c>
      <c r="B9850" s="3" t="s">
        <v>9878</v>
      </c>
      <c r="C9850" s="3" t="s">
        <v>2807</v>
      </c>
      <c r="D9850" s="3">
        <v>250.0</v>
      </c>
      <c r="E9850" s="3">
        <v>11.12</v>
      </c>
      <c r="F9850" s="3">
        <v>14.28</v>
      </c>
      <c r="G9850" s="3">
        <v>22.48</v>
      </c>
    </row>
    <row r="9851">
      <c r="A9851" s="3">
        <v>783669.0</v>
      </c>
      <c r="B9851" s="3" t="s">
        <v>9879</v>
      </c>
      <c r="C9851" s="3" t="s">
        <v>2807</v>
      </c>
      <c r="D9851" s="3">
        <v>250.0</v>
      </c>
      <c r="E9851" s="3">
        <v>11.46</v>
      </c>
      <c r="F9851" s="3">
        <v>14.58</v>
      </c>
      <c r="G9851" s="3">
        <v>21.43</v>
      </c>
    </row>
    <row r="9852">
      <c r="A9852" s="3">
        <v>783670.0</v>
      </c>
      <c r="B9852" s="3" t="s">
        <v>9880</v>
      </c>
      <c r="C9852" s="3" t="s">
        <v>2807</v>
      </c>
      <c r="D9852" s="3">
        <v>244.0</v>
      </c>
      <c r="E9852" s="3">
        <v>11.06</v>
      </c>
      <c r="F9852" s="3">
        <v>13.23</v>
      </c>
      <c r="G9852" s="3">
        <v>22.13</v>
      </c>
    </row>
    <row r="9853">
      <c r="A9853" s="3">
        <v>783671.0</v>
      </c>
      <c r="B9853" s="3" t="s">
        <v>9881</v>
      </c>
      <c r="C9853" s="3" t="s">
        <v>2807</v>
      </c>
      <c r="D9853" s="3">
        <v>247.0</v>
      </c>
      <c r="E9853" s="3">
        <v>12.17</v>
      </c>
      <c r="F9853" s="3">
        <v>13.36</v>
      </c>
      <c r="G9853" s="3">
        <v>21.29</v>
      </c>
    </row>
    <row r="9854">
      <c r="A9854" s="3">
        <v>783672.0</v>
      </c>
      <c r="B9854" s="3" t="s">
        <v>9882</v>
      </c>
      <c r="C9854" s="3" t="s">
        <v>2807</v>
      </c>
      <c r="D9854" s="3">
        <v>245.0</v>
      </c>
      <c r="E9854" s="3">
        <v>12.52</v>
      </c>
      <c r="F9854" s="3">
        <v>13.86</v>
      </c>
      <c r="G9854" s="3">
        <v>18.21</v>
      </c>
    </row>
    <row r="9855">
      <c r="A9855" s="3">
        <v>783673.0</v>
      </c>
      <c r="B9855" s="3" t="s">
        <v>9883</v>
      </c>
      <c r="C9855" s="3" t="s">
        <v>2807</v>
      </c>
      <c r="D9855" s="3">
        <v>248.0</v>
      </c>
      <c r="E9855" s="3">
        <v>12.92</v>
      </c>
      <c r="F9855" s="3">
        <v>14.46</v>
      </c>
      <c r="G9855" s="3">
        <v>17.59</v>
      </c>
    </row>
    <row r="9856">
      <c r="A9856" s="3">
        <v>783674.0</v>
      </c>
      <c r="B9856" s="3" t="s">
        <v>9884</v>
      </c>
      <c r="C9856" s="3" t="s">
        <v>2807</v>
      </c>
      <c r="D9856" s="3">
        <v>241.0</v>
      </c>
      <c r="E9856" s="3">
        <v>11.8</v>
      </c>
      <c r="F9856" s="3">
        <v>14.83</v>
      </c>
      <c r="G9856" s="3">
        <v>18.3</v>
      </c>
    </row>
    <row r="9857">
      <c r="A9857" s="3">
        <v>783675.0</v>
      </c>
      <c r="B9857" s="3" t="s">
        <v>9885</v>
      </c>
      <c r="C9857" s="3" t="s">
        <v>2807</v>
      </c>
      <c r="D9857" s="3">
        <v>236.0</v>
      </c>
      <c r="E9857" s="3">
        <v>11.28</v>
      </c>
      <c r="F9857" s="3">
        <v>14.13</v>
      </c>
      <c r="G9857" s="3">
        <v>18.76</v>
      </c>
    </row>
    <row r="9858">
      <c r="A9858" s="3">
        <v>783676.0</v>
      </c>
      <c r="B9858" s="3" t="s">
        <v>9886</v>
      </c>
      <c r="C9858" s="3" t="s">
        <v>2807</v>
      </c>
      <c r="D9858" s="3">
        <v>246.0</v>
      </c>
      <c r="E9858" s="3">
        <v>12.08</v>
      </c>
      <c r="F9858" s="3">
        <v>15.18</v>
      </c>
      <c r="G9858" s="3">
        <v>18.54</v>
      </c>
    </row>
    <row r="9859">
      <c r="A9859" s="3">
        <v>783677.0</v>
      </c>
      <c r="B9859" s="3" t="s">
        <v>9887</v>
      </c>
      <c r="C9859" s="3" t="s">
        <v>2807</v>
      </c>
      <c r="D9859" s="3">
        <v>194.0</v>
      </c>
      <c r="E9859" s="3">
        <v>3.37</v>
      </c>
      <c r="F9859" s="3">
        <v>13.43</v>
      </c>
      <c r="G9859" s="3">
        <v>27.05</v>
      </c>
    </row>
    <row r="9860">
      <c r="A9860" s="3">
        <v>783678.0</v>
      </c>
      <c r="B9860" s="3" t="s">
        <v>9888</v>
      </c>
      <c r="C9860" s="3" t="s">
        <v>2807</v>
      </c>
      <c r="D9860" s="3">
        <v>190.0</v>
      </c>
      <c r="E9860" s="3">
        <v>3.24</v>
      </c>
      <c r="F9860" s="3">
        <v>14.28</v>
      </c>
      <c r="G9860" s="3">
        <v>25.81</v>
      </c>
    </row>
    <row r="9861">
      <c r="A9861" s="3">
        <v>783679.0</v>
      </c>
      <c r="B9861" s="3" t="s">
        <v>9889</v>
      </c>
      <c r="C9861" s="3" t="s">
        <v>2807</v>
      </c>
      <c r="D9861" s="3">
        <v>190.0</v>
      </c>
      <c r="E9861" s="3">
        <v>3.58</v>
      </c>
      <c r="F9861" s="3">
        <v>14.58</v>
      </c>
      <c r="G9861" s="3">
        <v>24.76</v>
      </c>
    </row>
    <row r="9862">
      <c r="A9862" s="3">
        <v>783680.0</v>
      </c>
      <c r="B9862" s="3" t="s">
        <v>9890</v>
      </c>
      <c r="C9862" s="3" t="s">
        <v>2807</v>
      </c>
      <c r="D9862" s="3">
        <v>184.0</v>
      </c>
      <c r="E9862" s="3">
        <v>3.19</v>
      </c>
      <c r="F9862" s="3">
        <v>13.22</v>
      </c>
      <c r="G9862" s="3">
        <v>25.46</v>
      </c>
    </row>
    <row r="9863">
      <c r="A9863" s="3">
        <v>783681.0</v>
      </c>
      <c r="B9863" s="3" t="s">
        <v>9891</v>
      </c>
      <c r="C9863" s="3" t="s">
        <v>2807</v>
      </c>
      <c r="D9863" s="3">
        <v>187.0</v>
      </c>
      <c r="E9863" s="3">
        <v>4.29</v>
      </c>
      <c r="F9863" s="3">
        <v>13.35</v>
      </c>
      <c r="G9863" s="3">
        <v>24.62</v>
      </c>
    </row>
    <row r="9864">
      <c r="A9864" s="3">
        <v>783682.0</v>
      </c>
      <c r="B9864" s="3" t="s">
        <v>9892</v>
      </c>
      <c r="C9864" s="3" t="s">
        <v>2807</v>
      </c>
      <c r="D9864" s="3">
        <v>173.0</v>
      </c>
      <c r="E9864" s="3">
        <v>3.07</v>
      </c>
      <c r="F9864" s="3">
        <v>13.86</v>
      </c>
      <c r="G9864" s="3">
        <v>22.21</v>
      </c>
    </row>
    <row r="9865">
      <c r="A9865" s="3">
        <v>783683.0</v>
      </c>
      <c r="B9865" s="3" t="s">
        <v>9893</v>
      </c>
      <c r="C9865" s="3" t="s">
        <v>2807</v>
      </c>
      <c r="D9865" s="3">
        <v>176.0</v>
      </c>
      <c r="E9865" s="3">
        <v>3.47</v>
      </c>
      <c r="F9865" s="3">
        <v>14.46</v>
      </c>
      <c r="G9865" s="3">
        <v>21.59</v>
      </c>
    </row>
    <row r="9866">
      <c r="A9866" s="3">
        <v>783684.0</v>
      </c>
      <c r="B9866" s="3" t="s">
        <v>9894</v>
      </c>
      <c r="C9866" s="3" t="s">
        <v>2807</v>
      </c>
      <c r="D9866" s="3">
        <v>176.0</v>
      </c>
      <c r="E9866" s="3">
        <v>3.16</v>
      </c>
      <c r="F9866" s="3">
        <v>14.82</v>
      </c>
      <c r="G9866" s="3">
        <v>21.95</v>
      </c>
    </row>
    <row r="9867">
      <c r="A9867" s="3">
        <v>783685.0</v>
      </c>
      <c r="B9867" s="3" t="s">
        <v>9895</v>
      </c>
      <c r="C9867" s="3" t="s">
        <v>2807</v>
      </c>
      <c r="D9867" s="3">
        <v>170.0</v>
      </c>
      <c r="E9867" s="3">
        <v>2.64</v>
      </c>
      <c r="F9867" s="3">
        <v>14.13</v>
      </c>
      <c r="G9867" s="3">
        <v>22.42</v>
      </c>
    </row>
    <row r="9868">
      <c r="A9868" s="3">
        <v>783686.0</v>
      </c>
      <c r="B9868" s="3" t="s">
        <v>9896</v>
      </c>
      <c r="C9868" s="3" t="s">
        <v>2807</v>
      </c>
      <c r="D9868" s="3">
        <v>181.0</v>
      </c>
      <c r="E9868" s="3">
        <v>3.44</v>
      </c>
      <c r="F9868" s="3">
        <v>15.17</v>
      </c>
      <c r="G9868" s="3">
        <v>22.2</v>
      </c>
    </row>
    <row r="9869">
      <c r="A9869" s="3">
        <v>783687.0</v>
      </c>
      <c r="B9869" s="3" t="s">
        <v>9897</v>
      </c>
      <c r="C9869" s="3" t="s">
        <v>2807</v>
      </c>
      <c r="D9869" s="3">
        <v>187.0</v>
      </c>
      <c r="E9869" s="3">
        <v>2.66</v>
      </c>
      <c r="F9869" s="3">
        <v>11.66</v>
      </c>
      <c r="G9869" s="3">
        <v>28.71</v>
      </c>
    </row>
    <row r="9870">
      <c r="A9870" s="3">
        <v>783688.0</v>
      </c>
      <c r="B9870" s="3" t="s">
        <v>9898</v>
      </c>
      <c r="C9870" s="3" t="s">
        <v>2807</v>
      </c>
      <c r="D9870" s="3">
        <v>183.0</v>
      </c>
      <c r="E9870" s="3">
        <v>2.53</v>
      </c>
      <c r="F9870" s="3">
        <v>12.51</v>
      </c>
      <c r="G9870" s="3">
        <v>27.47</v>
      </c>
    </row>
    <row r="9871">
      <c r="A9871" s="3">
        <v>783689.0</v>
      </c>
      <c r="B9871" s="3" t="s">
        <v>9899</v>
      </c>
      <c r="C9871" s="3" t="s">
        <v>2807</v>
      </c>
      <c r="D9871" s="3">
        <v>183.0</v>
      </c>
      <c r="E9871" s="3">
        <v>2.87</v>
      </c>
      <c r="F9871" s="3">
        <v>12.82</v>
      </c>
      <c r="G9871" s="3">
        <v>26.42</v>
      </c>
    </row>
    <row r="9872">
      <c r="A9872" s="3">
        <v>783690.0</v>
      </c>
      <c r="B9872" s="3" t="s">
        <v>9900</v>
      </c>
      <c r="C9872" s="3" t="s">
        <v>2807</v>
      </c>
      <c r="D9872" s="3">
        <v>177.0</v>
      </c>
      <c r="E9872" s="3">
        <v>2.48</v>
      </c>
      <c r="F9872" s="3">
        <v>11.46</v>
      </c>
      <c r="G9872" s="3">
        <v>27.11</v>
      </c>
    </row>
    <row r="9873">
      <c r="A9873" s="3">
        <v>783691.0</v>
      </c>
      <c r="B9873" s="3" t="s">
        <v>9901</v>
      </c>
      <c r="C9873" s="3" t="s">
        <v>2807</v>
      </c>
      <c r="D9873" s="3">
        <v>180.0</v>
      </c>
      <c r="E9873" s="3">
        <v>3.58</v>
      </c>
      <c r="F9873" s="3">
        <v>11.59</v>
      </c>
      <c r="G9873" s="3">
        <v>26.27</v>
      </c>
    </row>
    <row r="9874">
      <c r="A9874" s="3">
        <v>783692.0</v>
      </c>
      <c r="B9874" s="3" t="s">
        <v>9902</v>
      </c>
      <c r="C9874" s="3" t="s">
        <v>2807</v>
      </c>
      <c r="D9874" s="3">
        <v>165.0</v>
      </c>
      <c r="E9874" s="3">
        <v>2.22</v>
      </c>
      <c r="F9874" s="3">
        <v>11.74</v>
      </c>
      <c r="G9874" s="3">
        <v>24.19</v>
      </c>
    </row>
    <row r="9875">
      <c r="A9875" s="3">
        <v>783693.0</v>
      </c>
      <c r="B9875" s="3" t="s">
        <v>9903</v>
      </c>
      <c r="C9875" s="3" t="s">
        <v>2807</v>
      </c>
      <c r="D9875" s="3">
        <v>167.0</v>
      </c>
      <c r="E9875" s="3">
        <v>2.62</v>
      </c>
      <c r="F9875" s="3">
        <v>12.34</v>
      </c>
      <c r="G9875" s="3">
        <v>23.57</v>
      </c>
    </row>
    <row r="9876">
      <c r="A9876" s="3">
        <v>783694.0</v>
      </c>
      <c r="B9876" s="3" t="s">
        <v>9904</v>
      </c>
      <c r="C9876" s="3" t="s">
        <v>2807</v>
      </c>
      <c r="D9876" s="3">
        <v>168.0</v>
      </c>
      <c r="E9876" s="3">
        <v>2.38</v>
      </c>
      <c r="F9876" s="3">
        <v>12.88</v>
      </c>
      <c r="G9876" s="3">
        <v>23.76</v>
      </c>
    </row>
    <row r="9877">
      <c r="A9877" s="3">
        <v>783695.0</v>
      </c>
      <c r="B9877" s="3" t="s">
        <v>9905</v>
      </c>
      <c r="C9877" s="3" t="s">
        <v>2807</v>
      </c>
      <c r="D9877" s="3">
        <v>162.0</v>
      </c>
      <c r="E9877" s="3">
        <v>1.86</v>
      </c>
      <c r="F9877" s="3">
        <v>12.19</v>
      </c>
      <c r="G9877" s="3">
        <v>24.23</v>
      </c>
    </row>
    <row r="9878">
      <c r="A9878" s="3">
        <v>783696.0</v>
      </c>
      <c r="B9878" s="3" t="s">
        <v>9906</v>
      </c>
      <c r="C9878" s="3" t="s">
        <v>2807</v>
      </c>
      <c r="D9878" s="3">
        <v>173.0</v>
      </c>
      <c r="E9878" s="3">
        <v>2.66</v>
      </c>
      <c r="F9878" s="3">
        <v>13.24</v>
      </c>
      <c r="G9878" s="3">
        <v>24.01</v>
      </c>
    </row>
    <row r="9879">
      <c r="A9879" s="3">
        <v>783697.0</v>
      </c>
      <c r="B9879" s="3" t="s">
        <v>9907</v>
      </c>
      <c r="C9879" s="3" t="s">
        <v>2807</v>
      </c>
      <c r="D9879" s="3">
        <v>251.0</v>
      </c>
      <c r="E9879" s="3">
        <v>9.89</v>
      </c>
      <c r="F9879" s="3">
        <v>15.76</v>
      </c>
      <c r="G9879" s="3">
        <v>24.3</v>
      </c>
    </row>
    <row r="9880">
      <c r="A9880" s="3">
        <v>783698.0</v>
      </c>
      <c r="B9880" s="3" t="s">
        <v>9908</v>
      </c>
      <c r="C9880" s="3" t="s">
        <v>2807</v>
      </c>
      <c r="D9880" s="3">
        <v>242.0</v>
      </c>
      <c r="E9880" s="3">
        <v>10.76</v>
      </c>
      <c r="F9880" s="3">
        <v>16.54</v>
      </c>
      <c r="G9880" s="3">
        <v>19.62</v>
      </c>
    </row>
    <row r="9881">
      <c r="A9881" s="3">
        <v>783699.0</v>
      </c>
      <c r="B9881" s="3" t="s">
        <v>9909</v>
      </c>
      <c r="C9881" s="3" t="s">
        <v>2807</v>
      </c>
      <c r="D9881" s="3">
        <v>231.0</v>
      </c>
      <c r="E9881" s="3">
        <v>12.55</v>
      </c>
      <c r="F9881" s="3">
        <v>9.11</v>
      </c>
      <c r="G9881" s="3">
        <v>19.71</v>
      </c>
    </row>
    <row r="9882">
      <c r="A9882" s="3">
        <v>783700.0</v>
      </c>
      <c r="B9882" s="3" t="s">
        <v>9910</v>
      </c>
      <c r="C9882" s="3" t="s">
        <v>2807</v>
      </c>
      <c r="D9882" s="3">
        <v>228.0</v>
      </c>
      <c r="E9882" s="3">
        <v>12.47</v>
      </c>
      <c r="F9882" s="3">
        <v>9.63</v>
      </c>
      <c r="G9882" s="3">
        <v>18.95</v>
      </c>
    </row>
    <row r="9883">
      <c r="A9883" s="3">
        <v>783701.0</v>
      </c>
      <c r="B9883" s="3" t="s">
        <v>9911</v>
      </c>
      <c r="C9883" s="3" t="s">
        <v>2807</v>
      </c>
      <c r="D9883" s="3">
        <v>228.0</v>
      </c>
      <c r="E9883" s="3">
        <v>12.47</v>
      </c>
      <c r="F9883" s="3">
        <v>9.63</v>
      </c>
      <c r="G9883" s="3">
        <v>18.95</v>
      </c>
    </row>
    <row r="9884">
      <c r="A9884" s="3">
        <v>783702.0</v>
      </c>
      <c r="B9884" s="3" t="s">
        <v>9912</v>
      </c>
      <c r="C9884" s="3" t="s">
        <v>2807</v>
      </c>
      <c r="D9884" s="3">
        <v>224.0</v>
      </c>
      <c r="E9884" s="3">
        <v>12.44</v>
      </c>
      <c r="F9884" s="3">
        <v>8.98</v>
      </c>
      <c r="G9884" s="3">
        <v>18.73</v>
      </c>
    </row>
    <row r="9885">
      <c r="A9885" s="3">
        <v>783703.0</v>
      </c>
      <c r="B9885" s="3" t="s">
        <v>9913</v>
      </c>
      <c r="C9885" s="3" t="s">
        <v>2807</v>
      </c>
      <c r="D9885" s="3">
        <v>226.0</v>
      </c>
      <c r="E9885" s="3">
        <v>13.12</v>
      </c>
      <c r="F9885" s="3">
        <v>9.06</v>
      </c>
      <c r="G9885" s="3">
        <v>18.21</v>
      </c>
    </row>
    <row r="9886">
      <c r="A9886" s="3">
        <v>783704.0</v>
      </c>
      <c r="B9886" s="3" t="s">
        <v>9914</v>
      </c>
      <c r="C9886" s="3" t="s">
        <v>2807</v>
      </c>
      <c r="D9886" s="3">
        <v>223.0</v>
      </c>
      <c r="E9886" s="3">
        <v>13.43</v>
      </c>
      <c r="F9886" s="3">
        <v>8.86</v>
      </c>
      <c r="G9886" s="3">
        <v>16.11</v>
      </c>
    </row>
    <row r="9887">
      <c r="A9887" s="3">
        <v>783705.0</v>
      </c>
      <c r="B9887" s="3" t="s">
        <v>9915</v>
      </c>
      <c r="C9887" s="3" t="s">
        <v>2807</v>
      </c>
      <c r="D9887" s="3">
        <v>224.0</v>
      </c>
      <c r="E9887" s="3">
        <v>13.66</v>
      </c>
      <c r="F9887" s="3">
        <v>9.2</v>
      </c>
      <c r="G9887" s="3">
        <v>15.76</v>
      </c>
    </row>
    <row r="9888">
      <c r="A9888" s="3">
        <v>783706.0</v>
      </c>
      <c r="B9888" s="3" t="s">
        <v>9916</v>
      </c>
      <c r="C9888" s="3" t="s">
        <v>2807</v>
      </c>
      <c r="D9888" s="3">
        <v>222.0</v>
      </c>
      <c r="E9888" s="3">
        <v>12.96</v>
      </c>
      <c r="F9888" s="3">
        <v>9.69</v>
      </c>
      <c r="G9888" s="3">
        <v>16.27</v>
      </c>
    </row>
    <row r="9889">
      <c r="A9889" s="3">
        <v>783707.0</v>
      </c>
      <c r="B9889" s="3" t="s">
        <v>9917</v>
      </c>
      <c r="C9889" s="3" t="s">
        <v>2807</v>
      </c>
      <c r="D9889" s="3">
        <v>219.0</v>
      </c>
      <c r="E9889" s="3">
        <v>12.65</v>
      </c>
      <c r="F9889" s="3">
        <v>9.28</v>
      </c>
      <c r="G9889" s="3">
        <v>16.54</v>
      </c>
    </row>
    <row r="9890">
      <c r="A9890" s="3">
        <v>783708.0</v>
      </c>
      <c r="B9890" s="3" t="s">
        <v>9918</v>
      </c>
      <c r="C9890" s="3" t="s">
        <v>2807</v>
      </c>
      <c r="D9890" s="3">
        <v>225.0</v>
      </c>
      <c r="E9890" s="3">
        <v>13.12</v>
      </c>
      <c r="F9890" s="3">
        <v>9.9</v>
      </c>
      <c r="G9890" s="3">
        <v>16.41</v>
      </c>
    </row>
    <row r="9891">
      <c r="A9891" s="3">
        <v>783709.0</v>
      </c>
      <c r="B9891" s="3" t="s">
        <v>9919</v>
      </c>
      <c r="C9891" s="3" t="s">
        <v>2807</v>
      </c>
      <c r="D9891" s="3">
        <v>229.0</v>
      </c>
      <c r="E9891" s="3">
        <v>12.67</v>
      </c>
      <c r="F9891" s="3">
        <v>9.23</v>
      </c>
      <c r="G9891" s="3">
        <v>19.76</v>
      </c>
    </row>
    <row r="9892">
      <c r="A9892" s="3">
        <v>783710.0</v>
      </c>
      <c r="B9892" s="3" t="s">
        <v>9920</v>
      </c>
      <c r="C9892" s="3" t="s">
        <v>2807</v>
      </c>
      <c r="D9892" s="3">
        <v>226.0</v>
      </c>
      <c r="E9892" s="3">
        <v>12.58</v>
      </c>
      <c r="F9892" s="3">
        <v>9.75</v>
      </c>
      <c r="G9892" s="3">
        <v>19.0</v>
      </c>
    </row>
    <row r="9893">
      <c r="A9893" s="3">
        <v>783711.0</v>
      </c>
      <c r="B9893" s="3" t="s">
        <v>9921</v>
      </c>
      <c r="C9893" s="3" t="s">
        <v>2807</v>
      </c>
      <c r="D9893" s="3">
        <v>226.0</v>
      </c>
      <c r="E9893" s="3">
        <v>12.79</v>
      </c>
      <c r="F9893" s="3">
        <v>9.94</v>
      </c>
      <c r="G9893" s="3">
        <v>18.36</v>
      </c>
    </row>
    <row r="9894">
      <c r="A9894" s="3">
        <v>783712.0</v>
      </c>
      <c r="B9894" s="3" t="s">
        <v>9922</v>
      </c>
      <c r="C9894" s="3" t="s">
        <v>2807</v>
      </c>
      <c r="D9894" s="3">
        <v>223.0</v>
      </c>
      <c r="E9894" s="3">
        <v>12.55</v>
      </c>
      <c r="F9894" s="3">
        <v>9.11</v>
      </c>
      <c r="G9894" s="3">
        <v>18.78</v>
      </c>
    </row>
    <row r="9895">
      <c r="A9895" s="3">
        <v>783713.0</v>
      </c>
      <c r="B9895" s="3" t="s">
        <v>9923</v>
      </c>
      <c r="C9895" s="3" t="s">
        <v>2807</v>
      </c>
      <c r="D9895" s="3">
        <v>225.0</v>
      </c>
      <c r="E9895" s="3">
        <v>13.23</v>
      </c>
      <c r="F9895" s="3">
        <v>9.19</v>
      </c>
      <c r="G9895" s="3">
        <v>18.27</v>
      </c>
    </row>
    <row r="9896">
      <c r="A9896" s="3">
        <v>783714.0</v>
      </c>
      <c r="B9896" s="3" t="s">
        <v>9924</v>
      </c>
      <c r="C9896" s="3" t="s">
        <v>2807</v>
      </c>
      <c r="D9896" s="3">
        <v>221.0</v>
      </c>
      <c r="E9896" s="3">
        <v>13.56</v>
      </c>
      <c r="F9896" s="3">
        <v>9.0</v>
      </c>
      <c r="G9896" s="3">
        <v>16.17</v>
      </c>
    </row>
    <row r="9897">
      <c r="A9897" s="3">
        <v>783715.0</v>
      </c>
      <c r="B9897" s="3" t="s">
        <v>9925</v>
      </c>
      <c r="C9897" s="3" t="s">
        <v>2807</v>
      </c>
      <c r="D9897" s="3">
        <v>223.0</v>
      </c>
      <c r="E9897" s="3">
        <v>13.78</v>
      </c>
      <c r="F9897" s="3">
        <v>9.34</v>
      </c>
      <c r="G9897" s="3">
        <v>15.82</v>
      </c>
    </row>
    <row r="9898">
      <c r="A9898" s="3">
        <v>783716.0</v>
      </c>
      <c r="B9898" s="3" t="s">
        <v>9926</v>
      </c>
      <c r="C9898" s="3" t="s">
        <v>2807</v>
      </c>
      <c r="D9898" s="3">
        <v>222.0</v>
      </c>
      <c r="E9898" s="3">
        <v>12.96</v>
      </c>
      <c r="F9898" s="3">
        <v>9.69</v>
      </c>
      <c r="G9898" s="3">
        <v>16.27</v>
      </c>
    </row>
    <row r="9899">
      <c r="A9899" s="3">
        <v>783717.0</v>
      </c>
      <c r="B9899" s="3" t="s">
        <v>9927</v>
      </c>
      <c r="C9899" s="3" t="s">
        <v>2807</v>
      </c>
      <c r="D9899" s="3">
        <v>217.0</v>
      </c>
      <c r="E9899" s="3">
        <v>12.76</v>
      </c>
      <c r="F9899" s="3">
        <v>9.41</v>
      </c>
      <c r="G9899" s="3">
        <v>16.6</v>
      </c>
    </row>
    <row r="9900">
      <c r="A9900" s="3">
        <v>783718.0</v>
      </c>
      <c r="B9900" s="3" t="s">
        <v>9928</v>
      </c>
      <c r="C9900" s="3" t="s">
        <v>2807</v>
      </c>
      <c r="D9900" s="3">
        <v>223.0</v>
      </c>
      <c r="E9900" s="3">
        <v>13.24</v>
      </c>
      <c r="F9900" s="3">
        <v>10.03</v>
      </c>
      <c r="G9900" s="3">
        <v>16.47</v>
      </c>
    </row>
    <row r="9901">
      <c r="A9901" s="3">
        <v>783719.0</v>
      </c>
      <c r="B9901" s="3" t="s">
        <v>9929</v>
      </c>
      <c r="C9901" s="3" t="s">
        <v>2807</v>
      </c>
      <c r="D9901" s="3">
        <v>198.0</v>
      </c>
      <c r="E9901" s="3">
        <v>7.7</v>
      </c>
      <c r="F9901" s="3">
        <v>12.31</v>
      </c>
      <c r="G9901" s="3">
        <v>20.34</v>
      </c>
    </row>
    <row r="9902">
      <c r="A9902" s="3">
        <v>783720.0</v>
      </c>
      <c r="B9902" s="3" t="s">
        <v>9930</v>
      </c>
      <c r="C9902" s="3" t="s">
        <v>2807</v>
      </c>
      <c r="D9902" s="3">
        <v>187.0</v>
      </c>
      <c r="E9902" s="3">
        <v>7.99</v>
      </c>
      <c r="F9902" s="3">
        <v>12.42</v>
      </c>
      <c r="G9902" s="3">
        <v>17.1</v>
      </c>
    </row>
    <row r="9903">
      <c r="A9903" s="3">
        <v>783721.0</v>
      </c>
      <c r="B9903" s="3" t="s">
        <v>9931</v>
      </c>
      <c r="C9903" s="3" t="s">
        <v>2807</v>
      </c>
      <c r="D9903" s="3">
        <v>206.0</v>
      </c>
      <c r="E9903" s="3">
        <v>4.85</v>
      </c>
      <c r="F9903" s="3">
        <v>11.37</v>
      </c>
      <c r="G9903" s="3">
        <v>28.79</v>
      </c>
    </row>
    <row r="9904">
      <c r="A9904" s="3">
        <v>783722.0</v>
      </c>
      <c r="B9904" s="3" t="s">
        <v>9932</v>
      </c>
      <c r="C9904" s="3" t="s">
        <v>196</v>
      </c>
      <c r="D9904" s="3">
        <v>51.0</v>
      </c>
      <c r="E9904" s="3">
        <v>1.2</v>
      </c>
      <c r="F9904" s="3">
        <v>5.1</v>
      </c>
      <c r="G9904" s="3">
        <v>5.5</v>
      </c>
    </row>
    <row r="9905">
      <c r="A9905" s="3">
        <v>783723.0</v>
      </c>
      <c r="B9905" s="3" t="s">
        <v>9933</v>
      </c>
      <c r="C9905" s="3" t="s">
        <v>196</v>
      </c>
      <c r="D9905" s="3">
        <v>60.0</v>
      </c>
      <c r="E9905" s="3">
        <v>2.08</v>
      </c>
      <c r="F9905" s="3">
        <v>2.47</v>
      </c>
      <c r="G9905" s="3">
        <v>7.74</v>
      </c>
    </row>
    <row r="9906">
      <c r="A9906" s="3">
        <v>783727.0</v>
      </c>
      <c r="B9906" s="3" t="s">
        <v>9934</v>
      </c>
      <c r="C9906" s="3" t="s">
        <v>196</v>
      </c>
      <c r="D9906" s="3">
        <v>68.0</v>
      </c>
      <c r="E9906" s="3">
        <v>2.1</v>
      </c>
      <c r="F9906" s="3">
        <v>3.5</v>
      </c>
      <c r="G9906" s="3">
        <v>8.72</v>
      </c>
    </row>
    <row r="9907">
      <c r="A9907" s="3">
        <v>783729.0</v>
      </c>
      <c r="B9907" s="3" t="s">
        <v>9935</v>
      </c>
      <c r="C9907" s="3" t="s">
        <v>196</v>
      </c>
      <c r="D9907" s="3">
        <v>60.0</v>
      </c>
      <c r="E9907" s="3">
        <v>1.62</v>
      </c>
      <c r="F9907" s="3">
        <v>2.53</v>
      </c>
      <c r="G9907" s="3">
        <v>8.94</v>
      </c>
    </row>
    <row r="9908">
      <c r="A9908" s="3">
        <v>783730.0</v>
      </c>
      <c r="B9908" s="3" t="s">
        <v>9936</v>
      </c>
      <c r="C9908" s="3" t="s">
        <v>196</v>
      </c>
      <c r="D9908" s="3">
        <v>66.0</v>
      </c>
      <c r="E9908" s="3">
        <v>2.06</v>
      </c>
      <c r="F9908" s="3">
        <v>2.69</v>
      </c>
      <c r="G9908" s="3">
        <v>9.08</v>
      </c>
    </row>
    <row r="9909">
      <c r="A9909" s="3">
        <v>783731.0</v>
      </c>
      <c r="B9909" s="3" t="s">
        <v>9937</v>
      </c>
      <c r="C9909" s="3" t="s">
        <v>196</v>
      </c>
      <c r="D9909" s="3">
        <v>55.0</v>
      </c>
      <c r="E9909" s="3">
        <v>1.18</v>
      </c>
      <c r="F9909" s="3">
        <v>2.37</v>
      </c>
      <c r="G9909" s="3">
        <v>8.79</v>
      </c>
    </row>
    <row r="9910">
      <c r="A9910" s="3">
        <v>783732.0</v>
      </c>
      <c r="B9910" s="3" t="s">
        <v>9938</v>
      </c>
      <c r="C9910" s="3" t="s">
        <v>196</v>
      </c>
      <c r="D9910" s="3">
        <v>66.0</v>
      </c>
      <c r="E9910" s="3">
        <v>1.7</v>
      </c>
      <c r="F9910" s="3">
        <v>3.8</v>
      </c>
      <c r="G9910" s="3">
        <v>8.89</v>
      </c>
    </row>
    <row r="9911">
      <c r="A9911" s="3">
        <v>783734.0</v>
      </c>
      <c r="B9911" s="3" t="s">
        <v>9939</v>
      </c>
      <c r="C9911" s="3" t="s">
        <v>196</v>
      </c>
      <c r="D9911" s="3">
        <v>54.0</v>
      </c>
      <c r="E9911" s="3">
        <v>1.08</v>
      </c>
      <c r="F9911" s="3">
        <v>2.32</v>
      </c>
      <c r="G9911" s="3">
        <v>8.76</v>
      </c>
    </row>
    <row r="9912">
      <c r="A9912" s="3">
        <v>783739.0</v>
      </c>
      <c r="B9912" s="3" t="s">
        <v>9940</v>
      </c>
      <c r="C9912" s="3" t="s">
        <v>189</v>
      </c>
      <c r="D9912" s="3">
        <v>147.0</v>
      </c>
      <c r="E9912" s="3">
        <v>8.42</v>
      </c>
      <c r="F9912" s="3">
        <v>6.93</v>
      </c>
      <c r="G9912" s="3">
        <v>11.24</v>
      </c>
    </row>
    <row r="9913">
      <c r="A9913" s="3">
        <v>783740.0</v>
      </c>
      <c r="B9913" s="3" t="s">
        <v>9941</v>
      </c>
      <c r="C9913" s="3" t="s">
        <v>189</v>
      </c>
      <c r="D9913" s="3">
        <v>147.0</v>
      </c>
      <c r="E9913" s="3">
        <v>8.42</v>
      </c>
      <c r="F9913" s="3">
        <v>6.93</v>
      </c>
      <c r="G9913" s="3">
        <v>11.24</v>
      </c>
    </row>
    <row r="9914">
      <c r="A9914" s="3">
        <v>783741.0</v>
      </c>
      <c r="B9914" s="3" t="s">
        <v>9942</v>
      </c>
      <c r="C9914" s="3" t="s">
        <v>189</v>
      </c>
      <c r="D9914" s="3">
        <v>125.0</v>
      </c>
      <c r="E9914" s="3">
        <v>6.95</v>
      </c>
      <c r="F9914" s="3">
        <v>10.64</v>
      </c>
      <c r="G9914" s="3">
        <v>4.68</v>
      </c>
    </row>
    <row r="9915">
      <c r="A9915" s="3">
        <v>783742.0</v>
      </c>
      <c r="B9915" s="3" t="s">
        <v>9943</v>
      </c>
      <c r="C9915" s="3" t="s">
        <v>189</v>
      </c>
      <c r="D9915" s="3">
        <v>155.0</v>
      </c>
      <c r="E9915" s="3">
        <v>7.99</v>
      </c>
      <c r="F9915" s="3">
        <v>7.92</v>
      </c>
      <c r="G9915" s="3">
        <v>13.12</v>
      </c>
    </row>
    <row r="9916">
      <c r="A9916" s="3">
        <v>783743.0</v>
      </c>
      <c r="B9916" s="3" t="s">
        <v>9944</v>
      </c>
      <c r="C9916" s="3" t="s">
        <v>189</v>
      </c>
      <c r="D9916" s="3">
        <v>113.0</v>
      </c>
      <c r="E9916" s="3">
        <v>5.68</v>
      </c>
      <c r="F9916" s="3">
        <v>8.29</v>
      </c>
      <c r="G9916" s="3">
        <v>7.03</v>
      </c>
    </row>
    <row r="9917">
      <c r="A9917" s="3">
        <v>783744.0</v>
      </c>
      <c r="B9917" s="3" t="s">
        <v>9945</v>
      </c>
      <c r="C9917" s="3" t="s">
        <v>189</v>
      </c>
      <c r="D9917" s="3">
        <v>85.0</v>
      </c>
      <c r="E9917" s="3">
        <v>2.82</v>
      </c>
      <c r="F9917" s="3">
        <v>8.39</v>
      </c>
      <c r="G9917" s="3">
        <v>6.46</v>
      </c>
    </row>
    <row r="9918">
      <c r="A9918" s="3">
        <v>783745.0</v>
      </c>
      <c r="B9918" s="3" t="s">
        <v>9946</v>
      </c>
      <c r="C9918" s="3" t="s">
        <v>189</v>
      </c>
      <c r="D9918" s="3">
        <v>147.0</v>
      </c>
      <c r="E9918" s="3">
        <v>8.42</v>
      </c>
      <c r="F9918" s="3">
        <v>6.93</v>
      </c>
      <c r="G9918" s="3">
        <v>11.24</v>
      </c>
    </row>
    <row r="9919">
      <c r="A9919" s="3">
        <v>783746.0</v>
      </c>
      <c r="B9919" s="3" t="s">
        <v>9947</v>
      </c>
      <c r="C9919" s="3" t="s">
        <v>189</v>
      </c>
      <c r="D9919" s="3">
        <v>147.0</v>
      </c>
      <c r="E9919" s="3">
        <v>8.42</v>
      </c>
      <c r="F9919" s="3">
        <v>6.93</v>
      </c>
      <c r="G9919" s="3">
        <v>11.24</v>
      </c>
    </row>
    <row r="9920">
      <c r="A9920" s="3">
        <v>783747.0</v>
      </c>
      <c r="B9920" s="3" t="s">
        <v>9948</v>
      </c>
      <c r="C9920" s="3" t="s">
        <v>189</v>
      </c>
      <c r="D9920" s="3">
        <v>140.0</v>
      </c>
      <c r="E9920" s="3">
        <v>6.74</v>
      </c>
      <c r="F9920" s="3">
        <v>7.66</v>
      </c>
      <c r="G9920" s="3">
        <v>12.25</v>
      </c>
    </row>
    <row r="9921">
      <c r="A9921" s="3">
        <v>783748.0</v>
      </c>
      <c r="B9921" s="3" t="s">
        <v>9949</v>
      </c>
      <c r="C9921" s="3" t="s">
        <v>189</v>
      </c>
      <c r="D9921" s="3">
        <v>111.0</v>
      </c>
      <c r="E9921" s="3">
        <v>4.98</v>
      </c>
      <c r="F9921" s="3">
        <v>6.67</v>
      </c>
      <c r="G9921" s="3">
        <v>9.73</v>
      </c>
    </row>
    <row r="9922">
      <c r="A9922" s="3">
        <v>783749.0</v>
      </c>
      <c r="B9922" s="3" t="s">
        <v>9950</v>
      </c>
      <c r="C9922" s="3" t="s">
        <v>189</v>
      </c>
      <c r="D9922" s="3">
        <v>169.0</v>
      </c>
      <c r="E9922" s="3">
        <v>7.54</v>
      </c>
      <c r="F9922" s="3">
        <v>11.27</v>
      </c>
      <c r="G9922" s="3">
        <v>13.72</v>
      </c>
    </row>
    <row r="9923">
      <c r="A9923" s="3">
        <v>783750.0</v>
      </c>
      <c r="B9923" s="3" t="s">
        <v>9951</v>
      </c>
      <c r="C9923" s="3" t="s">
        <v>189</v>
      </c>
      <c r="D9923" s="3">
        <v>146.0</v>
      </c>
      <c r="E9923" s="3">
        <v>8.45</v>
      </c>
      <c r="F9923" s="3">
        <v>6.69</v>
      </c>
      <c r="G9923" s="3">
        <v>11.09</v>
      </c>
    </row>
    <row r="9924">
      <c r="A9924" s="3">
        <v>783751.0</v>
      </c>
      <c r="B9924" s="3" t="s">
        <v>9952</v>
      </c>
      <c r="C9924" s="3" t="s">
        <v>189</v>
      </c>
      <c r="D9924" s="3">
        <v>202.0</v>
      </c>
      <c r="E9924" s="3">
        <v>8.47</v>
      </c>
      <c r="F9924" s="3">
        <v>10.35</v>
      </c>
      <c r="G9924" s="3">
        <v>20.44</v>
      </c>
    </row>
    <row r="9925">
      <c r="A9925" s="3">
        <v>783752.0</v>
      </c>
      <c r="B9925" s="3" t="s">
        <v>9953</v>
      </c>
      <c r="C9925" s="3" t="s">
        <v>189</v>
      </c>
      <c r="D9925" s="3">
        <v>92.0</v>
      </c>
      <c r="E9925" s="3">
        <v>2.78</v>
      </c>
      <c r="F9925" s="3">
        <v>4.73</v>
      </c>
      <c r="G9925" s="3">
        <v>12.64</v>
      </c>
    </row>
    <row r="9926">
      <c r="A9926" s="3">
        <v>783753.0</v>
      </c>
      <c r="B9926" s="3" t="s">
        <v>9954</v>
      </c>
      <c r="C9926" s="3" t="s">
        <v>189</v>
      </c>
      <c r="D9926" s="3">
        <v>125.0</v>
      </c>
      <c r="E9926" s="3">
        <v>7.28</v>
      </c>
      <c r="F9926" s="3">
        <v>8.12</v>
      </c>
      <c r="G9926" s="3">
        <v>6.59</v>
      </c>
    </row>
    <row r="9927">
      <c r="A9927" s="3">
        <v>783754.0</v>
      </c>
      <c r="B9927" s="3" t="s">
        <v>9955</v>
      </c>
      <c r="C9927" s="3" t="s">
        <v>189</v>
      </c>
      <c r="D9927" s="3">
        <v>151.0</v>
      </c>
      <c r="E9927" s="3">
        <v>5.69</v>
      </c>
      <c r="F9927" s="3">
        <v>9.12</v>
      </c>
      <c r="G9927" s="3">
        <v>15.75</v>
      </c>
    </row>
    <row r="9928">
      <c r="A9928" s="3">
        <v>783755.0</v>
      </c>
      <c r="B9928" s="3" t="s">
        <v>9956</v>
      </c>
      <c r="C9928" s="3" t="s">
        <v>189</v>
      </c>
      <c r="D9928" s="3">
        <v>192.0</v>
      </c>
      <c r="E9928" s="3">
        <v>10.22</v>
      </c>
      <c r="F9928" s="3">
        <v>11.21</v>
      </c>
      <c r="G9928" s="3">
        <v>12.87</v>
      </c>
    </row>
    <row r="9929">
      <c r="A9929" s="3">
        <v>783756.0</v>
      </c>
      <c r="B9929" s="3" t="s">
        <v>9957</v>
      </c>
      <c r="C9929" s="3" t="s">
        <v>189</v>
      </c>
      <c r="D9929" s="3">
        <v>112.0</v>
      </c>
      <c r="E9929" s="3">
        <v>3.35</v>
      </c>
      <c r="F9929" s="3">
        <v>9.67</v>
      </c>
      <c r="G9929" s="3">
        <v>10.57</v>
      </c>
    </row>
    <row r="9930">
      <c r="A9930" s="3">
        <v>783757.0</v>
      </c>
      <c r="B9930" s="3" t="s">
        <v>9958</v>
      </c>
      <c r="C9930" s="3" t="s">
        <v>189</v>
      </c>
      <c r="D9930" s="3">
        <v>106.0</v>
      </c>
      <c r="E9930" s="3">
        <v>5.64</v>
      </c>
      <c r="F9930" s="3">
        <v>8.84</v>
      </c>
      <c r="G9930" s="3">
        <v>4.86</v>
      </c>
    </row>
    <row r="9931">
      <c r="A9931" s="3">
        <v>783758.0</v>
      </c>
      <c r="B9931" s="3" t="s">
        <v>9959</v>
      </c>
      <c r="C9931" s="3" t="s">
        <v>189</v>
      </c>
      <c r="D9931" s="3">
        <v>119.0</v>
      </c>
      <c r="E9931" s="3">
        <v>4.35</v>
      </c>
      <c r="F9931" s="3">
        <v>7.01</v>
      </c>
      <c r="G9931" s="3">
        <v>12.49</v>
      </c>
    </row>
    <row r="9932">
      <c r="A9932" s="3">
        <v>783759.0</v>
      </c>
      <c r="B9932" s="3" t="s">
        <v>9960</v>
      </c>
      <c r="C9932" s="3" t="s">
        <v>189</v>
      </c>
      <c r="D9932" s="3">
        <v>129.0</v>
      </c>
      <c r="E9932" s="3">
        <v>6.26</v>
      </c>
      <c r="F9932" s="3">
        <v>6.36</v>
      </c>
      <c r="G9932" s="3">
        <v>11.91</v>
      </c>
    </row>
    <row r="9933">
      <c r="A9933" s="3">
        <v>783760.0</v>
      </c>
      <c r="B9933" s="3" t="s">
        <v>9961</v>
      </c>
      <c r="C9933" s="3" t="s">
        <v>189</v>
      </c>
      <c r="D9933" s="3">
        <v>129.0</v>
      </c>
      <c r="E9933" s="3">
        <v>6.26</v>
      </c>
      <c r="F9933" s="3">
        <v>6.36</v>
      </c>
      <c r="G9933" s="3">
        <v>11.91</v>
      </c>
    </row>
    <row r="9934">
      <c r="A9934" s="3">
        <v>783761.0</v>
      </c>
      <c r="B9934" s="3" t="s">
        <v>9962</v>
      </c>
      <c r="C9934" s="3" t="s">
        <v>189</v>
      </c>
      <c r="D9934" s="3">
        <v>140.0</v>
      </c>
      <c r="E9934" s="3">
        <v>7.01</v>
      </c>
      <c r="F9934" s="3">
        <v>6.14</v>
      </c>
      <c r="G9934" s="3">
        <v>13.46</v>
      </c>
    </row>
    <row r="9935">
      <c r="A9935" s="3">
        <v>783762.0</v>
      </c>
      <c r="B9935" s="3" t="s">
        <v>9963</v>
      </c>
      <c r="C9935" s="3" t="s">
        <v>189</v>
      </c>
      <c r="D9935" s="3">
        <v>129.0</v>
      </c>
      <c r="E9935" s="3">
        <v>4.3</v>
      </c>
      <c r="F9935" s="3">
        <v>8.9</v>
      </c>
      <c r="G9935" s="3">
        <v>13.25</v>
      </c>
    </row>
    <row r="9936">
      <c r="A9936" s="3">
        <v>783763.0</v>
      </c>
      <c r="B9936" s="3" t="s">
        <v>9964</v>
      </c>
      <c r="C9936" s="3" t="s">
        <v>189</v>
      </c>
      <c r="D9936" s="3">
        <v>152.0</v>
      </c>
      <c r="E9936" s="3">
        <v>9.69</v>
      </c>
      <c r="F9936" s="3">
        <v>9.34</v>
      </c>
      <c r="G9936" s="3">
        <v>6.53</v>
      </c>
    </row>
    <row r="9937">
      <c r="A9937" s="3">
        <v>783764.0</v>
      </c>
      <c r="B9937" s="3" t="s">
        <v>9965</v>
      </c>
      <c r="C9937" s="3" t="s">
        <v>189</v>
      </c>
      <c r="D9937" s="3">
        <v>174.0</v>
      </c>
      <c r="E9937" s="3">
        <v>5.7</v>
      </c>
      <c r="F9937" s="3">
        <v>9.27</v>
      </c>
      <c r="G9937" s="3">
        <v>20.9</v>
      </c>
    </row>
    <row r="9938">
      <c r="A9938" s="3">
        <v>783765.0</v>
      </c>
      <c r="B9938" s="3" t="s">
        <v>9966</v>
      </c>
      <c r="C9938" s="3" t="s">
        <v>189</v>
      </c>
      <c r="D9938" s="3">
        <v>136.0</v>
      </c>
      <c r="E9938" s="3">
        <v>4.76</v>
      </c>
      <c r="F9938" s="3">
        <v>5.67</v>
      </c>
      <c r="G9938" s="3">
        <v>17.75</v>
      </c>
    </row>
    <row r="9939">
      <c r="A9939" s="3">
        <v>783766.0</v>
      </c>
      <c r="B9939" s="3" t="s">
        <v>9967</v>
      </c>
      <c r="C9939" s="3" t="s">
        <v>189</v>
      </c>
      <c r="D9939" s="3">
        <v>169.0</v>
      </c>
      <c r="E9939" s="3">
        <v>9.13</v>
      </c>
      <c r="F9939" s="3">
        <v>10.51</v>
      </c>
      <c r="G9939" s="3">
        <v>10.64</v>
      </c>
    </row>
    <row r="9940">
      <c r="A9940" s="3">
        <v>783767.0</v>
      </c>
      <c r="B9940" s="3" t="s">
        <v>9968</v>
      </c>
      <c r="C9940" s="3" t="s">
        <v>189</v>
      </c>
      <c r="D9940" s="3">
        <v>204.0</v>
      </c>
      <c r="E9940" s="3">
        <v>10.42</v>
      </c>
      <c r="F9940" s="3">
        <v>10.71</v>
      </c>
      <c r="G9940" s="3">
        <v>17.58</v>
      </c>
    </row>
    <row r="9941">
      <c r="A9941" s="3">
        <v>783768.0</v>
      </c>
      <c r="B9941" s="3" t="s">
        <v>9969</v>
      </c>
      <c r="C9941" s="3" t="s">
        <v>189</v>
      </c>
      <c r="D9941" s="3">
        <v>122.0</v>
      </c>
      <c r="E9941" s="3">
        <v>5.65</v>
      </c>
      <c r="F9941" s="3">
        <v>9.4</v>
      </c>
      <c r="G9941" s="3">
        <v>8.45</v>
      </c>
    </row>
    <row r="9942">
      <c r="A9942" s="3">
        <v>783769.0</v>
      </c>
      <c r="B9942" s="3" t="s">
        <v>9970</v>
      </c>
      <c r="C9942" s="3" t="s">
        <v>189</v>
      </c>
      <c r="D9942" s="3">
        <v>178.0</v>
      </c>
      <c r="E9942" s="3">
        <v>7.4</v>
      </c>
      <c r="F9942" s="3">
        <v>5.09</v>
      </c>
      <c r="G9942" s="3">
        <v>23.46</v>
      </c>
    </row>
    <row r="9943">
      <c r="A9943" s="3">
        <v>783770.0</v>
      </c>
      <c r="B9943" s="3" t="s">
        <v>9971</v>
      </c>
      <c r="C9943" s="3" t="s">
        <v>189</v>
      </c>
      <c r="D9943" s="3">
        <v>175.0</v>
      </c>
      <c r="E9943" s="3">
        <v>8.82</v>
      </c>
      <c r="F9943" s="3">
        <v>9.98</v>
      </c>
      <c r="G9943" s="3">
        <v>13.46</v>
      </c>
    </row>
    <row r="9944">
      <c r="A9944" s="3">
        <v>783771.0</v>
      </c>
      <c r="B9944" s="3" t="s">
        <v>9972</v>
      </c>
      <c r="C9944" s="3" t="s">
        <v>189</v>
      </c>
      <c r="D9944" s="3">
        <v>211.0</v>
      </c>
      <c r="E9944" s="3">
        <v>10.66</v>
      </c>
      <c r="F9944" s="3">
        <v>11.35</v>
      </c>
      <c r="G9944" s="3">
        <v>18.02</v>
      </c>
    </row>
    <row r="9945">
      <c r="A9945" s="3">
        <v>783772.0</v>
      </c>
      <c r="B9945" s="3" t="s">
        <v>9973</v>
      </c>
      <c r="C9945" s="3" t="s">
        <v>189</v>
      </c>
      <c r="D9945" s="3">
        <v>135.0</v>
      </c>
      <c r="E9945" s="3">
        <v>7.8</v>
      </c>
      <c r="F9945" s="3">
        <v>9.6</v>
      </c>
      <c r="G9945" s="3">
        <v>6.81</v>
      </c>
    </row>
    <row r="9946">
      <c r="A9946" s="3">
        <v>783774.0</v>
      </c>
      <c r="B9946" s="3" t="s">
        <v>9974</v>
      </c>
      <c r="C9946" s="3" t="s">
        <v>189</v>
      </c>
      <c r="D9946" s="3">
        <v>115.0</v>
      </c>
      <c r="E9946" s="3">
        <v>3.3</v>
      </c>
      <c r="F9946" s="3">
        <v>10.41</v>
      </c>
      <c r="G9946" s="3">
        <v>10.43</v>
      </c>
    </row>
    <row r="9947">
      <c r="A9947" s="3">
        <v>783775.0</v>
      </c>
      <c r="B9947" s="3" t="s">
        <v>9975</v>
      </c>
      <c r="C9947" s="3" t="s">
        <v>189</v>
      </c>
      <c r="D9947" s="3">
        <v>160.0</v>
      </c>
      <c r="E9947" s="3">
        <v>8.14</v>
      </c>
      <c r="F9947" s="3">
        <v>6.82</v>
      </c>
      <c r="G9947" s="3">
        <v>14.89</v>
      </c>
    </row>
    <row r="9948">
      <c r="A9948" s="3">
        <v>783776.0</v>
      </c>
      <c r="B9948" s="3" t="s">
        <v>9976</v>
      </c>
      <c r="C9948" s="3" t="s">
        <v>189</v>
      </c>
      <c r="D9948" s="3">
        <v>96.0</v>
      </c>
      <c r="E9948" s="3">
        <v>3.16</v>
      </c>
      <c r="F9948" s="3">
        <v>10.58</v>
      </c>
      <c r="G9948" s="3">
        <v>5.93</v>
      </c>
    </row>
    <row r="9949">
      <c r="A9949" s="3">
        <v>783777.0</v>
      </c>
      <c r="B9949" s="3" t="s">
        <v>9977</v>
      </c>
      <c r="C9949" s="3" t="s">
        <v>189</v>
      </c>
      <c r="D9949" s="3">
        <v>123.0</v>
      </c>
      <c r="E9949" s="3">
        <v>5.21</v>
      </c>
      <c r="F9949" s="3">
        <v>11.29</v>
      </c>
      <c r="G9949" s="3">
        <v>7.38</v>
      </c>
    </row>
    <row r="9950">
      <c r="A9950" s="3">
        <v>783778.0</v>
      </c>
      <c r="B9950" s="3" t="s">
        <v>9978</v>
      </c>
      <c r="C9950" s="3" t="s">
        <v>189</v>
      </c>
      <c r="D9950" s="3">
        <v>189.0</v>
      </c>
      <c r="E9950" s="3">
        <v>5.62</v>
      </c>
      <c r="F9950" s="3">
        <v>12.66</v>
      </c>
      <c r="G9950" s="3">
        <v>23.0</v>
      </c>
    </row>
    <row r="9951">
      <c r="A9951" s="3">
        <v>783779.0</v>
      </c>
      <c r="B9951" s="3" t="s">
        <v>9979</v>
      </c>
      <c r="C9951" s="3" t="s">
        <v>1464</v>
      </c>
      <c r="D9951" s="3">
        <v>91.0</v>
      </c>
      <c r="E9951" s="3">
        <v>1.98</v>
      </c>
      <c r="F9951" s="3">
        <v>6.06</v>
      </c>
      <c r="G9951" s="3">
        <v>11.86</v>
      </c>
    </row>
    <row r="9952">
      <c r="A9952" s="3">
        <v>783780.0</v>
      </c>
      <c r="B9952" s="3" t="s">
        <v>9980</v>
      </c>
      <c r="C9952" s="3" t="s">
        <v>189</v>
      </c>
      <c r="D9952" s="3">
        <v>119.0</v>
      </c>
      <c r="E9952" s="3">
        <v>2.86</v>
      </c>
      <c r="F9952" s="3">
        <v>10.9</v>
      </c>
      <c r="G9952" s="3">
        <v>11.67</v>
      </c>
    </row>
    <row r="9953">
      <c r="A9953" s="3">
        <v>783781.0</v>
      </c>
      <c r="B9953" s="3" t="s">
        <v>9981</v>
      </c>
      <c r="C9953" s="3" t="s">
        <v>189</v>
      </c>
      <c r="D9953" s="3">
        <v>103.0</v>
      </c>
      <c r="E9953" s="3">
        <v>3.2</v>
      </c>
      <c r="F9953" s="3">
        <v>7.5</v>
      </c>
      <c r="G9953" s="3">
        <v>10.92</v>
      </c>
    </row>
    <row r="9954">
      <c r="A9954" s="3">
        <v>783782.0</v>
      </c>
      <c r="B9954" s="3" t="s">
        <v>9982</v>
      </c>
      <c r="C9954" s="3" t="s">
        <v>189</v>
      </c>
      <c r="D9954" s="3">
        <v>102.0</v>
      </c>
      <c r="E9954" s="3">
        <v>2.12</v>
      </c>
      <c r="F9954" s="3">
        <v>7.23</v>
      </c>
      <c r="G9954" s="3">
        <v>13.58</v>
      </c>
    </row>
    <row r="9955">
      <c r="A9955" s="3">
        <v>783783.0</v>
      </c>
      <c r="B9955" s="3" t="s">
        <v>9983</v>
      </c>
      <c r="C9955" s="3" t="s">
        <v>189</v>
      </c>
      <c r="D9955" s="3">
        <v>84.0</v>
      </c>
      <c r="E9955" s="3">
        <v>1.99</v>
      </c>
      <c r="F9955" s="3">
        <v>7.48</v>
      </c>
      <c r="G9955" s="3">
        <v>9.11</v>
      </c>
    </row>
    <row r="9956">
      <c r="A9956" s="3">
        <v>783784.0</v>
      </c>
      <c r="B9956" s="3" t="s">
        <v>9984</v>
      </c>
      <c r="C9956" s="3" t="s">
        <v>189</v>
      </c>
      <c r="D9956" s="3">
        <v>129.0</v>
      </c>
      <c r="E9956" s="3">
        <v>4.3</v>
      </c>
      <c r="F9956" s="3">
        <v>8.9</v>
      </c>
      <c r="G9956" s="3">
        <v>13.25</v>
      </c>
    </row>
    <row r="9957">
      <c r="A9957" s="3">
        <v>783785.0</v>
      </c>
      <c r="B9957" s="3" t="s">
        <v>9985</v>
      </c>
      <c r="C9957" s="3" t="s">
        <v>189</v>
      </c>
      <c r="D9957" s="3">
        <v>119.0</v>
      </c>
      <c r="E9957" s="3">
        <v>2.46</v>
      </c>
      <c r="F9957" s="3">
        <v>18.79</v>
      </c>
      <c r="G9957" s="3">
        <v>4.48</v>
      </c>
    </row>
    <row r="9958">
      <c r="A9958" s="3">
        <v>783786.0</v>
      </c>
      <c r="B9958" s="3" t="s">
        <v>9986</v>
      </c>
      <c r="C9958" s="3" t="s">
        <v>189</v>
      </c>
      <c r="D9958" s="3">
        <v>126.0</v>
      </c>
      <c r="E9958" s="3">
        <v>5.67</v>
      </c>
      <c r="F9958" s="3">
        <v>8.22</v>
      </c>
      <c r="G9958" s="3">
        <v>10.61</v>
      </c>
    </row>
    <row r="9959">
      <c r="A9959" s="3">
        <v>783787.0</v>
      </c>
      <c r="B9959" s="3" t="s">
        <v>9987</v>
      </c>
      <c r="C9959" s="3" t="s">
        <v>1464</v>
      </c>
      <c r="D9959" s="3">
        <v>109.0</v>
      </c>
      <c r="E9959" s="3">
        <v>0.88</v>
      </c>
      <c r="F9959" s="3">
        <v>6.72</v>
      </c>
      <c r="G9959" s="3">
        <v>18.03</v>
      </c>
    </row>
    <row r="9960">
      <c r="A9960" s="3">
        <v>783788.0</v>
      </c>
      <c r="B9960" s="3" t="s">
        <v>9988</v>
      </c>
      <c r="C9960" s="3" t="s">
        <v>1464</v>
      </c>
      <c r="D9960" s="3">
        <v>133.0</v>
      </c>
      <c r="E9960" s="3">
        <v>2.19</v>
      </c>
      <c r="F9960" s="3">
        <v>11.33</v>
      </c>
      <c r="G9960" s="3">
        <v>16.05</v>
      </c>
    </row>
    <row r="9961">
      <c r="A9961" s="3">
        <v>783789.0</v>
      </c>
      <c r="B9961" s="3" t="s">
        <v>9989</v>
      </c>
      <c r="C9961" s="3" t="s">
        <v>189</v>
      </c>
      <c r="D9961" s="3">
        <v>124.0</v>
      </c>
      <c r="E9961" s="3">
        <v>5.17</v>
      </c>
      <c r="F9961" s="3">
        <v>8.6</v>
      </c>
      <c r="G9961" s="3">
        <v>10.59</v>
      </c>
    </row>
    <row r="9962">
      <c r="A9962" s="3">
        <v>783791.0</v>
      </c>
      <c r="B9962" s="3" t="s">
        <v>9990</v>
      </c>
      <c r="C9962" s="3" t="s">
        <v>189</v>
      </c>
      <c r="D9962" s="3">
        <v>109.0</v>
      </c>
      <c r="E9962" s="3">
        <v>1.58</v>
      </c>
      <c r="F9962" s="3">
        <v>6.85</v>
      </c>
      <c r="G9962" s="3">
        <v>17.94</v>
      </c>
    </row>
    <row r="9963">
      <c r="A9963" s="3">
        <v>783792.0</v>
      </c>
      <c r="B9963" s="3" t="s">
        <v>9991</v>
      </c>
      <c r="C9963" s="3" t="s">
        <v>189</v>
      </c>
      <c r="D9963" s="3">
        <v>95.0</v>
      </c>
      <c r="E9963" s="3">
        <v>1.82</v>
      </c>
      <c r="F9963" s="3">
        <v>9.29</v>
      </c>
      <c r="G9963" s="3">
        <v>10.54</v>
      </c>
    </row>
    <row r="9964">
      <c r="A9964" s="3">
        <v>783794.0</v>
      </c>
      <c r="B9964" s="3" t="s">
        <v>9992</v>
      </c>
      <c r="C9964" s="3" t="s">
        <v>189</v>
      </c>
      <c r="D9964" s="3">
        <v>102.0</v>
      </c>
      <c r="E9964" s="3">
        <v>3.09</v>
      </c>
      <c r="F9964" s="3">
        <v>6.45</v>
      </c>
      <c r="G9964" s="3">
        <v>12.07</v>
      </c>
    </row>
    <row r="9965">
      <c r="A9965" s="3">
        <v>783795.0</v>
      </c>
      <c r="B9965" s="3" t="s">
        <v>9993</v>
      </c>
      <c r="C9965" s="3" t="s">
        <v>189</v>
      </c>
      <c r="D9965" s="3">
        <v>139.0</v>
      </c>
      <c r="E9965" s="3">
        <v>6.16</v>
      </c>
      <c r="F9965" s="3">
        <v>7.98</v>
      </c>
      <c r="G9965" s="3">
        <v>12.56</v>
      </c>
    </row>
    <row r="9966">
      <c r="A9966" s="3">
        <v>783796.0</v>
      </c>
      <c r="B9966" s="3" t="s">
        <v>9994</v>
      </c>
      <c r="C9966" s="3" t="s">
        <v>252</v>
      </c>
      <c r="D9966" s="3">
        <v>77.0</v>
      </c>
      <c r="E9966" s="3">
        <v>2.44</v>
      </c>
      <c r="F9966" s="3">
        <v>9.05</v>
      </c>
      <c r="G9966" s="3">
        <v>4.37</v>
      </c>
    </row>
    <row r="9967">
      <c r="A9967" s="3">
        <v>783797.0</v>
      </c>
      <c r="B9967" s="3" t="s">
        <v>9995</v>
      </c>
      <c r="C9967" s="3" t="s">
        <v>252</v>
      </c>
      <c r="D9967" s="3">
        <v>62.0</v>
      </c>
      <c r="E9967" s="3">
        <v>1.64</v>
      </c>
      <c r="F9967" s="3">
        <v>6.52</v>
      </c>
      <c r="G9967" s="3">
        <v>5.41</v>
      </c>
    </row>
    <row r="9968">
      <c r="A9968" s="3">
        <v>783798.0</v>
      </c>
      <c r="B9968" s="3" t="s">
        <v>9996</v>
      </c>
      <c r="C9968" s="3" t="s">
        <v>252</v>
      </c>
      <c r="D9968" s="3">
        <v>102.0</v>
      </c>
      <c r="E9968" s="3">
        <v>3.75</v>
      </c>
      <c r="F9968" s="3">
        <v>5.5</v>
      </c>
      <c r="G9968" s="3">
        <v>11.26</v>
      </c>
    </row>
    <row r="9969">
      <c r="A9969" s="3">
        <v>783799.0</v>
      </c>
      <c r="B9969" s="3" t="s">
        <v>9997</v>
      </c>
      <c r="C9969" s="3" t="s">
        <v>252</v>
      </c>
      <c r="D9969" s="3">
        <v>102.0</v>
      </c>
      <c r="E9969" s="3">
        <v>2.46</v>
      </c>
      <c r="F9969" s="3">
        <v>7.72</v>
      </c>
      <c r="G9969" s="3">
        <v>12.2</v>
      </c>
    </row>
    <row r="9970">
      <c r="A9970" s="3">
        <v>783800.0</v>
      </c>
      <c r="B9970" s="3" t="s">
        <v>9998</v>
      </c>
      <c r="C9970" s="3" t="s">
        <v>252</v>
      </c>
      <c r="D9970" s="3">
        <v>91.0</v>
      </c>
      <c r="E9970" s="3">
        <v>1.71</v>
      </c>
      <c r="F9970" s="3">
        <v>5.27</v>
      </c>
      <c r="G9970" s="3">
        <v>13.42</v>
      </c>
    </row>
    <row r="9971">
      <c r="A9971" s="3">
        <v>783801.0</v>
      </c>
      <c r="B9971" s="3" t="s">
        <v>9999</v>
      </c>
      <c r="C9971" s="3" t="s">
        <v>189</v>
      </c>
      <c r="D9971" s="3">
        <v>131.0</v>
      </c>
      <c r="E9971" s="3">
        <v>7.4</v>
      </c>
      <c r="F9971" s="3">
        <v>6.61</v>
      </c>
      <c r="G9971" s="3">
        <v>9.65</v>
      </c>
    </row>
    <row r="9972">
      <c r="A9972" s="3">
        <v>783802.0</v>
      </c>
      <c r="B9972" s="3" t="s">
        <v>10000</v>
      </c>
      <c r="C9972" s="3" t="s">
        <v>189</v>
      </c>
      <c r="D9972" s="3">
        <v>131.0</v>
      </c>
      <c r="E9972" s="3">
        <v>7.4</v>
      </c>
      <c r="F9972" s="3">
        <v>6.61</v>
      </c>
      <c r="G9972" s="3">
        <v>9.65</v>
      </c>
    </row>
    <row r="9973">
      <c r="A9973" s="3">
        <v>783803.0</v>
      </c>
      <c r="B9973" s="3" t="s">
        <v>10001</v>
      </c>
      <c r="C9973" s="3" t="s">
        <v>101</v>
      </c>
      <c r="D9973" s="3">
        <v>94.0</v>
      </c>
      <c r="E9973" s="3">
        <v>4.38</v>
      </c>
      <c r="F9973" s="3">
        <v>4.88</v>
      </c>
      <c r="G9973" s="3">
        <v>9.27</v>
      </c>
    </row>
    <row r="9974">
      <c r="A9974" s="3">
        <v>783804.0</v>
      </c>
      <c r="B9974" s="3" t="s">
        <v>10002</v>
      </c>
      <c r="C9974" s="3" t="s">
        <v>189</v>
      </c>
      <c r="D9974" s="3">
        <v>78.0</v>
      </c>
      <c r="E9974" s="3">
        <v>3.13</v>
      </c>
      <c r="F9974" s="3">
        <v>5.55</v>
      </c>
      <c r="G9974" s="3">
        <v>6.93</v>
      </c>
    </row>
    <row r="9975">
      <c r="A9975" s="3">
        <v>783806.0</v>
      </c>
      <c r="B9975" s="3" t="s">
        <v>10003</v>
      </c>
      <c r="C9975" s="3" t="s">
        <v>225</v>
      </c>
      <c r="D9975" s="3">
        <v>85.0</v>
      </c>
      <c r="E9975" s="3">
        <v>4.87</v>
      </c>
      <c r="F9975" s="3">
        <v>8.4</v>
      </c>
      <c r="G9975" s="3">
        <v>1.37</v>
      </c>
    </row>
    <row r="9976">
      <c r="A9976" s="3">
        <v>783807.0</v>
      </c>
      <c r="B9976" s="3" t="s">
        <v>10004</v>
      </c>
      <c r="C9976" s="3" t="s">
        <v>225</v>
      </c>
      <c r="D9976" s="3">
        <v>49.0</v>
      </c>
      <c r="E9976" s="3">
        <v>4.18</v>
      </c>
      <c r="F9976" s="3">
        <v>1.2</v>
      </c>
      <c r="G9976" s="3">
        <v>2.09</v>
      </c>
    </row>
    <row r="9977">
      <c r="A9977" s="3">
        <v>783809.0</v>
      </c>
      <c r="B9977" s="3" t="s">
        <v>10005</v>
      </c>
      <c r="C9977" s="3" t="s">
        <v>225</v>
      </c>
      <c r="D9977" s="3">
        <v>108.0</v>
      </c>
      <c r="E9977" s="3">
        <v>4.64</v>
      </c>
      <c r="F9977" s="3">
        <v>6.84</v>
      </c>
      <c r="G9977" s="3">
        <v>9.9</v>
      </c>
    </row>
    <row r="9978">
      <c r="A9978" s="3">
        <v>783810.0</v>
      </c>
      <c r="B9978" s="3" t="s">
        <v>10006</v>
      </c>
      <c r="C9978" s="3" t="s">
        <v>225</v>
      </c>
      <c r="D9978" s="3">
        <v>59.0</v>
      </c>
      <c r="E9978" s="3">
        <v>1.25</v>
      </c>
      <c r="F9978" s="3">
        <v>5.88</v>
      </c>
      <c r="G9978" s="3">
        <v>6.16</v>
      </c>
    </row>
    <row r="9979">
      <c r="A9979" s="3">
        <v>783811.0</v>
      </c>
      <c r="B9979" s="3" t="s">
        <v>10007</v>
      </c>
      <c r="C9979" s="3" t="s">
        <v>225</v>
      </c>
      <c r="D9979" s="3">
        <v>88.0</v>
      </c>
      <c r="E9979" s="3">
        <v>2.24</v>
      </c>
      <c r="F9979" s="3">
        <v>6.14</v>
      </c>
      <c r="G9979" s="3">
        <v>10.39</v>
      </c>
    </row>
    <row r="9980">
      <c r="A9980" s="3">
        <v>783812.0</v>
      </c>
      <c r="B9980" s="3" t="s">
        <v>10008</v>
      </c>
      <c r="C9980" s="3" t="s">
        <v>225</v>
      </c>
      <c r="D9980" s="3">
        <v>59.0</v>
      </c>
      <c r="E9980" s="3">
        <v>1.21</v>
      </c>
      <c r="F9980" s="3">
        <v>5.83</v>
      </c>
      <c r="G9980" s="3">
        <v>6.23</v>
      </c>
    </row>
    <row r="9981">
      <c r="A9981" s="3">
        <v>783813.0</v>
      </c>
      <c r="B9981" s="3" t="s">
        <v>10009</v>
      </c>
      <c r="C9981" s="3" t="s">
        <v>225</v>
      </c>
      <c r="D9981" s="3">
        <v>47.0</v>
      </c>
      <c r="E9981" s="3">
        <v>2.39</v>
      </c>
      <c r="F9981" s="3">
        <v>3.47</v>
      </c>
      <c r="G9981" s="3">
        <v>3.13</v>
      </c>
    </row>
    <row r="9982">
      <c r="A9982" s="3">
        <v>783814.0</v>
      </c>
      <c r="B9982" s="3" t="s">
        <v>10010</v>
      </c>
      <c r="C9982" s="3" t="s">
        <v>225</v>
      </c>
      <c r="D9982" s="3">
        <v>49.0</v>
      </c>
      <c r="E9982" s="3">
        <v>1.6</v>
      </c>
      <c r="F9982" s="3">
        <v>5.24</v>
      </c>
      <c r="G9982" s="3">
        <v>3.3</v>
      </c>
    </row>
    <row r="9983">
      <c r="A9983" s="3">
        <v>783815.0</v>
      </c>
      <c r="B9983" s="3" t="s">
        <v>10011</v>
      </c>
      <c r="C9983" s="3" t="s">
        <v>225</v>
      </c>
      <c r="D9983" s="3">
        <v>40.0</v>
      </c>
      <c r="E9983" s="3">
        <v>1.39</v>
      </c>
      <c r="F9983" s="3">
        <v>3.36</v>
      </c>
      <c r="G9983" s="3">
        <v>4.19</v>
      </c>
    </row>
    <row r="9984">
      <c r="A9984" s="3">
        <v>783817.0</v>
      </c>
      <c r="B9984" s="3" t="s">
        <v>10012</v>
      </c>
      <c r="C9984" s="3" t="s">
        <v>225</v>
      </c>
      <c r="D9984" s="3">
        <v>70.0</v>
      </c>
      <c r="E9984" s="3">
        <v>2.21</v>
      </c>
      <c r="F9984" s="3">
        <v>7.92</v>
      </c>
      <c r="G9984" s="3">
        <v>4.89</v>
      </c>
    </row>
    <row r="9985">
      <c r="A9985" s="3">
        <v>783818.0</v>
      </c>
      <c r="B9985" s="3" t="s">
        <v>10013</v>
      </c>
      <c r="C9985" s="3" t="s">
        <v>225</v>
      </c>
      <c r="D9985" s="3">
        <v>90.0</v>
      </c>
      <c r="E9985" s="3">
        <v>4.12</v>
      </c>
      <c r="F9985" s="3">
        <v>7.49</v>
      </c>
      <c r="G9985" s="3">
        <v>5.11</v>
      </c>
    </row>
    <row r="9986">
      <c r="A9986" s="3">
        <v>783819.0</v>
      </c>
      <c r="B9986" s="3" t="s">
        <v>10014</v>
      </c>
      <c r="C9986" s="3" t="s">
        <v>225</v>
      </c>
      <c r="D9986" s="3">
        <v>69.0</v>
      </c>
      <c r="E9986" s="3">
        <v>2.64</v>
      </c>
      <c r="F9986" s="3">
        <v>4.93</v>
      </c>
      <c r="G9986" s="3">
        <v>6.4</v>
      </c>
    </row>
    <row r="9987">
      <c r="A9987" s="3">
        <v>783821.0</v>
      </c>
      <c r="B9987" s="3" t="s">
        <v>10015</v>
      </c>
      <c r="C9987" s="3" t="s">
        <v>225</v>
      </c>
      <c r="D9987" s="3">
        <v>56.0</v>
      </c>
      <c r="E9987" s="3">
        <v>1.03</v>
      </c>
      <c r="F9987" s="3">
        <v>3.57</v>
      </c>
      <c r="G9987" s="3">
        <v>7.95</v>
      </c>
    </row>
    <row r="9988">
      <c r="A9988" s="3">
        <v>783822.0</v>
      </c>
      <c r="B9988" s="3" t="s">
        <v>10016</v>
      </c>
      <c r="C9988" s="3" t="s">
        <v>225</v>
      </c>
      <c r="D9988" s="3">
        <v>60.0</v>
      </c>
      <c r="E9988" s="3">
        <v>1.33</v>
      </c>
      <c r="F9988" s="3">
        <v>5.86</v>
      </c>
      <c r="G9988" s="3">
        <v>6.32</v>
      </c>
    </row>
    <row r="9989">
      <c r="A9989" s="3">
        <v>783823.0</v>
      </c>
      <c r="B9989" s="3" t="s">
        <v>10017</v>
      </c>
      <c r="C9989" s="3" t="s">
        <v>225</v>
      </c>
      <c r="D9989" s="3">
        <v>55.0</v>
      </c>
      <c r="E9989" s="3">
        <v>2.09</v>
      </c>
      <c r="F9989" s="3">
        <v>5.22</v>
      </c>
      <c r="G9989" s="3">
        <v>3.88</v>
      </c>
    </row>
    <row r="9990">
      <c r="A9990" s="3">
        <v>783824.0</v>
      </c>
      <c r="B9990" s="3" t="s">
        <v>10018</v>
      </c>
      <c r="C9990" s="3" t="s">
        <v>225</v>
      </c>
      <c r="D9990" s="3">
        <v>54.0</v>
      </c>
      <c r="E9990" s="3">
        <v>2.46</v>
      </c>
      <c r="F9990" s="3">
        <v>6.04</v>
      </c>
      <c r="G9990" s="3">
        <v>1.94</v>
      </c>
    </row>
    <row r="9991">
      <c r="A9991" s="3">
        <v>783825.0</v>
      </c>
      <c r="B9991" s="3" t="s">
        <v>10019</v>
      </c>
      <c r="C9991" s="3" t="s">
        <v>225</v>
      </c>
      <c r="D9991" s="3">
        <v>46.0</v>
      </c>
      <c r="E9991" s="3">
        <v>2.93</v>
      </c>
      <c r="F9991" s="3">
        <v>1.21</v>
      </c>
      <c r="G9991" s="3">
        <v>3.63</v>
      </c>
    </row>
    <row r="9992">
      <c r="A9992" s="3">
        <v>783826.0</v>
      </c>
      <c r="B9992" s="3" t="s">
        <v>10020</v>
      </c>
      <c r="C9992" s="3" t="s">
        <v>225</v>
      </c>
      <c r="D9992" s="3">
        <v>90.0</v>
      </c>
      <c r="E9992" s="3">
        <v>5.2</v>
      </c>
      <c r="F9992" s="3">
        <v>4.8</v>
      </c>
      <c r="G9992" s="3">
        <v>6.04</v>
      </c>
    </row>
    <row r="9993">
      <c r="A9993" s="3">
        <v>783829.0</v>
      </c>
      <c r="B9993" s="3" t="s">
        <v>10021</v>
      </c>
      <c r="C9993" s="3" t="s">
        <v>225</v>
      </c>
      <c r="D9993" s="3">
        <v>48.0</v>
      </c>
      <c r="E9993" s="3">
        <v>4.17</v>
      </c>
      <c r="F9993" s="3">
        <v>0.85</v>
      </c>
      <c r="G9993" s="3">
        <v>2.37</v>
      </c>
    </row>
    <row r="9994">
      <c r="A9994" s="3">
        <v>783830.0</v>
      </c>
      <c r="B9994" s="3" t="s">
        <v>10022</v>
      </c>
      <c r="C9994" s="3" t="s">
        <v>225</v>
      </c>
      <c r="D9994" s="3">
        <v>49.0</v>
      </c>
      <c r="E9994" s="3">
        <v>1.29</v>
      </c>
      <c r="F9994" s="3">
        <v>2.35</v>
      </c>
      <c r="G9994" s="3">
        <v>7.74</v>
      </c>
    </row>
    <row r="9995">
      <c r="A9995" s="3">
        <v>783833.0</v>
      </c>
      <c r="B9995" s="3" t="s">
        <v>10023</v>
      </c>
      <c r="C9995" s="3" t="s">
        <v>225</v>
      </c>
      <c r="D9995" s="3">
        <v>77.0</v>
      </c>
      <c r="E9995" s="3">
        <v>1.58</v>
      </c>
      <c r="F9995" s="3">
        <v>7.24</v>
      </c>
      <c r="G9995" s="3">
        <v>8.61</v>
      </c>
    </row>
    <row r="9996">
      <c r="A9996" s="3">
        <v>783834.0</v>
      </c>
      <c r="B9996" s="3" t="s">
        <v>10024</v>
      </c>
      <c r="C9996" s="3" t="s">
        <v>225</v>
      </c>
      <c r="D9996" s="3">
        <v>74.0</v>
      </c>
      <c r="E9996" s="3">
        <v>1.45</v>
      </c>
      <c r="F9996" s="3">
        <v>6.76</v>
      </c>
      <c r="G9996" s="3">
        <v>8.66</v>
      </c>
    </row>
    <row r="9997">
      <c r="A9997" s="3">
        <v>783837.0</v>
      </c>
      <c r="B9997" s="3" t="s">
        <v>10025</v>
      </c>
      <c r="C9997" s="3" t="s">
        <v>225</v>
      </c>
      <c r="D9997" s="3">
        <v>67.0</v>
      </c>
      <c r="E9997" s="3">
        <v>2.96</v>
      </c>
      <c r="F9997" s="3">
        <v>5.66</v>
      </c>
      <c r="G9997" s="3">
        <v>4.65</v>
      </c>
    </row>
    <row r="9998">
      <c r="A9998" s="3">
        <v>783838.0</v>
      </c>
      <c r="B9998" s="3" t="s">
        <v>10026</v>
      </c>
      <c r="C9998" s="3" t="s">
        <v>225</v>
      </c>
      <c r="D9998" s="3">
        <v>49.0</v>
      </c>
      <c r="E9998" s="3">
        <v>2.21</v>
      </c>
      <c r="F9998" s="3">
        <v>5.43</v>
      </c>
      <c r="G9998" s="3">
        <v>2.17</v>
      </c>
    </row>
    <row r="9999">
      <c r="A9999" s="3">
        <v>783839.0</v>
      </c>
      <c r="B9999" s="3" t="s">
        <v>10027</v>
      </c>
      <c r="C9999" s="3" t="s">
        <v>225</v>
      </c>
      <c r="D9999" s="3">
        <v>62.0</v>
      </c>
      <c r="E9999" s="3">
        <v>1.8</v>
      </c>
      <c r="F9999" s="3">
        <v>4.67</v>
      </c>
      <c r="G9999" s="3">
        <v>7.34</v>
      </c>
    </row>
    <row r="10000">
      <c r="A10000" s="3">
        <v>783844.0</v>
      </c>
      <c r="B10000" s="3" t="s">
        <v>10028</v>
      </c>
      <c r="C10000" s="3" t="s">
        <v>225</v>
      </c>
      <c r="D10000" s="3">
        <v>48.0</v>
      </c>
      <c r="E10000" s="3">
        <v>1.7</v>
      </c>
      <c r="F10000" s="3">
        <v>4.54</v>
      </c>
      <c r="G10000" s="3">
        <v>4.17</v>
      </c>
    </row>
    <row r="10001">
      <c r="A10001" s="3">
        <v>783845.0</v>
      </c>
      <c r="B10001" s="3" t="s">
        <v>10029</v>
      </c>
      <c r="C10001" s="3" t="s">
        <v>225</v>
      </c>
      <c r="D10001" s="3">
        <v>77.0</v>
      </c>
      <c r="E10001" s="3">
        <v>2.19</v>
      </c>
      <c r="F10001" s="3">
        <v>6.87</v>
      </c>
      <c r="G10001" s="3">
        <v>7.94</v>
      </c>
    </row>
    <row r="10002">
      <c r="A10002" s="3">
        <v>783846.0</v>
      </c>
      <c r="B10002" s="3" t="s">
        <v>10030</v>
      </c>
      <c r="C10002" s="3" t="s">
        <v>225</v>
      </c>
      <c r="D10002" s="3">
        <v>75.0</v>
      </c>
      <c r="E10002" s="3">
        <v>2.45</v>
      </c>
      <c r="F10002" s="3">
        <v>7.89</v>
      </c>
      <c r="G10002" s="3">
        <v>5.11</v>
      </c>
    </row>
    <row r="10003">
      <c r="A10003" s="3">
        <v>783848.0</v>
      </c>
      <c r="B10003" s="3" t="s">
        <v>10031</v>
      </c>
      <c r="C10003" s="3" t="s">
        <v>225</v>
      </c>
      <c r="D10003" s="3">
        <v>46.0</v>
      </c>
      <c r="E10003" s="3">
        <v>1.27</v>
      </c>
      <c r="F10003" s="3">
        <v>5.39</v>
      </c>
      <c r="G10003" s="3">
        <v>3.03</v>
      </c>
    </row>
    <row r="10004">
      <c r="A10004" s="3">
        <v>783850.0</v>
      </c>
      <c r="B10004" s="3" t="s">
        <v>10032</v>
      </c>
      <c r="C10004" s="3" t="s">
        <v>225</v>
      </c>
      <c r="D10004" s="3">
        <v>39.0</v>
      </c>
      <c r="E10004" s="3">
        <v>1.22</v>
      </c>
      <c r="F10004" s="3">
        <v>5.07</v>
      </c>
      <c r="G10004" s="3">
        <v>2.08</v>
      </c>
    </row>
    <row r="10005">
      <c r="A10005" s="3">
        <v>783851.0</v>
      </c>
      <c r="B10005" s="3" t="s">
        <v>10033</v>
      </c>
      <c r="C10005" s="3" t="s">
        <v>225</v>
      </c>
      <c r="D10005" s="3">
        <v>29.0</v>
      </c>
      <c r="E10005" s="3">
        <v>0.66</v>
      </c>
      <c r="F10005" s="3">
        <v>0.91</v>
      </c>
      <c r="G10005" s="3">
        <v>4.82</v>
      </c>
    </row>
    <row r="10006">
      <c r="A10006" s="3">
        <v>783852.0</v>
      </c>
      <c r="B10006" s="3" t="s">
        <v>10034</v>
      </c>
      <c r="C10006" s="3" t="s">
        <v>225</v>
      </c>
      <c r="D10006" s="3">
        <v>54.0</v>
      </c>
      <c r="E10006" s="3">
        <v>1.67</v>
      </c>
      <c r="F10006" s="3">
        <v>2.53</v>
      </c>
      <c r="G10006" s="3">
        <v>7.18</v>
      </c>
    </row>
    <row r="10007">
      <c r="A10007" s="3">
        <v>783853.0</v>
      </c>
      <c r="B10007" s="3" t="s">
        <v>10035</v>
      </c>
      <c r="C10007" s="3" t="s">
        <v>225</v>
      </c>
      <c r="D10007" s="3">
        <v>29.0</v>
      </c>
      <c r="E10007" s="3">
        <v>0.66</v>
      </c>
      <c r="F10007" s="3">
        <v>0.91</v>
      </c>
      <c r="G10007" s="3">
        <v>4.82</v>
      </c>
    </row>
    <row r="10008">
      <c r="A10008" s="3">
        <v>783854.0</v>
      </c>
      <c r="B10008" s="3" t="s">
        <v>10036</v>
      </c>
      <c r="C10008" s="3" t="s">
        <v>225</v>
      </c>
      <c r="D10008" s="3">
        <v>46.0</v>
      </c>
      <c r="E10008" s="3">
        <v>2.93</v>
      </c>
      <c r="F10008" s="3">
        <v>1.21</v>
      </c>
      <c r="G10008" s="3">
        <v>3.63</v>
      </c>
    </row>
    <row r="10009">
      <c r="A10009" s="3">
        <v>783855.0</v>
      </c>
      <c r="B10009" s="3" t="s">
        <v>10037</v>
      </c>
      <c r="C10009" s="3" t="s">
        <v>225</v>
      </c>
      <c r="D10009" s="3">
        <v>70.0</v>
      </c>
      <c r="E10009" s="3">
        <v>3.91</v>
      </c>
      <c r="F10009" s="3">
        <v>2.82</v>
      </c>
      <c r="G10009" s="3">
        <v>6.0</v>
      </c>
    </row>
    <row r="10010">
      <c r="A10010" s="3">
        <v>783856.0</v>
      </c>
      <c r="B10010" s="3" t="s">
        <v>10038</v>
      </c>
      <c r="C10010" s="3" t="s">
        <v>225</v>
      </c>
      <c r="D10010" s="3">
        <v>46.0</v>
      </c>
      <c r="E10010" s="3">
        <v>2.93</v>
      </c>
      <c r="F10010" s="3">
        <v>1.21</v>
      </c>
      <c r="G10010" s="3">
        <v>3.63</v>
      </c>
    </row>
    <row r="10011">
      <c r="A10011" s="3">
        <v>783857.0</v>
      </c>
      <c r="B10011" s="3" t="s">
        <v>10039</v>
      </c>
      <c r="C10011" s="3" t="s">
        <v>225</v>
      </c>
      <c r="D10011" s="3">
        <v>75.0</v>
      </c>
      <c r="E10011" s="3">
        <v>3.44</v>
      </c>
      <c r="F10011" s="3">
        <v>2.44</v>
      </c>
      <c r="G10011" s="3">
        <v>8.4</v>
      </c>
    </row>
    <row r="10012">
      <c r="A10012" s="3">
        <v>783858.0</v>
      </c>
      <c r="B10012" s="3" t="s">
        <v>10040</v>
      </c>
      <c r="C10012" s="3" t="s">
        <v>225</v>
      </c>
      <c r="D10012" s="3">
        <v>75.0</v>
      </c>
      <c r="E10012" s="3">
        <v>3.2</v>
      </c>
      <c r="F10012" s="3">
        <v>9.91</v>
      </c>
      <c r="G10012" s="3">
        <v>1.11</v>
      </c>
    </row>
    <row r="10013">
      <c r="A10013" s="3">
        <v>783860.0</v>
      </c>
      <c r="B10013" s="3" t="s">
        <v>10041</v>
      </c>
      <c r="C10013" s="3" t="s">
        <v>225</v>
      </c>
      <c r="D10013" s="3">
        <v>113.0</v>
      </c>
      <c r="E10013" s="3">
        <v>6.23</v>
      </c>
      <c r="F10013" s="3">
        <v>8.07</v>
      </c>
      <c r="G10013" s="3">
        <v>6.09</v>
      </c>
    </row>
    <row r="10014">
      <c r="A10014" s="3">
        <v>783861.0</v>
      </c>
      <c r="B10014" s="3" t="s">
        <v>10042</v>
      </c>
      <c r="C10014" s="3" t="s">
        <v>225</v>
      </c>
      <c r="D10014" s="3">
        <v>51.0</v>
      </c>
      <c r="E10014" s="3">
        <v>2.58</v>
      </c>
      <c r="F10014" s="3">
        <v>5.02</v>
      </c>
      <c r="G10014" s="3">
        <v>1.7</v>
      </c>
    </row>
    <row r="10015">
      <c r="A10015" s="3">
        <v>783862.0</v>
      </c>
      <c r="B10015" s="3" t="s">
        <v>10043</v>
      </c>
      <c r="C10015" s="3" t="s">
        <v>225</v>
      </c>
      <c r="D10015" s="3">
        <v>39.0</v>
      </c>
      <c r="E10015" s="3">
        <v>0.34</v>
      </c>
      <c r="F10015" s="3">
        <v>4.28</v>
      </c>
      <c r="G10015" s="3">
        <v>5.13</v>
      </c>
    </row>
    <row r="10016">
      <c r="A10016" s="3">
        <v>783863.0</v>
      </c>
      <c r="B10016" s="3" t="s">
        <v>10044</v>
      </c>
      <c r="C10016" s="3" t="s">
        <v>225</v>
      </c>
      <c r="D10016" s="3">
        <v>61.0</v>
      </c>
      <c r="E10016" s="3">
        <v>2.05</v>
      </c>
      <c r="F10016" s="3">
        <v>3.22</v>
      </c>
      <c r="G10016" s="3">
        <v>7.55</v>
      </c>
    </row>
    <row r="10017">
      <c r="A10017" s="3">
        <v>783865.0</v>
      </c>
      <c r="B10017" s="3" t="s">
        <v>10045</v>
      </c>
      <c r="C10017" s="3" t="s">
        <v>225</v>
      </c>
      <c r="D10017" s="3">
        <v>42.0</v>
      </c>
      <c r="E10017" s="3">
        <v>0.94</v>
      </c>
      <c r="F10017" s="3">
        <v>4.77</v>
      </c>
      <c r="G10017" s="3">
        <v>3.74</v>
      </c>
    </row>
    <row r="10018">
      <c r="A10018" s="3">
        <v>783866.0</v>
      </c>
      <c r="B10018" s="3" t="s">
        <v>10046</v>
      </c>
      <c r="C10018" s="3" t="s">
        <v>225</v>
      </c>
      <c r="D10018" s="3">
        <v>39.0</v>
      </c>
      <c r="E10018" s="3">
        <v>1.26</v>
      </c>
      <c r="F10018" s="3">
        <v>5.15</v>
      </c>
      <c r="G10018" s="3">
        <v>1.47</v>
      </c>
    </row>
    <row r="10019">
      <c r="A10019" s="3">
        <v>783867.0</v>
      </c>
      <c r="B10019" s="3" t="s">
        <v>10047</v>
      </c>
      <c r="C10019" s="3" t="s">
        <v>225</v>
      </c>
      <c r="D10019" s="3">
        <v>46.0</v>
      </c>
      <c r="E10019" s="3">
        <v>1.31</v>
      </c>
      <c r="F10019" s="3">
        <v>5.47</v>
      </c>
      <c r="G10019" s="3">
        <v>2.64</v>
      </c>
    </row>
    <row r="10020">
      <c r="A10020" s="3">
        <v>783868.0</v>
      </c>
      <c r="B10020" s="3" t="s">
        <v>10048</v>
      </c>
      <c r="C10020" s="3" t="s">
        <v>225</v>
      </c>
      <c r="D10020" s="3">
        <v>68.0</v>
      </c>
      <c r="E10020" s="3">
        <v>1.65</v>
      </c>
      <c r="F10020" s="3">
        <v>5.29</v>
      </c>
      <c r="G10020" s="3">
        <v>7.59</v>
      </c>
    </row>
    <row r="10021">
      <c r="A10021" s="3">
        <v>783869.0</v>
      </c>
      <c r="B10021" s="3" t="s">
        <v>10049</v>
      </c>
      <c r="C10021" s="3" t="s">
        <v>225</v>
      </c>
      <c r="D10021" s="3">
        <v>72.0</v>
      </c>
      <c r="E10021" s="3">
        <v>2.07</v>
      </c>
      <c r="F10021" s="3">
        <v>5.71</v>
      </c>
      <c r="G10021" s="3">
        <v>7.5</v>
      </c>
    </row>
    <row r="10022">
      <c r="A10022" s="3">
        <v>783871.0</v>
      </c>
      <c r="B10022" s="3" t="s">
        <v>10050</v>
      </c>
      <c r="C10022" s="3" t="s">
        <v>225</v>
      </c>
      <c r="D10022" s="3">
        <v>61.0</v>
      </c>
      <c r="E10022" s="3">
        <v>2.05</v>
      </c>
      <c r="F10022" s="3">
        <v>3.22</v>
      </c>
      <c r="G10022" s="3">
        <v>7.55</v>
      </c>
    </row>
    <row r="10023">
      <c r="A10023" s="3">
        <v>783874.0</v>
      </c>
      <c r="B10023" s="3" t="s">
        <v>10051</v>
      </c>
      <c r="C10023" s="3" t="s">
        <v>225</v>
      </c>
      <c r="D10023" s="3">
        <v>51.0</v>
      </c>
      <c r="E10023" s="3">
        <v>2.58</v>
      </c>
      <c r="F10023" s="3">
        <v>5.02</v>
      </c>
      <c r="G10023" s="3">
        <v>1.7</v>
      </c>
    </row>
    <row r="10024">
      <c r="A10024" s="3">
        <v>783875.0</v>
      </c>
      <c r="B10024" s="3" t="s">
        <v>10052</v>
      </c>
      <c r="C10024" s="3" t="s">
        <v>225</v>
      </c>
      <c r="D10024" s="3">
        <v>52.0</v>
      </c>
      <c r="E10024" s="3">
        <v>2.6</v>
      </c>
      <c r="F10024" s="3">
        <v>5.22</v>
      </c>
      <c r="G10024" s="3">
        <v>1.7</v>
      </c>
    </row>
    <row r="10025">
      <c r="A10025" s="3">
        <v>783876.0</v>
      </c>
      <c r="B10025" s="3" t="s">
        <v>10053</v>
      </c>
      <c r="C10025" s="3" t="s">
        <v>252</v>
      </c>
      <c r="D10025" s="3">
        <v>59.0</v>
      </c>
      <c r="E10025" s="3">
        <v>1.77</v>
      </c>
      <c r="F10025" s="3">
        <v>6.2</v>
      </c>
      <c r="G10025" s="3">
        <v>4.64</v>
      </c>
    </row>
    <row r="10026">
      <c r="A10026" s="3">
        <v>783877.0</v>
      </c>
      <c r="B10026" s="3" t="s">
        <v>10054</v>
      </c>
      <c r="C10026" s="3" t="s">
        <v>225</v>
      </c>
      <c r="D10026" s="3">
        <v>80.0</v>
      </c>
      <c r="E10026" s="3">
        <v>5.15</v>
      </c>
      <c r="F10026" s="3">
        <v>4.2</v>
      </c>
      <c r="G10026" s="3">
        <v>4.22</v>
      </c>
    </row>
    <row r="10027">
      <c r="A10027" s="3">
        <v>783878.0</v>
      </c>
      <c r="B10027" s="3" t="s">
        <v>10055</v>
      </c>
      <c r="C10027" s="3" t="s">
        <v>225</v>
      </c>
      <c r="D10027" s="3">
        <v>59.0</v>
      </c>
      <c r="E10027" s="3">
        <v>3.33</v>
      </c>
      <c r="F10027" s="3">
        <v>5.34</v>
      </c>
      <c r="G10027" s="3">
        <v>1.7</v>
      </c>
    </row>
    <row r="10028">
      <c r="A10028" s="3">
        <v>783882.0</v>
      </c>
      <c r="B10028" s="3" t="s">
        <v>10056</v>
      </c>
      <c r="C10028" s="3" t="s">
        <v>252</v>
      </c>
      <c r="D10028" s="3">
        <v>61.0</v>
      </c>
      <c r="E10028" s="3">
        <v>1.89</v>
      </c>
      <c r="F10028" s="3">
        <v>6.52</v>
      </c>
      <c r="G10028" s="3">
        <v>4.64</v>
      </c>
    </row>
    <row r="10029">
      <c r="A10029" s="3">
        <v>783883.0</v>
      </c>
      <c r="B10029" s="3" t="s">
        <v>10057</v>
      </c>
      <c r="C10029" s="3" t="s">
        <v>225</v>
      </c>
      <c r="D10029" s="3">
        <v>45.0</v>
      </c>
      <c r="E10029" s="3">
        <v>1.21</v>
      </c>
      <c r="F10029" s="3">
        <v>4.43</v>
      </c>
      <c r="G10029" s="3">
        <v>4.11</v>
      </c>
    </row>
    <row r="10030">
      <c r="A10030" s="3">
        <v>783884.0</v>
      </c>
      <c r="B10030" s="3" t="s">
        <v>10058</v>
      </c>
      <c r="C10030" s="3" t="s">
        <v>225</v>
      </c>
      <c r="D10030" s="3">
        <v>45.0</v>
      </c>
      <c r="E10030" s="3">
        <v>1.23</v>
      </c>
      <c r="F10030" s="3">
        <v>4.51</v>
      </c>
      <c r="G10030" s="3">
        <v>3.93</v>
      </c>
    </row>
    <row r="10031">
      <c r="A10031" s="3">
        <v>783885.0</v>
      </c>
      <c r="B10031" s="3" t="s">
        <v>10059</v>
      </c>
      <c r="C10031" s="3" t="s">
        <v>225</v>
      </c>
      <c r="D10031" s="3">
        <v>42.0</v>
      </c>
      <c r="E10031" s="3">
        <v>1.28</v>
      </c>
      <c r="F10031" s="3">
        <v>4.56</v>
      </c>
      <c r="G10031" s="3">
        <v>3.06</v>
      </c>
    </row>
    <row r="10032">
      <c r="A10032" s="3">
        <v>783886.0</v>
      </c>
      <c r="B10032" s="3" t="s">
        <v>10060</v>
      </c>
      <c r="C10032" s="3" t="s">
        <v>225</v>
      </c>
      <c r="D10032" s="3">
        <v>42.0</v>
      </c>
      <c r="E10032" s="3">
        <v>1.3</v>
      </c>
      <c r="F10032" s="3">
        <v>4.65</v>
      </c>
      <c r="G10032" s="3">
        <v>2.84</v>
      </c>
    </row>
    <row r="10033">
      <c r="A10033" s="3">
        <v>783888.0</v>
      </c>
      <c r="B10033" s="3" t="s">
        <v>10061</v>
      </c>
      <c r="C10033" s="3" t="s">
        <v>225</v>
      </c>
      <c r="D10033" s="3">
        <v>104.0</v>
      </c>
      <c r="E10033" s="3">
        <v>5.81</v>
      </c>
      <c r="F10033" s="3">
        <v>7.76</v>
      </c>
      <c r="G10033" s="3">
        <v>5.24</v>
      </c>
    </row>
    <row r="10034">
      <c r="A10034" s="3">
        <v>783890.0</v>
      </c>
      <c r="B10034" s="3" t="s">
        <v>10062</v>
      </c>
      <c r="C10034" s="3" t="s">
        <v>225</v>
      </c>
      <c r="D10034" s="3">
        <v>37.0</v>
      </c>
      <c r="E10034" s="3">
        <v>1.75</v>
      </c>
      <c r="F10034" s="3">
        <v>1.7</v>
      </c>
      <c r="G10034" s="3">
        <v>3.87</v>
      </c>
    </row>
    <row r="10035">
      <c r="A10035" s="3">
        <v>783891.0</v>
      </c>
      <c r="B10035" s="3" t="s">
        <v>10063</v>
      </c>
      <c r="C10035" s="3" t="s">
        <v>225</v>
      </c>
      <c r="D10035" s="3">
        <v>50.0</v>
      </c>
      <c r="E10035" s="3">
        <v>1.88</v>
      </c>
      <c r="F10035" s="3">
        <v>1.75</v>
      </c>
      <c r="G10035" s="3">
        <v>6.97</v>
      </c>
    </row>
    <row r="10036">
      <c r="A10036" s="3">
        <v>783894.0</v>
      </c>
      <c r="B10036" s="3" t="s">
        <v>10064</v>
      </c>
      <c r="C10036" s="3" t="s">
        <v>225</v>
      </c>
      <c r="D10036" s="3">
        <v>61.0</v>
      </c>
      <c r="E10036" s="3">
        <v>2.68</v>
      </c>
      <c r="F10036" s="3">
        <v>4.17</v>
      </c>
      <c r="G10036" s="3">
        <v>4.68</v>
      </c>
    </row>
    <row r="10037">
      <c r="A10037" s="3">
        <v>783896.0</v>
      </c>
      <c r="B10037" s="3" t="s">
        <v>10065</v>
      </c>
      <c r="C10037" s="3" t="s">
        <v>225</v>
      </c>
      <c r="D10037" s="3">
        <v>106.0</v>
      </c>
      <c r="E10037" s="3">
        <v>9.82</v>
      </c>
      <c r="F10037" s="3">
        <v>1.67</v>
      </c>
      <c r="G10037" s="3">
        <v>2.46</v>
      </c>
    </row>
    <row r="10038">
      <c r="A10038" s="3">
        <v>783897.0</v>
      </c>
      <c r="B10038" s="3" t="s">
        <v>10066</v>
      </c>
      <c r="C10038" s="3" t="s">
        <v>225</v>
      </c>
      <c r="D10038" s="3">
        <v>105.0</v>
      </c>
      <c r="E10038" s="3">
        <v>9.81</v>
      </c>
      <c r="F10038" s="3">
        <v>1.18</v>
      </c>
      <c r="G10038" s="3">
        <v>2.84</v>
      </c>
    </row>
    <row r="10039">
      <c r="A10039" s="3">
        <v>783898.0</v>
      </c>
      <c r="B10039" s="3" t="s">
        <v>10067</v>
      </c>
      <c r="C10039" s="3" t="s">
        <v>225</v>
      </c>
      <c r="D10039" s="3">
        <v>27.0</v>
      </c>
      <c r="E10039" s="3">
        <v>0.33</v>
      </c>
      <c r="F10039" s="3">
        <v>0.82</v>
      </c>
      <c r="G10039" s="3">
        <v>5.33</v>
      </c>
    </row>
    <row r="10040">
      <c r="A10040" s="3">
        <v>783899.0</v>
      </c>
      <c r="B10040" s="3" t="s">
        <v>10068</v>
      </c>
      <c r="C10040" s="3" t="s">
        <v>225</v>
      </c>
      <c r="D10040" s="3">
        <v>44.0</v>
      </c>
      <c r="E10040" s="3">
        <v>4.53</v>
      </c>
      <c r="F10040" s="3">
        <v>0.54</v>
      </c>
      <c r="G10040" s="3">
        <v>0.01</v>
      </c>
    </row>
    <row r="10041">
      <c r="A10041" s="3">
        <v>783900.0</v>
      </c>
      <c r="B10041" s="3" t="s">
        <v>10069</v>
      </c>
      <c r="C10041" s="3" t="s">
        <v>225</v>
      </c>
      <c r="D10041" s="3">
        <v>41.0</v>
      </c>
      <c r="E10041" s="3">
        <v>1.17</v>
      </c>
      <c r="F10041" s="3">
        <v>1.0</v>
      </c>
      <c r="G10041" s="3">
        <v>6.62</v>
      </c>
    </row>
    <row r="10042">
      <c r="A10042" s="3">
        <v>783901.0</v>
      </c>
      <c r="B10042" s="3" t="s">
        <v>10070</v>
      </c>
      <c r="C10042" s="3" t="s">
        <v>225</v>
      </c>
      <c r="D10042" s="3">
        <v>45.0</v>
      </c>
      <c r="E10042" s="3">
        <v>1.61</v>
      </c>
      <c r="F10042" s="3">
        <v>1.28</v>
      </c>
      <c r="G10042" s="3">
        <v>6.31</v>
      </c>
    </row>
    <row r="10043">
      <c r="A10043" s="3">
        <v>783902.0</v>
      </c>
      <c r="B10043" s="3" t="s">
        <v>10071</v>
      </c>
      <c r="C10043" s="3" t="s">
        <v>225</v>
      </c>
      <c r="D10043" s="3">
        <v>212.0</v>
      </c>
      <c r="E10043" s="3">
        <v>21.51</v>
      </c>
      <c r="F10043" s="3">
        <v>0.89</v>
      </c>
      <c r="G10043" s="3">
        <v>5.25</v>
      </c>
    </row>
    <row r="10044">
      <c r="A10044" s="3">
        <v>783903.0</v>
      </c>
      <c r="B10044" s="3" t="s">
        <v>10072</v>
      </c>
      <c r="C10044" s="3" t="s">
        <v>225</v>
      </c>
      <c r="D10044" s="3">
        <v>245.0</v>
      </c>
      <c r="E10044" s="3">
        <v>27.32</v>
      </c>
      <c r="F10044" s="3">
        <v>0.0</v>
      </c>
      <c r="G10044" s="3">
        <v>0.0</v>
      </c>
    </row>
    <row r="10045">
      <c r="A10045" s="3">
        <v>783904.0</v>
      </c>
      <c r="B10045" s="3" t="s">
        <v>10073</v>
      </c>
      <c r="C10045" s="3" t="s">
        <v>225</v>
      </c>
      <c r="D10045" s="3">
        <v>82.0</v>
      </c>
      <c r="E10045" s="3">
        <v>8.4</v>
      </c>
      <c r="F10045" s="3">
        <v>0.27</v>
      </c>
      <c r="G10045" s="3">
        <v>1.47</v>
      </c>
    </row>
    <row r="10046">
      <c r="A10046" s="3">
        <v>783905.0</v>
      </c>
      <c r="B10046" s="3" t="s">
        <v>10074</v>
      </c>
      <c r="C10046" s="3" t="s">
        <v>225</v>
      </c>
      <c r="D10046" s="3">
        <v>45.0</v>
      </c>
      <c r="E10046" s="3">
        <v>0.28</v>
      </c>
      <c r="F10046" s="3">
        <v>0.82</v>
      </c>
      <c r="G10046" s="3">
        <v>9.84</v>
      </c>
    </row>
    <row r="10047">
      <c r="A10047" s="3">
        <v>783907.0</v>
      </c>
      <c r="B10047" s="3" t="s">
        <v>10075</v>
      </c>
      <c r="C10047" s="3" t="s">
        <v>225</v>
      </c>
      <c r="D10047" s="3">
        <v>142.0</v>
      </c>
      <c r="E10047" s="3">
        <v>10.3</v>
      </c>
      <c r="F10047" s="3">
        <v>2.89</v>
      </c>
      <c r="G10047" s="3">
        <v>11.54</v>
      </c>
    </row>
    <row r="10048">
      <c r="A10048" s="3">
        <v>783908.0</v>
      </c>
      <c r="B10048" s="3" t="s">
        <v>10076</v>
      </c>
      <c r="C10048" s="3" t="s">
        <v>225</v>
      </c>
      <c r="D10048" s="3">
        <v>83.0</v>
      </c>
      <c r="E10048" s="3">
        <v>5.74</v>
      </c>
      <c r="F10048" s="3">
        <v>4.27</v>
      </c>
      <c r="G10048" s="3">
        <v>5.48</v>
      </c>
    </row>
    <row r="10049">
      <c r="A10049" s="3">
        <v>783910.0</v>
      </c>
      <c r="B10049" s="3" t="s">
        <v>10077</v>
      </c>
      <c r="C10049" s="3" t="s">
        <v>7823</v>
      </c>
      <c r="D10049" s="3">
        <v>179.0</v>
      </c>
      <c r="E10049" s="3">
        <v>13.54</v>
      </c>
      <c r="F10049" s="3">
        <v>12.3</v>
      </c>
      <c r="G10049" s="3">
        <v>1.1</v>
      </c>
    </row>
    <row r="10050">
      <c r="A10050" s="3">
        <v>783911.0</v>
      </c>
      <c r="B10050" s="3" t="s">
        <v>10078</v>
      </c>
      <c r="C10050" s="3" t="s">
        <v>7823</v>
      </c>
      <c r="D10050" s="3">
        <v>142.0</v>
      </c>
      <c r="E10050" s="3">
        <v>9.44</v>
      </c>
      <c r="F10050" s="3">
        <v>12.47</v>
      </c>
      <c r="G10050" s="3">
        <v>0.72</v>
      </c>
    </row>
    <row r="10051">
      <c r="A10051" s="3">
        <v>783912.0</v>
      </c>
      <c r="B10051" s="3" t="s">
        <v>10079</v>
      </c>
      <c r="C10051" s="3" t="s">
        <v>7823</v>
      </c>
      <c r="D10051" s="3">
        <v>207.0</v>
      </c>
      <c r="E10051" s="3">
        <v>16.4</v>
      </c>
      <c r="F10051" s="3">
        <v>13.27</v>
      </c>
      <c r="G10051" s="3">
        <v>0.77</v>
      </c>
    </row>
    <row r="10052">
      <c r="A10052" s="3">
        <v>783913.0</v>
      </c>
      <c r="B10052" s="3" t="s">
        <v>10080</v>
      </c>
      <c r="C10052" s="3" t="s">
        <v>7823</v>
      </c>
      <c r="D10052" s="3">
        <v>161.0</v>
      </c>
      <c r="E10052" s="3">
        <v>10.73</v>
      </c>
      <c r="F10052" s="3">
        <v>14.17</v>
      </c>
      <c r="G10052" s="3">
        <v>0.81</v>
      </c>
    </row>
    <row r="10053">
      <c r="A10053" s="3">
        <v>783914.0</v>
      </c>
      <c r="B10053" s="3" t="s">
        <v>10081</v>
      </c>
      <c r="C10053" s="3" t="s">
        <v>7823</v>
      </c>
      <c r="D10053" s="3">
        <v>204.0</v>
      </c>
      <c r="E10053" s="3">
        <v>16.05</v>
      </c>
      <c r="F10053" s="3">
        <v>13.25</v>
      </c>
      <c r="G10053" s="3">
        <v>0.81</v>
      </c>
    </row>
    <row r="10054">
      <c r="A10054" s="3">
        <v>783915.0</v>
      </c>
      <c r="B10054" s="3" t="s">
        <v>10082</v>
      </c>
      <c r="C10054" s="3" t="s">
        <v>7823</v>
      </c>
      <c r="D10054" s="3">
        <v>215.0</v>
      </c>
      <c r="E10054" s="3">
        <v>17.24</v>
      </c>
      <c r="F10054" s="3">
        <v>13.27</v>
      </c>
      <c r="G10054" s="3">
        <v>0.76</v>
      </c>
    </row>
    <row r="10055">
      <c r="A10055" s="3">
        <v>783916.0</v>
      </c>
      <c r="B10055" s="3" t="s">
        <v>10083</v>
      </c>
      <c r="C10055" s="3" t="s">
        <v>7823</v>
      </c>
      <c r="D10055" s="3">
        <v>204.0</v>
      </c>
      <c r="E10055" s="3">
        <v>16.08</v>
      </c>
      <c r="F10055" s="3">
        <v>13.3</v>
      </c>
      <c r="G10055" s="3">
        <v>0.76</v>
      </c>
    </row>
    <row r="10056">
      <c r="A10056" s="3">
        <v>783917.0</v>
      </c>
      <c r="B10056" s="3" t="s">
        <v>10084</v>
      </c>
      <c r="C10056" s="3" t="s">
        <v>7823</v>
      </c>
      <c r="D10056" s="3">
        <v>209.0</v>
      </c>
      <c r="E10056" s="3">
        <v>16.35</v>
      </c>
      <c r="F10056" s="3">
        <v>13.47</v>
      </c>
      <c r="G10056" s="3">
        <v>0.76</v>
      </c>
    </row>
    <row r="10057">
      <c r="A10057" s="3">
        <v>783918.0</v>
      </c>
      <c r="B10057" s="3" t="s">
        <v>10085</v>
      </c>
      <c r="C10057" s="3" t="s">
        <v>7823</v>
      </c>
      <c r="D10057" s="3">
        <v>166.0</v>
      </c>
      <c r="E10057" s="3">
        <v>11.19</v>
      </c>
      <c r="F10057" s="3">
        <v>14.08</v>
      </c>
      <c r="G10057" s="3">
        <v>0.95</v>
      </c>
    </row>
    <row r="10058">
      <c r="A10058" s="3">
        <v>783919.0</v>
      </c>
      <c r="B10058" s="3" t="s">
        <v>10086</v>
      </c>
      <c r="C10058" s="3" t="s">
        <v>7823</v>
      </c>
      <c r="D10058" s="3">
        <v>207.0</v>
      </c>
      <c r="E10058" s="3">
        <v>16.4</v>
      </c>
      <c r="F10058" s="3">
        <v>13.27</v>
      </c>
      <c r="G10058" s="3">
        <v>0.77</v>
      </c>
    </row>
    <row r="10059">
      <c r="A10059" s="3">
        <v>783921.0</v>
      </c>
      <c r="B10059" s="3" t="s">
        <v>10087</v>
      </c>
      <c r="C10059" s="3" t="s">
        <v>7823</v>
      </c>
      <c r="D10059" s="3">
        <v>168.0</v>
      </c>
      <c r="E10059" s="3">
        <v>12.74</v>
      </c>
      <c r="F10059" s="3">
        <v>10.9</v>
      </c>
      <c r="G10059" s="3">
        <v>1.81</v>
      </c>
    </row>
    <row r="10060">
      <c r="A10060" s="3">
        <v>783922.0</v>
      </c>
      <c r="B10060" s="3" t="s">
        <v>10088</v>
      </c>
      <c r="C10060" s="3" t="s">
        <v>7823</v>
      </c>
      <c r="D10060" s="3">
        <v>134.0</v>
      </c>
      <c r="E10060" s="3">
        <v>8.58</v>
      </c>
      <c r="F10060" s="3">
        <v>11.48</v>
      </c>
      <c r="G10060" s="3">
        <v>1.86</v>
      </c>
    </row>
    <row r="10061">
      <c r="A10061" s="3">
        <v>783923.0</v>
      </c>
      <c r="B10061" s="3" t="s">
        <v>10089</v>
      </c>
      <c r="C10061" s="3" t="s">
        <v>7823</v>
      </c>
      <c r="D10061" s="3">
        <v>168.0</v>
      </c>
      <c r="E10061" s="3">
        <v>12.74</v>
      </c>
      <c r="F10061" s="3">
        <v>10.9</v>
      </c>
      <c r="G10061" s="3">
        <v>1.81</v>
      </c>
    </row>
    <row r="10062">
      <c r="A10062" s="3">
        <v>783924.0</v>
      </c>
      <c r="B10062" s="3" t="s">
        <v>10090</v>
      </c>
      <c r="C10062" s="3" t="s">
        <v>7823</v>
      </c>
      <c r="D10062" s="3">
        <v>154.0</v>
      </c>
      <c r="E10062" s="3">
        <v>10.53</v>
      </c>
      <c r="F10062" s="3">
        <v>12.49</v>
      </c>
      <c r="G10062" s="3">
        <v>1.11</v>
      </c>
    </row>
    <row r="10063">
      <c r="A10063" s="3">
        <v>783926.0</v>
      </c>
      <c r="B10063" s="3" t="s">
        <v>10091</v>
      </c>
      <c r="C10063" s="3" t="s">
        <v>7823</v>
      </c>
      <c r="D10063" s="3">
        <v>111.0</v>
      </c>
      <c r="E10063" s="3">
        <v>6.55</v>
      </c>
      <c r="F10063" s="3">
        <v>11.52</v>
      </c>
      <c r="G10063" s="3">
        <v>0.78</v>
      </c>
    </row>
    <row r="10064">
      <c r="A10064" s="3">
        <v>783927.0</v>
      </c>
      <c r="B10064" s="3" t="s">
        <v>10092</v>
      </c>
      <c r="C10064" s="3" t="s">
        <v>7823</v>
      </c>
      <c r="D10064" s="3">
        <v>59.0</v>
      </c>
      <c r="E10064" s="3">
        <v>0.19</v>
      </c>
      <c r="F10064" s="3">
        <v>12.29</v>
      </c>
      <c r="G10064" s="3">
        <v>0.82</v>
      </c>
    </row>
    <row r="10065">
      <c r="A10065" s="3">
        <v>783928.0</v>
      </c>
      <c r="B10065" s="3" t="s">
        <v>10093</v>
      </c>
      <c r="C10065" s="3" t="s">
        <v>7823</v>
      </c>
      <c r="D10065" s="3">
        <v>111.0</v>
      </c>
      <c r="E10065" s="3">
        <v>6.55</v>
      </c>
      <c r="F10065" s="3">
        <v>11.52</v>
      </c>
      <c r="G10065" s="3">
        <v>0.78</v>
      </c>
    </row>
    <row r="10066">
      <c r="A10066" s="3">
        <v>783930.0</v>
      </c>
      <c r="B10066" s="3" t="s">
        <v>10094</v>
      </c>
      <c r="C10066" s="3" t="s">
        <v>7823</v>
      </c>
      <c r="D10066" s="3">
        <v>404.0</v>
      </c>
      <c r="E10066" s="3">
        <v>35.24</v>
      </c>
      <c r="F10066" s="3">
        <v>16.76</v>
      </c>
      <c r="G10066" s="3">
        <v>3.79</v>
      </c>
    </row>
    <row r="10067">
      <c r="A10067" s="3">
        <v>783931.0</v>
      </c>
      <c r="B10067" s="3" t="s">
        <v>10095</v>
      </c>
      <c r="C10067" s="3" t="s">
        <v>7823</v>
      </c>
      <c r="D10067" s="3">
        <v>363.0</v>
      </c>
      <c r="E10067" s="3">
        <v>29.94</v>
      </c>
      <c r="F10067" s="3">
        <v>17.89</v>
      </c>
      <c r="G10067" s="3">
        <v>4.05</v>
      </c>
    </row>
    <row r="10068">
      <c r="A10068" s="3">
        <v>783932.0</v>
      </c>
      <c r="B10068" s="3" t="s">
        <v>10096</v>
      </c>
      <c r="C10068" s="3" t="s">
        <v>7823</v>
      </c>
      <c r="D10068" s="3">
        <v>404.0</v>
      </c>
      <c r="E10068" s="3">
        <v>35.24</v>
      </c>
      <c r="F10068" s="3">
        <v>16.76</v>
      </c>
      <c r="G10068" s="3">
        <v>3.79</v>
      </c>
    </row>
    <row r="10069">
      <c r="A10069" s="3">
        <v>783933.0</v>
      </c>
      <c r="B10069" s="3" t="s">
        <v>10097</v>
      </c>
      <c r="C10069" s="3" t="s">
        <v>7823</v>
      </c>
      <c r="D10069" s="3">
        <v>209.0</v>
      </c>
      <c r="E10069" s="3">
        <v>15.53</v>
      </c>
      <c r="F10069" s="3">
        <v>14.45</v>
      </c>
      <c r="G10069" s="3">
        <v>1.64</v>
      </c>
    </row>
    <row r="10070">
      <c r="A10070" s="3">
        <v>783934.0</v>
      </c>
      <c r="B10070" s="3" t="s">
        <v>10098</v>
      </c>
      <c r="C10070" s="3" t="s">
        <v>7823</v>
      </c>
      <c r="D10070" s="3">
        <v>209.0</v>
      </c>
      <c r="E10070" s="3">
        <v>14.97</v>
      </c>
      <c r="F10070" s="3">
        <v>15.64</v>
      </c>
      <c r="G10070" s="3">
        <v>1.52</v>
      </c>
    </row>
    <row r="10071">
      <c r="A10071" s="3">
        <v>783935.0</v>
      </c>
      <c r="B10071" s="3" t="s">
        <v>10099</v>
      </c>
      <c r="C10071" s="3" t="s">
        <v>7823</v>
      </c>
      <c r="D10071" s="3">
        <v>178.0</v>
      </c>
      <c r="E10071" s="3">
        <v>12.51</v>
      </c>
      <c r="F10071" s="3">
        <v>14.72</v>
      </c>
      <c r="G10071" s="3">
        <v>0.46</v>
      </c>
    </row>
    <row r="10072">
      <c r="A10072" s="3">
        <v>783936.0</v>
      </c>
      <c r="B10072" s="3" t="s">
        <v>10100</v>
      </c>
      <c r="C10072" s="3" t="s">
        <v>7823</v>
      </c>
      <c r="D10072" s="3">
        <v>150.0</v>
      </c>
      <c r="E10072" s="3">
        <v>10.59</v>
      </c>
      <c r="F10072" s="3">
        <v>7.7</v>
      </c>
      <c r="G10072" s="3">
        <v>5.57</v>
      </c>
    </row>
    <row r="10073">
      <c r="A10073" s="3">
        <v>783937.0</v>
      </c>
      <c r="B10073" s="3" t="s">
        <v>10101</v>
      </c>
      <c r="C10073" s="3" t="s">
        <v>7823</v>
      </c>
      <c r="D10073" s="3">
        <v>287.0</v>
      </c>
      <c r="E10073" s="3">
        <v>22.55</v>
      </c>
      <c r="F10073" s="3">
        <v>12.65</v>
      </c>
      <c r="G10073" s="3">
        <v>8.25</v>
      </c>
    </row>
    <row r="10074">
      <c r="A10074" s="3">
        <v>783938.0</v>
      </c>
      <c r="B10074" s="3" t="s">
        <v>10102</v>
      </c>
      <c r="C10074" s="3" t="s">
        <v>101</v>
      </c>
      <c r="D10074" s="3">
        <v>78.0</v>
      </c>
      <c r="E10074" s="3">
        <v>4.3</v>
      </c>
      <c r="F10074" s="3">
        <v>3.33</v>
      </c>
      <c r="G10074" s="3">
        <v>7.09</v>
      </c>
    </row>
    <row r="10075">
      <c r="A10075" s="3">
        <v>783939.0</v>
      </c>
      <c r="B10075" s="3" t="s">
        <v>10103</v>
      </c>
      <c r="C10075" s="3" t="s">
        <v>7823</v>
      </c>
      <c r="D10075" s="3">
        <v>198.0</v>
      </c>
      <c r="E10075" s="3">
        <v>15.9</v>
      </c>
      <c r="F10075" s="3">
        <v>11.52</v>
      </c>
      <c r="G10075" s="3">
        <v>1.07</v>
      </c>
    </row>
    <row r="10076">
      <c r="A10076" s="3">
        <v>783940.0</v>
      </c>
      <c r="B10076" s="3" t="s">
        <v>10104</v>
      </c>
      <c r="C10076" s="3" t="s">
        <v>7823</v>
      </c>
      <c r="D10076" s="3">
        <v>257.0</v>
      </c>
      <c r="E10076" s="3">
        <v>23.14</v>
      </c>
      <c r="F10076" s="3">
        <v>10.26</v>
      </c>
      <c r="G10076" s="3">
        <v>1.01</v>
      </c>
    </row>
    <row r="10077">
      <c r="A10077" s="3">
        <v>783941.0</v>
      </c>
      <c r="B10077" s="3" t="s">
        <v>10105</v>
      </c>
      <c r="C10077" s="3" t="s">
        <v>7823</v>
      </c>
      <c r="D10077" s="3">
        <v>172.0</v>
      </c>
      <c r="E10077" s="3">
        <v>13.0</v>
      </c>
      <c r="F10077" s="3">
        <v>9.97</v>
      </c>
      <c r="G10077" s="3">
        <v>2.82</v>
      </c>
    </row>
    <row r="10078">
      <c r="A10078" s="3">
        <v>783942.0</v>
      </c>
      <c r="B10078" s="3" t="s">
        <v>10106</v>
      </c>
      <c r="C10078" s="3" t="s">
        <v>7823</v>
      </c>
      <c r="D10078" s="3">
        <v>174.0</v>
      </c>
      <c r="E10078" s="3">
        <v>12.83</v>
      </c>
      <c r="F10078" s="3">
        <v>10.07</v>
      </c>
      <c r="G10078" s="3">
        <v>3.93</v>
      </c>
    </row>
    <row r="10079">
      <c r="A10079" s="3">
        <v>783943.0</v>
      </c>
      <c r="B10079" s="3" t="s">
        <v>10107</v>
      </c>
      <c r="C10079" s="3" t="s">
        <v>7823</v>
      </c>
      <c r="D10079" s="3">
        <v>172.0</v>
      </c>
      <c r="E10079" s="3">
        <v>13.0</v>
      </c>
      <c r="F10079" s="3">
        <v>9.97</v>
      </c>
      <c r="G10079" s="3">
        <v>2.82</v>
      </c>
    </row>
    <row r="10080">
      <c r="A10080" s="3">
        <v>783944.0</v>
      </c>
      <c r="B10080" s="3" t="s">
        <v>10108</v>
      </c>
      <c r="C10080" s="3" t="s">
        <v>7823</v>
      </c>
      <c r="D10080" s="3">
        <v>212.0</v>
      </c>
      <c r="E10080" s="3">
        <v>17.68</v>
      </c>
      <c r="F10080" s="3">
        <v>10.17</v>
      </c>
      <c r="G10080" s="3">
        <v>2.12</v>
      </c>
    </row>
    <row r="10081">
      <c r="A10081" s="3">
        <v>783945.0</v>
      </c>
      <c r="B10081" s="3" t="s">
        <v>10109</v>
      </c>
      <c r="C10081" s="3" t="s">
        <v>7823</v>
      </c>
      <c r="D10081" s="3">
        <v>155.0</v>
      </c>
      <c r="E10081" s="3">
        <v>11.29</v>
      </c>
      <c r="F10081" s="3">
        <v>10.17</v>
      </c>
      <c r="G10081" s="3">
        <v>2.37</v>
      </c>
    </row>
    <row r="10082">
      <c r="A10082" s="3">
        <v>783946.0</v>
      </c>
      <c r="B10082" s="3" t="s">
        <v>10110</v>
      </c>
      <c r="C10082" s="3" t="s">
        <v>7823</v>
      </c>
      <c r="D10082" s="3">
        <v>172.0</v>
      </c>
      <c r="E10082" s="3">
        <v>12.74</v>
      </c>
      <c r="F10082" s="3">
        <v>10.02</v>
      </c>
      <c r="G10082" s="3">
        <v>3.38</v>
      </c>
    </row>
    <row r="10083">
      <c r="A10083" s="3">
        <v>783947.0</v>
      </c>
      <c r="B10083" s="3" t="s">
        <v>10111</v>
      </c>
      <c r="C10083" s="3" t="s">
        <v>7823</v>
      </c>
      <c r="D10083" s="3">
        <v>163.0</v>
      </c>
      <c r="E10083" s="3">
        <v>12.38</v>
      </c>
      <c r="F10083" s="3">
        <v>10.16</v>
      </c>
      <c r="G10083" s="3">
        <v>2.19</v>
      </c>
    </row>
    <row r="10084">
      <c r="A10084" s="3">
        <v>783948.0</v>
      </c>
      <c r="B10084" s="3" t="s">
        <v>10112</v>
      </c>
      <c r="C10084" s="3" t="s">
        <v>7823</v>
      </c>
      <c r="D10084" s="3">
        <v>139.0</v>
      </c>
      <c r="E10084" s="3">
        <v>8.82</v>
      </c>
      <c r="F10084" s="3">
        <v>9.8</v>
      </c>
      <c r="G10084" s="3">
        <v>4.29</v>
      </c>
    </row>
    <row r="10085">
      <c r="A10085" s="3">
        <v>783949.0</v>
      </c>
      <c r="B10085" s="3" t="s">
        <v>10113</v>
      </c>
      <c r="C10085" s="3" t="s">
        <v>7823</v>
      </c>
      <c r="D10085" s="3">
        <v>118.0</v>
      </c>
      <c r="E10085" s="3">
        <v>6.48</v>
      </c>
      <c r="F10085" s="3">
        <v>6.87</v>
      </c>
      <c r="G10085" s="3">
        <v>8.72</v>
      </c>
    </row>
    <row r="10086">
      <c r="A10086" s="3">
        <v>783950.0</v>
      </c>
      <c r="B10086" s="3" t="s">
        <v>10114</v>
      </c>
      <c r="C10086" s="3" t="s">
        <v>7823</v>
      </c>
      <c r="D10086" s="3">
        <v>192.0</v>
      </c>
      <c r="E10086" s="3">
        <v>13.8</v>
      </c>
      <c r="F10086" s="3">
        <v>12.03</v>
      </c>
      <c r="G10086" s="3">
        <v>4.68</v>
      </c>
    </row>
    <row r="10087">
      <c r="A10087" s="3">
        <v>783951.0</v>
      </c>
      <c r="B10087" s="3" t="s">
        <v>10115</v>
      </c>
      <c r="C10087" s="3" t="s">
        <v>1464</v>
      </c>
      <c r="D10087" s="3">
        <v>123.0</v>
      </c>
      <c r="E10087" s="3">
        <v>5.95</v>
      </c>
      <c r="F10087" s="3">
        <v>11.68</v>
      </c>
      <c r="G10087" s="3">
        <v>4.94</v>
      </c>
    </row>
    <row r="10088">
      <c r="A10088" s="3">
        <v>783952.0</v>
      </c>
      <c r="B10088" s="3" t="s">
        <v>10116</v>
      </c>
      <c r="C10088" s="3" t="s">
        <v>1464</v>
      </c>
      <c r="D10088" s="3">
        <v>135.0</v>
      </c>
      <c r="E10088" s="3">
        <v>7.17</v>
      </c>
      <c r="F10088" s="3">
        <v>12.78</v>
      </c>
      <c r="G10088" s="3">
        <v>4.52</v>
      </c>
    </row>
    <row r="10089">
      <c r="A10089" s="3">
        <v>783953.0</v>
      </c>
      <c r="B10089" s="3" t="s">
        <v>10117</v>
      </c>
      <c r="C10089" s="3" t="s">
        <v>1464</v>
      </c>
      <c r="D10089" s="3">
        <v>147.0</v>
      </c>
      <c r="E10089" s="3">
        <v>8.04</v>
      </c>
      <c r="F10089" s="3">
        <v>13.28</v>
      </c>
      <c r="G10089" s="3">
        <v>4.52</v>
      </c>
    </row>
    <row r="10090">
      <c r="A10090" s="3">
        <v>783954.0</v>
      </c>
      <c r="B10090" s="3" t="s">
        <v>10118</v>
      </c>
      <c r="C10090" s="3" t="s">
        <v>1464</v>
      </c>
      <c r="D10090" s="3">
        <v>123.0</v>
      </c>
      <c r="E10090" s="3">
        <v>5.95</v>
      </c>
      <c r="F10090" s="3">
        <v>11.68</v>
      </c>
      <c r="G10090" s="3">
        <v>4.94</v>
      </c>
    </row>
    <row r="10091">
      <c r="A10091" s="3">
        <v>783955.0</v>
      </c>
      <c r="B10091" s="3" t="s">
        <v>10119</v>
      </c>
      <c r="C10091" s="3" t="s">
        <v>1464</v>
      </c>
      <c r="D10091" s="3">
        <v>146.0</v>
      </c>
      <c r="E10091" s="3">
        <v>7.87</v>
      </c>
      <c r="F10091" s="3">
        <v>13.81</v>
      </c>
      <c r="G10091" s="3">
        <v>4.52</v>
      </c>
    </row>
    <row r="10092">
      <c r="A10092" s="3">
        <v>783956.0</v>
      </c>
      <c r="B10092" s="3" t="s">
        <v>10120</v>
      </c>
      <c r="C10092" s="3" t="s">
        <v>7823</v>
      </c>
      <c r="D10092" s="3">
        <v>224.0</v>
      </c>
      <c r="E10092" s="3">
        <v>14.77</v>
      </c>
      <c r="F10092" s="3">
        <v>6.58</v>
      </c>
      <c r="G10092" s="3">
        <v>18.09</v>
      </c>
    </row>
    <row r="10093">
      <c r="A10093" s="3">
        <v>783957.0</v>
      </c>
      <c r="B10093" s="3" t="s">
        <v>10121</v>
      </c>
      <c r="C10093" s="3" t="s">
        <v>7823</v>
      </c>
      <c r="D10093" s="3">
        <v>260.0</v>
      </c>
      <c r="E10093" s="3">
        <v>17.78</v>
      </c>
      <c r="F10093" s="3">
        <v>21.46</v>
      </c>
      <c r="G10093" s="3">
        <v>2.98</v>
      </c>
    </row>
    <row r="10094">
      <c r="A10094" s="3">
        <v>783958.0</v>
      </c>
      <c r="B10094" s="3" t="s">
        <v>10122</v>
      </c>
      <c r="C10094" s="3" t="s">
        <v>7823</v>
      </c>
      <c r="D10094" s="3">
        <v>96.0</v>
      </c>
      <c r="E10094" s="3">
        <v>4.68</v>
      </c>
      <c r="F10094" s="3">
        <v>8.41</v>
      </c>
      <c r="G10094" s="3">
        <v>4.96</v>
      </c>
    </row>
    <row r="10095">
      <c r="A10095" s="3">
        <v>783959.0</v>
      </c>
      <c r="B10095" s="3" t="s">
        <v>10123</v>
      </c>
      <c r="C10095" s="3" t="s">
        <v>7823</v>
      </c>
      <c r="D10095" s="3">
        <v>487.0</v>
      </c>
      <c r="E10095" s="3">
        <v>35.65</v>
      </c>
      <c r="F10095" s="3">
        <v>28.36</v>
      </c>
      <c r="G10095" s="3">
        <v>11.77</v>
      </c>
    </row>
    <row r="10096">
      <c r="A10096" s="3">
        <v>783960.0</v>
      </c>
      <c r="B10096" s="3" t="s">
        <v>10124</v>
      </c>
      <c r="C10096" s="3" t="s">
        <v>38</v>
      </c>
      <c r="D10096" s="3">
        <v>323.0</v>
      </c>
      <c r="E10096" s="3">
        <v>7.9</v>
      </c>
      <c r="F10096" s="3">
        <v>5.38</v>
      </c>
      <c r="G10096" s="3">
        <v>58.98</v>
      </c>
    </row>
    <row r="10097">
      <c r="A10097" s="3">
        <v>783961.0</v>
      </c>
      <c r="B10097" s="3" t="s">
        <v>10125</v>
      </c>
      <c r="C10097" s="3" t="s">
        <v>38</v>
      </c>
      <c r="D10097" s="3">
        <v>255.0</v>
      </c>
      <c r="E10097" s="3">
        <v>7.65</v>
      </c>
      <c r="F10097" s="3">
        <v>4.67</v>
      </c>
      <c r="G10097" s="3">
        <v>29.06</v>
      </c>
    </row>
    <row r="10098">
      <c r="A10098" s="3">
        <v>783962.0</v>
      </c>
      <c r="B10098" s="3" t="s">
        <v>10126</v>
      </c>
      <c r="C10098" s="3" t="s">
        <v>7823</v>
      </c>
      <c r="D10098" s="3">
        <v>174.0</v>
      </c>
      <c r="E10098" s="3">
        <v>13.29</v>
      </c>
      <c r="F10098" s="3">
        <v>11.16</v>
      </c>
      <c r="G10098" s="3">
        <v>1.82</v>
      </c>
    </row>
    <row r="10099">
      <c r="A10099" s="3">
        <v>783963.0</v>
      </c>
      <c r="B10099" s="3" t="s">
        <v>10127</v>
      </c>
      <c r="C10099" s="3" t="s">
        <v>7823</v>
      </c>
      <c r="D10099" s="3">
        <v>172.0</v>
      </c>
      <c r="E10099" s="3">
        <v>13.03</v>
      </c>
      <c r="F10099" s="3">
        <v>11.14</v>
      </c>
      <c r="G10099" s="3">
        <v>1.85</v>
      </c>
    </row>
    <row r="10100">
      <c r="A10100" s="3">
        <v>783964.0</v>
      </c>
      <c r="B10100" s="3" t="s">
        <v>10128</v>
      </c>
      <c r="C10100" s="3" t="s">
        <v>7823</v>
      </c>
      <c r="D10100" s="3">
        <v>180.0</v>
      </c>
      <c r="E10100" s="3">
        <v>13.95</v>
      </c>
      <c r="F10100" s="3">
        <v>11.16</v>
      </c>
      <c r="G10100" s="3">
        <v>1.81</v>
      </c>
    </row>
    <row r="10101">
      <c r="A10101" s="3">
        <v>783965.0</v>
      </c>
      <c r="B10101" s="3" t="s">
        <v>10129</v>
      </c>
      <c r="C10101" s="3" t="s">
        <v>7823</v>
      </c>
      <c r="D10101" s="3">
        <v>172.0</v>
      </c>
      <c r="E10101" s="3">
        <v>13.05</v>
      </c>
      <c r="F10101" s="3">
        <v>11.18</v>
      </c>
      <c r="G10101" s="3">
        <v>1.81</v>
      </c>
    </row>
    <row r="10102">
      <c r="A10102" s="3">
        <v>783966.0</v>
      </c>
      <c r="B10102" s="3" t="s">
        <v>10130</v>
      </c>
      <c r="C10102" s="3" t="s">
        <v>7823</v>
      </c>
      <c r="D10102" s="3">
        <v>175.0</v>
      </c>
      <c r="E10102" s="3">
        <v>13.24</v>
      </c>
      <c r="F10102" s="3">
        <v>11.31</v>
      </c>
      <c r="G10102" s="3">
        <v>1.82</v>
      </c>
    </row>
    <row r="10103">
      <c r="A10103" s="3">
        <v>783967.0</v>
      </c>
      <c r="B10103" s="3" t="s">
        <v>10131</v>
      </c>
      <c r="C10103" s="3" t="s">
        <v>7823</v>
      </c>
      <c r="D10103" s="3">
        <v>141.0</v>
      </c>
      <c r="E10103" s="3">
        <v>9.14</v>
      </c>
      <c r="F10103" s="3">
        <v>11.68</v>
      </c>
      <c r="G10103" s="3">
        <v>2.0</v>
      </c>
    </row>
    <row r="10104">
      <c r="A10104" s="3">
        <v>783968.0</v>
      </c>
      <c r="B10104" s="3" t="s">
        <v>10132</v>
      </c>
      <c r="C10104" s="3" t="s">
        <v>7823</v>
      </c>
      <c r="D10104" s="3">
        <v>174.0</v>
      </c>
      <c r="E10104" s="3">
        <v>13.29</v>
      </c>
      <c r="F10104" s="3">
        <v>11.16</v>
      </c>
      <c r="G10104" s="3">
        <v>1.82</v>
      </c>
    </row>
    <row r="10105">
      <c r="A10105" s="3">
        <v>783969.0</v>
      </c>
      <c r="B10105" s="3" t="s">
        <v>10133</v>
      </c>
      <c r="C10105" s="3" t="s">
        <v>7823</v>
      </c>
      <c r="D10105" s="3">
        <v>137.0</v>
      </c>
      <c r="E10105" s="3">
        <v>8.77</v>
      </c>
      <c r="F10105" s="3">
        <v>11.74</v>
      </c>
      <c r="G10105" s="3">
        <v>1.9</v>
      </c>
    </row>
    <row r="10106">
      <c r="A10106" s="3">
        <v>783971.0</v>
      </c>
      <c r="B10106" s="3" t="s">
        <v>10134</v>
      </c>
      <c r="C10106" s="3" t="s">
        <v>7823</v>
      </c>
      <c r="D10106" s="3">
        <v>204.0</v>
      </c>
      <c r="E10106" s="3">
        <v>15.84</v>
      </c>
      <c r="F10106" s="3">
        <v>12.82</v>
      </c>
      <c r="G10106" s="3">
        <v>2.04</v>
      </c>
    </row>
    <row r="10107">
      <c r="A10107" s="3">
        <v>783972.0</v>
      </c>
      <c r="B10107" s="3" t="s">
        <v>10135</v>
      </c>
      <c r="C10107" s="3" t="s">
        <v>7823</v>
      </c>
      <c r="D10107" s="3">
        <v>212.0</v>
      </c>
      <c r="E10107" s="3">
        <v>16.66</v>
      </c>
      <c r="F10107" s="3">
        <v>12.84</v>
      </c>
      <c r="G10107" s="3">
        <v>2.0</v>
      </c>
    </row>
    <row r="10108">
      <c r="A10108" s="3">
        <v>783973.0</v>
      </c>
      <c r="B10108" s="3" t="s">
        <v>10136</v>
      </c>
      <c r="C10108" s="3" t="s">
        <v>7823</v>
      </c>
      <c r="D10108" s="3">
        <v>204.0</v>
      </c>
      <c r="E10108" s="3">
        <v>15.86</v>
      </c>
      <c r="F10108" s="3">
        <v>12.86</v>
      </c>
      <c r="G10108" s="3">
        <v>2.0</v>
      </c>
    </row>
    <row r="10109">
      <c r="A10109" s="3">
        <v>783974.0</v>
      </c>
      <c r="B10109" s="3" t="s">
        <v>10137</v>
      </c>
      <c r="C10109" s="3" t="s">
        <v>7823</v>
      </c>
      <c r="D10109" s="3">
        <v>208.0</v>
      </c>
      <c r="E10109" s="3">
        <v>16.04</v>
      </c>
      <c r="F10109" s="3">
        <v>12.98</v>
      </c>
      <c r="G10109" s="3">
        <v>2.01</v>
      </c>
    </row>
    <row r="10110">
      <c r="A10110" s="3">
        <v>783975.0</v>
      </c>
      <c r="B10110" s="3" t="s">
        <v>10138</v>
      </c>
      <c r="C10110" s="3" t="s">
        <v>7823</v>
      </c>
      <c r="D10110" s="3">
        <v>178.0</v>
      </c>
      <c r="E10110" s="3">
        <v>12.53</v>
      </c>
      <c r="F10110" s="3">
        <v>13.37</v>
      </c>
      <c r="G10110" s="3">
        <v>2.18</v>
      </c>
    </row>
    <row r="10111">
      <c r="A10111" s="3">
        <v>783976.0</v>
      </c>
      <c r="B10111" s="3" t="s">
        <v>10139</v>
      </c>
      <c r="C10111" s="3" t="s">
        <v>7823</v>
      </c>
      <c r="D10111" s="3">
        <v>175.0</v>
      </c>
      <c r="E10111" s="3">
        <v>12.22</v>
      </c>
      <c r="F10111" s="3">
        <v>13.43</v>
      </c>
      <c r="G10111" s="3">
        <v>2.1</v>
      </c>
    </row>
    <row r="10112">
      <c r="A10112" s="3">
        <v>783977.0</v>
      </c>
      <c r="B10112" s="3" t="s">
        <v>10140</v>
      </c>
      <c r="C10112" s="3" t="s">
        <v>7823</v>
      </c>
      <c r="D10112" s="3">
        <v>221.0</v>
      </c>
      <c r="E10112" s="3">
        <v>16.68</v>
      </c>
      <c r="F10112" s="3">
        <v>14.81</v>
      </c>
      <c r="G10112" s="3">
        <v>2.19</v>
      </c>
    </row>
    <row r="10113">
      <c r="A10113" s="3">
        <v>783978.0</v>
      </c>
      <c r="B10113" s="3" t="s">
        <v>10141</v>
      </c>
      <c r="C10113" s="3" t="s">
        <v>7823</v>
      </c>
      <c r="D10113" s="3">
        <v>220.0</v>
      </c>
      <c r="E10113" s="3">
        <v>16.49</v>
      </c>
      <c r="F10113" s="3">
        <v>14.8</v>
      </c>
      <c r="G10113" s="3">
        <v>2.21</v>
      </c>
    </row>
    <row r="10114">
      <c r="A10114" s="3">
        <v>783979.0</v>
      </c>
      <c r="B10114" s="3" t="s">
        <v>10142</v>
      </c>
      <c r="C10114" s="3" t="s">
        <v>7823</v>
      </c>
      <c r="D10114" s="3">
        <v>225.0</v>
      </c>
      <c r="E10114" s="3">
        <v>17.13</v>
      </c>
      <c r="F10114" s="3">
        <v>14.82</v>
      </c>
      <c r="G10114" s="3">
        <v>2.19</v>
      </c>
    </row>
    <row r="10115">
      <c r="A10115" s="3">
        <v>783980.0</v>
      </c>
      <c r="B10115" s="3" t="s">
        <v>10143</v>
      </c>
      <c r="C10115" s="3" t="s">
        <v>7823</v>
      </c>
      <c r="D10115" s="3">
        <v>220.0</v>
      </c>
      <c r="E10115" s="3">
        <v>16.51</v>
      </c>
      <c r="F10115" s="3">
        <v>14.83</v>
      </c>
      <c r="G10115" s="3">
        <v>2.19</v>
      </c>
    </row>
    <row r="10116">
      <c r="A10116" s="3">
        <v>783981.0</v>
      </c>
      <c r="B10116" s="3" t="s">
        <v>10144</v>
      </c>
      <c r="C10116" s="3" t="s">
        <v>7823</v>
      </c>
      <c r="D10116" s="3">
        <v>222.0</v>
      </c>
      <c r="E10116" s="3">
        <v>16.65</v>
      </c>
      <c r="F10116" s="3">
        <v>14.93</v>
      </c>
      <c r="G10116" s="3">
        <v>2.19</v>
      </c>
    </row>
    <row r="10117">
      <c r="A10117" s="3">
        <v>783982.0</v>
      </c>
      <c r="B10117" s="3" t="s">
        <v>10145</v>
      </c>
      <c r="C10117" s="3" t="s">
        <v>7823</v>
      </c>
      <c r="D10117" s="3">
        <v>200.0</v>
      </c>
      <c r="E10117" s="3">
        <v>13.98</v>
      </c>
      <c r="F10117" s="3">
        <v>15.29</v>
      </c>
      <c r="G10117" s="3">
        <v>2.33</v>
      </c>
    </row>
    <row r="10118">
      <c r="A10118" s="3">
        <v>783983.0</v>
      </c>
      <c r="B10118" s="3" t="s">
        <v>10146</v>
      </c>
      <c r="C10118" s="3" t="s">
        <v>7823</v>
      </c>
      <c r="D10118" s="3">
        <v>221.0</v>
      </c>
      <c r="E10118" s="3">
        <v>16.68</v>
      </c>
      <c r="F10118" s="3">
        <v>14.81</v>
      </c>
      <c r="G10118" s="3">
        <v>2.19</v>
      </c>
    </row>
    <row r="10119">
      <c r="A10119" s="3">
        <v>783984.0</v>
      </c>
      <c r="B10119" s="3" t="s">
        <v>10147</v>
      </c>
      <c r="C10119" s="3" t="s">
        <v>7823</v>
      </c>
      <c r="D10119" s="3">
        <v>198.0</v>
      </c>
      <c r="E10119" s="3">
        <v>13.74</v>
      </c>
      <c r="F10119" s="3">
        <v>15.34</v>
      </c>
      <c r="G10119" s="3">
        <v>2.27</v>
      </c>
    </row>
    <row r="10120">
      <c r="A10120" s="3">
        <v>783985.0</v>
      </c>
      <c r="B10120" s="3" t="s">
        <v>10148</v>
      </c>
      <c r="C10120" s="3" t="s">
        <v>7823</v>
      </c>
      <c r="D10120" s="3">
        <v>240.0</v>
      </c>
      <c r="E10120" s="3">
        <v>18.39</v>
      </c>
      <c r="F10120" s="3">
        <v>15.72</v>
      </c>
      <c r="G10120" s="3">
        <v>2.3</v>
      </c>
    </row>
    <row r="10121">
      <c r="A10121" s="3">
        <v>783986.0</v>
      </c>
      <c r="B10121" s="3" t="s">
        <v>10149</v>
      </c>
      <c r="C10121" s="3" t="s">
        <v>7823</v>
      </c>
      <c r="D10121" s="3">
        <v>239.0</v>
      </c>
      <c r="E10121" s="3">
        <v>18.21</v>
      </c>
      <c r="F10121" s="3">
        <v>15.7</v>
      </c>
      <c r="G10121" s="3">
        <v>2.32</v>
      </c>
    </row>
    <row r="10122">
      <c r="A10122" s="3">
        <v>783987.0</v>
      </c>
      <c r="B10122" s="3" t="s">
        <v>10150</v>
      </c>
      <c r="C10122" s="3" t="s">
        <v>7823</v>
      </c>
      <c r="D10122" s="3">
        <v>244.0</v>
      </c>
      <c r="E10122" s="3">
        <v>18.8</v>
      </c>
      <c r="F10122" s="3">
        <v>15.72</v>
      </c>
      <c r="G10122" s="3">
        <v>2.3</v>
      </c>
    </row>
    <row r="10123">
      <c r="A10123" s="3">
        <v>783988.0</v>
      </c>
      <c r="B10123" s="3" t="s">
        <v>10151</v>
      </c>
      <c r="C10123" s="3" t="s">
        <v>7823</v>
      </c>
      <c r="D10123" s="3">
        <v>239.0</v>
      </c>
      <c r="E10123" s="3">
        <v>18.23</v>
      </c>
      <c r="F10123" s="3">
        <v>15.73</v>
      </c>
      <c r="G10123" s="3">
        <v>2.3</v>
      </c>
    </row>
    <row r="10124">
      <c r="A10124" s="3">
        <v>783989.0</v>
      </c>
      <c r="B10124" s="3" t="s">
        <v>10152</v>
      </c>
      <c r="C10124" s="3" t="s">
        <v>7823</v>
      </c>
      <c r="D10124" s="3">
        <v>241.0</v>
      </c>
      <c r="E10124" s="3">
        <v>18.36</v>
      </c>
      <c r="F10124" s="3">
        <v>15.82</v>
      </c>
      <c r="G10124" s="3">
        <v>2.3</v>
      </c>
    </row>
    <row r="10125">
      <c r="A10125" s="3">
        <v>783990.0</v>
      </c>
      <c r="B10125" s="3" t="s">
        <v>10153</v>
      </c>
      <c r="C10125" s="3" t="s">
        <v>7823</v>
      </c>
      <c r="D10125" s="3">
        <v>222.0</v>
      </c>
      <c r="E10125" s="3">
        <v>15.96</v>
      </c>
      <c r="F10125" s="3">
        <v>16.18</v>
      </c>
      <c r="G10125" s="3">
        <v>2.43</v>
      </c>
    </row>
    <row r="10126">
      <c r="A10126" s="3">
        <v>783991.0</v>
      </c>
      <c r="B10126" s="3" t="s">
        <v>10154</v>
      </c>
      <c r="C10126" s="3" t="s">
        <v>7823</v>
      </c>
      <c r="D10126" s="3">
        <v>240.0</v>
      </c>
      <c r="E10126" s="3">
        <v>18.39</v>
      </c>
      <c r="F10126" s="3">
        <v>15.72</v>
      </c>
      <c r="G10126" s="3">
        <v>2.3</v>
      </c>
    </row>
    <row r="10127">
      <c r="A10127" s="3">
        <v>783992.0</v>
      </c>
      <c r="B10127" s="3" t="s">
        <v>10155</v>
      </c>
      <c r="C10127" s="3" t="s">
        <v>7823</v>
      </c>
      <c r="D10127" s="3">
        <v>220.0</v>
      </c>
      <c r="E10127" s="3">
        <v>15.75</v>
      </c>
      <c r="F10127" s="3">
        <v>16.22</v>
      </c>
      <c r="G10127" s="3">
        <v>2.37</v>
      </c>
    </row>
    <row r="10128">
      <c r="A10128" s="3">
        <v>783993.0</v>
      </c>
      <c r="B10128" s="3" t="s">
        <v>10156</v>
      </c>
      <c r="C10128" s="3" t="s">
        <v>7823</v>
      </c>
      <c r="D10128" s="3">
        <v>117.0</v>
      </c>
      <c r="E10128" s="3">
        <v>8.53</v>
      </c>
      <c r="F10128" s="3">
        <v>7.15</v>
      </c>
      <c r="G10128" s="3">
        <v>2.84</v>
      </c>
    </row>
    <row r="10129">
      <c r="A10129" s="3">
        <v>783994.0</v>
      </c>
      <c r="B10129" s="3" t="s">
        <v>10157</v>
      </c>
      <c r="C10129" s="3" t="s">
        <v>7823</v>
      </c>
      <c r="D10129" s="3">
        <v>90.0</v>
      </c>
      <c r="E10129" s="3">
        <v>5.3</v>
      </c>
      <c r="F10129" s="3">
        <v>7.37</v>
      </c>
      <c r="G10129" s="3">
        <v>2.93</v>
      </c>
    </row>
    <row r="10130">
      <c r="A10130" s="3">
        <v>783995.0</v>
      </c>
      <c r="B10130" s="3" t="s">
        <v>10158</v>
      </c>
      <c r="C10130" s="3" t="s">
        <v>7823</v>
      </c>
      <c r="D10130" s="3">
        <v>117.0</v>
      </c>
      <c r="E10130" s="3">
        <v>8.53</v>
      </c>
      <c r="F10130" s="3">
        <v>7.15</v>
      </c>
      <c r="G10130" s="3">
        <v>2.84</v>
      </c>
    </row>
    <row r="10131">
      <c r="A10131" s="3">
        <v>783996.0</v>
      </c>
      <c r="B10131" s="3" t="s">
        <v>10159</v>
      </c>
      <c r="C10131" s="3" t="s">
        <v>7823</v>
      </c>
      <c r="D10131" s="3">
        <v>156.0</v>
      </c>
      <c r="E10131" s="3">
        <v>11.65</v>
      </c>
      <c r="F10131" s="3">
        <v>9.81</v>
      </c>
      <c r="G10131" s="3">
        <v>2.66</v>
      </c>
    </row>
    <row r="10132">
      <c r="A10132" s="3">
        <v>783997.0</v>
      </c>
      <c r="B10132" s="3" t="s">
        <v>10160</v>
      </c>
      <c r="C10132" s="3" t="s">
        <v>7823</v>
      </c>
      <c r="D10132" s="3">
        <v>119.0</v>
      </c>
      <c r="E10132" s="3">
        <v>7.3</v>
      </c>
      <c r="F10132" s="3">
        <v>10.23</v>
      </c>
      <c r="G10132" s="3">
        <v>2.77</v>
      </c>
    </row>
    <row r="10133">
      <c r="A10133" s="3">
        <v>783998.0</v>
      </c>
      <c r="B10133" s="3" t="s">
        <v>10161</v>
      </c>
      <c r="C10133" s="3" t="s">
        <v>7823</v>
      </c>
      <c r="D10133" s="3">
        <v>156.0</v>
      </c>
      <c r="E10133" s="3">
        <v>11.65</v>
      </c>
      <c r="F10133" s="3">
        <v>9.81</v>
      </c>
      <c r="G10133" s="3">
        <v>2.66</v>
      </c>
    </row>
    <row r="10134">
      <c r="A10134" s="3">
        <v>783999.0</v>
      </c>
      <c r="B10134" s="3" t="s">
        <v>10162</v>
      </c>
      <c r="C10134" s="3" t="s">
        <v>7823</v>
      </c>
      <c r="D10134" s="3">
        <v>140.0</v>
      </c>
      <c r="E10134" s="3">
        <v>10.38</v>
      </c>
      <c r="F10134" s="3">
        <v>8.73</v>
      </c>
      <c r="G10134" s="3">
        <v>2.73</v>
      </c>
    </row>
    <row r="10135">
      <c r="A10135" s="3">
        <v>784000.0</v>
      </c>
      <c r="B10135" s="3" t="s">
        <v>10163</v>
      </c>
      <c r="C10135" s="3" t="s">
        <v>7823</v>
      </c>
      <c r="D10135" s="3">
        <v>107.0</v>
      </c>
      <c r="E10135" s="3">
        <v>6.48</v>
      </c>
      <c r="F10135" s="3">
        <v>9.06</v>
      </c>
      <c r="G10135" s="3">
        <v>2.83</v>
      </c>
    </row>
    <row r="10136">
      <c r="A10136" s="3">
        <v>784001.0</v>
      </c>
      <c r="B10136" s="3" t="s">
        <v>10164</v>
      </c>
      <c r="C10136" s="3" t="s">
        <v>7823</v>
      </c>
      <c r="D10136" s="3">
        <v>140.0</v>
      </c>
      <c r="E10136" s="3">
        <v>10.38</v>
      </c>
      <c r="F10136" s="3">
        <v>8.73</v>
      </c>
      <c r="G10136" s="3">
        <v>2.73</v>
      </c>
    </row>
    <row r="10137">
      <c r="A10137" s="3">
        <v>784002.0</v>
      </c>
      <c r="B10137" s="3" t="s">
        <v>10165</v>
      </c>
      <c r="C10137" s="3" t="s">
        <v>7823</v>
      </c>
      <c r="D10137" s="3">
        <v>155.0</v>
      </c>
      <c r="E10137" s="3">
        <v>12.16</v>
      </c>
      <c r="F10137" s="3">
        <v>8.09</v>
      </c>
      <c r="G10137" s="3">
        <v>3.36</v>
      </c>
    </row>
    <row r="10138">
      <c r="A10138" s="3">
        <v>784003.0</v>
      </c>
      <c r="B10138" s="3" t="s">
        <v>10166</v>
      </c>
      <c r="C10138" s="3" t="s">
        <v>7823</v>
      </c>
      <c r="D10138" s="3">
        <v>105.0</v>
      </c>
      <c r="E10138" s="3">
        <v>6.11</v>
      </c>
      <c r="F10138" s="3">
        <v>8.57</v>
      </c>
      <c r="G10138" s="3">
        <v>3.56</v>
      </c>
    </row>
    <row r="10139">
      <c r="A10139" s="3">
        <v>784004.0</v>
      </c>
      <c r="B10139" s="3" t="s">
        <v>10167</v>
      </c>
      <c r="C10139" s="3" t="s">
        <v>7823</v>
      </c>
      <c r="D10139" s="3">
        <v>155.0</v>
      </c>
      <c r="E10139" s="3">
        <v>12.16</v>
      </c>
      <c r="F10139" s="3">
        <v>8.09</v>
      </c>
      <c r="G10139" s="3">
        <v>3.36</v>
      </c>
    </row>
    <row r="10140">
      <c r="A10140" s="3">
        <v>784005.0</v>
      </c>
      <c r="B10140" s="3" t="s">
        <v>10168</v>
      </c>
      <c r="C10140" s="3" t="s">
        <v>7823</v>
      </c>
      <c r="D10140" s="3">
        <v>142.0</v>
      </c>
      <c r="E10140" s="3">
        <v>10.64</v>
      </c>
      <c r="F10140" s="3">
        <v>8.5</v>
      </c>
      <c r="G10140" s="3">
        <v>2.89</v>
      </c>
    </row>
    <row r="10141">
      <c r="A10141" s="3">
        <v>784006.0</v>
      </c>
      <c r="B10141" s="3" t="s">
        <v>10169</v>
      </c>
      <c r="C10141" s="3" t="s">
        <v>7823</v>
      </c>
      <c r="D10141" s="3">
        <v>117.0</v>
      </c>
      <c r="E10141" s="3">
        <v>7.7</v>
      </c>
      <c r="F10141" s="3">
        <v>8.75</v>
      </c>
      <c r="G10141" s="3">
        <v>2.97</v>
      </c>
    </row>
    <row r="10142">
      <c r="A10142" s="3">
        <v>784007.0</v>
      </c>
      <c r="B10142" s="3" t="s">
        <v>10170</v>
      </c>
      <c r="C10142" s="3" t="s">
        <v>7823</v>
      </c>
      <c r="D10142" s="3">
        <v>142.0</v>
      </c>
      <c r="E10142" s="3">
        <v>10.64</v>
      </c>
      <c r="F10142" s="3">
        <v>8.5</v>
      </c>
      <c r="G10142" s="3">
        <v>2.89</v>
      </c>
    </row>
    <row r="10143">
      <c r="A10143" s="3">
        <v>784008.0</v>
      </c>
      <c r="B10143" s="3" t="s">
        <v>10171</v>
      </c>
      <c r="C10143" s="3" t="s">
        <v>7823</v>
      </c>
      <c r="D10143" s="3">
        <v>185.0</v>
      </c>
      <c r="E10143" s="3">
        <v>14.17</v>
      </c>
      <c r="F10143" s="3">
        <v>11.36</v>
      </c>
      <c r="G10143" s="3">
        <v>2.74</v>
      </c>
    </row>
    <row r="10144">
      <c r="A10144" s="3">
        <v>784009.0</v>
      </c>
      <c r="B10144" s="3" t="s">
        <v>10172</v>
      </c>
      <c r="C10144" s="3" t="s">
        <v>7823</v>
      </c>
      <c r="D10144" s="3">
        <v>153.0</v>
      </c>
      <c r="E10144" s="3">
        <v>10.34</v>
      </c>
      <c r="F10144" s="3">
        <v>11.8</v>
      </c>
      <c r="G10144" s="3">
        <v>2.84</v>
      </c>
    </row>
    <row r="10145">
      <c r="A10145" s="3">
        <v>784010.0</v>
      </c>
      <c r="B10145" s="3" t="s">
        <v>10173</v>
      </c>
      <c r="C10145" s="3" t="s">
        <v>7823</v>
      </c>
      <c r="D10145" s="3">
        <v>185.0</v>
      </c>
      <c r="E10145" s="3">
        <v>14.17</v>
      </c>
      <c r="F10145" s="3">
        <v>11.36</v>
      </c>
      <c r="G10145" s="3">
        <v>2.74</v>
      </c>
    </row>
    <row r="10146">
      <c r="A10146" s="3">
        <v>784011.0</v>
      </c>
      <c r="B10146" s="3" t="s">
        <v>10174</v>
      </c>
      <c r="C10146" s="3" t="s">
        <v>7823</v>
      </c>
      <c r="D10146" s="3">
        <v>167.0</v>
      </c>
      <c r="E10146" s="3">
        <v>12.75</v>
      </c>
      <c r="F10146" s="3">
        <v>10.21</v>
      </c>
      <c r="G10146" s="3">
        <v>2.8</v>
      </c>
    </row>
    <row r="10147">
      <c r="A10147" s="3">
        <v>784012.0</v>
      </c>
      <c r="B10147" s="3" t="s">
        <v>10175</v>
      </c>
      <c r="C10147" s="3" t="s">
        <v>7823</v>
      </c>
      <c r="D10147" s="3">
        <v>139.0</v>
      </c>
      <c r="E10147" s="3">
        <v>9.27</v>
      </c>
      <c r="F10147" s="3">
        <v>10.56</v>
      </c>
      <c r="G10147" s="3">
        <v>2.9</v>
      </c>
    </row>
    <row r="10148">
      <c r="A10148" s="3">
        <v>784013.0</v>
      </c>
      <c r="B10148" s="3" t="s">
        <v>10176</v>
      </c>
      <c r="C10148" s="3" t="s">
        <v>7823</v>
      </c>
      <c r="D10148" s="3">
        <v>167.0</v>
      </c>
      <c r="E10148" s="3">
        <v>12.75</v>
      </c>
      <c r="F10148" s="3">
        <v>10.21</v>
      </c>
      <c r="G10148" s="3">
        <v>2.8</v>
      </c>
    </row>
    <row r="10149">
      <c r="A10149" s="3">
        <v>784014.0</v>
      </c>
      <c r="B10149" s="3" t="s">
        <v>10177</v>
      </c>
      <c r="C10149" s="3" t="s">
        <v>7823</v>
      </c>
      <c r="D10149" s="3">
        <v>180.0</v>
      </c>
      <c r="E10149" s="3">
        <v>14.22</v>
      </c>
      <c r="F10149" s="3">
        <v>9.53</v>
      </c>
      <c r="G10149" s="3">
        <v>3.37</v>
      </c>
    </row>
    <row r="10150">
      <c r="A10150" s="3">
        <v>784015.0</v>
      </c>
      <c r="B10150" s="3" t="s">
        <v>10178</v>
      </c>
      <c r="C10150" s="3" t="s">
        <v>7823</v>
      </c>
      <c r="D10150" s="3">
        <v>135.0</v>
      </c>
      <c r="E10150" s="3">
        <v>8.8</v>
      </c>
      <c r="F10150" s="3">
        <v>10.05</v>
      </c>
      <c r="G10150" s="3">
        <v>3.56</v>
      </c>
    </row>
    <row r="10151">
      <c r="A10151" s="3">
        <v>784016.0</v>
      </c>
      <c r="B10151" s="3" t="s">
        <v>10179</v>
      </c>
      <c r="C10151" s="3" t="s">
        <v>7823</v>
      </c>
      <c r="D10151" s="3">
        <v>180.0</v>
      </c>
      <c r="E10151" s="3">
        <v>14.22</v>
      </c>
      <c r="F10151" s="3">
        <v>9.53</v>
      </c>
      <c r="G10151" s="3">
        <v>3.37</v>
      </c>
    </row>
    <row r="10152">
      <c r="A10152" s="3">
        <v>784017.0</v>
      </c>
      <c r="B10152" s="3" t="s">
        <v>10180</v>
      </c>
      <c r="C10152" s="3" t="s">
        <v>7823</v>
      </c>
      <c r="D10152" s="3">
        <v>163.0</v>
      </c>
      <c r="E10152" s="3">
        <v>12.1</v>
      </c>
      <c r="F10152" s="3">
        <v>10.46</v>
      </c>
      <c r="G10152" s="3">
        <v>2.68</v>
      </c>
    </row>
    <row r="10153">
      <c r="A10153" s="3">
        <v>784018.0</v>
      </c>
      <c r="B10153" s="3" t="s">
        <v>10181</v>
      </c>
      <c r="C10153" s="3" t="s">
        <v>7823</v>
      </c>
      <c r="D10153" s="3">
        <v>138.0</v>
      </c>
      <c r="E10153" s="3">
        <v>9.11</v>
      </c>
      <c r="F10153" s="3">
        <v>10.77</v>
      </c>
      <c r="G10153" s="3">
        <v>2.76</v>
      </c>
    </row>
    <row r="10154">
      <c r="A10154" s="3">
        <v>784019.0</v>
      </c>
      <c r="B10154" s="3" t="s">
        <v>10182</v>
      </c>
      <c r="C10154" s="3" t="s">
        <v>7823</v>
      </c>
      <c r="D10154" s="3">
        <v>163.0</v>
      </c>
      <c r="E10154" s="3">
        <v>12.1</v>
      </c>
      <c r="F10154" s="3">
        <v>10.46</v>
      </c>
      <c r="G10154" s="3">
        <v>2.68</v>
      </c>
    </row>
    <row r="10155">
      <c r="A10155" s="3">
        <v>784020.0</v>
      </c>
      <c r="B10155" s="3" t="s">
        <v>10183</v>
      </c>
      <c r="C10155" s="3" t="s">
        <v>7823</v>
      </c>
      <c r="D10155" s="3">
        <v>186.0</v>
      </c>
      <c r="E10155" s="3">
        <v>13.85</v>
      </c>
      <c r="F10155" s="3">
        <v>12.27</v>
      </c>
      <c r="G10155" s="3">
        <v>2.58</v>
      </c>
    </row>
    <row r="10156">
      <c r="A10156" s="3">
        <v>784021.0</v>
      </c>
      <c r="B10156" s="3" t="s">
        <v>10184</v>
      </c>
      <c r="C10156" s="3" t="s">
        <v>7823</v>
      </c>
      <c r="D10156" s="3">
        <v>155.0</v>
      </c>
      <c r="E10156" s="3">
        <v>10.11</v>
      </c>
      <c r="F10156" s="3">
        <v>12.73</v>
      </c>
      <c r="G10156" s="3">
        <v>2.68</v>
      </c>
    </row>
    <row r="10157">
      <c r="A10157" s="3">
        <v>784022.0</v>
      </c>
      <c r="B10157" s="3" t="s">
        <v>10185</v>
      </c>
      <c r="C10157" s="3" t="s">
        <v>7823</v>
      </c>
      <c r="D10157" s="3">
        <v>186.0</v>
      </c>
      <c r="E10157" s="3">
        <v>13.85</v>
      </c>
      <c r="F10157" s="3">
        <v>12.27</v>
      </c>
      <c r="G10157" s="3">
        <v>2.58</v>
      </c>
    </row>
    <row r="10158">
      <c r="A10158" s="3">
        <v>784023.0</v>
      </c>
      <c r="B10158" s="3" t="s">
        <v>10186</v>
      </c>
      <c r="C10158" s="3" t="s">
        <v>7823</v>
      </c>
      <c r="D10158" s="3">
        <v>176.0</v>
      </c>
      <c r="E10158" s="3">
        <v>13.1</v>
      </c>
      <c r="F10158" s="3">
        <v>11.53</v>
      </c>
      <c r="G10158" s="3">
        <v>2.54</v>
      </c>
    </row>
    <row r="10159">
      <c r="A10159" s="3">
        <v>784024.0</v>
      </c>
      <c r="B10159" s="3" t="s">
        <v>10187</v>
      </c>
      <c r="C10159" s="3" t="s">
        <v>7823</v>
      </c>
      <c r="D10159" s="3">
        <v>147.0</v>
      </c>
      <c r="E10159" s="3">
        <v>9.54</v>
      </c>
      <c r="F10159" s="3">
        <v>11.94</v>
      </c>
      <c r="G10159" s="3">
        <v>2.63</v>
      </c>
    </row>
    <row r="10160">
      <c r="A10160" s="3">
        <v>784025.0</v>
      </c>
      <c r="B10160" s="3" t="s">
        <v>10188</v>
      </c>
      <c r="C10160" s="3" t="s">
        <v>7823</v>
      </c>
      <c r="D10160" s="3">
        <v>176.0</v>
      </c>
      <c r="E10160" s="3">
        <v>13.1</v>
      </c>
      <c r="F10160" s="3">
        <v>11.53</v>
      </c>
      <c r="G10160" s="3">
        <v>2.54</v>
      </c>
    </row>
    <row r="10161">
      <c r="A10161" s="3">
        <v>784026.0</v>
      </c>
      <c r="B10161" s="3" t="s">
        <v>10189</v>
      </c>
      <c r="C10161" s="3" t="s">
        <v>7823</v>
      </c>
      <c r="D10161" s="3">
        <v>208.0</v>
      </c>
      <c r="E10161" s="3">
        <v>16.42</v>
      </c>
      <c r="F10161" s="3">
        <v>11.96</v>
      </c>
      <c r="G10161" s="3">
        <v>2.64</v>
      </c>
    </row>
    <row r="10162">
      <c r="A10162" s="3">
        <v>784027.0</v>
      </c>
      <c r="B10162" s="3" t="s">
        <v>10190</v>
      </c>
      <c r="C10162" s="3" t="s">
        <v>7823</v>
      </c>
      <c r="D10162" s="3">
        <v>161.0</v>
      </c>
      <c r="E10162" s="3">
        <v>10.76</v>
      </c>
      <c r="F10162" s="3">
        <v>12.66</v>
      </c>
      <c r="G10162" s="3">
        <v>2.79</v>
      </c>
    </row>
    <row r="10163">
      <c r="A10163" s="3">
        <v>784028.0</v>
      </c>
      <c r="B10163" s="3" t="s">
        <v>10191</v>
      </c>
      <c r="C10163" s="3" t="s">
        <v>7823</v>
      </c>
      <c r="D10163" s="3">
        <v>208.0</v>
      </c>
      <c r="E10163" s="3">
        <v>16.42</v>
      </c>
      <c r="F10163" s="3">
        <v>11.96</v>
      </c>
      <c r="G10163" s="3">
        <v>2.64</v>
      </c>
    </row>
    <row r="10164">
      <c r="A10164" s="3">
        <v>784029.0</v>
      </c>
      <c r="B10164" s="3" t="s">
        <v>10192</v>
      </c>
      <c r="C10164" s="3" t="s">
        <v>7823</v>
      </c>
      <c r="D10164" s="3">
        <v>183.0</v>
      </c>
      <c r="E10164" s="3">
        <v>13.88</v>
      </c>
      <c r="F10164" s="3">
        <v>11.54</v>
      </c>
      <c r="G10164" s="3">
        <v>2.74</v>
      </c>
    </row>
    <row r="10165">
      <c r="A10165" s="3">
        <v>784030.0</v>
      </c>
      <c r="B10165" s="3" t="s">
        <v>10193</v>
      </c>
      <c r="C10165" s="3" t="s">
        <v>7823</v>
      </c>
      <c r="D10165" s="3">
        <v>161.0</v>
      </c>
      <c r="E10165" s="3">
        <v>11.15</v>
      </c>
      <c r="F10165" s="3">
        <v>11.85</v>
      </c>
      <c r="G10165" s="3">
        <v>2.81</v>
      </c>
    </row>
    <row r="10166">
      <c r="A10166" s="3">
        <v>784031.0</v>
      </c>
      <c r="B10166" s="3" t="s">
        <v>10194</v>
      </c>
      <c r="C10166" s="3" t="s">
        <v>7823</v>
      </c>
      <c r="D10166" s="3">
        <v>183.0</v>
      </c>
      <c r="E10166" s="3">
        <v>13.88</v>
      </c>
      <c r="F10166" s="3">
        <v>11.54</v>
      </c>
      <c r="G10166" s="3">
        <v>2.74</v>
      </c>
    </row>
    <row r="10167">
      <c r="A10167" s="3">
        <v>784032.0</v>
      </c>
      <c r="B10167" s="3" t="s">
        <v>10195</v>
      </c>
      <c r="C10167" s="3" t="s">
        <v>7823</v>
      </c>
      <c r="D10167" s="3">
        <v>226.0</v>
      </c>
      <c r="E10167" s="3">
        <v>17.44</v>
      </c>
      <c r="F10167" s="3">
        <v>14.36</v>
      </c>
      <c r="G10167" s="3">
        <v>2.38</v>
      </c>
    </row>
    <row r="10168">
      <c r="A10168" s="3">
        <v>784033.0</v>
      </c>
      <c r="B10168" s="3" t="s">
        <v>10196</v>
      </c>
      <c r="C10168" s="3" t="s">
        <v>7823</v>
      </c>
      <c r="D10168" s="3">
        <v>199.0</v>
      </c>
      <c r="E10168" s="3">
        <v>14.1</v>
      </c>
      <c r="F10168" s="3">
        <v>14.86</v>
      </c>
      <c r="G10168" s="3">
        <v>2.46</v>
      </c>
    </row>
    <row r="10169">
      <c r="A10169" s="3">
        <v>784034.0</v>
      </c>
      <c r="B10169" s="3" t="s">
        <v>10197</v>
      </c>
      <c r="C10169" s="3" t="s">
        <v>7823</v>
      </c>
      <c r="D10169" s="3">
        <v>226.0</v>
      </c>
      <c r="E10169" s="3">
        <v>17.44</v>
      </c>
      <c r="F10169" s="3">
        <v>14.36</v>
      </c>
      <c r="G10169" s="3">
        <v>2.38</v>
      </c>
    </row>
    <row r="10170">
      <c r="A10170" s="3">
        <v>784035.0</v>
      </c>
      <c r="B10170" s="3" t="s">
        <v>10198</v>
      </c>
      <c r="C10170" s="3" t="s">
        <v>7823</v>
      </c>
      <c r="D10170" s="3">
        <v>215.0</v>
      </c>
      <c r="E10170" s="3">
        <v>16.54</v>
      </c>
      <c r="F10170" s="3">
        <v>13.66</v>
      </c>
      <c r="G10170" s="3">
        <v>2.49</v>
      </c>
    </row>
    <row r="10171">
      <c r="A10171" s="3">
        <v>784036.0</v>
      </c>
      <c r="B10171" s="3" t="s">
        <v>10199</v>
      </c>
      <c r="C10171" s="3" t="s">
        <v>7823</v>
      </c>
      <c r="D10171" s="3">
        <v>189.0</v>
      </c>
      <c r="E10171" s="3">
        <v>13.35</v>
      </c>
      <c r="F10171" s="3">
        <v>14.11</v>
      </c>
      <c r="G10171" s="3">
        <v>2.57</v>
      </c>
    </row>
    <row r="10172">
      <c r="A10172" s="3">
        <v>784037.0</v>
      </c>
      <c r="B10172" s="3" t="s">
        <v>10200</v>
      </c>
      <c r="C10172" s="3" t="s">
        <v>7823</v>
      </c>
      <c r="D10172" s="3">
        <v>215.0</v>
      </c>
      <c r="E10172" s="3">
        <v>16.54</v>
      </c>
      <c r="F10172" s="3">
        <v>13.66</v>
      </c>
      <c r="G10172" s="3">
        <v>2.49</v>
      </c>
    </row>
    <row r="10173">
      <c r="A10173" s="3">
        <v>784038.0</v>
      </c>
      <c r="B10173" s="3" t="s">
        <v>10201</v>
      </c>
      <c r="C10173" s="3" t="s">
        <v>7823</v>
      </c>
      <c r="D10173" s="3">
        <v>228.0</v>
      </c>
      <c r="E10173" s="3">
        <v>18.1</v>
      </c>
      <c r="F10173" s="3">
        <v>13.07</v>
      </c>
      <c r="G10173" s="3">
        <v>2.71</v>
      </c>
    </row>
    <row r="10174">
      <c r="A10174" s="3">
        <v>784039.0</v>
      </c>
      <c r="B10174" s="3" t="s">
        <v>10202</v>
      </c>
      <c r="C10174" s="3" t="s">
        <v>7823</v>
      </c>
      <c r="D10174" s="3">
        <v>186.0</v>
      </c>
      <c r="E10174" s="3">
        <v>13.01</v>
      </c>
      <c r="F10174" s="3">
        <v>13.76</v>
      </c>
      <c r="G10174" s="3">
        <v>2.85</v>
      </c>
    </row>
    <row r="10175">
      <c r="A10175" s="3">
        <v>784040.0</v>
      </c>
      <c r="B10175" s="3" t="s">
        <v>10203</v>
      </c>
      <c r="C10175" s="3" t="s">
        <v>7823</v>
      </c>
      <c r="D10175" s="3">
        <v>228.0</v>
      </c>
      <c r="E10175" s="3">
        <v>18.1</v>
      </c>
      <c r="F10175" s="3">
        <v>13.07</v>
      </c>
      <c r="G10175" s="3">
        <v>2.71</v>
      </c>
    </row>
    <row r="10176">
      <c r="A10176" s="3">
        <v>784041.0</v>
      </c>
      <c r="B10176" s="3" t="s">
        <v>10204</v>
      </c>
      <c r="C10176" s="3" t="s">
        <v>7823</v>
      </c>
      <c r="D10176" s="3">
        <v>163.0</v>
      </c>
      <c r="E10176" s="3">
        <v>11.08</v>
      </c>
      <c r="F10176" s="3">
        <v>7.6</v>
      </c>
      <c r="G10176" s="3">
        <v>8.11</v>
      </c>
    </row>
    <row r="10177">
      <c r="A10177" s="3">
        <v>784042.0</v>
      </c>
      <c r="B10177" s="3" t="s">
        <v>10205</v>
      </c>
      <c r="C10177" s="3" t="s">
        <v>7823</v>
      </c>
      <c r="D10177" s="3">
        <v>117.0</v>
      </c>
      <c r="E10177" s="3">
        <v>5.53</v>
      </c>
      <c r="F10177" s="3">
        <v>8.01</v>
      </c>
      <c r="G10177" s="3">
        <v>8.54</v>
      </c>
    </row>
    <row r="10178">
      <c r="A10178" s="3">
        <v>784043.0</v>
      </c>
      <c r="B10178" s="3" t="s">
        <v>10206</v>
      </c>
      <c r="C10178" s="3" t="s">
        <v>7823</v>
      </c>
      <c r="D10178" s="3">
        <v>163.0</v>
      </c>
      <c r="E10178" s="3">
        <v>11.08</v>
      </c>
      <c r="F10178" s="3">
        <v>7.6</v>
      </c>
      <c r="G10178" s="3">
        <v>8.11</v>
      </c>
    </row>
    <row r="10179">
      <c r="A10179" s="3">
        <v>784044.0</v>
      </c>
      <c r="B10179" s="3" t="s">
        <v>10207</v>
      </c>
      <c r="C10179" s="3" t="s">
        <v>2807</v>
      </c>
      <c r="D10179" s="3">
        <v>234.0</v>
      </c>
      <c r="E10179" s="3">
        <v>8.52</v>
      </c>
      <c r="F10179" s="3">
        <v>11.0</v>
      </c>
      <c r="G10179" s="3">
        <v>27.51</v>
      </c>
    </row>
    <row r="10180">
      <c r="A10180" s="3">
        <v>784045.0</v>
      </c>
      <c r="B10180" s="3" t="s">
        <v>10208</v>
      </c>
      <c r="C10180" s="3" t="s">
        <v>2807</v>
      </c>
      <c r="D10180" s="3">
        <v>261.0</v>
      </c>
      <c r="E10180" s="3">
        <v>13.93</v>
      </c>
      <c r="F10180" s="3">
        <v>15.01</v>
      </c>
      <c r="G10180" s="3">
        <v>17.92</v>
      </c>
    </row>
    <row r="10181">
      <c r="A10181" s="3">
        <v>784047.0</v>
      </c>
      <c r="B10181" s="3" t="s">
        <v>10209</v>
      </c>
      <c r="C10181" s="3" t="s">
        <v>2807</v>
      </c>
      <c r="D10181" s="3">
        <v>253.0</v>
      </c>
      <c r="E10181" s="3">
        <v>16.29</v>
      </c>
      <c r="F10181" s="3">
        <v>12.05</v>
      </c>
      <c r="G10181" s="3">
        <v>14.84</v>
      </c>
    </row>
    <row r="10182">
      <c r="A10182" s="3">
        <v>784048.0</v>
      </c>
      <c r="B10182" s="3" t="s">
        <v>10210</v>
      </c>
      <c r="C10182" s="3" t="s">
        <v>2807</v>
      </c>
      <c r="D10182" s="3">
        <v>261.0</v>
      </c>
      <c r="E10182" s="3">
        <v>14.38</v>
      </c>
      <c r="F10182" s="3">
        <v>12.86</v>
      </c>
      <c r="G10182" s="3">
        <v>19.47</v>
      </c>
    </row>
    <row r="10183">
      <c r="A10183" s="3">
        <v>784050.0</v>
      </c>
      <c r="B10183" s="3" t="s">
        <v>10211</v>
      </c>
      <c r="C10183" s="3" t="s">
        <v>2807</v>
      </c>
      <c r="D10183" s="3">
        <v>271.0</v>
      </c>
      <c r="E10183" s="3">
        <v>16.01</v>
      </c>
      <c r="F10183" s="3">
        <v>13.67</v>
      </c>
      <c r="G10183" s="3">
        <v>17.38</v>
      </c>
    </row>
    <row r="10184">
      <c r="A10184" s="3">
        <v>784051.0</v>
      </c>
      <c r="B10184" s="3" t="s">
        <v>10212</v>
      </c>
      <c r="C10184" s="3" t="s">
        <v>2807</v>
      </c>
      <c r="D10184" s="3">
        <v>274.0</v>
      </c>
      <c r="E10184" s="3">
        <v>17.68</v>
      </c>
      <c r="F10184" s="3">
        <v>14.32</v>
      </c>
      <c r="G10184" s="3">
        <v>14.04</v>
      </c>
    </row>
    <row r="10185">
      <c r="A10185" s="3">
        <v>784052.0</v>
      </c>
      <c r="B10185" s="3" t="s">
        <v>10213</v>
      </c>
      <c r="C10185" s="3" t="s">
        <v>2807</v>
      </c>
      <c r="D10185" s="3">
        <v>274.0</v>
      </c>
      <c r="E10185" s="3">
        <v>16.07</v>
      </c>
      <c r="F10185" s="3">
        <v>14.32</v>
      </c>
      <c r="G10185" s="3">
        <v>17.8</v>
      </c>
    </row>
    <row r="10186">
      <c r="A10186" s="3">
        <v>784060.0</v>
      </c>
      <c r="B10186" s="3" t="s">
        <v>10214</v>
      </c>
      <c r="C10186" s="3" t="s">
        <v>2807</v>
      </c>
      <c r="D10186" s="3">
        <v>240.0</v>
      </c>
      <c r="E10186" s="3">
        <v>10.93</v>
      </c>
      <c r="F10186" s="3">
        <v>12.96</v>
      </c>
      <c r="G10186" s="3">
        <v>21.79</v>
      </c>
    </row>
    <row r="10187">
      <c r="A10187" s="3">
        <v>784064.0</v>
      </c>
      <c r="B10187" s="3" t="s">
        <v>10215</v>
      </c>
      <c r="C10187" s="3" t="s">
        <v>2807</v>
      </c>
      <c r="D10187" s="3">
        <v>284.0</v>
      </c>
      <c r="E10187" s="3">
        <v>12.85</v>
      </c>
      <c r="F10187" s="3">
        <v>10.82</v>
      </c>
      <c r="G10187" s="3">
        <v>31.07</v>
      </c>
    </row>
    <row r="10188">
      <c r="A10188" s="3">
        <v>784065.0</v>
      </c>
      <c r="B10188" s="3" t="s">
        <v>10216</v>
      </c>
      <c r="C10188" s="3" t="s">
        <v>2807</v>
      </c>
      <c r="D10188" s="3">
        <v>270.0</v>
      </c>
      <c r="E10188" s="3">
        <v>16.3</v>
      </c>
      <c r="F10188" s="3">
        <v>9.03</v>
      </c>
      <c r="G10188" s="3">
        <v>21.69</v>
      </c>
    </row>
    <row r="10189">
      <c r="A10189" s="3">
        <v>784066.0</v>
      </c>
      <c r="B10189" s="3" t="s">
        <v>10217</v>
      </c>
      <c r="C10189" s="3" t="s">
        <v>2807</v>
      </c>
      <c r="D10189" s="3">
        <v>296.0</v>
      </c>
      <c r="E10189" s="3">
        <v>20.76</v>
      </c>
      <c r="F10189" s="3">
        <v>9.0</v>
      </c>
      <c r="G10189" s="3">
        <v>17.56</v>
      </c>
    </row>
    <row r="10190">
      <c r="A10190" s="3">
        <v>784067.0</v>
      </c>
      <c r="B10190" s="3" t="s">
        <v>10218</v>
      </c>
      <c r="C10190" s="3" t="s">
        <v>2807</v>
      </c>
      <c r="D10190" s="3">
        <v>205.0</v>
      </c>
      <c r="E10190" s="3">
        <v>7.32</v>
      </c>
      <c r="F10190" s="3">
        <v>9.44</v>
      </c>
      <c r="G10190" s="3">
        <v>24.49</v>
      </c>
    </row>
    <row r="10191">
      <c r="A10191" s="3">
        <v>784069.0</v>
      </c>
      <c r="B10191" s="3" t="s">
        <v>10219</v>
      </c>
      <c r="C10191" s="3" t="s">
        <v>225</v>
      </c>
      <c r="D10191" s="3">
        <v>81.0</v>
      </c>
      <c r="E10191" s="3">
        <v>4.81</v>
      </c>
      <c r="F10191" s="3">
        <v>3.72</v>
      </c>
      <c r="G10191" s="3">
        <v>5.56</v>
      </c>
    </row>
    <row r="10192">
      <c r="A10192" s="3">
        <v>784070.0</v>
      </c>
      <c r="B10192" s="3" t="s">
        <v>10220</v>
      </c>
      <c r="C10192" s="3" t="s">
        <v>7823</v>
      </c>
      <c r="D10192" s="3">
        <v>111.0</v>
      </c>
      <c r="E10192" s="3">
        <v>6.55</v>
      </c>
      <c r="F10192" s="3">
        <v>11.52</v>
      </c>
      <c r="G10192" s="3">
        <v>0.78</v>
      </c>
    </row>
    <row r="10193">
      <c r="A10193" s="3">
        <v>784071.0</v>
      </c>
      <c r="B10193" s="3" t="s">
        <v>10221</v>
      </c>
      <c r="C10193" s="3" t="s">
        <v>7823</v>
      </c>
      <c r="D10193" s="3">
        <v>108.0</v>
      </c>
      <c r="E10193" s="3">
        <v>6.21</v>
      </c>
      <c r="F10193" s="3">
        <v>11.5</v>
      </c>
      <c r="G10193" s="3">
        <v>0.82</v>
      </c>
    </row>
    <row r="10194">
      <c r="A10194" s="3">
        <v>784072.0</v>
      </c>
      <c r="B10194" s="3" t="s">
        <v>10222</v>
      </c>
      <c r="C10194" s="3" t="s">
        <v>7823</v>
      </c>
      <c r="D10194" s="3">
        <v>119.0</v>
      </c>
      <c r="E10194" s="3">
        <v>7.38</v>
      </c>
      <c r="F10194" s="3">
        <v>11.52</v>
      </c>
      <c r="G10194" s="3">
        <v>0.77</v>
      </c>
    </row>
    <row r="10195">
      <c r="A10195" s="3">
        <v>784073.0</v>
      </c>
      <c r="B10195" s="3" t="s">
        <v>10223</v>
      </c>
      <c r="C10195" s="3" t="s">
        <v>7823</v>
      </c>
      <c r="D10195" s="3">
        <v>108.0</v>
      </c>
      <c r="E10195" s="3">
        <v>6.24</v>
      </c>
      <c r="F10195" s="3">
        <v>11.55</v>
      </c>
      <c r="G10195" s="3">
        <v>0.77</v>
      </c>
    </row>
    <row r="10196">
      <c r="A10196" s="3">
        <v>784074.0</v>
      </c>
      <c r="B10196" s="3" t="s">
        <v>10224</v>
      </c>
      <c r="C10196" s="3" t="s">
        <v>7823</v>
      </c>
      <c r="D10196" s="3">
        <v>64.0</v>
      </c>
      <c r="E10196" s="3">
        <v>0.72</v>
      </c>
      <c r="F10196" s="3">
        <v>12.22</v>
      </c>
      <c r="G10196" s="3">
        <v>0.96</v>
      </c>
    </row>
    <row r="10197">
      <c r="A10197" s="3">
        <v>784075.0</v>
      </c>
      <c r="B10197" s="3" t="s">
        <v>10225</v>
      </c>
      <c r="C10197" s="3" t="s">
        <v>7823</v>
      </c>
      <c r="D10197" s="3">
        <v>111.0</v>
      </c>
      <c r="E10197" s="3">
        <v>6.55</v>
      </c>
      <c r="F10197" s="3">
        <v>11.52</v>
      </c>
      <c r="G10197" s="3">
        <v>0.78</v>
      </c>
    </row>
    <row r="10198">
      <c r="A10198" s="3">
        <v>784076.0</v>
      </c>
      <c r="B10198" s="3" t="s">
        <v>10226</v>
      </c>
      <c r="C10198" s="3" t="s">
        <v>7823</v>
      </c>
      <c r="D10198" s="3">
        <v>59.0</v>
      </c>
      <c r="E10198" s="3">
        <v>0.19</v>
      </c>
      <c r="F10198" s="3">
        <v>12.29</v>
      </c>
      <c r="G10198" s="3">
        <v>0.82</v>
      </c>
    </row>
    <row r="10199">
      <c r="A10199" s="3">
        <v>784077.0</v>
      </c>
      <c r="B10199" s="3" t="s">
        <v>10227</v>
      </c>
      <c r="C10199" s="3" t="s">
        <v>7823</v>
      </c>
      <c r="D10199" s="3">
        <v>167.0</v>
      </c>
      <c r="E10199" s="3">
        <v>11.67</v>
      </c>
      <c r="F10199" s="3">
        <v>13.56</v>
      </c>
      <c r="G10199" s="3">
        <v>1.16</v>
      </c>
    </row>
    <row r="10200">
      <c r="A10200" s="3">
        <v>784078.0</v>
      </c>
      <c r="B10200" s="3" t="s">
        <v>10228</v>
      </c>
      <c r="C10200" s="3" t="s">
        <v>7823</v>
      </c>
      <c r="D10200" s="3">
        <v>118.0</v>
      </c>
      <c r="E10200" s="3">
        <v>5.81</v>
      </c>
      <c r="F10200" s="3">
        <v>14.34</v>
      </c>
      <c r="G10200" s="3">
        <v>1.22</v>
      </c>
    </row>
    <row r="10201">
      <c r="A10201" s="3">
        <v>784079.0</v>
      </c>
      <c r="B10201" s="3" t="s">
        <v>10229</v>
      </c>
      <c r="C10201" s="3" t="s">
        <v>7823</v>
      </c>
      <c r="D10201" s="3">
        <v>167.0</v>
      </c>
      <c r="E10201" s="3">
        <v>11.67</v>
      </c>
      <c r="F10201" s="3">
        <v>13.56</v>
      </c>
      <c r="G10201" s="3">
        <v>1.16</v>
      </c>
    </row>
    <row r="10202">
      <c r="A10202" s="3">
        <v>784080.0</v>
      </c>
      <c r="B10202" s="3" t="s">
        <v>10230</v>
      </c>
      <c r="C10202" s="3" t="s">
        <v>7823</v>
      </c>
      <c r="D10202" s="3">
        <v>195.0</v>
      </c>
      <c r="E10202" s="3">
        <v>13.55</v>
      </c>
      <c r="F10202" s="3">
        <v>15.7</v>
      </c>
      <c r="G10202" s="3">
        <v>1.6</v>
      </c>
    </row>
    <row r="10203">
      <c r="A10203" s="3">
        <v>784081.0</v>
      </c>
      <c r="B10203" s="3" t="s">
        <v>10231</v>
      </c>
      <c r="C10203" s="3" t="s">
        <v>7823</v>
      </c>
      <c r="D10203" s="3">
        <v>161.0</v>
      </c>
      <c r="E10203" s="3">
        <v>9.38</v>
      </c>
      <c r="F10203" s="3">
        <v>16.35</v>
      </c>
      <c r="G10203" s="3">
        <v>1.67</v>
      </c>
    </row>
    <row r="10204">
      <c r="A10204" s="3">
        <v>784082.0</v>
      </c>
      <c r="B10204" s="3" t="s">
        <v>10232</v>
      </c>
      <c r="C10204" s="3" t="s">
        <v>7823</v>
      </c>
      <c r="D10204" s="3">
        <v>195.0</v>
      </c>
      <c r="E10204" s="3">
        <v>13.55</v>
      </c>
      <c r="F10204" s="3">
        <v>15.7</v>
      </c>
      <c r="G10204" s="3">
        <v>1.6</v>
      </c>
    </row>
    <row r="10205">
      <c r="A10205" s="3">
        <v>784083.0</v>
      </c>
      <c r="B10205" s="3" t="s">
        <v>10233</v>
      </c>
      <c r="C10205" s="3" t="s">
        <v>7823</v>
      </c>
      <c r="D10205" s="3">
        <v>113.0</v>
      </c>
      <c r="E10205" s="3">
        <v>7.71</v>
      </c>
      <c r="F10205" s="3">
        <v>7.77</v>
      </c>
      <c r="G10205" s="3">
        <v>2.99</v>
      </c>
    </row>
    <row r="10206">
      <c r="A10206" s="3">
        <v>784084.0</v>
      </c>
      <c r="B10206" s="3" t="s">
        <v>10234</v>
      </c>
      <c r="C10206" s="3" t="s">
        <v>7823</v>
      </c>
      <c r="D10206" s="3">
        <v>49.0</v>
      </c>
      <c r="E10206" s="3">
        <v>0.19</v>
      </c>
      <c r="F10206" s="3">
        <v>8.32</v>
      </c>
      <c r="G10206" s="3">
        <v>3.2</v>
      </c>
    </row>
    <row r="10207">
      <c r="A10207" s="3">
        <v>784085.0</v>
      </c>
      <c r="B10207" s="3" t="s">
        <v>10235</v>
      </c>
      <c r="C10207" s="3" t="s">
        <v>7823</v>
      </c>
      <c r="D10207" s="3">
        <v>113.0</v>
      </c>
      <c r="E10207" s="3">
        <v>7.71</v>
      </c>
      <c r="F10207" s="3">
        <v>7.77</v>
      </c>
      <c r="G10207" s="3">
        <v>2.99</v>
      </c>
    </row>
    <row r="10208">
      <c r="A10208" s="3">
        <v>784086.0</v>
      </c>
      <c r="B10208" s="3" t="s">
        <v>10236</v>
      </c>
      <c r="C10208" s="3" t="s">
        <v>7823</v>
      </c>
      <c r="D10208" s="3">
        <v>219.0</v>
      </c>
      <c r="E10208" s="3">
        <v>15.83</v>
      </c>
      <c r="F10208" s="3">
        <v>16.66</v>
      </c>
      <c r="G10208" s="3">
        <v>1.78</v>
      </c>
    </row>
    <row r="10209">
      <c r="A10209" s="3">
        <v>784087.0</v>
      </c>
      <c r="B10209" s="3" t="s">
        <v>10237</v>
      </c>
      <c r="C10209" s="3" t="s">
        <v>7823</v>
      </c>
      <c r="D10209" s="3">
        <v>190.0</v>
      </c>
      <c r="E10209" s="3">
        <v>12.16</v>
      </c>
      <c r="F10209" s="3">
        <v>17.29</v>
      </c>
      <c r="G10209" s="3">
        <v>1.85</v>
      </c>
    </row>
    <row r="10210">
      <c r="A10210" s="3">
        <v>784088.0</v>
      </c>
      <c r="B10210" s="3" t="s">
        <v>10238</v>
      </c>
      <c r="C10210" s="3" t="s">
        <v>7823</v>
      </c>
      <c r="D10210" s="3">
        <v>219.0</v>
      </c>
      <c r="E10210" s="3">
        <v>15.83</v>
      </c>
      <c r="F10210" s="3">
        <v>16.66</v>
      </c>
      <c r="G10210" s="3">
        <v>1.78</v>
      </c>
    </row>
    <row r="10211">
      <c r="A10211" s="3">
        <v>784089.0</v>
      </c>
      <c r="B10211" s="3" t="s">
        <v>10239</v>
      </c>
      <c r="C10211" s="3" t="s">
        <v>7823</v>
      </c>
      <c r="D10211" s="3">
        <v>145.0</v>
      </c>
      <c r="E10211" s="3">
        <v>10.53</v>
      </c>
      <c r="F10211" s="3">
        <v>9.47</v>
      </c>
      <c r="G10211" s="3">
        <v>3.04</v>
      </c>
    </row>
    <row r="10212">
      <c r="A10212" s="3">
        <v>784090.0</v>
      </c>
      <c r="B10212" s="3" t="s">
        <v>10240</v>
      </c>
      <c r="C10212" s="3" t="s">
        <v>7823</v>
      </c>
      <c r="D10212" s="3">
        <v>90.0</v>
      </c>
      <c r="E10212" s="3">
        <v>3.94</v>
      </c>
      <c r="F10212" s="3">
        <v>10.08</v>
      </c>
      <c r="G10212" s="3">
        <v>3.23</v>
      </c>
    </row>
    <row r="10213">
      <c r="A10213" s="3">
        <v>784091.0</v>
      </c>
      <c r="B10213" s="3" t="s">
        <v>10241</v>
      </c>
      <c r="C10213" s="3" t="s">
        <v>7823</v>
      </c>
      <c r="D10213" s="3">
        <v>145.0</v>
      </c>
      <c r="E10213" s="3">
        <v>10.53</v>
      </c>
      <c r="F10213" s="3">
        <v>9.47</v>
      </c>
      <c r="G10213" s="3">
        <v>3.04</v>
      </c>
    </row>
    <row r="10214">
      <c r="A10214" s="3">
        <v>784092.0</v>
      </c>
      <c r="B10214" s="3" t="s">
        <v>10242</v>
      </c>
      <c r="C10214" s="3" t="s">
        <v>7823</v>
      </c>
      <c r="D10214" s="3">
        <v>175.0</v>
      </c>
      <c r="E10214" s="3">
        <v>12.83</v>
      </c>
      <c r="F10214" s="3">
        <v>12.32</v>
      </c>
      <c r="G10214" s="3">
        <v>2.15</v>
      </c>
    </row>
    <row r="10215">
      <c r="A10215" s="3">
        <v>784093.0</v>
      </c>
      <c r="B10215" s="3" t="s">
        <v>10243</v>
      </c>
      <c r="C10215" s="3" t="s">
        <v>7823</v>
      </c>
      <c r="D10215" s="3">
        <v>118.0</v>
      </c>
      <c r="E10215" s="3">
        <v>5.88</v>
      </c>
      <c r="F10215" s="3">
        <v>13.17</v>
      </c>
      <c r="G10215" s="3">
        <v>2.29</v>
      </c>
    </row>
    <row r="10216">
      <c r="A10216" s="3">
        <v>784094.0</v>
      </c>
      <c r="B10216" s="3" t="s">
        <v>10244</v>
      </c>
      <c r="C10216" s="3" t="s">
        <v>7823</v>
      </c>
      <c r="D10216" s="3">
        <v>175.0</v>
      </c>
      <c r="E10216" s="3">
        <v>12.83</v>
      </c>
      <c r="F10216" s="3">
        <v>12.32</v>
      </c>
      <c r="G10216" s="3">
        <v>2.15</v>
      </c>
    </row>
    <row r="10217">
      <c r="A10217" s="3">
        <v>784095.0</v>
      </c>
      <c r="B10217" s="3" t="s">
        <v>10245</v>
      </c>
      <c r="C10217" s="3" t="s">
        <v>7823</v>
      </c>
      <c r="D10217" s="3">
        <v>201.0</v>
      </c>
      <c r="E10217" s="3">
        <v>15.11</v>
      </c>
      <c r="F10217" s="3">
        <v>13.57</v>
      </c>
      <c r="G10217" s="3">
        <v>2.27</v>
      </c>
    </row>
    <row r="10218">
      <c r="A10218" s="3">
        <v>784096.0</v>
      </c>
      <c r="B10218" s="3" t="s">
        <v>10246</v>
      </c>
      <c r="C10218" s="3" t="s">
        <v>7823</v>
      </c>
      <c r="D10218" s="3">
        <v>151.0</v>
      </c>
      <c r="E10218" s="3">
        <v>8.98</v>
      </c>
      <c r="F10218" s="3">
        <v>14.41</v>
      </c>
      <c r="G10218" s="3">
        <v>2.41</v>
      </c>
    </row>
    <row r="10219">
      <c r="A10219" s="3">
        <v>784097.0</v>
      </c>
      <c r="B10219" s="3" t="s">
        <v>10247</v>
      </c>
      <c r="C10219" s="3" t="s">
        <v>7823</v>
      </c>
      <c r="D10219" s="3">
        <v>201.0</v>
      </c>
      <c r="E10219" s="3">
        <v>15.11</v>
      </c>
      <c r="F10219" s="3">
        <v>13.57</v>
      </c>
      <c r="G10219" s="3">
        <v>2.27</v>
      </c>
    </row>
    <row r="10220">
      <c r="A10220" s="3">
        <v>784098.0</v>
      </c>
      <c r="B10220" s="3" t="s">
        <v>10248</v>
      </c>
      <c r="C10220" s="3" t="s">
        <v>38</v>
      </c>
      <c r="D10220" s="3">
        <v>322.0</v>
      </c>
      <c r="E10220" s="3">
        <v>0.11</v>
      </c>
      <c r="F10220" s="3">
        <v>7.31</v>
      </c>
      <c r="G10220" s="3">
        <v>74.29</v>
      </c>
    </row>
    <row r="10221">
      <c r="A10221" s="3">
        <v>784099.0</v>
      </c>
      <c r="B10221" s="3" t="s">
        <v>10249</v>
      </c>
      <c r="C10221" s="3" t="s">
        <v>7823</v>
      </c>
      <c r="D10221" s="3">
        <v>107.0</v>
      </c>
      <c r="E10221" s="3">
        <v>6.37</v>
      </c>
      <c r="F10221" s="3">
        <v>10.57</v>
      </c>
      <c r="G10221" s="3">
        <v>2.12</v>
      </c>
    </row>
    <row r="10222">
      <c r="A10222" s="3">
        <v>784100.0</v>
      </c>
      <c r="B10222" s="3" t="s">
        <v>10250</v>
      </c>
      <c r="C10222" s="3" t="s">
        <v>7823</v>
      </c>
      <c r="D10222" s="3">
        <v>104.0</v>
      </c>
      <c r="E10222" s="3">
        <v>6.03</v>
      </c>
      <c r="F10222" s="3">
        <v>10.55</v>
      </c>
      <c r="G10222" s="3">
        <v>2.16</v>
      </c>
    </row>
    <row r="10223">
      <c r="A10223" s="3">
        <v>784101.0</v>
      </c>
      <c r="B10223" s="3" t="s">
        <v>10251</v>
      </c>
      <c r="C10223" s="3" t="s">
        <v>7823</v>
      </c>
      <c r="D10223" s="3">
        <v>114.0</v>
      </c>
      <c r="E10223" s="3">
        <v>7.2</v>
      </c>
      <c r="F10223" s="3">
        <v>10.56</v>
      </c>
      <c r="G10223" s="3">
        <v>2.11</v>
      </c>
    </row>
    <row r="10224">
      <c r="A10224" s="3">
        <v>784102.0</v>
      </c>
      <c r="B10224" s="3" t="s">
        <v>10252</v>
      </c>
      <c r="C10224" s="3" t="s">
        <v>7823</v>
      </c>
      <c r="D10224" s="3">
        <v>104.0</v>
      </c>
      <c r="E10224" s="3">
        <v>6.06</v>
      </c>
      <c r="F10224" s="3">
        <v>10.6</v>
      </c>
      <c r="G10224" s="3">
        <v>2.11</v>
      </c>
    </row>
    <row r="10225">
      <c r="A10225" s="3">
        <v>784103.0</v>
      </c>
      <c r="B10225" s="3" t="s">
        <v>10253</v>
      </c>
      <c r="C10225" s="3" t="s">
        <v>7823</v>
      </c>
      <c r="D10225" s="3">
        <v>107.0</v>
      </c>
      <c r="E10225" s="3">
        <v>6.37</v>
      </c>
      <c r="F10225" s="3">
        <v>10.57</v>
      </c>
      <c r="G10225" s="3">
        <v>2.12</v>
      </c>
    </row>
    <row r="10226">
      <c r="A10226" s="3">
        <v>784104.0</v>
      </c>
      <c r="B10226" s="3" t="s">
        <v>10254</v>
      </c>
      <c r="C10226" s="3" t="s">
        <v>7823</v>
      </c>
      <c r="D10226" s="3">
        <v>59.0</v>
      </c>
      <c r="E10226" s="3">
        <v>0.53</v>
      </c>
      <c r="F10226" s="3">
        <v>11.21</v>
      </c>
      <c r="G10226" s="3">
        <v>2.38</v>
      </c>
    </row>
    <row r="10227">
      <c r="A10227" s="3">
        <v>784105.0</v>
      </c>
      <c r="B10227" s="3" t="s">
        <v>10255</v>
      </c>
      <c r="C10227" s="3" t="s">
        <v>7823</v>
      </c>
      <c r="D10227" s="3">
        <v>54.0</v>
      </c>
      <c r="E10227" s="3">
        <v>0.0</v>
      </c>
      <c r="F10227" s="3">
        <v>11.28</v>
      </c>
      <c r="G10227" s="3">
        <v>2.26</v>
      </c>
    </row>
    <row r="10228">
      <c r="A10228" s="3">
        <v>784106.0</v>
      </c>
      <c r="B10228" s="3" t="s">
        <v>10256</v>
      </c>
      <c r="C10228" s="3" t="s">
        <v>7823</v>
      </c>
      <c r="D10228" s="3">
        <v>114.0</v>
      </c>
      <c r="E10228" s="3">
        <v>7.2</v>
      </c>
      <c r="F10228" s="3">
        <v>10.56</v>
      </c>
      <c r="G10228" s="3">
        <v>2.11</v>
      </c>
    </row>
    <row r="10229">
      <c r="A10229" s="3">
        <v>784107.0</v>
      </c>
      <c r="B10229" s="3" t="s">
        <v>10257</v>
      </c>
      <c r="C10229" s="3" t="s">
        <v>7823</v>
      </c>
      <c r="D10229" s="3">
        <v>54.0</v>
      </c>
      <c r="E10229" s="3">
        <v>0.0</v>
      </c>
      <c r="F10229" s="3">
        <v>11.28</v>
      </c>
      <c r="G10229" s="3">
        <v>2.26</v>
      </c>
    </row>
    <row r="10230">
      <c r="A10230" s="3">
        <v>784108.0</v>
      </c>
      <c r="B10230" s="3" t="s">
        <v>10258</v>
      </c>
      <c r="C10230" s="3" t="s">
        <v>7823</v>
      </c>
      <c r="D10230" s="3">
        <v>114.0</v>
      </c>
      <c r="E10230" s="3">
        <v>7.2</v>
      </c>
      <c r="F10230" s="3">
        <v>10.56</v>
      </c>
      <c r="G10230" s="3">
        <v>2.11</v>
      </c>
    </row>
    <row r="10231">
      <c r="A10231" s="3">
        <v>784109.0</v>
      </c>
      <c r="B10231" s="3" t="s">
        <v>10259</v>
      </c>
      <c r="C10231" s="3" t="s">
        <v>7823</v>
      </c>
      <c r="D10231" s="3">
        <v>114.0</v>
      </c>
      <c r="E10231" s="3">
        <v>7.2</v>
      </c>
      <c r="F10231" s="3">
        <v>10.56</v>
      </c>
      <c r="G10231" s="3">
        <v>2.11</v>
      </c>
    </row>
    <row r="10232">
      <c r="A10232" s="3">
        <v>784110.0</v>
      </c>
      <c r="B10232" s="3" t="s">
        <v>10260</v>
      </c>
      <c r="C10232" s="3" t="s">
        <v>7823</v>
      </c>
      <c r="D10232" s="3">
        <v>54.0</v>
      </c>
      <c r="E10232" s="3">
        <v>0.0</v>
      </c>
      <c r="F10232" s="3">
        <v>11.28</v>
      </c>
      <c r="G10232" s="3">
        <v>2.26</v>
      </c>
    </row>
    <row r="10233">
      <c r="A10233" s="3">
        <v>784111.0</v>
      </c>
      <c r="B10233" s="3" t="s">
        <v>10261</v>
      </c>
      <c r="C10233" s="3" t="s">
        <v>7823</v>
      </c>
      <c r="D10233" s="3">
        <v>114.0</v>
      </c>
      <c r="E10233" s="3">
        <v>7.2</v>
      </c>
      <c r="F10233" s="3">
        <v>10.56</v>
      </c>
      <c r="G10233" s="3">
        <v>2.11</v>
      </c>
    </row>
    <row r="10234">
      <c r="A10234" s="3">
        <v>784112.0</v>
      </c>
      <c r="B10234" s="3" t="s">
        <v>10262</v>
      </c>
      <c r="C10234" s="3" t="s">
        <v>7823</v>
      </c>
      <c r="D10234" s="3">
        <v>163.0</v>
      </c>
      <c r="E10234" s="3">
        <v>11.52</v>
      </c>
      <c r="F10234" s="3">
        <v>12.74</v>
      </c>
      <c r="G10234" s="3">
        <v>2.31</v>
      </c>
    </row>
    <row r="10235">
      <c r="A10235" s="3">
        <v>784113.0</v>
      </c>
      <c r="B10235" s="3" t="s">
        <v>10263</v>
      </c>
      <c r="C10235" s="3" t="s">
        <v>7823</v>
      </c>
      <c r="D10235" s="3">
        <v>115.0</v>
      </c>
      <c r="E10235" s="3">
        <v>5.64</v>
      </c>
      <c r="F10235" s="3">
        <v>13.47</v>
      </c>
      <c r="G10235" s="3">
        <v>2.44</v>
      </c>
    </row>
    <row r="10236">
      <c r="A10236" s="3">
        <v>784114.0</v>
      </c>
      <c r="B10236" s="3" t="s">
        <v>10264</v>
      </c>
      <c r="C10236" s="3" t="s">
        <v>7823</v>
      </c>
      <c r="D10236" s="3">
        <v>163.0</v>
      </c>
      <c r="E10236" s="3">
        <v>11.52</v>
      </c>
      <c r="F10236" s="3">
        <v>12.74</v>
      </c>
      <c r="G10236" s="3">
        <v>2.31</v>
      </c>
    </row>
    <row r="10237">
      <c r="A10237" s="3">
        <v>784115.0</v>
      </c>
      <c r="B10237" s="3" t="s">
        <v>10265</v>
      </c>
      <c r="C10237" s="3" t="s">
        <v>7823</v>
      </c>
      <c r="D10237" s="3">
        <v>192.0</v>
      </c>
      <c r="E10237" s="3">
        <v>13.44</v>
      </c>
      <c r="F10237" s="3">
        <v>15.1</v>
      </c>
      <c r="G10237" s="3">
        <v>2.45</v>
      </c>
    </row>
    <row r="10238">
      <c r="A10238" s="3">
        <v>784116.0</v>
      </c>
      <c r="B10238" s="3" t="s">
        <v>10266</v>
      </c>
      <c r="C10238" s="3" t="s">
        <v>7823</v>
      </c>
      <c r="D10238" s="3">
        <v>158.0</v>
      </c>
      <c r="E10238" s="3">
        <v>9.26</v>
      </c>
      <c r="F10238" s="3">
        <v>15.72</v>
      </c>
      <c r="G10238" s="3">
        <v>2.55</v>
      </c>
    </row>
    <row r="10239">
      <c r="A10239" s="3">
        <v>784117.0</v>
      </c>
      <c r="B10239" s="3" t="s">
        <v>10267</v>
      </c>
      <c r="C10239" s="3" t="s">
        <v>7823</v>
      </c>
      <c r="D10239" s="3">
        <v>192.0</v>
      </c>
      <c r="E10239" s="3">
        <v>13.44</v>
      </c>
      <c r="F10239" s="3">
        <v>15.1</v>
      </c>
      <c r="G10239" s="3">
        <v>2.45</v>
      </c>
    </row>
    <row r="10240">
      <c r="A10240" s="3">
        <v>784118.0</v>
      </c>
      <c r="B10240" s="3" t="s">
        <v>10268</v>
      </c>
      <c r="C10240" s="3" t="s">
        <v>7823</v>
      </c>
      <c r="D10240" s="3">
        <v>110.0</v>
      </c>
      <c r="E10240" s="3">
        <v>7.6</v>
      </c>
      <c r="F10240" s="3">
        <v>7.17</v>
      </c>
      <c r="G10240" s="3">
        <v>3.83</v>
      </c>
    </row>
    <row r="10241">
      <c r="A10241" s="3">
        <v>784119.0</v>
      </c>
      <c r="B10241" s="3" t="s">
        <v>10269</v>
      </c>
      <c r="C10241" s="3" t="s">
        <v>7823</v>
      </c>
      <c r="D10241" s="3">
        <v>46.0</v>
      </c>
      <c r="E10241" s="3">
        <v>0.07</v>
      </c>
      <c r="F10241" s="3">
        <v>7.68</v>
      </c>
      <c r="G10241" s="3">
        <v>4.1</v>
      </c>
    </row>
    <row r="10242">
      <c r="A10242" s="3">
        <v>784120.0</v>
      </c>
      <c r="B10242" s="3" t="s">
        <v>10270</v>
      </c>
      <c r="C10242" s="3" t="s">
        <v>7823</v>
      </c>
      <c r="D10242" s="3">
        <v>110.0</v>
      </c>
      <c r="E10242" s="3">
        <v>7.6</v>
      </c>
      <c r="F10242" s="3">
        <v>7.17</v>
      </c>
      <c r="G10242" s="3">
        <v>3.83</v>
      </c>
    </row>
    <row r="10243">
      <c r="A10243" s="3">
        <v>784121.0</v>
      </c>
      <c r="B10243" s="3" t="s">
        <v>10271</v>
      </c>
      <c r="C10243" s="3" t="s">
        <v>7823</v>
      </c>
      <c r="D10243" s="3">
        <v>217.0</v>
      </c>
      <c r="E10243" s="3">
        <v>15.73</v>
      </c>
      <c r="F10243" s="3">
        <v>16.12</v>
      </c>
      <c r="G10243" s="3">
        <v>2.55</v>
      </c>
    </row>
    <row r="10244">
      <c r="A10244" s="3">
        <v>784122.0</v>
      </c>
      <c r="B10244" s="3" t="s">
        <v>10272</v>
      </c>
      <c r="C10244" s="3" t="s">
        <v>7823</v>
      </c>
      <c r="D10244" s="3">
        <v>187.0</v>
      </c>
      <c r="E10244" s="3">
        <v>12.05</v>
      </c>
      <c r="F10244" s="3">
        <v>16.72</v>
      </c>
      <c r="G10244" s="3">
        <v>2.64</v>
      </c>
    </row>
    <row r="10245">
      <c r="A10245" s="3">
        <v>784123.0</v>
      </c>
      <c r="B10245" s="3" t="s">
        <v>10273</v>
      </c>
      <c r="C10245" s="3" t="s">
        <v>7823</v>
      </c>
      <c r="D10245" s="3">
        <v>217.0</v>
      </c>
      <c r="E10245" s="3">
        <v>15.73</v>
      </c>
      <c r="F10245" s="3">
        <v>16.12</v>
      </c>
      <c r="G10245" s="3">
        <v>2.55</v>
      </c>
    </row>
    <row r="10246">
      <c r="A10246" s="3">
        <v>784124.0</v>
      </c>
      <c r="B10246" s="3" t="s">
        <v>10274</v>
      </c>
      <c r="C10246" s="3" t="s">
        <v>7823</v>
      </c>
      <c r="D10246" s="3">
        <v>142.0</v>
      </c>
      <c r="E10246" s="3">
        <v>10.42</v>
      </c>
      <c r="F10246" s="3">
        <v>8.93</v>
      </c>
      <c r="G10246" s="3">
        <v>3.8</v>
      </c>
    </row>
    <row r="10247">
      <c r="A10247" s="3">
        <v>784125.0</v>
      </c>
      <c r="B10247" s="3" t="s">
        <v>10275</v>
      </c>
      <c r="C10247" s="3" t="s">
        <v>7823</v>
      </c>
      <c r="D10247" s="3">
        <v>87.0</v>
      </c>
      <c r="E10247" s="3">
        <v>3.83</v>
      </c>
      <c r="F10247" s="3">
        <v>9.5</v>
      </c>
      <c r="G10247" s="3">
        <v>4.04</v>
      </c>
    </row>
    <row r="10248">
      <c r="A10248" s="3">
        <v>784126.0</v>
      </c>
      <c r="B10248" s="3" t="s">
        <v>10276</v>
      </c>
      <c r="C10248" s="3" t="s">
        <v>7823</v>
      </c>
      <c r="D10248" s="3">
        <v>142.0</v>
      </c>
      <c r="E10248" s="3">
        <v>10.42</v>
      </c>
      <c r="F10248" s="3">
        <v>8.93</v>
      </c>
      <c r="G10248" s="3">
        <v>3.8</v>
      </c>
    </row>
    <row r="10249">
      <c r="A10249" s="3">
        <v>784127.0</v>
      </c>
      <c r="B10249" s="3" t="s">
        <v>10277</v>
      </c>
      <c r="C10249" s="3" t="s">
        <v>7823</v>
      </c>
      <c r="D10249" s="3">
        <v>173.0</v>
      </c>
      <c r="E10249" s="3">
        <v>12.72</v>
      </c>
      <c r="F10249" s="3">
        <v>11.74</v>
      </c>
      <c r="G10249" s="3">
        <v>2.97</v>
      </c>
    </row>
    <row r="10250">
      <c r="A10250" s="3">
        <v>784128.0</v>
      </c>
      <c r="B10250" s="3" t="s">
        <v>10278</v>
      </c>
      <c r="C10250" s="3" t="s">
        <v>7823</v>
      </c>
      <c r="D10250" s="3">
        <v>115.0</v>
      </c>
      <c r="E10250" s="3">
        <v>5.76</v>
      </c>
      <c r="F10250" s="3">
        <v>12.55</v>
      </c>
      <c r="G10250" s="3">
        <v>3.17</v>
      </c>
    </row>
    <row r="10251">
      <c r="A10251" s="3">
        <v>784129.0</v>
      </c>
      <c r="B10251" s="3" t="s">
        <v>10279</v>
      </c>
      <c r="C10251" s="3" t="s">
        <v>7823</v>
      </c>
      <c r="D10251" s="3">
        <v>173.0</v>
      </c>
      <c r="E10251" s="3">
        <v>12.72</v>
      </c>
      <c r="F10251" s="3">
        <v>11.74</v>
      </c>
      <c r="G10251" s="3">
        <v>2.97</v>
      </c>
    </row>
    <row r="10252">
      <c r="A10252" s="3">
        <v>784130.0</v>
      </c>
      <c r="B10252" s="3" t="s">
        <v>10280</v>
      </c>
      <c r="C10252" s="3" t="s">
        <v>7823</v>
      </c>
      <c r="D10252" s="3">
        <v>199.0</v>
      </c>
      <c r="E10252" s="3">
        <v>15.01</v>
      </c>
      <c r="F10252" s="3">
        <v>13.04</v>
      </c>
      <c r="G10252" s="3">
        <v>3.02</v>
      </c>
    </row>
    <row r="10253">
      <c r="A10253" s="3">
        <v>784131.0</v>
      </c>
      <c r="B10253" s="3" t="s">
        <v>10281</v>
      </c>
      <c r="C10253" s="3" t="s">
        <v>7823</v>
      </c>
      <c r="D10253" s="3">
        <v>148.0</v>
      </c>
      <c r="E10253" s="3">
        <v>8.87</v>
      </c>
      <c r="F10253" s="3">
        <v>13.85</v>
      </c>
      <c r="G10253" s="3">
        <v>3.2</v>
      </c>
    </row>
    <row r="10254">
      <c r="A10254" s="3">
        <v>784132.0</v>
      </c>
      <c r="B10254" s="3" t="s">
        <v>10282</v>
      </c>
      <c r="C10254" s="3" t="s">
        <v>7823</v>
      </c>
      <c r="D10254" s="3">
        <v>199.0</v>
      </c>
      <c r="E10254" s="3">
        <v>15.01</v>
      </c>
      <c r="F10254" s="3">
        <v>13.04</v>
      </c>
      <c r="G10254" s="3">
        <v>3.02</v>
      </c>
    </row>
    <row r="10255">
      <c r="A10255" s="3">
        <v>784133.0</v>
      </c>
      <c r="B10255" s="3" t="s">
        <v>10283</v>
      </c>
      <c r="C10255" s="3" t="s">
        <v>228</v>
      </c>
      <c r="D10255" s="3">
        <v>197.0</v>
      </c>
      <c r="E10255" s="3">
        <v>7.94</v>
      </c>
      <c r="F10255" s="3">
        <v>8.3</v>
      </c>
      <c r="G10255" s="3">
        <v>24.15</v>
      </c>
    </row>
    <row r="10256">
      <c r="A10256" s="3">
        <v>784134.0</v>
      </c>
      <c r="B10256" s="3" t="s">
        <v>10284</v>
      </c>
      <c r="C10256" s="3" t="s">
        <v>228</v>
      </c>
      <c r="D10256" s="3">
        <v>197.0</v>
      </c>
      <c r="E10256" s="3">
        <v>7.94</v>
      </c>
      <c r="F10256" s="3">
        <v>8.3</v>
      </c>
      <c r="G10256" s="3">
        <v>24.15</v>
      </c>
    </row>
    <row r="10257">
      <c r="A10257" s="3">
        <v>784135.0</v>
      </c>
      <c r="B10257" s="3" t="s">
        <v>10285</v>
      </c>
      <c r="C10257" s="3" t="s">
        <v>228</v>
      </c>
      <c r="D10257" s="3">
        <v>142.0</v>
      </c>
      <c r="E10257" s="3">
        <v>0.65</v>
      </c>
      <c r="F10257" s="3">
        <v>8.96</v>
      </c>
      <c r="G10257" s="3">
        <v>26.07</v>
      </c>
    </row>
    <row r="10258">
      <c r="A10258" s="3">
        <v>784136.0</v>
      </c>
      <c r="B10258" s="3" t="s">
        <v>10286</v>
      </c>
      <c r="C10258" s="3" t="s">
        <v>228</v>
      </c>
      <c r="D10258" s="3">
        <v>189.0</v>
      </c>
      <c r="E10258" s="3">
        <v>7.9</v>
      </c>
      <c r="F10258" s="3">
        <v>7.12</v>
      </c>
      <c r="G10258" s="3">
        <v>23.49</v>
      </c>
    </row>
    <row r="10259">
      <c r="A10259" s="3">
        <v>784137.0</v>
      </c>
      <c r="B10259" s="3" t="s">
        <v>10287</v>
      </c>
      <c r="C10259" s="3" t="s">
        <v>228</v>
      </c>
      <c r="D10259" s="3">
        <v>189.0</v>
      </c>
      <c r="E10259" s="3">
        <v>7.9</v>
      </c>
      <c r="F10259" s="3">
        <v>7.12</v>
      </c>
      <c r="G10259" s="3">
        <v>23.49</v>
      </c>
    </row>
    <row r="10260">
      <c r="A10260" s="3">
        <v>784138.0</v>
      </c>
      <c r="B10260" s="3" t="s">
        <v>10288</v>
      </c>
      <c r="C10260" s="3" t="s">
        <v>228</v>
      </c>
      <c r="D10260" s="3">
        <v>137.0</v>
      </c>
      <c r="E10260" s="3">
        <v>0.93</v>
      </c>
      <c r="F10260" s="3">
        <v>7.66</v>
      </c>
      <c r="G10260" s="3">
        <v>25.27</v>
      </c>
    </row>
    <row r="10261">
      <c r="A10261" s="3">
        <v>784139.0</v>
      </c>
      <c r="B10261" s="3" t="s">
        <v>10289</v>
      </c>
      <c r="C10261" s="3" t="s">
        <v>228</v>
      </c>
      <c r="D10261" s="3">
        <v>191.0</v>
      </c>
      <c r="E10261" s="3">
        <v>7.36</v>
      </c>
      <c r="F10261" s="3">
        <v>8.99</v>
      </c>
      <c r="G10261" s="3">
        <v>23.2</v>
      </c>
    </row>
    <row r="10262">
      <c r="A10262" s="3">
        <v>784140.0</v>
      </c>
      <c r="B10262" s="3" t="s">
        <v>10290</v>
      </c>
      <c r="C10262" s="3" t="s">
        <v>228</v>
      </c>
      <c r="D10262" s="3">
        <v>191.0</v>
      </c>
      <c r="E10262" s="3">
        <v>7.36</v>
      </c>
      <c r="F10262" s="3">
        <v>8.99</v>
      </c>
      <c r="G10262" s="3">
        <v>23.2</v>
      </c>
    </row>
    <row r="10263">
      <c r="A10263" s="3">
        <v>784141.0</v>
      </c>
      <c r="B10263" s="3" t="s">
        <v>10291</v>
      </c>
      <c r="C10263" s="3" t="s">
        <v>228</v>
      </c>
      <c r="D10263" s="3">
        <v>191.0</v>
      </c>
      <c r="E10263" s="3">
        <v>7.36</v>
      </c>
      <c r="F10263" s="3">
        <v>8.99</v>
      </c>
      <c r="G10263" s="3">
        <v>23.2</v>
      </c>
    </row>
    <row r="10264">
      <c r="A10264" s="3">
        <v>784142.0</v>
      </c>
      <c r="B10264" s="3" t="s">
        <v>10292</v>
      </c>
      <c r="C10264" s="3" t="s">
        <v>228</v>
      </c>
      <c r="D10264" s="3">
        <v>185.0</v>
      </c>
      <c r="E10264" s="3">
        <v>6.45</v>
      </c>
      <c r="F10264" s="3">
        <v>9.18</v>
      </c>
      <c r="G10264" s="3">
        <v>23.29</v>
      </c>
    </row>
    <row r="10265">
      <c r="A10265" s="3">
        <v>784143.0</v>
      </c>
      <c r="B10265" s="3" t="s">
        <v>10293</v>
      </c>
      <c r="C10265" s="3" t="s">
        <v>228</v>
      </c>
      <c r="D10265" s="3">
        <v>167.0</v>
      </c>
      <c r="E10265" s="3">
        <v>4.73</v>
      </c>
      <c r="F10265" s="3">
        <v>8.98</v>
      </c>
      <c r="G10265" s="3">
        <v>23.18</v>
      </c>
    </row>
    <row r="10266">
      <c r="A10266" s="3">
        <v>784144.0</v>
      </c>
      <c r="B10266" s="3" t="s">
        <v>10294</v>
      </c>
      <c r="C10266" s="3" t="s">
        <v>228</v>
      </c>
      <c r="D10266" s="3">
        <v>138.0</v>
      </c>
      <c r="E10266" s="3">
        <v>0.35</v>
      </c>
      <c r="F10266" s="3">
        <v>9.68</v>
      </c>
      <c r="G10266" s="3">
        <v>24.95</v>
      </c>
    </row>
    <row r="10267">
      <c r="A10267" s="3">
        <v>784145.0</v>
      </c>
      <c r="B10267" s="3" t="s">
        <v>10295</v>
      </c>
      <c r="C10267" s="3" t="s">
        <v>228</v>
      </c>
      <c r="D10267" s="3">
        <v>218.0</v>
      </c>
      <c r="E10267" s="3">
        <v>7.57</v>
      </c>
      <c r="F10267" s="3">
        <v>10.07</v>
      </c>
      <c r="G10267" s="3">
        <v>28.74</v>
      </c>
    </row>
    <row r="10268">
      <c r="A10268" s="3">
        <v>784146.0</v>
      </c>
      <c r="B10268" s="3" t="s">
        <v>10296</v>
      </c>
      <c r="C10268" s="3" t="s">
        <v>228</v>
      </c>
      <c r="D10268" s="3">
        <v>218.0</v>
      </c>
      <c r="E10268" s="3">
        <v>7.57</v>
      </c>
      <c r="F10268" s="3">
        <v>10.07</v>
      </c>
      <c r="G10268" s="3">
        <v>28.74</v>
      </c>
    </row>
    <row r="10269">
      <c r="A10269" s="3">
        <v>784147.0</v>
      </c>
      <c r="B10269" s="3" t="s">
        <v>10297</v>
      </c>
      <c r="C10269" s="3" t="s">
        <v>228</v>
      </c>
      <c r="D10269" s="3">
        <v>168.0</v>
      </c>
      <c r="E10269" s="3">
        <v>0.57</v>
      </c>
      <c r="F10269" s="3">
        <v>10.84</v>
      </c>
      <c r="G10269" s="3">
        <v>30.91</v>
      </c>
    </row>
    <row r="10270">
      <c r="A10270" s="3">
        <v>784148.0</v>
      </c>
      <c r="B10270" s="3" t="s">
        <v>10298</v>
      </c>
      <c r="C10270" s="3" t="s">
        <v>228</v>
      </c>
      <c r="D10270" s="3">
        <v>218.0</v>
      </c>
      <c r="E10270" s="3">
        <v>7.57</v>
      </c>
      <c r="F10270" s="3">
        <v>10.07</v>
      </c>
      <c r="G10270" s="3">
        <v>28.74</v>
      </c>
    </row>
    <row r="10271">
      <c r="A10271" s="3">
        <v>784149.0</v>
      </c>
      <c r="B10271" s="3" t="s">
        <v>10299</v>
      </c>
      <c r="C10271" s="3" t="s">
        <v>228</v>
      </c>
      <c r="D10271" s="3">
        <v>218.0</v>
      </c>
      <c r="E10271" s="3">
        <v>7.57</v>
      </c>
      <c r="F10271" s="3">
        <v>10.07</v>
      </c>
      <c r="G10271" s="3">
        <v>28.74</v>
      </c>
    </row>
    <row r="10272">
      <c r="A10272" s="3">
        <v>784150.0</v>
      </c>
      <c r="B10272" s="3" t="s">
        <v>10300</v>
      </c>
      <c r="C10272" s="3" t="s">
        <v>228</v>
      </c>
      <c r="D10272" s="3">
        <v>168.0</v>
      </c>
      <c r="E10272" s="3">
        <v>0.57</v>
      </c>
      <c r="F10272" s="3">
        <v>10.84</v>
      </c>
      <c r="G10272" s="3">
        <v>30.91</v>
      </c>
    </row>
    <row r="10273">
      <c r="A10273" s="3">
        <v>784151.0</v>
      </c>
      <c r="B10273" s="3" t="s">
        <v>10301</v>
      </c>
      <c r="C10273" s="3" t="s">
        <v>228</v>
      </c>
      <c r="D10273" s="3">
        <v>184.0</v>
      </c>
      <c r="E10273" s="3">
        <v>7.5</v>
      </c>
      <c r="F10273" s="3">
        <v>8.19</v>
      </c>
      <c r="G10273" s="3">
        <v>21.93</v>
      </c>
    </row>
    <row r="10274">
      <c r="A10274" s="3">
        <v>784152.0</v>
      </c>
      <c r="B10274" s="3" t="s">
        <v>10302</v>
      </c>
      <c r="C10274" s="3" t="s">
        <v>228</v>
      </c>
      <c r="D10274" s="3">
        <v>184.0</v>
      </c>
      <c r="E10274" s="3">
        <v>7.5</v>
      </c>
      <c r="F10274" s="3">
        <v>8.19</v>
      </c>
      <c r="G10274" s="3">
        <v>21.93</v>
      </c>
    </row>
    <row r="10275">
      <c r="A10275" s="3">
        <v>784153.0</v>
      </c>
      <c r="B10275" s="3" t="s">
        <v>10303</v>
      </c>
      <c r="C10275" s="3" t="s">
        <v>228</v>
      </c>
      <c r="D10275" s="3">
        <v>186.0</v>
      </c>
      <c r="E10275" s="3">
        <v>7.8</v>
      </c>
      <c r="F10275" s="3">
        <v>8.17</v>
      </c>
      <c r="G10275" s="3">
        <v>21.85</v>
      </c>
    </row>
    <row r="10276">
      <c r="A10276" s="3">
        <v>784154.0</v>
      </c>
      <c r="B10276" s="3" t="s">
        <v>10304</v>
      </c>
      <c r="C10276" s="3" t="s">
        <v>228</v>
      </c>
      <c r="D10276" s="3">
        <v>178.0</v>
      </c>
      <c r="E10276" s="3">
        <v>6.6</v>
      </c>
      <c r="F10276" s="3">
        <v>8.38</v>
      </c>
      <c r="G10276" s="3">
        <v>22.02</v>
      </c>
    </row>
    <row r="10277">
      <c r="A10277" s="3">
        <v>784155.0</v>
      </c>
      <c r="B10277" s="3" t="s">
        <v>10305</v>
      </c>
      <c r="C10277" s="3" t="s">
        <v>228</v>
      </c>
      <c r="D10277" s="3">
        <v>161.0</v>
      </c>
      <c r="E10277" s="3">
        <v>4.88</v>
      </c>
      <c r="F10277" s="3">
        <v>8.18</v>
      </c>
      <c r="G10277" s="3">
        <v>21.91</v>
      </c>
    </row>
    <row r="10278">
      <c r="A10278" s="3">
        <v>784156.0</v>
      </c>
      <c r="B10278" s="3" t="s">
        <v>10306</v>
      </c>
      <c r="C10278" s="3" t="s">
        <v>228</v>
      </c>
      <c r="D10278" s="3">
        <v>131.0</v>
      </c>
      <c r="E10278" s="3">
        <v>0.54</v>
      </c>
      <c r="F10278" s="3">
        <v>8.81</v>
      </c>
      <c r="G10278" s="3">
        <v>23.58</v>
      </c>
    </row>
    <row r="10279">
      <c r="A10279" s="3">
        <v>784157.0</v>
      </c>
      <c r="B10279" s="3" t="s">
        <v>10307</v>
      </c>
      <c r="C10279" s="3" t="s">
        <v>228</v>
      </c>
      <c r="D10279" s="3">
        <v>187.0</v>
      </c>
      <c r="E10279" s="3">
        <v>7.43</v>
      </c>
      <c r="F10279" s="3">
        <v>8.24</v>
      </c>
      <c r="G10279" s="3">
        <v>22.62</v>
      </c>
    </row>
    <row r="10280">
      <c r="A10280" s="3">
        <v>784158.0</v>
      </c>
      <c r="B10280" s="3" t="s">
        <v>10308</v>
      </c>
      <c r="C10280" s="3" t="s">
        <v>228</v>
      </c>
      <c r="D10280" s="3">
        <v>187.0</v>
      </c>
      <c r="E10280" s="3">
        <v>7.43</v>
      </c>
      <c r="F10280" s="3">
        <v>8.24</v>
      </c>
      <c r="G10280" s="3">
        <v>22.62</v>
      </c>
    </row>
    <row r="10281">
      <c r="A10281" s="3">
        <v>784159.0</v>
      </c>
      <c r="B10281" s="3" t="s">
        <v>10309</v>
      </c>
      <c r="C10281" s="3" t="s">
        <v>228</v>
      </c>
      <c r="D10281" s="3">
        <v>187.0</v>
      </c>
      <c r="E10281" s="3">
        <v>7.43</v>
      </c>
      <c r="F10281" s="3">
        <v>8.24</v>
      </c>
      <c r="G10281" s="3">
        <v>22.62</v>
      </c>
    </row>
    <row r="10282">
      <c r="A10282" s="3">
        <v>784160.0</v>
      </c>
      <c r="B10282" s="3" t="s">
        <v>10310</v>
      </c>
      <c r="C10282" s="3" t="s">
        <v>228</v>
      </c>
      <c r="D10282" s="3">
        <v>181.0</v>
      </c>
      <c r="E10282" s="3">
        <v>6.52</v>
      </c>
      <c r="F10282" s="3">
        <v>8.43</v>
      </c>
      <c r="G10282" s="3">
        <v>22.72</v>
      </c>
    </row>
    <row r="10283">
      <c r="A10283" s="3">
        <v>784161.0</v>
      </c>
      <c r="B10283" s="3" t="s">
        <v>10311</v>
      </c>
      <c r="C10283" s="3" t="s">
        <v>228</v>
      </c>
      <c r="D10283" s="3">
        <v>163.0</v>
      </c>
      <c r="E10283" s="3">
        <v>4.8</v>
      </c>
      <c r="F10283" s="3">
        <v>8.23</v>
      </c>
      <c r="G10283" s="3">
        <v>22.61</v>
      </c>
    </row>
    <row r="10284">
      <c r="A10284" s="3">
        <v>784162.0</v>
      </c>
      <c r="B10284" s="3" t="s">
        <v>10312</v>
      </c>
      <c r="C10284" s="3" t="s">
        <v>228</v>
      </c>
      <c r="D10284" s="3">
        <v>134.0</v>
      </c>
      <c r="E10284" s="3">
        <v>0.43</v>
      </c>
      <c r="F10284" s="3">
        <v>8.87</v>
      </c>
      <c r="G10284" s="3">
        <v>24.34</v>
      </c>
    </row>
    <row r="10285">
      <c r="A10285" s="3">
        <v>784163.0</v>
      </c>
      <c r="B10285" s="3" t="s">
        <v>10313</v>
      </c>
      <c r="C10285" s="3" t="s">
        <v>228</v>
      </c>
      <c r="D10285" s="3">
        <v>187.0</v>
      </c>
      <c r="E10285" s="3">
        <v>7.43</v>
      </c>
      <c r="F10285" s="3">
        <v>8.24</v>
      </c>
      <c r="G10285" s="3">
        <v>22.62</v>
      </c>
    </row>
    <row r="10286">
      <c r="A10286" s="3">
        <v>784164.0</v>
      </c>
      <c r="B10286" s="3" t="s">
        <v>10314</v>
      </c>
      <c r="C10286" s="3" t="s">
        <v>228</v>
      </c>
      <c r="D10286" s="3">
        <v>187.0</v>
      </c>
      <c r="E10286" s="3">
        <v>7.43</v>
      </c>
      <c r="F10286" s="3">
        <v>8.24</v>
      </c>
      <c r="G10286" s="3">
        <v>22.62</v>
      </c>
    </row>
    <row r="10287">
      <c r="A10287" s="3">
        <v>784165.0</v>
      </c>
      <c r="B10287" s="3" t="s">
        <v>10315</v>
      </c>
      <c r="C10287" s="3" t="s">
        <v>228</v>
      </c>
      <c r="D10287" s="3">
        <v>134.0</v>
      </c>
      <c r="E10287" s="3">
        <v>0.43</v>
      </c>
      <c r="F10287" s="3">
        <v>8.87</v>
      </c>
      <c r="G10287" s="3">
        <v>24.34</v>
      </c>
    </row>
    <row r="10288">
      <c r="A10288" s="3">
        <v>784166.0</v>
      </c>
      <c r="B10288" s="3" t="s">
        <v>10316</v>
      </c>
      <c r="C10288" s="3" t="s">
        <v>228</v>
      </c>
      <c r="D10288" s="3">
        <v>167.0</v>
      </c>
      <c r="E10288" s="3">
        <v>7.75</v>
      </c>
      <c r="F10288" s="3">
        <v>7.0</v>
      </c>
      <c r="G10288" s="3">
        <v>18.09</v>
      </c>
    </row>
    <row r="10289">
      <c r="A10289" s="3">
        <v>784167.0</v>
      </c>
      <c r="B10289" s="3" t="s">
        <v>10317</v>
      </c>
      <c r="C10289" s="3" t="s">
        <v>228</v>
      </c>
      <c r="D10289" s="3">
        <v>167.0</v>
      </c>
      <c r="E10289" s="3">
        <v>7.75</v>
      </c>
      <c r="F10289" s="3">
        <v>7.0</v>
      </c>
      <c r="G10289" s="3">
        <v>18.09</v>
      </c>
    </row>
    <row r="10290">
      <c r="A10290" s="3">
        <v>784168.0</v>
      </c>
      <c r="B10290" s="3" t="s">
        <v>10318</v>
      </c>
      <c r="C10290" s="3" t="s">
        <v>228</v>
      </c>
      <c r="D10290" s="3">
        <v>109.0</v>
      </c>
      <c r="E10290" s="3">
        <v>0.4</v>
      </c>
      <c r="F10290" s="3">
        <v>7.56</v>
      </c>
      <c r="G10290" s="3">
        <v>19.54</v>
      </c>
    </row>
    <row r="10291">
      <c r="A10291" s="3">
        <v>784169.0</v>
      </c>
      <c r="B10291" s="3" t="s">
        <v>10319</v>
      </c>
      <c r="C10291" s="3" t="s">
        <v>228</v>
      </c>
      <c r="D10291" s="3">
        <v>163.0</v>
      </c>
      <c r="E10291" s="3">
        <v>7.34</v>
      </c>
      <c r="F10291" s="3">
        <v>7.01</v>
      </c>
      <c r="G10291" s="3">
        <v>18.13</v>
      </c>
    </row>
    <row r="10292">
      <c r="A10292" s="3">
        <v>784170.0</v>
      </c>
      <c r="B10292" s="3" t="s">
        <v>10320</v>
      </c>
      <c r="C10292" s="3" t="s">
        <v>228</v>
      </c>
      <c r="D10292" s="3">
        <v>166.0</v>
      </c>
      <c r="E10292" s="3">
        <v>7.08</v>
      </c>
      <c r="F10292" s="3">
        <v>7.24</v>
      </c>
      <c r="G10292" s="3">
        <v>19.37</v>
      </c>
    </row>
    <row r="10293">
      <c r="A10293" s="3">
        <v>784171.0</v>
      </c>
      <c r="B10293" s="3" t="s">
        <v>10321</v>
      </c>
      <c r="C10293" s="3" t="s">
        <v>228</v>
      </c>
      <c r="D10293" s="3">
        <v>166.0</v>
      </c>
      <c r="E10293" s="3">
        <v>7.08</v>
      </c>
      <c r="F10293" s="3">
        <v>7.24</v>
      </c>
      <c r="G10293" s="3">
        <v>19.37</v>
      </c>
    </row>
    <row r="10294">
      <c r="A10294" s="3">
        <v>784172.0</v>
      </c>
      <c r="B10294" s="3" t="s">
        <v>10322</v>
      </c>
      <c r="C10294" s="3" t="s">
        <v>228</v>
      </c>
      <c r="D10294" s="3">
        <v>166.0</v>
      </c>
      <c r="E10294" s="3">
        <v>7.08</v>
      </c>
      <c r="F10294" s="3">
        <v>7.24</v>
      </c>
      <c r="G10294" s="3">
        <v>19.37</v>
      </c>
    </row>
    <row r="10295">
      <c r="A10295" s="3">
        <v>784173.0</v>
      </c>
      <c r="B10295" s="3" t="s">
        <v>10323</v>
      </c>
      <c r="C10295" s="3" t="s">
        <v>228</v>
      </c>
      <c r="D10295" s="3">
        <v>161.0</v>
      </c>
      <c r="E10295" s="3">
        <v>6.21</v>
      </c>
      <c r="F10295" s="3">
        <v>7.41</v>
      </c>
      <c r="G10295" s="3">
        <v>19.45</v>
      </c>
    </row>
    <row r="10296">
      <c r="A10296" s="3">
        <v>784174.0</v>
      </c>
      <c r="B10296" s="3" t="s">
        <v>10324</v>
      </c>
      <c r="C10296" s="3" t="s">
        <v>228</v>
      </c>
      <c r="D10296" s="3">
        <v>144.0</v>
      </c>
      <c r="E10296" s="3">
        <v>4.56</v>
      </c>
      <c r="F10296" s="3">
        <v>7.22</v>
      </c>
      <c r="G10296" s="3">
        <v>19.37</v>
      </c>
    </row>
    <row r="10297">
      <c r="A10297" s="3">
        <v>784175.0</v>
      </c>
      <c r="B10297" s="3" t="s">
        <v>10325</v>
      </c>
      <c r="C10297" s="3" t="s">
        <v>228</v>
      </c>
      <c r="D10297" s="3">
        <v>114.0</v>
      </c>
      <c r="E10297" s="3">
        <v>0.38</v>
      </c>
      <c r="F10297" s="3">
        <v>7.76</v>
      </c>
      <c r="G10297" s="3">
        <v>20.77</v>
      </c>
    </row>
    <row r="10298">
      <c r="A10298" s="3">
        <v>784176.0</v>
      </c>
      <c r="B10298" s="3" t="s">
        <v>10326</v>
      </c>
      <c r="C10298" s="3" t="s">
        <v>228</v>
      </c>
      <c r="D10298" s="3">
        <v>203.0</v>
      </c>
      <c r="E10298" s="3">
        <v>7.87</v>
      </c>
      <c r="F10298" s="3">
        <v>8.34</v>
      </c>
      <c r="G10298" s="3">
        <v>25.69</v>
      </c>
    </row>
    <row r="10299">
      <c r="A10299" s="3">
        <v>784177.0</v>
      </c>
      <c r="B10299" s="3" t="s">
        <v>10327</v>
      </c>
      <c r="C10299" s="3" t="s">
        <v>228</v>
      </c>
      <c r="D10299" s="3">
        <v>148.0</v>
      </c>
      <c r="E10299" s="3">
        <v>0.49</v>
      </c>
      <c r="F10299" s="3">
        <v>9.01</v>
      </c>
      <c r="G10299" s="3">
        <v>27.75</v>
      </c>
    </row>
    <row r="10300">
      <c r="A10300" s="3">
        <v>784178.0</v>
      </c>
      <c r="B10300" s="3" t="s">
        <v>10328</v>
      </c>
      <c r="C10300" s="3" t="s">
        <v>228</v>
      </c>
      <c r="D10300" s="3">
        <v>203.0</v>
      </c>
      <c r="E10300" s="3">
        <v>7.87</v>
      </c>
      <c r="F10300" s="3">
        <v>8.34</v>
      </c>
      <c r="G10300" s="3">
        <v>25.69</v>
      </c>
    </row>
    <row r="10301">
      <c r="A10301" s="3">
        <v>784179.0</v>
      </c>
      <c r="B10301" s="3" t="s">
        <v>10329</v>
      </c>
      <c r="C10301" s="3" t="s">
        <v>228</v>
      </c>
      <c r="D10301" s="3">
        <v>200.0</v>
      </c>
      <c r="E10301" s="3">
        <v>7.48</v>
      </c>
      <c r="F10301" s="3">
        <v>8.35</v>
      </c>
      <c r="G10301" s="3">
        <v>25.74</v>
      </c>
    </row>
    <row r="10302">
      <c r="A10302" s="3">
        <v>784180.0</v>
      </c>
      <c r="B10302" s="3" t="s">
        <v>10330</v>
      </c>
      <c r="C10302" s="3" t="s">
        <v>228</v>
      </c>
      <c r="D10302" s="3">
        <v>148.0</v>
      </c>
      <c r="E10302" s="3">
        <v>0.49</v>
      </c>
      <c r="F10302" s="3">
        <v>8.98</v>
      </c>
      <c r="G10302" s="3">
        <v>27.68</v>
      </c>
    </row>
    <row r="10303">
      <c r="A10303" s="3">
        <v>784181.0</v>
      </c>
      <c r="B10303" s="3" t="s">
        <v>10331</v>
      </c>
      <c r="C10303" s="3" t="s">
        <v>228</v>
      </c>
      <c r="D10303" s="3">
        <v>197.0</v>
      </c>
      <c r="E10303" s="3">
        <v>7.94</v>
      </c>
      <c r="F10303" s="3">
        <v>8.3</v>
      </c>
      <c r="G10303" s="3">
        <v>24.15</v>
      </c>
    </row>
    <row r="10304">
      <c r="A10304" s="3">
        <v>784182.0</v>
      </c>
      <c r="B10304" s="3" t="s">
        <v>10332</v>
      </c>
      <c r="C10304" s="3" t="s">
        <v>228</v>
      </c>
      <c r="D10304" s="3">
        <v>197.0</v>
      </c>
      <c r="E10304" s="3">
        <v>7.94</v>
      </c>
      <c r="F10304" s="3">
        <v>8.3</v>
      </c>
      <c r="G10304" s="3">
        <v>24.15</v>
      </c>
    </row>
    <row r="10305">
      <c r="A10305" s="3">
        <v>784183.0</v>
      </c>
      <c r="B10305" s="3" t="s">
        <v>10333</v>
      </c>
      <c r="C10305" s="3" t="s">
        <v>228</v>
      </c>
      <c r="D10305" s="3">
        <v>197.0</v>
      </c>
      <c r="E10305" s="3">
        <v>7.94</v>
      </c>
      <c r="F10305" s="3">
        <v>8.3</v>
      </c>
      <c r="G10305" s="3">
        <v>24.15</v>
      </c>
    </row>
    <row r="10306">
      <c r="A10306" s="3">
        <v>784184.0</v>
      </c>
      <c r="B10306" s="3" t="s">
        <v>10334</v>
      </c>
      <c r="C10306" s="3" t="s">
        <v>228</v>
      </c>
      <c r="D10306" s="3">
        <v>191.0</v>
      </c>
      <c r="E10306" s="3">
        <v>6.99</v>
      </c>
      <c r="F10306" s="3">
        <v>8.49</v>
      </c>
      <c r="G10306" s="3">
        <v>24.26</v>
      </c>
    </row>
    <row r="10307">
      <c r="A10307" s="3">
        <v>784185.0</v>
      </c>
      <c r="B10307" s="3" t="s">
        <v>10335</v>
      </c>
      <c r="C10307" s="3" t="s">
        <v>228</v>
      </c>
      <c r="D10307" s="3">
        <v>172.0</v>
      </c>
      <c r="E10307" s="3">
        <v>5.19</v>
      </c>
      <c r="F10307" s="3">
        <v>8.28</v>
      </c>
      <c r="G10307" s="3">
        <v>24.13</v>
      </c>
    </row>
    <row r="10308">
      <c r="A10308" s="3">
        <v>784186.0</v>
      </c>
      <c r="B10308" s="3" t="s">
        <v>10336</v>
      </c>
      <c r="C10308" s="3" t="s">
        <v>228</v>
      </c>
      <c r="D10308" s="3">
        <v>142.0</v>
      </c>
      <c r="E10308" s="3">
        <v>0.65</v>
      </c>
      <c r="F10308" s="3">
        <v>8.96</v>
      </c>
      <c r="G10308" s="3">
        <v>26.07</v>
      </c>
    </row>
    <row r="10309">
      <c r="A10309" s="3">
        <v>784187.0</v>
      </c>
      <c r="B10309" s="3" t="s">
        <v>10337</v>
      </c>
      <c r="C10309" s="3" t="s">
        <v>228</v>
      </c>
      <c r="D10309" s="3">
        <v>189.0</v>
      </c>
      <c r="E10309" s="3">
        <v>7.89</v>
      </c>
      <c r="F10309" s="3">
        <v>7.12</v>
      </c>
      <c r="G10309" s="3">
        <v>23.5</v>
      </c>
    </row>
    <row r="10310">
      <c r="A10310" s="3">
        <v>784188.0</v>
      </c>
      <c r="B10310" s="3" t="s">
        <v>10338</v>
      </c>
      <c r="C10310" s="3" t="s">
        <v>228</v>
      </c>
      <c r="D10310" s="3">
        <v>189.0</v>
      </c>
      <c r="E10310" s="3">
        <v>7.89</v>
      </c>
      <c r="F10310" s="3">
        <v>7.12</v>
      </c>
      <c r="G10310" s="3">
        <v>23.5</v>
      </c>
    </row>
    <row r="10311">
      <c r="A10311" s="3">
        <v>784189.0</v>
      </c>
      <c r="B10311" s="3" t="s">
        <v>10339</v>
      </c>
      <c r="C10311" s="3" t="s">
        <v>228</v>
      </c>
      <c r="D10311" s="3">
        <v>189.0</v>
      </c>
      <c r="E10311" s="3">
        <v>7.89</v>
      </c>
      <c r="F10311" s="3">
        <v>7.12</v>
      </c>
      <c r="G10311" s="3">
        <v>23.5</v>
      </c>
    </row>
    <row r="10312">
      <c r="A10312" s="3">
        <v>784190.0</v>
      </c>
      <c r="B10312" s="3" t="s">
        <v>10340</v>
      </c>
      <c r="C10312" s="3" t="s">
        <v>228</v>
      </c>
      <c r="D10312" s="3">
        <v>183.0</v>
      </c>
      <c r="E10312" s="3">
        <v>6.99</v>
      </c>
      <c r="F10312" s="3">
        <v>7.3</v>
      </c>
      <c r="G10312" s="3">
        <v>23.59</v>
      </c>
    </row>
    <row r="10313">
      <c r="A10313" s="3">
        <v>784191.0</v>
      </c>
      <c r="B10313" s="3" t="s">
        <v>10341</v>
      </c>
      <c r="C10313" s="3" t="s">
        <v>228</v>
      </c>
      <c r="D10313" s="3">
        <v>166.0</v>
      </c>
      <c r="E10313" s="3">
        <v>5.26</v>
      </c>
      <c r="F10313" s="3">
        <v>7.11</v>
      </c>
      <c r="G10313" s="3">
        <v>23.48</v>
      </c>
    </row>
    <row r="10314">
      <c r="A10314" s="3">
        <v>784192.0</v>
      </c>
      <c r="B10314" s="3" t="s">
        <v>10342</v>
      </c>
      <c r="C10314" s="3" t="s">
        <v>228</v>
      </c>
      <c r="D10314" s="3">
        <v>137.0</v>
      </c>
      <c r="E10314" s="3">
        <v>0.93</v>
      </c>
      <c r="F10314" s="3">
        <v>7.66</v>
      </c>
      <c r="G10314" s="3">
        <v>25.27</v>
      </c>
    </row>
    <row r="10315">
      <c r="A10315" s="3">
        <v>784193.0</v>
      </c>
      <c r="B10315" s="3" t="s">
        <v>10343</v>
      </c>
      <c r="C10315" s="3" t="s">
        <v>228</v>
      </c>
      <c r="D10315" s="3">
        <v>189.0</v>
      </c>
      <c r="E10315" s="3">
        <v>7.9</v>
      </c>
      <c r="F10315" s="3">
        <v>7.13</v>
      </c>
      <c r="G10315" s="3">
        <v>23.52</v>
      </c>
    </row>
    <row r="10316">
      <c r="A10316" s="3">
        <v>784194.0</v>
      </c>
      <c r="B10316" s="3" t="s">
        <v>10344</v>
      </c>
      <c r="C10316" s="3" t="s">
        <v>228</v>
      </c>
      <c r="D10316" s="3">
        <v>189.0</v>
      </c>
      <c r="E10316" s="3">
        <v>7.9</v>
      </c>
      <c r="F10316" s="3">
        <v>7.13</v>
      </c>
      <c r="G10316" s="3">
        <v>23.52</v>
      </c>
    </row>
    <row r="10317">
      <c r="A10317" s="3">
        <v>784195.0</v>
      </c>
      <c r="B10317" s="3" t="s">
        <v>10345</v>
      </c>
      <c r="C10317" s="3" t="s">
        <v>228</v>
      </c>
      <c r="D10317" s="3">
        <v>137.0</v>
      </c>
      <c r="E10317" s="3">
        <v>0.93</v>
      </c>
      <c r="F10317" s="3">
        <v>7.67</v>
      </c>
      <c r="G10317" s="3">
        <v>25.3</v>
      </c>
    </row>
    <row r="10318">
      <c r="A10318" s="3">
        <v>784196.0</v>
      </c>
      <c r="B10318" s="3" t="s">
        <v>10346</v>
      </c>
      <c r="C10318" s="3" t="s">
        <v>228</v>
      </c>
      <c r="D10318" s="3">
        <v>180.0</v>
      </c>
      <c r="E10318" s="3">
        <v>7.57</v>
      </c>
      <c r="F10318" s="3">
        <v>8.01</v>
      </c>
      <c r="G10318" s="3">
        <v>21.06</v>
      </c>
    </row>
    <row r="10319">
      <c r="A10319" s="3">
        <v>784197.0</v>
      </c>
      <c r="B10319" s="3" t="s">
        <v>10347</v>
      </c>
      <c r="C10319" s="3" t="s">
        <v>228</v>
      </c>
      <c r="D10319" s="3">
        <v>180.0</v>
      </c>
      <c r="E10319" s="3">
        <v>7.57</v>
      </c>
      <c r="F10319" s="3">
        <v>8.01</v>
      </c>
      <c r="G10319" s="3">
        <v>21.06</v>
      </c>
    </row>
    <row r="10320">
      <c r="A10320" s="3">
        <v>784198.0</v>
      </c>
      <c r="B10320" s="3" t="s">
        <v>10348</v>
      </c>
      <c r="C10320" s="3" t="s">
        <v>228</v>
      </c>
      <c r="D10320" s="3">
        <v>180.0</v>
      </c>
      <c r="E10320" s="3">
        <v>7.57</v>
      </c>
      <c r="F10320" s="3">
        <v>8.01</v>
      </c>
      <c r="G10320" s="3">
        <v>21.06</v>
      </c>
    </row>
    <row r="10321">
      <c r="A10321" s="3">
        <v>784199.0</v>
      </c>
      <c r="B10321" s="3" t="s">
        <v>10349</v>
      </c>
      <c r="C10321" s="3" t="s">
        <v>228</v>
      </c>
      <c r="D10321" s="3">
        <v>174.0</v>
      </c>
      <c r="E10321" s="3">
        <v>6.65</v>
      </c>
      <c r="F10321" s="3">
        <v>8.19</v>
      </c>
      <c r="G10321" s="3">
        <v>21.15</v>
      </c>
    </row>
    <row r="10322">
      <c r="A10322" s="3">
        <v>784200.0</v>
      </c>
      <c r="B10322" s="3" t="s">
        <v>10350</v>
      </c>
      <c r="C10322" s="3" t="s">
        <v>228</v>
      </c>
      <c r="D10322" s="3">
        <v>157.0</v>
      </c>
      <c r="E10322" s="3">
        <v>4.91</v>
      </c>
      <c r="F10322" s="3">
        <v>7.99</v>
      </c>
      <c r="G10322" s="3">
        <v>21.05</v>
      </c>
    </row>
    <row r="10323">
      <c r="A10323" s="3">
        <v>784201.0</v>
      </c>
      <c r="B10323" s="3" t="s">
        <v>10351</v>
      </c>
      <c r="C10323" s="3" t="s">
        <v>228</v>
      </c>
      <c r="D10323" s="3">
        <v>126.0</v>
      </c>
      <c r="E10323" s="3">
        <v>0.5</v>
      </c>
      <c r="F10323" s="3">
        <v>8.62</v>
      </c>
      <c r="G10323" s="3">
        <v>22.67</v>
      </c>
    </row>
    <row r="10324">
      <c r="A10324" s="3">
        <v>784202.0</v>
      </c>
      <c r="B10324" s="3" t="s">
        <v>10352</v>
      </c>
      <c r="C10324" s="3" t="s">
        <v>228</v>
      </c>
      <c r="D10324" s="3">
        <v>188.0</v>
      </c>
      <c r="E10324" s="3">
        <v>7.58</v>
      </c>
      <c r="F10324" s="3">
        <v>8.09</v>
      </c>
      <c r="G10324" s="3">
        <v>22.98</v>
      </c>
    </row>
    <row r="10325">
      <c r="A10325" s="3">
        <v>784203.0</v>
      </c>
      <c r="B10325" s="3" t="s">
        <v>10353</v>
      </c>
      <c r="C10325" s="3" t="s">
        <v>228</v>
      </c>
      <c r="D10325" s="3">
        <v>188.0</v>
      </c>
      <c r="E10325" s="3">
        <v>7.58</v>
      </c>
      <c r="F10325" s="3">
        <v>8.09</v>
      </c>
      <c r="G10325" s="3">
        <v>22.98</v>
      </c>
    </row>
    <row r="10326">
      <c r="A10326" s="3">
        <v>784204.0</v>
      </c>
      <c r="B10326" s="3" t="s">
        <v>10354</v>
      </c>
      <c r="C10326" s="3" t="s">
        <v>228</v>
      </c>
      <c r="D10326" s="3">
        <v>135.0</v>
      </c>
      <c r="E10326" s="3">
        <v>0.6</v>
      </c>
      <c r="F10326" s="3">
        <v>8.7</v>
      </c>
      <c r="G10326" s="3">
        <v>24.72</v>
      </c>
    </row>
    <row r="10327">
      <c r="A10327" s="3">
        <v>784205.0</v>
      </c>
      <c r="B10327" s="3" t="s">
        <v>10355</v>
      </c>
      <c r="C10327" s="3" t="s">
        <v>228</v>
      </c>
      <c r="D10327" s="3">
        <v>188.0</v>
      </c>
      <c r="E10327" s="3">
        <v>7.6</v>
      </c>
      <c r="F10327" s="3">
        <v>8.09</v>
      </c>
      <c r="G10327" s="3">
        <v>22.98</v>
      </c>
    </row>
    <row r="10328">
      <c r="A10328" s="3">
        <v>784206.0</v>
      </c>
      <c r="B10328" s="3" t="s">
        <v>10356</v>
      </c>
      <c r="C10328" s="3" t="s">
        <v>228</v>
      </c>
      <c r="D10328" s="3">
        <v>188.0</v>
      </c>
      <c r="E10328" s="3">
        <v>7.6</v>
      </c>
      <c r="F10328" s="3">
        <v>8.09</v>
      </c>
      <c r="G10328" s="3">
        <v>22.98</v>
      </c>
    </row>
    <row r="10329">
      <c r="A10329" s="3">
        <v>784207.0</v>
      </c>
      <c r="B10329" s="3" t="s">
        <v>10357</v>
      </c>
      <c r="C10329" s="3" t="s">
        <v>228</v>
      </c>
      <c r="D10329" s="3">
        <v>135.0</v>
      </c>
      <c r="E10329" s="3">
        <v>0.6</v>
      </c>
      <c r="F10329" s="3">
        <v>8.7</v>
      </c>
      <c r="G10329" s="3">
        <v>24.72</v>
      </c>
    </row>
    <row r="10330">
      <c r="A10330" s="3">
        <v>784208.0</v>
      </c>
      <c r="B10330" s="3" t="s">
        <v>10358</v>
      </c>
      <c r="C10330" s="3" t="s">
        <v>228</v>
      </c>
      <c r="D10330" s="3">
        <v>195.0</v>
      </c>
      <c r="E10330" s="3">
        <v>8.0</v>
      </c>
      <c r="F10330" s="3">
        <v>8.47</v>
      </c>
      <c r="G10330" s="3">
        <v>23.38</v>
      </c>
    </row>
    <row r="10331">
      <c r="A10331" s="3">
        <v>784209.0</v>
      </c>
      <c r="B10331" s="3" t="s">
        <v>10359</v>
      </c>
      <c r="C10331" s="3" t="s">
        <v>228</v>
      </c>
      <c r="D10331" s="3">
        <v>195.0</v>
      </c>
      <c r="E10331" s="3">
        <v>8.0</v>
      </c>
      <c r="F10331" s="3">
        <v>8.47</v>
      </c>
      <c r="G10331" s="3">
        <v>23.38</v>
      </c>
    </row>
    <row r="10332">
      <c r="A10332" s="3">
        <v>784210.0</v>
      </c>
      <c r="B10332" s="3" t="s">
        <v>10360</v>
      </c>
      <c r="C10332" s="3" t="s">
        <v>228</v>
      </c>
      <c r="D10332" s="3">
        <v>195.0</v>
      </c>
      <c r="E10332" s="3">
        <v>8.0</v>
      </c>
      <c r="F10332" s="3">
        <v>8.47</v>
      </c>
      <c r="G10332" s="3">
        <v>23.38</v>
      </c>
    </row>
    <row r="10333">
      <c r="A10333" s="3">
        <v>784211.0</v>
      </c>
      <c r="B10333" s="3" t="s">
        <v>10361</v>
      </c>
      <c r="C10333" s="3" t="s">
        <v>228</v>
      </c>
      <c r="D10333" s="3">
        <v>189.0</v>
      </c>
      <c r="E10333" s="3">
        <v>7.1</v>
      </c>
      <c r="F10333" s="3">
        <v>8.65</v>
      </c>
      <c r="G10333" s="3">
        <v>23.48</v>
      </c>
    </row>
    <row r="10334">
      <c r="A10334" s="3">
        <v>784212.0</v>
      </c>
      <c r="B10334" s="3" t="s">
        <v>10362</v>
      </c>
      <c r="C10334" s="3" t="s">
        <v>228</v>
      </c>
      <c r="D10334" s="3">
        <v>172.0</v>
      </c>
      <c r="E10334" s="3">
        <v>5.38</v>
      </c>
      <c r="F10334" s="3">
        <v>8.45</v>
      </c>
      <c r="G10334" s="3">
        <v>23.36</v>
      </c>
    </row>
    <row r="10335">
      <c r="A10335" s="3">
        <v>784213.0</v>
      </c>
      <c r="B10335" s="3" t="s">
        <v>10363</v>
      </c>
      <c r="C10335" s="3" t="s">
        <v>228</v>
      </c>
      <c r="D10335" s="3">
        <v>143.0</v>
      </c>
      <c r="E10335" s="3">
        <v>1.07</v>
      </c>
      <c r="F10335" s="3">
        <v>9.11</v>
      </c>
      <c r="G10335" s="3">
        <v>25.14</v>
      </c>
    </row>
    <row r="10336">
      <c r="A10336" s="3">
        <v>784214.0</v>
      </c>
      <c r="B10336" s="3" t="s">
        <v>10364</v>
      </c>
      <c r="C10336" s="3" t="s">
        <v>228</v>
      </c>
      <c r="D10336" s="3">
        <v>195.0</v>
      </c>
      <c r="E10336" s="3">
        <v>7.97</v>
      </c>
      <c r="F10336" s="3">
        <v>8.45</v>
      </c>
      <c r="G10336" s="3">
        <v>23.32</v>
      </c>
    </row>
    <row r="10337">
      <c r="A10337" s="3">
        <v>784215.0</v>
      </c>
      <c r="B10337" s="3" t="s">
        <v>10365</v>
      </c>
      <c r="C10337" s="3" t="s">
        <v>228</v>
      </c>
      <c r="D10337" s="3">
        <v>171.0</v>
      </c>
      <c r="E10337" s="3">
        <v>8.92</v>
      </c>
      <c r="F10337" s="3">
        <v>18.1</v>
      </c>
      <c r="G10337" s="3">
        <v>8.31</v>
      </c>
    </row>
    <row r="10338">
      <c r="A10338" s="3">
        <v>784216.0</v>
      </c>
      <c r="B10338" s="3" t="s">
        <v>10366</v>
      </c>
      <c r="C10338" s="3" t="s">
        <v>228</v>
      </c>
      <c r="D10338" s="3">
        <v>223.0</v>
      </c>
      <c r="E10338" s="3">
        <v>15.57</v>
      </c>
      <c r="F10338" s="3">
        <v>16.78</v>
      </c>
      <c r="G10338" s="3">
        <v>7.7</v>
      </c>
    </row>
    <row r="10339">
      <c r="A10339" s="3">
        <v>784217.0</v>
      </c>
      <c r="B10339" s="3" t="s">
        <v>10367</v>
      </c>
      <c r="C10339" s="3" t="s">
        <v>228</v>
      </c>
      <c r="D10339" s="3">
        <v>223.0</v>
      </c>
      <c r="E10339" s="3">
        <v>15.57</v>
      </c>
      <c r="F10339" s="3">
        <v>16.78</v>
      </c>
      <c r="G10339" s="3">
        <v>7.7</v>
      </c>
    </row>
    <row r="10340">
      <c r="A10340" s="3">
        <v>784218.0</v>
      </c>
      <c r="B10340" s="3" t="s">
        <v>10368</v>
      </c>
      <c r="C10340" s="3" t="s">
        <v>228</v>
      </c>
      <c r="D10340" s="3">
        <v>104.0</v>
      </c>
      <c r="E10340" s="3">
        <v>0.38</v>
      </c>
      <c r="F10340" s="3">
        <v>6.98</v>
      </c>
      <c r="G10340" s="3">
        <v>19.06</v>
      </c>
    </row>
    <row r="10341">
      <c r="A10341" s="3">
        <v>784219.0</v>
      </c>
      <c r="B10341" s="3" t="s">
        <v>10369</v>
      </c>
      <c r="C10341" s="3" t="s">
        <v>228</v>
      </c>
      <c r="D10341" s="3">
        <v>154.0</v>
      </c>
      <c r="E10341" s="3">
        <v>6.64</v>
      </c>
      <c r="F10341" s="3">
        <v>6.55</v>
      </c>
      <c r="G10341" s="3">
        <v>17.86</v>
      </c>
    </row>
    <row r="10342">
      <c r="A10342" s="3">
        <v>784220.0</v>
      </c>
      <c r="B10342" s="3" t="s">
        <v>10370</v>
      </c>
      <c r="C10342" s="3" t="s">
        <v>228</v>
      </c>
      <c r="D10342" s="3">
        <v>154.0</v>
      </c>
      <c r="E10342" s="3">
        <v>6.64</v>
      </c>
      <c r="F10342" s="3">
        <v>6.55</v>
      </c>
      <c r="G10342" s="3">
        <v>17.86</v>
      </c>
    </row>
    <row r="10343">
      <c r="A10343" s="3">
        <v>784221.0</v>
      </c>
      <c r="B10343" s="3" t="s">
        <v>10371</v>
      </c>
      <c r="C10343" s="3" t="s">
        <v>228</v>
      </c>
      <c r="D10343" s="3">
        <v>159.0</v>
      </c>
      <c r="E10343" s="3">
        <v>7.32</v>
      </c>
      <c r="F10343" s="3">
        <v>6.48</v>
      </c>
      <c r="G10343" s="3">
        <v>17.67</v>
      </c>
    </row>
    <row r="10344">
      <c r="A10344" s="3">
        <v>784225.0</v>
      </c>
      <c r="B10344" s="3" t="s">
        <v>10372</v>
      </c>
      <c r="C10344" s="3" t="s">
        <v>228</v>
      </c>
      <c r="D10344" s="3">
        <v>141.0</v>
      </c>
      <c r="E10344" s="3">
        <v>5.48</v>
      </c>
      <c r="F10344" s="3">
        <v>6.07</v>
      </c>
      <c r="G10344" s="3">
        <v>17.9</v>
      </c>
    </row>
    <row r="10345">
      <c r="A10345" s="3">
        <v>784226.0</v>
      </c>
      <c r="B10345" s="3" t="s">
        <v>10373</v>
      </c>
      <c r="C10345" s="3" t="s">
        <v>228</v>
      </c>
      <c r="D10345" s="3">
        <v>101.0</v>
      </c>
      <c r="E10345" s="3">
        <v>0.48</v>
      </c>
      <c r="F10345" s="3">
        <v>6.28</v>
      </c>
      <c r="G10345" s="3">
        <v>18.97</v>
      </c>
    </row>
    <row r="10346">
      <c r="A10346" s="3">
        <v>784227.0</v>
      </c>
      <c r="B10346" s="3" t="s">
        <v>10374</v>
      </c>
      <c r="C10346" s="3" t="s">
        <v>228</v>
      </c>
      <c r="D10346" s="3">
        <v>141.0</v>
      </c>
      <c r="E10346" s="3">
        <v>5.48</v>
      </c>
      <c r="F10346" s="3">
        <v>6.07</v>
      </c>
      <c r="G10346" s="3">
        <v>17.9</v>
      </c>
    </row>
    <row r="10347">
      <c r="A10347" s="3">
        <v>784228.0</v>
      </c>
      <c r="B10347" s="3" t="s">
        <v>10375</v>
      </c>
      <c r="C10347" s="3" t="s">
        <v>228</v>
      </c>
      <c r="D10347" s="3">
        <v>109.0</v>
      </c>
      <c r="E10347" s="3">
        <v>3.88</v>
      </c>
      <c r="F10347" s="3">
        <v>3.92</v>
      </c>
      <c r="G10347" s="3">
        <v>15.65</v>
      </c>
    </row>
    <row r="10348">
      <c r="A10348" s="3">
        <v>784230.0</v>
      </c>
      <c r="B10348" s="3" t="s">
        <v>10376</v>
      </c>
      <c r="C10348" s="3" t="s">
        <v>228</v>
      </c>
      <c r="D10348" s="3">
        <v>144.0</v>
      </c>
      <c r="E10348" s="3">
        <v>5.71</v>
      </c>
      <c r="F10348" s="3">
        <v>6.12</v>
      </c>
      <c r="G10348" s="3">
        <v>17.8</v>
      </c>
    </row>
    <row r="10349">
      <c r="A10349" s="3">
        <v>784231.0</v>
      </c>
      <c r="B10349" s="3" t="s">
        <v>10377</v>
      </c>
      <c r="C10349" s="3" t="s">
        <v>228</v>
      </c>
      <c r="D10349" s="3">
        <v>144.0</v>
      </c>
      <c r="E10349" s="3">
        <v>5.71</v>
      </c>
      <c r="F10349" s="3">
        <v>6.12</v>
      </c>
      <c r="G10349" s="3">
        <v>17.8</v>
      </c>
    </row>
    <row r="10350">
      <c r="A10350" s="3">
        <v>784232.0</v>
      </c>
      <c r="B10350" s="3" t="s">
        <v>10378</v>
      </c>
      <c r="C10350" s="3" t="s">
        <v>228</v>
      </c>
      <c r="D10350" s="3">
        <v>140.0</v>
      </c>
      <c r="E10350" s="3">
        <v>5.14</v>
      </c>
      <c r="F10350" s="3">
        <v>6.22</v>
      </c>
      <c r="G10350" s="3">
        <v>17.84</v>
      </c>
    </row>
    <row r="10351">
      <c r="A10351" s="3">
        <v>784233.0</v>
      </c>
      <c r="B10351" s="3" t="s">
        <v>10379</v>
      </c>
      <c r="C10351" s="3" t="s">
        <v>228</v>
      </c>
      <c r="D10351" s="3">
        <v>129.0</v>
      </c>
      <c r="E10351" s="3">
        <v>4.08</v>
      </c>
      <c r="F10351" s="3">
        <v>6.11</v>
      </c>
      <c r="G10351" s="3">
        <v>17.8</v>
      </c>
    </row>
    <row r="10352">
      <c r="A10352" s="3">
        <v>784235.0</v>
      </c>
      <c r="B10352" s="3" t="s">
        <v>10380</v>
      </c>
      <c r="C10352" s="3" t="s">
        <v>228</v>
      </c>
      <c r="D10352" s="3">
        <v>144.0</v>
      </c>
      <c r="E10352" s="3">
        <v>5.71</v>
      </c>
      <c r="F10352" s="3">
        <v>6.12</v>
      </c>
      <c r="G10352" s="3">
        <v>17.8</v>
      </c>
    </row>
    <row r="10353">
      <c r="A10353" s="3">
        <v>784237.0</v>
      </c>
      <c r="B10353" s="3" t="s">
        <v>10381</v>
      </c>
      <c r="C10353" s="3" t="s">
        <v>228</v>
      </c>
      <c r="D10353" s="3">
        <v>107.0</v>
      </c>
      <c r="E10353" s="3">
        <v>3.67</v>
      </c>
      <c r="F10353" s="3">
        <v>5.93</v>
      </c>
      <c r="G10353" s="3">
        <v>13.0</v>
      </c>
    </row>
    <row r="10354">
      <c r="A10354" s="3">
        <v>784238.0</v>
      </c>
      <c r="B10354" s="3" t="s">
        <v>10382</v>
      </c>
      <c r="C10354" s="3" t="s">
        <v>228</v>
      </c>
      <c r="D10354" s="3">
        <v>116.0</v>
      </c>
      <c r="E10354" s="3">
        <v>2.17</v>
      </c>
      <c r="F10354" s="3">
        <v>7.28</v>
      </c>
      <c r="G10354" s="3">
        <v>17.38</v>
      </c>
    </row>
    <row r="10355">
      <c r="A10355" s="3">
        <v>784241.0</v>
      </c>
      <c r="B10355" s="3" t="s">
        <v>10383</v>
      </c>
      <c r="C10355" s="3" t="s">
        <v>225</v>
      </c>
      <c r="D10355" s="3">
        <v>145.0</v>
      </c>
      <c r="E10355" s="3">
        <v>11.41</v>
      </c>
      <c r="F10355" s="3">
        <v>5.26</v>
      </c>
      <c r="G10355" s="3">
        <v>6.64</v>
      </c>
    </row>
    <row r="10356">
      <c r="A10356" s="3">
        <v>784242.0</v>
      </c>
      <c r="B10356" s="3" t="s">
        <v>10384</v>
      </c>
      <c r="C10356" s="3" t="s">
        <v>225</v>
      </c>
      <c r="D10356" s="3">
        <v>260.0</v>
      </c>
      <c r="E10356" s="3">
        <v>17.78</v>
      </c>
      <c r="F10356" s="3">
        <v>8.18</v>
      </c>
      <c r="G10356" s="3">
        <v>19.86</v>
      </c>
    </row>
    <row r="10357">
      <c r="A10357" s="3">
        <v>784243.0</v>
      </c>
      <c r="B10357" s="3" t="s">
        <v>10385</v>
      </c>
      <c r="C10357" s="3" t="s">
        <v>225</v>
      </c>
      <c r="D10357" s="3">
        <v>258.0</v>
      </c>
      <c r="E10357" s="3">
        <v>17.7</v>
      </c>
      <c r="F10357" s="3">
        <v>8.1</v>
      </c>
      <c r="G10357" s="3">
        <v>19.62</v>
      </c>
    </row>
    <row r="10358">
      <c r="A10358" s="3">
        <v>784244.0</v>
      </c>
      <c r="B10358" s="3" t="s">
        <v>10386</v>
      </c>
      <c r="C10358" s="3" t="s">
        <v>225</v>
      </c>
      <c r="D10358" s="3">
        <v>218.0</v>
      </c>
      <c r="E10358" s="3">
        <v>16.9</v>
      </c>
      <c r="F10358" s="3">
        <v>5.51</v>
      </c>
      <c r="G10358" s="3">
        <v>13.11</v>
      </c>
    </row>
    <row r="10359">
      <c r="A10359" s="3">
        <v>784245.0</v>
      </c>
      <c r="B10359" s="3" t="s">
        <v>10387</v>
      </c>
      <c r="C10359" s="3" t="s">
        <v>228</v>
      </c>
      <c r="D10359" s="3">
        <v>138.0</v>
      </c>
      <c r="E10359" s="3">
        <v>5.22</v>
      </c>
      <c r="F10359" s="3">
        <v>6.74</v>
      </c>
      <c r="G10359" s="3">
        <v>17.29</v>
      </c>
    </row>
    <row r="10360">
      <c r="A10360" s="3">
        <v>784246.0</v>
      </c>
      <c r="B10360" s="3" t="s">
        <v>10388</v>
      </c>
      <c r="C10360" s="3" t="s">
        <v>228</v>
      </c>
      <c r="D10360" s="3">
        <v>203.0</v>
      </c>
      <c r="E10360" s="3">
        <v>9.06</v>
      </c>
      <c r="F10360" s="3">
        <v>11.97</v>
      </c>
      <c r="G10360" s="3">
        <v>19.02</v>
      </c>
    </row>
    <row r="10361">
      <c r="A10361" s="3">
        <v>784248.0</v>
      </c>
      <c r="B10361" s="3" t="s">
        <v>10389</v>
      </c>
      <c r="C10361" s="3" t="s">
        <v>228</v>
      </c>
      <c r="D10361" s="3">
        <v>189.0</v>
      </c>
      <c r="E10361" s="3">
        <v>7.89</v>
      </c>
      <c r="F10361" s="3">
        <v>10.35</v>
      </c>
      <c r="G10361" s="3">
        <v>19.77</v>
      </c>
    </row>
    <row r="10362">
      <c r="A10362" s="3">
        <v>784250.0</v>
      </c>
      <c r="B10362" s="3" t="s">
        <v>10390</v>
      </c>
      <c r="C10362" s="3" t="s">
        <v>228</v>
      </c>
      <c r="D10362" s="3">
        <v>408.0</v>
      </c>
      <c r="E10362" s="3">
        <v>21.2</v>
      </c>
      <c r="F10362" s="3">
        <v>5.63</v>
      </c>
      <c r="G10362" s="3">
        <v>49.66</v>
      </c>
    </row>
    <row r="10363">
      <c r="A10363" s="3">
        <v>784251.0</v>
      </c>
      <c r="B10363" s="3" t="s">
        <v>10391</v>
      </c>
      <c r="C10363" s="3" t="s">
        <v>228</v>
      </c>
      <c r="D10363" s="3">
        <v>136.0</v>
      </c>
      <c r="E10363" s="3">
        <v>8.46</v>
      </c>
      <c r="F10363" s="3">
        <v>5.48</v>
      </c>
      <c r="G10363" s="3">
        <v>9.67</v>
      </c>
    </row>
    <row r="10364">
      <c r="A10364" s="3">
        <v>784252.0</v>
      </c>
      <c r="B10364" s="3" t="s">
        <v>10392</v>
      </c>
      <c r="C10364" s="3" t="s">
        <v>228</v>
      </c>
      <c r="D10364" s="3">
        <v>84.0</v>
      </c>
      <c r="E10364" s="3">
        <v>3.02</v>
      </c>
      <c r="F10364" s="3">
        <v>4.29</v>
      </c>
      <c r="G10364" s="3">
        <v>10.22</v>
      </c>
    </row>
    <row r="10365">
      <c r="A10365" s="3">
        <v>784253.0</v>
      </c>
      <c r="B10365" s="3" t="s">
        <v>10393</v>
      </c>
      <c r="C10365" s="3" t="s">
        <v>228</v>
      </c>
      <c r="D10365" s="3">
        <v>86.0</v>
      </c>
      <c r="E10365" s="3">
        <v>3.04</v>
      </c>
      <c r="F10365" s="3">
        <v>4.16</v>
      </c>
      <c r="G10365" s="3">
        <v>10.54</v>
      </c>
    </row>
    <row r="10366">
      <c r="A10366" s="3">
        <v>784254.0</v>
      </c>
      <c r="B10366" s="3" t="s">
        <v>10394</v>
      </c>
      <c r="C10366" s="3" t="s">
        <v>228</v>
      </c>
      <c r="D10366" s="3">
        <v>143.0</v>
      </c>
      <c r="E10366" s="3">
        <v>8.28</v>
      </c>
      <c r="F10366" s="3">
        <v>9.18</v>
      </c>
      <c r="G10366" s="3">
        <v>7.9</v>
      </c>
    </row>
    <row r="10367">
      <c r="A10367" s="3">
        <v>784255.0</v>
      </c>
      <c r="B10367" s="3" t="s">
        <v>10395</v>
      </c>
      <c r="C10367" s="3" t="s">
        <v>228</v>
      </c>
      <c r="D10367" s="3">
        <v>142.0</v>
      </c>
      <c r="E10367" s="3">
        <v>8.26</v>
      </c>
      <c r="F10367" s="3">
        <v>9.28</v>
      </c>
      <c r="G10367" s="3">
        <v>7.78</v>
      </c>
    </row>
    <row r="10368">
      <c r="A10368" s="3">
        <v>784256.0</v>
      </c>
      <c r="B10368" s="3" t="s">
        <v>10396</v>
      </c>
      <c r="C10368" s="3" t="s">
        <v>228</v>
      </c>
      <c r="D10368" s="3">
        <v>151.0</v>
      </c>
      <c r="E10368" s="3">
        <v>8.27</v>
      </c>
      <c r="F10368" s="3">
        <v>9.47</v>
      </c>
      <c r="G10368" s="3">
        <v>9.7</v>
      </c>
    </row>
    <row r="10369">
      <c r="A10369" s="3">
        <v>784257.0</v>
      </c>
      <c r="B10369" s="3" t="s">
        <v>10397</v>
      </c>
      <c r="C10369" s="3" t="s">
        <v>228</v>
      </c>
      <c r="D10369" s="3">
        <v>109.0</v>
      </c>
      <c r="E10369" s="3">
        <v>1.56</v>
      </c>
      <c r="F10369" s="3">
        <v>5.99</v>
      </c>
      <c r="G10369" s="3">
        <v>18.38</v>
      </c>
    </row>
    <row r="10370">
      <c r="A10370" s="3">
        <v>784258.0</v>
      </c>
      <c r="B10370" s="3" t="s">
        <v>10398</v>
      </c>
      <c r="C10370" s="3" t="s">
        <v>228</v>
      </c>
      <c r="D10370" s="3">
        <v>42.0</v>
      </c>
      <c r="E10370" s="3">
        <v>0.33</v>
      </c>
      <c r="F10370" s="3">
        <v>2.39</v>
      </c>
      <c r="G10370" s="3">
        <v>8.19</v>
      </c>
    </row>
    <row r="10371">
      <c r="A10371" s="3">
        <v>784259.0</v>
      </c>
      <c r="B10371" s="3" t="s">
        <v>10399</v>
      </c>
      <c r="C10371" s="3" t="s">
        <v>228</v>
      </c>
      <c r="D10371" s="3">
        <v>172.0</v>
      </c>
      <c r="E10371" s="3">
        <v>7.79</v>
      </c>
      <c r="F10371" s="3">
        <v>7.12</v>
      </c>
      <c r="G10371" s="3">
        <v>19.13</v>
      </c>
    </row>
    <row r="10372">
      <c r="A10372" s="3">
        <v>784260.0</v>
      </c>
      <c r="B10372" s="3" t="s">
        <v>10400</v>
      </c>
      <c r="C10372" s="3" t="s">
        <v>228</v>
      </c>
      <c r="D10372" s="3">
        <v>172.0</v>
      </c>
      <c r="E10372" s="3">
        <v>7.79</v>
      </c>
      <c r="F10372" s="3">
        <v>7.12</v>
      </c>
      <c r="G10372" s="3">
        <v>19.13</v>
      </c>
    </row>
    <row r="10373">
      <c r="A10373" s="3">
        <v>784261.0</v>
      </c>
      <c r="B10373" s="3" t="s">
        <v>10401</v>
      </c>
      <c r="C10373" s="3" t="s">
        <v>228</v>
      </c>
      <c r="D10373" s="3">
        <v>115.0</v>
      </c>
      <c r="E10373" s="3">
        <v>0.53</v>
      </c>
      <c r="F10373" s="3">
        <v>7.68</v>
      </c>
      <c r="G10373" s="3">
        <v>20.64</v>
      </c>
    </row>
    <row r="10374">
      <c r="A10374" s="3">
        <v>784262.0</v>
      </c>
      <c r="B10374" s="3" t="s">
        <v>10402</v>
      </c>
      <c r="C10374" s="3" t="s">
        <v>228</v>
      </c>
      <c r="D10374" s="3">
        <v>218.0</v>
      </c>
      <c r="E10374" s="3">
        <v>10.01</v>
      </c>
      <c r="F10374" s="3">
        <v>8.14</v>
      </c>
      <c r="G10374" s="3">
        <v>25.18</v>
      </c>
    </row>
    <row r="10375">
      <c r="A10375" s="3">
        <v>784263.0</v>
      </c>
      <c r="B10375" s="3" t="s">
        <v>10403</v>
      </c>
      <c r="C10375" s="3" t="s">
        <v>228</v>
      </c>
      <c r="D10375" s="3">
        <v>218.0</v>
      </c>
      <c r="E10375" s="3">
        <v>10.01</v>
      </c>
      <c r="F10375" s="3">
        <v>8.14</v>
      </c>
      <c r="G10375" s="3">
        <v>25.18</v>
      </c>
    </row>
    <row r="10376">
      <c r="A10376" s="3">
        <v>784264.0</v>
      </c>
      <c r="B10376" s="3" t="s">
        <v>10404</v>
      </c>
      <c r="C10376" s="3" t="s">
        <v>228</v>
      </c>
      <c r="D10376" s="3">
        <v>218.0</v>
      </c>
      <c r="E10376" s="3">
        <v>10.01</v>
      </c>
      <c r="F10376" s="3">
        <v>8.14</v>
      </c>
      <c r="G10376" s="3">
        <v>25.18</v>
      </c>
    </row>
    <row r="10377">
      <c r="A10377" s="3">
        <v>784265.0</v>
      </c>
      <c r="B10377" s="3" t="s">
        <v>10405</v>
      </c>
      <c r="C10377" s="3" t="s">
        <v>228</v>
      </c>
      <c r="D10377" s="3">
        <v>212.0</v>
      </c>
      <c r="E10377" s="3">
        <v>9.03</v>
      </c>
      <c r="F10377" s="3">
        <v>8.33</v>
      </c>
      <c r="G10377" s="3">
        <v>25.29</v>
      </c>
    </row>
    <row r="10378">
      <c r="A10378" s="3">
        <v>784266.0</v>
      </c>
      <c r="B10378" s="3" t="s">
        <v>10406</v>
      </c>
      <c r="C10378" s="3" t="s">
        <v>228</v>
      </c>
      <c r="D10378" s="3">
        <v>193.0</v>
      </c>
      <c r="E10378" s="3">
        <v>7.14</v>
      </c>
      <c r="F10378" s="3">
        <v>8.12</v>
      </c>
      <c r="G10378" s="3">
        <v>25.15</v>
      </c>
    </row>
    <row r="10379">
      <c r="A10379" s="3">
        <v>784267.0</v>
      </c>
      <c r="B10379" s="3" t="s">
        <v>10407</v>
      </c>
      <c r="C10379" s="3" t="s">
        <v>228</v>
      </c>
      <c r="D10379" s="3">
        <v>163.0</v>
      </c>
      <c r="E10379" s="3">
        <v>2.57</v>
      </c>
      <c r="F10379" s="3">
        <v>8.81</v>
      </c>
      <c r="G10379" s="3">
        <v>27.25</v>
      </c>
    </row>
    <row r="10380">
      <c r="A10380" s="3">
        <v>784268.0</v>
      </c>
      <c r="B10380" s="3" t="s">
        <v>10408</v>
      </c>
      <c r="C10380" s="3" t="s">
        <v>228</v>
      </c>
      <c r="D10380" s="3">
        <v>198.0</v>
      </c>
      <c r="E10380" s="3">
        <v>10.04</v>
      </c>
      <c r="F10380" s="3">
        <v>7.61</v>
      </c>
      <c r="G10380" s="3">
        <v>20.87</v>
      </c>
    </row>
    <row r="10381">
      <c r="A10381" s="3">
        <v>784269.0</v>
      </c>
      <c r="B10381" s="3" t="s">
        <v>10409</v>
      </c>
      <c r="C10381" s="3" t="s">
        <v>228</v>
      </c>
      <c r="D10381" s="3">
        <v>198.0</v>
      </c>
      <c r="E10381" s="3">
        <v>10.04</v>
      </c>
      <c r="F10381" s="3">
        <v>7.61</v>
      </c>
      <c r="G10381" s="3">
        <v>20.87</v>
      </c>
    </row>
    <row r="10382">
      <c r="A10382" s="3">
        <v>784270.0</v>
      </c>
      <c r="B10382" s="3" t="s">
        <v>10410</v>
      </c>
      <c r="C10382" s="3" t="s">
        <v>228</v>
      </c>
      <c r="D10382" s="3">
        <v>198.0</v>
      </c>
      <c r="E10382" s="3">
        <v>10.04</v>
      </c>
      <c r="F10382" s="3">
        <v>7.61</v>
      </c>
      <c r="G10382" s="3">
        <v>20.87</v>
      </c>
    </row>
    <row r="10383">
      <c r="A10383" s="3">
        <v>784271.0</v>
      </c>
      <c r="B10383" s="3" t="s">
        <v>10411</v>
      </c>
      <c r="C10383" s="3" t="s">
        <v>228</v>
      </c>
      <c r="D10383" s="3">
        <v>146.0</v>
      </c>
      <c r="E10383" s="3">
        <v>3.24</v>
      </c>
      <c r="F10383" s="3">
        <v>8.19</v>
      </c>
      <c r="G10383" s="3">
        <v>22.45</v>
      </c>
    </row>
    <row r="10384">
      <c r="A10384" s="3">
        <v>784272.0</v>
      </c>
      <c r="B10384" s="3" t="s">
        <v>10412</v>
      </c>
      <c r="C10384" s="3" t="s">
        <v>228</v>
      </c>
      <c r="D10384" s="3">
        <v>199.0</v>
      </c>
      <c r="E10384" s="3">
        <v>10.06</v>
      </c>
      <c r="F10384" s="3">
        <v>7.62</v>
      </c>
      <c r="G10384" s="3">
        <v>20.9</v>
      </c>
    </row>
    <row r="10385">
      <c r="A10385" s="3">
        <v>784273.0</v>
      </c>
      <c r="B10385" s="3" t="s">
        <v>10413</v>
      </c>
      <c r="C10385" s="3" t="s">
        <v>228</v>
      </c>
      <c r="D10385" s="3">
        <v>199.0</v>
      </c>
      <c r="E10385" s="3">
        <v>10.06</v>
      </c>
      <c r="F10385" s="3">
        <v>7.62</v>
      </c>
      <c r="G10385" s="3">
        <v>20.9</v>
      </c>
    </row>
    <row r="10386">
      <c r="A10386" s="3">
        <v>784274.0</v>
      </c>
      <c r="B10386" s="3" t="s">
        <v>10414</v>
      </c>
      <c r="C10386" s="3" t="s">
        <v>228</v>
      </c>
      <c r="D10386" s="3">
        <v>147.0</v>
      </c>
      <c r="E10386" s="3">
        <v>3.25</v>
      </c>
      <c r="F10386" s="3">
        <v>8.2</v>
      </c>
      <c r="G10386" s="3">
        <v>22.48</v>
      </c>
    </row>
    <row r="10387">
      <c r="A10387" s="3">
        <v>784275.0</v>
      </c>
      <c r="B10387" s="3" t="s">
        <v>10415</v>
      </c>
      <c r="C10387" s="3" t="s">
        <v>228</v>
      </c>
      <c r="D10387" s="3">
        <v>117.0</v>
      </c>
      <c r="E10387" s="3">
        <v>0.39</v>
      </c>
      <c r="F10387" s="3">
        <v>8.3</v>
      </c>
      <c r="G10387" s="3">
        <v>20.99</v>
      </c>
    </row>
    <row r="10388">
      <c r="A10388" s="3">
        <v>784276.0</v>
      </c>
      <c r="B10388" s="3" t="s">
        <v>10416</v>
      </c>
      <c r="C10388" s="3" t="s">
        <v>228</v>
      </c>
      <c r="D10388" s="3">
        <v>167.0</v>
      </c>
      <c r="E10388" s="3">
        <v>6.83</v>
      </c>
      <c r="F10388" s="3">
        <v>7.76</v>
      </c>
      <c r="G10388" s="3">
        <v>19.64</v>
      </c>
    </row>
    <row r="10389">
      <c r="A10389" s="3">
        <v>784277.0</v>
      </c>
      <c r="B10389" s="3" t="s">
        <v>10417</v>
      </c>
      <c r="C10389" s="3" t="s">
        <v>228</v>
      </c>
      <c r="D10389" s="3">
        <v>167.0</v>
      </c>
      <c r="E10389" s="3">
        <v>6.83</v>
      </c>
      <c r="F10389" s="3">
        <v>7.76</v>
      </c>
      <c r="G10389" s="3">
        <v>19.64</v>
      </c>
    </row>
    <row r="10390">
      <c r="A10390" s="3">
        <v>784278.0</v>
      </c>
      <c r="B10390" s="3" t="s">
        <v>10418</v>
      </c>
      <c r="C10390" s="3" t="s">
        <v>228</v>
      </c>
      <c r="D10390" s="3">
        <v>162.0</v>
      </c>
      <c r="E10390" s="3">
        <v>5.99</v>
      </c>
      <c r="F10390" s="3">
        <v>7.93</v>
      </c>
      <c r="G10390" s="3">
        <v>19.71</v>
      </c>
    </row>
    <row r="10391">
      <c r="A10391" s="3">
        <v>784279.0</v>
      </c>
      <c r="B10391" s="3" t="s">
        <v>10419</v>
      </c>
      <c r="C10391" s="3" t="s">
        <v>228</v>
      </c>
      <c r="D10391" s="3">
        <v>146.0</v>
      </c>
      <c r="E10391" s="3">
        <v>4.41</v>
      </c>
      <c r="F10391" s="3">
        <v>7.75</v>
      </c>
      <c r="G10391" s="3">
        <v>19.63</v>
      </c>
    </row>
    <row r="10392">
      <c r="A10392" s="3">
        <v>784280.0</v>
      </c>
      <c r="B10392" s="3" t="s">
        <v>10420</v>
      </c>
      <c r="C10392" s="3" t="s">
        <v>228</v>
      </c>
      <c r="D10392" s="3">
        <v>167.0</v>
      </c>
      <c r="E10392" s="3">
        <v>6.83</v>
      </c>
      <c r="F10392" s="3">
        <v>7.76</v>
      </c>
      <c r="G10392" s="3">
        <v>19.64</v>
      </c>
    </row>
    <row r="10393">
      <c r="A10393" s="3">
        <v>784282.0</v>
      </c>
      <c r="B10393" s="3" t="s">
        <v>10421</v>
      </c>
      <c r="C10393" s="3" t="s">
        <v>228</v>
      </c>
      <c r="D10393" s="3">
        <v>169.0</v>
      </c>
      <c r="E10393" s="3">
        <v>7.41</v>
      </c>
      <c r="F10393" s="3">
        <v>9.23</v>
      </c>
      <c r="G10393" s="3">
        <v>17.04</v>
      </c>
    </row>
    <row r="10394">
      <c r="A10394" s="3">
        <v>784283.0</v>
      </c>
      <c r="B10394" s="3" t="s">
        <v>10422</v>
      </c>
      <c r="C10394" s="3" t="s">
        <v>228</v>
      </c>
      <c r="D10394" s="3">
        <v>173.0</v>
      </c>
      <c r="E10394" s="3">
        <v>8.26</v>
      </c>
      <c r="F10394" s="3">
        <v>8.86</v>
      </c>
      <c r="G10394" s="3">
        <v>16.36</v>
      </c>
    </row>
    <row r="10395">
      <c r="A10395" s="3">
        <v>784284.0</v>
      </c>
      <c r="B10395" s="3" t="s">
        <v>10423</v>
      </c>
      <c r="C10395" s="3" t="s">
        <v>228</v>
      </c>
      <c r="D10395" s="3">
        <v>165.0</v>
      </c>
      <c r="E10395" s="3">
        <v>6.76</v>
      </c>
      <c r="F10395" s="3">
        <v>8.4</v>
      </c>
      <c r="G10395" s="3">
        <v>18.74</v>
      </c>
    </row>
    <row r="10396">
      <c r="A10396" s="3">
        <v>784285.0</v>
      </c>
      <c r="B10396" s="3" t="s">
        <v>10424</v>
      </c>
      <c r="C10396" s="3" t="s">
        <v>228</v>
      </c>
      <c r="D10396" s="3">
        <v>165.0</v>
      </c>
      <c r="E10396" s="3">
        <v>6.76</v>
      </c>
      <c r="F10396" s="3">
        <v>8.4</v>
      </c>
      <c r="G10396" s="3">
        <v>18.74</v>
      </c>
    </row>
    <row r="10397">
      <c r="A10397" s="3">
        <v>784286.0</v>
      </c>
      <c r="B10397" s="3" t="s">
        <v>10425</v>
      </c>
      <c r="C10397" s="3" t="s">
        <v>228</v>
      </c>
      <c r="D10397" s="3">
        <v>165.0</v>
      </c>
      <c r="E10397" s="3">
        <v>6.76</v>
      </c>
      <c r="F10397" s="3">
        <v>8.4</v>
      </c>
      <c r="G10397" s="3">
        <v>18.74</v>
      </c>
    </row>
    <row r="10398">
      <c r="A10398" s="3">
        <v>784287.0</v>
      </c>
      <c r="B10398" s="3" t="s">
        <v>10426</v>
      </c>
      <c r="C10398" s="3" t="s">
        <v>228</v>
      </c>
      <c r="D10398" s="3">
        <v>159.0</v>
      </c>
      <c r="E10398" s="3">
        <v>5.93</v>
      </c>
      <c r="F10398" s="3">
        <v>8.57</v>
      </c>
      <c r="G10398" s="3">
        <v>18.82</v>
      </c>
    </row>
    <row r="10399">
      <c r="A10399" s="3">
        <v>784288.0</v>
      </c>
      <c r="B10399" s="3" t="s">
        <v>10427</v>
      </c>
      <c r="C10399" s="3" t="s">
        <v>228</v>
      </c>
      <c r="D10399" s="3">
        <v>143.0</v>
      </c>
      <c r="E10399" s="3">
        <v>4.37</v>
      </c>
      <c r="F10399" s="3">
        <v>8.38</v>
      </c>
      <c r="G10399" s="3">
        <v>18.74</v>
      </c>
    </row>
    <row r="10400">
      <c r="A10400" s="3">
        <v>784289.0</v>
      </c>
      <c r="B10400" s="3" t="s">
        <v>10428</v>
      </c>
      <c r="C10400" s="3" t="s">
        <v>228</v>
      </c>
      <c r="D10400" s="3">
        <v>115.0</v>
      </c>
      <c r="E10400" s="3">
        <v>0.38</v>
      </c>
      <c r="F10400" s="3">
        <v>8.98</v>
      </c>
      <c r="G10400" s="3">
        <v>20.03</v>
      </c>
    </row>
    <row r="10401">
      <c r="A10401" s="3">
        <v>784290.0</v>
      </c>
      <c r="B10401" s="3" t="s">
        <v>10429</v>
      </c>
      <c r="C10401" s="3" t="s">
        <v>228</v>
      </c>
      <c r="D10401" s="3">
        <v>72.0</v>
      </c>
      <c r="E10401" s="3">
        <v>2.41</v>
      </c>
      <c r="F10401" s="3">
        <v>2.2</v>
      </c>
      <c r="G10401" s="3">
        <v>10.7</v>
      </c>
    </row>
    <row r="10402">
      <c r="A10402" s="3">
        <v>784291.0</v>
      </c>
      <c r="B10402" s="3" t="s">
        <v>10430</v>
      </c>
      <c r="C10402" s="3" t="s">
        <v>228</v>
      </c>
      <c r="D10402" s="3">
        <v>89.0</v>
      </c>
      <c r="E10402" s="3">
        <v>3.91</v>
      </c>
      <c r="F10402" s="3">
        <v>4.11</v>
      </c>
      <c r="G10402" s="3">
        <v>9.81</v>
      </c>
    </row>
    <row r="10403">
      <c r="A10403" s="3">
        <v>784292.0</v>
      </c>
      <c r="B10403" s="3" t="s">
        <v>10431</v>
      </c>
      <c r="C10403" s="3" t="s">
        <v>228</v>
      </c>
      <c r="D10403" s="3">
        <v>160.0</v>
      </c>
      <c r="E10403" s="3">
        <v>5.12</v>
      </c>
      <c r="F10403" s="3">
        <v>7.78</v>
      </c>
      <c r="G10403" s="3">
        <v>21.64</v>
      </c>
    </row>
    <row r="10404">
      <c r="A10404" s="3">
        <v>784293.0</v>
      </c>
      <c r="B10404" s="3" t="s">
        <v>10432</v>
      </c>
      <c r="C10404" s="3" t="s">
        <v>228</v>
      </c>
      <c r="D10404" s="3">
        <v>151.0</v>
      </c>
      <c r="E10404" s="3">
        <v>9.07</v>
      </c>
      <c r="F10404" s="3">
        <v>9.44</v>
      </c>
      <c r="G10404" s="3">
        <v>8.1</v>
      </c>
    </row>
    <row r="10405">
      <c r="A10405" s="3">
        <v>784294.0</v>
      </c>
      <c r="B10405" s="3" t="s">
        <v>10433</v>
      </c>
      <c r="C10405" s="3" t="s">
        <v>228</v>
      </c>
      <c r="D10405" s="3">
        <v>212.0</v>
      </c>
      <c r="E10405" s="3">
        <v>15.62</v>
      </c>
      <c r="F10405" s="3">
        <v>6.44</v>
      </c>
      <c r="G10405" s="3">
        <v>12.4</v>
      </c>
    </row>
    <row r="10406">
      <c r="A10406" s="3">
        <v>784295.0</v>
      </c>
      <c r="B10406" s="3" t="s">
        <v>10434</v>
      </c>
      <c r="C10406" s="3" t="s">
        <v>228</v>
      </c>
      <c r="D10406" s="3">
        <v>309.0</v>
      </c>
      <c r="E10406" s="3">
        <v>19.08</v>
      </c>
      <c r="F10406" s="3">
        <v>11.99</v>
      </c>
      <c r="G10406" s="3">
        <v>23.46</v>
      </c>
    </row>
    <row r="10407">
      <c r="A10407" s="3">
        <v>784296.0</v>
      </c>
      <c r="B10407" s="3" t="s">
        <v>10435</v>
      </c>
      <c r="C10407" s="3" t="s">
        <v>33</v>
      </c>
      <c r="D10407" s="3">
        <v>450.0</v>
      </c>
      <c r="E10407" s="3">
        <v>21.6</v>
      </c>
      <c r="F10407" s="3">
        <v>14.4</v>
      </c>
      <c r="G10407" s="3">
        <v>53.18</v>
      </c>
    </row>
    <row r="10408">
      <c r="A10408" s="3">
        <v>784298.0</v>
      </c>
      <c r="B10408" s="3" t="s">
        <v>10436</v>
      </c>
      <c r="C10408" s="3" t="s">
        <v>101</v>
      </c>
      <c r="D10408" s="3">
        <v>84.0</v>
      </c>
      <c r="E10408" s="3">
        <v>2.64</v>
      </c>
      <c r="F10408" s="3">
        <v>4.3</v>
      </c>
      <c r="G10408" s="3">
        <v>11.61</v>
      </c>
    </row>
    <row r="10409">
      <c r="A10409" s="3">
        <v>784304.0</v>
      </c>
      <c r="B10409" s="3" t="s">
        <v>10437</v>
      </c>
      <c r="C10409" s="3" t="s">
        <v>225</v>
      </c>
      <c r="D10409" s="3">
        <v>155.0</v>
      </c>
      <c r="E10409" s="3">
        <v>2.71</v>
      </c>
      <c r="F10409" s="3">
        <v>5.77</v>
      </c>
      <c r="G10409" s="3">
        <v>27.87</v>
      </c>
    </row>
    <row r="10410">
      <c r="A10410" s="3">
        <v>784315.0</v>
      </c>
      <c r="B10410" s="3" t="s">
        <v>10438</v>
      </c>
      <c r="C10410" s="3" t="s">
        <v>228</v>
      </c>
      <c r="D10410" s="3">
        <v>150.0</v>
      </c>
      <c r="E10410" s="3">
        <v>9.6</v>
      </c>
      <c r="F10410" s="3">
        <v>8.4</v>
      </c>
      <c r="G10410" s="3">
        <v>8.7</v>
      </c>
    </row>
    <row r="10411">
      <c r="A10411" s="3">
        <v>784317.0</v>
      </c>
      <c r="B10411" s="3" t="s">
        <v>10439</v>
      </c>
      <c r="C10411" s="3" t="s">
        <v>660</v>
      </c>
      <c r="D10411" s="3">
        <v>126.0</v>
      </c>
      <c r="E10411" s="3">
        <v>0.04</v>
      </c>
      <c r="F10411" s="3">
        <v>0.04</v>
      </c>
      <c r="G10411" s="3">
        <v>31.42</v>
      </c>
    </row>
    <row r="10412">
      <c r="A10412" s="3">
        <v>784319.0</v>
      </c>
      <c r="B10412" s="3" t="s">
        <v>10440</v>
      </c>
      <c r="C10412" s="3" t="s">
        <v>7823</v>
      </c>
      <c r="D10412" s="3">
        <v>261.0</v>
      </c>
      <c r="E10412" s="3">
        <v>18.64</v>
      </c>
      <c r="F10412" s="3">
        <v>4.79</v>
      </c>
      <c r="G10412" s="3">
        <v>22.4</v>
      </c>
    </row>
    <row r="10413">
      <c r="A10413" s="3">
        <v>784320.0</v>
      </c>
      <c r="B10413" s="3" t="s">
        <v>10441</v>
      </c>
      <c r="C10413" s="3" t="s">
        <v>7823</v>
      </c>
      <c r="D10413" s="3">
        <v>237.0</v>
      </c>
      <c r="E10413" s="3">
        <v>14.75</v>
      </c>
      <c r="F10413" s="3">
        <v>3.38</v>
      </c>
      <c r="G10413" s="3">
        <v>25.02</v>
      </c>
    </row>
    <row r="10414">
      <c r="A10414" s="3">
        <v>784321.0</v>
      </c>
      <c r="B10414" s="3" t="s">
        <v>10442</v>
      </c>
      <c r="C10414" s="3" t="s">
        <v>225</v>
      </c>
      <c r="D10414" s="3">
        <v>68.0</v>
      </c>
      <c r="E10414" s="3">
        <v>2.32</v>
      </c>
      <c r="F10414" s="3">
        <v>3.08</v>
      </c>
      <c r="G10414" s="3">
        <v>8.89</v>
      </c>
    </row>
    <row r="10415">
      <c r="A10415" s="3">
        <v>784322.0</v>
      </c>
      <c r="B10415" s="3" t="s">
        <v>10443</v>
      </c>
      <c r="C10415" s="3" t="s">
        <v>225</v>
      </c>
      <c r="D10415" s="3">
        <v>68.0</v>
      </c>
      <c r="E10415" s="3">
        <v>2.32</v>
      </c>
      <c r="F10415" s="3">
        <v>3.08</v>
      </c>
      <c r="G10415" s="3">
        <v>8.89</v>
      </c>
    </row>
    <row r="10416">
      <c r="A10416" s="3">
        <v>784324.0</v>
      </c>
      <c r="B10416" s="3" t="s">
        <v>10444</v>
      </c>
      <c r="C10416" s="3" t="s">
        <v>225</v>
      </c>
      <c r="D10416" s="3">
        <v>58.0</v>
      </c>
      <c r="E10416" s="3">
        <v>0.77</v>
      </c>
      <c r="F10416" s="3">
        <v>4.48</v>
      </c>
      <c r="G10416" s="3">
        <v>8.52</v>
      </c>
    </row>
    <row r="10417">
      <c r="A10417" s="3">
        <v>784325.0</v>
      </c>
      <c r="B10417" s="3" t="s">
        <v>10445</v>
      </c>
      <c r="C10417" s="3" t="s">
        <v>225</v>
      </c>
      <c r="D10417" s="3">
        <v>32.0</v>
      </c>
      <c r="E10417" s="3">
        <v>1.54</v>
      </c>
      <c r="F10417" s="3">
        <v>2.47</v>
      </c>
      <c r="G10417" s="3">
        <v>2.47</v>
      </c>
    </row>
    <row r="10418">
      <c r="A10418" s="3">
        <v>784326.0</v>
      </c>
      <c r="B10418" s="3" t="s">
        <v>10446</v>
      </c>
      <c r="C10418" s="3" t="s">
        <v>225</v>
      </c>
      <c r="D10418" s="3">
        <v>142.0</v>
      </c>
      <c r="E10418" s="3">
        <v>1.07</v>
      </c>
      <c r="F10418" s="3">
        <v>9.41</v>
      </c>
      <c r="G10418" s="3">
        <v>23.61</v>
      </c>
    </row>
    <row r="10419">
      <c r="A10419" s="3">
        <v>784327.0</v>
      </c>
      <c r="B10419" s="3" t="s">
        <v>10447</v>
      </c>
      <c r="C10419" s="3" t="s">
        <v>225</v>
      </c>
      <c r="D10419" s="3">
        <v>90.0</v>
      </c>
      <c r="E10419" s="3">
        <v>2.26</v>
      </c>
      <c r="F10419" s="3">
        <v>4.82</v>
      </c>
      <c r="G10419" s="3">
        <v>12.96</v>
      </c>
    </row>
    <row r="10420">
      <c r="A10420" s="3">
        <v>784328.0</v>
      </c>
      <c r="B10420" s="3" t="s">
        <v>10448</v>
      </c>
      <c r="C10420" s="3" t="s">
        <v>225</v>
      </c>
      <c r="D10420" s="3">
        <v>109.0</v>
      </c>
      <c r="E10420" s="3">
        <v>3.06</v>
      </c>
      <c r="F10420" s="3">
        <v>6.22</v>
      </c>
      <c r="G10420" s="3">
        <v>14.79</v>
      </c>
    </row>
    <row r="10421">
      <c r="A10421" s="3">
        <v>784330.0</v>
      </c>
      <c r="B10421" s="3" t="s">
        <v>10449</v>
      </c>
      <c r="C10421" s="3" t="s">
        <v>225</v>
      </c>
      <c r="D10421" s="3">
        <v>63.0</v>
      </c>
      <c r="E10421" s="3">
        <v>0.79</v>
      </c>
      <c r="F10421" s="3">
        <v>4.75</v>
      </c>
      <c r="G10421" s="3">
        <v>9.51</v>
      </c>
    </row>
    <row r="10422">
      <c r="A10422" s="3">
        <v>784331.0</v>
      </c>
      <c r="B10422" s="3" t="s">
        <v>10450</v>
      </c>
      <c r="C10422" s="3" t="s">
        <v>225</v>
      </c>
      <c r="D10422" s="3">
        <v>65.0</v>
      </c>
      <c r="E10422" s="3">
        <v>0.77</v>
      </c>
      <c r="F10422" s="3">
        <v>5.08</v>
      </c>
      <c r="G10422" s="3">
        <v>9.75</v>
      </c>
    </row>
    <row r="10423">
      <c r="A10423" s="3">
        <v>784333.0</v>
      </c>
      <c r="B10423" s="3" t="s">
        <v>10451</v>
      </c>
      <c r="C10423" s="3" t="s">
        <v>225</v>
      </c>
      <c r="D10423" s="3">
        <v>82.0</v>
      </c>
      <c r="E10423" s="3">
        <v>1.99</v>
      </c>
      <c r="F10423" s="3">
        <v>7.68</v>
      </c>
      <c r="G10423" s="3">
        <v>8.3</v>
      </c>
    </row>
    <row r="10424">
      <c r="A10424" s="3">
        <v>784336.0</v>
      </c>
      <c r="B10424" s="3" t="s">
        <v>10452</v>
      </c>
      <c r="C10424" s="3" t="s">
        <v>225</v>
      </c>
      <c r="D10424" s="3">
        <v>71.0</v>
      </c>
      <c r="E10424" s="3">
        <v>1.5</v>
      </c>
      <c r="F10424" s="3">
        <v>4.67</v>
      </c>
      <c r="G10424" s="3">
        <v>10.04</v>
      </c>
    </row>
    <row r="10425">
      <c r="A10425" s="3">
        <v>784341.0</v>
      </c>
      <c r="B10425" s="3" t="s">
        <v>10453</v>
      </c>
      <c r="C10425" s="3" t="s">
        <v>225</v>
      </c>
      <c r="D10425" s="3">
        <v>64.0</v>
      </c>
      <c r="E10425" s="3">
        <v>1.66</v>
      </c>
      <c r="F10425" s="3">
        <v>3.89</v>
      </c>
      <c r="G10425" s="3">
        <v>8.85</v>
      </c>
    </row>
    <row r="10426">
      <c r="A10426" s="3">
        <v>784351.0</v>
      </c>
      <c r="B10426" s="3" t="s">
        <v>10454</v>
      </c>
      <c r="C10426" s="3" t="s">
        <v>228</v>
      </c>
      <c r="D10426" s="3">
        <v>180.0</v>
      </c>
      <c r="E10426" s="3">
        <v>8.07</v>
      </c>
      <c r="F10426" s="3">
        <v>12.67</v>
      </c>
      <c r="G10426" s="3">
        <v>14.1</v>
      </c>
    </row>
    <row r="10427">
      <c r="A10427" s="3">
        <v>784353.0</v>
      </c>
      <c r="B10427" s="3" t="s">
        <v>10455</v>
      </c>
      <c r="C10427" s="3" t="s">
        <v>228</v>
      </c>
      <c r="D10427" s="3">
        <v>224.0</v>
      </c>
      <c r="E10427" s="3">
        <v>13.98</v>
      </c>
      <c r="F10427" s="3">
        <v>7.69</v>
      </c>
      <c r="G10427" s="3">
        <v>17.02</v>
      </c>
    </row>
    <row r="10428">
      <c r="A10428" s="3">
        <v>784354.0</v>
      </c>
      <c r="B10428" s="3" t="s">
        <v>10456</v>
      </c>
      <c r="C10428" s="3" t="s">
        <v>228</v>
      </c>
      <c r="D10428" s="3">
        <v>107.0</v>
      </c>
      <c r="E10428" s="3">
        <v>2.93</v>
      </c>
      <c r="F10428" s="3">
        <v>7.44</v>
      </c>
      <c r="G10428" s="3">
        <v>13.89</v>
      </c>
    </row>
    <row r="10429">
      <c r="A10429" s="3">
        <v>784355.0</v>
      </c>
      <c r="B10429" s="3" t="s">
        <v>10457</v>
      </c>
      <c r="C10429" s="3" t="s">
        <v>1464</v>
      </c>
      <c r="D10429" s="3">
        <v>89.0</v>
      </c>
      <c r="E10429" s="3">
        <v>6.6</v>
      </c>
      <c r="F10429" s="3">
        <v>4.03</v>
      </c>
      <c r="G10429" s="3">
        <v>4.78</v>
      </c>
    </row>
    <row r="10430">
      <c r="A10430" s="3">
        <v>784356.0</v>
      </c>
      <c r="B10430" s="3" t="s">
        <v>10458</v>
      </c>
      <c r="C10430" s="3" t="s">
        <v>1464</v>
      </c>
      <c r="D10430" s="3">
        <v>90.0</v>
      </c>
      <c r="E10430" s="3">
        <v>6.82</v>
      </c>
      <c r="F10430" s="3">
        <v>4.09</v>
      </c>
      <c r="G10430" s="3">
        <v>4.44</v>
      </c>
    </row>
    <row r="10431">
      <c r="A10431" s="3">
        <v>784358.0</v>
      </c>
      <c r="B10431" s="3" t="s">
        <v>10459</v>
      </c>
      <c r="C10431" s="3" t="s">
        <v>228</v>
      </c>
      <c r="D10431" s="3">
        <v>31.0</v>
      </c>
      <c r="E10431" s="3">
        <v>2.14</v>
      </c>
      <c r="F10431" s="3">
        <v>0.8</v>
      </c>
      <c r="G10431" s="3">
        <v>2.98</v>
      </c>
    </row>
    <row r="10432">
      <c r="A10432" s="3">
        <v>784359.0</v>
      </c>
      <c r="B10432" s="3" t="s">
        <v>10460</v>
      </c>
      <c r="C10432" s="3" t="s">
        <v>228</v>
      </c>
      <c r="D10432" s="3">
        <v>166.0</v>
      </c>
      <c r="E10432" s="3">
        <v>10.16</v>
      </c>
      <c r="F10432" s="3">
        <v>7.58</v>
      </c>
      <c r="G10432" s="3">
        <v>11.62</v>
      </c>
    </row>
    <row r="10433">
      <c r="A10433" s="3">
        <v>784361.0</v>
      </c>
      <c r="B10433" s="3" t="s">
        <v>10461</v>
      </c>
      <c r="C10433" s="3" t="s">
        <v>228</v>
      </c>
      <c r="D10433" s="3">
        <v>208.0</v>
      </c>
      <c r="E10433" s="3">
        <v>6.61</v>
      </c>
      <c r="F10433" s="3">
        <v>12.28</v>
      </c>
      <c r="G10433" s="3">
        <v>24.76</v>
      </c>
    </row>
    <row r="10434">
      <c r="A10434" s="3">
        <v>784362.0</v>
      </c>
      <c r="B10434" s="3" t="s">
        <v>10462</v>
      </c>
      <c r="C10434" s="3" t="s">
        <v>1099</v>
      </c>
      <c r="D10434" s="3">
        <v>605.0</v>
      </c>
      <c r="E10434" s="3">
        <v>53.62</v>
      </c>
      <c r="F10434" s="3">
        <v>19.59</v>
      </c>
      <c r="G10434" s="3">
        <v>21.04</v>
      </c>
    </row>
    <row r="10435">
      <c r="A10435" s="3">
        <v>784365.0</v>
      </c>
      <c r="B10435" s="3" t="s">
        <v>10463</v>
      </c>
      <c r="C10435" s="3" t="s">
        <v>1099</v>
      </c>
      <c r="D10435" s="3">
        <v>601.0</v>
      </c>
      <c r="E10435" s="3">
        <v>53.43</v>
      </c>
      <c r="F10435" s="3">
        <v>20.13</v>
      </c>
      <c r="G10435" s="3">
        <v>20.18</v>
      </c>
    </row>
    <row r="10436">
      <c r="A10436" s="3">
        <v>784367.0</v>
      </c>
      <c r="B10436" s="3" t="s">
        <v>10464</v>
      </c>
      <c r="C10436" s="3" t="s">
        <v>1099</v>
      </c>
      <c r="D10436" s="3">
        <v>607.0</v>
      </c>
      <c r="E10436" s="3">
        <v>53.96</v>
      </c>
      <c r="F10436" s="3">
        <v>20.33</v>
      </c>
      <c r="G10436" s="3">
        <v>20.38</v>
      </c>
    </row>
    <row r="10437">
      <c r="A10437" s="3">
        <v>784368.0</v>
      </c>
      <c r="B10437" s="3" t="s">
        <v>10465</v>
      </c>
      <c r="C10437" s="3" t="s">
        <v>1099</v>
      </c>
      <c r="D10437" s="3">
        <v>599.0</v>
      </c>
      <c r="E10437" s="3">
        <v>53.27</v>
      </c>
      <c r="F10437" s="3">
        <v>20.07</v>
      </c>
      <c r="G10437" s="3">
        <v>20.12</v>
      </c>
    </row>
    <row r="10438">
      <c r="A10438" s="3">
        <v>784369.0</v>
      </c>
      <c r="B10438" s="3" t="s">
        <v>10466</v>
      </c>
      <c r="C10438" s="3" t="s">
        <v>1099</v>
      </c>
      <c r="D10438" s="3">
        <v>575.0</v>
      </c>
      <c r="E10438" s="3">
        <v>45.27</v>
      </c>
      <c r="F10438" s="3">
        <v>14.11</v>
      </c>
      <c r="G10438" s="3">
        <v>35.92</v>
      </c>
    </row>
    <row r="10439">
      <c r="A10439" s="3">
        <v>784374.0</v>
      </c>
      <c r="B10439" s="3" t="s">
        <v>10467</v>
      </c>
      <c r="C10439" s="3" t="s">
        <v>1099</v>
      </c>
      <c r="D10439" s="3">
        <v>580.0</v>
      </c>
      <c r="E10439" s="3">
        <v>47.72</v>
      </c>
      <c r="F10439" s="3">
        <v>14.78</v>
      </c>
      <c r="G10439" s="3">
        <v>31.55</v>
      </c>
    </row>
    <row r="10440">
      <c r="A10440" s="3">
        <v>784375.0</v>
      </c>
      <c r="B10440" s="3" t="s">
        <v>10468</v>
      </c>
      <c r="C10440" s="3" t="s">
        <v>1099</v>
      </c>
      <c r="D10440" s="3">
        <v>583.0</v>
      </c>
      <c r="E10440" s="3">
        <v>47.96</v>
      </c>
      <c r="F10440" s="3">
        <v>14.85</v>
      </c>
      <c r="G10440" s="3">
        <v>31.71</v>
      </c>
    </row>
    <row r="10441">
      <c r="A10441" s="3">
        <v>784382.0</v>
      </c>
      <c r="B10441" s="3" t="s">
        <v>10469</v>
      </c>
      <c r="C10441" s="3" t="s">
        <v>1099</v>
      </c>
      <c r="D10441" s="3">
        <v>605.0</v>
      </c>
      <c r="E10441" s="3">
        <v>53.62</v>
      </c>
      <c r="F10441" s="3">
        <v>19.59</v>
      </c>
      <c r="G10441" s="3">
        <v>21.04</v>
      </c>
    </row>
    <row r="10442">
      <c r="A10442" s="3">
        <v>784383.0</v>
      </c>
      <c r="B10442" s="3" t="s">
        <v>10470</v>
      </c>
      <c r="C10442" s="3" t="s">
        <v>1099</v>
      </c>
      <c r="D10442" s="3">
        <v>606.0</v>
      </c>
      <c r="E10442" s="3">
        <v>54.13</v>
      </c>
      <c r="F10442" s="3">
        <v>16.96</v>
      </c>
      <c r="G10442" s="3">
        <v>23.17</v>
      </c>
    </row>
    <row r="10443">
      <c r="A10443" s="3">
        <v>784386.0</v>
      </c>
      <c r="B10443" s="3" t="s">
        <v>10471</v>
      </c>
      <c r="C10443" s="3" t="s">
        <v>1099</v>
      </c>
      <c r="D10443" s="3">
        <v>610.0</v>
      </c>
      <c r="E10443" s="3">
        <v>54.05</v>
      </c>
      <c r="F10443" s="3">
        <v>19.74</v>
      </c>
      <c r="G10443" s="3">
        <v>21.21</v>
      </c>
    </row>
    <row r="10444">
      <c r="A10444" s="3">
        <v>784387.0</v>
      </c>
      <c r="B10444" s="3" t="s">
        <v>10472</v>
      </c>
      <c r="C10444" s="3" t="s">
        <v>1099</v>
      </c>
      <c r="D10444" s="3">
        <v>610.0</v>
      </c>
      <c r="E10444" s="3">
        <v>55.09</v>
      </c>
      <c r="F10444" s="3">
        <v>16.31</v>
      </c>
      <c r="G10444" s="3">
        <v>22.28</v>
      </c>
    </row>
    <row r="10445">
      <c r="A10445" s="3">
        <v>784388.0</v>
      </c>
      <c r="B10445" s="3" t="s">
        <v>10473</v>
      </c>
      <c r="C10445" s="3" t="s">
        <v>1099</v>
      </c>
      <c r="D10445" s="3">
        <v>615.0</v>
      </c>
      <c r="E10445" s="3">
        <v>55.54</v>
      </c>
      <c r="F10445" s="3">
        <v>16.44</v>
      </c>
      <c r="G10445" s="3">
        <v>22.46</v>
      </c>
    </row>
    <row r="10446">
      <c r="A10446" s="3">
        <v>784389.0</v>
      </c>
      <c r="B10446" s="3" t="s">
        <v>10474</v>
      </c>
      <c r="C10446" s="3" t="s">
        <v>1099</v>
      </c>
      <c r="D10446" s="3">
        <v>579.0</v>
      </c>
      <c r="E10446" s="3">
        <v>46.51</v>
      </c>
      <c r="F10446" s="3">
        <v>15.35</v>
      </c>
      <c r="G10446" s="3">
        <v>33.28</v>
      </c>
    </row>
    <row r="10447">
      <c r="A10447" s="3">
        <v>784396.0</v>
      </c>
      <c r="B10447" s="3" t="s">
        <v>10475</v>
      </c>
      <c r="C10447" s="3" t="s">
        <v>1099</v>
      </c>
      <c r="D10447" s="3">
        <v>584.0</v>
      </c>
      <c r="E10447" s="3">
        <v>49.41</v>
      </c>
      <c r="F10447" s="3">
        <v>24.23</v>
      </c>
      <c r="G10447" s="3">
        <v>21.15</v>
      </c>
    </row>
    <row r="10448">
      <c r="A10448" s="3">
        <v>784401.0</v>
      </c>
      <c r="B10448" s="3" t="s">
        <v>10476</v>
      </c>
      <c r="C10448" s="3" t="s">
        <v>1099</v>
      </c>
      <c r="D10448" s="3">
        <v>690.0</v>
      </c>
      <c r="E10448" s="3">
        <v>72.09</v>
      </c>
      <c r="F10448" s="3">
        <v>8.81</v>
      </c>
      <c r="G10448" s="3">
        <v>13.31</v>
      </c>
    </row>
    <row r="10449">
      <c r="A10449" s="3">
        <v>784402.0</v>
      </c>
      <c r="B10449" s="3" t="s">
        <v>10477</v>
      </c>
      <c r="C10449" s="3" t="s">
        <v>1099</v>
      </c>
      <c r="D10449" s="3">
        <v>697.0</v>
      </c>
      <c r="E10449" s="3">
        <v>72.81</v>
      </c>
      <c r="F10449" s="3">
        <v>8.9</v>
      </c>
      <c r="G10449" s="3">
        <v>13.44</v>
      </c>
    </row>
    <row r="10450">
      <c r="A10450" s="3">
        <v>784403.0</v>
      </c>
      <c r="B10450" s="3" t="s">
        <v>10478</v>
      </c>
      <c r="C10450" s="3" t="s">
        <v>1099</v>
      </c>
      <c r="D10450" s="3">
        <v>637.0</v>
      </c>
      <c r="E10450" s="3">
        <v>58.36</v>
      </c>
      <c r="F10450" s="3">
        <v>6.17</v>
      </c>
      <c r="G10450" s="3">
        <v>31.11</v>
      </c>
    </row>
    <row r="10451">
      <c r="A10451" s="3">
        <v>784406.0</v>
      </c>
      <c r="B10451" s="3" t="s">
        <v>10479</v>
      </c>
      <c r="C10451" s="3" t="s">
        <v>1099</v>
      </c>
      <c r="D10451" s="3">
        <v>576.0</v>
      </c>
      <c r="E10451" s="3">
        <v>46.98</v>
      </c>
      <c r="F10451" s="3">
        <v>20.22</v>
      </c>
      <c r="G10451" s="3">
        <v>27.16</v>
      </c>
    </row>
    <row r="10452">
      <c r="A10452" s="3">
        <v>784407.0</v>
      </c>
      <c r="B10452" s="3" t="s">
        <v>10480</v>
      </c>
      <c r="C10452" s="3" t="s">
        <v>1099</v>
      </c>
      <c r="D10452" s="3">
        <v>579.0</v>
      </c>
      <c r="E10452" s="3">
        <v>47.21</v>
      </c>
      <c r="F10452" s="3">
        <v>20.32</v>
      </c>
      <c r="G10452" s="3">
        <v>27.3</v>
      </c>
    </row>
    <row r="10453">
      <c r="A10453" s="3">
        <v>784408.0</v>
      </c>
      <c r="B10453" s="3" t="s">
        <v>10481</v>
      </c>
      <c r="C10453" s="3" t="s">
        <v>1099</v>
      </c>
      <c r="D10453" s="3">
        <v>581.0</v>
      </c>
      <c r="E10453" s="3">
        <v>47.44</v>
      </c>
      <c r="F10453" s="3">
        <v>20.42</v>
      </c>
      <c r="G10453" s="3">
        <v>27.43</v>
      </c>
    </row>
    <row r="10454">
      <c r="A10454" s="3">
        <v>784411.0</v>
      </c>
      <c r="B10454" s="3" t="s">
        <v>10482</v>
      </c>
      <c r="C10454" s="3" t="s">
        <v>1099</v>
      </c>
      <c r="D10454" s="3">
        <v>612.0</v>
      </c>
      <c r="E10454" s="3">
        <v>53.8</v>
      </c>
      <c r="F10454" s="3">
        <v>10.25</v>
      </c>
      <c r="G10454" s="3">
        <v>31.01</v>
      </c>
    </row>
    <row r="10455">
      <c r="A10455" s="3">
        <v>784418.0</v>
      </c>
      <c r="B10455" s="3" t="s">
        <v>10483</v>
      </c>
      <c r="C10455" s="3" t="s">
        <v>1099</v>
      </c>
      <c r="D10455" s="3">
        <v>624.0</v>
      </c>
      <c r="E10455" s="3">
        <v>53.12</v>
      </c>
      <c r="F10455" s="3">
        <v>23.5</v>
      </c>
      <c r="G10455" s="3">
        <v>18.27</v>
      </c>
    </row>
    <row r="10456">
      <c r="A10456" s="3">
        <v>784422.0</v>
      </c>
      <c r="B10456" s="3" t="s">
        <v>10484</v>
      </c>
      <c r="C10456" s="3" t="s">
        <v>1099</v>
      </c>
      <c r="D10456" s="3">
        <v>432.0</v>
      </c>
      <c r="E10456" s="3">
        <v>25.69</v>
      </c>
      <c r="F10456" s="3">
        <v>11.18</v>
      </c>
      <c r="G10456" s="3">
        <v>46.13</v>
      </c>
    </row>
    <row r="10457">
      <c r="A10457" s="3">
        <v>784423.0</v>
      </c>
      <c r="B10457" s="3" t="s">
        <v>10485</v>
      </c>
      <c r="C10457" s="3" t="s">
        <v>1099</v>
      </c>
      <c r="D10457" s="3">
        <v>498.0</v>
      </c>
      <c r="E10457" s="3">
        <v>34.48</v>
      </c>
      <c r="F10457" s="3">
        <v>11.66</v>
      </c>
      <c r="G10457" s="3">
        <v>42.76</v>
      </c>
    </row>
    <row r="10458">
      <c r="A10458" s="3">
        <v>784425.0</v>
      </c>
      <c r="B10458" s="3" t="s">
        <v>10486</v>
      </c>
      <c r="C10458" s="3" t="s">
        <v>225</v>
      </c>
      <c r="D10458" s="3">
        <v>124.0</v>
      </c>
      <c r="E10458" s="3">
        <v>10.5</v>
      </c>
      <c r="F10458" s="3">
        <v>2.29</v>
      </c>
      <c r="G10458" s="3">
        <v>6.2</v>
      </c>
    </row>
    <row r="10459">
      <c r="A10459" s="3">
        <v>784426.0</v>
      </c>
      <c r="B10459" s="3" t="s">
        <v>10487</v>
      </c>
      <c r="C10459" s="3" t="s">
        <v>318</v>
      </c>
      <c r="D10459" s="3">
        <v>381.0</v>
      </c>
      <c r="E10459" s="3">
        <v>20.04</v>
      </c>
      <c r="F10459" s="3">
        <v>13.5</v>
      </c>
      <c r="G10459" s="3">
        <v>39.99</v>
      </c>
    </row>
    <row r="10460">
      <c r="A10460" s="3">
        <v>784427.0</v>
      </c>
      <c r="B10460" s="3" t="s">
        <v>10488</v>
      </c>
      <c r="C10460" s="3" t="s">
        <v>318</v>
      </c>
      <c r="D10460" s="3">
        <v>381.0</v>
      </c>
      <c r="E10460" s="3">
        <v>20.04</v>
      </c>
      <c r="F10460" s="3">
        <v>13.5</v>
      </c>
      <c r="G10460" s="3">
        <v>39.99</v>
      </c>
    </row>
    <row r="10461">
      <c r="A10461" s="3">
        <v>784428.0</v>
      </c>
      <c r="B10461" s="3" t="s">
        <v>10489</v>
      </c>
      <c r="C10461" s="3" t="s">
        <v>318</v>
      </c>
      <c r="D10461" s="3">
        <v>379.0</v>
      </c>
      <c r="E10461" s="3">
        <v>20.45</v>
      </c>
      <c r="F10461" s="3">
        <v>15.2</v>
      </c>
      <c r="G10461" s="3">
        <v>37.29</v>
      </c>
    </row>
    <row r="10462">
      <c r="A10462" s="3">
        <v>784429.0</v>
      </c>
      <c r="B10462" s="3" t="s">
        <v>10490</v>
      </c>
      <c r="C10462" s="3" t="s">
        <v>318</v>
      </c>
      <c r="D10462" s="3">
        <v>379.0</v>
      </c>
      <c r="E10462" s="3">
        <v>20.45</v>
      </c>
      <c r="F10462" s="3">
        <v>15.2</v>
      </c>
      <c r="G10462" s="3">
        <v>37.29</v>
      </c>
    </row>
    <row r="10463">
      <c r="A10463" s="3">
        <v>784430.0</v>
      </c>
      <c r="B10463" s="3" t="s">
        <v>10491</v>
      </c>
      <c r="C10463" s="3" t="s">
        <v>318</v>
      </c>
      <c r="D10463" s="3">
        <v>354.0</v>
      </c>
      <c r="E10463" s="3">
        <v>14.0</v>
      </c>
      <c r="F10463" s="3">
        <v>14.78</v>
      </c>
      <c r="G10463" s="3">
        <v>44.63</v>
      </c>
    </row>
    <row r="10464">
      <c r="A10464" s="3">
        <v>784431.0</v>
      </c>
      <c r="B10464" s="3" t="s">
        <v>10492</v>
      </c>
      <c r="C10464" s="3" t="s">
        <v>318</v>
      </c>
      <c r="D10464" s="3">
        <v>352.0</v>
      </c>
      <c r="E10464" s="3">
        <v>14.41</v>
      </c>
      <c r="F10464" s="3">
        <v>16.48</v>
      </c>
      <c r="G10464" s="3">
        <v>41.93</v>
      </c>
    </row>
    <row r="10465">
      <c r="A10465" s="3">
        <v>784432.0</v>
      </c>
      <c r="B10465" s="3" t="s">
        <v>10493</v>
      </c>
      <c r="C10465" s="3" t="s">
        <v>318</v>
      </c>
      <c r="D10465" s="3">
        <v>352.0</v>
      </c>
      <c r="E10465" s="3">
        <v>14.41</v>
      </c>
      <c r="F10465" s="3">
        <v>16.48</v>
      </c>
      <c r="G10465" s="3">
        <v>41.93</v>
      </c>
    </row>
    <row r="10466">
      <c r="A10466" s="3">
        <v>784433.0</v>
      </c>
      <c r="B10466" s="3" t="s">
        <v>10494</v>
      </c>
      <c r="C10466" s="3" t="s">
        <v>318</v>
      </c>
      <c r="D10466" s="3">
        <v>361.0</v>
      </c>
      <c r="E10466" s="3">
        <v>16.46</v>
      </c>
      <c r="F10466" s="3">
        <v>11.11</v>
      </c>
      <c r="G10466" s="3">
        <v>45.34</v>
      </c>
    </row>
    <row r="10467">
      <c r="A10467" s="3">
        <v>784434.0</v>
      </c>
      <c r="B10467" s="3" t="s">
        <v>10495</v>
      </c>
      <c r="C10467" s="3" t="s">
        <v>318</v>
      </c>
      <c r="D10467" s="3">
        <v>361.0</v>
      </c>
      <c r="E10467" s="3">
        <v>16.46</v>
      </c>
      <c r="F10467" s="3">
        <v>11.11</v>
      </c>
      <c r="G10467" s="3">
        <v>45.34</v>
      </c>
    </row>
    <row r="10468">
      <c r="A10468" s="3">
        <v>784435.0</v>
      </c>
      <c r="B10468" s="3" t="s">
        <v>10496</v>
      </c>
      <c r="C10468" s="3" t="s">
        <v>318</v>
      </c>
      <c r="D10468" s="3">
        <v>359.0</v>
      </c>
      <c r="E10468" s="3">
        <v>16.8</v>
      </c>
      <c r="F10468" s="3">
        <v>12.51</v>
      </c>
      <c r="G10468" s="3">
        <v>43.13</v>
      </c>
    </row>
    <row r="10469">
      <c r="A10469" s="3">
        <v>784436.0</v>
      </c>
      <c r="B10469" s="3" t="s">
        <v>10497</v>
      </c>
      <c r="C10469" s="3" t="s">
        <v>318</v>
      </c>
      <c r="D10469" s="3">
        <v>359.0</v>
      </c>
      <c r="E10469" s="3">
        <v>16.8</v>
      </c>
      <c r="F10469" s="3">
        <v>12.51</v>
      </c>
      <c r="G10469" s="3">
        <v>43.13</v>
      </c>
    </row>
    <row r="10470">
      <c r="A10470" s="3">
        <v>784437.0</v>
      </c>
      <c r="B10470" s="3" t="s">
        <v>10498</v>
      </c>
      <c r="C10470" s="3" t="s">
        <v>318</v>
      </c>
      <c r="D10470" s="3">
        <v>339.0</v>
      </c>
      <c r="E10470" s="3">
        <v>11.5</v>
      </c>
      <c r="F10470" s="3">
        <v>12.17</v>
      </c>
      <c r="G10470" s="3">
        <v>49.15</v>
      </c>
    </row>
    <row r="10471">
      <c r="A10471" s="3">
        <v>784438.0</v>
      </c>
      <c r="B10471" s="3" t="s">
        <v>10499</v>
      </c>
      <c r="C10471" s="3" t="s">
        <v>318</v>
      </c>
      <c r="D10471" s="3">
        <v>337.0</v>
      </c>
      <c r="E10471" s="3">
        <v>11.84</v>
      </c>
      <c r="F10471" s="3">
        <v>13.56</v>
      </c>
      <c r="G10471" s="3">
        <v>46.94</v>
      </c>
    </row>
    <row r="10472">
      <c r="A10472" s="3">
        <v>784439.0</v>
      </c>
      <c r="B10472" s="3" t="s">
        <v>10500</v>
      </c>
      <c r="C10472" s="3" t="s">
        <v>318</v>
      </c>
      <c r="D10472" s="3">
        <v>337.0</v>
      </c>
      <c r="E10472" s="3">
        <v>11.84</v>
      </c>
      <c r="F10472" s="3">
        <v>13.56</v>
      </c>
      <c r="G10472" s="3">
        <v>46.94</v>
      </c>
    </row>
    <row r="10473">
      <c r="A10473" s="3">
        <v>784440.0</v>
      </c>
      <c r="B10473" s="3" t="s">
        <v>10501</v>
      </c>
      <c r="C10473" s="3" t="s">
        <v>318</v>
      </c>
      <c r="D10473" s="3">
        <v>340.0</v>
      </c>
      <c r="E10473" s="3">
        <v>16.48</v>
      </c>
      <c r="F10473" s="3">
        <v>11.09</v>
      </c>
      <c r="G10473" s="3">
        <v>39.56</v>
      </c>
    </row>
    <row r="10474">
      <c r="A10474" s="3">
        <v>784441.0</v>
      </c>
      <c r="B10474" s="3" t="s">
        <v>10502</v>
      </c>
      <c r="C10474" s="3" t="s">
        <v>318</v>
      </c>
      <c r="D10474" s="3">
        <v>339.0</v>
      </c>
      <c r="E10474" s="3">
        <v>16.81</v>
      </c>
      <c r="F10474" s="3">
        <v>12.48</v>
      </c>
      <c r="G10474" s="3">
        <v>37.35</v>
      </c>
    </row>
    <row r="10475">
      <c r="A10475" s="3">
        <v>784442.0</v>
      </c>
      <c r="B10475" s="3" t="s">
        <v>10503</v>
      </c>
      <c r="C10475" s="3" t="s">
        <v>318</v>
      </c>
      <c r="D10475" s="3">
        <v>339.0</v>
      </c>
      <c r="E10475" s="3">
        <v>16.81</v>
      </c>
      <c r="F10475" s="3">
        <v>12.48</v>
      </c>
      <c r="G10475" s="3">
        <v>37.35</v>
      </c>
    </row>
    <row r="10476">
      <c r="A10476" s="3">
        <v>784443.0</v>
      </c>
      <c r="B10476" s="3" t="s">
        <v>10504</v>
      </c>
      <c r="C10476" s="3" t="s">
        <v>318</v>
      </c>
      <c r="D10476" s="3">
        <v>318.0</v>
      </c>
      <c r="E10476" s="3">
        <v>11.52</v>
      </c>
      <c r="F10476" s="3">
        <v>12.14</v>
      </c>
      <c r="G10476" s="3">
        <v>43.38</v>
      </c>
    </row>
    <row r="10477">
      <c r="A10477" s="3">
        <v>784444.0</v>
      </c>
      <c r="B10477" s="3" t="s">
        <v>10505</v>
      </c>
      <c r="C10477" s="3" t="s">
        <v>318</v>
      </c>
      <c r="D10477" s="3">
        <v>316.0</v>
      </c>
      <c r="E10477" s="3">
        <v>11.85</v>
      </c>
      <c r="F10477" s="3">
        <v>13.54</v>
      </c>
      <c r="G10477" s="3">
        <v>41.16</v>
      </c>
    </row>
    <row r="10478">
      <c r="A10478" s="3">
        <v>784445.0</v>
      </c>
      <c r="B10478" s="3" t="s">
        <v>10506</v>
      </c>
      <c r="C10478" s="3" t="s">
        <v>318</v>
      </c>
      <c r="D10478" s="3">
        <v>316.0</v>
      </c>
      <c r="E10478" s="3">
        <v>11.85</v>
      </c>
      <c r="F10478" s="3">
        <v>13.54</v>
      </c>
      <c r="G10478" s="3">
        <v>41.16</v>
      </c>
    </row>
    <row r="10479">
      <c r="A10479" s="3">
        <v>784446.0</v>
      </c>
      <c r="B10479" s="3" t="s">
        <v>10507</v>
      </c>
      <c r="C10479" s="3" t="s">
        <v>318</v>
      </c>
      <c r="D10479" s="3">
        <v>361.0</v>
      </c>
      <c r="E10479" s="3">
        <v>16.46</v>
      </c>
      <c r="F10479" s="3">
        <v>11.11</v>
      </c>
      <c r="G10479" s="3">
        <v>45.34</v>
      </c>
    </row>
    <row r="10480">
      <c r="A10480" s="3">
        <v>784448.0</v>
      </c>
      <c r="B10480" s="3" t="s">
        <v>10508</v>
      </c>
      <c r="C10480" s="3" t="s">
        <v>7823</v>
      </c>
      <c r="D10480" s="3">
        <v>64.0</v>
      </c>
      <c r="E10480" s="3">
        <v>3.5</v>
      </c>
      <c r="F10480" s="3">
        <v>0.31</v>
      </c>
      <c r="G10480" s="3">
        <v>7.95</v>
      </c>
    </row>
    <row r="10481">
      <c r="A10481" s="3">
        <v>784451.0</v>
      </c>
      <c r="B10481" s="3" t="s">
        <v>10509</v>
      </c>
      <c r="C10481" s="3" t="s">
        <v>183</v>
      </c>
      <c r="D10481" s="3">
        <v>38.0</v>
      </c>
      <c r="E10481" s="3">
        <v>0.19</v>
      </c>
      <c r="F10481" s="3">
        <v>0.68</v>
      </c>
      <c r="G10481" s="3">
        <v>8.58</v>
      </c>
    </row>
    <row r="10482">
      <c r="A10482" s="3">
        <v>784452.0</v>
      </c>
      <c r="B10482" s="3" t="s">
        <v>10510</v>
      </c>
      <c r="C10482" s="3" t="s">
        <v>1099</v>
      </c>
      <c r="D10482" s="3">
        <v>452.0</v>
      </c>
      <c r="E10482" s="3">
        <v>26.8</v>
      </c>
      <c r="F10482" s="3">
        <v>10.84</v>
      </c>
      <c r="G10482" s="3">
        <v>51.08</v>
      </c>
    </row>
    <row r="10483">
      <c r="A10483" s="3">
        <v>784453.0</v>
      </c>
      <c r="B10483" s="3" t="s">
        <v>10511</v>
      </c>
      <c r="C10483" s="3" t="s">
        <v>1099</v>
      </c>
      <c r="D10483" s="3">
        <v>600.0</v>
      </c>
      <c r="E10483" s="3">
        <v>52.82</v>
      </c>
      <c r="F10483" s="3">
        <v>20.06</v>
      </c>
      <c r="G10483" s="3">
        <v>21.18</v>
      </c>
    </row>
    <row r="10484">
      <c r="A10484" s="3">
        <v>784454.0</v>
      </c>
      <c r="B10484" s="3" t="s">
        <v>10512</v>
      </c>
      <c r="C10484" s="3" t="s">
        <v>1099</v>
      </c>
      <c r="D10484" s="3">
        <v>452.0</v>
      </c>
      <c r="E10484" s="3">
        <v>26.8</v>
      </c>
      <c r="F10484" s="3">
        <v>10.84</v>
      </c>
      <c r="G10484" s="3">
        <v>51.08</v>
      </c>
    </row>
    <row r="10485">
      <c r="A10485" s="3">
        <v>784455.0</v>
      </c>
      <c r="B10485" s="3" t="s">
        <v>10513</v>
      </c>
      <c r="C10485" s="3" t="s">
        <v>1099</v>
      </c>
      <c r="D10485" s="3">
        <v>501.0</v>
      </c>
      <c r="E10485" s="3">
        <v>32.2</v>
      </c>
      <c r="F10485" s="3">
        <v>11.62</v>
      </c>
      <c r="G10485" s="3">
        <v>48.31</v>
      </c>
    </row>
    <row r="10486">
      <c r="A10486" s="3">
        <v>784456.0</v>
      </c>
      <c r="B10486" s="3" t="s">
        <v>10514</v>
      </c>
      <c r="C10486" s="3" t="s">
        <v>1099</v>
      </c>
      <c r="D10486" s="3">
        <v>473.0</v>
      </c>
      <c r="E10486" s="3">
        <v>27.6</v>
      </c>
      <c r="F10486" s="3">
        <v>13.06</v>
      </c>
      <c r="G10486" s="3">
        <v>50.63</v>
      </c>
    </row>
    <row r="10487">
      <c r="A10487" s="3">
        <v>784458.0</v>
      </c>
      <c r="B10487" s="3" t="s">
        <v>10515</v>
      </c>
      <c r="C10487" s="3" t="s">
        <v>1099</v>
      </c>
      <c r="D10487" s="3">
        <v>567.0</v>
      </c>
      <c r="E10487" s="3">
        <v>48.47</v>
      </c>
      <c r="F10487" s="3">
        <v>29.49</v>
      </c>
      <c r="G10487" s="3">
        <v>14.54</v>
      </c>
    </row>
    <row r="10488">
      <c r="A10488" s="3">
        <v>784461.0</v>
      </c>
      <c r="B10488" s="3" t="s">
        <v>10516</v>
      </c>
      <c r="C10488" s="3" t="s">
        <v>1099</v>
      </c>
      <c r="D10488" s="3">
        <v>575.0</v>
      </c>
      <c r="E10488" s="3">
        <v>49.21</v>
      </c>
      <c r="F10488" s="3">
        <v>19.1</v>
      </c>
      <c r="G10488" s="3">
        <v>23.78</v>
      </c>
    </row>
    <row r="10489">
      <c r="A10489" s="3">
        <v>784462.0</v>
      </c>
      <c r="B10489" s="3" t="s">
        <v>10517</v>
      </c>
      <c r="C10489" s="3" t="s">
        <v>1099</v>
      </c>
      <c r="D10489" s="3">
        <v>567.0</v>
      </c>
      <c r="E10489" s="3">
        <v>47.54</v>
      </c>
      <c r="F10489" s="3">
        <v>18.45</v>
      </c>
      <c r="G10489" s="3">
        <v>25.93</v>
      </c>
    </row>
    <row r="10490">
      <c r="A10490" s="3">
        <v>784467.0</v>
      </c>
      <c r="B10490" s="3" t="s">
        <v>10518</v>
      </c>
      <c r="C10490" s="3" t="s">
        <v>1099</v>
      </c>
      <c r="D10490" s="3">
        <v>580.0</v>
      </c>
      <c r="E10490" s="3">
        <v>49.61</v>
      </c>
      <c r="F10490" s="3">
        <v>21.96</v>
      </c>
      <c r="G10490" s="3">
        <v>21.73</v>
      </c>
    </row>
    <row r="10491">
      <c r="A10491" s="3">
        <v>784472.0</v>
      </c>
      <c r="B10491" s="3" t="s">
        <v>10519</v>
      </c>
      <c r="C10491" s="3" t="s">
        <v>8</v>
      </c>
      <c r="D10491" s="3">
        <v>270.0</v>
      </c>
      <c r="E10491" s="3">
        <v>3.42</v>
      </c>
      <c r="F10491" s="3">
        <v>8.62</v>
      </c>
      <c r="G10491" s="3">
        <v>50.09</v>
      </c>
    </row>
    <row r="10492">
      <c r="A10492" s="3">
        <v>784473.0</v>
      </c>
      <c r="B10492" s="3" t="s">
        <v>10520</v>
      </c>
      <c r="C10492" s="3" t="s">
        <v>8</v>
      </c>
      <c r="D10492" s="3">
        <v>297.0</v>
      </c>
      <c r="E10492" s="3">
        <v>3.76</v>
      </c>
      <c r="F10492" s="3">
        <v>9.47</v>
      </c>
      <c r="G10492" s="3">
        <v>55.04</v>
      </c>
    </row>
    <row r="10493">
      <c r="A10493" s="3">
        <v>784479.0</v>
      </c>
      <c r="B10493" s="3" t="s">
        <v>10521</v>
      </c>
      <c r="C10493" s="3" t="s">
        <v>8</v>
      </c>
      <c r="D10493" s="3">
        <v>270.0</v>
      </c>
      <c r="E10493" s="3">
        <v>3.42</v>
      </c>
      <c r="F10493" s="3">
        <v>8.62</v>
      </c>
      <c r="G10493" s="3">
        <v>50.09</v>
      </c>
    </row>
    <row r="10494">
      <c r="A10494" s="3">
        <v>784480.0</v>
      </c>
      <c r="B10494" s="3" t="s">
        <v>10522</v>
      </c>
      <c r="C10494" s="3" t="s">
        <v>8</v>
      </c>
      <c r="D10494" s="3">
        <v>297.0</v>
      </c>
      <c r="E10494" s="3">
        <v>3.76</v>
      </c>
      <c r="F10494" s="3">
        <v>9.47</v>
      </c>
      <c r="G10494" s="3">
        <v>55.04</v>
      </c>
    </row>
    <row r="10495">
      <c r="A10495" s="3">
        <v>784481.0</v>
      </c>
      <c r="B10495" s="3" t="s">
        <v>10523</v>
      </c>
      <c r="C10495" s="3" t="s">
        <v>8</v>
      </c>
      <c r="D10495" s="3">
        <v>259.0</v>
      </c>
      <c r="E10495" s="3">
        <v>3.42</v>
      </c>
      <c r="F10495" s="3">
        <v>10.65</v>
      </c>
      <c r="G10495" s="3">
        <v>46.06</v>
      </c>
    </row>
    <row r="10496">
      <c r="A10496" s="3">
        <v>784482.0</v>
      </c>
      <c r="B10496" s="3" t="s">
        <v>10524</v>
      </c>
      <c r="C10496" s="3" t="s">
        <v>8</v>
      </c>
      <c r="D10496" s="3">
        <v>298.0</v>
      </c>
      <c r="E10496" s="3">
        <v>4.12</v>
      </c>
      <c r="F10496" s="3">
        <v>11.79</v>
      </c>
      <c r="G10496" s="3">
        <v>53.41</v>
      </c>
    </row>
    <row r="10497">
      <c r="A10497" s="3">
        <v>784484.0</v>
      </c>
      <c r="B10497" s="3" t="s">
        <v>10525</v>
      </c>
      <c r="C10497" s="3" t="s">
        <v>8</v>
      </c>
      <c r="D10497" s="3">
        <v>299.0</v>
      </c>
      <c r="E10497" s="3">
        <v>2.66</v>
      </c>
      <c r="F10497" s="3">
        <v>11.81</v>
      </c>
      <c r="G10497" s="3">
        <v>57.01</v>
      </c>
    </row>
    <row r="10498">
      <c r="A10498" s="3">
        <v>784485.0</v>
      </c>
      <c r="B10498" s="3" t="s">
        <v>10526</v>
      </c>
      <c r="C10498" s="3" t="s">
        <v>8</v>
      </c>
      <c r="D10498" s="3">
        <v>277.0</v>
      </c>
      <c r="E10498" s="3">
        <v>3.26</v>
      </c>
      <c r="F10498" s="3">
        <v>8.78</v>
      </c>
      <c r="G10498" s="3">
        <v>51.98</v>
      </c>
    </row>
    <row r="10499">
      <c r="A10499" s="3">
        <v>784486.0</v>
      </c>
      <c r="B10499" s="3" t="s">
        <v>10527</v>
      </c>
      <c r="C10499" s="3" t="s">
        <v>8</v>
      </c>
      <c r="D10499" s="3">
        <v>305.0</v>
      </c>
      <c r="E10499" s="3">
        <v>3.58</v>
      </c>
      <c r="F10499" s="3">
        <v>9.65</v>
      </c>
      <c r="G10499" s="3">
        <v>57.12</v>
      </c>
    </row>
    <row r="10500">
      <c r="A10500" s="3">
        <v>784487.0</v>
      </c>
      <c r="B10500" s="3" t="s">
        <v>10528</v>
      </c>
      <c r="C10500" s="3" t="s">
        <v>8</v>
      </c>
      <c r="D10500" s="3">
        <v>280.0</v>
      </c>
      <c r="E10500" s="3">
        <v>2.92</v>
      </c>
      <c r="F10500" s="3">
        <v>6.97</v>
      </c>
      <c r="G10500" s="3">
        <v>55.51</v>
      </c>
    </row>
    <row r="10501">
      <c r="A10501" s="3">
        <v>784488.0</v>
      </c>
      <c r="B10501" s="3" t="s">
        <v>10529</v>
      </c>
      <c r="C10501" s="3" t="s">
        <v>8</v>
      </c>
      <c r="D10501" s="3">
        <v>311.0</v>
      </c>
      <c r="E10501" s="3">
        <v>3.25</v>
      </c>
      <c r="F10501" s="3">
        <v>7.74</v>
      </c>
      <c r="G10501" s="3">
        <v>61.67</v>
      </c>
    </row>
    <row r="10502">
      <c r="A10502" s="3">
        <v>784489.0</v>
      </c>
      <c r="B10502" s="3" t="s">
        <v>10530</v>
      </c>
      <c r="C10502" s="3" t="s">
        <v>8</v>
      </c>
      <c r="D10502" s="3">
        <v>273.0</v>
      </c>
      <c r="E10502" s="3">
        <v>4.57</v>
      </c>
      <c r="F10502" s="3">
        <v>7.76</v>
      </c>
      <c r="G10502" s="3">
        <v>49.34</v>
      </c>
    </row>
    <row r="10503">
      <c r="A10503" s="3">
        <v>784490.0</v>
      </c>
      <c r="B10503" s="3" t="s">
        <v>10531</v>
      </c>
      <c r="C10503" s="3" t="s">
        <v>8</v>
      </c>
      <c r="D10503" s="3">
        <v>300.0</v>
      </c>
      <c r="E10503" s="3">
        <v>5.02</v>
      </c>
      <c r="F10503" s="3">
        <v>8.53</v>
      </c>
      <c r="G10503" s="3">
        <v>54.22</v>
      </c>
    </row>
    <row r="10504">
      <c r="A10504" s="3">
        <v>784494.0</v>
      </c>
      <c r="B10504" s="3" t="s">
        <v>10532</v>
      </c>
      <c r="C10504" s="3" t="s">
        <v>8</v>
      </c>
      <c r="D10504" s="3">
        <v>311.0</v>
      </c>
      <c r="E10504" s="3">
        <v>7.28</v>
      </c>
      <c r="F10504" s="3">
        <v>11.09</v>
      </c>
      <c r="G10504" s="3">
        <v>50.23</v>
      </c>
    </row>
    <row r="10505">
      <c r="A10505" s="3">
        <v>784495.0</v>
      </c>
      <c r="B10505" s="3" t="s">
        <v>10533</v>
      </c>
      <c r="C10505" s="3" t="s">
        <v>8</v>
      </c>
      <c r="D10505" s="3">
        <v>271.0</v>
      </c>
      <c r="E10505" s="3">
        <v>3.5</v>
      </c>
      <c r="F10505" s="3">
        <v>8.8</v>
      </c>
      <c r="G10505" s="3">
        <v>50.1</v>
      </c>
    </row>
    <row r="10506">
      <c r="A10506" s="3">
        <v>784496.0</v>
      </c>
      <c r="B10506" s="3" t="s">
        <v>10534</v>
      </c>
      <c r="C10506" s="3" t="s">
        <v>8</v>
      </c>
      <c r="D10506" s="3">
        <v>298.0</v>
      </c>
      <c r="E10506" s="3">
        <v>3.85</v>
      </c>
      <c r="F10506" s="3">
        <v>9.67</v>
      </c>
      <c r="G10506" s="3">
        <v>55.06</v>
      </c>
    </row>
    <row r="10507">
      <c r="A10507" s="3">
        <v>784498.0</v>
      </c>
      <c r="B10507" s="3" t="s">
        <v>10535</v>
      </c>
      <c r="C10507" s="3" t="s">
        <v>8</v>
      </c>
      <c r="D10507" s="3">
        <v>302.0</v>
      </c>
      <c r="E10507" s="3">
        <v>1.32</v>
      </c>
      <c r="F10507" s="3">
        <v>10.0</v>
      </c>
      <c r="G10507" s="3">
        <v>61.21</v>
      </c>
    </row>
    <row r="10508">
      <c r="A10508" s="3">
        <v>784499.0</v>
      </c>
      <c r="B10508" s="3" t="s">
        <v>10536</v>
      </c>
      <c r="C10508" s="3" t="s">
        <v>8</v>
      </c>
      <c r="D10508" s="3">
        <v>279.0</v>
      </c>
      <c r="E10508" s="3">
        <v>1.09</v>
      </c>
      <c r="F10508" s="3">
        <v>8.2</v>
      </c>
      <c r="G10508" s="3">
        <v>59.19</v>
      </c>
    </row>
    <row r="10509">
      <c r="A10509" s="3">
        <v>784500.0</v>
      </c>
      <c r="B10509" s="3" t="s">
        <v>10537</v>
      </c>
      <c r="C10509" s="3" t="s">
        <v>8</v>
      </c>
      <c r="D10509" s="3">
        <v>306.0</v>
      </c>
      <c r="E10509" s="3">
        <v>1.2</v>
      </c>
      <c r="F10509" s="3">
        <v>9.02</v>
      </c>
      <c r="G10509" s="3">
        <v>65.04</v>
      </c>
    </row>
    <row r="10510">
      <c r="A10510" s="3">
        <v>784502.0</v>
      </c>
      <c r="B10510" s="3" t="s">
        <v>10538</v>
      </c>
      <c r="C10510" s="3" t="s">
        <v>8</v>
      </c>
      <c r="D10510" s="3">
        <v>448.0</v>
      </c>
      <c r="E10510" s="3">
        <v>22.89</v>
      </c>
      <c r="F10510" s="3">
        <v>11.45</v>
      </c>
      <c r="G10510" s="3">
        <v>49.26</v>
      </c>
    </row>
    <row r="10511">
      <c r="A10511" s="3">
        <v>784505.0</v>
      </c>
      <c r="B10511" s="3" t="s">
        <v>10539</v>
      </c>
      <c r="C10511" s="3" t="s">
        <v>8</v>
      </c>
      <c r="D10511" s="3">
        <v>283.0</v>
      </c>
      <c r="E10511" s="3">
        <v>3.81</v>
      </c>
      <c r="F10511" s="3">
        <v>6.7</v>
      </c>
      <c r="G10511" s="3">
        <v>55.21</v>
      </c>
    </row>
    <row r="10512">
      <c r="A10512" s="3">
        <v>784506.0</v>
      </c>
      <c r="B10512" s="3" t="s">
        <v>10540</v>
      </c>
      <c r="C10512" s="3" t="s">
        <v>8</v>
      </c>
      <c r="D10512" s="3">
        <v>311.0</v>
      </c>
      <c r="E10512" s="3">
        <v>4.19</v>
      </c>
      <c r="F10512" s="3">
        <v>7.37</v>
      </c>
      <c r="G10512" s="3">
        <v>60.67</v>
      </c>
    </row>
    <row r="10513">
      <c r="A10513" s="3">
        <v>784508.0</v>
      </c>
      <c r="B10513" s="3" t="s">
        <v>10541</v>
      </c>
      <c r="C10513" s="3" t="s">
        <v>8</v>
      </c>
      <c r="D10513" s="3">
        <v>315.0</v>
      </c>
      <c r="E10513" s="3">
        <v>6.59</v>
      </c>
      <c r="F10513" s="3">
        <v>10.44</v>
      </c>
      <c r="G10513" s="3">
        <v>52.53</v>
      </c>
    </row>
    <row r="10514">
      <c r="A10514" s="3">
        <v>784509.0</v>
      </c>
      <c r="B10514" s="3" t="s">
        <v>10542</v>
      </c>
      <c r="C10514" s="3" t="s">
        <v>8</v>
      </c>
      <c r="D10514" s="3">
        <v>349.0</v>
      </c>
      <c r="E10514" s="3">
        <v>16.58</v>
      </c>
      <c r="F10514" s="3">
        <v>8.34</v>
      </c>
      <c r="G10514" s="3">
        <v>41.64</v>
      </c>
    </row>
    <row r="10515">
      <c r="A10515" s="3">
        <v>784510.0</v>
      </c>
      <c r="B10515" s="3" t="s">
        <v>10543</v>
      </c>
      <c r="C10515" s="3" t="s">
        <v>8</v>
      </c>
      <c r="D10515" s="3">
        <v>349.0</v>
      </c>
      <c r="E10515" s="3">
        <v>16.58</v>
      </c>
      <c r="F10515" s="3">
        <v>8.34</v>
      </c>
      <c r="G10515" s="3">
        <v>41.64</v>
      </c>
    </row>
    <row r="10516">
      <c r="A10516" s="3">
        <v>784512.0</v>
      </c>
      <c r="B10516" s="3" t="s">
        <v>10544</v>
      </c>
      <c r="C10516" s="3" t="s">
        <v>8</v>
      </c>
      <c r="D10516" s="3">
        <v>351.0</v>
      </c>
      <c r="E10516" s="3">
        <v>16.8</v>
      </c>
      <c r="F10516" s="3">
        <v>8.74</v>
      </c>
      <c r="G10516" s="3">
        <v>41.09</v>
      </c>
    </row>
    <row r="10517">
      <c r="A10517" s="3">
        <v>784513.0</v>
      </c>
      <c r="B10517" s="3" t="s">
        <v>10545</v>
      </c>
      <c r="C10517" s="3" t="s">
        <v>8</v>
      </c>
      <c r="D10517" s="3">
        <v>351.0</v>
      </c>
      <c r="E10517" s="3">
        <v>16.83</v>
      </c>
      <c r="F10517" s="3">
        <v>8.75</v>
      </c>
      <c r="G10517" s="3">
        <v>41.18</v>
      </c>
    </row>
    <row r="10518">
      <c r="A10518" s="3">
        <v>784514.0</v>
      </c>
      <c r="B10518" s="3" t="s">
        <v>10546</v>
      </c>
      <c r="C10518" s="3" t="s">
        <v>8</v>
      </c>
      <c r="D10518" s="3">
        <v>338.0</v>
      </c>
      <c r="E10518" s="3">
        <v>17.22</v>
      </c>
      <c r="F10518" s="3">
        <v>11.42</v>
      </c>
      <c r="G10518" s="3">
        <v>34.44</v>
      </c>
    </row>
    <row r="10519">
      <c r="A10519" s="3">
        <v>784515.0</v>
      </c>
      <c r="B10519" s="3" t="s">
        <v>10547</v>
      </c>
      <c r="C10519" s="3" t="s">
        <v>8</v>
      </c>
      <c r="D10519" s="3">
        <v>343.0</v>
      </c>
      <c r="E10519" s="3">
        <v>17.02</v>
      </c>
      <c r="F10519" s="3">
        <v>10.37</v>
      </c>
      <c r="G10519" s="3">
        <v>37.01</v>
      </c>
    </row>
    <row r="10520">
      <c r="A10520" s="3">
        <v>784516.0</v>
      </c>
      <c r="B10520" s="3" t="s">
        <v>10548</v>
      </c>
      <c r="C10520" s="3" t="s">
        <v>8</v>
      </c>
      <c r="D10520" s="3">
        <v>236.0</v>
      </c>
      <c r="E10520" s="3">
        <v>2.93</v>
      </c>
      <c r="F10520" s="3">
        <v>7.52</v>
      </c>
      <c r="G10520" s="3">
        <v>44.17</v>
      </c>
    </row>
    <row r="10521">
      <c r="A10521" s="3">
        <v>784517.0</v>
      </c>
      <c r="B10521" s="3" t="s">
        <v>10549</v>
      </c>
      <c r="C10521" s="3" t="s">
        <v>8</v>
      </c>
      <c r="D10521" s="3">
        <v>260.0</v>
      </c>
      <c r="E10521" s="3">
        <v>3.22</v>
      </c>
      <c r="F10521" s="3">
        <v>8.26</v>
      </c>
      <c r="G10521" s="3">
        <v>48.54</v>
      </c>
    </row>
    <row r="10522">
      <c r="A10522" s="3">
        <v>784523.0</v>
      </c>
      <c r="B10522" s="3" t="s">
        <v>10550</v>
      </c>
      <c r="C10522" s="3" t="s">
        <v>8</v>
      </c>
      <c r="D10522" s="3">
        <v>262.0</v>
      </c>
      <c r="E10522" s="3">
        <v>2.36</v>
      </c>
      <c r="F10522" s="3">
        <v>11.71</v>
      </c>
      <c r="G10522" s="3">
        <v>48.25</v>
      </c>
    </row>
    <row r="10523">
      <c r="A10523" s="3">
        <v>784525.0</v>
      </c>
      <c r="B10523" s="3" t="s">
        <v>10551</v>
      </c>
      <c r="C10523" s="3" t="s">
        <v>8</v>
      </c>
      <c r="D10523" s="3">
        <v>269.0</v>
      </c>
      <c r="E10523" s="3">
        <v>2.42</v>
      </c>
      <c r="F10523" s="3">
        <v>13.3</v>
      </c>
      <c r="G10523" s="3">
        <v>48.13</v>
      </c>
    </row>
    <row r="10524">
      <c r="A10524" s="3">
        <v>784527.0</v>
      </c>
      <c r="B10524" s="3" t="s">
        <v>10552</v>
      </c>
      <c r="C10524" s="3" t="s">
        <v>8</v>
      </c>
      <c r="D10524" s="3">
        <v>292.0</v>
      </c>
      <c r="E10524" s="3">
        <v>3.44</v>
      </c>
      <c r="F10524" s="3">
        <v>13.74</v>
      </c>
      <c r="G10524" s="3">
        <v>51.72</v>
      </c>
    </row>
    <row r="10525">
      <c r="A10525" s="3">
        <v>784528.0</v>
      </c>
      <c r="B10525" s="3" t="s">
        <v>10553</v>
      </c>
      <c r="C10525" s="3" t="s">
        <v>8</v>
      </c>
      <c r="D10525" s="3">
        <v>269.0</v>
      </c>
      <c r="E10525" s="3">
        <v>3.04</v>
      </c>
      <c r="F10525" s="3">
        <v>8.27</v>
      </c>
      <c r="G10525" s="3">
        <v>52.4</v>
      </c>
    </row>
    <row r="10526">
      <c r="A10526" s="3">
        <v>784529.0</v>
      </c>
      <c r="B10526" s="3" t="s">
        <v>10554</v>
      </c>
      <c r="C10526" s="3" t="s">
        <v>8</v>
      </c>
      <c r="D10526" s="3">
        <v>296.0</v>
      </c>
      <c r="E10526" s="3">
        <v>3.34</v>
      </c>
      <c r="F10526" s="3">
        <v>9.09</v>
      </c>
      <c r="G10526" s="3">
        <v>57.58</v>
      </c>
    </row>
    <row r="10527">
      <c r="A10527" s="3">
        <v>784531.0</v>
      </c>
      <c r="B10527" s="3" t="s">
        <v>10555</v>
      </c>
      <c r="C10527" s="3" t="s">
        <v>8</v>
      </c>
      <c r="D10527" s="3">
        <v>293.0</v>
      </c>
      <c r="E10527" s="3">
        <v>3.96</v>
      </c>
      <c r="F10527" s="3">
        <v>9.01</v>
      </c>
      <c r="G10527" s="3">
        <v>54.5</v>
      </c>
    </row>
    <row r="10528">
      <c r="A10528" s="3">
        <v>784534.0</v>
      </c>
      <c r="B10528" s="3" t="s">
        <v>10556</v>
      </c>
      <c r="C10528" s="3" t="s">
        <v>8</v>
      </c>
      <c r="D10528" s="3">
        <v>239.0</v>
      </c>
      <c r="E10528" s="3">
        <v>2.85</v>
      </c>
      <c r="F10528" s="3">
        <v>7.4</v>
      </c>
      <c r="G10528" s="3">
        <v>45.24</v>
      </c>
    </row>
    <row r="10529">
      <c r="A10529" s="3">
        <v>784535.0</v>
      </c>
      <c r="B10529" s="3" t="s">
        <v>10557</v>
      </c>
      <c r="C10529" s="3" t="s">
        <v>8</v>
      </c>
      <c r="D10529" s="3">
        <v>263.0</v>
      </c>
      <c r="E10529" s="3">
        <v>3.13</v>
      </c>
      <c r="F10529" s="3">
        <v>8.13</v>
      </c>
      <c r="G10529" s="3">
        <v>49.72</v>
      </c>
    </row>
    <row r="10530">
      <c r="A10530" s="3">
        <v>784536.0</v>
      </c>
      <c r="B10530" s="3" t="s">
        <v>10558</v>
      </c>
      <c r="C10530" s="3" t="s">
        <v>8</v>
      </c>
      <c r="D10530" s="3">
        <v>259.0</v>
      </c>
      <c r="E10530" s="3">
        <v>3.19</v>
      </c>
      <c r="F10530" s="3">
        <v>8.28</v>
      </c>
      <c r="G10530" s="3">
        <v>48.64</v>
      </c>
    </row>
    <row r="10531">
      <c r="A10531" s="3">
        <v>784537.0</v>
      </c>
      <c r="B10531" s="3" t="s">
        <v>10559</v>
      </c>
      <c r="C10531" s="3" t="s">
        <v>8</v>
      </c>
      <c r="D10531" s="3">
        <v>285.0</v>
      </c>
      <c r="E10531" s="3">
        <v>3.5</v>
      </c>
      <c r="F10531" s="3">
        <v>9.1</v>
      </c>
      <c r="G10531" s="3">
        <v>53.44</v>
      </c>
    </row>
    <row r="10532">
      <c r="A10532" s="3">
        <v>784538.0</v>
      </c>
      <c r="B10532" s="3" t="s">
        <v>10560</v>
      </c>
      <c r="C10532" s="3" t="s">
        <v>2807</v>
      </c>
      <c r="D10532" s="3">
        <v>173.0</v>
      </c>
      <c r="E10532" s="3">
        <v>7.7</v>
      </c>
      <c r="F10532" s="3">
        <v>4.03</v>
      </c>
      <c r="G10532" s="3">
        <v>22.18</v>
      </c>
    </row>
    <row r="10533">
      <c r="A10533" s="3">
        <v>784539.0</v>
      </c>
      <c r="B10533" s="3" t="s">
        <v>10561</v>
      </c>
      <c r="C10533" s="3" t="s">
        <v>8</v>
      </c>
      <c r="D10533" s="3">
        <v>382.0</v>
      </c>
      <c r="E10533" s="3">
        <v>18.81</v>
      </c>
      <c r="F10533" s="3">
        <v>8.02</v>
      </c>
      <c r="G10533" s="3">
        <v>44.83</v>
      </c>
    </row>
    <row r="10534">
      <c r="A10534" s="3">
        <v>784546.0</v>
      </c>
      <c r="B10534" s="3" t="s">
        <v>10562</v>
      </c>
      <c r="C10534" s="3" t="s">
        <v>8</v>
      </c>
      <c r="D10534" s="3">
        <v>315.0</v>
      </c>
      <c r="E10534" s="3">
        <v>7.81</v>
      </c>
      <c r="F10534" s="3">
        <v>11.46</v>
      </c>
      <c r="G10534" s="3">
        <v>49.59</v>
      </c>
    </row>
    <row r="10535">
      <c r="A10535" s="3">
        <v>784548.0</v>
      </c>
      <c r="B10535" s="3" t="s">
        <v>10563</v>
      </c>
      <c r="C10535" s="3" t="s">
        <v>8</v>
      </c>
      <c r="D10535" s="3">
        <v>309.0</v>
      </c>
      <c r="E10535" s="3">
        <v>6.44</v>
      </c>
      <c r="F10535" s="3">
        <v>10.84</v>
      </c>
      <c r="G10535" s="3">
        <v>51.95</v>
      </c>
    </row>
    <row r="10536">
      <c r="A10536" s="3">
        <v>784556.0</v>
      </c>
      <c r="B10536" s="3" t="s">
        <v>10564</v>
      </c>
      <c r="C10536" s="3" t="s">
        <v>8</v>
      </c>
      <c r="D10536" s="3">
        <v>379.0</v>
      </c>
      <c r="E10536" s="3">
        <v>16.37</v>
      </c>
      <c r="F10536" s="3">
        <v>5.23</v>
      </c>
      <c r="G10536" s="3">
        <v>53.56</v>
      </c>
    </row>
    <row r="10537">
      <c r="A10537" s="3">
        <v>784558.0</v>
      </c>
      <c r="B10537" s="3" t="s">
        <v>10565</v>
      </c>
      <c r="C10537" s="3" t="s">
        <v>8</v>
      </c>
      <c r="D10537" s="3">
        <v>400.0</v>
      </c>
      <c r="E10537" s="3">
        <v>20.06</v>
      </c>
      <c r="F10537" s="3">
        <v>5.49</v>
      </c>
      <c r="G10537" s="3">
        <v>50.92</v>
      </c>
    </row>
    <row r="10538">
      <c r="A10538" s="3">
        <v>784560.0</v>
      </c>
      <c r="B10538" s="3" t="s">
        <v>10566</v>
      </c>
      <c r="C10538" s="3" t="s">
        <v>8</v>
      </c>
      <c r="D10538" s="3">
        <v>373.0</v>
      </c>
      <c r="E10538" s="3">
        <v>12.68</v>
      </c>
      <c r="F10538" s="3">
        <v>8.72</v>
      </c>
      <c r="G10538" s="3">
        <v>56.31</v>
      </c>
    </row>
    <row r="10539">
      <c r="A10539" s="3">
        <v>784561.0</v>
      </c>
      <c r="B10539" s="3" t="s">
        <v>10567</v>
      </c>
      <c r="C10539" s="3" t="s">
        <v>8</v>
      </c>
      <c r="D10539" s="3">
        <v>368.0</v>
      </c>
      <c r="E10539" s="3">
        <v>11.4</v>
      </c>
      <c r="F10539" s="3">
        <v>8.28</v>
      </c>
      <c r="G10539" s="3">
        <v>58.56</v>
      </c>
    </row>
    <row r="10540">
      <c r="A10540" s="3">
        <v>784565.0</v>
      </c>
      <c r="B10540" s="3" t="s">
        <v>10568</v>
      </c>
      <c r="C10540" s="3" t="s">
        <v>8</v>
      </c>
      <c r="D10540" s="3">
        <v>421.0</v>
      </c>
      <c r="E10540" s="3">
        <v>22.79</v>
      </c>
      <c r="F10540" s="3">
        <v>7.4</v>
      </c>
      <c r="G10540" s="3">
        <v>49.4</v>
      </c>
    </row>
    <row r="10541">
      <c r="A10541" s="3">
        <v>784566.0</v>
      </c>
      <c r="B10541" s="3" t="s">
        <v>10569</v>
      </c>
      <c r="C10541" s="3" t="s">
        <v>8</v>
      </c>
      <c r="D10541" s="3">
        <v>396.0</v>
      </c>
      <c r="E10541" s="3">
        <v>19.78</v>
      </c>
      <c r="F10541" s="3">
        <v>7.77</v>
      </c>
      <c r="G10541" s="3">
        <v>46.99</v>
      </c>
    </row>
    <row r="10542">
      <c r="A10542" s="3">
        <v>784567.0</v>
      </c>
      <c r="B10542" s="3" t="s">
        <v>10570</v>
      </c>
      <c r="C10542" s="3" t="s">
        <v>8</v>
      </c>
      <c r="D10542" s="3">
        <v>419.0</v>
      </c>
      <c r="E10542" s="3">
        <v>26.82</v>
      </c>
      <c r="F10542" s="3">
        <v>8.74</v>
      </c>
      <c r="G10542" s="3">
        <v>35.86</v>
      </c>
    </row>
    <row r="10543">
      <c r="A10543" s="3">
        <v>784568.0</v>
      </c>
      <c r="B10543" s="3" t="s">
        <v>10571</v>
      </c>
      <c r="C10543" s="3" t="s">
        <v>8</v>
      </c>
      <c r="D10543" s="3">
        <v>344.0</v>
      </c>
      <c r="E10543" s="3">
        <v>8.68</v>
      </c>
      <c r="F10543" s="3">
        <v>7.6</v>
      </c>
      <c r="G10543" s="3">
        <v>58.27</v>
      </c>
    </row>
    <row r="10544">
      <c r="A10544" s="3">
        <v>784569.0</v>
      </c>
      <c r="B10544" s="3" t="s">
        <v>10572</v>
      </c>
      <c r="C10544" s="3" t="s">
        <v>8</v>
      </c>
      <c r="D10544" s="3">
        <v>264.0</v>
      </c>
      <c r="E10544" s="3">
        <v>1.32</v>
      </c>
      <c r="F10544" s="3">
        <v>10.56</v>
      </c>
      <c r="G10544" s="3">
        <v>52.38</v>
      </c>
    </row>
    <row r="10545">
      <c r="A10545" s="3">
        <v>784570.0</v>
      </c>
      <c r="B10545" s="3" t="s">
        <v>10573</v>
      </c>
      <c r="C10545" s="3" t="s">
        <v>8</v>
      </c>
      <c r="D10545" s="3">
        <v>268.0</v>
      </c>
      <c r="E10545" s="3">
        <v>1.23</v>
      </c>
      <c r="F10545" s="3">
        <v>9.81</v>
      </c>
      <c r="G10545" s="3">
        <v>55.06</v>
      </c>
    </row>
    <row r="10546">
      <c r="A10546" s="3">
        <v>784571.0</v>
      </c>
      <c r="B10546" s="3" t="s">
        <v>10574</v>
      </c>
      <c r="C10546" s="3" t="s">
        <v>8</v>
      </c>
      <c r="D10546" s="3">
        <v>243.0</v>
      </c>
      <c r="E10546" s="3">
        <v>1.25</v>
      </c>
      <c r="F10546" s="3">
        <v>9.55</v>
      </c>
      <c r="G10546" s="3">
        <v>48.36</v>
      </c>
    </row>
    <row r="10547">
      <c r="A10547" s="3">
        <v>784572.0</v>
      </c>
      <c r="B10547" s="3" t="s">
        <v>10575</v>
      </c>
      <c r="C10547" s="3" t="s">
        <v>1464</v>
      </c>
      <c r="D10547" s="3">
        <v>177.0</v>
      </c>
      <c r="E10547" s="3">
        <v>8.6</v>
      </c>
      <c r="F10547" s="3">
        <v>3.14</v>
      </c>
      <c r="G10547" s="3">
        <v>21.69</v>
      </c>
    </row>
    <row r="10548">
      <c r="A10548" s="3">
        <v>784573.0</v>
      </c>
      <c r="B10548" s="3" t="s">
        <v>10576</v>
      </c>
      <c r="C10548" s="3" t="s">
        <v>1464</v>
      </c>
      <c r="D10548" s="3">
        <v>192.0</v>
      </c>
      <c r="E10548" s="3">
        <v>11.9</v>
      </c>
      <c r="F10548" s="3">
        <v>3.32</v>
      </c>
      <c r="G10548" s="3">
        <v>17.75</v>
      </c>
    </row>
    <row r="10549">
      <c r="A10549" s="3">
        <v>784574.0</v>
      </c>
      <c r="B10549" s="3" t="s">
        <v>10577</v>
      </c>
      <c r="C10549" s="3" t="s">
        <v>8</v>
      </c>
      <c r="D10549" s="3">
        <v>342.0</v>
      </c>
      <c r="E10549" s="3">
        <v>12.85</v>
      </c>
      <c r="F10549" s="3">
        <v>12.18</v>
      </c>
      <c r="G10549" s="3">
        <v>44.39</v>
      </c>
    </row>
    <row r="10550">
      <c r="A10550" s="3">
        <v>784576.0</v>
      </c>
      <c r="B10550" s="3" t="s">
        <v>10578</v>
      </c>
      <c r="C10550" s="3" t="s">
        <v>33</v>
      </c>
      <c r="D10550" s="3">
        <v>431.0</v>
      </c>
      <c r="E10550" s="3">
        <v>10.63</v>
      </c>
      <c r="F10550" s="3">
        <v>10.64</v>
      </c>
      <c r="G10550" s="3">
        <v>71.63</v>
      </c>
    </row>
    <row r="10551">
      <c r="A10551" s="3">
        <v>784577.0</v>
      </c>
      <c r="B10551" s="3" t="s">
        <v>10579</v>
      </c>
      <c r="C10551" s="3" t="s">
        <v>8</v>
      </c>
      <c r="D10551" s="3">
        <v>342.0</v>
      </c>
      <c r="E10551" s="3">
        <v>12.85</v>
      </c>
      <c r="F10551" s="3">
        <v>12.18</v>
      </c>
      <c r="G10551" s="3">
        <v>44.39</v>
      </c>
    </row>
    <row r="10552">
      <c r="A10552" s="3">
        <v>784578.0</v>
      </c>
      <c r="B10552" s="3" t="s">
        <v>10580</v>
      </c>
      <c r="C10552" s="3" t="s">
        <v>8</v>
      </c>
      <c r="D10552" s="3">
        <v>342.0</v>
      </c>
      <c r="E10552" s="3">
        <v>12.85</v>
      </c>
      <c r="F10552" s="3">
        <v>12.18</v>
      </c>
      <c r="G10552" s="3">
        <v>44.39</v>
      </c>
    </row>
    <row r="10553">
      <c r="A10553" s="3">
        <v>784579.0</v>
      </c>
      <c r="B10553" s="3" t="s">
        <v>10581</v>
      </c>
      <c r="C10553" s="3" t="s">
        <v>8</v>
      </c>
      <c r="D10553" s="3">
        <v>312.0</v>
      </c>
      <c r="E10553" s="3">
        <v>9.06</v>
      </c>
      <c r="F10553" s="3">
        <v>10.86</v>
      </c>
      <c r="G10553" s="3">
        <v>46.46</v>
      </c>
    </row>
    <row r="10554">
      <c r="A10554" s="3">
        <v>784580.0</v>
      </c>
      <c r="B10554" s="3" t="s">
        <v>10582</v>
      </c>
      <c r="C10554" s="3" t="s">
        <v>8</v>
      </c>
      <c r="D10554" s="3">
        <v>344.0</v>
      </c>
      <c r="E10554" s="3">
        <v>13.15</v>
      </c>
      <c r="F10554" s="3">
        <v>12.49</v>
      </c>
      <c r="G10554" s="3">
        <v>43.8</v>
      </c>
    </row>
    <row r="10555">
      <c r="A10555" s="3">
        <v>784581.0</v>
      </c>
      <c r="B10555" s="3" t="s">
        <v>10583</v>
      </c>
      <c r="C10555" s="3" t="s">
        <v>8</v>
      </c>
      <c r="D10555" s="3">
        <v>312.0</v>
      </c>
      <c r="E10555" s="3">
        <v>9.06</v>
      </c>
      <c r="F10555" s="3">
        <v>10.86</v>
      </c>
      <c r="G10555" s="3">
        <v>46.46</v>
      </c>
    </row>
    <row r="10556">
      <c r="A10556" s="3">
        <v>784582.0</v>
      </c>
      <c r="B10556" s="3" t="s">
        <v>10584</v>
      </c>
      <c r="C10556" s="3" t="s">
        <v>8</v>
      </c>
      <c r="D10556" s="3">
        <v>333.0</v>
      </c>
      <c r="E10556" s="3">
        <v>14.24</v>
      </c>
      <c r="F10556" s="3">
        <v>14.49</v>
      </c>
      <c r="G10556" s="3">
        <v>36.64</v>
      </c>
    </row>
    <row r="10557">
      <c r="A10557" s="3">
        <v>784583.0</v>
      </c>
      <c r="B10557" s="3" t="s">
        <v>10585</v>
      </c>
      <c r="C10557" s="3" t="s">
        <v>8</v>
      </c>
      <c r="D10557" s="3">
        <v>333.0</v>
      </c>
      <c r="E10557" s="3">
        <v>14.24</v>
      </c>
      <c r="F10557" s="3">
        <v>14.49</v>
      </c>
      <c r="G10557" s="3">
        <v>36.64</v>
      </c>
    </row>
    <row r="10558">
      <c r="A10558" s="3">
        <v>784586.0</v>
      </c>
      <c r="B10558" s="3" t="s">
        <v>10586</v>
      </c>
      <c r="C10558" s="3" t="s">
        <v>8</v>
      </c>
      <c r="D10558" s="3">
        <v>234.0</v>
      </c>
      <c r="E10558" s="3">
        <v>1.57</v>
      </c>
      <c r="F10558" s="3">
        <v>8.29</v>
      </c>
      <c r="G10558" s="3">
        <v>47.67</v>
      </c>
    </row>
    <row r="10559">
      <c r="A10559" s="3">
        <v>784587.0</v>
      </c>
      <c r="B10559" s="3" t="s">
        <v>10587</v>
      </c>
      <c r="C10559" s="3" t="s">
        <v>8</v>
      </c>
      <c r="D10559" s="3">
        <v>236.0</v>
      </c>
      <c r="E10559" s="3">
        <v>3.27</v>
      </c>
      <c r="F10559" s="3">
        <v>9.57</v>
      </c>
      <c r="G10559" s="3">
        <v>42.12</v>
      </c>
    </row>
    <row r="10560">
      <c r="A10560" s="3">
        <v>784588.0</v>
      </c>
      <c r="B10560" s="3" t="s">
        <v>10588</v>
      </c>
      <c r="C10560" s="3" t="s">
        <v>8</v>
      </c>
      <c r="D10560" s="3">
        <v>243.0</v>
      </c>
      <c r="E10560" s="3">
        <v>1.8</v>
      </c>
      <c r="F10560" s="3">
        <v>9.31</v>
      </c>
      <c r="G10560" s="3">
        <v>47.63</v>
      </c>
    </row>
    <row r="10561">
      <c r="A10561" s="3">
        <v>784591.0</v>
      </c>
      <c r="B10561" s="3" t="s">
        <v>10589</v>
      </c>
      <c r="C10561" s="3" t="s">
        <v>8</v>
      </c>
      <c r="D10561" s="3">
        <v>321.0</v>
      </c>
      <c r="E10561" s="3">
        <v>8.24</v>
      </c>
      <c r="F10561" s="3">
        <v>8.61</v>
      </c>
      <c r="G10561" s="3">
        <v>53.79</v>
      </c>
    </row>
    <row r="10562">
      <c r="A10562" s="3">
        <v>784594.0</v>
      </c>
      <c r="B10562" s="3" t="s">
        <v>10590</v>
      </c>
      <c r="C10562" s="3" t="s">
        <v>8</v>
      </c>
      <c r="D10562" s="3">
        <v>262.0</v>
      </c>
      <c r="E10562" s="3">
        <v>2.36</v>
      </c>
      <c r="F10562" s="3">
        <v>11.71</v>
      </c>
      <c r="G10562" s="3">
        <v>48.25</v>
      </c>
    </row>
    <row r="10563">
      <c r="A10563" s="3">
        <v>784595.0</v>
      </c>
      <c r="B10563" s="3" t="s">
        <v>10591</v>
      </c>
      <c r="C10563" s="3" t="s">
        <v>8</v>
      </c>
      <c r="D10563" s="3">
        <v>250.0</v>
      </c>
      <c r="E10563" s="3">
        <v>1.53</v>
      </c>
      <c r="F10563" s="3">
        <v>10.2</v>
      </c>
      <c r="G10563" s="3">
        <v>48.89</v>
      </c>
    </row>
    <row r="10564">
      <c r="A10564" s="3">
        <v>784597.0</v>
      </c>
      <c r="B10564" s="3" t="s">
        <v>10592</v>
      </c>
      <c r="C10564" s="3" t="s">
        <v>8</v>
      </c>
      <c r="D10564" s="3">
        <v>277.0</v>
      </c>
      <c r="E10564" s="3">
        <v>3.85</v>
      </c>
      <c r="F10564" s="3">
        <v>13.68</v>
      </c>
      <c r="G10564" s="3">
        <v>46.93</v>
      </c>
    </row>
    <row r="10565">
      <c r="A10565" s="3">
        <v>784598.0</v>
      </c>
      <c r="B10565" s="3" t="s">
        <v>10593</v>
      </c>
      <c r="C10565" s="3" t="s">
        <v>8</v>
      </c>
      <c r="D10565" s="3">
        <v>248.0</v>
      </c>
      <c r="E10565" s="3">
        <v>4.09</v>
      </c>
      <c r="F10565" s="3">
        <v>9.21</v>
      </c>
      <c r="G10565" s="3">
        <v>47.44</v>
      </c>
    </row>
    <row r="10566">
      <c r="A10566" s="3">
        <v>784599.0</v>
      </c>
      <c r="B10566" s="3" t="s">
        <v>10594</v>
      </c>
      <c r="C10566" s="3" t="s">
        <v>8</v>
      </c>
      <c r="D10566" s="3">
        <v>272.0</v>
      </c>
      <c r="E10566" s="3">
        <v>4.5</v>
      </c>
      <c r="F10566" s="3">
        <v>10.12</v>
      </c>
      <c r="G10566" s="3">
        <v>52.13</v>
      </c>
    </row>
    <row r="10567">
      <c r="A10567" s="3">
        <v>784601.0</v>
      </c>
      <c r="B10567" s="3" t="s">
        <v>10595</v>
      </c>
      <c r="C10567" s="3" t="s">
        <v>8</v>
      </c>
      <c r="D10567" s="3">
        <v>396.0</v>
      </c>
      <c r="E10567" s="3">
        <v>24.55</v>
      </c>
      <c r="F10567" s="3">
        <v>6.21</v>
      </c>
      <c r="G10567" s="3">
        <v>39.25</v>
      </c>
    </row>
    <row r="10568">
      <c r="A10568" s="3">
        <v>784603.0</v>
      </c>
      <c r="B10568" s="3" t="s">
        <v>10596</v>
      </c>
      <c r="C10568" s="3" t="s">
        <v>8</v>
      </c>
      <c r="D10568" s="3">
        <v>273.0</v>
      </c>
      <c r="E10568" s="3">
        <v>4.07</v>
      </c>
      <c r="F10568" s="3">
        <v>7.74</v>
      </c>
      <c r="G10568" s="3">
        <v>56.31</v>
      </c>
    </row>
    <row r="10569">
      <c r="A10569" s="3">
        <v>784604.0</v>
      </c>
      <c r="B10569" s="3" t="s">
        <v>10597</v>
      </c>
      <c r="C10569" s="3" t="s">
        <v>8</v>
      </c>
      <c r="D10569" s="3">
        <v>301.0</v>
      </c>
      <c r="E10569" s="3">
        <v>4.47</v>
      </c>
      <c r="F10569" s="3">
        <v>8.51</v>
      </c>
      <c r="G10569" s="3">
        <v>61.88</v>
      </c>
    </row>
    <row r="10570">
      <c r="A10570" s="3">
        <v>784606.0</v>
      </c>
      <c r="B10570" s="3" t="s">
        <v>10598</v>
      </c>
      <c r="C10570" s="3" t="s">
        <v>8</v>
      </c>
      <c r="D10570" s="3">
        <v>207.0</v>
      </c>
      <c r="E10570" s="3">
        <v>0.0</v>
      </c>
      <c r="F10570" s="3">
        <v>14.46</v>
      </c>
      <c r="G10570" s="3">
        <v>37.23</v>
      </c>
    </row>
    <row r="10571">
      <c r="A10571" s="3">
        <v>784608.0</v>
      </c>
      <c r="B10571" s="3" t="s">
        <v>10599</v>
      </c>
      <c r="C10571" s="3" t="s">
        <v>8</v>
      </c>
      <c r="D10571" s="3">
        <v>301.0</v>
      </c>
      <c r="E10571" s="3">
        <v>4.98</v>
      </c>
      <c r="F10571" s="3">
        <v>11.72</v>
      </c>
      <c r="G10571" s="3">
        <v>52.24</v>
      </c>
    </row>
    <row r="10572">
      <c r="A10572" s="3">
        <v>784609.0</v>
      </c>
      <c r="B10572" s="3" t="s">
        <v>10600</v>
      </c>
      <c r="C10572" s="3" t="s">
        <v>8</v>
      </c>
      <c r="D10572" s="3">
        <v>263.0</v>
      </c>
      <c r="E10572" s="3">
        <v>3.65</v>
      </c>
      <c r="F10572" s="3">
        <v>8.93</v>
      </c>
      <c r="G10572" s="3">
        <v>49.23</v>
      </c>
    </row>
    <row r="10573">
      <c r="A10573" s="3">
        <v>784610.0</v>
      </c>
      <c r="B10573" s="3" t="s">
        <v>10601</v>
      </c>
      <c r="C10573" s="3" t="s">
        <v>8</v>
      </c>
      <c r="D10573" s="3">
        <v>289.0</v>
      </c>
      <c r="E10573" s="3">
        <v>4.01</v>
      </c>
      <c r="F10573" s="3">
        <v>9.81</v>
      </c>
      <c r="G10573" s="3">
        <v>54.1</v>
      </c>
    </row>
    <row r="10574">
      <c r="A10574" s="3">
        <v>784611.0</v>
      </c>
      <c r="B10574" s="3" t="s">
        <v>10602</v>
      </c>
      <c r="C10574" s="3" t="s">
        <v>8</v>
      </c>
      <c r="D10574" s="3">
        <v>285.0</v>
      </c>
      <c r="E10574" s="3">
        <v>3.72</v>
      </c>
      <c r="F10574" s="3">
        <v>7.58</v>
      </c>
      <c r="G10574" s="3">
        <v>57.38</v>
      </c>
    </row>
    <row r="10575">
      <c r="A10575" s="3">
        <v>784612.0</v>
      </c>
      <c r="B10575" s="3" t="s">
        <v>10603</v>
      </c>
      <c r="C10575" s="3" t="s">
        <v>8</v>
      </c>
      <c r="D10575" s="3">
        <v>313.0</v>
      </c>
      <c r="E10575" s="3">
        <v>4.09</v>
      </c>
      <c r="F10575" s="3">
        <v>8.33</v>
      </c>
      <c r="G10575" s="3">
        <v>63.06</v>
      </c>
    </row>
    <row r="10576">
      <c r="A10576" s="3">
        <v>784616.0</v>
      </c>
      <c r="B10576" s="3" t="s">
        <v>10604</v>
      </c>
      <c r="C10576" s="3" t="s">
        <v>8</v>
      </c>
      <c r="D10576" s="3">
        <v>263.0</v>
      </c>
      <c r="E10576" s="3">
        <v>1.14</v>
      </c>
      <c r="F10576" s="3">
        <v>9.15</v>
      </c>
      <c r="G10576" s="3">
        <v>53.96</v>
      </c>
    </row>
    <row r="10577">
      <c r="A10577" s="3">
        <v>784618.0</v>
      </c>
      <c r="B10577" s="3" t="s">
        <v>10605</v>
      </c>
      <c r="C10577" s="3" t="s">
        <v>8</v>
      </c>
      <c r="D10577" s="3">
        <v>288.0</v>
      </c>
      <c r="E10577" s="3">
        <v>1.88</v>
      </c>
      <c r="F10577" s="3">
        <v>10.77</v>
      </c>
      <c r="G10577" s="3">
        <v>61.42</v>
      </c>
    </row>
    <row r="10578">
      <c r="A10578" s="3">
        <v>784620.0</v>
      </c>
      <c r="B10578" s="3" t="s">
        <v>10606</v>
      </c>
      <c r="C10578" s="3" t="s">
        <v>8</v>
      </c>
      <c r="D10578" s="3">
        <v>288.0</v>
      </c>
      <c r="E10578" s="3">
        <v>1.88</v>
      </c>
      <c r="F10578" s="3">
        <v>10.77</v>
      </c>
      <c r="G10578" s="3">
        <v>61.42</v>
      </c>
    </row>
    <row r="10579">
      <c r="A10579" s="3">
        <v>784621.0</v>
      </c>
      <c r="B10579" s="3" t="s">
        <v>10607</v>
      </c>
      <c r="C10579" s="3" t="s">
        <v>8</v>
      </c>
      <c r="D10579" s="3">
        <v>250.0</v>
      </c>
      <c r="E10579" s="3">
        <v>1.53</v>
      </c>
      <c r="F10579" s="3">
        <v>10.2</v>
      </c>
      <c r="G10579" s="3">
        <v>48.89</v>
      </c>
    </row>
    <row r="10580">
      <c r="A10580" s="3">
        <v>784622.0</v>
      </c>
      <c r="B10580" s="3" t="s">
        <v>10608</v>
      </c>
      <c r="C10580" s="3" t="s">
        <v>8</v>
      </c>
      <c r="D10580" s="3">
        <v>250.0</v>
      </c>
      <c r="E10580" s="3">
        <v>1.53</v>
      </c>
      <c r="F10580" s="3">
        <v>10.2</v>
      </c>
      <c r="G10580" s="3">
        <v>48.89</v>
      </c>
    </row>
    <row r="10581">
      <c r="A10581" s="3">
        <v>784623.0</v>
      </c>
      <c r="B10581" s="3" t="s">
        <v>10609</v>
      </c>
      <c r="C10581" s="3" t="s">
        <v>8</v>
      </c>
      <c r="D10581" s="3">
        <v>255.0</v>
      </c>
      <c r="E10581" s="3">
        <v>1.42</v>
      </c>
      <c r="F10581" s="3">
        <v>9.49</v>
      </c>
      <c r="G10581" s="3">
        <v>51.92</v>
      </c>
    </row>
    <row r="10582">
      <c r="A10582" s="3">
        <v>784624.0</v>
      </c>
      <c r="B10582" s="3" t="s">
        <v>10610</v>
      </c>
      <c r="C10582" s="3" t="s">
        <v>8</v>
      </c>
      <c r="D10582" s="3">
        <v>255.0</v>
      </c>
      <c r="E10582" s="3">
        <v>1.42</v>
      </c>
      <c r="F10582" s="3">
        <v>9.49</v>
      </c>
      <c r="G10582" s="3">
        <v>51.92</v>
      </c>
    </row>
    <row r="10583">
      <c r="A10583" s="3">
        <v>784625.0</v>
      </c>
      <c r="B10583" s="3" t="s">
        <v>10611</v>
      </c>
      <c r="C10583" s="3" t="s">
        <v>8</v>
      </c>
      <c r="D10583" s="3">
        <v>261.0</v>
      </c>
      <c r="E10583" s="3">
        <v>2.69</v>
      </c>
      <c r="F10583" s="3">
        <v>9.53</v>
      </c>
      <c r="G10583" s="3">
        <v>50.82</v>
      </c>
    </row>
    <row r="10584">
      <c r="A10584" s="3">
        <v>784626.0</v>
      </c>
      <c r="B10584" s="3" t="s">
        <v>10612</v>
      </c>
      <c r="C10584" s="3" t="s">
        <v>8</v>
      </c>
      <c r="D10584" s="3">
        <v>250.0</v>
      </c>
      <c r="E10584" s="3">
        <v>1.53</v>
      </c>
      <c r="F10584" s="3">
        <v>10.2</v>
      </c>
      <c r="G10584" s="3">
        <v>48.89</v>
      </c>
    </row>
    <row r="10585">
      <c r="A10585" s="3">
        <v>784628.0</v>
      </c>
      <c r="B10585" s="3" t="s">
        <v>10613</v>
      </c>
      <c r="C10585" s="3" t="s">
        <v>8</v>
      </c>
      <c r="D10585" s="3">
        <v>231.0</v>
      </c>
      <c r="E10585" s="3">
        <v>1.85</v>
      </c>
      <c r="F10585" s="3">
        <v>8.14</v>
      </c>
      <c r="G10585" s="3">
        <v>48.24</v>
      </c>
    </row>
    <row r="10586">
      <c r="A10586" s="3">
        <v>784631.0</v>
      </c>
      <c r="B10586" s="3" t="s">
        <v>10614</v>
      </c>
      <c r="C10586" s="3" t="s">
        <v>8</v>
      </c>
      <c r="D10586" s="3">
        <v>230.0</v>
      </c>
      <c r="E10586" s="3">
        <v>1.86</v>
      </c>
      <c r="F10586" s="3">
        <v>8.19</v>
      </c>
      <c r="G10586" s="3">
        <v>47.92</v>
      </c>
    </row>
    <row r="10587">
      <c r="A10587" s="3">
        <v>784632.0</v>
      </c>
      <c r="B10587" s="3" t="s">
        <v>10615</v>
      </c>
      <c r="C10587" s="3" t="s">
        <v>8</v>
      </c>
      <c r="D10587" s="3">
        <v>230.0</v>
      </c>
      <c r="E10587" s="3">
        <v>1.86</v>
      </c>
      <c r="F10587" s="3">
        <v>8.19</v>
      </c>
      <c r="G10587" s="3">
        <v>47.92</v>
      </c>
    </row>
    <row r="10588">
      <c r="A10588" s="3">
        <v>784634.0</v>
      </c>
      <c r="B10588" s="3" t="s">
        <v>10616</v>
      </c>
      <c r="C10588" s="3" t="s">
        <v>33</v>
      </c>
      <c r="D10588" s="3">
        <v>411.0</v>
      </c>
      <c r="E10588" s="3">
        <v>10.87</v>
      </c>
      <c r="F10588" s="3">
        <v>13.23</v>
      </c>
      <c r="G10588" s="3">
        <v>68.15</v>
      </c>
    </row>
    <row r="10589">
      <c r="A10589" s="3">
        <v>784647.0</v>
      </c>
      <c r="B10589" s="3" t="s">
        <v>10617</v>
      </c>
      <c r="C10589" s="3" t="s">
        <v>8</v>
      </c>
      <c r="D10589" s="3">
        <v>285.0</v>
      </c>
      <c r="E10589" s="3">
        <v>3.63</v>
      </c>
      <c r="F10589" s="3">
        <v>9.34</v>
      </c>
      <c r="G10589" s="3">
        <v>53.08</v>
      </c>
    </row>
    <row r="10590">
      <c r="A10590" s="3">
        <v>784652.0</v>
      </c>
      <c r="B10590" s="3" t="s">
        <v>10618</v>
      </c>
      <c r="C10590" s="3" t="s">
        <v>8</v>
      </c>
      <c r="D10590" s="3">
        <v>275.0</v>
      </c>
      <c r="E10590" s="3">
        <v>3.41</v>
      </c>
      <c r="F10590" s="3">
        <v>9.56</v>
      </c>
      <c r="G10590" s="3">
        <v>52.2</v>
      </c>
    </row>
    <row r="10591">
      <c r="A10591" s="3">
        <v>784653.0</v>
      </c>
      <c r="B10591" s="3" t="s">
        <v>10619</v>
      </c>
      <c r="C10591" s="3" t="s">
        <v>8</v>
      </c>
      <c r="D10591" s="3">
        <v>250.0</v>
      </c>
      <c r="E10591" s="3">
        <v>1.53</v>
      </c>
      <c r="F10591" s="3">
        <v>10.2</v>
      </c>
      <c r="G10591" s="3">
        <v>48.89</v>
      </c>
    </row>
    <row r="10592">
      <c r="A10592" s="3">
        <v>784656.0</v>
      </c>
      <c r="B10592" s="3" t="s">
        <v>10620</v>
      </c>
      <c r="C10592" s="3" t="s">
        <v>8</v>
      </c>
      <c r="D10592" s="3">
        <v>275.0</v>
      </c>
      <c r="E10592" s="3">
        <v>3.41</v>
      </c>
      <c r="F10592" s="3">
        <v>9.56</v>
      </c>
      <c r="G10592" s="3">
        <v>52.2</v>
      </c>
    </row>
    <row r="10593">
      <c r="A10593" s="3">
        <v>784665.0</v>
      </c>
      <c r="B10593" s="3" t="s">
        <v>10621</v>
      </c>
      <c r="C10593" s="3" t="s">
        <v>8</v>
      </c>
      <c r="D10593" s="3">
        <v>250.0</v>
      </c>
      <c r="E10593" s="3">
        <v>1.53</v>
      </c>
      <c r="F10593" s="3">
        <v>10.2</v>
      </c>
      <c r="G10593" s="3">
        <v>48.89</v>
      </c>
    </row>
    <row r="10594">
      <c r="A10594" s="3">
        <v>784668.0</v>
      </c>
      <c r="B10594" s="3" t="s">
        <v>10622</v>
      </c>
      <c r="C10594" s="3" t="s">
        <v>8</v>
      </c>
      <c r="D10594" s="3">
        <v>272.0</v>
      </c>
      <c r="E10594" s="3">
        <v>4.01</v>
      </c>
      <c r="F10594" s="3">
        <v>7.87</v>
      </c>
      <c r="G10594" s="3">
        <v>51.57</v>
      </c>
    </row>
    <row r="10595">
      <c r="A10595" s="3">
        <v>784669.0</v>
      </c>
      <c r="B10595" s="3" t="s">
        <v>10623</v>
      </c>
      <c r="C10595" s="3" t="s">
        <v>8</v>
      </c>
      <c r="D10595" s="3">
        <v>291.0</v>
      </c>
      <c r="E10595" s="3">
        <v>4.65</v>
      </c>
      <c r="F10595" s="3">
        <v>14.68</v>
      </c>
      <c r="G10595" s="3">
        <v>47.63</v>
      </c>
    </row>
    <row r="10596">
      <c r="A10596" s="3">
        <v>784671.0</v>
      </c>
      <c r="B10596" s="3" t="s">
        <v>10624</v>
      </c>
      <c r="C10596" s="3" t="s">
        <v>8</v>
      </c>
      <c r="D10596" s="3">
        <v>268.0</v>
      </c>
      <c r="E10596" s="3">
        <v>3.85</v>
      </c>
      <c r="F10596" s="3">
        <v>12.33</v>
      </c>
      <c r="G10596" s="3">
        <v>46.92</v>
      </c>
    </row>
    <row r="10597">
      <c r="A10597" s="3">
        <v>784672.0</v>
      </c>
      <c r="B10597" s="3" t="s">
        <v>10625</v>
      </c>
      <c r="C10597" s="3" t="s">
        <v>8</v>
      </c>
      <c r="D10597" s="3">
        <v>295.0</v>
      </c>
      <c r="E10597" s="3">
        <v>4.23</v>
      </c>
      <c r="F10597" s="3">
        <v>13.55</v>
      </c>
      <c r="G10597" s="3">
        <v>51.56</v>
      </c>
    </row>
    <row r="10598">
      <c r="A10598" s="3">
        <v>784678.0</v>
      </c>
      <c r="B10598" s="3" t="s">
        <v>10626</v>
      </c>
      <c r="C10598" s="3" t="s">
        <v>8</v>
      </c>
      <c r="D10598" s="3">
        <v>250.0</v>
      </c>
      <c r="E10598" s="3">
        <v>1.53</v>
      </c>
      <c r="F10598" s="3">
        <v>10.2</v>
      </c>
      <c r="G10598" s="3">
        <v>48.89</v>
      </c>
    </row>
    <row r="10599">
      <c r="A10599" s="3">
        <v>784679.0</v>
      </c>
      <c r="B10599" s="3" t="s">
        <v>10627</v>
      </c>
      <c r="C10599" s="3" t="s">
        <v>8</v>
      </c>
      <c r="D10599" s="3">
        <v>255.0</v>
      </c>
      <c r="E10599" s="3">
        <v>1.42</v>
      </c>
      <c r="F10599" s="3">
        <v>9.49</v>
      </c>
      <c r="G10599" s="3">
        <v>51.92</v>
      </c>
    </row>
    <row r="10600">
      <c r="A10600" s="3">
        <v>784682.0</v>
      </c>
      <c r="B10600" s="3" t="s">
        <v>10628</v>
      </c>
      <c r="C10600" s="3" t="s">
        <v>8</v>
      </c>
      <c r="D10600" s="3">
        <v>301.0</v>
      </c>
      <c r="E10600" s="3">
        <v>4.98</v>
      </c>
      <c r="F10600" s="3">
        <v>11.72</v>
      </c>
      <c r="G10600" s="3">
        <v>52.24</v>
      </c>
    </row>
    <row r="10601">
      <c r="A10601" s="3">
        <v>784683.0</v>
      </c>
      <c r="B10601" s="3" t="s">
        <v>10629</v>
      </c>
      <c r="C10601" s="3" t="s">
        <v>8</v>
      </c>
      <c r="D10601" s="3">
        <v>258.0</v>
      </c>
      <c r="E10601" s="3">
        <v>3.45</v>
      </c>
      <c r="F10601" s="3">
        <v>15.4</v>
      </c>
      <c r="G10601" s="3">
        <v>42.01</v>
      </c>
    </row>
    <row r="10602">
      <c r="A10602" s="3">
        <v>784684.0</v>
      </c>
      <c r="B10602" s="3" t="s">
        <v>10630</v>
      </c>
      <c r="C10602" s="3" t="s">
        <v>8</v>
      </c>
      <c r="D10602" s="3">
        <v>284.0</v>
      </c>
      <c r="E10602" s="3">
        <v>3.8</v>
      </c>
      <c r="F10602" s="3">
        <v>16.92</v>
      </c>
      <c r="G10602" s="3">
        <v>46.16</v>
      </c>
    </row>
    <row r="10603">
      <c r="A10603" s="3">
        <v>784685.0</v>
      </c>
      <c r="B10603" s="3" t="s">
        <v>10631</v>
      </c>
      <c r="C10603" s="3" t="s">
        <v>8</v>
      </c>
      <c r="D10603" s="3">
        <v>304.0</v>
      </c>
      <c r="E10603" s="3">
        <v>8.39</v>
      </c>
      <c r="F10603" s="3">
        <v>9.94</v>
      </c>
      <c r="G10603" s="3">
        <v>47.41</v>
      </c>
    </row>
    <row r="10604">
      <c r="A10604" s="3">
        <v>784686.0</v>
      </c>
      <c r="B10604" s="3" t="s">
        <v>10632</v>
      </c>
      <c r="C10604" s="3" t="s">
        <v>8</v>
      </c>
      <c r="D10604" s="3">
        <v>334.0</v>
      </c>
      <c r="E10604" s="3">
        <v>9.22</v>
      </c>
      <c r="F10604" s="3">
        <v>10.92</v>
      </c>
      <c r="G10604" s="3">
        <v>52.1</v>
      </c>
    </row>
    <row r="10605">
      <c r="A10605" s="3">
        <v>784688.0</v>
      </c>
      <c r="B10605" s="3" t="s">
        <v>10633</v>
      </c>
      <c r="C10605" s="3" t="s">
        <v>8</v>
      </c>
      <c r="D10605" s="3">
        <v>273.0</v>
      </c>
      <c r="E10605" s="3">
        <v>5.76</v>
      </c>
      <c r="F10605" s="3">
        <v>4.74</v>
      </c>
      <c r="G10605" s="3">
        <v>50.31</v>
      </c>
    </row>
    <row r="10606">
      <c r="A10606" s="3">
        <v>784689.0</v>
      </c>
      <c r="B10606" s="3" t="s">
        <v>10634</v>
      </c>
      <c r="C10606" s="3" t="s">
        <v>8</v>
      </c>
      <c r="D10606" s="3">
        <v>88.0</v>
      </c>
      <c r="E10606" s="3">
        <v>0.83</v>
      </c>
      <c r="F10606" s="3">
        <v>3.48</v>
      </c>
      <c r="G10606" s="3">
        <v>18.31</v>
      </c>
    </row>
    <row r="10607">
      <c r="A10607" s="3">
        <v>784691.0</v>
      </c>
      <c r="B10607" s="3" t="s">
        <v>10635</v>
      </c>
      <c r="C10607" s="3" t="s">
        <v>8</v>
      </c>
      <c r="D10607" s="3">
        <v>273.0</v>
      </c>
      <c r="E10607" s="3">
        <v>5.76</v>
      </c>
      <c r="F10607" s="3">
        <v>4.74</v>
      </c>
      <c r="G10607" s="3">
        <v>50.31</v>
      </c>
    </row>
    <row r="10608">
      <c r="A10608" s="3">
        <v>784695.0</v>
      </c>
      <c r="B10608" s="3" t="s">
        <v>10636</v>
      </c>
      <c r="C10608" s="3" t="s">
        <v>8</v>
      </c>
      <c r="D10608" s="3">
        <v>350.0</v>
      </c>
      <c r="E10608" s="3">
        <v>17.43</v>
      </c>
      <c r="F10608" s="3">
        <v>6.55</v>
      </c>
      <c r="G10608" s="3">
        <v>42.72</v>
      </c>
    </row>
    <row r="10609">
      <c r="A10609" s="3">
        <v>784696.0</v>
      </c>
      <c r="B10609" s="3" t="s">
        <v>10637</v>
      </c>
      <c r="C10609" s="3" t="s">
        <v>8</v>
      </c>
      <c r="D10609" s="3">
        <v>193.0</v>
      </c>
      <c r="E10609" s="3">
        <v>5.55</v>
      </c>
      <c r="F10609" s="3">
        <v>7.21</v>
      </c>
      <c r="G10609" s="3">
        <v>28.42</v>
      </c>
    </row>
    <row r="10610">
      <c r="A10610" s="3">
        <v>784697.0</v>
      </c>
      <c r="B10610" s="3" t="s">
        <v>10638</v>
      </c>
      <c r="C10610" s="3" t="s">
        <v>8</v>
      </c>
      <c r="D10610" s="3">
        <v>217.0</v>
      </c>
      <c r="E10610" s="3">
        <v>6.24</v>
      </c>
      <c r="F10610" s="3">
        <v>8.1</v>
      </c>
      <c r="G10610" s="3">
        <v>31.93</v>
      </c>
    </row>
    <row r="10611">
      <c r="A10611" s="3">
        <v>784698.0</v>
      </c>
      <c r="B10611" s="3" t="s">
        <v>10639</v>
      </c>
      <c r="C10611" s="3" t="s">
        <v>8</v>
      </c>
      <c r="D10611" s="3">
        <v>324.0</v>
      </c>
      <c r="E10611" s="3">
        <v>11.77</v>
      </c>
      <c r="F10611" s="3">
        <v>7.16</v>
      </c>
      <c r="G10611" s="3">
        <v>46.78</v>
      </c>
    </row>
    <row r="10612">
      <c r="A10612" s="3">
        <v>784702.0</v>
      </c>
      <c r="B10612" s="3" t="s">
        <v>10640</v>
      </c>
      <c r="C10612" s="3" t="s">
        <v>8</v>
      </c>
      <c r="D10612" s="3">
        <v>354.0</v>
      </c>
      <c r="E10612" s="3">
        <v>16.34</v>
      </c>
      <c r="F10612" s="3">
        <v>6.98</v>
      </c>
      <c r="G10612" s="3">
        <v>44.64</v>
      </c>
    </row>
    <row r="10613">
      <c r="A10613" s="3">
        <v>784703.0</v>
      </c>
      <c r="B10613" s="3" t="s">
        <v>10641</v>
      </c>
      <c r="C10613" s="3" t="s">
        <v>8</v>
      </c>
      <c r="D10613" s="3">
        <v>312.0</v>
      </c>
      <c r="E10613" s="3">
        <v>11.97</v>
      </c>
      <c r="F10613" s="3">
        <v>9.37</v>
      </c>
      <c r="G10613" s="3">
        <v>45.93</v>
      </c>
    </row>
    <row r="10614">
      <c r="A10614" s="3">
        <v>784704.0</v>
      </c>
      <c r="B10614" s="3" t="s">
        <v>10642</v>
      </c>
      <c r="C10614" s="3" t="s">
        <v>8</v>
      </c>
      <c r="D10614" s="3">
        <v>346.0</v>
      </c>
      <c r="E10614" s="3">
        <v>13.61</v>
      </c>
      <c r="F10614" s="3">
        <v>8.13</v>
      </c>
      <c r="G10614" s="3">
        <v>48.0</v>
      </c>
    </row>
    <row r="10615">
      <c r="A10615" s="3">
        <v>784705.0</v>
      </c>
      <c r="B10615" s="3" t="s">
        <v>10643</v>
      </c>
      <c r="C10615" s="3" t="s">
        <v>8</v>
      </c>
      <c r="D10615" s="3">
        <v>345.0</v>
      </c>
      <c r="E10615" s="3">
        <v>12.5</v>
      </c>
      <c r="F10615" s="3">
        <v>5.77</v>
      </c>
      <c r="G10615" s="3">
        <v>53.43</v>
      </c>
    </row>
    <row r="10616">
      <c r="A10616" s="3">
        <v>784706.0</v>
      </c>
      <c r="B10616" s="3" t="s">
        <v>10644</v>
      </c>
      <c r="C10616" s="3" t="s">
        <v>8</v>
      </c>
      <c r="D10616" s="3">
        <v>353.0</v>
      </c>
      <c r="E10616" s="3">
        <v>14.86</v>
      </c>
      <c r="F10616" s="3">
        <v>9.15</v>
      </c>
      <c r="G10616" s="3">
        <v>45.17</v>
      </c>
    </row>
    <row r="10617">
      <c r="A10617" s="3">
        <v>784707.0</v>
      </c>
      <c r="B10617" s="3" t="s">
        <v>10645</v>
      </c>
      <c r="C10617" s="3" t="s">
        <v>8</v>
      </c>
      <c r="D10617" s="3">
        <v>352.0</v>
      </c>
      <c r="E10617" s="3">
        <v>13.39</v>
      </c>
      <c r="F10617" s="3">
        <v>8.55</v>
      </c>
      <c r="G10617" s="3">
        <v>49.86</v>
      </c>
    </row>
    <row r="10618">
      <c r="A10618" s="3">
        <v>784709.0</v>
      </c>
      <c r="B10618" s="3" t="s">
        <v>10646</v>
      </c>
      <c r="C10618" s="3" t="s">
        <v>8</v>
      </c>
      <c r="D10618" s="3">
        <v>283.0</v>
      </c>
      <c r="E10618" s="3">
        <v>9.42</v>
      </c>
      <c r="F10618" s="3">
        <v>6.42</v>
      </c>
      <c r="G10618" s="3">
        <v>42.74</v>
      </c>
    </row>
    <row r="10619">
      <c r="A10619" s="3">
        <v>784712.0</v>
      </c>
      <c r="B10619" s="3" t="s">
        <v>10647</v>
      </c>
      <c r="C10619" s="3" t="s">
        <v>8</v>
      </c>
      <c r="D10619" s="3">
        <v>303.0</v>
      </c>
      <c r="E10619" s="3">
        <v>10.1</v>
      </c>
      <c r="F10619" s="3">
        <v>6.88</v>
      </c>
      <c r="G10619" s="3">
        <v>45.79</v>
      </c>
    </row>
    <row r="10620">
      <c r="A10620" s="3">
        <v>784713.0</v>
      </c>
      <c r="B10620" s="3" t="s">
        <v>10648</v>
      </c>
      <c r="C10620" s="3" t="s">
        <v>8</v>
      </c>
      <c r="D10620" s="3">
        <v>216.0</v>
      </c>
      <c r="E10620" s="3">
        <v>4.55</v>
      </c>
      <c r="F10620" s="3">
        <v>3.98</v>
      </c>
      <c r="G10620" s="3">
        <v>41.23</v>
      </c>
    </row>
    <row r="10621">
      <c r="A10621" s="3">
        <v>784714.0</v>
      </c>
      <c r="B10621" s="3" t="s">
        <v>10649</v>
      </c>
      <c r="C10621" s="3" t="s">
        <v>8</v>
      </c>
      <c r="D10621" s="3">
        <v>214.0</v>
      </c>
      <c r="E10621" s="3">
        <v>4.31</v>
      </c>
      <c r="F10621" s="3">
        <v>3.5</v>
      </c>
      <c r="G10621" s="3">
        <v>39.68</v>
      </c>
    </row>
    <row r="10622">
      <c r="A10622" s="3">
        <v>784715.0</v>
      </c>
      <c r="B10622" s="3" t="s">
        <v>10650</v>
      </c>
      <c r="C10622" s="3" t="s">
        <v>8</v>
      </c>
      <c r="D10622" s="3">
        <v>254.0</v>
      </c>
      <c r="E10622" s="3">
        <v>9.78</v>
      </c>
      <c r="F10622" s="3">
        <v>3.34</v>
      </c>
      <c r="G10622" s="3">
        <v>37.79</v>
      </c>
    </row>
    <row r="10623">
      <c r="A10623" s="3">
        <v>784716.0</v>
      </c>
      <c r="B10623" s="3" t="s">
        <v>10651</v>
      </c>
      <c r="C10623" s="3" t="s">
        <v>8</v>
      </c>
      <c r="D10623" s="3">
        <v>303.0</v>
      </c>
      <c r="E10623" s="3">
        <v>16.19</v>
      </c>
      <c r="F10623" s="3">
        <v>4.18</v>
      </c>
      <c r="G10623" s="3">
        <v>36.65</v>
      </c>
    </row>
    <row r="10624">
      <c r="A10624" s="3">
        <v>784718.0</v>
      </c>
      <c r="B10624" s="3" t="s">
        <v>10652</v>
      </c>
      <c r="C10624" s="3" t="s">
        <v>8</v>
      </c>
      <c r="D10624" s="3">
        <v>275.0</v>
      </c>
      <c r="E10624" s="3">
        <v>7.22</v>
      </c>
      <c r="F10624" s="3">
        <v>7.89</v>
      </c>
      <c r="G10624" s="3">
        <v>43.78</v>
      </c>
    </row>
    <row r="10625">
      <c r="A10625" s="3">
        <v>784719.0</v>
      </c>
      <c r="B10625" s="3" t="s">
        <v>10653</v>
      </c>
      <c r="C10625" s="3" t="s">
        <v>8</v>
      </c>
      <c r="D10625" s="3">
        <v>164.0</v>
      </c>
      <c r="E10625" s="3">
        <v>6.88</v>
      </c>
      <c r="F10625" s="3">
        <v>6.65</v>
      </c>
      <c r="G10625" s="3">
        <v>18.52</v>
      </c>
    </row>
    <row r="10626">
      <c r="A10626" s="3">
        <v>784720.0</v>
      </c>
      <c r="B10626" s="3" t="s">
        <v>10654</v>
      </c>
      <c r="C10626" s="3" t="s">
        <v>8</v>
      </c>
      <c r="D10626" s="3">
        <v>262.0</v>
      </c>
      <c r="E10626" s="3">
        <v>5.42</v>
      </c>
      <c r="F10626" s="3">
        <v>6.95</v>
      </c>
      <c r="G10626" s="3">
        <v>47.01</v>
      </c>
    </row>
    <row r="10627">
      <c r="A10627" s="3">
        <v>784725.0</v>
      </c>
      <c r="B10627" s="3" t="s">
        <v>10655</v>
      </c>
      <c r="C10627" s="3" t="s">
        <v>8</v>
      </c>
      <c r="D10627" s="3">
        <v>511.0</v>
      </c>
      <c r="E10627" s="3">
        <v>29.07</v>
      </c>
      <c r="F10627" s="3">
        <v>8.83</v>
      </c>
      <c r="G10627" s="3">
        <v>53.2</v>
      </c>
    </row>
    <row r="10628">
      <c r="A10628" s="3">
        <v>784726.0</v>
      </c>
      <c r="B10628" s="3" t="s">
        <v>10656</v>
      </c>
      <c r="C10628" s="3" t="s">
        <v>8</v>
      </c>
      <c r="D10628" s="3">
        <v>267.0</v>
      </c>
      <c r="E10628" s="3">
        <v>13.96</v>
      </c>
      <c r="F10628" s="3">
        <v>5.64</v>
      </c>
      <c r="G10628" s="3">
        <v>30.49</v>
      </c>
    </row>
    <row r="10629">
      <c r="A10629" s="3">
        <v>784730.0</v>
      </c>
      <c r="B10629" s="3" t="s">
        <v>10657</v>
      </c>
      <c r="C10629" s="3" t="s">
        <v>8</v>
      </c>
      <c r="D10629" s="3">
        <v>397.0</v>
      </c>
      <c r="E10629" s="3">
        <v>18.55</v>
      </c>
      <c r="F10629" s="3">
        <v>5.64</v>
      </c>
      <c r="G10629" s="3">
        <v>55.29</v>
      </c>
    </row>
    <row r="10630">
      <c r="A10630" s="3">
        <v>784731.0</v>
      </c>
      <c r="B10630" s="3" t="s">
        <v>10658</v>
      </c>
      <c r="C10630" s="3" t="s">
        <v>8</v>
      </c>
      <c r="D10630" s="3">
        <v>390.0</v>
      </c>
      <c r="E10630" s="3">
        <v>18.2</v>
      </c>
      <c r="F10630" s="3">
        <v>6.39</v>
      </c>
      <c r="G10630" s="3">
        <v>50.81</v>
      </c>
    </row>
    <row r="10631">
      <c r="A10631" s="3">
        <v>784732.0</v>
      </c>
      <c r="B10631" s="3" t="s">
        <v>10659</v>
      </c>
      <c r="C10631" s="3" t="s">
        <v>8</v>
      </c>
      <c r="D10631" s="3">
        <v>355.0</v>
      </c>
      <c r="E10631" s="3">
        <v>17.86</v>
      </c>
      <c r="F10631" s="3">
        <v>7.2</v>
      </c>
      <c r="G10631" s="3">
        <v>44.46</v>
      </c>
    </row>
    <row r="10632">
      <c r="A10632" s="3">
        <v>784733.0</v>
      </c>
      <c r="B10632" s="3" t="s">
        <v>10660</v>
      </c>
      <c r="C10632" s="3" t="s">
        <v>8</v>
      </c>
      <c r="D10632" s="3">
        <v>360.0</v>
      </c>
      <c r="E10632" s="3">
        <v>17.4</v>
      </c>
      <c r="F10632" s="3">
        <v>6.61</v>
      </c>
      <c r="G10632" s="3">
        <v>45.76</v>
      </c>
    </row>
    <row r="10633">
      <c r="A10633" s="3">
        <v>784734.0</v>
      </c>
      <c r="B10633" s="3" t="s">
        <v>10661</v>
      </c>
      <c r="C10633" s="3" t="s">
        <v>8</v>
      </c>
      <c r="D10633" s="3">
        <v>360.0</v>
      </c>
      <c r="E10633" s="3">
        <v>17.4</v>
      </c>
      <c r="F10633" s="3">
        <v>6.61</v>
      </c>
      <c r="G10633" s="3">
        <v>45.76</v>
      </c>
    </row>
    <row r="10634">
      <c r="A10634" s="3">
        <v>784735.0</v>
      </c>
      <c r="B10634" s="3" t="s">
        <v>10662</v>
      </c>
      <c r="C10634" s="3" t="s">
        <v>8</v>
      </c>
      <c r="D10634" s="3">
        <v>215.0</v>
      </c>
      <c r="E10634" s="3">
        <v>5.83</v>
      </c>
      <c r="F10634" s="3">
        <v>6.22</v>
      </c>
      <c r="G10634" s="3">
        <v>39.09</v>
      </c>
    </row>
    <row r="10635">
      <c r="A10635" s="3">
        <v>784737.0</v>
      </c>
      <c r="B10635" s="3" t="s">
        <v>10663</v>
      </c>
      <c r="C10635" s="3" t="s">
        <v>8</v>
      </c>
      <c r="D10635" s="3">
        <v>362.0</v>
      </c>
      <c r="E10635" s="3">
        <v>18.29</v>
      </c>
      <c r="F10635" s="3">
        <v>6.33</v>
      </c>
      <c r="G10635" s="3">
        <v>43.96</v>
      </c>
    </row>
    <row r="10636">
      <c r="A10636" s="3">
        <v>784739.0</v>
      </c>
      <c r="B10636" s="3" t="s">
        <v>10664</v>
      </c>
      <c r="C10636" s="3" t="s">
        <v>8</v>
      </c>
      <c r="D10636" s="3">
        <v>368.0</v>
      </c>
      <c r="E10636" s="3">
        <v>15.62</v>
      </c>
      <c r="F10636" s="3">
        <v>5.77</v>
      </c>
      <c r="G10636" s="3">
        <v>51.88</v>
      </c>
    </row>
    <row r="10637">
      <c r="A10637" s="3">
        <v>784740.0</v>
      </c>
      <c r="B10637" s="3" t="s">
        <v>10665</v>
      </c>
      <c r="C10637" s="3" t="s">
        <v>8</v>
      </c>
      <c r="D10637" s="3">
        <v>360.0</v>
      </c>
      <c r="E10637" s="3">
        <v>22.28</v>
      </c>
      <c r="F10637" s="3">
        <v>9.5</v>
      </c>
      <c r="G10637" s="3">
        <v>30.32</v>
      </c>
    </row>
    <row r="10638">
      <c r="A10638" s="3">
        <v>784741.0</v>
      </c>
      <c r="B10638" s="3" t="s">
        <v>10666</v>
      </c>
      <c r="C10638" s="3" t="s">
        <v>8</v>
      </c>
      <c r="D10638" s="3">
        <v>300.0</v>
      </c>
      <c r="E10638" s="3">
        <v>12.45</v>
      </c>
      <c r="F10638" s="3">
        <v>4.84</v>
      </c>
      <c r="G10638" s="3">
        <v>43.08</v>
      </c>
    </row>
    <row r="10639">
      <c r="A10639" s="3">
        <v>784742.0</v>
      </c>
      <c r="B10639" s="3" t="s">
        <v>10667</v>
      </c>
      <c r="C10639" s="3" t="s">
        <v>8</v>
      </c>
      <c r="D10639" s="3">
        <v>300.0</v>
      </c>
      <c r="E10639" s="3">
        <v>12.66</v>
      </c>
      <c r="F10639" s="3">
        <v>4.92</v>
      </c>
      <c r="G10639" s="3">
        <v>42.51</v>
      </c>
    </row>
    <row r="10640">
      <c r="A10640" s="3">
        <v>784743.0</v>
      </c>
      <c r="B10640" s="3" t="s">
        <v>10668</v>
      </c>
      <c r="C10640" s="3" t="s">
        <v>8</v>
      </c>
      <c r="D10640" s="3">
        <v>307.0</v>
      </c>
      <c r="E10640" s="3">
        <v>12.71</v>
      </c>
      <c r="F10640" s="3">
        <v>4.88</v>
      </c>
      <c r="G10640" s="3">
        <v>44.14</v>
      </c>
    </row>
    <row r="10641">
      <c r="A10641" s="3">
        <v>784744.0</v>
      </c>
      <c r="B10641" s="3" t="s">
        <v>10669</v>
      </c>
      <c r="C10641" s="3" t="s">
        <v>8</v>
      </c>
      <c r="D10641" s="3">
        <v>265.0</v>
      </c>
      <c r="E10641" s="3">
        <v>8.78</v>
      </c>
      <c r="F10641" s="3">
        <v>10.82</v>
      </c>
      <c r="G10641" s="3">
        <v>34.8</v>
      </c>
    </row>
    <row r="10642">
      <c r="A10642" s="3">
        <v>784746.0</v>
      </c>
      <c r="B10642" s="3" t="s">
        <v>10670</v>
      </c>
      <c r="C10642" s="3" t="s">
        <v>8</v>
      </c>
      <c r="D10642" s="3">
        <v>392.0</v>
      </c>
      <c r="E10642" s="3">
        <v>19.24</v>
      </c>
      <c r="F10642" s="3">
        <v>6.49</v>
      </c>
      <c r="G10642" s="3">
        <v>49.72</v>
      </c>
    </row>
    <row r="10643">
      <c r="A10643" s="3">
        <v>784747.0</v>
      </c>
      <c r="B10643" s="3" t="s">
        <v>10671</v>
      </c>
      <c r="C10643" s="3" t="s">
        <v>8</v>
      </c>
      <c r="D10643" s="3">
        <v>300.0</v>
      </c>
      <c r="E10643" s="3">
        <v>12.45</v>
      </c>
      <c r="F10643" s="3">
        <v>4.84</v>
      </c>
      <c r="G10643" s="3">
        <v>43.08</v>
      </c>
    </row>
    <row r="10644">
      <c r="A10644" s="3">
        <v>784748.0</v>
      </c>
      <c r="B10644" s="3" t="s">
        <v>10672</v>
      </c>
      <c r="C10644" s="3" t="s">
        <v>8</v>
      </c>
      <c r="D10644" s="3">
        <v>362.0</v>
      </c>
      <c r="E10644" s="3">
        <v>17.33</v>
      </c>
      <c r="F10644" s="3">
        <v>5.96</v>
      </c>
      <c r="G10644" s="3">
        <v>47.37</v>
      </c>
    </row>
    <row r="10645">
      <c r="A10645" s="3">
        <v>784749.0</v>
      </c>
      <c r="B10645" s="3" t="s">
        <v>10673</v>
      </c>
      <c r="C10645" s="3" t="s">
        <v>8</v>
      </c>
      <c r="D10645" s="3">
        <v>300.0</v>
      </c>
      <c r="E10645" s="3">
        <v>12.66</v>
      </c>
      <c r="F10645" s="3">
        <v>4.92</v>
      </c>
      <c r="G10645" s="3">
        <v>42.51</v>
      </c>
    </row>
    <row r="10646">
      <c r="A10646" s="3">
        <v>784750.0</v>
      </c>
      <c r="B10646" s="3" t="s">
        <v>10674</v>
      </c>
      <c r="C10646" s="3" t="s">
        <v>8</v>
      </c>
      <c r="D10646" s="3">
        <v>297.0</v>
      </c>
      <c r="E10646" s="3">
        <v>8.93</v>
      </c>
      <c r="F10646" s="3">
        <v>6.27</v>
      </c>
      <c r="G10646" s="3">
        <v>49.88</v>
      </c>
    </row>
    <row r="10647">
      <c r="A10647" s="3">
        <v>784751.0</v>
      </c>
      <c r="B10647" s="3" t="s">
        <v>10675</v>
      </c>
      <c r="C10647" s="3" t="s">
        <v>8</v>
      </c>
      <c r="D10647" s="3">
        <v>290.0</v>
      </c>
      <c r="E10647" s="3">
        <v>13.48</v>
      </c>
      <c r="F10647" s="3">
        <v>4.35</v>
      </c>
      <c r="G10647" s="3">
        <v>40.55</v>
      </c>
    </row>
    <row r="10648">
      <c r="A10648" s="3">
        <v>784752.0</v>
      </c>
      <c r="B10648" s="3" t="s">
        <v>10676</v>
      </c>
      <c r="C10648" s="3" t="s">
        <v>8</v>
      </c>
      <c r="D10648" s="3">
        <v>281.0</v>
      </c>
      <c r="E10648" s="3">
        <v>11.14</v>
      </c>
      <c r="F10648" s="3">
        <v>3.9</v>
      </c>
      <c r="G10648" s="3">
        <v>41.44</v>
      </c>
    </row>
    <row r="10649">
      <c r="A10649" s="3">
        <v>784755.0</v>
      </c>
      <c r="B10649" s="3" t="s">
        <v>10677</v>
      </c>
      <c r="C10649" s="3" t="s">
        <v>8</v>
      </c>
      <c r="D10649" s="3">
        <v>333.0</v>
      </c>
      <c r="E10649" s="3">
        <v>6.99</v>
      </c>
      <c r="F10649" s="3">
        <v>4.1</v>
      </c>
      <c r="G10649" s="3">
        <v>65.27</v>
      </c>
    </row>
    <row r="10650">
      <c r="A10650" s="3">
        <v>784756.0</v>
      </c>
      <c r="B10650" s="3" t="s">
        <v>10678</v>
      </c>
      <c r="C10650" s="3" t="s">
        <v>8</v>
      </c>
      <c r="D10650" s="3">
        <v>209.0</v>
      </c>
      <c r="E10650" s="3">
        <v>3.02</v>
      </c>
      <c r="F10650" s="3">
        <v>4.35</v>
      </c>
      <c r="G10650" s="3">
        <v>42.52</v>
      </c>
    </row>
    <row r="10651">
      <c r="A10651" s="3">
        <v>784757.0</v>
      </c>
      <c r="B10651" s="3" t="s">
        <v>10679</v>
      </c>
      <c r="C10651" s="3" t="s">
        <v>8</v>
      </c>
      <c r="D10651" s="3">
        <v>408.0</v>
      </c>
      <c r="E10651" s="3">
        <v>24.24</v>
      </c>
      <c r="F10651" s="3">
        <v>4.93</v>
      </c>
      <c r="G10651" s="3">
        <v>44.82</v>
      </c>
    </row>
    <row r="10652">
      <c r="A10652" s="3">
        <v>784758.0</v>
      </c>
      <c r="B10652" s="3" t="s">
        <v>10680</v>
      </c>
      <c r="C10652" s="3" t="s">
        <v>8</v>
      </c>
      <c r="D10652" s="3">
        <v>424.0</v>
      </c>
      <c r="E10652" s="3">
        <v>25.86</v>
      </c>
      <c r="F10652" s="3">
        <v>3.86</v>
      </c>
      <c r="G10652" s="3">
        <v>46.5</v>
      </c>
    </row>
    <row r="10653">
      <c r="A10653" s="3">
        <v>784759.0</v>
      </c>
      <c r="B10653" s="3" t="s">
        <v>10681</v>
      </c>
      <c r="C10653" s="3" t="s">
        <v>8</v>
      </c>
      <c r="D10653" s="3">
        <v>424.0</v>
      </c>
      <c r="E10653" s="3">
        <v>25.06</v>
      </c>
      <c r="F10653" s="3">
        <v>5.33</v>
      </c>
      <c r="G10653" s="3">
        <v>47.08</v>
      </c>
    </row>
    <row r="10654">
      <c r="A10654" s="3">
        <v>784760.0</v>
      </c>
      <c r="B10654" s="3" t="s">
        <v>10682</v>
      </c>
      <c r="C10654" s="3" t="s">
        <v>8</v>
      </c>
      <c r="D10654" s="3">
        <v>435.0</v>
      </c>
      <c r="E10654" s="3">
        <v>26.42</v>
      </c>
      <c r="F10654" s="3">
        <v>4.1</v>
      </c>
      <c r="G10654" s="3">
        <v>47.98</v>
      </c>
    </row>
    <row r="10655">
      <c r="A10655" s="3">
        <v>784763.0</v>
      </c>
      <c r="B10655" s="3" t="s">
        <v>10683</v>
      </c>
      <c r="C10655" s="3" t="s">
        <v>8</v>
      </c>
      <c r="D10655" s="3">
        <v>413.0</v>
      </c>
      <c r="E10655" s="3">
        <v>25.17</v>
      </c>
      <c r="F10655" s="3">
        <v>5.31</v>
      </c>
      <c r="G10655" s="3">
        <v>43.69</v>
      </c>
    </row>
    <row r="10656">
      <c r="A10656" s="3">
        <v>784764.0</v>
      </c>
      <c r="B10656" s="3" t="s">
        <v>10684</v>
      </c>
      <c r="C10656" s="3" t="s">
        <v>8</v>
      </c>
      <c r="D10656" s="3">
        <v>428.0</v>
      </c>
      <c r="E10656" s="3">
        <v>26.5</v>
      </c>
      <c r="F10656" s="3">
        <v>4.08</v>
      </c>
      <c r="G10656" s="3">
        <v>45.88</v>
      </c>
    </row>
    <row r="10657">
      <c r="A10657" s="3">
        <v>784768.0</v>
      </c>
      <c r="B10657" s="3" t="s">
        <v>10685</v>
      </c>
      <c r="C10657" s="3" t="s">
        <v>8</v>
      </c>
      <c r="D10657" s="3">
        <v>209.0</v>
      </c>
      <c r="E10657" s="3">
        <v>13.92</v>
      </c>
      <c r="F10657" s="3">
        <v>3.63</v>
      </c>
      <c r="G10657" s="3">
        <v>18.62</v>
      </c>
    </row>
    <row r="10658">
      <c r="A10658" s="3">
        <v>784769.0</v>
      </c>
      <c r="B10658" s="3" t="s">
        <v>10686</v>
      </c>
      <c r="C10658" s="3" t="s">
        <v>8</v>
      </c>
      <c r="D10658" s="3">
        <v>374.0</v>
      </c>
      <c r="E10658" s="3">
        <v>25.82</v>
      </c>
      <c r="F10658" s="3">
        <v>5.97</v>
      </c>
      <c r="G10658" s="3">
        <v>32.55</v>
      </c>
    </row>
    <row r="10659">
      <c r="A10659" s="3">
        <v>784771.0</v>
      </c>
      <c r="B10659" s="3" t="s">
        <v>10687</v>
      </c>
      <c r="C10659" s="3" t="s">
        <v>8</v>
      </c>
      <c r="D10659" s="3">
        <v>326.0</v>
      </c>
      <c r="E10659" s="3">
        <v>15.14</v>
      </c>
      <c r="F10659" s="3">
        <v>4.89</v>
      </c>
      <c r="G10659" s="3">
        <v>45.56</v>
      </c>
    </row>
    <row r="10660">
      <c r="A10660" s="3">
        <v>784772.0</v>
      </c>
      <c r="B10660" s="3" t="s">
        <v>10688</v>
      </c>
      <c r="C10660" s="3" t="s">
        <v>8</v>
      </c>
      <c r="D10660" s="3">
        <v>401.0</v>
      </c>
      <c r="E10660" s="3">
        <v>21.92</v>
      </c>
      <c r="F10660" s="3">
        <v>3.85</v>
      </c>
      <c r="G10660" s="3">
        <v>51.49</v>
      </c>
    </row>
    <row r="10661">
      <c r="A10661" s="3">
        <v>784774.0</v>
      </c>
      <c r="B10661" s="3" t="s">
        <v>10689</v>
      </c>
      <c r="C10661" s="3" t="s">
        <v>8</v>
      </c>
      <c r="D10661" s="3">
        <v>370.0</v>
      </c>
      <c r="E10661" s="3">
        <v>18.72</v>
      </c>
      <c r="F10661" s="3">
        <v>4.87</v>
      </c>
      <c r="G10661" s="3">
        <v>45.94</v>
      </c>
    </row>
    <row r="10662">
      <c r="A10662" s="3">
        <v>784779.0</v>
      </c>
      <c r="B10662" s="3" t="s">
        <v>10690</v>
      </c>
      <c r="C10662" s="3" t="s">
        <v>8</v>
      </c>
      <c r="D10662" s="3">
        <v>390.0</v>
      </c>
      <c r="E10662" s="3">
        <v>17.87</v>
      </c>
      <c r="F10662" s="3">
        <v>3.59</v>
      </c>
      <c r="G10662" s="3">
        <v>55.58</v>
      </c>
    </row>
    <row r="10663">
      <c r="A10663" s="3">
        <v>784781.0</v>
      </c>
      <c r="B10663" s="3" t="s">
        <v>10691</v>
      </c>
      <c r="C10663" s="3" t="s">
        <v>8</v>
      </c>
      <c r="D10663" s="3">
        <v>308.0</v>
      </c>
      <c r="E10663" s="3">
        <v>10.15</v>
      </c>
      <c r="F10663" s="3">
        <v>4.02</v>
      </c>
      <c r="G10663" s="3">
        <v>50.68</v>
      </c>
    </row>
    <row r="10664">
      <c r="A10664" s="3">
        <v>784782.0</v>
      </c>
      <c r="B10664" s="3" t="s">
        <v>10692</v>
      </c>
      <c r="C10664" s="3" t="s">
        <v>8</v>
      </c>
      <c r="D10664" s="3">
        <v>313.0</v>
      </c>
      <c r="E10664" s="3">
        <v>16.28</v>
      </c>
      <c r="F10664" s="3">
        <v>3.49</v>
      </c>
      <c r="G10664" s="3">
        <v>40.67</v>
      </c>
    </row>
    <row r="10665">
      <c r="A10665" s="3">
        <v>784783.0</v>
      </c>
      <c r="B10665" s="3" t="s">
        <v>10693</v>
      </c>
      <c r="C10665" s="3" t="s">
        <v>8</v>
      </c>
      <c r="D10665" s="3">
        <v>314.0</v>
      </c>
      <c r="E10665" s="3">
        <v>15.03</v>
      </c>
      <c r="F10665" s="3">
        <v>3.2</v>
      </c>
      <c r="G10665" s="3">
        <v>42.63</v>
      </c>
    </row>
    <row r="10666">
      <c r="A10666" s="3">
        <v>784784.0</v>
      </c>
      <c r="B10666" s="3" t="s">
        <v>10694</v>
      </c>
      <c r="C10666" s="3" t="s">
        <v>8</v>
      </c>
      <c r="D10666" s="3">
        <v>366.0</v>
      </c>
      <c r="E10666" s="3">
        <v>13.92</v>
      </c>
      <c r="F10666" s="3">
        <v>4.02</v>
      </c>
      <c r="G10666" s="3">
        <v>56.3</v>
      </c>
    </row>
    <row r="10667">
      <c r="A10667" s="3">
        <v>784785.0</v>
      </c>
      <c r="B10667" s="3" t="s">
        <v>10695</v>
      </c>
      <c r="C10667" s="3" t="s">
        <v>8</v>
      </c>
      <c r="D10667" s="3">
        <v>344.0</v>
      </c>
      <c r="E10667" s="3">
        <v>16.08</v>
      </c>
      <c r="F10667" s="3">
        <v>4.55</v>
      </c>
      <c r="G10667" s="3">
        <v>45.47</v>
      </c>
    </row>
    <row r="10668">
      <c r="A10668" s="3">
        <v>784786.0</v>
      </c>
      <c r="B10668" s="3" t="s">
        <v>10696</v>
      </c>
      <c r="C10668" s="3" t="s">
        <v>8</v>
      </c>
      <c r="D10668" s="3">
        <v>386.0</v>
      </c>
      <c r="E10668" s="3">
        <v>17.39</v>
      </c>
      <c r="F10668" s="3">
        <v>3.44</v>
      </c>
      <c r="G10668" s="3">
        <v>55.0</v>
      </c>
    </row>
    <row r="10669">
      <c r="A10669" s="3">
        <v>784787.0</v>
      </c>
      <c r="B10669" s="3" t="s">
        <v>10697</v>
      </c>
      <c r="C10669" s="3" t="s">
        <v>8</v>
      </c>
      <c r="D10669" s="3">
        <v>335.0</v>
      </c>
      <c r="E10669" s="3">
        <v>15.62</v>
      </c>
      <c r="F10669" s="3">
        <v>4.72</v>
      </c>
      <c r="G10669" s="3">
        <v>45.51</v>
      </c>
    </row>
    <row r="10670">
      <c r="A10670" s="3">
        <v>784788.0</v>
      </c>
      <c r="B10670" s="3" t="s">
        <v>10698</v>
      </c>
      <c r="C10670" s="3" t="s">
        <v>8</v>
      </c>
      <c r="D10670" s="3">
        <v>390.0</v>
      </c>
      <c r="E10670" s="3">
        <v>18.98</v>
      </c>
      <c r="F10670" s="3">
        <v>3.24</v>
      </c>
      <c r="G10670" s="3">
        <v>54.52</v>
      </c>
    </row>
    <row r="10671">
      <c r="A10671" s="3">
        <v>784789.0</v>
      </c>
      <c r="B10671" s="3" t="s">
        <v>10699</v>
      </c>
      <c r="C10671" s="3" t="s">
        <v>8</v>
      </c>
      <c r="D10671" s="3">
        <v>425.0</v>
      </c>
      <c r="E10671" s="3">
        <v>24.7</v>
      </c>
      <c r="F10671" s="3">
        <v>6.54</v>
      </c>
      <c r="G10671" s="3">
        <v>46.11</v>
      </c>
    </row>
    <row r="10672">
      <c r="A10672" s="3">
        <v>784790.0</v>
      </c>
      <c r="B10672" s="3" t="s">
        <v>10700</v>
      </c>
      <c r="C10672" s="3" t="s">
        <v>8</v>
      </c>
      <c r="D10672" s="3">
        <v>404.0</v>
      </c>
      <c r="E10672" s="3">
        <v>20.18</v>
      </c>
      <c r="F10672" s="3">
        <v>4.16</v>
      </c>
      <c r="G10672" s="3">
        <v>53.77</v>
      </c>
    </row>
    <row r="10673">
      <c r="A10673" s="3">
        <v>784791.0</v>
      </c>
      <c r="B10673" s="3" t="s">
        <v>10701</v>
      </c>
      <c r="C10673" s="3" t="s">
        <v>8</v>
      </c>
      <c r="D10673" s="3">
        <v>370.0</v>
      </c>
      <c r="E10673" s="3">
        <v>12.63</v>
      </c>
      <c r="F10673" s="3">
        <v>3.22</v>
      </c>
      <c r="G10673" s="3">
        <v>63.26</v>
      </c>
    </row>
    <row r="10674">
      <c r="A10674" s="3">
        <v>784792.0</v>
      </c>
      <c r="B10674" s="3" t="s">
        <v>10702</v>
      </c>
      <c r="C10674" s="3" t="s">
        <v>8</v>
      </c>
      <c r="D10674" s="3">
        <v>413.0</v>
      </c>
      <c r="E10674" s="3">
        <v>21.08</v>
      </c>
      <c r="F10674" s="3">
        <v>5.15</v>
      </c>
      <c r="G10674" s="3">
        <v>53.7</v>
      </c>
    </row>
    <row r="10675">
      <c r="A10675" s="3">
        <v>784794.0</v>
      </c>
      <c r="B10675" s="3" t="s">
        <v>10703</v>
      </c>
      <c r="C10675" s="3" t="s">
        <v>8</v>
      </c>
      <c r="D10675" s="3">
        <v>403.0</v>
      </c>
      <c r="E10675" s="3">
        <v>15.82</v>
      </c>
      <c r="F10675" s="3">
        <v>3.59</v>
      </c>
      <c r="G10675" s="3">
        <v>62.78</v>
      </c>
    </row>
    <row r="10676">
      <c r="A10676" s="3">
        <v>784795.0</v>
      </c>
      <c r="B10676" s="3" t="s">
        <v>10704</v>
      </c>
      <c r="C10676" s="3" t="s">
        <v>8</v>
      </c>
      <c r="D10676" s="3">
        <v>414.0</v>
      </c>
      <c r="E10676" s="3">
        <v>18.29</v>
      </c>
      <c r="F10676" s="3">
        <v>5.42</v>
      </c>
      <c r="G10676" s="3">
        <v>61.38</v>
      </c>
    </row>
    <row r="10677">
      <c r="A10677" s="3">
        <v>784796.0</v>
      </c>
      <c r="B10677" s="3" t="s">
        <v>10705</v>
      </c>
      <c r="C10677" s="3" t="s">
        <v>8</v>
      </c>
      <c r="D10677" s="3">
        <v>465.0</v>
      </c>
      <c r="E10677" s="3">
        <v>29.01</v>
      </c>
      <c r="F10677" s="3">
        <v>6.96</v>
      </c>
      <c r="G10677" s="3">
        <v>45.26</v>
      </c>
    </row>
    <row r="10678">
      <c r="A10678" s="3">
        <v>784798.0</v>
      </c>
      <c r="B10678" s="3" t="s">
        <v>10706</v>
      </c>
      <c r="C10678" s="3" t="s">
        <v>8</v>
      </c>
      <c r="D10678" s="3">
        <v>387.0</v>
      </c>
      <c r="E10678" s="3">
        <v>23.57</v>
      </c>
      <c r="F10678" s="3">
        <v>5.09</v>
      </c>
      <c r="G10678" s="3">
        <v>41.07</v>
      </c>
    </row>
    <row r="10679">
      <c r="A10679" s="3">
        <v>784799.0</v>
      </c>
      <c r="B10679" s="3" t="s">
        <v>10707</v>
      </c>
      <c r="C10679" s="3" t="s">
        <v>8</v>
      </c>
      <c r="D10679" s="3">
        <v>411.0</v>
      </c>
      <c r="E10679" s="3">
        <v>25.38</v>
      </c>
      <c r="F10679" s="3">
        <v>3.98</v>
      </c>
      <c r="G10679" s="3">
        <v>44.05</v>
      </c>
    </row>
    <row r="10680">
      <c r="A10680" s="3">
        <v>784800.0</v>
      </c>
      <c r="B10680" s="3" t="s">
        <v>10708</v>
      </c>
      <c r="C10680" s="3" t="s">
        <v>8</v>
      </c>
      <c r="D10680" s="3">
        <v>411.0</v>
      </c>
      <c r="E10680" s="3">
        <v>21.15</v>
      </c>
      <c r="F10680" s="3">
        <v>6.08</v>
      </c>
      <c r="G10680" s="3">
        <v>52.25</v>
      </c>
    </row>
    <row r="10681">
      <c r="A10681" s="3">
        <v>784801.0</v>
      </c>
      <c r="B10681" s="3" t="s">
        <v>10709</v>
      </c>
      <c r="C10681" s="3" t="s">
        <v>8</v>
      </c>
      <c r="D10681" s="3">
        <v>274.0</v>
      </c>
      <c r="E10681" s="3">
        <v>7.46</v>
      </c>
      <c r="F10681" s="3">
        <v>3.82</v>
      </c>
      <c r="G10681" s="3">
        <v>48.98</v>
      </c>
    </row>
    <row r="10682">
      <c r="A10682" s="3">
        <v>784802.0</v>
      </c>
      <c r="B10682" s="3" t="s">
        <v>10710</v>
      </c>
      <c r="C10682" s="3" t="s">
        <v>8</v>
      </c>
      <c r="D10682" s="3">
        <v>262.0</v>
      </c>
      <c r="E10682" s="3">
        <v>8.02</v>
      </c>
      <c r="F10682" s="3">
        <v>4.51</v>
      </c>
      <c r="G10682" s="3">
        <v>44.15</v>
      </c>
    </row>
    <row r="10683">
      <c r="A10683" s="3">
        <v>784804.0</v>
      </c>
      <c r="B10683" s="3" t="s">
        <v>10711</v>
      </c>
      <c r="C10683" s="3" t="s">
        <v>8</v>
      </c>
      <c r="D10683" s="3">
        <v>408.0</v>
      </c>
      <c r="E10683" s="3">
        <v>24.24</v>
      </c>
      <c r="F10683" s="3">
        <v>4.93</v>
      </c>
      <c r="G10683" s="3">
        <v>44.82</v>
      </c>
    </row>
    <row r="10684">
      <c r="A10684" s="3">
        <v>784805.0</v>
      </c>
      <c r="B10684" s="3" t="s">
        <v>10712</v>
      </c>
      <c r="C10684" s="3" t="s">
        <v>8</v>
      </c>
      <c r="D10684" s="3">
        <v>424.0</v>
      </c>
      <c r="E10684" s="3">
        <v>25.86</v>
      </c>
      <c r="F10684" s="3">
        <v>3.86</v>
      </c>
      <c r="G10684" s="3">
        <v>46.5</v>
      </c>
    </row>
    <row r="10685">
      <c r="A10685" s="3">
        <v>784807.0</v>
      </c>
      <c r="B10685" s="3" t="s">
        <v>10713</v>
      </c>
      <c r="C10685" s="3" t="s">
        <v>8</v>
      </c>
      <c r="D10685" s="3">
        <v>362.0</v>
      </c>
      <c r="E10685" s="3">
        <v>8.21</v>
      </c>
      <c r="F10685" s="3">
        <v>3.69</v>
      </c>
      <c r="G10685" s="3">
        <v>68.29</v>
      </c>
    </row>
    <row r="10686">
      <c r="A10686" s="3">
        <v>784808.0</v>
      </c>
      <c r="B10686" s="3" t="s">
        <v>10714</v>
      </c>
      <c r="C10686" s="3" t="s">
        <v>8</v>
      </c>
      <c r="D10686" s="3">
        <v>354.0</v>
      </c>
      <c r="E10686" s="3">
        <v>8.75</v>
      </c>
      <c r="F10686" s="3">
        <v>4.12</v>
      </c>
      <c r="G10686" s="3">
        <v>66.45</v>
      </c>
    </row>
    <row r="10687">
      <c r="A10687" s="3">
        <v>784810.0</v>
      </c>
      <c r="B10687" s="3" t="s">
        <v>10715</v>
      </c>
      <c r="C10687" s="3" t="s">
        <v>8</v>
      </c>
      <c r="D10687" s="3">
        <v>283.0</v>
      </c>
      <c r="E10687" s="3">
        <v>13.57</v>
      </c>
      <c r="F10687" s="3">
        <v>3.68</v>
      </c>
      <c r="G10687" s="3">
        <v>37.14</v>
      </c>
    </row>
    <row r="10688">
      <c r="A10688" s="3">
        <v>784811.0</v>
      </c>
      <c r="B10688" s="3" t="s">
        <v>10716</v>
      </c>
      <c r="C10688" s="3" t="s">
        <v>8</v>
      </c>
      <c r="D10688" s="3">
        <v>267.0</v>
      </c>
      <c r="E10688" s="3">
        <v>8.67</v>
      </c>
      <c r="F10688" s="3">
        <v>6.35</v>
      </c>
      <c r="G10688" s="3">
        <v>41.92</v>
      </c>
    </row>
    <row r="10689">
      <c r="A10689" s="3">
        <v>784812.0</v>
      </c>
      <c r="B10689" s="3" t="s">
        <v>10717</v>
      </c>
      <c r="C10689" s="3" t="s">
        <v>8</v>
      </c>
      <c r="D10689" s="3">
        <v>331.0</v>
      </c>
      <c r="E10689" s="3">
        <v>16.45</v>
      </c>
      <c r="F10689" s="3">
        <v>3.5</v>
      </c>
      <c r="G10689" s="3">
        <v>44.18</v>
      </c>
    </row>
    <row r="10690">
      <c r="A10690" s="3">
        <v>784814.0</v>
      </c>
      <c r="B10690" s="3" t="s">
        <v>10718</v>
      </c>
      <c r="C10690" s="3" t="s">
        <v>8</v>
      </c>
      <c r="D10690" s="3">
        <v>329.0</v>
      </c>
      <c r="E10690" s="3">
        <v>12.97</v>
      </c>
      <c r="F10690" s="3">
        <v>3.8</v>
      </c>
      <c r="G10690" s="3">
        <v>49.64</v>
      </c>
    </row>
    <row r="10691">
      <c r="A10691" s="3">
        <v>784816.0</v>
      </c>
      <c r="B10691" s="3" t="s">
        <v>10719</v>
      </c>
      <c r="C10691" s="3" t="s">
        <v>8</v>
      </c>
      <c r="D10691" s="3">
        <v>344.0</v>
      </c>
      <c r="E10691" s="3">
        <v>16.08</v>
      </c>
      <c r="F10691" s="3">
        <v>4.55</v>
      </c>
      <c r="G10691" s="3">
        <v>45.47</v>
      </c>
    </row>
    <row r="10692">
      <c r="A10692" s="3">
        <v>784817.0</v>
      </c>
      <c r="B10692" s="3" t="s">
        <v>10720</v>
      </c>
      <c r="C10692" s="3" t="s">
        <v>8</v>
      </c>
      <c r="D10692" s="3">
        <v>219.0</v>
      </c>
      <c r="E10692" s="3">
        <v>10.43</v>
      </c>
      <c r="F10692" s="3">
        <v>4.02</v>
      </c>
      <c r="G10692" s="3">
        <v>27.84</v>
      </c>
    </row>
    <row r="10693">
      <c r="A10693" s="3">
        <v>784818.0</v>
      </c>
      <c r="B10693" s="3" t="s">
        <v>10721</v>
      </c>
      <c r="C10693" s="3" t="s">
        <v>8</v>
      </c>
      <c r="D10693" s="3">
        <v>217.0</v>
      </c>
      <c r="E10693" s="3">
        <v>8.73</v>
      </c>
      <c r="F10693" s="3">
        <v>4.24</v>
      </c>
      <c r="G10693" s="3">
        <v>30.95</v>
      </c>
    </row>
    <row r="10694">
      <c r="A10694" s="3">
        <v>784819.0</v>
      </c>
      <c r="B10694" s="3" t="s">
        <v>10722</v>
      </c>
      <c r="C10694" s="3" t="s">
        <v>8</v>
      </c>
      <c r="D10694" s="3">
        <v>242.0</v>
      </c>
      <c r="E10694" s="3">
        <v>4.24</v>
      </c>
      <c r="F10694" s="3">
        <v>4.21</v>
      </c>
      <c r="G10694" s="3">
        <v>47.32</v>
      </c>
    </row>
    <row r="10695">
      <c r="A10695" s="3">
        <v>784820.0</v>
      </c>
      <c r="B10695" s="3" t="s">
        <v>10723</v>
      </c>
      <c r="C10695" s="3" t="s">
        <v>8</v>
      </c>
      <c r="D10695" s="3">
        <v>247.0</v>
      </c>
      <c r="E10695" s="3">
        <v>2.21</v>
      </c>
      <c r="F10695" s="3">
        <v>4.44</v>
      </c>
      <c r="G10695" s="3">
        <v>52.65</v>
      </c>
    </row>
    <row r="10696">
      <c r="A10696" s="3">
        <v>784821.0</v>
      </c>
      <c r="B10696" s="3" t="s">
        <v>10724</v>
      </c>
      <c r="C10696" s="3" t="s">
        <v>8</v>
      </c>
      <c r="D10696" s="3">
        <v>217.0</v>
      </c>
      <c r="E10696" s="3">
        <v>4.74</v>
      </c>
      <c r="F10696" s="3">
        <v>3.62</v>
      </c>
      <c r="G10696" s="3">
        <v>40.51</v>
      </c>
    </row>
    <row r="10697">
      <c r="A10697" s="3">
        <v>784822.0</v>
      </c>
      <c r="B10697" s="3" t="s">
        <v>10725</v>
      </c>
      <c r="C10697" s="3" t="s">
        <v>8</v>
      </c>
      <c r="D10697" s="3">
        <v>437.0</v>
      </c>
      <c r="E10697" s="3">
        <v>27.26</v>
      </c>
      <c r="F10697" s="3">
        <v>4.25</v>
      </c>
      <c r="G10697" s="3">
        <v>46.16</v>
      </c>
    </row>
    <row r="10698">
      <c r="A10698" s="3">
        <v>784823.0</v>
      </c>
      <c r="B10698" s="3" t="s">
        <v>10726</v>
      </c>
      <c r="C10698" s="3" t="s">
        <v>8</v>
      </c>
      <c r="D10698" s="3">
        <v>431.0</v>
      </c>
      <c r="E10698" s="3">
        <v>22.18</v>
      </c>
      <c r="F10698" s="3">
        <v>4.8</v>
      </c>
      <c r="G10698" s="3">
        <v>54.19</v>
      </c>
    </row>
    <row r="10699">
      <c r="A10699" s="3">
        <v>784827.0</v>
      </c>
      <c r="B10699" s="3" t="s">
        <v>10727</v>
      </c>
      <c r="C10699" s="3" t="s">
        <v>8</v>
      </c>
      <c r="D10699" s="3">
        <v>366.0</v>
      </c>
      <c r="E10699" s="3">
        <v>7.84</v>
      </c>
      <c r="F10699" s="3">
        <v>7.39</v>
      </c>
      <c r="G10699" s="3">
        <v>66.57</v>
      </c>
    </row>
    <row r="10700">
      <c r="A10700" s="3">
        <v>784830.0</v>
      </c>
      <c r="B10700" s="3" t="s">
        <v>10728</v>
      </c>
      <c r="C10700" s="3" t="s">
        <v>8</v>
      </c>
      <c r="D10700" s="3">
        <v>401.0</v>
      </c>
      <c r="E10700" s="3">
        <v>16.95</v>
      </c>
      <c r="F10700" s="3">
        <v>2.94</v>
      </c>
      <c r="G10700" s="3">
        <v>63.55</v>
      </c>
    </row>
    <row r="10701">
      <c r="A10701" s="3">
        <v>784836.0</v>
      </c>
      <c r="B10701" s="3" t="s">
        <v>10729</v>
      </c>
      <c r="C10701" s="3" t="s">
        <v>8</v>
      </c>
      <c r="D10701" s="3">
        <v>490.0</v>
      </c>
      <c r="E10701" s="3">
        <v>28.18</v>
      </c>
      <c r="F10701" s="3">
        <v>5.8</v>
      </c>
      <c r="G10701" s="3">
        <v>59.31</v>
      </c>
    </row>
    <row r="10702">
      <c r="A10702" s="3">
        <v>784853.0</v>
      </c>
      <c r="B10702" s="3" t="s">
        <v>10730</v>
      </c>
      <c r="C10702" s="3" t="s">
        <v>8</v>
      </c>
      <c r="D10702" s="3">
        <v>465.0</v>
      </c>
      <c r="E10702" s="3">
        <v>18.57</v>
      </c>
      <c r="F10702" s="3">
        <v>6.36</v>
      </c>
      <c r="G10702" s="3">
        <v>68.97</v>
      </c>
    </row>
    <row r="10703">
      <c r="A10703" s="3">
        <v>784865.0</v>
      </c>
      <c r="B10703" s="3" t="s">
        <v>10731</v>
      </c>
      <c r="C10703" s="3" t="s">
        <v>8</v>
      </c>
      <c r="D10703" s="3">
        <v>432.0</v>
      </c>
      <c r="E10703" s="3">
        <v>18.62</v>
      </c>
      <c r="F10703" s="3">
        <v>5.01</v>
      </c>
      <c r="G10703" s="3">
        <v>62.49</v>
      </c>
    </row>
    <row r="10704">
      <c r="A10704" s="3">
        <v>784868.0</v>
      </c>
      <c r="B10704" s="3" t="s">
        <v>10732</v>
      </c>
      <c r="C10704" s="3" t="s">
        <v>8</v>
      </c>
      <c r="D10704" s="3">
        <v>414.0</v>
      </c>
      <c r="E10704" s="3">
        <v>9.0</v>
      </c>
      <c r="F10704" s="3">
        <v>3.4</v>
      </c>
      <c r="G10704" s="3">
        <v>80.5</v>
      </c>
    </row>
    <row r="10705">
      <c r="A10705" s="3">
        <v>784870.0</v>
      </c>
      <c r="B10705" s="3" t="s">
        <v>10733</v>
      </c>
      <c r="C10705" s="3" t="s">
        <v>8</v>
      </c>
      <c r="D10705" s="3">
        <v>414.0</v>
      </c>
      <c r="E10705" s="3">
        <v>9.0</v>
      </c>
      <c r="F10705" s="3">
        <v>3.4</v>
      </c>
      <c r="G10705" s="3">
        <v>80.5</v>
      </c>
    </row>
    <row r="10706">
      <c r="A10706" s="3">
        <v>784871.0</v>
      </c>
      <c r="B10706" s="3" t="s">
        <v>10734</v>
      </c>
      <c r="C10706" s="3" t="s">
        <v>8</v>
      </c>
      <c r="D10706" s="3">
        <v>339.0</v>
      </c>
      <c r="E10706" s="3">
        <v>0.09</v>
      </c>
      <c r="F10706" s="3">
        <v>5.75</v>
      </c>
      <c r="G10706" s="3">
        <v>80.75</v>
      </c>
    </row>
    <row r="10707">
      <c r="A10707" s="3">
        <v>784879.0</v>
      </c>
      <c r="B10707" s="3" t="s">
        <v>10735</v>
      </c>
      <c r="C10707" s="3" t="s">
        <v>8</v>
      </c>
      <c r="D10707" s="3">
        <v>457.0</v>
      </c>
      <c r="E10707" s="3">
        <v>20.92</v>
      </c>
      <c r="F10707" s="3">
        <v>5.72</v>
      </c>
      <c r="G10707" s="3">
        <v>67.56</v>
      </c>
    </row>
    <row r="10708">
      <c r="A10708" s="3">
        <v>784883.0</v>
      </c>
      <c r="B10708" s="3" t="s">
        <v>10736</v>
      </c>
      <c r="C10708" s="3" t="s">
        <v>8</v>
      </c>
      <c r="D10708" s="3">
        <v>475.0</v>
      </c>
      <c r="E10708" s="3">
        <v>25.29</v>
      </c>
      <c r="F10708" s="3">
        <v>7.8</v>
      </c>
      <c r="G10708" s="3">
        <v>59.51</v>
      </c>
    </row>
    <row r="10709">
      <c r="A10709" s="3">
        <v>784884.0</v>
      </c>
      <c r="B10709" s="3" t="s">
        <v>10737</v>
      </c>
      <c r="C10709" s="3" t="s">
        <v>8</v>
      </c>
      <c r="D10709" s="3">
        <v>414.0</v>
      </c>
      <c r="E10709" s="3">
        <v>9.0</v>
      </c>
      <c r="F10709" s="3">
        <v>3.4</v>
      </c>
      <c r="G10709" s="3">
        <v>80.5</v>
      </c>
    </row>
    <row r="10710">
      <c r="A10710" s="3">
        <v>784896.0</v>
      </c>
      <c r="B10710" s="3" t="s">
        <v>10738</v>
      </c>
      <c r="C10710" s="3" t="s">
        <v>8</v>
      </c>
      <c r="D10710" s="3">
        <v>515.0</v>
      </c>
      <c r="E10710" s="3">
        <v>28.31</v>
      </c>
      <c r="F10710" s="3">
        <v>5.05</v>
      </c>
      <c r="G10710" s="3">
        <v>62.6</v>
      </c>
    </row>
    <row r="10711">
      <c r="A10711" s="3">
        <v>784902.0</v>
      </c>
      <c r="B10711" s="3" t="s">
        <v>10739</v>
      </c>
      <c r="C10711" s="3" t="s">
        <v>8</v>
      </c>
      <c r="D10711" s="3">
        <v>466.0</v>
      </c>
      <c r="E10711" s="3">
        <v>20.96</v>
      </c>
      <c r="F10711" s="3">
        <v>6.59</v>
      </c>
      <c r="G10711" s="3">
        <v>65.08</v>
      </c>
    </row>
    <row r="10712">
      <c r="A10712" s="3">
        <v>784909.0</v>
      </c>
      <c r="B10712" s="3" t="s">
        <v>10740</v>
      </c>
      <c r="C10712" s="3" t="s">
        <v>8</v>
      </c>
      <c r="D10712" s="3">
        <v>430.0</v>
      </c>
      <c r="E10712" s="3">
        <v>14.62</v>
      </c>
      <c r="F10712" s="3">
        <v>3.37</v>
      </c>
      <c r="G10712" s="3">
        <v>72.59</v>
      </c>
    </row>
    <row r="10713">
      <c r="A10713" s="3">
        <v>784922.0</v>
      </c>
      <c r="B10713" s="3" t="s">
        <v>10741</v>
      </c>
      <c r="C10713" s="3" t="s">
        <v>8</v>
      </c>
      <c r="D10713" s="3">
        <v>508.0</v>
      </c>
      <c r="E10713" s="3">
        <v>24.0</v>
      </c>
      <c r="F10713" s="3">
        <v>5.91</v>
      </c>
      <c r="G10713" s="3">
        <v>66.49</v>
      </c>
    </row>
    <row r="10714">
      <c r="A10714" s="3">
        <v>784929.0</v>
      </c>
      <c r="B10714" s="3" t="s">
        <v>10742</v>
      </c>
      <c r="C10714" s="3" t="s">
        <v>8</v>
      </c>
      <c r="D10714" s="3">
        <v>242.0</v>
      </c>
      <c r="E10714" s="3">
        <v>9.27</v>
      </c>
      <c r="F10714" s="3">
        <v>1.8</v>
      </c>
      <c r="G10714" s="3">
        <v>39.01</v>
      </c>
    </row>
    <row r="10715">
      <c r="A10715" s="3">
        <v>784930.0</v>
      </c>
      <c r="B10715" s="3" t="s">
        <v>10743</v>
      </c>
      <c r="C10715" s="3" t="s">
        <v>8</v>
      </c>
      <c r="D10715" s="3">
        <v>227.0</v>
      </c>
      <c r="E10715" s="3">
        <v>5.33</v>
      </c>
      <c r="F10715" s="3">
        <v>2.13</v>
      </c>
      <c r="G10715" s="3">
        <v>44.71</v>
      </c>
    </row>
    <row r="10716">
      <c r="A10716" s="3">
        <v>784931.0</v>
      </c>
      <c r="B10716" s="3" t="s">
        <v>10744</v>
      </c>
      <c r="C10716" s="3" t="s">
        <v>8</v>
      </c>
      <c r="D10716" s="3">
        <v>278.0</v>
      </c>
      <c r="E10716" s="3">
        <v>12.53</v>
      </c>
      <c r="F10716" s="3">
        <v>3.16</v>
      </c>
      <c r="G10716" s="3">
        <v>39.13</v>
      </c>
    </row>
    <row r="10717">
      <c r="A10717" s="3">
        <v>784934.0</v>
      </c>
      <c r="B10717" s="3" t="s">
        <v>10745</v>
      </c>
      <c r="C10717" s="3" t="s">
        <v>8</v>
      </c>
      <c r="D10717" s="3">
        <v>262.0</v>
      </c>
      <c r="E10717" s="3">
        <v>12.53</v>
      </c>
      <c r="F10717" s="3">
        <v>2.83</v>
      </c>
      <c r="G10717" s="3">
        <v>35.72</v>
      </c>
    </row>
    <row r="10718">
      <c r="A10718" s="3">
        <v>784935.0</v>
      </c>
      <c r="B10718" s="3" t="s">
        <v>10746</v>
      </c>
      <c r="C10718" s="3" t="s">
        <v>8</v>
      </c>
      <c r="D10718" s="3">
        <v>284.0</v>
      </c>
      <c r="E10718" s="3">
        <v>14.19</v>
      </c>
      <c r="F10718" s="3">
        <v>3.13</v>
      </c>
      <c r="G10718" s="3">
        <v>36.93</v>
      </c>
    </row>
    <row r="10719">
      <c r="A10719" s="3">
        <v>784936.0</v>
      </c>
      <c r="B10719" s="3" t="s">
        <v>10747</v>
      </c>
      <c r="C10719" s="3" t="s">
        <v>8</v>
      </c>
      <c r="D10719" s="3">
        <v>289.0</v>
      </c>
      <c r="E10719" s="3">
        <v>13.78</v>
      </c>
      <c r="F10719" s="3">
        <v>2.6</v>
      </c>
      <c r="G10719" s="3">
        <v>39.62</v>
      </c>
    </row>
    <row r="10720">
      <c r="A10720" s="3">
        <v>784937.0</v>
      </c>
      <c r="B10720" s="3" t="s">
        <v>10748</v>
      </c>
      <c r="C10720" s="3" t="s">
        <v>8</v>
      </c>
      <c r="D10720" s="3">
        <v>249.0</v>
      </c>
      <c r="E10720" s="3">
        <v>10.31</v>
      </c>
      <c r="F10720" s="3">
        <v>1.76</v>
      </c>
      <c r="G10720" s="3">
        <v>38.73</v>
      </c>
    </row>
    <row r="10721">
      <c r="A10721" s="3">
        <v>784938.0</v>
      </c>
      <c r="B10721" s="3" t="s">
        <v>10749</v>
      </c>
      <c r="C10721" s="3" t="s">
        <v>8</v>
      </c>
      <c r="D10721" s="3">
        <v>310.0</v>
      </c>
      <c r="E10721" s="3">
        <v>15.52</v>
      </c>
      <c r="F10721" s="3">
        <v>2.96</v>
      </c>
      <c r="G10721" s="3">
        <v>40.66</v>
      </c>
    </row>
    <row r="10722">
      <c r="A10722" s="3">
        <v>784940.0</v>
      </c>
      <c r="B10722" s="3" t="s">
        <v>10750</v>
      </c>
      <c r="C10722" s="3" t="s">
        <v>8</v>
      </c>
      <c r="D10722" s="3">
        <v>213.0</v>
      </c>
      <c r="E10722" s="3">
        <v>8.72</v>
      </c>
      <c r="F10722" s="3">
        <v>2.22</v>
      </c>
      <c r="G10722" s="3">
        <v>32.59</v>
      </c>
    </row>
    <row r="10723">
      <c r="A10723" s="3">
        <v>784941.0</v>
      </c>
      <c r="B10723" s="3" t="s">
        <v>10751</v>
      </c>
      <c r="C10723" s="3" t="s">
        <v>8</v>
      </c>
      <c r="D10723" s="3">
        <v>287.0</v>
      </c>
      <c r="E10723" s="3">
        <v>13.96</v>
      </c>
      <c r="F10723" s="3">
        <v>2.82</v>
      </c>
      <c r="G10723" s="3">
        <v>38.84</v>
      </c>
    </row>
    <row r="10724">
      <c r="A10724" s="3">
        <v>784943.0</v>
      </c>
      <c r="B10724" s="3" t="s">
        <v>10752</v>
      </c>
      <c r="C10724" s="3" t="s">
        <v>8</v>
      </c>
      <c r="D10724" s="3">
        <v>228.0</v>
      </c>
      <c r="E10724" s="3">
        <v>8.56</v>
      </c>
      <c r="F10724" s="3">
        <v>2.08</v>
      </c>
      <c r="G10724" s="3">
        <v>36.73</v>
      </c>
    </row>
    <row r="10725">
      <c r="A10725" s="3">
        <v>784946.0</v>
      </c>
      <c r="B10725" s="3" t="s">
        <v>10753</v>
      </c>
      <c r="C10725" s="3" t="s">
        <v>8</v>
      </c>
      <c r="D10725" s="3">
        <v>384.0</v>
      </c>
      <c r="E10725" s="3">
        <v>15.52</v>
      </c>
      <c r="F10725" s="3">
        <v>5.06</v>
      </c>
      <c r="G10725" s="3">
        <v>57.19</v>
      </c>
    </row>
    <row r="10726">
      <c r="A10726" s="3">
        <v>784947.0</v>
      </c>
      <c r="B10726" s="3" t="s">
        <v>10754</v>
      </c>
      <c r="C10726" s="3" t="s">
        <v>8</v>
      </c>
      <c r="D10726" s="3">
        <v>395.0</v>
      </c>
      <c r="E10726" s="3">
        <v>16.76</v>
      </c>
      <c r="F10726" s="3">
        <v>5.25</v>
      </c>
      <c r="G10726" s="3">
        <v>56.8</v>
      </c>
    </row>
    <row r="10727">
      <c r="A10727" s="3">
        <v>784950.0</v>
      </c>
      <c r="B10727" s="3" t="s">
        <v>10755</v>
      </c>
      <c r="C10727" s="3" t="s">
        <v>8</v>
      </c>
      <c r="D10727" s="3">
        <v>306.0</v>
      </c>
      <c r="E10727" s="3">
        <v>14.44</v>
      </c>
      <c r="F10727" s="3">
        <v>3.33</v>
      </c>
      <c r="G10727" s="3">
        <v>42.01</v>
      </c>
    </row>
    <row r="10728">
      <c r="A10728" s="3">
        <v>784952.0</v>
      </c>
      <c r="B10728" s="3" t="s">
        <v>10756</v>
      </c>
      <c r="C10728" s="3" t="s">
        <v>8</v>
      </c>
      <c r="D10728" s="3">
        <v>232.0</v>
      </c>
      <c r="E10728" s="3">
        <v>8.27</v>
      </c>
      <c r="F10728" s="3">
        <v>2.22</v>
      </c>
      <c r="G10728" s="3">
        <v>38.49</v>
      </c>
    </row>
    <row r="10729">
      <c r="A10729" s="3">
        <v>784953.0</v>
      </c>
      <c r="B10729" s="3" t="s">
        <v>10757</v>
      </c>
      <c r="C10729" s="3" t="s">
        <v>8</v>
      </c>
      <c r="D10729" s="3">
        <v>293.0</v>
      </c>
      <c r="E10729" s="3">
        <v>14.2</v>
      </c>
      <c r="F10729" s="3">
        <v>3.21</v>
      </c>
      <c r="G10729" s="3">
        <v>39.07</v>
      </c>
    </row>
    <row r="10730">
      <c r="A10730" s="3">
        <v>784955.0</v>
      </c>
      <c r="B10730" s="3" t="s">
        <v>10758</v>
      </c>
      <c r="C10730" s="3" t="s">
        <v>8</v>
      </c>
      <c r="D10730" s="3">
        <v>267.0</v>
      </c>
      <c r="E10730" s="3">
        <v>12.12</v>
      </c>
      <c r="F10730" s="3">
        <v>2.47</v>
      </c>
      <c r="G10730" s="3">
        <v>37.99</v>
      </c>
    </row>
    <row r="10731">
      <c r="A10731" s="3">
        <v>784956.0</v>
      </c>
      <c r="B10731" s="3" t="s">
        <v>10759</v>
      </c>
      <c r="C10731" s="3" t="s">
        <v>8</v>
      </c>
      <c r="D10731" s="3">
        <v>290.0</v>
      </c>
      <c r="E10731" s="3">
        <v>14.08</v>
      </c>
      <c r="F10731" s="3">
        <v>2.82</v>
      </c>
      <c r="G10731" s="3">
        <v>39.06</v>
      </c>
    </row>
    <row r="10732">
      <c r="A10732" s="3">
        <v>784957.0</v>
      </c>
      <c r="B10732" s="3" t="s">
        <v>10760</v>
      </c>
      <c r="C10732" s="3" t="s">
        <v>8</v>
      </c>
      <c r="D10732" s="3">
        <v>263.0</v>
      </c>
      <c r="E10732" s="3">
        <v>12.07</v>
      </c>
      <c r="F10732" s="3">
        <v>2.53</v>
      </c>
      <c r="G10732" s="3">
        <v>36.9</v>
      </c>
    </row>
    <row r="10733">
      <c r="A10733" s="3">
        <v>784959.0</v>
      </c>
      <c r="B10733" s="3" t="s">
        <v>10761</v>
      </c>
      <c r="C10733" s="3" t="s">
        <v>8</v>
      </c>
      <c r="D10733" s="3">
        <v>292.0</v>
      </c>
      <c r="E10733" s="3">
        <v>13.61</v>
      </c>
      <c r="F10733" s="3">
        <v>2.78</v>
      </c>
      <c r="G10733" s="3">
        <v>40.73</v>
      </c>
    </row>
    <row r="10734">
      <c r="A10734" s="3">
        <v>784960.0</v>
      </c>
      <c r="B10734" s="3" t="s">
        <v>10762</v>
      </c>
      <c r="C10734" s="3" t="s">
        <v>8</v>
      </c>
      <c r="D10734" s="3">
        <v>301.0</v>
      </c>
      <c r="E10734" s="3">
        <v>9.64</v>
      </c>
      <c r="F10734" s="3">
        <v>3.75</v>
      </c>
      <c r="G10734" s="3">
        <v>51.25</v>
      </c>
    </row>
    <row r="10735">
      <c r="A10735" s="3">
        <v>784961.0</v>
      </c>
      <c r="B10735" s="3" t="s">
        <v>10763</v>
      </c>
      <c r="C10735" s="3" t="s">
        <v>8</v>
      </c>
      <c r="D10735" s="3">
        <v>251.0</v>
      </c>
      <c r="E10735" s="3">
        <v>10.96</v>
      </c>
      <c r="F10735" s="3">
        <v>2.62</v>
      </c>
      <c r="G10735" s="3">
        <v>36.93</v>
      </c>
    </row>
    <row r="10736">
      <c r="A10736" s="3">
        <v>784962.0</v>
      </c>
      <c r="B10736" s="3" t="s">
        <v>10764</v>
      </c>
      <c r="C10736" s="3" t="s">
        <v>8</v>
      </c>
      <c r="D10736" s="3">
        <v>290.0</v>
      </c>
      <c r="E10736" s="3">
        <v>13.54</v>
      </c>
      <c r="F10736" s="3">
        <v>3.13</v>
      </c>
      <c r="G10736" s="3">
        <v>40.46</v>
      </c>
    </row>
    <row r="10737">
      <c r="A10737" s="3">
        <v>784963.0</v>
      </c>
      <c r="B10737" s="3" t="s">
        <v>10765</v>
      </c>
      <c r="C10737" s="3" t="s">
        <v>8</v>
      </c>
      <c r="D10737" s="3">
        <v>240.0</v>
      </c>
      <c r="E10737" s="3">
        <v>9.62</v>
      </c>
      <c r="F10737" s="3">
        <v>2.13</v>
      </c>
      <c r="G10737" s="3">
        <v>37.87</v>
      </c>
    </row>
    <row r="10738">
      <c r="A10738" s="3">
        <v>784964.0</v>
      </c>
      <c r="B10738" s="3" t="s">
        <v>10766</v>
      </c>
      <c r="C10738" s="3" t="s">
        <v>8</v>
      </c>
      <c r="D10738" s="3">
        <v>281.0</v>
      </c>
      <c r="E10738" s="3">
        <v>13.42</v>
      </c>
      <c r="F10738" s="3">
        <v>2.84</v>
      </c>
      <c r="G10738" s="3">
        <v>38.48</v>
      </c>
    </row>
    <row r="10739">
      <c r="A10739" s="3">
        <v>784965.0</v>
      </c>
      <c r="B10739" s="3" t="s">
        <v>10767</v>
      </c>
      <c r="C10739" s="3" t="s">
        <v>8</v>
      </c>
      <c r="D10739" s="3">
        <v>296.0</v>
      </c>
      <c r="E10739" s="3">
        <v>15.34</v>
      </c>
      <c r="F10739" s="3">
        <v>3.25</v>
      </c>
      <c r="G10739" s="3">
        <v>36.8</v>
      </c>
    </row>
    <row r="10740">
      <c r="A10740" s="3">
        <v>784966.0</v>
      </c>
      <c r="B10740" s="3" t="s">
        <v>10768</v>
      </c>
      <c r="C10740" s="3" t="s">
        <v>8</v>
      </c>
      <c r="D10740" s="3">
        <v>245.0</v>
      </c>
      <c r="E10740" s="3">
        <v>10.69</v>
      </c>
      <c r="F10740" s="3">
        <v>2.42</v>
      </c>
      <c r="G10740" s="3">
        <v>35.58</v>
      </c>
    </row>
    <row r="10741">
      <c r="A10741" s="3">
        <v>784967.0</v>
      </c>
      <c r="B10741" s="3" t="s">
        <v>10769</v>
      </c>
      <c r="C10741" s="3" t="s">
        <v>8</v>
      </c>
      <c r="D10741" s="3">
        <v>318.0</v>
      </c>
      <c r="E10741" s="3">
        <v>17.09</v>
      </c>
      <c r="F10741" s="3">
        <v>3.58</v>
      </c>
      <c r="G10741" s="3">
        <v>37.79</v>
      </c>
    </row>
    <row r="10742">
      <c r="A10742" s="3">
        <v>784968.0</v>
      </c>
      <c r="B10742" s="3" t="s">
        <v>10770</v>
      </c>
      <c r="C10742" s="3" t="s">
        <v>8</v>
      </c>
      <c r="D10742" s="3">
        <v>230.0</v>
      </c>
      <c r="E10742" s="3">
        <v>9.58</v>
      </c>
      <c r="F10742" s="3">
        <v>2.29</v>
      </c>
      <c r="G10742" s="3">
        <v>34.6</v>
      </c>
    </row>
    <row r="10743">
      <c r="A10743" s="3">
        <v>784969.0</v>
      </c>
      <c r="B10743" s="3" t="s">
        <v>10771</v>
      </c>
      <c r="C10743" s="3" t="s">
        <v>8</v>
      </c>
      <c r="D10743" s="3">
        <v>281.0</v>
      </c>
      <c r="E10743" s="3">
        <v>14.31</v>
      </c>
      <c r="F10743" s="3">
        <v>3.1</v>
      </c>
      <c r="G10743" s="3">
        <v>35.64</v>
      </c>
    </row>
    <row r="10744">
      <c r="A10744" s="3">
        <v>784970.0</v>
      </c>
      <c r="B10744" s="3" t="s">
        <v>10772</v>
      </c>
      <c r="C10744" s="3" t="s">
        <v>8</v>
      </c>
      <c r="D10744" s="3">
        <v>265.0</v>
      </c>
      <c r="E10744" s="3">
        <v>12.5</v>
      </c>
      <c r="F10744" s="3">
        <v>2.82</v>
      </c>
      <c r="G10744" s="3">
        <v>36.31</v>
      </c>
    </row>
    <row r="10745">
      <c r="A10745" s="3">
        <v>784971.0</v>
      </c>
      <c r="B10745" s="3" t="s">
        <v>10773</v>
      </c>
      <c r="C10745" s="3" t="s">
        <v>8</v>
      </c>
      <c r="D10745" s="3">
        <v>205.0</v>
      </c>
      <c r="E10745" s="3">
        <v>9.22</v>
      </c>
      <c r="F10745" s="3">
        <v>1.84</v>
      </c>
      <c r="G10745" s="3">
        <v>29.98</v>
      </c>
    </row>
    <row r="10746">
      <c r="A10746" s="3">
        <v>784972.0</v>
      </c>
      <c r="B10746" s="3" t="s">
        <v>10774</v>
      </c>
      <c r="C10746" s="3" t="s">
        <v>8</v>
      </c>
      <c r="D10746" s="3">
        <v>283.0</v>
      </c>
      <c r="E10746" s="3">
        <v>12.95</v>
      </c>
      <c r="F10746" s="3">
        <v>3.13</v>
      </c>
      <c r="G10746" s="3">
        <v>39.96</v>
      </c>
    </row>
    <row r="10747">
      <c r="A10747" s="3">
        <v>784974.0</v>
      </c>
      <c r="B10747" s="3" t="s">
        <v>10775</v>
      </c>
      <c r="C10747" s="3" t="s">
        <v>8</v>
      </c>
      <c r="D10747" s="3">
        <v>237.0</v>
      </c>
      <c r="E10747" s="3">
        <v>10.82</v>
      </c>
      <c r="F10747" s="3">
        <v>4.49</v>
      </c>
      <c r="G10747" s="3">
        <v>31.04</v>
      </c>
    </row>
    <row r="10748">
      <c r="A10748" s="3">
        <v>784975.0</v>
      </c>
      <c r="B10748" s="3" t="s">
        <v>10776</v>
      </c>
      <c r="C10748" s="3" t="s">
        <v>8</v>
      </c>
      <c r="D10748" s="3">
        <v>380.0</v>
      </c>
      <c r="E10748" s="3">
        <v>18.08</v>
      </c>
      <c r="F10748" s="3">
        <v>4.14</v>
      </c>
      <c r="G10748" s="3">
        <v>51.63</v>
      </c>
    </row>
    <row r="10749">
      <c r="A10749" s="3">
        <v>784976.0</v>
      </c>
      <c r="B10749" s="3" t="s">
        <v>10777</v>
      </c>
      <c r="C10749" s="3" t="s">
        <v>8</v>
      </c>
      <c r="D10749" s="3">
        <v>409.0</v>
      </c>
      <c r="E10749" s="3">
        <v>20.04</v>
      </c>
      <c r="F10749" s="3">
        <v>5.31</v>
      </c>
      <c r="G10749" s="3">
        <v>53.44</v>
      </c>
    </row>
    <row r="10750">
      <c r="A10750" s="3">
        <v>784978.0</v>
      </c>
      <c r="B10750" s="3" t="s">
        <v>10778</v>
      </c>
      <c r="C10750" s="3" t="s">
        <v>8</v>
      </c>
      <c r="D10750" s="3">
        <v>289.0</v>
      </c>
      <c r="E10750" s="3">
        <v>13.83</v>
      </c>
      <c r="F10750" s="3">
        <v>5.3</v>
      </c>
      <c r="G10750" s="3">
        <v>36.19</v>
      </c>
    </row>
    <row r="10751">
      <c r="A10751" s="3">
        <v>784980.0</v>
      </c>
      <c r="B10751" s="3" t="s">
        <v>10779</v>
      </c>
      <c r="C10751" s="3" t="s">
        <v>8</v>
      </c>
      <c r="D10751" s="3">
        <v>225.0</v>
      </c>
      <c r="E10751" s="3">
        <v>11.31</v>
      </c>
      <c r="F10751" s="3">
        <v>5.45</v>
      </c>
      <c r="G10751" s="3">
        <v>25.46</v>
      </c>
    </row>
    <row r="10752">
      <c r="A10752" s="3">
        <v>784982.0</v>
      </c>
      <c r="B10752" s="3" t="s">
        <v>10780</v>
      </c>
      <c r="C10752" s="3" t="s">
        <v>8</v>
      </c>
      <c r="D10752" s="3">
        <v>172.0</v>
      </c>
      <c r="E10752" s="3">
        <v>4.66</v>
      </c>
      <c r="F10752" s="3">
        <v>5.74</v>
      </c>
      <c r="G10752" s="3">
        <v>26.5</v>
      </c>
    </row>
    <row r="10753">
      <c r="A10753" s="3">
        <v>784983.0</v>
      </c>
      <c r="B10753" s="3" t="s">
        <v>10781</v>
      </c>
      <c r="C10753" s="3" t="s">
        <v>8</v>
      </c>
      <c r="D10753" s="3">
        <v>173.0</v>
      </c>
      <c r="E10753" s="3">
        <v>8.8</v>
      </c>
      <c r="F10753" s="3">
        <v>3.5</v>
      </c>
      <c r="G10753" s="3">
        <v>21.02</v>
      </c>
    </row>
    <row r="10754">
      <c r="A10754" s="3">
        <v>784984.0</v>
      </c>
      <c r="B10754" s="3" t="s">
        <v>10782</v>
      </c>
      <c r="C10754" s="3" t="s">
        <v>8</v>
      </c>
      <c r="D10754" s="3">
        <v>209.0</v>
      </c>
      <c r="E10754" s="3">
        <v>8.96</v>
      </c>
      <c r="F10754" s="3">
        <v>1.92</v>
      </c>
      <c r="G10754" s="3">
        <v>30.94</v>
      </c>
    </row>
    <row r="10755">
      <c r="A10755" s="3">
        <v>784985.0</v>
      </c>
      <c r="B10755" s="3" t="s">
        <v>10783</v>
      </c>
      <c r="C10755" s="3" t="s">
        <v>8</v>
      </c>
      <c r="D10755" s="3">
        <v>267.0</v>
      </c>
      <c r="E10755" s="3">
        <v>10.82</v>
      </c>
      <c r="F10755" s="3">
        <v>4.61</v>
      </c>
      <c r="G10755" s="3">
        <v>38.65</v>
      </c>
    </row>
    <row r="10756">
      <c r="A10756" s="3">
        <v>784986.0</v>
      </c>
      <c r="B10756" s="3" t="s">
        <v>10784</v>
      </c>
      <c r="C10756" s="3" t="s">
        <v>8</v>
      </c>
      <c r="D10756" s="3">
        <v>283.0</v>
      </c>
      <c r="E10756" s="3">
        <v>12.48</v>
      </c>
      <c r="F10756" s="3">
        <v>4.68</v>
      </c>
      <c r="G10756" s="3">
        <v>38.72</v>
      </c>
    </row>
    <row r="10757">
      <c r="A10757" s="3">
        <v>784987.0</v>
      </c>
      <c r="B10757" s="3" t="s">
        <v>10785</v>
      </c>
      <c r="C10757" s="3" t="s">
        <v>8</v>
      </c>
      <c r="D10757" s="3">
        <v>293.0</v>
      </c>
      <c r="E10757" s="3">
        <v>14.63</v>
      </c>
      <c r="F10757" s="3">
        <v>7.65</v>
      </c>
      <c r="G10757" s="3">
        <v>34.08</v>
      </c>
    </row>
    <row r="10758">
      <c r="A10758" s="3">
        <v>784988.0</v>
      </c>
      <c r="B10758" s="3" t="s">
        <v>10786</v>
      </c>
      <c r="C10758" s="3" t="s">
        <v>8</v>
      </c>
      <c r="D10758" s="3">
        <v>201.0</v>
      </c>
      <c r="E10758" s="3">
        <v>7.65</v>
      </c>
      <c r="F10758" s="3">
        <v>3.73</v>
      </c>
      <c r="G10758" s="3">
        <v>29.86</v>
      </c>
    </row>
    <row r="10759">
      <c r="A10759" s="3">
        <v>784991.0</v>
      </c>
      <c r="B10759" s="3" t="s">
        <v>10787</v>
      </c>
      <c r="C10759" s="3" t="s">
        <v>8</v>
      </c>
      <c r="D10759" s="3">
        <v>198.0</v>
      </c>
      <c r="E10759" s="3">
        <v>11.31</v>
      </c>
      <c r="F10759" s="3">
        <v>2.46</v>
      </c>
      <c r="G10759" s="3">
        <v>23.12</v>
      </c>
    </row>
    <row r="10760">
      <c r="A10760" s="3">
        <v>784992.0</v>
      </c>
      <c r="B10760" s="3" t="s">
        <v>10788</v>
      </c>
      <c r="C10760" s="3" t="s">
        <v>8</v>
      </c>
      <c r="D10760" s="3">
        <v>354.0</v>
      </c>
      <c r="E10760" s="3">
        <v>22.68</v>
      </c>
      <c r="F10760" s="3">
        <v>5.05</v>
      </c>
      <c r="G10760" s="3">
        <v>34.55</v>
      </c>
    </row>
    <row r="10761">
      <c r="A10761" s="3">
        <v>784993.0</v>
      </c>
      <c r="B10761" s="3" t="s">
        <v>10789</v>
      </c>
      <c r="C10761" s="3" t="s">
        <v>8</v>
      </c>
      <c r="D10761" s="3">
        <v>189.0</v>
      </c>
      <c r="E10761" s="3">
        <v>8.0</v>
      </c>
      <c r="F10761" s="3">
        <v>4.16</v>
      </c>
      <c r="G10761" s="3">
        <v>25.88</v>
      </c>
    </row>
    <row r="10762">
      <c r="A10762" s="3">
        <v>784994.0</v>
      </c>
      <c r="B10762" s="3" t="s">
        <v>10790</v>
      </c>
      <c r="C10762" s="3" t="s">
        <v>8</v>
      </c>
      <c r="D10762" s="3">
        <v>204.0</v>
      </c>
      <c r="E10762" s="3">
        <v>10.71</v>
      </c>
      <c r="F10762" s="3">
        <v>1.65</v>
      </c>
      <c r="G10762" s="3">
        <v>26.31</v>
      </c>
    </row>
    <row r="10763">
      <c r="A10763" s="3">
        <v>784995.0</v>
      </c>
      <c r="B10763" s="3" t="s">
        <v>10791</v>
      </c>
      <c r="C10763" s="3" t="s">
        <v>8</v>
      </c>
      <c r="D10763" s="3">
        <v>240.0</v>
      </c>
      <c r="E10763" s="3">
        <v>13.31</v>
      </c>
      <c r="F10763" s="3">
        <v>2.23</v>
      </c>
      <c r="G10763" s="3">
        <v>28.73</v>
      </c>
    </row>
    <row r="10764">
      <c r="A10764" s="3">
        <v>784996.0</v>
      </c>
      <c r="B10764" s="3" t="s">
        <v>10792</v>
      </c>
      <c r="C10764" s="3" t="s">
        <v>8</v>
      </c>
      <c r="D10764" s="3">
        <v>260.0</v>
      </c>
      <c r="E10764" s="3">
        <v>15.06</v>
      </c>
      <c r="F10764" s="3">
        <v>3.26</v>
      </c>
      <c r="G10764" s="3">
        <v>29.03</v>
      </c>
    </row>
    <row r="10765">
      <c r="A10765" s="3">
        <v>784998.0</v>
      </c>
      <c r="B10765" s="3" t="s">
        <v>10793</v>
      </c>
      <c r="C10765" s="3" t="s">
        <v>8</v>
      </c>
      <c r="D10765" s="3">
        <v>247.0</v>
      </c>
      <c r="E10765" s="3">
        <v>14.22</v>
      </c>
      <c r="F10765" s="3">
        <v>3.28</v>
      </c>
      <c r="G10765" s="3">
        <v>27.37</v>
      </c>
    </row>
    <row r="10766">
      <c r="A10766" s="3">
        <v>784999.0</v>
      </c>
      <c r="B10766" s="3" t="s">
        <v>10794</v>
      </c>
      <c r="C10766" s="3" t="s">
        <v>8</v>
      </c>
      <c r="D10766" s="3">
        <v>290.0</v>
      </c>
      <c r="E10766" s="3">
        <v>11.74</v>
      </c>
      <c r="F10766" s="3">
        <v>6.66</v>
      </c>
      <c r="G10766" s="3">
        <v>40.19</v>
      </c>
    </row>
    <row r="10767">
      <c r="A10767" s="3">
        <v>785000.0</v>
      </c>
      <c r="B10767" s="3" t="s">
        <v>10795</v>
      </c>
      <c r="C10767" s="3" t="s">
        <v>8</v>
      </c>
      <c r="D10767" s="3">
        <v>325.0</v>
      </c>
      <c r="E10767" s="3">
        <v>15.0</v>
      </c>
      <c r="F10767" s="3">
        <v>6.39</v>
      </c>
      <c r="G10767" s="3">
        <v>41.43</v>
      </c>
    </row>
    <row r="10768">
      <c r="A10768" s="3">
        <v>785001.0</v>
      </c>
      <c r="B10768" s="3" t="s">
        <v>10796</v>
      </c>
      <c r="C10768" s="3" t="s">
        <v>8</v>
      </c>
      <c r="D10768" s="3">
        <v>308.0</v>
      </c>
      <c r="E10768" s="3">
        <v>15.54</v>
      </c>
      <c r="F10768" s="3">
        <v>5.45</v>
      </c>
      <c r="G10768" s="3">
        <v>37.47</v>
      </c>
    </row>
    <row r="10769">
      <c r="A10769" s="3">
        <v>785004.0</v>
      </c>
      <c r="B10769" s="3" t="s">
        <v>10797</v>
      </c>
      <c r="C10769" s="3" t="s">
        <v>8</v>
      </c>
      <c r="D10769" s="3">
        <v>390.0</v>
      </c>
      <c r="E10769" s="3">
        <v>20.64</v>
      </c>
      <c r="F10769" s="3">
        <v>4.6</v>
      </c>
      <c r="G10769" s="3">
        <v>47.28</v>
      </c>
    </row>
    <row r="10770">
      <c r="A10770" s="3">
        <v>785007.0</v>
      </c>
      <c r="B10770" s="3" t="s">
        <v>10798</v>
      </c>
      <c r="C10770" s="3" t="s">
        <v>8</v>
      </c>
      <c r="D10770" s="3">
        <v>390.0</v>
      </c>
      <c r="E10770" s="3">
        <v>15.65</v>
      </c>
      <c r="F10770" s="3">
        <v>5.08</v>
      </c>
      <c r="G10770" s="3">
        <v>60.17</v>
      </c>
    </row>
    <row r="10771">
      <c r="A10771" s="3">
        <v>785008.0</v>
      </c>
      <c r="B10771" s="3" t="s">
        <v>10799</v>
      </c>
      <c r="C10771" s="3" t="s">
        <v>8</v>
      </c>
      <c r="D10771" s="3">
        <v>224.0</v>
      </c>
      <c r="E10771" s="3">
        <v>11.1</v>
      </c>
      <c r="F10771" s="3">
        <v>3.85</v>
      </c>
      <c r="G10771" s="3">
        <v>27.12</v>
      </c>
    </row>
    <row r="10772">
      <c r="A10772" s="3">
        <v>785009.0</v>
      </c>
      <c r="B10772" s="3" t="s">
        <v>10800</v>
      </c>
      <c r="C10772" s="3" t="s">
        <v>8</v>
      </c>
      <c r="D10772" s="3">
        <v>334.0</v>
      </c>
      <c r="E10772" s="3">
        <v>17.27</v>
      </c>
      <c r="F10772" s="3">
        <v>4.87</v>
      </c>
      <c r="G10772" s="3">
        <v>39.8</v>
      </c>
    </row>
    <row r="10773">
      <c r="A10773" s="3">
        <v>785010.0</v>
      </c>
      <c r="B10773" s="3" t="s">
        <v>10801</v>
      </c>
      <c r="C10773" s="3" t="s">
        <v>8</v>
      </c>
      <c r="D10773" s="3">
        <v>389.0</v>
      </c>
      <c r="E10773" s="3">
        <v>22.2</v>
      </c>
      <c r="F10773" s="3">
        <v>4.3</v>
      </c>
      <c r="G10773" s="3">
        <v>42.96</v>
      </c>
    </row>
    <row r="10774">
      <c r="A10774" s="3">
        <v>785011.0</v>
      </c>
      <c r="B10774" s="3" t="s">
        <v>10802</v>
      </c>
      <c r="C10774" s="3" t="s">
        <v>8</v>
      </c>
      <c r="D10774" s="3">
        <v>384.0</v>
      </c>
      <c r="E10774" s="3">
        <v>21.89</v>
      </c>
      <c r="F10774" s="3">
        <v>4.06</v>
      </c>
      <c r="G10774" s="3">
        <v>42.81</v>
      </c>
    </row>
    <row r="10775">
      <c r="A10775" s="3">
        <v>785012.0</v>
      </c>
      <c r="B10775" s="3" t="s">
        <v>10803</v>
      </c>
      <c r="C10775" s="3" t="s">
        <v>8</v>
      </c>
      <c r="D10775" s="3">
        <v>535.0</v>
      </c>
      <c r="E10775" s="3">
        <v>39.21</v>
      </c>
      <c r="F10775" s="3">
        <v>5.86</v>
      </c>
      <c r="G10775" s="3">
        <v>44.71</v>
      </c>
    </row>
    <row r="10776">
      <c r="A10776" s="3">
        <v>785013.0</v>
      </c>
      <c r="B10776" s="3" t="s">
        <v>10804</v>
      </c>
      <c r="C10776" s="3" t="s">
        <v>8</v>
      </c>
      <c r="D10776" s="3">
        <v>354.0</v>
      </c>
      <c r="E10776" s="3">
        <v>11.04</v>
      </c>
      <c r="F10776" s="3">
        <v>3.91</v>
      </c>
      <c r="G10776" s="3">
        <v>60.73</v>
      </c>
    </row>
    <row r="10777">
      <c r="A10777" s="3">
        <v>785014.0</v>
      </c>
      <c r="B10777" s="3" t="s">
        <v>10805</v>
      </c>
      <c r="C10777" s="3" t="s">
        <v>8</v>
      </c>
      <c r="D10777" s="3">
        <v>209.0</v>
      </c>
      <c r="E10777" s="3">
        <v>12.03</v>
      </c>
      <c r="F10777" s="3">
        <v>4.74</v>
      </c>
      <c r="G10777" s="3">
        <v>22.64</v>
      </c>
    </row>
    <row r="10778">
      <c r="A10778" s="3">
        <v>785019.0</v>
      </c>
      <c r="B10778" s="3" t="s">
        <v>10806</v>
      </c>
      <c r="C10778" s="3" t="s">
        <v>2807</v>
      </c>
      <c r="D10778" s="3">
        <v>186.0</v>
      </c>
      <c r="E10778" s="3">
        <v>7.63</v>
      </c>
      <c r="F10778" s="3">
        <v>9.06</v>
      </c>
      <c r="G10778" s="3">
        <v>20.12</v>
      </c>
    </row>
    <row r="10779">
      <c r="A10779" s="3">
        <v>785020.0</v>
      </c>
      <c r="B10779" s="3" t="s">
        <v>10807</v>
      </c>
      <c r="C10779" s="3" t="s">
        <v>2807</v>
      </c>
      <c r="D10779" s="3">
        <v>175.0</v>
      </c>
      <c r="E10779" s="3">
        <v>6.2</v>
      </c>
      <c r="F10779" s="3">
        <v>5.56</v>
      </c>
      <c r="G10779" s="3">
        <v>24.78</v>
      </c>
    </row>
    <row r="10780">
      <c r="A10780" s="3">
        <v>785021.0</v>
      </c>
      <c r="B10780" s="3" t="s">
        <v>10808</v>
      </c>
      <c r="C10780" s="3" t="s">
        <v>8</v>
      </c>
      <c r="D10780" s="3">
        <v>195.0</v>
      </c>
      <c r="E10780" s="3">
        <v>4.87</v>
      </c>
      <c r="F10780" s="3">
        <v>2.31</v>
      </c>
      <c r="G10780" s="3">
        <v>36.47</v>
      </c>
    </row>
    <row r="10781">
      <c r="A10781" s="3">
        <v>785022.0</v>
      </c>
      <c r="B10781" s="3" t="s">
        <v>10809</v>
      </c>
      <c r="C10781" s="3" t="s">
        <v>8</v>
      </c>
      <c r="D10781" s="3">
        <v>188.0</v>
      </c>
      <c r="E10781" s="3">
        <v>4.39</v>
      </c>
      <c r="F10781" s="3">
        <v>2.63</v>
      </c>
      <c r="G10781" s="3">
        <v>35.77</v>
      </c>
    </row>
    <row r="10782">
      <c r="A10782" s="3">
        <v>785023.0</v>
      </c>
      <c r="B10782" s="3" t="s">
        <v>10810</v>
      </c>
      <c r="C10782" s="3" t="s">
        <v>8</v>
      </c>
      <c r="D10782" s="3">
        <v>230.0</v>
      </c>
      <c r="E10782" s="3">
        <v>5.8</v>
      </c>
      <c r="F10782" s="3">
        <v>2.78</v>
      </c>
      <c r="G10782" s="3">
        <v>43.03</v>
      </c>
    </row>
    <row r="10783">
      <c r="A10783" s="3">
        <v>785024.0</v>
      </c>
      <c r="B10783" s="3" t="s">
        <v>10811</v>
      </c>
      <c r="C10783" s="3" t="s">
        <v>8</v>
      </c>
      <c r="D10783" s="3">
        <v>194.0</v>
      </c>
      <c r="E10783" s="3">
        <v>5.12</v>
      </c>
      <c r="F10783" s="3">
        <v>2.36</v>
      </c>
      <c r="G10783" s="3">
        <v>35.69</v>
      </c>
    </row>
    <row r="10784">
      <c r="A10784" s="3">
        <v>785025.0</v>
      </c>
      <c r="B10784" s="3" t="s">
        <v>10812</v>
      </c>
      <c r="C10784" s="3" t="s">
        <v>8</v>
      </c>
      <c r="D10784" s="3">
        <v>199.0</v>
      </c>
      <c r="E10784" s="3">
        <v>4.67</v>
      </c>
      <c r="F10784" s="3">
        <v>2.48</v>
      </c>
      <c r="G10784" s="3">
        <v>38.15</v>
      </c>
    </row>
    <row r="10785">
      <c r="A10785" s="3">
        <v>785026.0</v>
      </c>
      <c r="B10785" s="3" t="s">
        <v>10813</v>
      </c>
      <c r="C10785" s="3" t="s">
        <v>8</v>
      </c>
      <c r="D10785" s="3">
        <v>215.0</v>
      </c>
      <c r="E10785" s="3">
        <v>4.88</v>
      </c>
      <c r="F10785" s="3">
        <v>2.14</v>
      </c>
      <c r="G10785" s="3">
        <v>42.13</v>
      </c>
    </row>
    <row r="10786">
      <c r="A10786" s="3">
        <v>785027.0</v>
      </c>
      <c r="B10786" s="3" t="s">
        <v>10814</v>
      </c>
      <c r="C10786" s="3" t="s">
        <v>8</v>
      </c>
      <c r="D10786" s="3">
        <v>191.0</v>
      </c>
      <c r="E10786" s="3">
        <v>4.6</v>
      </c>
      <c r="F10786" s="3">
        <v>1.99</v>
      </c>
      <c r="G10786" s="3">
        <v>36.75</v>
      </c>
    </row>
    <row r="10787">
      <c r="A10787" s="3">
        <v>785028.0</v>
      </c>
      <c r="B10787" s="3" t="s">
        <v>10815</v>
      </c>
      <c r="C10787" s="3" t="s">
        <v>8</v>
      </c>
      <c r="D10787" s="3">
        <v>200.0</v>
      </c>
      <c r="E10787" s="3">
        <v>4.73</v>
      </c>
      <c r="F10787" s="3">
        <v>2.28</v>
      </c>
      <c r="G10787" s="3">
        <v>38.35</v>
      </c>
    </row>
    <row r="10788">
      <c r="A10788" s="3">
        <v>785029.0</v>
      </c>
      <c r="B10788" s="3" t="s">
        <v>10816</v>
      </c>
      <c r="C10788" s="3" t="s">
        <v>8</v>
      </c>
      <c r="D10788" s="3">
        <v>251.0</v>
      </c>
      <c r="E10788" s="3">
        <v>6.58</v>
      </c>
      <c r="F10788" s="3">
        <v>2.36</v>
      </c>
      <c r="G10788" s="3">
        <v>46.86</v>
      </c>
    </row>
    <row r="10789">
      <c r="A10789" s="3">
        <v>785030.0</v>
      </c>
      <c r="B10789" s="3" t="s">
        <v>10817</v>
      </c>
      <c r="C10789" s="3" t="s">
        <v>8</v>
      </c>
      <c r="D10789" s="3">
        <v>157.0</v>
      </c>
      <c r="E10789" s="3">
        <v>3.45</v>
      </c>
      <c r="F10789" s="3">
        <v>1.97</v>
      </c>
      <c r="G10789" s="3">
        <v>30.77</v>
      </c>
    </row>
    <row r="10790">
      <c r="A10790" s="3">
        <v>785031.0</v>
      </c>
      <c r="B10790" s="3" t="s">
        <v>10818</v>
      </c>
      <c r="C10790" s="3" t="s">
        <v>8</v>
      </c>
      <c r="D10790" s="3">
        <v>381.0</v>
      </c>
      <c r="E10790" s="3">
        <v>24.45</v>
      </c>
      <c r="F10790" s="3">
        <v>6.44</v>
      </c>
      <c r="G10790" s="3">
        <v>34.78</v>
      </c>
    </row>
    <row r="10791">
      <c r="A10791" s="3">
        <v>785032.0</v>
      </c>
      <c r="B10791" s="3" t="s">
        <v>10819</v>
      </c>
      <c r="C10791" s="3" t="s">
        <v>8</v>
      </c>
      <c r="D10791" s="3">
        <v>342.0</v>
      </c>
      <c r="E10791" s="3">
        <v>21.33</v>
      </c>
      <c r="F10791" s="3">
        <v>5.03</v>
      </c>
      <c r="G10791" s="3">
        <v>34.43</v>
      </c>
    </row>
    <row r="10792">
      <c r="A10792" s="3">
        <v>785033.0</v>
      </c>
      <c r="B10792" s="3" t="s">
        <v>10820</v>
      </c>
      <c r="C10792" s="3" t="s">
        <v>8</v>
      </c>
      <c r="D10792" s="3">
        <v>342.0</v>
      </c>
      <c r="E10792" s="3">
        <v>22.05</v>
      </c>
      <c r="F10792" s="3">
        <v>5.62</v>
      </c>
      <c r="G10792" s="3">
        <v>31.44</v>
      </c>
    </row>
    <row r="10793">
      <c r="A10793" s="3">
        <v>785034.0</v>
      </c>
      <c r="B10793" s="3" t="s">
        <v>10821</v>
      </c>
      <c r="C10793" s="3" t="s">
        <v>8</v>
      </c>
      <c r="D10793" s="3">
        <v>256.0</v>
      </c>
      <c r="E10793" s="3">
        <v>10.15</v>
      </c>
      <c r="F10793" s="3">
        <v>1.88</v>
      </c>
      <c r="G10793" s="3">
        <v>41.15</v>
      </c>
    </row>
    <row r="10794">
      <c r="A10794" s="3">
        <v>785035.0</v>
      </c>
      <c r="B10794" s="3" t="s">
        <v>10822</v>
      </c>
      <c r="C10794" s="3" t="s">
        <v>8</v>
      </c>
      <c r="D10794" s="3">
        <v>263.0</v>
      </c>
      <c r="E10794" s="3">
        <v>7.83</v>
      </c>
      <c r="F10794" s="3">
        <v>1.94</v>
      </c>
      <c r="G10794" s="3">
        <v>47.36</v>
      </c>
    </row>
    <row r="10795">
      <c r="A10795" s="3">
        <v>785036.0</v>
      </c>
      <c r="B10795" s="3" t="s">
        <v>10823</v>
      </c>
      <c r="C10795" s="3" t="s">
        <v>8</v>
      </c>
      <c r="D10795" s="3">
        <v>213.0</v>
      </c>
      <c r="E10795" s="3">
        <v>6.87</v>
      </c>
      <c r="F10795" s="3">
        <v>1.71</v>
      </c>
      <c r="G10795" s="3">
        <v>37.79</v>
      </c>
    </row>
    <row r="10796">
      <c r="A10796" s="3">
        <v>785037.0</v>
      </c>
      <c r="B10796" s="3" t="s">
        <v>10824</v>
      </c>
      <c r="C10796" s="3" t="s">
        <v>8</v>
      </c>
      <c r="D10796" s="3">
        <v>225.0</v>
      </c>
      <c r="E10796" s="3">
        <v>6.5</v>
      </c>
      <c r="F10796" s="3">
        <v>1.2</v>
      </c>
      <c r="G10796" s="3">
        <v>42.84</v>
      </c>
    </row>
    <row r="10797">
      <c r="A10797" s="3">
        <v>785038.0</v>
      </c>
      <c r="B10797" s="3" t="s">
        <v>10825</v>
      </c>
      <c r="C10797" s="3" t="s">
        <v>8</v>
      </c>
      <c r="D10797" s="3">
        <v>276.0</v>
      </c>
      <c r="E10797" s="3">
        <v>24.36</v>
      </c>
      <c r="F10797" s="3">
        <v>4.5</v>
      </c>
      <c r="G10797" s="3">
        <v>10.48</v>
      </c>
    </row>
    <row r="10798">
      <c r="A10798" s="3">
        <v>785039.0</v>
      </c>
      <c r="B10798" s="3" t="s">
        <v>10826</v>
      </c>
      <c r="C10798" s="3" t="s">
        <v>8</v>
      </c>
      <c r="D10798" s="3">
        <v>260.0</v>
      </c>
      <c r="E10798" s="3">
        <v>21.35</v>
      </c>
      <c r="F10798" s="3">
        <v>4.92</v>
      </c>
      <c r="G10798" s="3">
        <v>12.47</v>
      </c>
    </row>
    <row r="10799">
      <c r="A10799" s="3">
        <v>785041.0</v>
      </c>
      <c r="B10799" s="3" t="s">
        <v>10827</v>
      </c>
      <c r="C10799" s="3" t="s">
        <v>8</v>
      </c>
      <c r="D10799" s="3">
        <v>237.0</v>
      </c>
      <c r="E10799" s="3">
        <v>7.03</v>
      </c>
      <c r="F10799" s="3">
        <v>3.43</v>
      </c>
      <c r="G10799" s="3">
        <v>41.85</v>
      </c>
    </row>
    <row r="10800">
      <c r="A10800" s="3">
        <v>785043.0</v>
      </c>
      <c r="B10800" s="3" t="s">
        <v>10828</v>
      </c>
      <c r="C10800" s="3" t="s">
        <v>8</v>
      </c>
      <c r="D10800" s="3">
        <v>436.0</v>
      </c>
      <c r="E10800" s="3">
        <v>23.64</v>
      </c>
      <c r="F10800" s="3">
        <v>6.46</v>
      </c>
      <c r="G10800" s="3">
        <v>50.34</v>
      </c>
    </row>
    <row r="10801">
      <c r="A10801" s="3">
        <v>785044.0</v>
      </c>
      <c r="B10801" s="3" t="s">
        <v>10829</v>
      </c>
      <c r="C10801" s="3" t="s">
        <v>8</v>
      </c>
      <c r="D10801" s="3">
        <v>478.0</v>
      </c>
      <c r="E10801" s="3">
        <v>41.23</v>
      </c>
      <c r="F10801" s="3">
        <v>7.64</v>
      </c>
      <c r="G10801" s="3">
        <v>19.5</v>
      </c>
    </row>
    <row r="10802">
      <c r="A10802" s="3">
        <v>785045.0</v>
      </c>
      <c r="B10802" s="3" t="s">
        <v>10830</v>
      </c>
      <c r="C10802" s="3" t="s">
        <v>8</v>
      </c>
      <c r="D10802" s="3">
        <v>366.0</v>
      </c>
      <c r="E10802" s="3">
        <v>19.91</v>
      </c>
      <c r="F10802" s="3">
        <v>5.49</v>
      </c>
      <c r="G10802" s="3">
        <v>40.93</v>
      </c>
    </row>
    <row r="10803">
      <c r="A10803" s="3">
        <v>785046.0</v>
      </c>
      <c r="B10803" s="3" t="s">
        <v>10831</v>
      </c>
      <c r="C10803" s="3" t="s">
        <v>8</v>
      </c>
      <c r="D10803" s="3">
        <v>360.0</v>
      </c>
      <c r="E10803" s="3">
        <v>15.84</v>
      </c>
      <c r="F10803" s="3">
        <v>4.11</v>
      </c>
      <c r="G10803" s="3">
        <v>51.85</v>
      </c>
    </row>
    <row r="10804">
      <c r="A10804" s="3">
        <v>785047.0</v>
      </c>
      <c r="B10804" s="3" t="s">
        <v>10832</v>
      </c>
      <c r="C10804" s="3" t="s">
        <v>2807</v>
      </c>
      <c r="D10804" s="3">
        <v>184.0</v>
      </c>
      <c r="E10804" s="3">
        <v>6.96</v>
      </c>
      <c r="F10804" s="3">
        <v>4.55</v>
      </c>
      <c r="G10804" s="3">
        <v>26.45</v>
      </c>
    </row>
    <row r="10805">
      <c r="A10805" s="3">
        <v>785048.0</v>
      </c>
      <c r="B10805" s="3" t="s">
        <v>10833</v>
      </c>
      <c r="C10805" s="3" t="s">
        <v>2807</v>
      </c>
      <c r="D10805" s="3">
        <v>156.0</v>
      </c>
      <c r="E10805" s="3">
        <v>5.52</v>
      </c>
      <c r="F10805" s="3">
        <v>5.46</v>
      </c>
      <c r="G10805" s="3">
        <v>20.82</v>
      </c>
    </row>
    <row r="10806">
      <c r="A10806" s="3">
        <v>785049.0</v>
      </c>
      <c r="B10806" s="3" t="s">
        <v>10834</v>
      </c>
      <c r="C10806" s="3" t="s">
        <v>2807</v>
      </c>
      <c r="D10806" s="3">
        <v>184.0</v>
      </c>
      <c r="E10806" s="3">
        <v>6.96</v>
      </c>
      <c r="F10806" s="3">
        <v>4.55</v>
      </c>
      <c r="G10806" s="3">
        <v>26.46</v>
      </c>
    </row>
    <row r="10807">
      <c r="A10807" s="3">
        <v>785050.0</v>
      </c>
      <c r="B10807" s="3" t="s">
        <v>10835</v>
      </c>
      <c r="C10807" s="3" t="s">
        <v>8</v>
      </c>
      <c r="D10807" s="3">
        <v>257.0</v>
      </c>
      <c r="E10807" s="3">
        <v>12.52</v>
      </c>
      <c r="F10807" s="3">
        <v>2.22</v>
      </c>
      <c r="G10807" s="3">
        <v>35.67</v>
      </c>
    </row>
    <row r="10808">
      <c r="A10808" s="3">
        <v>785051.0</v>
      </c>
      <c r="B10808" s="3" t="s">
        <v>10836</v>
      </c>
      <c r="C10808" s="3" t="s">
        <v>8</v>
      </c>
      <c r="D10808" s="3">
        <v>200.0</v>
      </c>
      <c r="E10808" s="3">
        <v>8.48</v>
      </c>
      <c r="F10808" s="3">
        <v>1.78</v>
      </c>
      <c r="G10808" s="3">
        <v>31.23</v>
      </c>
    </row>
    <row r="10809">
      <c r="A10809" s="3">
        <v>785053.0</v>
      </c>
      <c r="B10809" s="3" t="s">
        <v>10837</v>
      </c>
      <c r="C10809" s="3" t="s">
        <v>8</v>
      </c>
      <c r="D10809" s="3">
        <v>249.0</v>
      </c>
      <c r="E10809" s="3">
        <v>6.24</v>
      </c>
      <c r="F10809" s="3">
        <v>3.48</v>
      </c>
      <c r="G10809" s="3">
        <v>46.4</v>
      </c>
    </row>
    <row r="10810">
      <c r="A10810" s="3">
        <v>785054.0</v>
      </c>
      <c r="B10810" s="3" t="s">
        <v>10838</v>
      </c>
      <c r="C10810" s="3" t="s">
        <v>8</v>
      </c>
      <c r="D10810" s="3">
        <v>280.0</v>
      </c>
      <c r="E10810" s="3">
        <v>10.1</v>
      </c>
      <c r="F10810" s="3">
        <v>4.36</v>
      </c>
      <c r="G10810" s="3">
        <v>45.06</v>
      </c>
    </row>
    <row r="10811">
      <c r="A10811" s="3">
        <v>785055.0</v>
      </c>
      <c r="B10811" s="3" t="s">
        <v>10839</v>
      </c>
      <c r="C10811" s="3" t="s">
        <v>8</v>
      </c>
      <c r="D10811" s="3">
        <v>305.0</v>
      </c>
      <c r="E10811" s="3">
        <v>12.83</v>
      </c>
      <c r="F10811" s="3">
        <v>10.1</v>
      </c>
      <c r="G10811" s="3">
        <v>37.65</v>
      </c>
    </row>
    <row r="10812">
      <c r="A10812" s="3">
        <v>785056.0</v>
      </c>
      <c r="B10812" s="3" t="s">
        <v>10840</v>
      </c>
      <c r="C10812" s="3" t="s">
        <v>8</v>
      </c>
      <c r="D10812" s="3">
        <v>204.0</v>
      </c>
      <c r="E10812" s="3">
        <v>5.16</v>
      </c>
      <c r="F10812" s="3">
        <v>3.14</v>
      </c>
      <c r="G10812" s="3">
        <v>37.67</v>
      </c>
    </row>
    <row r="10813">
      <c r="A10813" s="3">
        <v>785057.0</v>
      </c>
      <c r="B10813" s="3" t="s">
        <v>10841</v>
      </c>
      <c r="C10813" s="3" t="s">
        <v>8</v>
      </c>
      <c r="D10813" s="3">
        <v>249.0</v>
      </c>
      <c r="E10813" s="3">
        <v>5.6</v>
      </c>
      <c r="F10813" s="3">
        <v>2.8</v>
      </c>
      <c r="G10813" s="3">
        <v>48.19</v>
      </c>
    </row>
    <row r="10814">
      <c r="A10814" s="3">
        <v>785058.0</v>
      </c>
      <c r="B10814" s="3" t="s">
        <v>10842</v>
      </c>
      <c r="C10814" s="3" t="s">
        <v>8</v>
      </c>
      <c r="D10814" s="3">
        <v>220.0</v>
      </c>
      <c r="E10814" s="3">
        <v>8.47</v>
      </c>
      <c r="F10814" s="3">
        <v>6.89</v>
      </c>
      <c r="G10814" s="3">
        <v>29.8</v>
      </c>
    </row>
    <row r="10815">
      <c r="A10815" s="3">
        <v>785059.0</v>
      </c>
      <c r="B10815" s="3" t="s">
        <v>10843</v>
      </c>
      <c r="C10815" s="3" t="s">
        <v>8</v>
      </c>
      <c r="D10815" s="3">
        <v>428.0</v>
      </c>
      <c r="E10815" s="3">
        <v>29.13</v>
      </c>
      <c r="F10815" s="3">
        <v>6.64</v>
      </c>
      <c r="G10815" s="3">
        <v>37.53</v>
      </c>
    </row>
    <row r="10816">
      <c r="A10816" s="3">
        <v>785060.0</v>
      </c>
      <c r="B10816" s="3" t="s">
        <v>10844</v>
      </c>
      <c r="C10816" s="3" t="s">
        <v>8</v>
      </c>
      <c r="D10816" s="3">
        <v>308.0</v>
      </c>
      <c r="E10816" s="3">
        <v>10.4</v>
      </c>
      <c r="F10816" s="3">
        <v>4.99</v>
      </c>
      <c r="G10816" s="3">
        <v>50.13</v>
      </c>
    </row>
    <row r="10817">
      <c r="A10817" s="3">
        <v>785061.0</v>
      </c>
      <c r="B10817" s="3" t="s">
        <v>10845</v>
      </c>
      <c r="C10817" s="3" t="s">
        <v>8</v>
      </c>
      <c r="D10817" s="3">
        <v>348.0</v>
      </c>
      <c r="E10817" s="3">
        <v>18.04</v>
      </c>
      <c r="F10817" s="3">
        <v>3.64</v>
      </c>
      <c r="G10817" s="3">
        <v>43.6</v>
      </c>
    </row>
    <row r="10818">
      <c r="A10818" s="3">
        <v>785062.0</v>
      </c>
      <c r="B10818" s="3" t="s">
        <v>10846</v>
      </c>
      <c r="C10818" s="3" t="s">
        <v>8</v>
      </c>
      <c r="D10818" s="3">
        <v>353.0</v>
      </c>
      <c r="E10818" s="3">
        <v>17.73</v>
      </c>
      <c r="F10818" s="3">
        <v>3.79</v>
      </c>
      <c r="G10818" s="3">
        <v>45.55</v>
      </c>
    </row>
    <row r="10819">
      <c r="A10819" s="3">
        <v>785063.0</v>
      </c>
      <c r="B10819" s="3" t="s">
        <v>10847</v>
      </c>
      <c r="C10819" s="3" t="s">
        <v>8</v>
      </c>
      <c r="D10819" s="3">
        <v>306.0</v>
      </c>
      <c r="E10819" s="3">
        <v>15.07</v>
      </c>
      <c r="F10819" s="3">
        <v>3.27</v>
      </c>
      <c r="G10819" s="3">
        <v>40.01</v>
      </c>
    </row>
    <row r="10820">
      <c r="A10820" s="3">
        <v>785064.0</v>
      </c>
      <c r="B10820" s="3" t="s">
        <v>10848</v>
      </c>
      <c r="C10820" s="3" t="s">
        <v>8</v>
      </c>
      <c r="D10820" s="3">
        <v>301.0</v>
      </c>
      <c r="E10820" s="3">
        <v>15.63</v>
      </c>
      <c r="F10820" s="3">
        <v>3.47</v>
      </c>
      <c r="G10820" s="3">
        <v>37.05</v>
      </c>
    </row>
    <row r="10821">
      <c r="A10821" s="3">
        <v>785065.0</v>
      </c>
      <c r="B10821" s="3" t="s">
        <v>10849</v>
      </c>
      <c r="C10821" s="3" t="s">
        <v>8</v>
      </c>
      <c r="D10821" s="3">
        <v>335.0</v>
      </c>
      <c r="E10821" s="3">
        <v>16.57</v>
      </c>
      <c r="F10821" s="3">
        <v>3.95</v>
      </c>
      <c r="G10821" s="3">
        <v>43.15</v>
      </c>
    </row>
    <row r="10822">
      <c r="A10822" s="3">
        <v>785066.0</v>
      </c>
      <c r="B10822" s="3" t="s">
        <v>10850</v>
      </c>
      <c r="C10822" s="3" t="s">
        <v>8</v>
      </c>
      <c r="D10822" s="3">
        <v>307.0</v>
      </c>
      <c r="E10822" s="3">
        <v>16.25</v>
      </c>
      <c r="F10822" s="3">
        <v>3.98</v>
      </c>
      <c r="G10822" s="3">
        <v>37.48</v>
      </c>
    </row>
    <row r="10823">
      <c r="A10823" s="3">
        <v>785067.0</v>
      </c>
      <c r="B10823" s="3" t="s">
        <v>10851</v>
      </c>
      <c r="C10823" s="3" t="s">
        <v>8</v>
      </c>
      <c r="D10823" s="3">
        <v>251.0</v>
      </c>
      <c r="E10823" s="3">
        <v>14.34</v>
      </c>
      <c r="F10823" s="3">
        <v>5.56</v>
      </c>
      <c r="G10823" s="3">
        <v>25.51</v>
      </c>
    </row>
    <row r="10824">
      <c r="A10824" s="3">
        <v>785068.0</v>
      </c>
      <c r="B10824" s="3" t="s">
        <v>10852</v>
      </c>
      <c r="C10824" s="3" t="s">
        <v>8</v>
      </c>
      <c r="D10824" s="3">
        <v>339.0</v>
      </c>
      <c r="E10824" s="3">
        <v>19.24</v>
      </c>
      <c r="F10824" s="3">
        <v>4.07</v>
      </c>
      <c r="G10824" s="3">
        <v>39.84</v>
      </c>
    </row>
    <row r="10825">
      <c r="A10825" s="3">
        <v>785069.0</v>
      </c>
      <c r="B10825" s="3" t="s">
        <v>10853</v>
      </c>
      <c r="C10825" s="3" t="s">
        <v>8</v>
      </c>
      <c r="D10825" s="3">
        <v>333.0</v>
      </c>
      <c r="E10825" s="3">
        <v>4.03</v>
      </c>
      <c r="F10825" s="3">
        <v>6.81</v>
      </c>
      <c r="G10825" s="3">
        <v>67.89</v>
      </c>
    </row>
    <row r="10826">
      <c r="A10826" s="3">
        <v>785070.0</v>
      </c>
      <c r="B10826" s="3" t="s">
        <v>10854</v>
      </c>
      <c r="C10826" s="3" t="s">
        <v>8</v>
      </c>
      <c r="D10826" s="3">
        <v>333.0</v>
      </c>
      <c r="E10826" s="3">
        <v>7.88</v>
      </c>
      <c r="F10826" s="3">
        <v>8.38</v>
      </c>
      <c r="G10826" s="3">
        <v>57.24</v>
      </c>
    </row>
    <row r="10827">
      <c r="A10827" s="3">
        <v>785071.0</v>
      </c>
      <c r="B10827" s="3" t="s">
        <v>10855</v>
      </c>
      <c r="C10827" s="3" t="s">
        <v>8</v>
      </c>
      <c r="D10827" s="3">
        <v>243.0</v>
      </c>
      <c r="E10827" s="3">
        <v>5.92</v>
      </c>
      <c r="F10827" s="3">
        <v>2.47</v>
      </c>
      <c r="G10827" s="3">
        <v>45.21</v>
      </c>
    </row>
    <row r="10828">
      <c r="A10828" s="3">
        <v>785072.0</v>
      </c>
      <c r="B10828" s="3" t="s">
        <v>10856</v>
      </c>
      <c r="C10828" s="3" t="s">
        <v>8</v>
      </c>
      <c r="D10828" s="3">
        <v>390.0</v>
      </c>
      <c r="E10828" s="3">
        <v>25.24</v>
      </c>
      <c r="F10828" s="3">
        <v>5.76</v>
      </c>
      <c r="G10828" s="3">
        <v>35.44</v>
      </c>
    </row>
    <row r="10829">
      <c r="A10829" s="3">
        <v>785073.0</v>
      </c>
      <c r="B10829" s="3" t="s">
        <v>10857</v>
      </c>
      <c r="C10829" s="3" t="s">
        <v>8</v>
      </c>
      <c r="D10829" s="3">
        <v>276.0</v>
      </c>
      <c r="E10829" s="3">
        <v>12.03</v>
      </c>
      <c r="F10829" s="3">
        <v>9.51</v>
      </c>
      <c r="G10829" s="3">
        <v>32.51</v>
      </c>
    </row>
    <row r="10830">
      <c r="A10830" s="3">
        <v>785075.0</v>
      </c>
      <c r="B10830" s="3" t="s">
        <v>10858</v>
      </c>
      <c r="C10830" s="3" t="s">
        <v>8</v>
      </c>
      <c r="D10830" s="3">
        <v>409.0</v>
      </c>
      <c r="E10830" s="3">
        <v>29.79</v>
      </c>
      <c r="F10830" s="3">
        <v>5.84</v>
      </c>
      <c r="G10830" s="3">
        <v>29.87</v>
      </c>
    </row>
    <row r="10831">
      <c r="A10831" s="3">
        <v>785076.0</v>
      </c>
      <c r="B10831" s="3" t="s">
        <v>10859</v>
      </c>
      <c r="C10831" s="3" t="s">
        <v>8</v>
      </c>
      <c r="D10831" s="3">
        <v>264.0</v>
      </c>
      <c r="E10831" s="3">
        <v>19.26</v>
      </c>
      <c r="F10831" s="3">
        <v>9.21</v>
      </c>
      <c r="G10831" s="3">
        <v>13.13</v>
      </c>
    </row>
    <row r="10832">
      <c r="A10832" s="3">
        <v>785077.0</v>
      </c>
      <c r="B10832" s="3" t="s">
        <v>10860</v>
      </c>
      <c r="C10832" s="3" t="s">
        <v>8</v>
      </c>
      <c r="D10832" s="3">
        <v>430.0</v>
      </c>
      <c r="E10832" s="3">
        <v>18.07</v>
      </c>
      <c r="F10832" s="3">
        <v>7.75</v>
      </c>
      <c r="G10832" s="3">
        <v>59.3</v>
      </c>
    </row>
    <row r="10833">
      <c r="A10833" s="3">
        <v>785078.0</v>
      </c>
      <c r="B10833" s="3" t="s">
        <v>10861</v>
      </c>
      <c r="C10833" s="3" t="s">
        <v>8</v>
      </c>
      <c r="D10833" s="3">
        <v>316.0</v>
      </c>
      <c r="E10833" s="3">
        <v>15.34</v>
      </c>
      <c r="F10833" s="3">
        <v>4.65</v>
      </c>
      <c r="G10833" s="3">
        <v>40.04</v>
      </c>
    </row>
    <row r="10834">
      <c r="A10834" s="3">
        <v>785079.0</v>
      </c>
      <c r="B10834" s="3" t="s">
        <v>10862</v>
      </c>
      <c r="C10834" s="3" t="s">
        <v>8</v>
      </c>
      <c r="D10834" s="3">
        <v>288.0</v>
      </c>
      <c r="E10834" s="3">
        <v>11.63</v>
      </c>
      <c r="F10834" s="3">
        <v>4.57</v>
      </c>
      <c r="G10834" s="3">
        <v>41.7</v>
      </c>
    </row>
    <row r="10835">
      <c r="A10835" s="3">
        <v>785088.0</v>
      </c>
      <c r="B10835" s="3" t="s">
        <v>10863</v>
      </c>
      <c r="C10835" s="3" t="s">
        <v>8</v>
      </c>
      <c r="D10835" s="3">
        <v>418.0</v>
      </c>
      <c r="E10835" s="3">
        <v>23.0</v>
      </c>
      <c r="F10835" s="3">
        <v>5.74</v>
      </c>
      <c r="G10835" s="3">
        <v>47.72</v>
      </c>
    </row>
    <row r="10836">
      <c r="A10836" s="3">
        <v>785090.0</v>
      </c>
      <c r="B10836" s="3" t="s">
        <v>10864</v>
      </c>
      <c r="C10836" s="3" t="s">
        <v>8</v>
      </c>
      <c r="D10836" s="3">
        <v>481.0</v>
      </c>
      <c r="E10836" s="3">
        <v>30.58</v>
      </c>
      <c r="F10836" s="3">
        <v>3.02</v>
      </c>
      <c r="G10836" s="3">
        <v>49.8</v>
      </c>
    </row>
    <row r="10837">
      <c r="A10837" s="3">
        <v>785094.0</v>
      </c>
      <c r="B10837" s="3" t="s">
        <v>10865</v>
      </c>
      <c r="C10837" s="3" t="s">
        <v>8</v>
      </c>
      <c r="D10837" s="3">
        <v>405.0</v>
      </c>
      <c r="E10837" s="3">
        <v>19.66</v>
      </c>
      <c r="F10837" s="3">
        <v>5.9</v>
      </c>
      <c r="G10837" s="3">
        <v>54.0</v>
      </c>
    </row>
    <row r="10838">
      <c r="A10838" s="3">
        <v>785096.0</v>
      </c>
      <c r="B10838" s="3" t="s">
        <v>10866</v>
      </c>
      <c r="C10838" s="3" t="s">
        <v>8</v>
      </c>
      <c r="D10838" s="3">
        <v>412.0</v>
      </c>
      <c r="E10838" s="3">
        <v>22.27</v>
      </c>
      <c r="F10838" s="3">
        <v>6.68</v>
      </c>
      <c r="G10838" s="3">
        <v>48.39</v>
      </c>
    </row>
    <row r="10839">
      <c r="A10839" s="3">
        <v>785097.0</v>
      </c>
      <c r="B10839" s="3" t="s">
        <v>10867</v>
      </c>
      <c r="C10839" s="3" t="s">
        <v>8</v>
      </c>
      <c r="D10839" s="3">
        <v>405.0</v>
      </c>
      <c r="E10839" s="3">
        <v>19.42</v>
      </c>
      <c r="F10839" s="3">
        <v>5.38</v>
      </c>
      <c r="G10839" s="3">
        <v>52.61</v>
      </c>
    </row>
    <row r="10840">
      <c r="A10840" s="3">
        <v>785100.0</v>
      </c>
      <c r="B10840" s="3" t="s">
        <v>10868</v>
      </c>
      <c r="C10840" s="3" t="s">
        <v>8</v>
      </c>
      <c r="D10840" s="3">
        <v>354.0</v>
      </c>
      <c r="E10840" s="3">
        <v>18.36</v>
      </c>
      <c r="F10840" s="3">
        <v>5.48</v>
      </c>
      <c r="G10840" s="3">
        <v>41.66</v>
      </c>
    </row>
    <row r="10841">
      <c r="A10841" s="3">
        <v>785101.0</v>
      </c>
      <c r="B10841" s="3" t="s">
        <v>10869</v>
      </c>
      <c r="C10841" s="3" t="s">
        <v>8</v>
      </c>
      <c r="D10841" s="3">
        <v>361.0</v>
      </c>
      <c r="E10841" s="3">
        <v>13.95</v>
      </c>
      <c r="F10841" s="3">
        <v>4.11</v>
      </c>
      <c r="G10841" s="3">
        <v>55.52</v>
      </c>
    </row>
    <row r="10842">
      <c r="A10842" s="3">
        <v>785104.0</v>
      </c>
      <c r="B10842" s="3" t="s">
        <v>10870</v>
      </c>
      <c r="C10842" s="3" t="s">
        <v>8</v>
      </c>
      <c r="D10842" s="3">
        <v>382.0</v>
      </c>
      <c r="E10842" s="3">
        <v>17.71</v>
      </c>
      <c r="F10842" s="3">
        <v>6.36</v>
      </c>
      <c r="G10842" s="3">
        <v>51.24</v>
      </c>
    </row>
    <row r="10843">
      <c r="A10843" s="3">
        <v>785105.0</v>
      </c>
      <c r="B10843" s="3" t="s">
        <v>10871</v>
      </c>
      <c r="C10843" s="3" t="s">
        <v>8</v>
      </c>
      <c r="D10843" s="3">
        <v>311.0</v>
      </c>
      <c r="E10843" s="3">
        <v>11.3</v>
      </c>
      <c r="F10843" s="3">
        <v>4.12</v>
      </c>
      <c r="G10843" s="3">
        <v>50.2</v>
      </c>
    </row>
    <row r="10844">
      <c r="A10844" s="3">
        <v>785106.0</v>
      </c>
      <c r="B10844" s="3" t="s">
        <v>10872</v>
      </c>
      <c r="C10844" s="3" t="s">
        <v>8</v>
      </c>
      <c r="D10844" s="3">
        <v>355.0</v>
      </c>
      <c r="E10844" s="3">
        <v>17.25</v>
      </c>
      <c r="F10844" s="3">
        <v>7.24</v>
      </c>
      <c r="G10844" s="3">
        <v>44.43</v>
      </c>
    </row>
    <row r="10845">
      <c r="A10845" s="3">
        <v>785136.0</v>
      </c>
      <c r="B10845" s="3" t="s">
        <v>10873</v>
      </c>
      <c r="C10845" s="3" t="s">
        <v>33</v>
      </c>
      <c r="D10845" s="3">
        <v>414.0</v>
      </c>
      <c r="E10845" s="3">
        <v>9.0</v>
      </c>
      <c r="F10845" s="3">
        <v>3.4</v>
      </c>
      <c r="G10845" s="3">
        <v>80.5</v>
      </c>
    </row>
    <row r="10846">
      <c r="A10846" s="3">
        <v>785137.0</v>
      </c>
      <c r="B10846" s="3" t="s">
        <v>10874</v>
      </c>
      <c r="C10846" s="3" t="s">
        <v>33</v>
      </c>
      <c r="D10846" s="3">
        <v>377.0</v>
      </c>
      <c r="E10846" s="3">
        <v>7.5</v>
      </c>
      <c r="F10846" s="3">
        <v>4.4</v>
      </c>
      <c r="G10846" s="3">
        <v>72.9</v>
      </c>
    </row>
    <row r="10847">
      <c r="A10847" s="3">
        <v>785139.0</v>
      </c>
      <c r="B10847" s="3" t="s">
        <v>10875</v>
      </c>
      <c r="C10847" s="3" t="s">
        <v>33</v>
      </c>
      <c r="D10847" s="3">
        <v>377.0</v>
      </c>
      <c r="E10847" s="3">
        <v>7.5</v>
      </c>
      <c r="F10847" s="3">
        <v>4.4</v>
      </c>
      <c r="G10847" s="3">
        <v>72.9</v>
      </c>
    </row>
    <row r="10848">
      <c r="A10848" s="3">
        <v>785142.0</v>
      </c>
      <c r="B10848" s="3" t="s">
        <v>10876</v>
      </c>
      <c r="C10848" s="3" t="s">
        <v>33</v>
      </c>
      <c r="D10848" s="3">
        <v>409.0</v>
      </c>
      <c r="E10848" s="3">
        <v>9.72</v>
      </c>
      <c r="F10848" s="3">
        <v>5.55</v>
      </c>
      <c r="G10848" s="3">
        <v>74.72</v>
      </c>
    </row>
    <row r="10849">
      <c r="A10849" s="3">
        <v>785148.0</v>
      </c>
      <c r="B10849" s="3" t="s">
        <v>10877</v>
      </c>
      <c r="C10849" s="3" t="s">
        <v>33</v>
      </c>
      <c r="D10849" s="3">
        <v>422.0</v>
      </c>
      <c r="E10849" s="3">
        <v>14.29</v>
      </c>
      <c r="F10849" s="3">
        <v>16.8</v>
      </c>
      <c r="G10849" s="3">
        <v>56.46</v>
      </c>
    </row>
    <row r="10850">
      <c r="A10850" s="3">
        <v>785149.0</v>
      </c>
      <c r="B10850" s="3" t="s">
        <v>10878</v>
      </c>
      <c r="C10850" s="3" t="s">
        <v>33</v>
      </c>
      <c r="D10850" s="3">
        <v>422.0</v>
      </c>
      <c r="E10850" s="3">
        <v>14.0</v>
      </c>
      <c r="F10850" s="3">
        <v>30.0</v>
      </c>
      <c r="G10850" s="3">
        <v>45.0</v>
      </c>
    </row>
    <row r="10851">
      <c r="A10851" s="3">
        <v>785150.0</v>
      </c>
      <c r="B10851" s="3" t="s">
        <v>10879</v>
      </c>
      <c r="C10851" s="3" t="s">
        <v>33</v>
      </c>
      <c r="D10851" s="3">
        <v>422.0</v>
      </c>
      <c r="E10851" s="3">
        <v>14.0</v>
      </c>
      <c r="F10851" s="3">
        <v>30.0</v>
      </c>
      <c r="G10851" s="3">
        <v>45.0</v>
      </c>
    </row>
    <row r="10852">
      <c r="A10852" s="3">
        <v>785154.0</v>
      </c>
      <c r="B10852" s="3" t="s">
        <v>10880</v>
      </c>
      <c r="C10852" s="3" t="s">
        <v>196</v>
      </c>
      <c r="D10852" s="3">
        <v>392.0</v>
      </c>
      <c r="E10852" s="3">
        <v>4.2</v>
      </c>
      <c r="F10852" s="3">
        <v>10.7</v>
      </c>
      <c r="G10852" s="3">
        <v>76.4</v>
      </c>
    </row>
    <row r="10853">
      <c r="A10853" s="3">
        <v>785164.0</v>
      </c>
      <c r="B10853" s="3" t="s">
        <v>10881</v>
      </c>
      <c r="C10853" s="3" t="s">
        <v>33</v>
      </c>
      <c r="D10853" s="3">
        <v>427.0</v>
      </c>
      <c r="E10853" s="3">
        <v>15.06</v>
      </c>
      <c r="F10853" s="3">
        <v>7.12</v>
      </c>
      <c r="G10853" s="3">
        <v>71.01</v>
      </c>
    </row>
    <row r="10854">
      <c r="A10854" s="3">
        <v>785167.0</v>
      </c>
      <c r="B10854" s="3" t="s">
        <v>10882</v>
      </c>
      <c r="C10854" s="3" t="s">
        <v>33</v>
      </c>
      <c r="D10854" s="3">
        <v>416.0</v>
      </c>
      <c r="E10854" s="3">
        <v>8.75</v>
      </c>
      <c r="F10854" s="3">
        <v>9.39</v>
      </c>
      <c r="G10854" s="3">
        <v>73.48</v>
      </c>
    </row>
    <row r="10855">
      <c r="A10855" s="3">
        <v>785180.0</v>
      </c>
      <c r="B10855" s="3" t="s">
        <v>10883</v>
      </c>
      <c r="C10855" s="3" t="s">
        <v>33</v>
      </c>
      <c r="D10855" s="3">
        <v>412.0</v>
      </c>
      <c r="E10855" s="3">
        <v>8.25</v>
      </c>
      <c r="F10855" s="3">
        <v>9.85</v>
      </c>
      <c r="G10855" s="3">
        <v>75.23</v>
      </c>
    </row>
    <row r="10856">
      <c r="A10856" s="3">
        <v>785187.0</v>
      </c>
      <c r="B10856" s="3" t="s">
        <v>10884</v>
      </c>
      <c r="C10856" s="3" t="s">
        <v>33</v>
      </c>
      <c r="D10856" s="3">
        <v>429.0</v>
      </c>
      <c r="E10856" s="3">
        <v>8.85</v>
      </c>
      <c r="F10856" s="3">
        <v>10.78</v>
      </c>
      <c r="G10856" s="3">
        <v>77.41</v>
      </c>
    </row>
    <row r="10857">
      <c r="A10857" s="3">
        <v>785189.0</v>
      </c>
      <c r="B10857" s="3" t="s">
        <v>10885</v>
      </c>
      <c r="C10857" s="3" t="s">
        <v>33</v>
      </c>
      <c r="D10857" s="3">
        <v>329.0</v>
      </c>
      <c r="E10857" s="3">
        <v>1.21</v>
      </c>
      <c r="F10857" s="3">
        <v>5.07</v>
      </c>
      <c r="G10857" s="3">
        <v>72.54</v>
      </c>
    </row>
    <row r="10858">
      <c r="A10858" s="3">
        <v>785196.0</v>
      </c>
      <c r="B10858" s="3" t="s">
        <v>10886</v>
      </c>
      <c r="C10858" s="3" t="s">
        <v>33</v>
      </c>
      <c r="D10858" s="3">
        <v>482.0</v>
      </c>
      <c r="E10858" s="3">
        <v>25.0</v>
      </c>
      <c r="F10858" s="3">
        <v>7.5</v>
      </c>
      <c r="G10858" s="3">
        <v>57.14</v>
      </c>
    </row>
    <row r="10859">
      <c r="A10859" s="3">
        <v>785200.0</v>
      </c>
      <c r="B10859" s="3" t="s">
        <v>10887</v>
      </c>
      <c r="C10859" s="3" t="s">
        <v>33</v>
      </c>
      <c r="D10859" s="3">
        <v>479.0</v>
      </c>
      <c r="E10859" s="3">
        <v>25.09</v>
      </c>
      <c r="F10859" s="3">
        <v>7.66</v>
      </c>
      <c r="G10859" s="3">
        <v>56.05</v>
      </c>
    </row>
    <row r="10860">
      <c r="A10860" s="3">
        <v>785203.0</v>
      </c>
      <c r="B10860" s="3" t="s">
        <v>10888</v>
      </c>
      <c r="C10860" s="3" t="s">
        <v>33</v>
      </c>
      <c r="D10860" s="3">
        <v>441.0</v>
      </c>
      <c r="E10860" s="3">
        <v>15.26</v>
      </c>
      <c r="F10860" s="3">
        <v>8.94</v>
      </c>
      <c r="G10860" s="3">
        <v>70.14</v>
      </c>
    </row>
    <row r="10861">
      <c r="A10861" s="3">
        <v>785204.0</v>
      </c>
      <c r="B10861" s="3" t="s">
        <v>10889</v>
      </c>
      <c r="C10861" s="3" t="s">
        <v>33</v>
      </c>
      <c r="D10861" s="3">
        <v>441.0</v>
      </c>
      <c r="E10861" s="3">
        <v>15.26</v>
      </c>
      <c r="F10861" s="3">
        <v>8.94</v>
      </c>
      <c r="G10861" s="3">
        <v>70.14</v>
      </c>
    </row>
    <row r="10862">
      <c r="A10862" s="3">
        <v>785205.0</v>
      </c>
      <c r="B10862" s="3" t="s">
        <v>10890</v>
      </c>
      <c r="C10862" s="3" t="s">
        <v>33</v>
      </c>
      <c r="D10862" s="3">
        <v>441.0</v>
      </c>
      <c r="E10862" s="3">
        <v>15.26</v>
      </c>
      <c r="F10862" s="3">
        <v>8.94</v>
      </c>
      <c r="G10862" s="3">
        <v>70.14</v>
      </c>
    </row>
    <row r="10863">
      <c r="A10863" s="3">
        <v>785207.0</v>
      </c>
      <c r="B10863" s="3" t="s">
        <v>10891</v>
      </c>
      <c r="C10863" s="3" t="s">
        <v>33</v>
      </c>
      <c r="D10863" s="3">
        <v>441.0</v>
      </c>
      <c r="E10863" s="3">
        <v>15.26</v>
      </c>
      <c r="F10863" s="3">
        <v>8.94</v>
      </c>
      <c r="G10863" s="3">
        <v>70.14</v>
      </c>
    </row>
    <row r="10864">
      <c r="A10864" s="3">
        <v>785208.0</v>
      </c>
      <c r="B10864" s="3" t="s">
        <v>10892</v>
      </c>
      <c r="C10864" s="3" t="s">
        <v>33</v>
      </c>
      <c r="D10864" s="3">
        <v>441.0</v>
      </c>
      <c r="E10864" s="3">
        <v>15.26</v>
      </c>
      <c r="F10864" s="3">
        <v>8.94</v>
      </c>
      <c r="G10864" s="3">
        <v>70.14</v>
      </c>
    </row>
    <row r="10865">
      <c r="A10865" s="3">
        <v>785209.0</v>
      </c>
      <c r="B10865" s="3" t="s">
        <v>10893</v>
      </c>
      <c r="C10865" s="3" t="s">
        <v>33</v>
      </c>
      <c r="D10865" s="3">
        <v>441.0</v>
      </c>
      <c r="E10865" s="3">
        <v>15.26</v>
      </c>
      <c r="F10865" s="3">
        <v>8.94</v>
      </c>
      <c r="G10865" s="3">
        <v>70.14</v>
      </c>
    </row>
    <row r="10866">
      <c r="A10866" s="3">
        <v>785216.0</v>
      </c>
      <c r="B10866" s="3" t="s">
        <v>10894</v>
      </c>
      <c r="C10866" s="3" t="s">
        <v>196</v>
      </c>
      <c r="D10866" s="3">
        <v>389.0</v>
      </c>
      <c r="E10866" s="3">
        <v>2.3</v>
      </c>
      <c r="F10866" s="3">
        <v>6.19</v>
      </c>
      <c r="G10866" s="3">
        <v>85.79</v>
      </c>
    </row>
    <row r="10867">
      <c r="A10867" s="3">
        <v>785219.0</v>
      </c>
      <c r="B10867" s="3" t="s">
        <v>10895</v>
      </c>
      <c r="C10867" s="3" t="s">
        <v>33</v>
      </c>
      <c r="D10867" s="3">
        <v>534.0</v>
      </c>
      <c r="E10867" s="3">
        <v>33.1</v>
      </c>
      <c r="F10867" s="3">
        <v>6.12</v>
      </c>
      <c r="G10867" s="3">
        <v>56.45</v>
      </c>
    </row>
    <row r="10868">
      <c r="A10868" s="3">
        <v>785220.0</v>
      </c>
      <c r="B10868" s="3" t="s">
        <v>10896</v>
      </c>
      <c r="C10868" s="3" t="s">
        <v>33</v>
      </c>
      <c r="D10868" s="3">
        <v>542.0</v>
      </c>
      <c r="E10868" s="3">
        <v>34.02</v>
      </c>
      <c r="F10868" s="3">
        <v>6.11</v>
      </c>
      <c r="G10868" s="3">
        <v>56.34</v>
      </c>
    </row>
    <row r="10869">
      <c r="A10869" s="3">
        <v>785221.0</v>
      </c>
      <c r="B10869" s="3" t="s">
        <v>10897</v>
      </c>
      <c r="C10869" s="3" t="s">
        <v>33</v>
      </c>
      <c r="D10869" s="3">
        <v>538.0</v>
      </c>
      <c r="E10869" s="3">
        <v>33.36</v>
      </c>
      <c r="F10869" s="3">
        <v>6.17</v>
      </c>
      <c r="G10869" s="3">
        <v>56.9</v>
      </c>
    </row>
    <row r="10870">
      <c r="A10870" s="3">
        <v>785222.0</v>
      </c>
      <c r="B10870" s="3" t="s">
        <v>10898</v>
      </c>
      <c r="C10870" s="3" t="s">
        <v>33</v>
      </c>
      <c r="D10870" s="3">
        <v>535.0</v>
      </c>
      <c r="E10870" s="3">
        <v>33.19</v>
      </c>
      <c r="F10870" s="3">
        <v>6.14</v>
      </c>
      <c r="G10870" s="3">
        <v>56.62</v>
      </c>
    </row>
    <row r="10871">
      <c r="A10871" s="3">
        <v>785223.0</v>
      </c>
      <c r="B10871" s="3" t="s">
        <v>10899</v>
      </c>
      <c r="C10871" s="3" t="s">
        <v>33</v>
      </c>
      <c r="D10871" s="3">
        <v>560.0</v>
      </c>
      <c r="E10871" s="3">
        <v>36.01</v>
      </c>
      <c r="F10871" s="3">
        <v>5.85</v>
      </c>
      <c r="G10871" s="3">
        <v>53.53</v>
      </c>
    </row>
    <row r="10872">
      <c r="A10872" s="3">
        <v>785226.0</v>
      </c>
      <c r="B10872" s="3" t="s">
        <v>10900</v>
      </c>
      <c r="C10872" s="3" t="s">
        <v>33</v>
      </c>
      <c r="D10872" s="3">
        <v>560.0</v>
      </c>
      <c r="E10872" s="3">
        <v>36.01</v>
      </c>
      <c r="F10872" s="3">
        <v>5.85</v>
      </c>
      <c r="G10872" s="3">
        <v>53.53</v>
      </c>
    </row>
    <row r="10873">
      <c r="A10873" s="3">
        <v>785228.0</v>
      </c>
      <c r="B10873" s="3" t="s">
        <v>10901</v>
      </c>
      <c r="C10873" s="3" t="s">
        <v>33</v>
      </c>
      <c r="D10873" s="3">
        <v>548.0</v>
      </c>
      <c r="E10873" s="3">
        <v>33.63</v>
      </c>
      <c r="F10873" s="3">
        <v>6.84</v>
      </c>
      <c r="G10873" s="3">
        <v>56.54</v>
      </c>
    </row>
    <row r="10874">
      <c r="A10874" s="3">
        <v>785229.0</v>
      </c>
      <c r="B10874" s="3" t="s">
        <v>10902</v>
      </c>
      <c r="C10874" s="3" t="s">
        <v>33</v>
      </c>
      <c r="D10874" s="3">
        <v>438.0</v>
      </c>
      <c r="E10874" s="3">
        <v>11.19</v>
      </c>
      <c r="F10874" s="3">
        <v>10.19</v>
      </c>
      <c r="G10874" s="3">
        <v>74.18</v>
      </c>
    </row>
    <row r="10875">
      <c r="A10875" s="3">
        <v>785231.0</v>
      </c>
      <c r="B10875" s="3" t="s">
        <v>10903</v>
      </c>
      <c r="C10875" s="3" t="s">
        <v>33</v>
      </c>
      <c r="D10875" s="3">
        <v>470.0</v>
      </c>
      <c r="E10875" s="3">
        <v>20.58</v>
      </c>
      <c r="F10875" s="3">
        <v>7.06</v>
      </c>
      <c r="G10875" s="3">
        <v>67.44</v>
      </c>
    </row>
    <row r="10876">
      <c r="A10876" s="3">
        <v>785233.0</v>
      </c>
      <c r="B10876" s="3" t="s">
        <v>10904</v>
      </c>
      <c r="C10876" s="3" t="s">
        <v>33</v>
      </c>
      <c r="D10876" s="3">
        <v>411.0</v>
      </c>
      <c r="E10876" s="3">
        <v>5.63</v>
      </c>
      <c r="F10876" s="3">
        <v>10.86</v>
      </c>
      <c r="G10876" s="3">
        <v>79.07</v>
      </c>
    </row>
    <row r="10877">
      <c r="A10877" s="3">
        <v>785234.0</v>
      </c>
      <c r="B10877" s="3" t="s">
        <v>10905</v>
      </c>
      <c r="C10877" s="3" t="s">
        <v>33</v>
      </c>
      <c r="D10877" s="3">
        <v>411.0</v>
      </c>
      <c r="E10877" s="3">
        <v>5.63</v>
      </c>
      <c r="F10877" s="3">
        <v>10.86</v>
      </c>
      <c r="G10877" s="3">
        <v>79.07</v>
      </c>
    </row>
    <row r="10878">
      <c r="A10878" s="3">
        <v>785236.0</v>
      </c>
      <c r="B10878" s="3" t="s">
        <v>10906</v>
      </c>
      <c r="C10878" s="3" t="s">
        <v>33</v>
      </c>
      <c r="D10878" s="3">
        <v>489.0</v>
      </c>
      <c r="E10878" s="3">
        <v>19.84</v>
      </c>
      <c r="F10878" s="3">
        <v>9.35</v>
      </c>
      <c r="G10878" s="3">
        <v>68.08</v>
      </c>
    </row>
    <row r="10879">
      <c r="A10879" s="3">
        <v>785237.0</v>
      </c>
      <c r="B10879" s="3" t="s">
        <v>10907</v>
      </c>
      <c r="C10879" s="3" t="s">
        <v>33</v>
      </c>
      <c r="D10879" s="3">
        <v>501.0</v>
      </c>
      <c r="E10879" s="3">
        <v>25.61</v>
      </c>
      <c r="F10879" s="3">
        <v>7.0</v>
      </c>
      <c r="G10879" s="3">
        <v>62.68</v>
      </c>
    </row>
    <row r="10880">
      <c r="A10880" s="3">
        <v>785240.0</v>
      </c>
      <c r="B10880" s="3" t="s">
        <v>10908</v>
      </c>
      <c r="C10880" s="3" t="s">
        <v>33</v>
      </c>
      <c r="D10880" s="3">
        <v>538.0</v>
      </c>
      <c r="E10880" s="3">
        <v>31.07</v>
      </c>
      <c r="F10880" s="3">
        <v>8.69</v>
      </c>
      <c r="G10880" s="3">
        <v>55.99</v>
      </c>
    </row>
    <row r="10881">
      <c r="A10881" s="3">
        <v>785241.0</v>
      </c>
      <c r="B10881" s="3" t="s">
        <v>10909</v>
      </c>
      <c r="C10881" s="3" t="s">
        <v>33</v>
      </c>
      <c r="D10881" s="3">
        <v>656.0</v>
      </c>
      <c r="E10881" s="3">
        <v>58.78</v>
      </c>
      <c r="F10881" s="3">
        <v>4.96</v>
      </c>
      <c r="G10881" s="3">
        <v>31.65</v>
      </c>
    </row>
    <row r="10882">
      <c r="A10882" s="3">
        <v>785242.0</v>
      </c>
      <c r="B10882" s="3" t="s">
        <v>10910</v>
      </c>
      <c r="C10882" s="3" t="s">
        <v>33</v>
      </c>
      <c r="D10882" s="3">
        <v>603.0</v>
      </c>
      <c r="E10882" s="3">
        <v>48.7</v>
      </c>
      <c r="F10882" s="3">
        <v>6.18</v>
      </c>
      <c r="G10882" s="3">
        <v>39.87</v>
      </c>
    </row>
    <row r="10883">
      <c r="A10883" s="3">
        <v>785243.0</v>
      </c>
      <c r="B10883" s="3" t="s">
        <v>10911</v>
      </c>
      <c r="C10883" s="3" t="s">
        <v>33</v>
      </c>
      <c r="D10883" s="3">
        <v>385.0</v>
      </c>
      <c r="E10883" s="3">
        <v>4.52</v>
      </c>
      <c r="F10883" s="3">
        <v>12.89</v>
      </c>
      <c r="G10883" s="3">
        <v>77.47</v>
      </c>
    </row>
    <row r="10884">
      <c r="A10884" s="3">
        <v>785244.0</v>
      </c>
      <c r="B10884" s="3" t="s">
        <v>10912</v>
      </c>
      <c r="C10884" s="3" t="s">
        <v>33</v>
      </c>
      <c r="D10884" s="3">
        <v>425.0</v>
      </c>
      <c r="E10884" s="3">
        <v>14.87</v>
      </c>
      <c r="F10884" s="3">
        <v>11.02</v>
      </c>
      <c r="G10884" s="3">
        <v>65.75</v>
      </c>
    </row>
    <row r="10885">
      <c r="A10885" s="3">
        <v>785245.0</v>
      </c>
      <c r="B10885" s="3" t="s">
        <v>10913</v>
      </c>
      <c r="C10885" s="3" t="s">
        <v>33</v>
      </c>
      <c r="D10885" s="3">
        <v>498.0</v>
      </c>
      <c r="E10885" s="3">
        <v>27.99</v>
      </c>
      <c r="F10885" s="3">
        <v>8.96</v>
      </c>
      <c r="G10885" s="3">
        <v>57.87</v>
      </c>
    </row>
    <row r="10886">
      <c r="A10886" s="3">
        <v>785246.0</v>
      </c>
      <c r="B10886" s="3" t="s">
        <v>10914</v>
      </c>
      <c r="C10886" s="3" t="s">
        <v>33</v>
      </c>
      <c r="D10886" s="3">
        <v>520.0</v>
      </c>
      <c r="E10886" s="3">
        <v>34.77</v>
      </c>
      <c r="F10886" s="3">
        <v>7.69</v>
      </c>
      <c r="G10886" s="3">
        <v>49.13</v>
      </c>
    </row>
    <row r="10887">
      <c r="A10887" s="3">
        <v>785247.0</v>
      </c>
      <c r="B10887" s="3" t="s">
        <v>10915</v>
      </c>
      <c r="C10887" s="3" t="s">
        <v>33</v>
      </c>
      <c r="D10887" s="3">
        <v>538.0</v>
      </c>
      <c r="E10887" s="3">
        <v>31.07</v>
      </c>
      <c r="F10887" s="3">
        <v>8.69</v>
      </c>
      <c r="G10887" s="3">
        <v>55.99</v>
      </c>
    </row>
    <row r="10888">
      <c r="A10888" s="3">
        <v>785248.0</v>
      </c>
      <c r="B10888" s="3" t="s">
        <v>10916</v>
      </c>
      <c r="C10888" s="3" t="s">
        <v>33</v>
      </c>
      <c r="D10888" s="3">
        <v>538.0</v>
      </c>
      <c r="E10888" s="3">
        <v>31.07</v>
      </c>
      <c r="F10888" s="3">
        <v>8.69</v>
      </c>
      <c r="G10888" s="3">
        <v>55.99</v>
      </c>
    </row>
    <row r="10889">
      <c r="A10889" s="3">
        <v>785249.0</v>
      </c>
      <c r="B10889" s="3" t="s">
        <v>10917</v>
      </c>
      <c r="C10889" s="3" t="s">
        <v>33</v>
      </c>
      <c r="D10889" s="3">
        <v>421.0</v>
      </c>
      <c r="E10889" s="3">
        <v>9.43</v>
      </c>
      <c r="F10889" s="3">
        <v>12.51</v>
      </c>
      <c r="G10889" s="3">
        <v>71.5</v>
      </c>
    </row>
    <row r="10890">
      <c r="A10890" s="3">
        <v>785250.0</v>
      </c>
      <c r="B10890" s="3" t="s">
        <v>10918</v>
      </c>
      <c r="C10890" s="3" t="s">
        <v>33</v>
      </c>
      <c r="D10890" s="3">
        <v>496.0</v>
      </c>
      <c r="E10890" s="3">
        <v>27.88</v>
      </c>
      <c r="F10890" s="3">
        <v>8.93</v>
      </c>
      <c r="G10890" s="3">
        <v>57.64</v>
      </c>
    </row>
    <row r="10891">
      <c r="A10891" s="3">
        <v>785251.0</v>
      </c>
      <c r="B10891" s="3" t="s">
        <v>10919</v>
      </c>
      <c r="C10891" s="3" t="s">
        <v>33</v>
      </c>
      <c r="D10891" s="3">
        <v>496.0</v>
      </c>
      <c r="E10891" s="3">
        <v>27.88</v>
      </c>
      <c r="F10891" s="3">
        <v>8.93</v>
      </c>
      <c r="G10891" s="3">
        <v>57.64</v>
      </c>
    </row>
    <row r="10892">
      <c r="A10892" s="3">
        <v>785252.0</v>
      </c>
      <c r="B10892" s="3" t="s">
        <v>10920</v>
      </c>
      <c r="C10892" s="3" t="s">
        <v>33</v>
      </c>
      <c r="D10892" s="3">
        <v>538.0</v>
      </c>
      <c r="E10892" s="3">
        <v>31.07</v>
      </c>
      <c r="F10892" s="3">
        <v>8.69</v>
      </c>
      <c r="G10892" s="3">
        <v>55.99</v>
      </c>
    </row>
    <row r="10893">
      <c r="A10893" s="3">
        <v>785253.0</v>
      </c>
      <c r="B10893" s="3" t="s">
        <v>10921</v>
      </c>
      <c r="C10893" s="3" t="s">
        <v>33</v>
      </c>
      <c r="D10893" s="3">
        <v>421.0</v>
      </c>
      <c r="E10893" s="3">
        <v>9.43</v>
      </c>
      <c r="F10893" s="3">
        <v>12.51</v>
      </c>
      <c r="G10893" s="3">
        <v>71.5</v>
      </c>
    </row>
    <row r="10894">
      <c r="A10894" s="3">
        <v>785254.0</v>
      </c>
      <c r="B10894" s="3" t="s">
        <v>10922</v>
      </c>
      <c r="C10894" s="3" t="s">
        <v>33</v>
      </c>
      <c r="D10894" s="3">
        <v>536.0</v>
      </c>
      <c r="E10894" s="3">
        <v>30.95</v>
      </c>
      <c r="F10894" s="3">
        <v>8.65</v>
      </c>
      <c r="G10894" s="3">
        <v>55.77</v>
      </c>
    </row>
    <row r="10895">
      <c r="A10895" s="3">
        <v>785255.0</v>
      </c>
      <c r="B10895" s="3" t="s">
        <v>10923</v>
      </c>
      <c r="C10895" s="3" t="s">
        <v>33</v>
      </c>
      <c r="D10895" s="3">
        <v>516.0</v>
      </c>
      <c r="E10895" s="3">
        <v>27.06</v>
      </c>
      <c r="F10895" s="3">
        <v>9.88</v>
      </c>
      <c r="G10895" s="3">
        <v>58.26</v>
      </c>
    </row>
    <row r="10896">
      <c r="A10896" s="3">
        <v>785256.0</v>
      </c>
      <c r="B10896" s="3" t="s">
        <v>10924</v>
      </c>
      <c r="C10896" s="3" t="s">
        <v>33</v>
      </c>
      <c r="D10896" s="3">
        <v>422.0</v>
      </c>
      <c r="E10896" s="3">
        <v>9.31</v>
      </c>
      <c r="F10896" s="3">
        <v>12.35</v>
      </c>
      <c r="G10896" s="3">
        <v>72.38</v>
      </c>
    </row>
    <row r="10897">
      <c r="A10897" s="3">
        <v>785257.0</v>
      </c>
      <c r="B10897" s="3" t="s">
        <v>10925</v>
      </c>
      <c r="C10897" s="3" t="s">
        <v>33</v>
      </c>
      <c r="D10897" s="3">
        <v>536.0</v>
      </c>
      <c r="E10897" s="3">
        <v>30.95</v>
      </c>
      <c r="F10897" s="3">
        <v>8.65</v>
      </c>
      <c r="G10897" s="3">
        <v>55.77</v>
      </c>
    </row>
    <row r="10898">
      <c r="A10898" s="3">
        <v>785258.0</v>
      </c>
      <c r="B10898" s="3" t="s">
        <v>10926</v>
      </c>
      <c r="C10898" s="3" t="s">
        <v>33</v>
      </c>
      <c r="D10898" s="3">
        <v>530.0</v>
      </c>
      <c r="E10898" s="3">
        <v>32.53</v>
      </c>
      <c r="F10898" s="3">
        <v>8.88</v>
      </c>
      <c r="G10898" s="3">
        <v>53.38</v>
      </c>
    </row>
    <row r="10899">
      <c r="A10899" s="3">
        <v>785259.0</v>
      </c>
      <c r="B10899" s="3" t="s">
        <v>10927</v>
      </c>
      <c r="C10899" s="3" t="s">
        <v>33</v>
      </c>
      <c r="D10899" s="3">
        <v>482.0</v>
      </c>
      <c r="E10899" s="3">
        <v>23.26</v>
      </c>
      <c r="F10899" s="3">
        <v>10.19</v>
      </c>
      <c r="G10899" s="3">
        <v>61.24</v>
      </c>
    </row>
    <row r="10900">
      <c r="A10900" s="3">
        <v>785260.0</v>
      </c>
      <c r="B10900" s="3" t="s">
        <v>10928</v>
      </c>
      <c r="C10900" s="3" t="s">
        <v>33</v>
      </c>
      <c r="D10900" s="3">
        <v>437.0</v>
      </c>
      <c r="E10900" s="3">
        <v>14.92</v>
      </c>
      <c r="F10900" s="3">
        <v>11.33</v>
      </c>
      <c r="G10900" s="3">
        <v>68.08</v>
      </c>
    </row>
    <row r="10901">
      <c r="A10901" s="3">
        <v>785261.0</v>
      </c>
      <c r="B10901" s="3" t="s">
        <v>10929</v>
      </c>
      <c r="C10901" s="3" t="s">
        <v>33</v>
      </c>
      <c r="D10901" s="3">
        <v>486.0</v>
      </c>
      <c r="E10901" s="3">
        <v>23.44</v>
      </c>
      <c r="F10901" s="3">
        <v>10.27</v>
      </c>
      <c r="G10901" s="3">
        <v>61.73</v>
      </c>
    </row>
    <row r="10902">
      <c r="A10902" s="3">
        <v>785262.0</v>
      </c>
      <c r="B10902" s="3" t="s">
        <v>10930</v>
      </c>
      <c r="C10902" s="3" t="s">
        <v>33</v>
      </c>
      <c r="D10902" s="3">
        <v>486.0</v>
      </c>
      <c r="E10902" s="3">
        <v>23.44</v>
      </c>
      <c r="F10902" s="3">
        <v>10.27</v>
      </c>
      <c r="G10902" s="3">
        <v>61.73</v>
      </c>
    </row>
    <row r="10903">
      <c r="A10903" s="3">
        <v>785263.0</v>
      </c>
      <c r="B10903" s="3" t="s">
        <v>10931</v>
      </c>
      <c r="C10903" s="3" t="s">
        <v>33</v>
      </c>
      <c r="D10903" s="3">
        <v>530.0</v>
      </c>
      <c r="E10903" s="3">
        <v>32.53</v>
      </c>
      <c r="F10903" s="3">
        <v>8.88</v>
      </c>
      <c r="G10903" s="3">
        <v>53.38</v>
      </c>
    </row>
    <row r="10904">
      <c r="A10904" s="3">
        <v>785264.0</v>
      </c>
      <c r="B10904" s="3" t="s">
        <v>10932</v>
      </c>
      <c r="C10904" s="3" t="s">
        <v>33</v>
      </c>
      <c r="D10904" s="3">
        <v>435.0</v>
      </c>
      <c r="E10904" s="3">
        <v>14.85</v>
      </c>
      <c r="F10904" s="3">
        <v>11.28</v>
      </c>
      <c r="G10904" s="3">
        <v>67.78</v>
      </c>
    </row>
    <row r="10905">
      <c r="A10905" s="3">
        <v>785266.0</v>
      </c>
      <c r="B10905" s="3" t="s">
        <v>10933</v>
      </c>
      <c r="C10905" s="3" t="s">
        <v>33</v>
      </c>
      <c r="D10905" s="3">
        <v>435.0</v>
      </c>
      <c r="E10905" s="3">
        <v>14.85</v>
      </c>
      <c r="F10905" s="3">
        <v>11.28</v>
      </c>
      <c r="G10905" s="3">
        <v>67.78</v>
      </c>
    </row>
    <row r="10906">
      <c r="A10906" s="3">
        <v>785267.0</v>
      </c>
      <c r="B10906" s="3" t="s">
        <v>10934</v>
      </c>
      <c r="C10906" s="3" t="s">
        <v>33</v>
      </c>
      <c r="D10906" s="3">
        <v>527.0</v>
      </c>
      <c r="E10906" s="3">
        <v>30.13</v>
      </c>
      <c r="F10906" s="3">
        <v>5.48</v>
      </c>
      <c r="G10906" s="3">
        <v>61.11</v>
      </c>
    </row>
    <row r="10907">
      <c r="A10907" s="3">
        <v>785268.0</v>
      </c>
      <c r="B10907" s="3" t="s">
        <v>10935</v>
      </c>
      <c r="C10907" s="3" t="s">
        <v>33</v>
      </c>
      <c r="D10907" s="3">
        <v>433.0</v>
      </c>
      <c r="E10907" s="3">
        <v>13.01</v>
      </c>
      <c r="F10907" s="3">
        <v>8.94</v>
      </c>
      <c r="G10907" s="3">
        <v>73.49</v>
      </c>
    </row>
    <row r="10908">
      <c r="A10908" s="3">
        <v>785270.0</v>
      </c>
      <c r="B10908" s="3" t="s">
        <v>10936</v>
      </c>
      <c r="C10908" s="3" t="s">
        <v>33</v>
      </c>
      <c r="D10908" s="3">
        <v>428.0</v>
      </c>
      <c r="E10908" s="3">
        <v>12.7</v>
      </c>
      <c r="F10908" s="3">
        <v>3.77</v>
      </c>
      <c r="G10908" s="3">
        <v>78.47</v>
      </c>
    </row>
    <row r="10909">
      <c r="A10909" s="3">
        <v>785271.0</v>
      </c>
      <c r="B10909" s="3" t="s">
        <v>10937</v>
      </c>
      <c r="C10909" s="3" t="s">
        <v>33</v>
      </c>
      <c r="D10909" s="3">
        <v>397.0</v>
      </c>
      <c r="E10909" s="3">
        <v>7.74</v>
      </c>
      <c r="F10909" s="3">
        <v>6.35</v>
      </c>
      <c r="G10909" s="3">
        <v>80.06</v>
      </c>
    </row>
    <row r="10910">
      <c r="A10910" s="3">
        <v>785273.0</v>
      </c>
      <c r="B10910" s="3" t="s">
        <v>10938</v>
      </c>
      <c r="C10910" s="3" t="s">
        <v>33</v>
      </c>
      <c r="D10910" s="3">
        <v>438.0</v>
      </c>
      <c r="E10910" s="3">
        <v>11.19</v>
      </c>
      <c r="F10910" s="3">
        <v>10.19</v>
      </c>
      <c r="G10910" s="3">
        <v>74.18</v>
      </c>
    </row>
    <row r="10911">
      <c r="A10911" s="3">
        <v>785274.0</v>
      </c>
      <c r="B10911" s="3" t="s">
        <v>10939</v>
      </c>
      <c r="C10911" s="3" t="s">
        <v>33</v>
      </c>
      <c r="D10911" s="3">
        <v>438.0</v>
      </c>
      <c r="E10911" s="3">
        <v>11.19</v>
      </c>
      <c r="F10911" s="3">
        <v>10.19</v>
      </c>
      <c r="G10911" s="3">
        <v>74.18</v>
      </c>
    </row>
    <row r="10912">
      <c r="A10912" s="3">
        <v>785275.0</v>
      </c>
      <c r="B10912" s="3" t="s">
        <v>10940</v>
      </c>
      <c r="C10912" s="3" t="s">
        <v>33</v>
      </c>
      <c r="D10912" s="3">
        <v>454.0</v>
      </c>
      <c r="E10912" s="3">
        <v>13.48</v>
      </c>
      <c r="F10912" s="3">
        <v>8.75</v>
      </c>
      <c r="G10912" s="3">
        <v>74.63</v>
      </c>
    </row>
    <row r="10913">
      <c r="A10913" s="3">
        <v>785281.0</v>
      </c>
      <c r="B10913" s="3" t="s">
        <v>10941</v>
      </c>
      <c r="C10913" s="3" t="s">
        <v>33</v>
      </c>
      <c r="D10913" s="3">
        <v>382.0</v>
      </c>
      <c r="E10913" s="3">
        <v>3.22</v>
      </c>
      <c r="F10913" s="3">
        <v>9.57</v>
      </c>
      <c r="G10913" s="3">
        <v>79.8</v>
      </c>
    </row>
    <row r="10914">
      <c r="A10914" s="3">
        <v>785283.0</v>
      </c>
      <c r="B10914" s="3" t="s">
        <v>10942</v>
      </c>
      <c r="C10914" s="3" t="s">
        <v>33</v>
      </c>
      <c r="D10914" s="3">
        <v>388.0</v>
      </c>
      <c r="E10914" s="3">
        <v>3.88</v>
      </c>
      <c r="F10914" s="3">
        <v>9.92</v>
      </c>
      <c r="G10914" s="3">
        <v>79.44</v>
      </c>
    </row>
    <row r="10915">
      <c r="A10915" s="3">
        <v>785284.0</v>
      </c>
      <c r="B10915" s="3" t="s">
        <v>10943</v>
      </c>
      <c r="C10915" s="3" t="s">
        <v>33</v>
      </c>
      <c r="D10915" s="3">
        <v>381.0</v>
      </c>
      <c r="E10915" s="3">
        <v>2.96</v>
      </c>
      <c r="F10915" s="3">
        <v>10.15</v>
      </c>
      <c r="G10915" s="3">
        <v>80.08</v>
      </c>
    </row>
    <row r="10916">
      <c r="A10916" s="3">
        <v>785286.0</v>
      </c>
      <c r="B10916" s="3" t="s">
        <v>10944</v>
      </c>
      <c r="C10916" s="3" t="s">
        <v>33</v>
      </c>
      <c r="D10916" s="3">
        <v>393.0</v>
      </c>
      <c r="E10916" s="3">
        <v>7.58</v>
      </c>
      <c r="F10916" s="3">
        <v>3.48</v>
      </c>
      <c r="G10916" s="3">
        <v>77.69</v>
      </c>
    </row>
    <row r="10917">
      <c r="A10917" s="3">
        <v>785288.0</v>
      </c>
      <c r="B10917" s="3" t="s">
        <v>10945</v>
      </c>
      <c r="C10917" s="3" t="s">
        <v>33</v>
      </c>
      <c r="D10917" s="3">
        <v>375.0</v>
      </c>
      <c r="E10917" s="3">
        <v>2.86</v>
      </c>
      <c r="F10917" s="3">
        <v>9.8</v>
      </c>
      <c r="G10917" s="3">
        <v>78.43</v>
      </c>
    </row>
    <row r="10918">
      <c r="A10918" s="3">
        <v>785289.0</v>
      </c>
      <c r="B10918" s="3" t="s">
        <v>10946</v>
      </c>
      <c r="C10918" s="3" t="s">
        <v>33</v>
      </c>
      <c r="D10918" s="3">
        <v>370.0</v>
      </c>
      <c r="E10918" s="3">
        <v>2.82</v>
      </c>
      <c r="F10918" s="3">
        <v>9.68</v>
      </c>
      <c r="G10918" s="3">
        <v>77.52</v>
      </c>
    </row>
    <row r="10919">
      <c r="A10919" s="3">
        <v>785290.0</v>
      </c>
      <c r="B10919" s="3" t="s">
        <v>10947</v>
      </c>
      <c r="C10919" s="3" t="s">
        <v>33</v>
      </c>
      <c r="D10919" s="3">
        <v>380.0</v>
      </c>
      <c r="E10919" s="3">
        <v>6.51</v>
      </c>
      <c r="F10919" s="3">
        <v>3.43</v>
      </c>
      <c r="G10919" s="3">
        <v>76.7</v>
      </c>
    </row>
    <row r="10920">
      <c r="A10920" s="3">
        <v>785293.0</v>
      </c>
      <c r="B10920" s="3" t="s">
        <v>10948</v>
      </c>
      <c r="C10920" s="3" t="s">
        <v>33</v>
      </c>
      <c r="D10920" s="3">
        <v>442.0</v>
      </c>
      <c r="E10920" s="3">
        <v>14.12</v>
      </c>
      <c r="F10920" s="3">
        <v>5.94</v>
      </c>
      <c r="G10920" s="3">
        <v>74.77</v>
      </c>
    </row>
    <row r="10921">
      <c r="A10921" s="3">
        <v>785294.0</v>
      </c>
      <c r="B10921" s="3" t="s">
        <v>10949</v>
      </c>
      <c r="C10921" s="3" t="s">
        <v>33</v>
      </c>
      <c r="D10921" s="3">
        <v>435.0</v>
      </c>
      <c r="E10921" s="3">
        <v>12.1</v>
      </c>
      <c r="F10921" s="3">
        <v>5.94</v>
      </c>
      <c r="G10921" s="3">
        <v>76.64</v>
      </c>
    </row>
    <row r="10922">
      <c r="A10922" s="3">
        <v>785295.0</v>
      </c>
      <c r="B10922" s="3" t="s">
        <v>10950</v>
      </c>
      <c r="C10922" s="3" t="s">
        <v>33</v>
      </c>
      <c r="D10922" s="3">
        <v>449.0</v>
      </c>
      <c r="E10922" s="3">
        <v>15.5</v>
      </c>
      <c r="F10922" s="3">
        <v>3.76</v>
      </c>
      <c r="G10922" s="3">
        <v>75.14</v>
      </c>
    </row>
    <row r="10923">
      <c r="A10923" s="3">
        <v>785298.0</v>
      </c>
      <c r="B10923" s="3" t="s">
        <v>10951</v>
      </c>
      <c r="C10923" s="3" t="s">
        <v>33</v>
      </c>
      <c r="D10923" s="3">
        <v>454.0</v>
      </c>
      <c r="E10923" s="3">
        <v>19.0</v>
      </c>
      <c r="F10923" s="3">
        <v>14.04</v>
      </c>
      <c r="G10923" s="3">
        <v>60.79</v>
      </c>
    </row>
    <row r="10924">
      <c r="A10924" s="3">
        <v>785299.0</v>
      </c>
      <c r="B10924" s="3" t="s">
        <v>10952</v>
      </c>
      <c r="C10924" s="3" t="s">
        <v>33</v>
      </c>
      <c r="D10924" s="3">
        <v>341.0</v>
      </c>
      <c r="E10924" s="3">
        <v>4.03</v>
      </c>
      <c r="F10924" s="3">
        <v>8.07</v>
      </c>
      <c r="G10924" s="3">
        <v>68.23</v>
      </c>
    </row>
    <row r="10925">
      <c r="A10925" s="3">
        <v>785300.0</v>
      </c>
      <c r="B10925" s="3" t="s">
        <v>10953</v>
      </c>
      <c r="C10925" s="3" t="s">
        <v>33</v>
      </c>
      <c r="D10925" s="3">
        <v>341.0</v>
      </c>
      <c r="E10925" s="3">
        <v>4.03</v>
      </c>
      <c r="F10925" s="3">
        <v>8.07</v>
      </c>
      <c r="G10925" s="3">
        <v>68.23</v>
      </c>
    </row>
    <row r="10926">
      <c r="A10926" s="3">
        <v>785301.0</v>
      </c>
      <c r="B10926" s="3" t="s">
        <v>10954</v>
      </c>
      <c r="C10926" s="3" t="s">
        <v>33</v>
      </c>
      <c r="D10926" s="3">
        <v>341.0</v>
      </c>
      <c r="E10926" s="3">
        <v>4.03</v>
      </c>
      <c r="F10926" s="3">
        <v>8.07</v>
      </c>
      <c r="G10926" s="3">
        <v>68.23</v>
      </c>
    </row>
    <row r="10927">
      <c r="A10927" s="3">
        <v>785302.0</v>
      </c>
      <c r="B10927" s="3" t="s">
        <v>10955</v>
      </c>
      <c r="C10927" s="3" t="s">
        <v>33</v>
      </c>
      <c r="D10927" s="3">
        <v>350.0</v>
      </c>
      <c r="E10927" s="3">
        <v>4.05</v>
      </c>
      <c r="F10927" s="3">
        <v>8.12</v>
      </c>
      <c r="G10927" s="3">
        <v>70.34</v>
      </c>
    </row>
    <row r="10928">
      <c r="A10928" s="3">
        <v>785303.0</v>
      </c>
      <c r="B10928" s="3" t="s">
        <v>10956</v>
      </c>
      <c r="C10928" s="3" t="s">
        <v>33</v>
      </c>
      <c r="D10928" s="3">
        <v>336.0</v>
      </c>
      <c r="E10928" s="3">
        <v>3.08</v>
      </c>
      <c r="F10928" s="3">
        <v>8.14</v>
      </c>
      <c r="G10928" s="3">
        <v>68.91</v>
      </c>
    </row>
    <row r="10929">
      <c r="A10929" s="3">
        <v>785305.0</v>
      </c>
      <c r="B10929" s="3" t="s">
        <v>10957</v>
      </c>
      <c r="C10929" s="3" t="s">
        <v>33</v>
      </c>
      <c r="D10929" s="3">
        <v>371.0</v>
      </c>
      <c r="E10929" s="3">
        <v>6.08</v>
      </c>
      <c r="F10929" s="3">
        <v>6.22</v>
      </c>
      <c r="G10929" s="3">
        <v>74.07</v>
      </c>
    </row>
    <row r="10930">
      <c r="A10930" s="3">
        <v>785306.0</v>
      </c>
      <c r="B10930" s="3" t="s">
        <v>10958</v>
      </c>
      <c r="C10930" s="3" t="s">
        <v>33</v>
      </c>
      <c r="D10930" s="3">
        <v>365.0</v>
      </c>
      <c r="E10930" s="3">
        <v>7.75</v>
      </c>
      <c r="F10930" s="3">
        <v>7.88</v>
      </c>
      <c r="G10930" s="3">
        <v>66.03</v>
      </c>
    </row>
    <row r="10931">
      <c r="A10931" s="3">
        <v>785307.0</v>
      </c>
      <c r="B10931" s="3" t="s">
        <v>10959</v>
      </c>
      <c r="C10931" s="3" t="s">
        <v>33</v>
      </c>
      <c r="D10931" s="3">
        <v>351.0</v>
      </c>
      <c r="E10931" s="3">
        <v>9.94</v>
      </c>
      <c r="F10931" s="3">
        <v>11.56</v>
      </c>
      <c r="G10931" s="3">
        <v>53.65</v>
      </c>
    </row>
    <row r="10932">
      <c r="A10932" s="3">
        <v>785308.0</v>
      </c>
      <c r="B10932" s="3" t="s">
        <v>10960</v>
      </c>
      <c r="C10932" s="3" t="s">
        <v>33</v>
      </c>
      <c r="D10932" s="3">
        <v>338.0</v>
      </c>
      <c r="E10932" s="3">
        <v>5.28</v>
      </c>
      <c r="F10932" s="3">
        <v>10.23</v>
      </c>
      <c r="G10932" s="3">
        <v>62.5</v>
      </c>
    </row>
    <row r="10933">
      <c r="A10933" s="3">
        <v>785309.0</v>
      </c>
      <c r="B10933" s="3" t="s">
        <v>10961</v>
      </c>
      <c r="C10933" s="3" t="s">
        <v>33</v>
      </c>
      <c r="D10933" s="3">
        <v>341.0</v>
      </c>
      <c r="E10933" s="3">
        <v>4.03</v>
      </c>
      <c r="F10933" s="3">
        <v>8.07</v>
      </c>
      <c r="G10933" s="3">
        <v>68.23</v>
      </c>
    </row>
    <row r="10934">
      <c r="A10934" s="3">
        <v>785310.0</v>
      </c>
      <c r="B10934" s="3" t="s">
        <v>10962</v>
      </c>
      <c r="C10934" s="3" t="s">
        <v>33</v>
      </c>
      <c r="D10934" s="3">
        <v>336.0</v>
      </c>
      <c r="E10934" s="3">
        <v>3.08</v>
      </c>
      <c r="F10934" s="3">
        <v>8.14</v>
      </c>
      <c r="G10934" s="3">
        <v>68.91</v>
      </c>
    </row>
    <row r="10935">
      <c r="A10935" s="3">
        <v>785312.0</v>
      </c>
      <c r="B10935" s="3" t="s">
        <v>10963</v>
      </c>
      <c r="C10935" s="3" t="s">
        <v>33</v>
      </c>
      <c r="D10935" s="3">
        <v>371.0</v>
      </c>
      <c r="E10935" s="3">
        <v>6.08</v>
      </c>
      <c r="F10935" s="3">
        <v>6.22</v>
      </c>
      <c r="G10935" s="3">
        <v>74.07</v>
      </c>
    </row>
    <row r="10936">
      <c r="A10936" s="3">
        <v>785313.0</v>
      </c>
      <c r="B10936" s="3" t="s">
        <v>10964</v>
      </c>
      <c r="C10936" s="3" t="s">
        <v>33</v>
      </c>
      <c r="D10936" s="3">
        <v>365.0</v>
      </c>
      <c r="E10936" s="3">
        <v>7.75</v>
      </c>
      <c r="F10936" s="3">
        <v>7.88</v>
      </c>
      <c r="G10936" s="3">
        <v>66.03</v>
      </c>
    </row>
    <row r="10937">
      <c r="A10937" s="3">
        <v>785314.0</v>
      </c>
      <c r="B10937" s="3" t="s">
        <v>10965</v>
      </c>
      <c r="C10937" s="3" t="s">
        <v>33</v>
      </c>
      <c r="D10937" s="3">
        <v>351.0</v>
      </c>
      <c r="E10937" s="3">
        <v>9.94</v>
      </c>
      <c r="F10937" s="3">
        <v>11.56</v>
      </c>
      <c r="G10937" s="3">
        <v>53.65</v>
      </c>
    </row>
    <row r="10938">
      <c r="A10938" s="3">
        <v>785315.0</v>
      </c>
      <c r="B10938" s="3" t="s">
        <v>10966</v>
      </c>
      <c r="C10938" s="3" t="s">
        <v>33</v>
      </c>
      <c r="D10938" s="3">
        <v>338.0</v>
      </c>
      <c r="E10938" s="3">
        <v>5.28</v>
      </c>
      <c r="F10938" s="3">
        <v>10.23</v>
      </c>
      <c r="G10938" s="3">
        <v>62.5</v>
      </c>
    </row>
    <row r="10939">
      <c r="A10939" s="3">
        <v>785316.0</v>
      </c>
      <c r="B10939" s="3" t="s">
        <v>10967</v>
      </c>
      <c r="C10939" s="3" t="s">
        <v>33</v>
      </c>
      <c r="D10939" s="3">
        <v>338.0</v>
      </c>
      <c r="E10939" s="3">
        <v>5.28</v>
      </c>
      <c r="F10939" s="3">
        <v>10.23</v>
      </c>
      <c r="G10939" s="3">
        <v>62.5</v>
      </c>
    </row>
    <row r="10940">
      <c r="A10940" s="3">
        <v>785317.0</v>
      </c>
      <c r="B10940" s="3" t="s">
        <v>10968</v>
      </c>
      <c r="C10940" s="3" t="s">
        <v>33</v>
      </c>
      <c r="D10940" s="3">
        <v>339.0</v>
      </c>
      <c r="E10940" s="3">
        <v>3.16</v>
      </c>
      <c r="F10940" s="3">
        <v>8.55</v>
      </c>
      <c r="G10940" s="3">
        <v>70.73</v>
      </c>
    </row>
    <row r="10941">
      <c r="A10941" s="3">
        <v>785318.0</v>
      </c>
      <c r="B10941" s="3" t="s">
        <v>10969</v>
      </c>
      <c r="C10941" s="3" t="s">
        <v>33</v>
      </c>
      <c r="D10941" s="3">
        <v>332.0</v>
      </c>
      <c r="E10941" s="3">
        <v>3.16</v>
      </c>
      <c r="F10941" s="3">
        <v>8.55</v>
      </c>
      <c r="G10941" s="3">
        <v>69.16</v>
      </c>
    </row>
    <row r="10942">
      <c r="A10942" s="3">
        <v>785319.0</v>
      </c>
      <c r="B10942" s="3" t="s">
        <v>10970</v>
      </c>
      <c r="C10942" s="3" t="s">
        <v>33</v>
      </c>
      <c r="D10942" s="3">
        <v>297.0</v>
      </c>
      <c r="E10942" s="3">
        <v>5.74</v>
      </c>
      <c r="F10942" s="3">
        <v>4.03</v>
      </c>
      <c r="G10942" s="3">
        <v>57.27</v>
      </c>
    </row>
    <row r="10943">
      <c r="A10943" s="3">
        <v>785320.0</v>
      </c>
      <c r="B10943" s="3" t="s">
        <v>10971</v>
      </c>
      <c r="C10943" s="3" t="s">
        <v>33</v>
      </c>
      <c r="D10943" s="3">
        <v>336.0</v>
      </c>
      <c r="E10943" s="3">
        <v>8.07</v>
      </c>
      <c r="F10943" s="3">
        <v>3.1</v>
      </c>
      <c r="G10943" s="3">
        <v>63.83</v>
      </c>
    </row>
    <row r="10944">
      <c r="A10944" s="3">
        <v>785321.0</v>
      </c>
      <c r="B10944" s="3" t="s">
        <v>10972</v>
      </c>
      <c r="C10944" s="3" t="s">
        <v>33</v>
      </c>
      <c r="D10944" s="3">
        <v>326.0</v>
      </c>
      <c r="E10944" s="3">
        <v>10.37</v>
      </c>
      <c r="F10944" s="3">
        <v>4.09</v>
      </c>
      <c r="G10944" s="3">
        <v>54.16</v>
      </c>
    </row>
    <row r="10945">
      <c r="A10945" s="3">
        <v>785323.0</v>
      </c>
      <c r="B10945" s="3" t="s">
        <v>10973</v>
      </c>
      <c r="C10945" s="3" t="s">
        <v>33</v>
      </c>
      <c r="D10945" s="3">
        <v>428.0</v>
      </c>
      <c r="E10945" s="3">
        <v>10.0</v>
      </c>
      <c r="F10945" s="3">
        <v>8.83</v>
      </c>
      <c r="G10945" s="3">
        <v>75.69</v>
      </c>
    </row>
    <row r="10946">
      <c r="A10946" s="3">
        <v>785326.0</v>
      </c>
      <c r="B10946" s="3" t="s">
        <v>10974</v>
      </c>
      <c r="C10946" s="3" t="s">
        <v>2807</v>
      </c>
      <c r="D10946" s="3">
        <v>278.0</v>
      </c>
      <c r="E10946" s="3">
        <v>11.87</v>
      </c>
      <c r="F10946" s="3">
        <v>7.4</v>
      </c>
      <c r="G10946" s="3">
        <v>35.31</v>
      </c>
    </row>
    <row r="10947">
      <c r="A10947" s="3">
        <v>785328.0</v>
      </c>
      <c r="B10947" s="3" t="s">
        <v>10975</v>
      </c>
      <c r="C10947" s="3" t="s">
        <v>2807</v>
      </c>
      <c r="D10947" s="3">
        <v>262.0</v>
      </c>
      <c r="E10947" s="3">
        <v>9.54</v>
      </c>
      <c r="F10947" s="3">
        <v>7.56</v>
      </c>
      <c r="G10947" s="3">
        <v>36.09</v>
      </c>
    </row>
    <row r="10948">
      <c r="A10948" s="3">
        <v>785329.0</v>
      </c>
      <c r="B10948" s="3" t="s">
        <v>10976</v>
      </c>
      <c r="C10948" s="3" t="s">
        <v>2807</v>
      </c>
      <c r="D10948" s="3">
        <v>224.0</v>
      </c>
      <c r="E10948" s="3">
        <v>6.52</v>
      </c>
      <c r="F10948" s="3">
        <v>4.99</v>
      </c>
      <c r="G10948" s="3">
        <v>36.47</v>
      </c>
    </row>
    <row r="10949">
      <c r="A10949" s="3">
        <v>785330.0</v>
      </c>
      <c r="B10949" s="3" t="s">
        <v>10977</v>
      </c>
      <c r="C10949" s="3" t="s">
        <v>2807</v>
      </c>
      <c r="D10949" s="3">
        <v>248.0</v>
      </c>
      <c r="E10949" s="3">
        <v>7.97</v>
      </c>
      <c r="F10949" s="3">
        <v>5.35</v>
      </c>
      <c r="G10949" s="3">
        <v>38.83</v>
      </c>
    </row>
    <row r="10950">
      <c r="A10950" s="3">
        <v>785331.0</v>
      </c>
      <c r="B10950" s="3" t="s">
        <v>10978</v>
      </c>
      <c r="C10950" s="3" t="s">
        <v>2807</v>
      </c>
      <c r="D10950" s="3">
        <v>232.0</v>
      </c>
      <c r="E10950" s="3">
        <v>6.75</v>
      </c>
      <c r="F10950" s="3">
        <v>5.54</v>
      </c>
      <c r="G10950" s="3">
        <v>38.55</v>
      </c>
    </row>
    <row r="10951">
      <c r="A10951" s="3">
        <v>785332.0</v>
      </c>
      <c r="B10951" s="3" t="s">
        <v>10979</v>
      </c>
      <c r="C10951" s="3" t="s">
        <v>2807</v>
      </c>
      <c r="D10951" s="3">
        <v>232.0</v>
      </c>
      <c r="E10951" s="3">
        <v>6.75</v>
      </c>
      <c r="F10951" s="3">
        <v>5.54</v>
      </c>
      <c r="G10951" s="3">
        <v>38.55</v>
      </c>
    </row>
    <row r="10952">
      <c r="A10952" s="3">
        <v>785334.0</v>
      </c>
      <c r="B10952" s="3" t="s">
        <v>10980</v>
      </c>
      <c r="C10952" s="3" t="s">
        <v>2807</v>
      </c>
      <c r="D10952" s="3">
        <v>303.0</v>
      </c>
      <c r="E10952" s="3">
        <v>15.29</v>
      </c>
      <c r="F10952" s="3">
        <v>7.15</v>
      </c>
      <c r="G10952" s="3">
        <v>34.13</v>
      </c>
    </row>
    <row r="10953">
      <c r="A10953" s="3">
        <v>785335.0</v>
      </c>
      <c r="B10953" s="3" t="s">
        <v>10981</v>
      </c>
      <c r="C10953" s="3" t="s">
        <v>2807</v>
      </c>
      <c r="D10953" s="3">
        <v>250.0</v>
      </c>
      <c r="E10953" s="3">
        <v>12.12</v>
      </c>
      <c r="F10953" s="3">
        <v>5.7</v>
      </c>
      <c r="G10953" s="3">
        <v>29.82</v>
      </c>
    </row>
    <row r="10954">
      <c r="A10954" s="3">
        <v>785336.0</v>
      </c>
      <c r="B10954" s="3" t="s">
        <v>10982</v>
      </c>
      <c r="C10954" s="3" t="s">
        <v>2807</v>
      </c>
      <c r="D10954" s="3">
        <v>357.0</v>
      </c>
      <c r="E10954" s="3">
        <v>18.52</v>
      </c>
      <c r="F10954" s="3">
        <v>7.45</v>
      </c>
      <c r="G10954" s="3">
        <v>40.01</v>
      </c>
    </row>
    <row r="10955">
      <c r="A10955" s="3">
        <v>785337.0</v>
      </c>
      <c r="B10955" s="3" t="s">
        <v>10983</v>
      </c>
      <c r="C10955" s="3" t="s">
        <v>2807</v>
      </c>
      <c r="D10955" s="3">
        <v>296.0</v>
      </c>
      <c r="E10955" s="3">
        <v>15.61</v>
      </c>
      <c r="F10955" s="3">
        <v>7.58</v>
      </c>
      <c r="G10955" s="3">
        <v>31.73</v>
      </c>
    </row>
    <row r="10956">
      <c r="A10956" s="3">
        <v>785338.0</v>
      </c>
      <c r="B10956" s="3" t="s">
        <v>10984</v>
      </c>
      <c r="C10956" s="3" t="s">
        <v>2807</v>
      </c>
      <c r="D10956" s="3">
        <v>351.0</v>
      </c>
      <c r="E10956" s="3">
        <v>22.98</v>
      </c>
      <c r="F10956" s="3">
        <v>7.92</v>
      </c>
      <c r="G10956" s="3">
        <v>30.09</v>
      </c>
    </row>
    <row r="10957">
      <c r="A10957" s="3">
        <v>785339.0</v>
      </c>
      <c r="B10957" s="3" t="s">
        <v>10985</v>
      </c>
      <c r="C10957" s="3" t="s">
        <v>2807</v>
      </c>
      <c r="D10957" s="3">
        <v>231.0</v>
      </c>
      <c r="E10957" s="3">
        <v>6.57</v>
      </c>
      <c r="F10957" s="3">
        <v>6.26</v>
      </c>
      <c r="G10957" s="3">
        <v>40.43</v>
      </c>
    </row>
    <row r="10958">
      <c r="A10958" s="3">
        <v>785340.0</v>
      </c>
      <c r="B10958" s="3" t="s">
        <v>10986</v>
      </c>
      <c r="C10958" s="3" t="s">
        <v>2807</v>
      </c>
      <c r="D10958" s="3">
        <v>278.0</v>
      </c>
      <c r="E10958" s="3">
        <v>11.87</v>
      </c>
      <c r="F10958" s="3">
        <v>7.4</v>
      </c>
      <c r="G10958" s="3">
        <v>35.31</v>
      </c>
    </row>
    <row r="10959">
      <c r="A10959" s="3">
        <v>785342.0</v>
      </c>
      <c r="B10959" s="3" t="s">
        <v>10987</v>
      </c>
      <c r="C10959" s="3" t="s">
        <v>2807</v>
      </c>
      <c r="D10959" s="3">
        <v>230.0</v>
      </c>
      <c r="E10959" s="3">
        <v>9.39</v>
      </c>
      <c r="F10959" s="3">
        <v>5.85</v>
      </c>
      <c r="G10959" s="3">
        <v>30.62</v>
      </c>
    </row>
    <row r="10960">
      <c r="A10960" s="3">
        <v>785343.0</v>
      </c>
      <c r="B10960" s="3" t="s">
        <v>10988</v>
      </c>
      <c r="C10960" s="3" t="s">
        <v>2807</v>
      </c>
      <c r="D10960" s="3">
        <v>238.0</v>
      </c>
      <c r="E10960" s="3">
        <v>9.92</v>
      </c>
      <c r="F10960" s="3">
        <v>6.36</v>
      </c>
      <c r="G10960" s="3">
        <v>30.94</v>
      </c>
    </row>
    <row r="10961">
      <c r="A10961" s="3">
        <v>785344.0</v>
      </c>
      <c r="B10961" s="3" t="s">
        <v>10989</v>
      </c>
      <c r="C10961" s="3" t="s">
        <v>2807</v>
      </c>
      <c r="D10961" s="3">
        <v>338.0</v>
      </c>
      <c r="E10961" s="3">
        <v>15.77</v>
      </c>
      <c r="F10961" s="3">
        <v>7.67</v>
      </c>
      <c r="G10961" s="3">
        <v>41.17</v>
      </c>
    </row>
    <row r="10962">
      <c r="A10962" s="3">
        <v>785345.0</v>
      </c>
      <c r="B10962" s="3" t="s">
        <v>10990</v>
      </c>
      <c r="C10962" s="3" t="s">
        <v>2807</v>
      </c>
      <c r="D10962" s="3">
        <v>267.0</v>
      </c>
      <c r="E10962" s="3">
        <v>12.66</v>
      </c>
      <c r="F10962" s="3">
        <v>8.0</v>
      </c>
      <c r="G10962" s="3">
        <v>31.73</v>
      </c>
    </row>
    <row r="10963">
      <c r="A10963" s="3">
        <v>785346.0</v>
      </c>
      <c r="B10963" s="3" t="s">
        <v>10991</v>
      </c>
      <c r="C10963" s="3" t="s">
        <v>2807</v>
      </c>
      <c r="D10963" s="3">
        <v>202.0</v>
      </c>
      <c r="E10963" s="3">
        <v>5.91</v>
      </c>
      <c r="F10963" s="3">
        <v>4.76</v>
      </c>
      <c r="G10963" s="3">
        <v>32.0</v>
      </c>
    </row>
    <row r="10964">
      <c r="A10964" s="3">
        <v>785347.0</v>
      </c>
      <c r="B10964" s="3" t="s">
        <v>10992</v>
      </c>
      <c r="C10964" s="3" t="s">
        <v>2807</v>
      </c>
      <c r="D10964" s="3">
        <v>271.0</v>
      </c>
      <c r="E10964" s="3">
        <v>12.1</v>
      </c>
      <c r="F10964" s="3">
        <v>7.85</v>
      </c>
      <c r="G10964" s="3">
        <v>32.87</v>
      </c>
    </row>
    <row r="10965">
      <c r="A10965" s="3">
        <v>785348.0</v>
      </c>
      <c r="B10965" s="3" t="s">
        <v>10993</v>
      </c>
      <c r="C10965" s="3" t="s">
        <v>2807</v>
      </c>
      <c r="D10965" s="3">
        <v>253.0</v>
      </c>
      <c r="E10965" s="3">
        <v>9.69</v>
      </c>
      <c r="F10965" s="3">
        <v>8.03</v>
      </c>
      <c r="G10965" s="3">
        <v>33.62</v>
      </c>
    </row>
    <row r="10966">
      <c r="A10966" s="3">
        <v>785352.0</v>
      </c>
      <c r="B10966" s="3" t="s">
        <v>10994</v>
      </c>
      <c r="C10966" s="3" t="s">
        <v>2807</v>
      </c>
      <c r="D10966" s="3">
        <v>289.0</v>
      </c>
      <c r="E10966" s="3">
        <v>6.96</v>
      </c>
      <c r="F10966" s="3">
        <v>9.37</v>
      </c>
      <c r="G10966" s="3">
        <v>46.19</v>
      </c>
    </row>
    <row r="10967">
      <c r="A10967" s="3">
        <v>785353.0</v>
      </c>
      <c r="B10967" s="3" t="s">
        <v>10995</v>
      </c>
      <c r="C10967" s="3" t="s">
        <v>2807</v>
      </c>
      <c r="D10967" s="3">
        <v>296.0</v>
      </c>
      <c r="E10967" s="3">
        <v>9.05</v>
      </c>
      <c r="F10967" s="3">
        <v>7.07</v>
      </c>
      <c r="G10967" s="3">
        <v>46.58</v>
      </c>
    </row>
    <row r="10968">
      <c r="A10968" s="3">
        <v>785354.0</v>
      </c>
      <c r="B10968" s="3" t="s">
        <v>10996</v>
      </c>
      <c r="C10968" s="3" t="s">
        <v>2807</v>
      </c>
      <c r="D10968" s="3">
        <v>320.0</v>
      </c>
      <c r="E10968" s="3">
        <v>10.5</v>
      </c>
      <c r="F10968" s="3">
        <v>7.43</v>
      </c>
      <c r="G10968" s="3">
        <v>48.94</v>
      </c>
    </row>
    <row r="10969">
      <c r="A10969" s="3">
        <v>785355.0</v>
      </c>
      <c r="B10969" s="3" t="s">
        <v>10997</v>
      </c>
      <c r="C10969" s="3" t="s">
        <v>2807</v>
      </c>
      <c r="D10969" s="3">
        <v>288.0</v>
      </c>
      <c r="E10969" s="3">
        <v>8.39</v>
      </c>
      <c r="F10969" s="3">
        <v>6.78</v>
      </c>
      <c r="G10969" s="3">
        <v>46.7</v>
      </c>
    </row>
    <row r="10970">
      <c r="A10970" s="3">
        <v>785357.0</v>
      </c>
      <c r="B10970" s="3" t="s">
        <v>10998</v>
      </c>
      <c r="C10970" s="3" t="s">
        <v>2807</v>
      </c>
      <c r="D10970" s="3">
        <v>277.0</v>
      </c>
      <c r="E10970" s="3">
        <v>8.02</v>
      </c>
      <c r="F10970" s="3">
        <v>6.48</v>
      </c>
      <c r="G10970" s="3">
        <v>45.06</v>
      </c>
    </row>
    <row r="10971">
      <c r="A10971" s="3">
        <v>785359.0</v>
      </c>
      <c r="B10971" s="3" t="s">
        <v>10999</v>
      </c>
      <c r="C10971" s="3" t="s">
        <v>2807</v>
      </c>
      <c r="D10971" s="3">
        <v>422.0</v>
      </c>
      <c r="E10971" s="3">
        <v>26.14</v>
      </c>
      <c r="F10971" s="3">
        <v>8.15</v>
      </c>
      <c r="G10971" s="3">
        <v>38.91</v>
      </c>
    </row>
    <row r="10972">
      <c r="A10972" s="3">
        <v>785360.0</v>
      </c>
      <c r="B10972" s="3" t="s">
        <v>11000</v>
      </c>
      <c r="C10972" s="3" t="s">
        <v>2807</v>
      </c>
      <c r="D10972" s="3">
        <v>476.0</v>
      </c>
      <c r="E10972" s="3">
        <v>28.67</v>
      </c>
      <c r="F10972" s="3">
        <v>8.59</v>
      </c>
      <c r="G10972" s="3">
        <v>46.09</v>
      </c>
    </row>
    <row r="10973">
      <c r="A10973" s="3">
        <v>785361.0</v>
      </c>
      <c r="B10973" s="3" t="s">
        <v>11001</v>
      </c>
      <c r="C10973" s="3" t="s">
        <v>2807</v>
      </c>
      <c r="D10973" s="3">
        <v>350.0</v>
      </c>
      <c r="E10973" s="3">
        <v>20.92</v>
      </c>
      <c r="F10973" s="3">
        <v>6.59</v>
      </c>
      <c r="G10973" s="3">
        <v>34.46</v>
      </c>
    </row>
    <row r="10974">
      <c r="A10974" s="3">
        <v>785362.0</v>
      </c>
      <c r="B10974" s="3" t="s">
        <v>11002</v>
      </c>
      <c r="C10974" s="3" t="s">
        <v>2807</v>
      </c>
      <c r="D10974" s="3">
        <v>416.0</v>
      </c>
      <c r="E10974" s="3">
        <v>26.73</v>
      </c>
      <c r="F10974" s="3">
        <v>8.63</v>
      </c>
      <c r="G10974" s="3">
        <v>36.12</v>
      </c>
    </row>
    <row r="10975">
      <c r="A10975" s="3">
        <v>785364.0</v>
      </c>
      <c r="B10975" s="3" t="s">
        <v>11003</v>
      </c>
      <c r="C10975" s="3" t="s">
        <v>2807</v>
      </c>
      <c r="D10975" s="3">
        <v>368.0</v>
      </c>
      <c r="E10975" s="3">
        <v>18.59</v>
      </c>
      <c r="F10975" s="3">
        <v>8.69</v>
      </c>
      <c r="G10975" s="3">
        <v>41.49</v>
      </c>
    </row>
    <row r="10976">
      <c r="A10976" s="3">
        <v>785365.0</v>
      </c>
      <c r="B10976" s="3" t="s">
        <v>11004</v>
      </c>
      <c r="C10976" s="3" t="s">
        <v>2807</v>
      </c>
      <c r="D10976" s="3">
        <v>304.0</v>
      </c>
      <c r="E10976" s="3">
        <v>14.74</v>
      </c>
      <c r="F10976" s="3">
        <v>6.93</v>
      </c>
      <c r="G10976" s="3">
        <v>36.24</v>
      </c>
    </row>
    <row r="10977">
      <c r="A10977" s="3">
        <v>785366.0</v>
      </c>
      <c r="B10977" s="3" t="s">
        <v>11005</v>
      </c>
      <c r="C10977" s="3" t="s">
        <v>2807</v>
      </c>
      <c r="D10977" s="3">
        <v>433.0</v>
      </c>
      <c r="E10977" s="3">
        <v>22.5</v>
      </c>
      <c r="F10977" s="3">
        <v>9.06</v>
      </c>
      <c r="G10977" s="3">
        <v>48.63</v>
      </c>
    </row>
    <row r="10978">
      <c r="A10978" s="3">
        <v>785367.0</v>
      </c>
      <c r="B10978" s="3" t="s">
        <v>11006</v>
      </c>
      <c r="C10978" s="3" t="s">
        <v>2807</v>
      </c>
      <c r="D10978" s="3">
        <v>368.0</v>
      </c>
      <c r="E10978" s="3">
        <v>18.55</v>
      </c>
      <c r="F10978" s="3">
        <v>8.68</v>
      </c>
      <c r="G10978" s="3">
        <v>41.66</v>
      </c>
    </row>
    <row r="10979">
      <c r="A10979" s="3">
        <v>785368.0</v>
      </c>
      <c r="B10979" s="3" t="s">
        <v>11007</v>
      </c>
      <c r="C10979" s="3" t="s">
        <v>2807</v>
      </c>
      <c r="D10979" s="3">
        <v>264.0</v>
      </c>
      <c r="E10979" s="3">
        <v>11.38</v>
      </c>
      <c r="F10979" s="3">
        <v>6.84</v>
      </c>
      <c r="G10979" s="3">
        <v>33.04</v>
      </c>
    </row>
    <row r="10980">
      <c r="A10980" s="3">
        <v>785369.0</v>
      </c>
      <c r="B10980" s="3" t="s">
        <v>11008</v>
      </c>
      <c r="C10980" s="3" t="s">
        <v>2807</v>
      </c>
      <c r="D10980" s="3">
        <v>360.0</v>
      </c>
      <c r="E10980" s="3">
        <v>18.98</v>
      </c>
      <c r="F10980" s="3">
        <v>9.21</v>
      </c>
      <c r="G10980" s="3">
        <v>38.58</v>
      </c>
    </row>
    <row r="10981">
      <c r="A10981" s="3">
        <v>785371.0</v>
      </c>
      <c r="B10981" s="3" t="s">
        <v>11009</v>
      </c>
      <c r="C10981" s="3" t="s">
        <v>2807</v>
      </c>
      <c r="D10981" s="3">
        <v>338.0</v>
      </c>
      <c r="E10981" s="3">
        <v>14.41</v>
      </c>
      <c r="F10981" s="3">
        <v>8.98</v>
      </c>
      <c r="G10981" s="3">
        <v>42.88</v>
      </c>
    </row>
    <row r="10982">
      <c r="A10982" s="3">
        <v>785372.0</v>
      </c>
      <c r="B10982" s="3" t="s">
        <v>11010</v>
      </c>
      <c r="C10982" s="3" t="s">
        <v>2807</v>
      </c>
      <c r="D10982" s="3">
        <v>329.0</v>
      </c>
      <c r="E10982" s="3">
        <v>14.69</v>
      </c>
      <c r="F10982" s="3">
        <v>9.53</v>
      </c>
      <c r="G10982" s="3">
        <v>39.92</v>
      </c>
    </row>
    <row r="10983">
      <c r="A10983" s="3">
        <v>785373.0</v>
      </c>
      <c r="B10983" s="3" t="s">
        <v>11011</v>
      </c>
      <c r="C10983" s="3" t="s">
        <v>2807</v>
      </c>
      <c r="D10983" s="3">
        <v>270.0</v>
      </c>
      <c r="E10983" s="3">
        <v>10.95</v>
      </c>
      <c r="F10983" s="3">
        <v>10.12</v>
      </c>
      <c r="G10983" s="3">
        <v>32.37</v>
      </c>
    </row>
    <row r="10984">
      <c r="A10984" s="3">
        <v>785374.0</v>
      </c>
      <c r="B10984" s="3" t="s">
        <v>11012</v>
      </c>
      <c r="C10984" s="3" t="s">
        <v>2807</v>
      </c>
      <c r="D10984" s="3">
        <v>181.0</v>
      </c>
      <c r="E10984" s="3">
        <v>3.58</v>
      </c>
      <c r="F10984" s="3">
        <v>6.98</v>
      </c>
      <c r="G10984" s="3">
        <v>29.98</v>
      </c>
    </row>
    <row r="10985">
      <c r="A10985" s="3">
        <v>785375.0</v>
      </c>
      <c r="B10985" s="3" t="s">
        <v>11013</v>
      </c>
      <c r="C10985" s="3" t="s">
        <v>2807</v>
      </c>
      <c r="D10985" s="3">
        <v>180.0</v>
      </c>
      <c r="E10985" s="3">
        <v>3.88</v>
      </c>
      <c r="F10985" s="3">
        <v>8.21</v>
      </c>
      <c r="G10985" s="3">
        <v>28.02</v>
      </c>
    </row>
    <row r="10986">
      <c r="A10986" s="3">
        <v>785376.0</v>
      </c>
      <c r="B10986" s="3" t="s">
        <v>11014</v>
      </c>
      <c r="C10986" s="3" t="s">
        <v>2807</v>
      </c>
      <c r="D10986" s="3">
        <v>173.0</v>
      </c>
      <c r="E10986" s="3">
        <v>4.49</v>
      </c>
      <c r="F10986" s="3">
        <v>4.83</v>
      </c>
      <c r="G10986" s="3">
        <v>28.25</v>
      </c>
    </row>
    <row r="10987">
      <c r="A10987" s="3">
        <v>785377.0</v>
      </c>
      <c r="B10987" s="3" t="s">
        <v>11015</v>
      </c>
      <c r="C10987" s="3" t="s">
        <v>2807</v>
      </c>
      <c r="D10987" s="3">
        <v>306.0</v>
      </c>
      <c r="E10987" s="3">
        <v>13.74</v>
      </c>
      <c r="F10987" s="3">
        <v>9.54</v>
      </c>
      <c r="G10987" s="3">
        <v>35.78</v>
      </c>
    </row>
    <row r="10988">
      <c r="A10988" s="3">
        <v>785378.0</v>
      </c>
      <c r="B10988" s="3" t="s">
        <v>11016</v>
      </c>
      <c r="C10988" s="3" t="s">
        <v>2807</v>
      </c>
      <c r="D10988" s="3">
        <v>304.0</v>
      </c>
      <c r="E10988" s="3">
        <v>14.11</v>
      </c>
      <c r="F10988" s="3">
        <v>11.05</v>
      </c>
      <c r="G10988" s="3">
        <v>33.39</v>
      </c>
    </row>
    <row r="10989">
      <c r="A10989" s="3">
        <v>785379.0</v>
      </c>
      <c r="B10989" s="3" t="s">
        <v>11017</v>
      </c>
      <c r="C10989" s="3" t="s">
        <v>2807</v>
      </c>
      <c r="D10989" s="3">
        <v>160.0</v>
      </c>
      <c r="E10989" s="3">
        <v>3.69</v>
      </c>
      <c r="F10989" s="3">
        <v>9.25</v>
      </c>
      <c r="G10989" s="3">
        <v>22.37</v>
      </c>
    </row>
    <row r="10990">
      <c r="A10990" s="3">
        <v>785380.0</v>
      </c>
      <c r="B10990" s="3" t="s">
        <v>11018</v>
      </c>
      <c r="C10990" s="3" t="s">
        <v>2807</v>
      </c>
      <c r="D10990" s="3">
        <v>270.0</v>
      </c>
      <c r="E10990" s="3">
        <v>10.95</v>
      </c>
      <c r="F10990" s="3">
        <v>10.12</v>
      </c>
      <c r="G10990" s="3">
        <v>32.37</v>
      </c>
    </row>
    <row r="10991">
      <c r="A10991" s="3">
        <v>785381.0</v>
      </c>
      <c r="B10991" s="3" t="s">
        <v>11019</v>
      </c>
      <c r="C10991" s="3" t="s">
        <v>2807</v>
      </c>
      <c r="D10991" s="3">
        <v>237.0</v>
      </c>
      <c r="E10991" s="3">
        <v>6.22</v>
      </c>
      <c r="F10991" s="3">
        <v>10.64</v>
      </c>
      <c r="G10991" s="3">
        <v>34.05</v>
      </c>
    </row>
    <row r="10992">
      <c r="A10992" s="3">
        <v>785382.0</v>
      </c>
      <c r="B10992" s="3" t="s">
        <v>11020</v>
      </c>
      <c r="C10992" s="3" t="s">
        <v>2807</v>
      </c>
      <c r="D10992" s="3">
        <v>269.0</v>
      </c>
      <c r="E10992" s="3">
        <v>11.26</v>
      </c>
      <c r="F10992" s="3">
        <v>11.43</v>
      </c>
      <c r="G10992" s="3">
        <v>30.3</v>
      </c>
    </row>
    <row r="10993">
      <c r="A10993" s="3">
        <v>785383.0</v>
      </c>
      <c r="B10993" s="3" t="s">
        <v>11021</v>
      </c>
      <c r="C10993" s="3" t="s">
        <v>2807</v>
      </c>
      <c r="D10993" s="3">
        <v>236.0</v>
      </c>
      <c r="E10993" s="3">
        <v>6.55</v>
      </c>
      <c r="F10993" s="3">
        <v>12.01</v>
      </c>
      <c r="G10993" s="3">
        <v>31.88</v>
      </c>
    </row>
    <row r="10994">
      <c r="A10994" s="3">
        <v>785384.0</v>
      </c>
      <c r="B10994" s="3" t="s">
        <v>11022</v>
      </c>
      <c r="C10994" s="3" t="s">
        <v>2807</v>
      </c>
      <c r="D10994" s="3">
        <v>261.0</v>
      </c>
      <c r="E10994" s="3">
        <v>11.9</v>
      </c>
      <c r="F10994" s="3">
        <v>7.85</v>
      </c>
      <c r="G10994" s="3">
        <v>30.55</v>
      </c>
    </row>
    <row r="10995">
      <c r="A10995" s="3">
        <v>785385.0</v>
      </c>
      <c r="B10995" s="3" t="s">
        <v>11023</v>
      </c>
      <c r="C10995" s="3" t="s">
        <v>2807</v>
      </c>
      <c r="D10995" s="3">
        <v>283.0</v>
      </c>
      <c r="E10995" s="3">
        <v>9.6</v>
      </c>
      <c r="F10995" s="3">
        <v>7.06</v>
      </c>
      <c r="G10995" s="3">
        <v>41.92</v>
      </c>
    </row>
    <row r="10996">
      <c r="A10996" s="3">
        <v>785386.0</v>
      </c>
      <c r="B10996" s="3" t="s">
        <v>11024</v>
      </c>
      <c r="C10996" s="3" t="s">
        <v>2807</v>
      </c>
      <c r="D10996" s="3">
        <v>283.0</v>
      </c>
      <c r="E10996" s="3">
        <v>9.6</v>
      </c>
      <c r="F10996" s="3">
        <v>7.06</v>
      </c>
      <c r="G10996" s="3">
        <v>41.92</v>
      </c>
    </row>
    <row r="10997">
      <c r="A10997" s="3">
        <v>785387.0</v>
      </c>
      <c r="B10997" s="3" t="s">
        <v>11025</v>
      </c>
      <c r="C10997" s="3" t="s">
        <v>2807</v>
      </c>
      <c r="D10997" s="3">
        <v>400.0</v>
      </c>
      <c r="E10997" s="3">
        <v>20.87</v>
      </c>
      <c r="F10997" s="3">
        <v>7.06</v>
      </c>
      <c r="G10997" s="3">
        <v>48.48</v>
      </c>
    </row>
    <row r="10998">
      <c r="A10998" s="3">
        <v>785388.0</v>
      </c>
      <c r="B10998" s="3" t="s">
        <v>11026</v>
      </c>
      <c r="C10998" s="3" t="s">
        <v>2807</v>
      </c>
      <c r="D10998" s="3">
        <v>160.0</v>
      </c>
      <c r="E10998" s="3">
        <v>3.69</v>
      </c>
      <c r="F10998" s="3">
        <v>9.25</v>
      </c>
      <c r="G10998" s="3">
        <v>22.37</v>
      </c>
    </row>
    <row r="10999">
      <c r="A10999" s="3">
        <v>785390.0</v>
      </c>
      <c r="B10999" s="3" t="s">
        <v>11027</v>
      </c>
      <c r="C10999" s="3" t="s">
        <v>2807</v>
      </c>
      <c r="D10999" s="3">
        <v>269.0</v>
      </c>
      <c r="E10999" s="3">
        <v>11.26</v>
      </c>
      <c r="F10999" s="3">
        <v>11.43</v>
      </c>
      <c r="G10999" s="3">
        <v>30.3</v>
      </c>
    </row>
    <row r="11000">
      <c r="A11000" s="3">
        <v>785391.0</v>
      </c>
      <c r="B11000" s="3" t="s">
        <v>11028</v>
      </c>
      <c r="C11000" s="3" t="s">
        <v>2807</v>
      </c>
      <c r="D11000" s="3">
        <v>257.0</v>
      </c>
      <c r="E11000" s="3">
        <v>8.19</v>
      </c>
      <c r="F11000" s="3">
        <v>5.01</v>
      </c>
      <c r="G11000" s="3">
        <v>41.83</v>
      </c>
    </row>
    <row r="11001">
      <c r="A11001" s="3">
        <v>785392.0</v>
      </c>
      <c r="B11001" s="3" t="s">
        <v>11029</v>
      </c>
      <c r="C11001" s="3" t="s">
        <v>2807</v>
      </c>
      <c r="D11001" s="3">
        <v>223.0</v>
      </c>
      <c r="E11001" s="3">
        <v>10.95</v>
      </c>
      <c r="F11001" s="3">
        <v>8.74</v>
      </c>
      <c r="G11001" s="3">
        <v>21.72</v>
      </c>
    </row>
    <row r="11002">
      <c r="A11002" s="3">
        <v>785393.0</v>
      </c>
      <c r="B11002" s="3" t="s">
        <v>11030</v>
      </c>
      <c r="C11002" s="3" t="s">
        <v>2807</v>
      </c>
      <c r="D11002" s="3">
        <v>223.0</v>
      </c>
      <c r="E11002" s="3">
        <v>10.95</v>
      </c>
      <c r="F11002" s="3">
        <v>8.74</v>
      </c>
      <c r="G11002" s="3">
        <v>21.72</v>
      </c>
    </row>
    <row r="11003">
      <c r="A11003" s="3">
        <v>785394.0</v>
      </c>
      <c r="B11003" s="3" t="s">
        <v>11031</v>
      </c>
      <c r="C11003" s="3" t="s">
        <v>2807</v>
      </c>
      <c r="D11003" s="3">
        <v>207.0</v>
      </c>
      <c r="E11003" s="3">
        <v>0.38</v>
      </c>
      <c r="F11003" s="3">
        <v>4.05</v>
      </c>
      <c r="G11003" s="3">
        <v>45.38</v>
      </c>
    </row>
    <row r="11004">
      <c r="A11004" s="3">
        <v>785395.0</v>
      </c>
      <c r="B11004" s="3" t="s">
        <v>11032</v>
      </c>
      <c r="C11004" s="3" t="s">
        <v>225</v>
      </c>
      <c r="D11004" s="3">
        <v>80.0</v>
      </c>
      <c r="E11004" s="3">
        <v>0.22</v>
      </c>
      <c r="F11004" s="3">
        <v>2.26</v>
      </c>
      <c r="G11004" s="3">
        <v>16.72</v>
      </c>
    </row>
    <row r="11005">
      <c r="A11005" s="3">
        <v>785396.0</v>
      </c>
      <c r="B11005" s="3" t="s">
        <v>11033</v>
      </c>
      <c r="C11005" s="3" t="s">
        <v>1464</v>
      </c>
      <c r="D11005" s="3">
        <v>371.0</v>
      </c>
      <c r="E11005" s="3">
        <v>23.52</v>
      </c>
      <c r="F11005" s="3">
        <v>5.66</v>
      </c>
      <c r="G11005" s="3">
        <v>34.41</v>
      </c>
    </row>
    <row r="11006">
      <c r="A11006" s="3">
        <v>785397.0</v>
      </c>
      <c r="B11006" s="3" t="s">
        <v>11034</v>
      </c>
      <c r="C11006" s="3" t="s">
        <v>8</v>
      </c>
      <c r="D11006" s="3">
        <v>124.0</v>
      </c>
      <c r="E11006" s="3">
        <v>3.22</v>
      </c>
      <c r="F11006" s="3">
        <v>3.3</v>
      </c>
      <c r="G11006" s="3">
        <v>20.25</v>
      </c>
    </row>
    <row r="11007">
      <c r="A11007" s="3">
        <v>785398.0</v>
      </c>
      <c r="B11007" s="3" t="s">
        <v>11035</v>
      </c>
      <c r="C11007" s="3" t="s">
        <v>1464</v>
      </c>
      <c r="D11007" s="3">
        <v>276.0</v>
      </c>
      <c r="E11007" s="3">
        <v>6.45</v>
      </c>
      <c r="F11007" s="3">
        <v>2.22</v>
      </c>
      <c r="G11007" s="3">
        <v>53.78</v>
      </c>
    </row>
    <row r="11008">
      <c r="A11008" s="3">
        <v>785399.0</v>
      </c>
      <c r="B11008" s="3" t="s">
        <v>11036</v>
      </c>
      <c r="C11008" s="3" t="s">
        <v>1464</v>
      </c>
      <c r="D11008" s="3">
        <v>128.0</v>
      </c>
      <c r="E11008" s="3">
        <v>0.35</v>
      </c>
      <c r="F11008" s="3">
        <v>6.36</v>
      </c>
      <c r="G11008" s="3">
        <v>24.98</v>
      </c>
    </row>
    <row r="11009">
      <c r="A11009" s="3">
        <v>785400.0</v>
      </c>
      <c r="B11009" s="3" t="s">
        <v>11037</v>
      </c>
      <c r="C11009" s="3" t="s">
        <v>2807</v>
      </c>
      <c r="D11009" s="3">
        <v>209.0</v>
      </c>
      <c r="E11009" s="3">
        <v>3.96</v>
      </c>
      <c r="F11009" s="3">
        <v>5.7</v>
      </c>
      <c r="G11009" s="3">
        <v>37.08</v>
      </c>
    </row>
    <row r="11010">
      <c r="A11010" s="3">
        <v>785401.0</v>
      </c>
      <c r="B11010" s="3" t="s">
        <v>11038</v>
      </c>
      <c r="C11010" s="3" t="s">
        <v>1464</v>
      </c>
      <c r="D11010" s="3">
        <v>187.0</v>
      </c>
      <c r="E11010" s="3">
        <v>0.34</v>
      </c>
      <c r="F11010" s="3">
        <v>8.29</v>
      </c>
      <c r="G11010" s="3">
        <v>37.34</v>
      </c>
    </row>
    <row r="11011">
      <c r="A11011" s="3">
        <v>785402.0</v>
      </c>
      <c r="B11011" s="3" t="s">
        <v>11039</v>
      </c>
      <c r="C11011" s="3" t="s">
        <v>8</v>
      </c>
      <c r="D11011" s="3">
        <v>349.0</v>
      </c>
      <c r="E11011" s="3">
        <v>16.26</v>
      </c>
      <c r="F11011" s="3">
        <v>7.65</v>
      </c>
      <c r="G11011" s="3">
        <v>43.12</v>
      </c>
    </row>
    <row r="11012">
      <c r="A11012" s="3">
        <v>785403.0</v>
      </c>
      <c r="B11012" s="3" t="s">
        <v>11040</v>
      </c>
      <c r="C11012" s="3" t="s">
        <v>8</v>
      </c>
      <c r="D11012" s="3">
        <v>377.0</v>
      </c>
      <c r="E11012" s="3">
        <v>15.48</v>
      </c>
      <c r="F11012" s="3">
        <v>5.68</v>
      </c>
      <c r="G11012" s="3">
        <v>54.91</v>
      </c>
    </row>
    <row r="11013">
      <c r="A11013" s="3">
        <v>785404.0</v>
      </c>
      <c r="B11013" s="3" t="s">
        <v>11041</v>
      </c>
      <c r="C11013" s="3" t="s">
        <v>660</v>
      </c>
      <c r="D11013" s="3">
        <v>128.0</v>
      </c>
      <c r="E11013" s="3">
        <v>0.11</v>
      </c>
      <c r="F11013" s="3">
        <v>4.52</v>
      </c>
      <c r="G11013" s="3">
        <v>26.55</v>
      </c>
    </row>
    <row r="11014">
      <c r="A11014" s="3">
        <v>785405.0</v>
      </c>
      <c r="B11014" s="3" t="s">
        <v>11042</v>
      </c>
      <c r="C11014" s="3" t="s">
        <v>660</v>
      </c>
      <c r="D11014" s="3">
        <v>137.0</v>
      </c>
      <c r="E11014" s="3">
        <v>2.06</v>
      </c>
      <c r="F11014" s="3">
        <v>4.51</v>
      </c>
      <c r="G11014" s="3">
        <v>25.01</v>
      </c>
    </row>
    <row r="11015">
      <c r="A11015" s="3">
        <v>785406.0</v>
      </c>
      <c r="B11015" s="3" t="s">
        <v>11043</v>
      </c>
      <c r="C11015" s="3" t="s">
        <v>660</v>
      </c>
      <c r="D11015" s="3">
        <v>148.0</v>
      </c>
      <c r="E11015" s="3">
        <v>1.7</v>
      </c>
      <c r="F11015" s="3">
        <v>5.96</v>
      </c>
      <c r="G11015" s="3">
        <v>29.91</v>
      </c>
    </row>
    <row r="11016">
      <c r="A11016" s="3">
        <v>785407.0</v>
      </c>
      <c r="B11016" s="3" t="s">
        <v>11044</v>
      </c>
      <c r="C11016" s="3" t="s">
        <v>660</v>
      </c>
      <c r="D11016" s="3">
        <v>131.0</v>
      </c>
      <c r="E11016" s="3">
        <v>1.56</v>
      </c>
      <c r="F11016" s="3">
        <v>5.01</v>
      </c>
      <c r="G11016" s="3">
        <v>24.1</v>
      </c>
    </row>
    <row r="11017">
      <c r="A11017" s="3">
        <v>785409.0</v>
      </c>
      <c r="B11017" s="3" t="s">
        <v>11045</v>
      </c>
      <c r="C11017" s="3" t="s">
        <v>660</v>
      </c>
      <c r="D11017" s="3">
        <v>84.0</v>
      </c>
      <c r="E11017" s="3">
        <v>0.01</v>
      </c>
      <c r="F11017" s="3">
        <v>0.04</v>
      </c>
      <c r="G11017" s="3">
        <v>20.66</v>
      </c>
    </row>
    <row r="11018">
      <c r="A11018" s="3">
        <v>785411.0</v>
      </c>
      <c r="B11018" s="3" t="s">
        <v>11046</v>
      </c>
      <c r="C11018" s="3" t="s">
        <v>660</v>
      </c>
      <c r="D11018" s="3">
        <v>157.0</v>
      </c>
      <c r="E11018" s="3">
        <v>0.92</v>
      </c>
      <c r="F11018" s="3">
        <v>5.76</v>
      </c>
      <c r="G11018" s="3">
        <v>30.68</v>
      </c>
    </row>
    <row r="11019">
      <c r="A11019" s="3">
        <v>785412.0</v>
      </c>
      <c r="B11019" s="3" t="s">
        <v>11047</v>
      </c>
      <c r="C11019" s="3" t="s">
        <v>660</v>
      </c>
      <c r="D11019" s="3">
        <v>148.0</v>
      </c>
      <c r="E11019" s="3">
        <v>1.7</v>
      </c>
      <c r="F11019" s="3">
        <v>5.95</v>
      </c>
      <c r="G11019" s="3">
        <v>29.89</v>
      </c>
    </row>
    <row r="11020">
      <c r="A11020" s="3">
        <v>785414.0</v>
      </c>
      <c r="B11020" s="3" t="s">
        <v>11048</v>
      </c>
      <c r="C11020" s="3" t="s">
        <v>222</v>
      </c>
      <c r="D11020" s="3">
        <v>64.0</v>
      </c>
      <c r="E11020" s="3">
        <v>1.09</v>
      </c>
      <c r="F11020" s="3">
        <v>2.21</v>
      </c>
      <c r="G11020" s="3">
        <v>11.36</v>
      </c>
    </row>
    <row r="11021">
      <c r="A11021" s="3">
        <v>785415.0</v>
      </c>
      <c r="B11021" s="3" t="s">
        <v>11049</v>
      </c>
      <c r="C11021" s="3" t="s">
        <v>660</v>
      </c>
      <c r="D11021" s="3">
        <v>122.0</v>
      </c>
      <c r="E11021" s="3">
        <v>0.44</v>
      </c>
      <c r="F11021" s="3">
        <v>2.25</v>
      </c>
      <c r="G11021" s="3">
        <v>28.09</v>
      </c>
    </row>
    <row r="11022">
      <c r="A11022" s="3">
        <v>785416.0</v>
      </c>
      <c r="B11022" s="3" t="s">
        <v>11050</v>
      </c>
      <c r="C11022" s="3" t="s">
        <v>660</v>
      </c>
      <c r="D11022" s="3">
        <v>122.0</v>
      </c>
      <c r="E11022" s="3">
        <v>0.44</v>
      </c>
      <c r="F11022" s="3">
        <v>2.25</v>
      </c>
      <c r="G11022" s="3">
        <v>28.09</v>
      </c>
    </row>
    <row r="11023">
      <c r="A11023" s="3">
        <v>785417.0</v>
      </c>
      <c r="B11023" s="3" t="s">
        <v>11051</v>
      </c>
      <c r="C11023" s="3" t="s">
        <v>660</v>
      </c>
      <c r="D11023" s="3">
        <v>138.0</v>
      </c>
      <c r="E11023" s="3">
        <v>2.66</v>
      </c>
      <c r="F11023" s="3">
        <v>2.2</v>
      </c>
      <c r="G11023" s="3">
        <v>27.24</v>
      </c>
    </row>
    <row r="11024">
      <c r="A11024" s="3">
        <v>785418.0</v>
      </c>
      <c r="B11024" s="3" t="s">
        <v>11052</v>
      </c>
      <c r="C11024" s="3" t="s">
        <v>660</v>
      </c>
      <c r="D11024" s="3">
        <v>92.0</v>
      </c>
      <c r="E11024" s="3">
        <v>0.62</v>
      </c>
      <c r="F11024" s="3">
        <v>3.37</v>
      </c>
      <c r="G11024" s="3">
        <v>19.86</v>
      </c>
    </row>
    <row r="11025">
      <c r="A11025" s="3">
        <v>785419.0</v>
      </c>
      <c r="B11025" s="3" t="s">
        <v>11053</v>
      </c>
      <c r="C11025" s="3" t="s">
        <v>660</v>
      </c>
      <c r="D11025" s="3">
        <v>92.0</v>
      </c>
      <c r="E11025" s="3">
        <v>0.62</v>
      </c>
      <c r="F11025" s="3">
        <v>3.37</v>
      </c>
      <c r="G11025" s="3">
        <v>19.86</v>
      </c>
    </row>
    <row r="11026">
      <c r="A11026" s="3">
        <v>785420.0</v>
      </c>
      <c r="B11026" s="3" t="s">
        <v>11054</v>
      </c>
      <c r="C11026" s="3" t="s">
        <v>660</v>
      </c>
      <c r="D11026" s="3">
        <v>112.0</v>
      </c>
      <c r="E11026" s="3">
        <v>3.33</v>
      </c>
      <c r="F11026" s="3">
        <v>3.22</v>
      </c>
      <c r="G11026" s="3">
        <v>18.99</v>
      </c>
    </row>
    <row r="11027">
      <c r="A11027" s="3">
        <v>785421.0</v>
      </c>
      <c r="B11027" s="3" t="s">
        <v>11055</v>
      </c>
      <c r="C11027" s="3" t="s">
        <v>222</v>
      </c>
      <c r="D11027" s="3">
        <v>70.0</v>
      </c>
      <c r="E11027" s="3">
        <v>1.78</v>
      </c>
      <c r="F11027" s="3">
        <v>1.19</v>
      </c>
      <c r="G11027" s="3">
        <v>12.2</v>
      </c>
    </row>
    <row r="11028">
      <c r="A11028" s="3">
        <v>785422.0</v>
      </c>
      <c r="B11028" s="3" t="s">
        <v>11056</v>
      </c>
      <c r="C11028" s="3" t="s">
        <v>222</v>
      </c>
      <c r="D11028" s="3">
        <v>58.0</v>
      </c>
      <c r="E11028" s="3">
        <v>0.28</v>
      </c>
      <c r="F11028" s="3">
        <v>1.2</v>
      </c>
      <c r="G11028" s="3">
        <v>12.41</v>
      </c>
    </row>
    <row r="11029">
      <c r="A11029" s="3">
        <v>785423.0</v>
      </c>
      <c r="B11029" s="3" t="s">
        <v>11057</v>
      </c>
      <c r="C11029" s="3" t="s">
        <v>222</v>
      </c>
      <c r="D11029" s="3">
        <v>70.0</v>
      </c>
      <c r="E11029" s="3">
        <v>1.78</v>
      </c>
      <c r="F11029" s="3">
        <v>1.19</v>
      </c>
      <c r="G11029" s="3">
        <v>12.2</v>
      </c>
    </row>
    <row r="11030">
      <c r="A11030" s="3">
        <v>785424.0</v>
      </c>
      <c r="B11030" s="3" t="s">
        <v>11058</v>
      </c>
      <c r="C11030" s="3" t="s">
        <v>222</v>
      </c>
      <c r="D11030" s="3">
        <v>70.0</v>
      </c>
      <c r="E11030" s="3">
        <v>1.78</v>
      </c>
      <c r="F11030" s="3">
        <v>1.19</v>
      </c>
      <c r="G11030" s="3">
        <v>12.2</v>
      </c>
    </row>
    <row r="11031">
      <c r="A11031" s="3">
        <v>785425.0</v>
      </c>
      <c r="B11031" s="3" t="s">
        <v>11059</v>
      </c>
      <c r="C11031" s="3" t="s">
        <v>222</v>
      </c>
      <c r="D11031" s="3">
        <v>58.0</v>
      </c>
      <c r="E11031" s="3">
        <v>0.28</v>
      </c>
      <c r="F11031" s="3">
        <v>1.2</v>
      </c>
      <c r="G11031" s="3">
        <v>12.41</v>
      </c>
    </row>
    <row r="11032">
      <c r="A11032" s="3">
        <v>785426.0</v>
      </c>
      <c r="B11032" s="3" t="s">
        <v>11060</v>
      </c>
      <c r="C11032" s="3" t="s">
        <v>222</v>
      </c>
      <c r="D11032" s="3">
        <v>70.0</v>
      </c>
      <c r="E11032" s="3">
        <v>1.78</v>
      </c>
      <c r="F11032" s="3">
        <v>1.19</v>
      </c>
      <c r="G11032" s="3">
        <v>12.2</v>
      </c>
    </row>
    <row r="11033">
      <c r="A11033" s="3">
        <v>785427.0</v>
      </c>
      <c r="B11033" s="3" t="s">
        <v>11061</v>
      </c>
      <c r="C11033" s="3" t="s">
        <v>222</v>
      </c>
      <c r="D11033" s="3">
        <v>121.0</v>
      </c>
      <c r="E11033" s="3">
        <v>3.82</v>
      </c>
      <c r="F11033" s="3">
        <v>4.46</v>
      </c>
      <c r="G11033" s="3">
        <v>17.05</v>
      </c>
    </row>
    <row r="11034">
      <c r="A11034" s="3">
        <v>785428.0</v>
      </c>
      <c r="B11034" s="3" t="s">
        <v>11062</v>
      </c>
      <c r="C11034" s="3" t="s">
        <v>222</v>
      </c>
      <c r="D11034" s="3">
        <v>110.0</v>
      </c>
      <c r="E11034" s="3">
        <v>2.36</v>
      </c>
      <c r="F11034" s="3">
        <v>4.53</v>
      </c>
      <c r="G11034" s="3">
        <v>17.35</v>
      </c>
    </row>
    <row r="11035">
      <c r="A11035" s="3">
        <v>785429.0</v>
      </c>
      <c r="B11035" s="3" t="s">
        <v>11063</v>
      </c>
      <c r="C11035" s="3" t="s">
        <v>222</v>
      </c>
      <c r="D11035" s="3">
        <v>121.0</v>
      </c>
      <c r="E11035" s="3">
        <v>3.82</v>
      </c>
      <c r="F11035" s="3">
        <v>4.46</v>
      </c>
      <c r="G11035" s="3">
        <v>17.05</v>
      </c>
    </row>
    <row r="11036">
      <c r="A11036" s="3">
        <v>785430.0</v>
      </c>
      <c r="B11036" s="3" t="s">
        <v>11064</v>
      </c>
      <c r="C11036" s="3" t="s">
        <v>222</v>
      </c>
      <c r="D11036" s="3">
        <v>102.0</v>
      </c>
      <c r="E11036" s="3">
        <v>3.03</v>
      </c>
      <c r="F11036" s="3">
        <v>2.31</v>
      </c>
      <c r="G11036" s="3">
        <v>16.14</v>
      </c>
    </row>
    <row r="11037">
      <c r="A11037" s="3">
        <v>785431.0</v>
      </c>
      <c r="B11037" s="3" t="s">
        <v>11065</v>
      </c>
      <c r="C11037" s="3" t="s">
        <v>222</v>
      </c>
      <c r="D11037" s="3">
        <v>90.0</v>
      </c>
      <c r="E11037" s="3">
        <v>1.55</v>
      </c>
      <c r="F11037" s="3">
        <v>2.34</v>
      </c>
      <c r="G11037" s="3">
        <v>16.43</v>
      </c>
    </row>
    <row r="11038">
      <c r="A11038" s="3">
        <v>785432.0</v>
      </c>
      <c r="B11038" s="3" t="s">
        <v>11066</v>
      </c>
      <c r="C11038" s="3" t="s">
        <v>222</v>
      </c>
      <c r="D11038" s="3">
        <v>102.0</v>
      </c>
      <c r="E11038" s="3">
        <v>3.03</v>
      </c>
      <c r="F11038" s="3">
        <v>2.31</v>
      </c>
      <c r="G11038" s="3">
        <v>16.14</v>
      </c>
    </row>
    <row r="11039">
      <c r="A11039" s="3">
        <v>785433.0</v>
      </c>
      <c r="B11039" s="3" t="s">
        <v>11067</v>
      </c>
      <c r="C11039" s="3" t="s">
        <v>222</v>
      </c>
      <c r="D11039" s="3">
        <v>107.0</v>
      </c>
      <c r="E11039" s="3">
        <v>5.16</v>
      </c>
      <c r="F11039" s="3">
        <v>3.51</v>
      </c>
      <c r="G11039" s="3">
        <v>11.43</v>
      </c>
    </row>
    <row r="11040">
      <c r="A11040" s="3">
        <v>785434.0</v>
      </c>
      <c r="B11040" s="3" t="s">
        <v>11068</v>
      </c>
      <c r="C11040" s="3" t="s">
        <v>222</v>
      </c>
      <c r="D11040" s="3">
        <v>96.0</v>
      </c>
      <c r="E11040" s="3">
        <v>3.84</v>
      </c>
      <c r="F11040" s="3">
        <v>3.56</v>
      </c>
      <c r="G11040" s="3">
        <v>11.61</v>
      </c>
    </row>
    <row r="11041">
      <c r="A11041" s="3">
        <v>785435.0</v>
      </c>
      <c r="B11041" s="3" t="s">
        <v>11069</v>
      </c>
      <c r="C11041" s="3" t="s">
        <v>222</v>
      </c>
      <c r="D11041" s="3">
        <v>107.0</v>
      </c>
      <c r="E11041" s="3">
        <v>5.16</v>
      </c>
      <c r="F11041" s="3">
        <v>3.51</v>
      </c>
      <c r="G11041" s="3">
        <v>11.43</v>
      </c>
    </row>
    <row r="11042">
      <c r="A11042" s="3">
        <v>785436.0</v>
      </c>
      <c r="B11042" s="3" t="s">
        <v>11070</v>
      </c>
      <c r="C11042" s="3" t="s">
        <v>222</v>
      </c>
      <c r="D11042" s="3">
        <v>65.0</v>
      </c>
      <c r="E11042" s="3">
        <v>0.4</v>
      </c>
      <c r="F11042" s="3">
        <v>1.38</v>
      </c>
      <c r="G11042" s="3">
        <v>14.84</v>
      </c>
    </row>
    <row r="11043">
      <c r="A11043" s="3">
        <v>785437.0</v>
      </c>
      <c r="B11043" s="3" t="s">
        <v>11071</v>
      </c>
      <c r="C11043" s="3" t="s">
        <v>222</v>
      </c>
      <c r="D11043" s="3">
        <v>84.0</v>
      </c>
      <c r="E11043" s="3">
        <v>2.76</v>
      </c>
      <c r="F11043" s="3">
        <v>1.36</v>
      </c>
      <c r="G11043" s="3">
        <v>14.36</v>
      </c>
    </row>
    <row r="11044">
      <c r="A11044" s="3">
        <v>785438.0</v>
      </c>
      <c r="B11044" s="3" t="s">
        <v>11072</v>
      </c>
      <c r="C11044" s="3" t="s">
        <v>222</v>
      </c>
      <c r="D11044" s="3">
        <v>84.0</v>
      </c>
      <c r="E11044" s="3">
        <v>2.76</v>
      </c>
      <c r="F11044" s="3">
        <v>1.36</v>
      </c>
      <c r="G11044" s="3">
        <v>14.36</v>
      </c>
    </row>
    <row r="11045">
      <c r="A11045" s="3">
        <v>785439.0</v>
      </c>
      <c r="B11045" s="3" t="s">
        <v>11073</v>
      </c>
      <c r="C11045" s="3" t="s">
        <v>222</v>
      </c>
      <c r="D11045" s="3">
        <v>124.0</v>
      </c>
      <c r="E11045" s="3">
        <v>4.37</v>
      </c>
      <c r="F11045" s="3">
        <v>3.92</v>
      </c>
      <c r="G11045" s="3">
        <v>18.17</v>
      </c>
    </row>
    <row r="11046">
      <c r="A11046" s="3">
        <v>785440.0</v>
      </c>
      <c r="B11046" s="3" t="s">
        <v>11074</v>
      </c>
      <c r="C11046" s="3" t="s">
        <v>222</v>
      </c>
      <c r="D11046" s="3">
        <v>106.0</v>
      </c>
      <c r="E11046" s="3">
        <v>2.06</v>
      </c>
      <c r="F11046" s="3">
        <v>4.03</v>
      </c>
      <c r="G11046" s="3">
        <v>18.77</v>
      </c>
    </row>
    <row r="11047">
      <c r="A11047" s="3">
        <v>785441.0</v>
      </c>
      <c r="B11047" s="3" t="s">
        <v>11075</v>
      </c>
      <c r="C11047" s="3" t="s">
        <v>222</v>
      </c>
      <c r="D11047" s="3">
        <v>124.0</v>
      </c>
      <c r="E11047" s="3">
        <v>4.37</v>
      </c>
      <c r="F11047" s="3">
        <v>3.92</v>
      </c>
      <c r="G11047" s="3">
        <v>18.17</v>
      </c>
    </row>
    <row r="11048">
      <c r="A11048" s="3">
        <v>785442.0</v>
      </c>
      <c r="B11048" s="3" t="s">
        <v>11076</v>
      </c>
      <c r="C11048" s="3" t="s">
        <v>222</v>
      </c>
      <c r="D11048" s="3">
        <v>109.0</v>
      </c>
      <c r="E11048" s="3">
        <v>3.74</v>
      </c>
      <c r="F11048" s="3">
        <v>2.23</v>
      </c>
      <c r="G11048" s="3">
        <v>17.46</v>
      </c>
    </row>
    <row r="11049">
      <c r="A11049" s="3">
        <v>785443.0</v>
      </c>
      <c r="B11049" s="3" t="s">
        <v>11077</v>
      </c>
      <c r="C11049" s="3" t="s">
        <v>222</v>
      </c>
      <c r="D11049" s="3">
        <v>91.0</v>
      </c>
      <c r="E11049" s="3">
        <v>1.42</v>
      </c>
      <c r="F11049" s="3">
        <v>2.29</v>
      </c>
      <c r="G11049" s="3">
        <v>18.04</v>
      </c>
    </row>
    <row r="11050">
      <c r="A11050" s="3">
        <v>785444.0</v>
      </c>
      <c r="B11050" s="3" t="s">
        <v>11078</v>
      </c>
      <c r="C11050" s="3" t="s">
        <v>222</v>
      </c>
      <c r="D11050" s="3">
        <v>109.0</v>
      </c>
      <c r="E11050" s="3">
        <v>3.74</v>
      </c>
      <c r="F11050" s="3">
        <v>2.23</v>
      </c>
      <c r="G11050" s="3">
        <v>17.46</v>
      </c>
    </row>
    <row r="11051">
      <c r="A11051" s="3">
        <v>785445.0</v>
      </c>
      <c r="B11051" s="3" t="s">
        <v>11079</v>
      </c>
      <c r="C11051" s="3" t="s">
        <v>222</v>
      </c>
      <c r="D11051" s="3">
        <v>70.0</v>
      </c>
      <c r="E11051" s="3">
        <v>1.78</v>
      </c>
      <c r="F11051" s="3">
        <v>1.11</v>
      </c>
      <c r="G11051" s="3">
        <v>12.25</v>
      </c>
    </row>
    <row r="11052">
      <c r="A11052" s="3">
        <v>785446.0</v>
      </c>
      <c r="B11052" s="3" t="s">
        <v>11080</v>
      </c>
      <c r="C11052" s="3" t="s">
        <v>222</v>
      </c>
      <c r="D11052" s="3">
        <v>58.0</v>
      </c>
      <c r="E11052" s="3">
        <v>0.28</v>
      </c>
      <c r="F11052" s="3">
        <v>1.12</v>
      </c>
      <c r="G11052" s="3">
        <v>12.47</v>
      </c>
    </row>
    <row r="11053">
      <c r="A11053" s="3">
        <v>785447.0</v>
      </c>
      <c r="B11053" s="3" t="s">
        <v>11081</v>
      </c>
      <c r="C11053" s="3" t="s">
        <v>222</v>
      </c>
      <c r="D11053" s="3">
        <v>70.0</v>
      </c>
      <c r="E11053" s="3">
        <v>1.78</v>
      </c>
      <c r="F11053" s="3">
        <v>1.11</v>
      </c>
      <c r="G11053" s="3">
        <v>12.25</v>
      </c>
    </row>
    <row r="11054">
      <c r="A11054" s="3">
        <v>785448.0</v>
      </c>
      <c r="B11054" s="3" t="s">
        <v>11082</v>
      </c>
      <c r="C11054" s="3" t="s">
        <v>222</v>
      </c>
      <c r="D11054" s="3">
        <v>148.0</v>
      </c>
      <c r="E11054" s="3">
        <v>2.17</v>
      </c>
      <c r="F11054" s="3">
        <v>4.05</v>
      </c>
      <c r="G11054" s="3">
        <v>28.15</v>
      </c>
    </row>
    <row r="11055">
      <c r="A11055" s="3">
        <v>785449.0</v>
      </c>
      <c r="B11055" s="3" t="s">
        <v>11083</v>
      </c>
      <c r="C11055" s="3" t="s">
        <v>8</v>
      </c>
      <c r="D11055" s="3">
        <v>167.0</v>
      </c>
      <c r="E11055" s="3">
        <v>4.68</v>
      </c>
      <c r="F11055" s="3">
        <v>5.31</v>
      </c>
      <c r="G11055" s="3">
        <v>25.38</v>
      </c>
    </row>
    <row r="11056">
      <c r="A11056" s="3">
        <v>785450.0</v>
      </c>
      <c r="B11056" s="3" t="s">
        <v>11084</v>
      </c>
      <c r="C11056" s="3" t="s">
        <v>222</v>
      </c>
      <c r="D11056" s="3">
        <v>97.0</v>
      </c>
      <c r="E11056" s="3">
        <v>0.99</v>
      </c>
      <c r="F11056" s="3">
        <v>2.26</v>
      </c>
      <c r="G11056" s="3">
        <v>20.5</v>
      </c>
    </row>
    <row r="11057">
      <c r="A11057" s="3">
        <v>785451.0</v>
      </c>
      <c r="B11057" s="3" t="s">
        <v>11085</v>
      </c>
      <c r="C11057" s="3" t="s">
        <v>660</v>
      </c>
      <c r="D11057" s="3">
        <v>118.0</v>
      </c>
      <c r="E11057" s="3">
        <v>1.0</v>
      </c>
      <c r="F11057" s="3">
        <v>3.5</v>
      </c>
      <c r="G11057" s="3">
        <v>23.57</v>
      </c>
    </row>
    <row r="11058">
      <c r="A11058" s="3">
        <v>785452.0</v>
      </c>
      <c r="B11058" s="3" t="s">
        <v>11086</v>
      </c>
      <c r="C11058" s="3" t="s">
        <v>660</v>
      </c>
      <c r="D11058" s="3">
        <v>118.0</v>
      </c>
      <c r="E11058" s="3">
        <v>1.0</v>
      </c>
      <c r="F11058" s="3">
        <v>3.5</v>
      </c>
      <c r="G11058" s="3">
        <v>23.57</v>
      </c>
    </row>
    <row r="11059">
      <c r="A11059" s="3">
        <v>785453.0</v>
      </c>
      <c r="B11059" s="3" t="s">
        <v>11087</v>
      </c>
      <c r="C11059" s="3" t="s">
        <v>660</v>
      </c>
      <c r="D11059" s="3">
        <v>140.0</v>
      </c>
      <c r="E11059" s="3">
        <v>4.04</v>
      </c>
      <c r="F11059" s="3">
        <v>3.32</v>
      </c>
      <c r="G11059" s="3">
        <v>22.39</v>
      </c>
    </row>
    <row r="11060">
      <c r="A11060" s="3">
        <v>785454.0</v>
      </c>
      <c r="B11060" s="3" t="s">
        <v>11088</v>
      </c>
      <c r="C11060" s="3" t="s">
        <v>222</v>
      </c>
      <c r="D11060" s="3">
        <v>79.0</v>
      </c>
      <c r="E11060" s="3">
        <v>2.4</v>
      </c>
      <c r="F11060" s="3">
        <v>2.6</v>
      </c>
      <c r="G11060" s="3">
        <v>11.95</v>
      </c>
    </row>
    <row r="11061">
      <c r="A11061" s="3">
        <v>785455.0</v>
      </c>
      <c r="B11061" s="3" t="s">
        <v>11089</v>
      </c>
      <c r="C11061" s="3" t="s">
        <v>222</v>
      </c>
      <c r="D11061" s="3">
        <v>109.0</v>
      </c>
      <c r="E11061" s="3">
        <v>2.2</v>
      </c>
      <c r="F11061" s="3">
        <v>2.4</v>
      </c>
      <c r="G11061" s="3">
        <v>20.39</v>
      </c>
    </row>
    <row r="11062">
      <c r="A11062" s="3">
        <v>785456.0</v>
      </c>
      <c r="B11062" s="3" t="s">
        <v>11090</v>
      </c>
      <c r="C11062" s="3" t="s">
        <v>222</v>
      </c>
      <c r="D11062" s="3">
        <v>122.0</v>
      </c>
      <c r="E11062" s="3">
        <v>2.04</v>
      </c>
      <c r="F11062" s="3">
        <v>2.28</v>
      </c>
      <c r="G11062" s="3">
        <v>24.61</v>
      </c>
    </row>
    <row r="11063">
      <c r="A11063" s="3">
        <v>785457.0</v>
      </c>
      <c r="B11063" s="3" t="s">
        <v>11091</v>
      </c>
      <c r="C11063" s="3" t="s">
        <v>222</v>
      </c>
      <c r="D11063" s="3">
        <v>109.0</v>
      </c>
      <c r="E11063" s="3">
        <v>2.2</v>
      </c>
      <c r="F11063" s="3">
        <v>2.4</v>
      </c>
      <c r="G11063" s="3">
        <v>20.39</v>
      </c>
    </row>
    <row r="11064">
      <c r="A11064" s="3">
        <v>785458.0</v>
      </c>
      <c r="B11064" s="3" t="s">
        <v>11092</v>
      </c>
      <c r="C11064" s="3" t="s">
        <v>222</v>
      </c>
      <c r="D11064" s="3">
        <v>76.0</v>
      </c>
      <c r="E11064" s="3">
        <v>2.57</v>
      </c>
      <c r="F11064" s="3">
        <v>2.18</v>
      </c>
      <c r="G11064" s="3">
        <v>11.17</v>
      </c>
    </row>
    <row r="11065">
      <c r="A11065" s="3">
        <v>785459.0</v>
      </c>
      <c r="B11065" s="3" t="s">
        <v>11093</v>
      </c>
      <c r="C11065" s="3" t="s">
        <v>222</v>
      </c>
      <c r="D11065" s="3">
        <v>64.0</v>
      </c>
      <c r="E11065" s="3">
        <v>1.09</v>
      </c>
      <c r="F11065" s="3">
        <v>2.21</v>
      </c>
      <c r="G11065" s="3">
        <v>11.36</v>
      </c>
    </row>
    <row r="11066">
      <c r="A11066" s="3">
        <v>785460.0</v>
      </c>
      <c r="B11066" s="3" t="s">
        <v>11094</v>
      </c>
      <c r="C11066" s="3" t="s">
        <v>222</v>
      </c>
      <c r="D11066" s="3">
        <v>76.0</v>
      </c>
      <c r="E11066" s="3">
        <v>2.57</v>
      </c>
      <c r="F11066" s="3">
        <v>2.18</v>
      </c>
      <c r="G11066" s="3">
        <v>11.17</v>
      </c>
    </row>
    <row r="11067">
      <c r="A11067" s="3">
        <v>785461.0</v>
      </c>
      <c r="B11067" s="3" t="s">
        <v>11095</v>
      </c>
      <c r="C11067" s="3" t="s">
        <v>222</v>
      </c>
      <c r="D11067" s="3">
        <v>76.0</v>
      </c>
      <c r="E11067" s="3">
        <v>2.57</v>
      </c>
      <c r="F11067" s="3">
        <v>2.18</v>
      </c>
      <c r="G11067" s="3">
        <v>11.17</v>
      </c>
    </row>
    <row r="11068">
      <c r="A11068" s="3">
        <v>785462.0</v>
      </c>
      <c r="B11068" s="3" t="s">
        <v>11096</v>
      </c>
      <c r="C11068" s="3" t="s">
        <v>222</v>
      </c>
      <c r="D11068" s="3">
        <v>64.0</v>
      </c>
      <c r="E11068" s="3">
        <v>1.09</v>
      </c>
      <c r="F11068" s="3">
        <v>2.21</v>
      </c>
      <c r="G11068" s="3">
        <v>11.36</v>
      </c>
    </row>
    <row r="11069">
      <c r="A11069" s="3">
        <v>785463.0</v>
      </c>
      <c r="B11069" s="3" t="s">
        <v>11097</v>
      </c>
      <c r="C11069" s="3" t="s">
        <v>222</v>
      </c>
      <c r="D11069" s="3">
        <v>76.0</v>
      </c>
      <c r="E11069" s="3">
        <v>2.57</v>
      </c>
      <c r="F11069" s="3">
        <v>2.18</v>
      </c>
      <c r="G11069" s="3">
        <v>11.17</v>
      </c>
    </row>
    <row r="11070">
      <c r="A11070" s="3">
        <v>785464.0</v>
      </c>
      <c r="B11070" s="3" t="s">
        <v>11098</v>
      </c>
      <c r="C11070" s="3" t="s">
        <v>222</v>
      </c>
      <c r="D11070" s="3">
        <v>126.0</v>
      </c>
      <c r="E11070" s="3">
        <v>4.59</v>
      </c>
      <c r="F11070" s="3">
        <v>5.41</v>
      </c>
      <c r="G11070" s="3">
        <v>15.97</v>
      </c>
    </row>
    <row r="11071">
      <c r="A11071" s="3">
        <v>785465.0</v>
      </c>
      <c r="B11071" s="3" t="s">
        <v>11099</v>
      </c>
      <c r="C11071" s="3" t="s">
        <v>222</v>
      </c>
      <c r="D11071" s="3">
        <v>115.0</v>
      </c>
      <c r="E11071" s="3">
        <v>3.15</v>
      </c>
      <c r="F11071" s="3">
        <v>5.5</v>
      </c>
      <c r="G11071" s="3">
        <v>16.25</v>
      </c>
    </row>
    <row r="11072">
      <c r="A11072" s="3">
        <v>785466.0</v>
      </c>
      <c r="B11072" s="3" t="s">
        <v>11100</v>
      </c>
      <c r="C11072" s="3" t="s">
        <v>222</v>
      </c>
      <c r="D11072" s="3">
        <v>126.0</v>
      </c>
      <c r="E11072" s="3">
        <v>4.59</v>
      </c>
      <c r="F11072" s="3">
        <v>5.41</v>
      </c>
      <c r="G11072" s="3">
        <v>15.97</v>
      </c>
    </row>
    <row r="11073">
      <c r="A11073" s="3">
        <v>785467.0</v>
      </c>
      <c r="B11073" s="3" t="s">
        <v>11101</v>
      </c>
      <c r="C11073" s="3" t="s">
        <v>222</v>
      </c>
      <c r="D11073" s="3">
        <v>107.0</v>
      </c>
      <c r="E11073" s="3">
        <v>3.81</v>
      </c>
      <c r="F11073" s="3">
        <v>3.28</v>
      </c>
      <c r="G11073" s="3">
        <v>15.08</v>
      </c>
    </row>
    <row r="11074">
      <c r="A11074" s="3">
        <v>785468.0</v>
      </c>
      <c r="B11074" s="3" t="s">
        <v>11102</v>
      </c>
      <c r="C11074" s="3" t="s">
        <v>222</v>
      </c>
      <c r="D11074" s="3">
        <v>96.0</v>
      </c>
      <c r="E11074" s="3">
        <v>2.35</v>
      </c>
      <c r="F11074" s="3">
        <v>3.33</v>
      </c>
      <c r="G11074" s="3">
        <v>15.34</v>
      </c>
    </row>
    <row r="11075">
      <c r="A11075" s="3">
        <v>785469.0</v>
      </c>
      <c r="B11075" s="3" t="s">
        <v>11103</v>
      </c>
      <c r="C11075" s="3" t="s">
        <v>222</v>
      </c>
      <c r="D11075" s="3">
        <v>107.0</v>
      </c>
      <c r="E11075" s="3">
        <v>3.81</v>
      </c>
      <c r="F11075" s="3">
        <v>3.28</v>
      </c>
      <c r="G11075" s="3">
        <v>15.08</v>
      </c>
    </row>
    <row r="11076">
      <c r="A11076" s="3">
        <v>785470.0</v>
      </c>
      <c r="B11076" s="3" t="s">
        <v>11104</v>
      </c>
      <c r="C11076" s="3" t="s">
        <v>222</v>
      </c>
      <c r="D11076" s="3">
        <v>87.0</v>
      </c>
      <c r="E11076" s="3">
        <v>3.64</v>
      </c>
      <c r="F11076" s="3">
        <v>2.2</v>
      </c>
      <c r="G11076" s="3">
        <v>12.74</v>
      </c>
    </row>
    <row r="11077">
      <c r="A11077" s="3">
        <v>785471.0</v>
      </c>
      <c r="B11077" s="3" t="s">
        <v>11105</v>
      </c>
      <c r="C11077" s="3" t="s">
        <v>222</v>
      </c>
      <c r="D11077" s="3">
        <v>68.0</v>
      </c>
      <c r="E11077" s="3">
        <v>1.3</v>
      </c>
      <c r="F11077" s="3">
        <v>2.26</v>
      </c>
      <c r="G11077" s="3">
        <v>13.15</v>
      </c>
    </row>
    <row r="11078">
      <c r="A11078" s="3">
        <v>785472.0</v>
      </c>
      <c r="B11078" s="3" t="s">
        <v>11106</v>
      </c>
      <c r="C11078" s="3" t="s">
        <v>222</v>
      </c>
      <c r="D11078" s="3">
        <v>87.0</v>
      </c>
      <c r="E11078" s="3">
        <v>3.64</v>
      </c>
      <c r="F11078" s="3">
        <v>2.2</v>
      </c>
      <c r="G11078" s="3">
        <v>12.74</v>
      </c>
    </row>
    <row r="11079">
      <c r="A11079" s="3">
        <v>785473.0</v>
      </c>
      <c r="B11079" s="3" t="s">
        <v>11107</v>
      </c>
      <c r="C11079" s="3" t="s">
        <v>222</v>
      </c>
      <c r="D11079" s="3">
        <v>127.0</v>
      </c>
      <c r="E11079" s="3">
        <v>5.24</v>
      </c>
      <c r="F11079" s="3">
        <v>4.76</v>
      </c>
      <c r="G11079" s="3">
        <v>16.54</v>
      </c>
    </row>
    <row r="11080">
      <c r="A11080" s="3">
        <v>785474.0</v>
      </c>
      <c r="B11080" s="3" t="s">
        <v>11108</v>
      </c>
      <c r="C11080" s="3" t="s">
        <v>222</v>
      </c>
      <c r="D11080" s="3">
        <v>110.0</v>
      </c>
      <c r="E11080" s="3">
        <v>2.96</v>
      </c>
      <c r="F11080" s="3">
        <v>4.9</v>
      </c>
      <c r="G11080" s="3">
        <v>17.08</v>
      </c>
    </row>
    <row r="11081">
      <c r="A11081" s="3">
        <v>785475.0</v>
      </c>
      <c r="B11081" s="3" t="s">
        <v>11109</v>
      </c>
      <c r="C11081" s="3" t="s">
        <v>222</v>
      </c>
      <c r="D11081" s="3">
        <v>127.0</v>
      </c>
      <c r="E11081" s="3">
        <v>5.24</v>
      </c>
      <c r="F11081" s="3">
        <v>4.76</v>
      </c>
      <c r="G11081" s="3">
        <v>16.54</v>
      </c>
    </row>
    <row r="11082">
      <c r="A11082" s="3">
        <v>785476.0</v>
      </c>
      <c r="B11082" s="3" t="s">
        <v>11110</v>
      </c>
      <c r="C11082" s="3" t="s">
        <v>222</v>
      </c>
      <c r="D11082" s="3">
        <v>112.0</v>
      </c>
      <c r="E11082" s="3">
        <v>4.62</v>
      </c>
      <c r="F11082" s="3">
        <v>3.08</v>
      </c>
      <c r="G11082" s="3">
        <v>15.83</v>
      </c>
    </row>
    <row r="11083">
      <c r="A11083" s="3">
        <v>785477.0</v>
      </c>
      <c r="B11083" s="3" t="s">
        <v>11111</v>
      </c>
      <c r="C11083" s="3" t="s">
        <v>222</v>
      </c>
      <c r="D11083" s="3">
        <v>94.0</v>
      </c>
      <c r="E11083" s="3">
        <v>2.32</v>
      </c>
      <c r="F11083" s="3">
        <v>3.16</v>
      </c>
      <c r="G11083" s="3">
        <v>16.35</v>
      </c>
    </row>
    <row r="11084">
      <c r="A11084" s="3">
        <v>785478.0</v>
      </c>
      <c r="B11084" s="3" t="s">
        <v>11112</v>
      </c>
      <c r="C11084" s="3" t="s">
        <v>222</v>
      </c>
      <c r="D11084" s="3">
        <v>112.0</v>
      </c>
      <c r="E11084" s="3">
        <v>4.62</v>
      </c>
      <c r="F11084" s="3">
        <v>3.08</v>
      </c>
      <c r="G11084" s="3">
        <v>15.83</v>
      </c>
    </row>
    <row r="11085">
      <c r="A11085" s="3">
        <v>785479.0</v>
      </c>
      <c r="B11085" s="3" t="s">
        <v>11113</v>
      </c>
      <c r="C11085" s="3" t="s">
        <v>222</v>
      </c>
      <c r="D11085" s="3">
        <v>113.0</v>
      </c>
      <c r="E11085" s="3">
        <v>3.37</v>
      </c>
      <c r="F11085" s="3">
        <v>2.38</v>
      </c>
      <c r="G11085" s="3">
        <v>19.64</v>
      </c>
    </row>
    <row r="11086">
      <c r="A11086" s="3">
        <v>785480.0</v>
      </c>
      <c r="B11086" s="3" t="s">
        <v>11114</v>
      </c>
      <c r="C11086" s="3" t="s">
        <v>222</v>
      </c>
      <c r="D11086" s="3">
        <v>97.0</v>
      </c>
      <c r="E11086" s="3">
        <v>1.25</v>
      </c>
      <c r="F11086" s="3">
        <v>2.44</v>
      </c>
      <c r="G11086" s="3">
        <v>20.23</v>
      </c>
    </row>
    <row r="11087">
      <c r="A11087" s="3">
        <v>785481.0</v>
      </c>
      <c r="B11087" s="3" t="s">
        <v>11115</v>
      </c>
      <c r="C11087" s="3" t="s">
        <v>222</v>
      </c>
      <c r="D11087" s="3">
        <v>113.0</v>
      </c>
      <c r="E11087" s="3">
        <v>3.37</v>
      </c>
      <c r="F11087" s="3">
        <v>2.38</v>
      </c>
      <c r="G11087" s="3">
        <v>19.64</v>
      </c>
    </row>
    <row r="11088">
      <c r="A11088" s="3">
        <v>785482.0</v>
      </c>
      <c r="B11088" s="3" t="s">
        <v>11116</v>
      </c>
      <c r="C11088" s="3" t="s">
        <v>222</v>
      </c>
      <c r="D11088" s="3">
        <v>112.0</v>
      </c>
      <c r="E11088" s="3">
        <v>3.32</v>
      </c>
      <c r="F11088" s="3">
        <v>2.29</v>
      </c>
      <c r="G11088" s="3">
        <v>19.51</v>
      </c>
    </row>
    <row r="11089">
      <c r="A11089" s="3">
        <v>785483.0</v>
      </c>
      <c r="B11089" s="3" t="s">
        <v>11117</v>
      </c>
      <c r="C11089" s="3" t="s">
        <v>222</v>
      </c>
      <c r="D11089" s="3">
        <v>96.0</v>
      </c>
      <c r="E11089" s="3">
        <v>1.19</v>
      </c>
      <c r="F11089" s="3">
        <v>2.34</v>
      </c>
      <c r="G11089" s="3">
        <v>20.09</v>
      </c>
    </row>
    <row r="11090">
      <c r="A11090" s="3">
        <v>785484.0</v>
      </c>
      <c r="B11090" s="3" t="s">
        <v>11118</v>
      </c>
      <c r="C11090" s="3" t="s">
        <v>222</v>
      </c>
      <c r="D11090" s="3">
        <v>112.0</v>
      </c>
      <c r="E11090" s="3">
        <v>3.32</v>
      </c>
      <c r="F11090" s="3">
        <v>2.29</v>
      </c>
      <c r="G11090" s="3">
        <v>19.51</v>
      </c>
    </row>
    <row r="11091">
      <c r="A11091" s="3">
        <v>785485.0</v>
      </c>
      <c r="B11091" s="3" t="s">
        <v>11119</v>
      </c>
      <c r="C11091" s="3" t="s">
        <v>222</v>
      </c>
      <c r="D11091" s="3">
        <v>113.0</v>
      </c>
      <c r="E11091" s="3">
        <v>3.37</v>
      </c>
      <c r="F11091" s="3">
        <v>2.38</v>
      </c>
      <c r="G11091" s="3">
        <v>19.64</v>
      </c>
    </row>
    <row r="11092">
      <c r="A11092" s="3">
        <v>785486.0</v>
      </c>
      <c r="B11092" s="3" t="s">
        <v>11120</v>
      </c>
      <c r="C11092" s="3" t="s">
        <v>222</v>
      </c>
      <c r="D11092" s="3">
        <v>97.0</v>
      </c>
      <c r="E11092" s="3">
        <v>1.25</v>
      </c>
      <c r="F11092" s="3">
        <v>2.44</v>
      </c>
      <c r="G11092" s="3">
        <v>20.23</v>
      </c>
    </row>
    <row r="11093">
      <c r="A11093" s="3">
        <v>785487.0</v>
      </c>
      <c r="B11093" s="3" t="s">
        <v>11121</v>
      </c>
      <c r="C11093" s="3" t="s">
        <v>222</v>
      </c>
      <c r="D11093" s="3">
        <v>113.0</v>
      </c>
      <c r="E11093" s="3">
        <v>3.37</v>
      </c>
      <c r="F11093" s="3">
        <v>2.38</v>
      </c>
      <c r="G11093" s="3">
        <v>19.64</v>
      </c>
    </row>
    <row r="11094">
      <c r="A11094" s="3">
        <v>785488.0</v>
      </c>
      <c r="B11094" s="3" t="s">
        <v>11122</v>
      </c>
      <c r="C11094" s="3" t="s">
        <v>222</v>
      </c>
      <c r="D11094" s="3">
        <v>100.0</v>
      </c>
      <c r="E11094" s="3">
        <v>3.51</v>
      </c>
      <c r="F11094" s="3">
        <v>2.29</v>
      </c>
      <c r="G11094" s="3">
        <v>16.11</v>
      </c>
    </row>
    <row r="11095">
      <c r="A11095" s="3">
        <v>785489.0</v>
      </c>
      <c r="B11095" s="3" t="s">
        <v>11123</v>
      </c>
      <c r="C11095" s="3" t="s">
        <v>222</v>
      </c>
      <c r="D11095" s="3">
        <v>83.0</v>
      </c>
      <c r="E11095" s="3">
        <v>1.28</v>
      </c>
      <c r="F11095" s="3">
        <v>2.35</v>
      </c>
      <c r="G11095" s="3">
        <v>16.62</v>
      </c>
    </row>
    <row r="11096">
      <c r="A11096" s="3">
        <v>785490.0</v>
      </c>
      <c r="B11096" s="3" t="s">
        <v>11124</v>
      </c>
      <c r="C11096" s="3" t="s">
        <v>222</v>
      </c>
      <c r="D11096" s="3">
        <v>100.0</v>
      </c>
      <c r="E11096" s="3">
        <v>3.51</v>
      </c>
      <c r="F11096" s="3">
        <v>2.29</v>
      </c>
      <c r="G11096" s="3">
        <v>16.11</v>
      </c>
    </row>
    <row r="11097">
      <c r="A11097" s="3">
        <v>785491.0</v>
      </c>
      <c r="B11097" s="3" t="s">
        <v>11125</v>
      </c>
      <c r="C11097" s="3" t="s">
        <v>222</v>
      </c>
      <c r="D11097" s="3">
        <v>145.0</v>
      </c>
      <c r="E11097" s="3">
        <v>2.62</v>
      </c>
      <c r="F11097" s="3">
        <v>4.57</v>
      </c>
      <c r="G11097" s="3">
        <v>26.36</v>
      </c>
    </row>
    <row r="11098">
      <c r="A11098" s="3">
        <v>785492.0</v>
      </c>
      <c r="B11098" s="3" t="s">
        <v>11126</v>
      </c>
      <c r="C11098" s="3" t="s">
        <v>222</v>
      </c>
      <c r="D11098" s="3">
        <v>100.0</v>
      </c>
      <c r="E11098" s="3">
        <v>3.51</v>
      </c>
      <c r="F11098" s="3">
        <v>2.29</v>
      </c>
      <c r="G11098" s="3">
        <v>16.11</v>
      </c>
    </row>
    <row r="11099">
      <c r="A11099" s="3">
        <v>785493.0</v>
      </c>
      <c r="B11099" s="3" t="s">
        <v>11127</v>
      </c>
      <c r="C11099" s="3" t="s">
        <v>222</v>
      </c>
      <c r="D11099" s="3">
        <v>83.0</v>
      </c>
      <c r="E11099" s="3">
        <v>1.28</v>
      </c>
      <c r="F11099" s="3">
        <v>2.35</v>
      </c>
      <c r="G11099" s="3">
        <v>16.62</v>
      </c>
    </row>
    <row r="11100">
      <c r="A11100" s="3">
        <v>785494.0</v>
      </c>
      <c r="B11100" s="3" t="s">
        <v>11128</v>
      </c>
      <c r="C11100" s="3" t="s">
        <v>222</v>
      </c>
      <c r="D11100" s="3">
        <v>100.0</v>
      </c>
      <c r="E11100" s="3">
        <v>3.51</v>
      </c>
      <c r="F11100" s="3">
        <v>2.29</v>
      </c>
      <c r="G11100" s="3">
        <v>16.11</v>
      </c>
    </row>
    <row r="11101">
      <c r="A11101" s="3">
        <v>785495.0</v>
      </c>
      <c r="B11101" s="3" t="s">
        <v>11129</v>
      </c>
      <c r="C11101" s="3" t="s">
        <v>222</v>
      </c>
      <c r="D11101" s="3">
        <v>68.0</v>
      </c>
      <c r="E11101" s="3">
        <v>1.95</v>
      </c>
      <c r="F11101" s="3">
        <v>2.1</v>
      </c>
      <c r="G11101" s="3">
        <v>11.98</v>
      </c>
    </row>
    <row r="11102">
      <c r="A11102" s="3">
        <v>785496.0</v>
      </c>
      <c r="B11102" s="3" t="s">
        <v>11130</v>
      </c>
      <c r="C11102" s="3" t="s">
        <v>222</v>
      </c>
      <c r="D11102" s="3">
        <v>56.0</v>
      </c>
      <c r="E11102" s="3">
        <v>0.46</v>
      </c>
      <c r="F11102" s="3">
        <v>2.12</v>
      </c>
      <c r="G11102" s="3">
        <v>12.19</v>
      </c>
    </row>
    <row r="11103">
      <c r="A11103" s="3">
        <v>785497.0</v>
      </c>
      <c r="B11103" s="3" t="s">
        <v>11131</v>
      </c>
      <c r="C11103" s="3" t="s">
        <v>222</v>
      </c>
      <c r="D11103" s="3">
        <v>68.0</v>
      </c>
      <c r="E11103" s="3">
        <v>1.95</v>
      </c>
      <c r="F11103" s="3">
        <v>2.1</v>
      </c>
      <c r="G11103" s="3">
        <v>11.98</v>
      </c>
    </row>
    <row r="11104">
      <c r="A11104" s="3">
        <v>785498.0</v>
      </c>
      <c r="B11104" s="3" t="s">
        <v>11132</v>
      </c>
      <c r="C11104" s="3" t="s">
        <v>660</v>
      </c>
      <c r="D11104" s="3">
        <v>140.0</v>
      </c>
      <c r="E11104" s="3">
        <v>4.74</v>
      </c>
      <c r="F11104" s="3">
        <v>4.18</v>
      </c>
      <c r="G11104" s="3">
        <v>20.22</v>
      </c>
    </row>
    <row r="11105">
      <c r="A11105" s="3">
        <v>785499.0</v>
      </c>
      <c r="B11105" s="3" t="s">
        <v>11133</v>
      </c>
      <c r="C11105" s="3" t="s">
        <v>660</v>
      </c>
      <c r="D11105" s="3">
        <v>120.0</v>
      </c>
      <c r="E11105" s="3">
        <v>1.91</v>
      </c>
      <c r="F11105" s="3">
        <v>4.38</v>
      </c>
      <c r="G11105" s="3">
        <v>21.21</v>
      </c>
    </row>
    <row r="11106">
      <c r="A11106" s="3">
        <v>785500.0</v>
      </c>
      <c r="B11106" s="3" t="s">
        <v>11134</v>
      </c>
      <c r="C11106" s="3" t="s">
        <v>660</v>
      </c>
      <c r="D11106" s="3">
        <v>140.0</v>
      </c>
      <c r="E11106" s="3">
        <v>4.74</v>
      </c>
      <c r="F11106" s="3">
        <v>4.18</v>
      </c>
      <c r="G11106" s="3">
        <v>20.22</v>
      </c>
    </row>
    <row r="11107">
      <c r="A11107" s="3">
        <v>785501.0</v>
      </c>
      <c r="B11107" s="3" t="s">
        <v>11135</v>
      </c>
      <c r="C11107" s="3" t="s">
        <v>660</v>
      </c>
      <c r="D11107" s="3">
        <v>129.0</v>
      </c>
      <c r="E11107" s="3">
        <v>0.28</v>
      </c>
      <c r="F11107" s="3">
        <v>2.67</v>
      </c>
      <c r="G11107" s="3">
        <v>27.99</v>
      </c>
    </row>
    <row r="11108">
      <c r="A11108" s="3">
        <v>785502.0</v>
      </c>
      <c r="B11108" s="3" t="s">
        <v>11136</v>
      </c>
      <c r="C11108" s="3" t="s">
        <v>660</v>
      </c>
      <c r="D11108" s="3">
        <v>129.0</v>
      </c>
      <c r="E11108" s="3">
        <v>0.28</v>
      </c>
      <c r="F11108" s="3">
        <v>2.67</v>
      </c>
      <c r="G11108" s="3">
        <v>27.99</v>
      </c>
    </row>
    <row r="11109">
      <c r="A11109" s="3">
        <v>785503.0</v>
      </c>
      <c r="B11109" s="3" t="s">
        <v>11137</v>
      </c>
      <c r="C11109" s="3" t="s">
        <v>660</v>
      </c>
      <c r="D11109" s="3">
        <v>150.0</v>
      </c>
      <c r="E11109" s="3">
        <v>3.05</v>
      </c>
      <c r="F11109" s="3">
        <v>2.6</v>
      </c>
      <c r="G11109" s="3">
        <v>27.22</v>
      </c>
    </row>
    <row r="11110">
      <c r="A11110" s="3">
        <v>785504.0</v>
      </c>
      <c r="B11110" s="3" t="s">
        <v>11138</v>
      </c>
      <c r="C11110" s="3" t="s">
        <v>660</v>
      </c>
      <c r="D11110" s="3">
        <v>146.0</v>
      </c>
      <c r="E11110" s="3">
        <v>2.61</v>
      </c>
      <c r="F11110" s="3">
        <v>2.62</v>
      </c>
      <c r="G11110" s="3">
        <v>27.19</v>
      </c>
    </row>
    <row r="11111">
      <c r="A11111" s="3">
        <v>785505.0</v>
      </c>
      <c r="B11111" s="3" t="s">
        <v>11139</v>
      </c>
      <c r="C11111" s="3" t="s">
        <v>660</v>
      </c>
      <c r="D11111" s="3">
        <v>141.0</v>
      </c>
      <c r="E11111" s="3">
        <v>2.01</v>
      </c>
      <c r="F11111" s="3">
        <v>2.6</v>
      </c>
      <c r="G11111" s="3">
        <v>27.2</v>
      </c>
    </row>
    <row r="11112">
      <c r="A11112" s="3">
        <v>785506.0</v>
      </c>
      <c r="B11112" s="3" t="s">
        <v>11140</v>
      </c>
      <c r="C11112" s="3" t="s">
        <v>660</v>
      </c>
      <c r="D11112" s="3">
        <v>147.0</v>
      </c>
      <c r="E11112" s="3">
        <v>2.73</v>
      </c>
      <c r="F11112" s="3">
        <v>2.6</v>
      </c>
      <c r="G11112" s="3">
        <v>27.2</v>
      </c>
    </row>
    <row r="11113">
      <c r="A11113" s="3">
        <v>785507.0</v>
      </c>
      <c r="B11113" s="3" t="s">
        <v>11141</v>
      </c>
      <c r="C11113" s="3" t="s">
        <v>660</v>
      </c>
      <c r="D11113" s="3">
        <v>129.0</v>
      </c>
      <c r="E11113" s="3">
        <v>0.28</v>
      </c>
      <c r="F11113" s="3">
        <v>2.67</v>
      </c>
      <c r="G11113" s="3">
        <v>27.99</v>
      </c>
    </row>
    <row r="11114">
      <c r="A11114" s="3">
        <v>785508.0</v>
      </c>
      <c r="B11114" s="3" t="s">
        <v>11142</v>
      </c>
      <c r="C11114" s="3" t="s">
        <v>660</v>
      </c>
      <c r="D11114" s="3">
        <v>122.0</v>
      </c>
      <c r="E11114" s="3">
        <v>0.96</v>
      </c>
      <c r="F11114" s="3">
        <v>2.73</v>
      </c>
      <c r="G11114" s="3">
        <v>25.45</v>
      </c>
    </row>
    <row r="11115">
      <c r="A11115" s="3">
        <v>785509.0</v>
      </c>
      <c r="B11115" s="3" t="s">
        <v>11143</v>
      </c>
      <c r="C11115" s="3" t="s">
        <v>660</v>
      </c>
      <c r="D11115" s="3">
        <v>140.0</v>
      </c>
      <c r="E11115" s="3">
        <v>3.21</v>
      </c>
      <c r="F11115" s="3">
        <v>2.66</v>
      </c>
      <c r="G11115" s="3">
        <v>24.87</v>
      </c>
    </row>
    <row r="11116">
      <c r="A11116" s="3">
        <v>785510.0</v>
      </c>
      <c r="B11116" s="3" t="s">
        <v>11144</v>
      </c>
      <c r="C11116" s="3" t="s">
        <v>660</v>
      </c>
      <c r="D11116" s="3">
        <v>136.0</v>
      </c>
      <c r="E11116" s="3">
        <v>2.85</v>
      </c>
      <c r="F11116" s="3">
        <v>2.68</v>
      </c>
      <c r="G11116" s="3">
        <v>24.85</v>
      </c>
    </row>
    <row r="11117">
      <c r="A11117" s="3">
        <v>785511.0</v>
      </c>
      <c r="B11117" s="3" t="s">
        <v>11145</v>
      </c>
      <c r="C11117" s="3" t="s">
        <v>660</v>
      </c>
      <c r="D11117" s="3">
        <v>132.0</v>
      </c>
      <c r="E11117" s="3">
        <v>2.36</v>
      </c>
      <c r="F11117" s="3">
        <v>2.66</v>
      </c>
      <c r="G11117" s="3">
        <v>24.86</v>
      </c>
    </row>
    <row r="11118">
      <c r="A11118" s="3">
        <v>785512.0</v>
      </c>
      <c r="B11118" s="3" t="s">
        <v>11146</v>
      </c>
      <c r="C11118" s="3" t="s">
        <v>660</v>
      </c>
      <c r="D11118" s="3">
        <v>137.0</v>
      </c>
      <c r="E11118" s="3">
        <v>2.95</v>
      </c>
      <c r="F11118" s="3">
        <v>2.67</v>
      </c>
      <c r="G11118" s="3">
        <v>24.86</v>
      </c>
    </row>
    <row r="11119">
      <c r="A11119" s="3">
        <v>785513.0</v>
      </c>
      <c r="B11119" s="3" t="s">
        <v>11147</v>
      </c>
      <c r="C11119" s="3" t="s">
        <v>660</v>
      </c>
      <c r="D11119" s="3">
        <v>122.0</v>
      </c>
      <c r="E11119" s="3">
        <v>0.96</v>
      </c>
      <c r="F11119" s="3">
        <v>2.73</v>
      </c>
      <c r="G11119" s="3">
        <v>25.45</v>
      </c>
    </row>
    <row r="11120">
      <c r="A11120" s="3">
        <v>785514.0</v>
      </c>
      <c r="B11120" s="3" t="s">
        <v>11148</v>
      </c>
      <c r="C11120" s="3" t="s">
        <v>222</v>
      </c>
      <c r="D11120" s="3">
        <v>69.0</v>
      </c>
      <c r="E11120" s="3">
        <v>0.09</v>
      </c>
      <c r="F11120" s="3">
        <v>1.17</v>
      </c>
      <c r="G11120" s="3">
        <v>15.28</v>
      </c>
    </row>
    <row r="11121">
      <c r="A11121" s="3">
        <v>785515.0</v>
      </c>
      <c r="B11121" s="3" t="s">
        <v>11149</v>
      </c>
      <c r="C11121" s="3" t="s">
        <v>660</v>
      </c>
      <c r="D11121" s="3">
        <v>143.0</v>
      </c>
      <c r="E11121" s="3">
        <v>2.21</v>
      </c>
      <c r="F11121" s="3">
        <v>5.06</v>
      </c>
      <c r="G11121" s="3">
        <v>25.03</v>
      </c>
    </row>
    <row r="11122">
      <c r="A11122" s="3">
        <v>785516.0</v>
      </c>
      <c r="B11122" s="3" t="s">
        <v>11150</v>
      </c>
      <c r="C11122" s="3" t="s">
        <v>660</v>
      </c>
      <c r="D11122" s="3">
        <v>140.0</v>
      </c>
      <c r="E11122" s="3">
        <v>0.26</v>
      </c>
      <c r="F11122" s="3">
        <v>2.52</v>
      </c>
      <c r="G11122" s="3">
        <v>31.3</v>
      </c>
    </row>
    <row r="11123">
      <c r="A11123" s="3">
        <v>785517.0</v>
      </c>
      <c r="B11123" s="3" t="s">
        <v>11151</v>
      </c>
      <c r="C11123" s="3" t="s">
        <v>222</v>
      </c>
      <c r="D11123" s="3">
        <v>88.0</v>
      </c>
      <c r="E11123" s="3">
        <v>0.96</v>
      </c>
      <c r="F11123" s="3">
        <v>2.19</v>
      </c>
      <c r="G11123" s="3">
        <v>17.47</v>
      </c>
    </row>
    <row r="11124">
      <c r="A11124" s="3">
        <v>785518.0</v>
      </c>
      <c r="B11124" s="3" t="s">
        <v>11152</v>
      </c>
      <c r="C11124" s="3" t="s">
        <v>222</v>
      </c>
      <c r="D11124" s="3">
        <v>80.0</v>
      </c>
      <c r="E11124" s="3">
        <v>1.56</v>
      </c>
      <c r="F11124" s="3">
        <v>1.16</v>
      </c>
      <c r="G11124" s="3">
        <v>15.03</v>
      </c>
    </row>
    <row r="11125">
      <c r="A11125" s="3">
        <v>785519.0</v>
      </c>
      <c r="B11125" s="3" t="s">
        <v>11153</v>
      </c>
      <c r="C11125" s="3" t="s">
        <v>222</v>
      </c>
      <c r="D11125" s="3">
        <v>80.0</v>
      </c>
      <c r="E11125" s="3">
        <v>1.56</v>
      </c>
      <c r="F11125" s="3">
        <v>1.16</v>
      </c>
      <c r="G11125" s="3">
        <v>15.03</v>
      </c>
    </row>
    <row r="11126">
      <c r="A11126" s="3">
        <v>785520.0</v>
      </c>
      <c r="B11126" s="3" t="s">
        <v>11154</v>
      </c>
      <c r="C11126" s="3" t="s">
        <v>222</v>
      </c>
      <c r="D11126" s="3">
        <v>130.0</v>
      </c>
      <c r="E11126" s="3">
        <v>3.55</v>
      </c>
      <c r="F11126" s="3">
        <v>4.34</v>
      </c>
      <c r="G11126" s="3">
        <v>19.74</v>
      </c>
    </row>
    <row r="11127">
      <c r="A11127" s="3">
        <v>785521.0</v>
      </c>
      <c r="B11127" s="3" t="s">
        <v>11155</v>
      </c>
      <c r="C11127" s="3" t="s">
        <v>660</v>
      </c>
      <c r="D11127" s="3">
        <v>33.0</v>
      </c>
      <c r="E11127" s="3">
        <v>0.07</v>
      </c>
      <c r="F11127" s="3">
        <v>0.68</v>
      </c>
      <c r="G11127" s="3">
        <v>7.16</v>
      </c>
    </row>
    <row r="11128">
      <c r="A11128" s="3">
        <v>785522.0</v>
      </c>
      <c r="B11128" s="3" t="s">
        <v>11156</v>
      </c>
      <c r="C11128" s="3" t="s">
        <v>660</v>
      </c>
      <c r="D11128" s="3">
        <v>88.0</v>
      </c>
      <c r="E11128" s="3">
        <v>0.45</v>
      </c>
      <c r="F11128" s="3">
        <v>1.8</v>
      </c>
      <c r="G11128" s="3">
        <v>19.1</v>
      </c>
    </row>
    <row r="11129">
      <c r="A11129" s="3">
        <v>785523.0</v>
      </c>
      <c r="B11129" s="3" t="s">
        <v>11157</v>
      </c>
      <c r="C11129" s="3" t="s">
        <v>660</v>
      </c>
      <c r="D11129" s="3">
        <v>88.0</v>
      </c>
      <c r="E11129" s="3">
        <v>0.45</v>
      </c>
      <c r="F11129" s="3">
        <v>1.8</v>
      </c>
      <c r="G11129" s="3">
        <v>19.1</v>
      </c>
    </row>
    <row r="11130">
      <c r="A11130" s="3">
        <v>785524.0</v>
      </c>
      <c r="B11130" s="3" t="s">
        <v>11158</v>
      </c>
      <c r="C11130" s="3" t="s">
        <v>660</v>
      </c>
      <c r="D11130" s="3">
        <v>104.0</v>
      </c>
      <c r="E11130" s="3">
        <v>2.46</v>
      </c>
      <c r="F11130" s="3">
        <v>1.76</v>
      </c>
      <c r="G11130" s="3">
        <v>18.69</v>
      </c>
    </row>
    <row r="11131">
      <c r="A11131" s="3">
        <v>785525.0</v>
      </c>
      <c r="B11131" s="3" t="s">
        <v>11159</v>
      </c>
      <c r="C11131" s="3" t="s">
        <v>660</v>
      </c>
      <c r="D11131" s="3">
        <v>96.0</v>
      </c>
      <c r="E11131" s="3">
        <v>0.19</v>
      </c>
      <c r="F11131" s="3">
        <v>2.01</v>
      </c>
      <c r="G11131" s="3">
        <v>20.97</v>
      </c>
    </row>
    <row r="11132">
      <c r="A11132" s="3">
        <v>785526.0</v>
      </c>
      <c r="B11132" s="3" t="s">
        <v>11160</v>
      </c>
      <c r="C11132" s="3" t="s">
        <v>7823</v>
      </c>
      <c r="D11132" s="3">
        <v>151.0</v>
      </c>
      <c r="E11132" s="3">
        <v>6.05</v>
      </c>
      <c r="F11132" s="3">
        <v>1.82</v>
      </c>
      <c r="G11132" s="3">
        <v>23.07</v>
      </c>
    </row>
    <row r="11133">
      <c r="A11133" s="3">
        <v>785527.0</v>
      </c>
      <c r="B11133" s="3" t="s">
        <v>11161</v>
      </c>
      <c r="C11133" s="3" t="s">
        <v>660</v>
      </c>
      <c r="D11133" s="3">
        <v>121.0</v>
      </c>
      <c r="E11133" s="3">
        <v>3.01</v>
      </c>
      <c r="F11133" s="3">
        <v>3.86</v>
      </c>
      <c r="G11133" s="3">
        <v>20.64</v>
      </c>
    </row>
    <row r="11134">
      <c r="A11134" s="3">
        <v>785528.0</v>
      </c>
      <c r="B11134" s="3" t="s">
        <v>11162</v>
      </c>
      <c r="C11134" s="3" t="s">
        <v>660</v>
      </c>
      <c r="D11134" s="3">
        <v>100.0</v>
      </c>
      <c r="E11134" s="3">
        <v>0.34</v>
      </c>
      <c r="F11134" s="3">
        <v>3.97</v>
      </c>
      <c r="G11134" s="3">
        <v>21.21</v>
      </c>
    </row>
    <row r="11135">
      <c r="A11135" s="3">
        <v>785529.0</v>
      </c>
      <c r="B11135" s="3" t="s">
        <v>11163</v>
      </c>
      <c r="C11135" s="3" t="s">
        <v>660</v>
      </c>
      <c r="D11135" s="3">
        <v>121.0</v>
      </c>
      <c r="E11135" s="3">
        <v>3.01</v>
      </c>
      <c r="F11135" s="3">
        <v>3.86</v>
      </c>
      <c r="G11135" s="3">
        <v>20.64</v>
      </c>
    </row>
    <row r="11136">
      <c r="A11136" s="3">
        <v>785530.0</v>
      </c>
      <c r="B11136" s="3" t="s">
        <v>11164</v>
      </c>
      <c r="C11136" s="3" t="s">
        <v>7823</v>
      </c>
      <c r="D11136" s="3">
        <v>220.0</v>
      </c>
      <c r="E11136" s="3">
        <v>13.69</v>
      </c>
      <c r="F11136" s="3">
        <v>2.34</v>
      </c>
      <c r="G11136" s="3">
        <v>24.72</v>
      </c>
    </row>
    <row r="11137">
      <c r="A11137" s="3">
        <v>785531.0</v>
      </c>
      <c r="B11137" s="3" t="s">
        <v>11165</v>
      </c>
      <c r="C11137" s="3" t="s">
        <v>7823</v>
      </c>
      <c r="D11137" s="3">
        <v>237.0</v>
      </c>
      <c r="E11137" s="3">
        <v>14.82</v>
      </c>
      <c r="F11137" s="3">
        <v>4.07</v>
      </c>
      <c r="G11137" s="3">
        <v>25.06</v>
      </c>
    </row>
    <row r="11138">
      <c r="A11138" s="3">
        <v>785532.0</v>
      </c>
      <c r="B11138" s="3" t="s">
        <v>11166</v>
      </c>
      <c r="C11138" s="3" t="s">
        <v>660</v>
      </c>
      <c r="D11138" s="3">
        <v>121.0</v>
      </c>
      <c r="E11138" s="3">
        <v>0.3</v>
      </c>
      <c r="F11138" s="3">
        <v>3.59</v>
      </c>
      <c r="G11138" s="3">
        <v>25.99</v>
      </c>
    </row>
    <row r="11139">
      <c r="A11139" s="3">
        <v>785533.0</v>
      </c>
      <c r="B11139" s="3" t="s">
        <v>11167</v>
      </c>
      <c r="C11139" s="3" t="s">
        <v>660</v>
      </c>
      <c r="D11139" s="3">
        <v>120.0</v>
      </c>
      <c r="E11139" s="3">
        <v>0.88</v>
      </c>
      <c r="F11139" s="3">
        <v>2.89</v>
      </c>
      <c r="G11139" s="3">
        <v>24.9</v>
      </c>
    </row>
    <row r="11140">
      <c r="A11140" s="3">
        <v>785534.0</v>
      </c>
      <c r="B11140" s="3" t="s">
        <v>11168</v>
      </c>
      <c r="C11140" s="3" t="s">
        <v>660</v>
      </c>
      <c r="D11140" s="3">
        <v>112.0</v>
      </c>
      <c r="E11140" s="3">
        <v>2.16</v>
      </c>
      <c r="F11140" s="3">
        <v>2.17</v>
      </c>
      <c r="G11140" s="3">
        <v>20.61</v>
      </c>
    </row>
    <row r="11141">
      <c r="A11141" s="3">
        <v>785535.0</v>
      </c>
      <c r="B11141" s="3" t="s">
        <v>11169</v>
      </c>
      <c r="C11141" s="3" t="s">
        <v>660</v>
      </c>
      <c r="D11141" s="3">
        <v>112.0</v>
      </c>
      <c r="E11141" s="3">
        <v>2.16</v>
      </c>
      <c r="F11141" s="3">
        <v>2.17</v>
      </c>
      <c r="G11141" s="3">
        <v>20.61</v>
      </c>
    </row>
    <row r="11142">
      <c r="A11142" s="3">
        <v>785536.0</v>
      </c>
      <c r="B11142" s="3" t="s">
        <v>11170</v>
      </c>
      <c r="C11142" s="3" t="s">
        <v>660</v>
      </c>
      <c r="D11142" s="3">
        <v>137.0</v>
      </c>
      <c r="E11142" s="3">
        <v>3.18</v>
      </c>
      <c r="F11142" s="3">
        <v>2.82</v>
      </c>
      <c r="G11142" s="3">
        <v>24.32</v>
      </c>
    </row>
    <row r="11143">
      <c r="A11143" s="3">
        <v>785537.0</v>
      </c>
      <c r="B11143" s="3" t="s">
        <v>11171</v>
      </c>
      <c r="C11143" s="3" t="s">
        <v>660</v>
      </c>
      <c r="D11143" s="3">
        <v>113.0</v>
      </c>
      <c r="E11143" s="3">
        <v>2.72</v>
      </c>
      <c r="F11143" s="3">
        <v>2.26</v>
      </c>
      <c r="G11143" s="3">
        <v>19.8</v>
      </c>
    </row>
    <row r="11144">
      <c r="A11144" s="3">
        <v>785538.0</v>
      </c>
      <c r="B11144" s="3" t="s">
        <v>11172</v>
      </c>
      <c r="C11144" s="3" t="s">
        <v>660</v>
      </c>
      <c r="D11144" s="3">
        <v>198.0</v>
      </c>
      <c r="E11144" s="3">
        <v>6.15</v>
      </c>
      <c r="F11144" s="3">
        <v>2.85</v>
      </c>
      <c r="G11144" s="3">
        <v>31.94</v>
      </c>
    </row>
    <row r="11145">
      <c r="A11145" s="3">
        <v>785539.0</v>
      </c>
      <c r="B11145" s="3" t="s">
        <v>11173</v>
      </c>
      <c r="C11145" s="3" t="s">
        <v>222</v>
      </c>
      <c r="D11145" s="3">
        <v>64.0</v>
      </c>
      <c r="E11145" s="3">
        <v>1.74</v>
      </c>
      <c r="F11145" s="3">
        <v>1.44</v>
      </c>
      <c r="G11145" s="3">
        <v>10.39</v>
      </c>
    </row>
    <row r="11146">
      <c r="A11146" s="3">
        <v>785540.0</v>
      </c>
      <c r="B11146" s="3" t="s">
        <v>11174</v>
      </c>
      <c r="C11146" s="3" t="s">
        <v>222</v>
      </c>
      <c r="D11146" s="3">
        <v>51.0</v>
      </c>
      <c r="E11146" s="3">
        <v>0.21</v>
      </c>
      <c r="F11146" s="3">
        <v>1.45</v>
      </c>
      <c r="G11146" s="3">
        <v>10.57</v>
      </c>
    </row>
    <row r="11147">
      <c r="A11147" s="3">
        <v>785541.0</v>
      </c>
      <c r="B11147" s="3" t="s">
        <v>11175</v>
      </c>
      <c r="C11147" s="3" t="s">
        <v>222</v>
      </c>
      <c r="D11147" s="3">
        <v>64.0</v>
      </c>
      <c r="E11147" s="3">
        <v>1.74</v>
      </c>
      <c r="F11147" s="3">
        <v>1.44</v>
      </c>
      <c r="G11147" s="3">
        <v>10.39</v>
      </c>
    </row>
    <row r="11148">
      <c r="A11148" s="3">
        <v>785542.0</v>
      </c>
      <c r="B11148" s="3" t="s">
        <v>11176</v>
      </c>
      <c r="C11148" s="3" t="s">
        <v>222</v>
      </c>
      <c r="D11148" s="3">
        <v>64.0</v>
      </c>
      <c r="E11148" s="3">
        <v>1.74</v>
      </c>
      <c r="F11148" s="3">
        <v>1.44</v>
      </c>
      <c r="G11148" s="3">
        <v>10.39</v>
      </c>
    </row>
    <row r="11149">
      <c r="A11149" s="3">
        <v>785543.0</v>
      </c>
      <c r="B11149" s="3" t="s">
        <v>11177</v>
      </c>
      <c r="C11149" s="3" t="s">
        <v>222</v>
      </c>
      <c r="D11149" s="3">
        <v>51.0</v>
      </c>
      <c r="E11149" s="3">
        <v>0.21</v>
      </c>
      <c r="F11149" s="3">
        <v>1.45</v>
      </c>
      <c r="G11149" s="3">
        <v>10.57</v>
      </c>
    </row>
    <row r="11150">
      <c r="A11150" s="3">
        <v>785544.0</v>
      </c>
      <c r="B11150" s="3" t="s">
        <v>11178</v>
      </c>
      <c r="C11150" s="3" t="s">
        <v>222</v>
      </c>
      <c r="D11150" s="3">
        <v>64.0</v>
      </c>
      <c r="E11150" s="3">
        <v>1.74</v>
      </c>
      <c r="F11150" s="3">
        <v>1.44</v>
      </c>
      <c r="G11150" s="3">
        <v>10.39</v>
      </c>
    </row>
    <row r="11151">
      <c r="A11151" s="3">
        <v>785545.0</v>
      </c>
      <c r="B11151" s="3" t="s">
        <v>11179</v>
      </c>
      <c r="C11151" s="3" t="s">
        <v>222</v>
      </c>
      <c r="D11151" s="3">
        <v>115.0</v>
      </c>
      <c r="E11151" s="3">
        <v>3.82</v>
      </c>
      <c r="F11151" s="3">
        <v>4.76</v>
      </c>
      <c r="G11151" s="3">
        <v>15.33</v>
      </c>
    </row>
    <row r="11152">
      <c r="A11152" s="3">
        <v>785546.0</v>
      </c>
      <c r="B11152" s="3" t="s">
        <v>11180</v>
      </c>
      <c r="C11152" s="3" t="s">
        <v>222</v>
      </c>
      <c r="D11152" s="3">
        <v>104.0</v>
      </c>
      <c r="E11152" s="3">
        <v>2.33</v>
      </c>
      <c r="F11152" s="3">
        <v>4.84</v>
      </c>
      <c r="G11152" s="3">
        <v>15.6</v>
      </c>
    </row>
    <row r="11153">
      <c r="A11153" s="3">
        <v>785547.0</v>
      </c>
      <c r="B11153" s="3" t="s">
        <v>11181</v>
      </c>
      <c r="C11153" s="3" t="s">
        <v>222</v>
      </c>
      <c r="D11153" s="3">
        <v>115.0</v>
      </c>
      <c r="E11153" s="3">
        <v>3.82</v>
      </c>
      <c r="F11153" s="3">
        <v>4.76</v>
      </c>
      <c r="G11153" s="3">
        <v>15.33</v>
      </c>
    </row>
    <row r="11154">
      <c r="A11154" s="3">
        <v>785548.0</v>
      </c>
      <c r="B11154" s="3" t="s">
        <v>11182</v>
      </c>
      <c r="C11154" s="3" t="s">
        <v>222</v>
      </c>
      <c r="D11154" s="3">
        <v>96.0</v>
      </c>
      <c r="E11154" s="3">
        <v>3.02</v>
      </c>
      <c r="F11154" s="3">
        <v>2.57</v>
      </c>
      <c r="G11154" s="3">
        <v>14.41</v>
      </c>
    </row>
    <row r="11155">
      <c r="A11155" s="3">
        <v>785549.0</v>
      </c>
      <c r="B11155" s="3" t="s">
        <v>11183</v>
      </c>
      <c r="C11155" s="3" t="s">
        <v>222</v>
      </c>
      <c r="D11155" s="3">
        <v>84.0</v>
      </c>
      <c r="E11155" s="3">
        <v>1.5</v>
      </c>
      <c r="F11155" s="3">
        <v>2.61</v>
      </c>
      <c r="G11155" s="3">
        <v>14.66</v>
      </c>
    </row>
    <row r="11156">
      <c r="A11156" s="3">
        <v>785550.0</v>
      </c>
      <c r="B11156" s="3" t="s">
        <v>11184</v>
      </c>
      <c r="C11156" s="3" t="s">
        <v>222</v>
      </c>
      <c r="D11156" s="3">
        <v>96.0</v>
      </c>
      <c r="E11156" s="3">
        <v>3.02</v>
      </c>
      <c r="F11156" s="3">
        <v>2.57</v>
      </c>
      <c r="G11156" s="3">
        <v>14.41</v>
      </c>
    </row>
    <row r="11157">
      <c r="A11157" s="3">
        <v>785551.0</v>
      </c>
      <c r="B11157" s="3" t="s">
        <v>11185</v>
      </c>
      <c r="C11157" s="3" t="s">
        <v>222</v>
      </c>
      <c r="D11157" s="3">
        <v>66.0</v>
      </c>
      <c r="E11157" s="3">
        <v>0.2</v>
      </c>
      <c r="F11157" s="3">
        <v>1.52</v>
      </c>
      <c r="G11157" s="3">
        <v>14.43</v>
      </c>
    </row>
    <row r="11158">
      <c r="A11158" s="3">
        <v>785552.0</v>
      </c>
      <c r="B11158" s="3" t="s">
        <v>11186</v>
      </c>
      <c r="C11158" s="3" t="s">
        <v>222</v>
      </c>
      <c r="D11158" s="3">
        <v>109.0</v>
      </c>
      <c r="E11158" s="3">
        <v>1.95</v>
      </c>
      <c r="F11158" s="3">
        <v>3.95</v>
      </c>
      <c r="G11158" s="3">
        <v>18.84</v>
      </c>
    </row>
    <row r="11159">
      <c r="A11159" s="3">
        <v>785553.0</v>
      </c>
      <c r="B11159" s="3" t="s">
        <v>11187</v>
      </c>
      <c r="C11159" s="3" t="s">
        <v>222</v>
      </c>
      <c r="D11159" s="3">
        <v>81.0</v>
      </c>
      <c r="E11159" s="3">
        <v>2.01</v>
      </c>
      <c r="F11159" s="3">
        <v>1.5</v>
      </c>
      <c r="G11159" s="3">
        <v>14.08</v>
      </c>
    </row>
    <row r="11160">
      <c r="A11160" s="3">
        <v>785554.0</v>
      </c>
      <c r="B11160" s="3" t="s">
        <v>11188</v>
      </c>
      <c r="C11160" s="3" t="s">
        <v>222</v>
      </c>
      <c r="D11160" s="3">
        <v>81.0</v>
      </c>
      <c r="E11160" s="3">
        <v>2.01</v>
      </c>
      <c r="F11160" s="3">
        <v>1.5</v>
      </c>
      <c r="G11160" s="3">
        <v>14.08</v>
      </c>
    </row>
    <row r="11161">
      <c r="A11161" s="3">
        <v>785555.0</v>
      </c>
      <c r="B11161" s="3" t="s">
        <v>11189</v>
      </c>
      <c r="C11161" s="3" t="s">
        <v>222</v>
      </c>
      <c r="D11161" s="3">
        <v>121.0</v>
      </c>
      <c r="E11161" s="3">
        <v>3.65</v>
      </c>
      <c r="F11161" s="3">
        <v>4.11</v>
      </c>
      <c r="G11161" s="3">
        <v>17.96</v>
      </c>
    </row>
    <row r="11162">
      <c r="A11162" s="3">
        <v>785556.0</v>
      </c>
      <c r="B11162" s="3" t="s">
        <v>11190</v>
      </c>
      <c r="C11162" s="3" t="s">
        <v>222</v>
      </c>
      <c r="D11162" s="3">
        <v>108.0</v>
      </c>
      <c r="E11162" s="3">
        <v>1.88</v>
      </c>
      <c r="F11162" s="3">
        <v>4.2</v>
      </c>
      <c r="G11162" s="3">
        <v>18.41</v>
      </c>
    </row>
    <row r="11163">
      <c r="A11163" s="3">
        <v>785557.0</v>
      </c>
      <c r="B11163" s="3" t="s">
        <v>11191</v>
      </c>
      <c r="C11163" s="3" t="s">
        <v>222</v>
      </c>
      <c r="D11163" s="3">
        <v>121.0</v>
      </c>
      <c r="E11163" s="3">
        <v>3.65</v>
      </c>
      <c r="F11163" s="3">
        <v>4.11</v>
      </c>
      <c r="G11163" s="3">
        <v>17.96</v>
      </c>
    </row>
    <row r="11164">
      <c r="A11164" s="3">
        <v>785558.0</v>
      </c>
      <c r="B11164" s="3" t="s">
        <v>11192</v>
      </c>
      <c r="C11164" s="3" t="s">
        <v>222</v>
      </c>
      <c r="D11164" s="3">
        <v>106.0</v>
      </c>
      <c r="E11164" s="3">
        <v>3.01</v>
      </c>
      <c r="F11164" s="3">
        <v>2.39</v>
      </c>
      <c r="G11164" s="3">
        <v>17.24</v>
      </c>
    </row>
    <row r="11165">
      <c r="A11165" s="3">
        <v>785559.0</v>
      </c>
      <c r="B11165" s="3" t="s">
        <v>11193</v>
      </c>
      <c r="C11165" s="3" t="s">
        <v>222</v>
      </c>
      <c r="D11165" s="3">
        <v>92.0</v>
      </c>
      <c r="E11165" s="3">
        <v>1.23</v>
      </c>
      <c r="F11165" s="3">
        <v>2.44</v>
      </c>
      <c r="G11165" s="3">
        <v>17.67</v>
      </c>
    </row>
    <row r="11166">
      <c r="A11166" s="3">
        <v>785560.0</v>
      </c>
      <c r="B11166" s="3" t="s">
        <v>11194</v>
      </c>
      <c r="C11166" s="3" t="s">
        <v>222</v>
      </c>
      <c r="D11166" s="3">
        <v>106.0</v>
      </c>
      <c r="E11166" s="3">
        <v>3.01</v>
      </c>
      <c r="F11166" s="3">
        <v>2.39</v>
      </c>
      <c r="G11166" s="3">
        <v>17.24</v>
      </c>
    </row>
    <row r="11167">
      <c r="A11167" s="3">
        <v>785561.0</v>
      </c>
      <c r="B11167" s="3" t="s">
        <v>11195</v>
      </c>
      <c r="C11167" s="3" t="s">
        <v>660</v>
      </c>
      <c r="D11167" s="3">
        <v>83.0</v>
      </c>
      <c r="E11167" s="3">
        <v>0.24</v>
      </c>
      <c r="F11167" s="3">
        <v>3.06</v>
      </c>
      <c r="G11167" s="3">
        <v>18.48</v>
      </c>
    </row>
    <row r="11168">
      <c r="A11168" s="3">
        <v>785562.0</v>
      </c>
      <c r="B11168" s="3" t="s">
        <v>11196</v>
      </c>
      <c r="C11168" s="3" t="s">
        <v>660</v>
      </c>
      <c r="D11168" s="3">
        <v>112.0</v>
      </c>
      <c r="E11168" s="3">
        <v>4.15</v>
      </c>
      <c r="F11168" s="3">
        <v>2.87</v>
      </c>
      <c r="G11168" s="3">
        <v>17.32</v>
      </c>
    </row>
    <row r="11169">
      <c r="A11169" s="3">
        <v>785563.0</v>
      </c>
      <c r="B11169" s="3" t="s">
        <v>11197</v>
      </c>
      <c r="C11169" s="3" t="s">
        <v>660</v>
      </c>
      <c r="D11169" s="3">
        <v>83.0</v>
      </c>
      <c r="E11169" s="3">
        <v>0.24</v>
      </c>
      <c r="F11169" s="3">
        <v>3.06</v>
      </c>
      <c r="G11169" s="3">
        <v>18.48</v>
      </c>
    </row>
    <row r="11170">
      <c r="A11170" s="3">
        <v>785564.0</v>
      </c>
      <c r="B11170" s="3" t="s">
        <v>11198</v>
      </c>
      <c r="C11170" s="3" t="s">
        <v>660</v>
      </c>
      <c r="D11170" s="3">
        <v>111.0</v>
      </c>
      <c r="E11170" s="3">
        <v>0.16</v>
      </c>
      <c r="F11170" s="3">
        <v>3.77</v>
      </c>
      <c r="G11170" s="3">
        <v>23.11</v>
      </c>
    </row>
    <row r="11171">
      <c r="A11171" s="3">
        <v>785565.0</v>
      </c>
      <c r="B11171" s="3" t="s">
        <v>11199</v>
      </c>
      <c r="C11171" s="3" t="s">
        <v>222</v>
      </c>
      <c r="D11171" s="3">
        <v>60.0</v>
      </c>
      <c r="E11171" s="3">
        <v>1.81</v>
      </c>
      <c r="F11171" s="3">
        <v>1.53</v>
      </c>
      <c r="G11171" s="3">
        <v>10.21</v>
      </c>
    </row>
    <row r="11172">
      <c r="A11172" s="3">
        <v>785566.0</v>
      </c>
      <c r="B11172" s="3" t="s">
        <v>11200</v>
      </c>
      <c r="C11172" s="3" t="s">
        <v>222</v>
      </c>
      <c r="D11172" s="3">
        <v>47.0</v>
      </c>
      <c r="E11172" s="3">
        <v>0.28</v>
      </c>
      <c r="F11172" s="3">
        <v>1.55</v>
      </c>
      <c r="G11172" s="3">
        <v>10.39</v>
      </c>
    </row>
    <row r="11173">
      <c r="A11173" s="3">
        <v>785567.0</v>
      </c>
      <c r="B11173" s="3" t="s">
        <v>11201</v>
      </c>
      <c r="C11173" s="3" t="s">
        <v>222</v>
      </c>
      <c r="D11173" s="3">
        <v>60.0</v>
      </c>
      <c r="E11173" s="3">
        <v>1.81</v>
      </c>
      <c r="F11173" s="3">
        <v>1.53</v>
      </c>
      <c r="G11173" s="3">
        <v>10.21</v>
      </c>
    </row>
    <row r="11174">
      <c r="A11174" s="3">
        <v>785568.0</v>
      </c>
      <c r="B11174" s="3" t="s">
        <v>11202</v>
      </c>
      <c r="C11174" s="3" t="s">
        <v>222</v>
      </c>
      <c r="D11174" s="3">
        <v>49.0</v>
      </c>
      <c r="E11174" s="3">
        <v>0.47</v>
      </c>
      <c r="F11174" s="3">
        <v>1.79</v>
      </c>
      <c r="G11174" s="3">
        <v>11.02</v>
      </c>
    </row>
    <row r="11175">
      <c r="A11175" s="3">
        <v>785572.0</v>
      </c>
      <c r="B11175" s="3" t="s">
        <v>11203</v>
      </c>
      <c r="C11175" s="3" t="s">
        <v>222</v>
      </c>
      <c r="D11175" s="3">
        <v>41.0</v>
      </c>
      <c r="E11175" s="3">
        <v>0.18</v>
      </c>
      <c r="F11175" s="3">
        <v>1.28</v>
      </c>
      <c r="G11175" s="3">
        <v>8.86</v>
      </c>
    </row>
    <row r="11176">
      <c r="A11176" s="3">
        <v>785573.0</v>
      </c>
      <c r="B11176" s="3" t="s">
        <v>11204</v>
      </c>
      <c r="C11176" s="3" t="s">
        <v>196</v>
      </c>
      <c r="D11176" s="3">
        <v>64.0</v>
      </c>
      <c r="E11176" s="3">
        <v>1.09</v>
      </c>
      <c r="F11176" s="3">
        <v>2.21</v>
      </c>
      <c r="G11176" s="3">
        <v>11.36</v>
      </c>
    </row>
    <row r="11177">
      <c r="A11177" s="3">
        <v>785574.0</v>
      </c>
      <c r="B11177" s="3" t="s">
        <v>11205</v>
      </c>
      <c r="C11177" s="3" t="s">
        <v>222</v>
      </c>
      <c r="D11177" s="3">
        <v>376.0</v>
      </c>
      <c r="E11177" s="3">
        <v>6.73</v>
      </c>
      <c r="F11177" s="3">
        <v>12.09</v>
      </c>
      <c r="G11177" s="3">
        <v>73.23</v>
      </c>
    </row>
    <row r="11178">
      <c r="A11178" s="3">
        <v>785575.0</v>
      </c>
      <c r="B11178" s="3" t="s">
        <v>11206</v>
      </c>
      <c r="C11178" s="3" t="s">
        <v>222</v>
      </c>
      <c r="D11178" s="3">
        <v>374.0</v>
      </c>
      <c r="E11178" s="3">
        <v>4.86</v>
      </c>
      <c r="F11178" s="3">
        <v>8.92</v>
      </c>
      <c r="G11178" s="3">
        <v>79.48</v>
      </c>
    </row>
    <row r="11179">
      <c r="A11179" s="3">
        <v>785579.0</v>
      </c>
      <c r="B11179" s="3" t="s">
        <v>11207</v>
      </c>
      <c r="C11179" s="3" t="s">
        <v>222</v>
      </c>
      <c r="D11179" s="3">
        <v>386.0</v>
      </c>
      <c r="E11179" s="3">
        <v>6.09</v>
      </c>
      <c r="F11179" s="3">
        <v>8.3</v>
      </c>
      <c r="G11179" s="3">
        <v>79.9</v>
      </c>
    </row>
    <row r="11180">
      <c r="A11180" s="3">
        <v>785582.0</v>
      </c>
      <c r="B11180" s="3" t="s">
        <v>11208</v>
      </c>
      <c r="C11180" s="3" t="s">
        <v>222</v>
      </c>
      <c r="D11180" s="3">
        <v>375.0</v>
      </c>
      <c r="E11180" s="3">
        <v>4.0</v>
      </c>
      <c r="F11180" s="3">
        <v>5.5</v>
      </c>
      <c r="G11180" s="3">
        <v>84.69</v>
      </c>
    </row>
    <row r="11181">
      <c r="A11181" s="3">
        <v>785583.0</v>
      </c>
      <c r="B11181" s="3" t="s">
        <v>11209</v>
      </c>
      <c r="C11181" s="3" t="s">
        <v>222</v>
      </c>
      <c r="D11181" s="3">
        <v>358.0</v>
      </c>
      <c r="E11181" s="3">
        <v>4.0</v>
      </c>
      <c r="F11181" s="3">
        <v>6.69</v>
      </c>
      <c r="G11181" s="3">
        <v>79.09</v>
      </c>
    </row>
    <row r="11182">
      <c r="A11182" s="3">
        <v>785584.0</v>
      </c>
      <c r="B11182" s="3" t="s">
        <v>11210</v>
      </c>
      <c r="C11182" s="3" t="s">
        <v>222</v>
      </c>
      <c r="D11182" s="3">
        <v>376.0</v>
      </c>
      <c r="E11182" s="3">
        <v>4.19</v>
      </c>
      <c r="F11182" s="3">
        <v>6.19</v>
      </c>
      <c r="G11182" s="3">
        <v>83.9</v>
      </c>
    </row>
    <row r="11183">
      <c r="A11183" s="3">
        <v>785585.0</v>
      </c>
      <c r="B11183" s="3" t="s">
        <v>11211</v>
      </c>
      <c r="C11183" s="3" t="s">
        <v>222</v>
      </c>
      <c r="D11183" s="3">
        <v>378.0</v>
      </c>
      <c r="E11183" s="3">
        <v>4.5</v>
      </c>
      <c r="F11183" s="3">
        <v>8.8</v>
      </c>
      <c r="G11183" s="3">
        <v>80.5</v>
      </c>
    </row>
    <row r="11184">
      <c r="A11184" s="3">
        <v>785587.0</v>
      </c>
      <c r="B11184" s="3" t="s">
        <v>11212</v>
      </c>
      <c r="C11184" s="3" t="s">
        <v>222</v>
      </c>
      <c r="D11184" s="3">
        <v>386.0</v>
      </c>
      <c r="E11184" s="3">
        <v>4.3</v>
      </c>
      <c r="F11184" s="3">
        <v>5.5</v>
      </c>
      <c r="G11184" s="3">
        <v>85.4</v>
      </c>
    </row>
    <row r="11185">
      <c r="A11185" s="3">
        <v>785593.0</v>
      </c>
      <c r="B11185" s="3" t="s">
        <v>11213</v>
      </c>
      <c r="C11185" s="3" t="s">
        <v>222</v>
      </c>
      <c r="D11185" s="3">
        <v>376.0</v>
      </c>
      <c r="E11185" s="3">
        <v>6.73</v>
      </c>
      <c r="F11185" s="3">
        <v>12.09</v>
      </c>
      <c r="G11185" s="3">
        <v>73.23</v>
      </c>
    </row>
    <row r="11186">
      <c r="A11186" s="3">
        <v>785594.0</v>
      </c>
      <c r="B11186" s="3" t="s">
        <v>11214</v>
      </c>
      <c r="C11186" s="3" t="s">
        <v>222</v>
      </c>
      <c r="D11186" s="3">
        <v>412.0</v>
      </c>
      <c r="E11186" s="3">
        <v>8.39</v>
      </c>
      <c r="F11186" s="3">
        <v>4.8</v>
      </c>
      <c r="G11186" s="3">
        <v>81.09</v>
      </c>
    </row>
    <row r="11187">
      <c r="A11187" s="3">
        <v>785595.0</v>
      </c>
      <c r="B11187" s="3" t="s">
        <v>11215</v>
      </c>
      <c r="C11187" s="3" t="s">
        <v>222</v>
      </c>
      <c r="D11187" s="3">
        <v>403.0</v>
      </c>
      <c r="E11187" s="3">
        <v>6.59</v>
      </c>
      <c r="F11187" s="3">
        <v>5.0</v>
      </c>
      <c r="G11187" s="3">
        <v>82.4</v>
      </c>
    </row>
    <row r="11188">
      <c r="A11188" s="3">
        <v>785596.0</v>
      </c>
      <c r="B11188" s="3" t="s">
        <v>11216</v>
      </c>
      <c r="C11188" s="3" t="s">
        <v>222</v>
      </c>
      <c r="D11188" s="3">
        <v>380.0</v>
      </c>
      <c r="E11188" s="3">
        <v>5.09</v>
      </c>
      <c r="F11188" s="3">
        <v>5.8</v>
      </c>
      <c r="G11188" s="3">
        <v>83.5</v>
      </c>
    </row>
    <row r="11189">
      <c r="A11189" s="3">
        <v>785598.0</v>
      </c>
      <c r="B11189" s="3" t="s">
        <v>11217</v>
      </c>
      <c r="C11189" s="3" t="s">
        <v>222</v>
      </c>
      <c r="D11189" s="3">
        <v>381.0</v>
      </c>
      <c r="E11189" s="3">
        <v>4.4</v>
      </c>
      <c r="F11189" s="3">
        <v>5.59</v>
      </c>
      <c r="G11189" s="3">
        <v>84.4</v>
      </c>
    </row>
    <row r="11190">
      <c r="A11190" s="3">
        <v>785599.0</v>
      </c>
      <c r="B11190" s="3" t="s">
        <v>11218</v>
      </c>
      <c r="C11190" s="3" t="s">
        <v>222</v>
      </c>
      <c r="D11190" s="3">
        <v>410.0</v>
      </c>
      <c r="E11190" s="3">
        <v>7.3</v>
      </c>
      <c r="F11190" s="3">
        <v>5.69</v>
      </c>
      <c r="G11190" s="3">
        <v>83.3</v>
      </c>
    </row>
    <row r="11191">
      <c r="A11191" s="3">
        <v>785600.0</v>
      </c>
      <c r="B11191" s="3" t="s">
        <v>11219</v>
      </c>
      <c r="C11191" s="3" t="s">
        <v>222</v>
      </c>
      <c r="D11191" s="3">
        <v>410.0</v>
      </c>
      <c r="E11191" s="3">
        <v>10.25</v>
      </c>
      <c r="F11191" s="3">
        <v>5.45</v>
      </c>
      <c r="G11191" s="3">
        <v>77.99</v>
      </c>
    </row>
    <row r="11192">
      <c r="A11192" s="3">
        <v>785602.0</v>
      </c>
      <c r="B11192" s="3" t="s">
        <v>11220</v>
      </c>
      <c r="C11192" s="3" t="s">
        <v>222</v>
      </c>
      <c r="D11192" s="3">
        <v>374.0</v>
      </c>
      <c r="E11192" s="3">
        <v>2.0</v>
      </c>
      <c r="F11192" s="3">
        <v>7.7</v>
      </c>
      <c r="G11192" s="3">
        <v>85.2</v>
      </c>
    </row>
    <row r="11193">
      <c r="A11193" s="3">
        <v>785603.0</v>
      </c>
      <c r="B11193" s="3" t="s">
        <v>11221</v>
      </c>
      <c r="C11193" s="3" t="s">
        <v>222</v>
      </c>
      <c r="D11193" s="3">
        <v>389.0</v>
      </c>
      <c r="E11193" s="3">
        <v>2.7</v>
      </c>
      <c r="F11193" s="3">
        <v>4.6</v>
      </c>
      <c r="G11193" s="3">
        <v>87.9</v>
      </c>
    </row>
    <row r="11194">
      <c r="A11194" s="3">
        <v>785605.0</v>
      </c>
      <c r="B11194" s="3" t="s">
        <v>11222</v>
      </c>
      <c r="C11194" s="3" t="s">
        <v>222</v>
      </c>
      <c r="D11194" s="3">
        <v>383.0</v>
      </c>
      <c r="E11194" s="3">
        <v>5.2</v>
      </c>
      <c r="F11194" s="3">
        <v>5.6</v>
      </c>
      <c r="G11194" s="3">
        <v>83.7</v>
      </c>
    </row>
    <row r="11195">
      <c r="A11195" s="3">
        <v>785606.0</v>
      </c>
      <c r="B11195" s="3" t="s">
        <v>11223</v>
      </c>
      <c r="C11195" s="3" t="s">
        <v>222</v>
      </c>
      <c r="D11195" s="3">
        <v>380.0</v>
      </c>
      <c r="E11195" s="3">
        <v>5.19</v>
      </c>
      <c r="F11195" s="3">
        <v>6.5</v>
      </c>
      <c r="G11195" s="3">
        <v>82.69</v>
      </c>
    </row>
    <row r="11196">
      <c r="A11196" s="3">
        <v>785607.0</v>
      </c>
      <c r="B11196" s="3" t="s">
        <v>11224</v>
      </c>
      <c r="C11196" s="3" t="s">
        <v>222</v>
      </c>
      <c r="D11196" s="3">
        <v>380.0</v>
      </c>
      <c r="E11196" s="3">
        <v>4.4</v>
      </c>
      <c r="F11196" s="3">
        <v>5.2</v>
      </c>
      <c r="G11196" s="3">
        <v>84.5</v>
      </c>
    </row>
    <row r="11197">
      <c r="A11197" s="3">
        <v>785609.0</v>
      </c>
      <c r="B11197" s="3" t="s">
        <v>11225</v>
      </c>
      <c r="C11197" s="3" t="s">
        <v>222</v>
      </c>
      <c r="D11197" s="3">
        <v>370.0</v>
      </c>
      <c r="E11197" s="3">
        <v>2.4</v>
      </c>
      <c r="F11197" s="3">
        <v>6.4</v>
      </c>
      <c r="G11197" s="3">
        <v>85.0</v>
      </c>
    </row>
    <row r="11198">
      <c r="A11198" s="3">
        <v>785610.0</v>
      </c>
      <c r="B11198" s="3" t="s">
        <v>11226</v>
      </c>
      <c r="C11198" s="3" t="s">
        <v>222</v>
      </c>
      <c r="D11198" s="3">
        <v>357.0</v>
      </c>
      <c r="E11198" s="3">
        <v>0.4</v>
      </c>
      <c r="F11198" s="3">
        <v>7.5</v>
      </c>
      <c r="G11198" s="3">
        <v>84.1</v>
      </c>
    </row>
    <row r="11199">
      <c r="A11199" s="3">
        <v>785611.0</v>
      </c>
      <c r="B11199" s="3" t="s">
        <v>11227</v>
      </c>
      <c r="C11199" s="3" t="s">
        <v>222</v>
      </c>
      <c r="D11199" s="3">
        <v>357.0</v>
      </c>
      <c r="E11199" s="3">
        <v>0.4</v>
      </c>
      <c r="F11199" s="3">
        <v>7.5</v>
      </c>
      <c r="G11199" s="3">
        <v>84.1</v>
      </c>
    </row>
    <row r="11200">
      <c r="A11200" s="3">
        <v>785613.0</v>
      </c>
      <c r="B11200" s="3" t="s">
        <v>11228</v>
      </c>
      <c r="C11200" s="3" t="s">
        <v>222</v>
      </c>
      <c r="D11200" s="3">
        <v>383.0</v>
      </c>
      <c r="E11200" s="3">
        <v>4.69</v>
      </c>
      <c r="F11200" s="3">
        <v>5.4</v>
      </c>
      <c r="G11200" s="3">
        <v>84.5</v>
      </c>
    </row>
    <row r="11201">
      <c r="A11201" s="3">
        <v>785616.0</v>
      </c>
      <c r="B11201" s="3" t="s">
        <v>11229</v>
      </c>
      <c r="C11201" s="3" t="s">
        <v>222</v>
      </c>
      <c r="D11201" s="3">
        <v>378.0</v>
      </c>
      <c r="E11201" s="3">
        <v>0.8</v>
      </c>
      <c r="F11201" s="3">
        <v>6.59</v>
      </c>
      <c r="G11201" s="3">
        <v>87.19</v>
      </c>
    </row>
    <row r="11202">
      <c r="A11202" s="3">
        <v>785617.0</v>
      </c>
      <c r="B11202" s="3" t="s">
        <v>11230</v>
      </c>
      <c r="C11202" s="3" t="s">
        <v>222</v>
      </c>
      <c r="D11202" s="3">
        <v>394.0</v>
      </c>
      <c r="E11202" s="3">
        <v>1.26</v>
      </c>
      <c r="F11202" s="3">
        <v>6.69</v>
      </c>
      <c r="G11202" s="3">
        <v>86.22</v>
      </c>
    </row>
    <row r="11203">
      <c r="A11203" s="3">
        <v>785629.0</v>
      </c>
      <c r="B11203" s="3" t="s">
        <v>11231</v>
      </c>
      <c r="C11203" s="3" t="s">
        <v>222</v>
      </c>
      <c r="D11203" s="3">
        <v>386.0</v>
      </c>
      <c r="E11203" s="3">
        <v>4.3</v>
      </c>
      <c r="F11203" s="3">
        <v>5.5</v>
      </c>
      <c r="G11203" s="3">
        <v>85.4</v>
      </c>
    </row>
    <row r="11204">
      <c r="A11204" s="3">
        <v>785631.0</v>
      </c>
      <c r="B11204" s="3" t="s">
        <v>11232</v>
      </c>
      <c r="C11204" s="3" t="s">
        <v>222</v>
      </c>
      <c r="D11204" s="3">
        <v>376.0</v>
      </c>
      <c r="E11204" s="3">
        <v>2.79</v>
      </c>
      <c r="F11204" s="3">
        <v>4.59</v>
      </c>
      <c r="G11204" s="3">
        <v>89.3</v>
      </c>
    </row>
    <row r="11205">
      <c r="A11205" s="3">
        <v>785632.0</v>
      </c>
      <c r="B11205" s="3" t="s">
        <v>11233</v>
      </c>
      <c r="C11205" s="3" t="s">
        <v>222</v>
      </c>
      <c r="D11205" s="3">
        <v>376.0</v>
      </c>
      <c r="E11205" s="3">
        <v>4.69</v>
      </c>
      <c r="F11205" s="3">
        <v>9.0</v>
      </c>
      <c r="G11205" s="3">
        <v>79.8</v>
      </c>
    </row>
    <row r="11206">
      <c r="A11206" s="3">
        <v>785634.0</v>
      </c>
      <c r="B11206" s="3" t="s">
        <v>11234</v>
      </c>
      <c r="C11206" s="3" t="s">
        <v>222</v>
      </c>
      <c r="D11206" s="3">
        <v>384.0</v>
      </c>
      <c r="E11206" s="3">
        <v>0.4</v>
      </c>
      <c r="F11206" s="3">
        <v>4.3</v>
      </c>
      <c r="G11206" s="3">
        <v>91.3</v>
      </c>
    </row>
    <row r="11207">
      <c r="A11207" s="3">
        <v>785635.0</v>
      </c>
      <c r="B11207" s="3" t="s">
        <v>11235</v>
      </c>
      <c r="C11207" s="3" t="s">
        <v>222</v>
      </c>
      <c r="D11207" s="3">
        <v>384.0</v>
      </c>
      <c r="E11207" s="3">
        <v>0.4</v>
      </c>
      <c r="F11207" s="3">
        <v>4.3</v>
      </c>
      <c r="G11207" s="3">
        <v>91.3</v>
      </c>
    </row>
    <row r="11208">
      <c r="A11208" s="3">
        <v>785640.0</v>
      </c>
      <c r="B11208" s="3" t="s">
        <v>11236</v>
      </c>
      <c r="C11208" s="3" t="s">
        <v>222</v>
      </c>
      <c r="D11208" s="3">
        <v>381.0</v>
      </c>
      <c r="E11208" s="3">
        <v>4.59</v>
      </c>
      <c r="F11208" s="3">
        <v>5.8</v>
      </c>
      <c r="G11208" s="3">
        <v>84.19</v>
      </c>
    </row>
    <row r="11209">
      <c r="A11209" s="3">
        <v>785642.0</v>
      </c>
      <c r="B11209" s="3" t="s">
        <v>11237</v>
      </c>
      <c r="C11209" s="3" t="s">
        <v>222</v>
      </c>
      <c r="D11209" s="3">
        <v>374.0</v>
      </c>
      <c r="E11209" s="3">
        <v>3.2</v>
      </c>
      <c r="F11209" s="3">
        <v>5.3</v>
      </c>
      <c r="G11209" s="3">
        <v>85.1</v>
      </c>
    </row>
    <row r="11210">
      <c r="A11210" s="3">
        <v>785643.0</v>
      </c>
      <c r="B11210" s="3" t="s">
        <v>11238</v>
      </c>
      <c r="C11210" s="3" t="s">
        <v>222</v>
      </c>
      <c r="D11210" s="3">
        <v>381.0</v>
      </c>
      <c r="E11210" s="3">
        <v>5.2</v>
      </c>
      <c r="F11210" s="3">
        <v>9.0</v>
      </c>
      <c r="G11210" s="3">
        <v>80.1</v>
      </c>
    </row>
    <row r="11211">
      <c r="A11211" s="3">
        <v>785645.0</v>
      </c>
      <c r="B11211" s="3" t="s">
        <v>11239</v>
      </c>
      <c r="C11211" s="3" t="s">
        <v>222</v>
      </c>
      <c r="D11211" s="3">
        <v>389.0</v>
      </c>
      <c r="E11211" s="3">
        <v>5.7</v>
      </c>
      <c r="F11211" s="3">
        <v>8.7</v>
      </c>
      <c r="G11211" s="3">
        <v>80.9</v>
      </c>
    </row>
    <row r="11212">
      <c r="A11212" s="3">
        <v>785646.0</v>
      </c>
      <c r="B11212" s="3" t="s">
        <v>11240</v>
      </c>
      <c r="C11212" s="3" t="s">
        <v>222</v>
      </c>
      <c r="D11212" s="3">
        <v>381.0</v>
      </c>
      <c r="E11212" s="3">
        <v>5.2</v>
      </c>
      <c r="F11212" s="3">
        <v>9.0</v>
      </c>
      <c r="G11212" s="3">
        <v>80.1</v>
      </c>
    </row>
    <row r="11213">
      <c r="A11213" s="3">
        <v>785657.0</v>
      </c>
      <c r="B11213" s="3" t="s">
        <v>11241</v>
      </c>
      <c r="C11213" s="3" t="s">
        <v>222</v>
      </c>
      <c r="D11213" s="3">
        <v>385.0</v>
      </c>
      <c r="E11213" s="3">
        <v>1.9</v>
      </c>
      <c r="F11213" s="3">
        <v>6.8</v>
      </c>
      <c r="G11213" s="3">
        <v>87.0</v>
      </c>
    </row>
    <row r="11214">
      <c r="A11214" s="3">
        <v>785658.0</v>
      </c>
      <c r="B11214" s="3" t="s">
        <v>11242</v>
      </c>
      <c r="C11214" s="3" t="s">
        <v>222</v>
      </c>
      <c r="D11214" s="3">
        <v>375.0</v>
      </c>
      <c r="E11214" s="3">
        <v>2.0</v>
      </c>
      <c r="F11214" s="3">
        <v>6.3</v>
      </c>
      <c r="G11214" s="3">
        <v>86.67</v>
      </c>
    </row>
    <row r="11215">
      <c r="A11215" s="3">
        <v>785659.0</v>
      </c>
      <c r="B11215" s="3" t="s">
        <v>11243</v>
      </c>
      <c r="C11215" s="3" t="s">
        <v>222</v>
      </c>
      <c r="D11215" s="3">
        <v>376.0</v>
      </c>
      <c r="E11215" s="3">
        <v>5.0</v>
      </c>
      <c r="F11215" s="3">
        <v>8.85</v>
      </c>
      <c r="G11215" s="3">
        <v>79.69</v>
      </c>
    </row>
    <row r="11216">
      <c r="A11216" s="3">
        <v>785661.0</v>
      </c>
      <c r="B11216" s="3" t="s">
        <v>11244</v>
      </c>
      <c r="C11216" s="3" t="s">
        <v>222</v>
      </c>
      <c r="D11216" s="3">
        <v>380.0</v>
      </c>
      <c r="E11216" s="3">
        <v>2.2</v>
      </c>
      <c r="F11216" s="3">
        <v>5.7</v>
      </c>
      <c r="G11216" s="3">
        <v>88.5</v>
      </c>
    </row>
    <row r="11217">
      <c r="A11217" s="3">
        <v>785669.0</v>
      </c>
      <c r="B11217" s="3" t="s">
        <v>11245</v>
      </c>
      <c r="C11217" s="3" t="s">
        <v>222</v>
      </c>
      <c r="D11217" s="3">
        <v>376.0</v>
      </c>
      <c r="E11217" s="3">
        <v>3.79</v>
      </c>
      <c r="F11217" s="3">
        <v>10.39</v>
      </c>
      <c r="G11217" s="3">
        <v>80.3</v>
      </c>
    </row>
    <row r="11218">
      <c r="A11218" s="3">
        <v>785676.0</v>
      </c>
      <c r="B11218" s="3" t="s">
        <v>11246</v>
      </c>
      <c r="C11218" s="3" t="s">
        <v>222</v>
      </c>
      <c r="D11218" s="3">
        <v>380.0</v>
      </c>
      <c r="E11218" s="3">
        <v>5.02</v>
      </c>
      <c r="F11218" s="3">
        <v>7.67</v>
      </c>
      <c r="G11218" s="3">
        <v>80.89</v>
      </c>
    </row>
    <row r="11219">
      <c r="A11219" s="3">
        <v>785678.0</v>
      </c>
      <c r="B11219" s="3" t="s">
        <v>11247</v>
      </c>
      <c r="C11219" s="3" t="s">
        <v>222</v>
      </c>
      <c r="D11219" s="3">
        <v>374.0</v>
      </c>
      <c r="E11219" s="3">
        <v>3.2</v>
      </c>
      <c r="F11219" s="3">
        <v>5.3</v>
      </c>
      <c r="G11219" s="3">
        <v>85.1</v>
      </c>
    </row>
    <row r="11220">
      <c r="A11220" s="3">
        <v>785684.0</v>
      </c>
      <c r="B11220" s="3" t="s">
        <v>11248</v>
      </c>
      <c r="C11220" s="3" t="s">
        <v>222</v>
      </c>
      <c r="D11220" s="3">
        <v>381.0</v>
      </c>
      <c r="E11220" s="3">
        <v>2.05</v>
      </c>
      <c r="F11220" s="3">
        <v>6.75</v>
      </c>
      <c r="G11220" s="3">
        <v>85.05</v>
      </c>
    </row>
    <row r="11221">
      <c r="A11221" s="3">
        <v>785688.0</v>
      </c>
      <c r="B11221" s="3" t="s">
        <v>11249</v>
      </c>
      <c r="C11221" s="3" t="s">
        <v>222</v>
      </c>
      <c r="D11221" s="3">
        <v>374.0</v>
      </c>
      <c r="E11221" s="3">
        <v>3.2</v>
      </c>
      <c r="F11221" s="3">
        <v>5.3</v>
      </c>
      <c r="G11221" s="3">
        <v>85.1</v>
      </c>
    </row>
    <row r="11222">
      <c r="A11222" s="3">
        <v>785689.0</v>
      </c>
      <c r="B11222" s="3" t="s">
        <v>11250</v>
      </c>
      <c r="C11222" s="3" t="s">
        <v>222</v>
      </c>
      <c r="D11222" s="3">
        <v>376.0</v>
      </c>
      <c r="E11222" s="3">
        <v>5.0</v>
      </c>
      <c r="F11222" s="3">
        <v>8.85</v>
      </c>
      <c r="G11222" s="3">
        <v>79.69</v>
      </c>
    </row>
    <row r="11223">
      <c r="A11223" s="3">
        <v>785692.0</v>
      </c>
      <c r="B11223" s="3" t="s">
        <v>11251</v>
      </c>
      <c r="C11223" s="3" t="s">
        <v>222</v>
      </c>
      <c r="D11223" s="3">
        <v>380.0</v>
      </c>
      <c r="E11223" s="3">
        <v>2.2</v>
      </c>
      <c r="F11223" s="3">
        <v>5.7</v>
      </c>
      <c r="G11223" s="3">
        <v>88.5</v>
      </c>
    </row>
    <row r="11224">
      <c r="A11224" s="3">
        <v>785693.0</v>
      </c>
      <c r="B11224" s="3" t="s">
        <v>11252</v>
      </c>
      <c r="C11224" s="3" t="s">
        <v>222</v>
      </c>
      <c r="D11224" s="3">
        <v>376.0</v>
      </c>
      <c r="E11224" s="3">
        <v>6.73</v>
      </c>
      <c r="F11224" s="3">
        <v>12.09</v>
      </c>
      <c r="G11224" s="3">
        <v>73.23</v>
      </c>
    </row>
    <row r="11225">
      <c r="A11225" s="3">
        <v>785697.0</v>
      </c>
      <c r="B11225" s="3" t="s">
        <v>11253</v>
      </c>
      <c r="C11225" s="3" t="s">
        <v>222</v>
      </c>
      <c r="D11225" s="3">
        <v>355.0</v>
      </c>
      <c r="E11225" s="3">
        <v>5.4</v>
      </c>
      <c r="F11225" s="3">
        <v>8.6</v>
      </c>
      <c r="G11225" s="3">
        <v>74.9</v>
      </c>
    </row>
    <row r="11226">
      <c r="A11226" s="3">
        <v>785698.0</v>
      </c>
      <c r="B11226" s="3" t="s">
        <v>11254</v>
      </c>
      <c r="C11226" s="3" t="s">
        <v>222</v>
      </c>
      <c r="D11226" s="3">
        <v>370.0</v>
      </c>
      <c r="E11226" s="3">
        <v>4.09</v>
      </c>
      <c r="F11226" s="3">
        <v>8.3</v>
      </c>
      <c r="G11226" s="3">
        <v>81.4</v>
      </c>
    </row>
    <row r="11227">
      <c r="A11227" s="3">
        <v>785699.0</v>
      </c>
      <c r="B11227" s="3" t="s">
        <v>11255</v>
      </c>
      <c r="C11227" s="3" t="s">
        <v>222</v>
      </c>
      <c r="D11227" s="3">
        <v>381.0</v>
      </c>
      <c r="E11227" s="3">
        <v>4.69</v>
      </c>
      <c r="F11227" s="3">
        <v>7.9</v>
      </c>
      <c r="G11227" s="3">
        <v>79.4</v>
      </c>
    </row>
    <row r="11228">
      <c r="A11228" s="3">
        <v>785702.0</v>
      </c>
      <c r="B11228" s="3" t="s">
        <v>11256</v>
      </c>
      <c r="C11228" s="3" t="s">
        <v>222</v>
      </c>
      <c r="D11228" s="3">
        <v>378.0</v>
      </c>
      <c r="E11228" s="3">
        <v>4.6</v>
      </c>
      <c r="F11228" s="3">
        <v>8.5</v>
      </c>
      <c r="G11228" s="3">
        <v>80.7</v>
      </c>
    </row>
    <row r="11229">
      <c r="A11229" s="3">
        <v>785703.0</v>
      </c>
      <c r="B11229" s="3" t="s">
        <v>11257</v>
      </c>
      <c r="C11229" s="3" t="s">
        <v>222</v>
      </c>
      <c r="D11229" s="3">
        <v>378.0</v>
      </c>
      <c r="E11229" s="3">
        <v>5.08</v>
      </c>
      <c r="F11229" s="3">
        <v>12.26</v>
      </c>
      <c r="G11229" s="3">
        <v>76.19</v>
      </c>
    </row>
    <row r="11230">
      <c r="A11230" s="3">
        <v>785704.0</v>
      </c>
      <c r="B11230" s="3" t="s">
        <v>11258</v>
      </c>
      <c r="C11230" s="3" t="s">
        <v>222</v>
      </c>
      <c r="D11230" s="3">
        <v>390.0</v>
      </c>
      <c r="E11230" s="3">
        <v>6.69</v>
      </c>
      <c r="F11230" s="3">
        <v>9.89</v>
      </c>
      <c r="G11230" s="3">
        <v>78.09</v>
      </c>
    </row>
    <row r="11231">
      <c r="A11231" s="3">
        <v>785705.0</v>
      </c>
      <c r="B11231" s="3" t="s">
        <v>11259</v>
      </c>
      <c r="C11231" s="3" t="s">
        <v>222</v>
      </c>
      <c r="D11231" s="3">
        <v>372.0</v>
      </c>
      <c r="E11231" s="3">
        <v>3.79</v>
      </c>
      <c r="F11231" s="3">
        <v>8.5</v>
      </c>
      <c r="G11231" s="3">
        <v>80.8</v>
      </c>
    </row>
    <row r="11232">
      <c r="A11232" s="3">
        <v>785710.0</v>
      </c>
      <c r="B11232" s="3" t="s">
        <v>11260</v>
      </c>
      <c r="C11232" s="3" t="s">
        <v>222</v>
      </c>
      <c r="D11232" s="3">
        <v>374.0</v>
      </c>
      <c r="E11232" s="3">
        <v>1.3</v>
      </c>
      <c r="F11232" s="3">
        <v>8.5</v>
      </c>
      <c r="G11232" s="3">
        <v>84.3</v>
      </c>
    </row>
    <row r="11233">
      <c r="A11233" s="3">
        <v>785721.0</v>
      </c>
      <c r="B11233" s="3" t="s">
        <v>11261</v>
      </c>
      <c r="C11233" s="3" t="s">
        <v>222</v>
      </c>
      <c r="D11233" s="3">
        <v>413.0</v>
      </c>
      <c r="E11233" s="3">
        <v>11.1</v>
      </c>
      <c r="F11233" s="3">
        <v>6.8</v>
      </c>
      <c r="G11233" s="3">
        <v>75.6</v>
      </c>
    </row>
    <row r="11234">
      <c r="A11234" s="3">
        <v>785722.0</v>
      </c>
      <c r="B11234" s="3" t="s">
        <v>11262</v>
      </c>
      <c r="C11234" s="3" t="s">
        <v>222</v>
      </c>
      <c r="D11234" s="3">
        <v>375.0</v>
      </c>
      <c r="E11234" s="3">
        <v>1.89</v>
      </c>
      <c r="F11234" s="3">
        <v>6.4</v>
      </c>
      <c r="G11234" s="3">
        <v>85.09</v>
      </c>
    </row>
    <row r="11235">
      <c r="A11235" s="3">
        <v>785723.0</v>
      </c>
      <c r="B11235" s="3" t="s">
        <v>11263</v>
      </c>
      <c r="C11235" s="3" t="s">
        <v>222</v>
      </c>
      <c r="D11235" s="3">
        <v>394.0</v>
      </c>
      <c r="E11235" s="3">
        <v>1.26</v>
      </c>
      <c r="F11235" s="3">
        <v>6.69</v>
      </c>
      <c r="G11235" s="3">
        <v>86.22</v>
      </c>
    </row>
    <row r="11236">
      <c r="A11236" s="3">
        <v>785724.0</v>
      </c>
      <c r="B11236" s="3" t="s">
        <v>11264</v>
      </c>
      <c r="C11236" s="3" t="s">
        <v>222</v>
      </c>
      <c r="D11236" s="3">
        <v>381.0</v>
      </c>
      <c r="E11236" s="3">
        <v>2.05</v>
      </c>
      <c r="F11236" s="3">
        <v>6.75</v>
      </c>
      <c r="G11236" s="3">
        <v>85.05</v>
      </c>
    </row>
    <row r="11237">
      <c r="A11237" s="3">
        <v>785725.0</v>
      </c>
      <c r="B11237" s="3" t="s">
        <v>11265</v>
      </c>
      <c r="C11237" s="3" t="s">
        <v>222</v>
      </c>
      <c r="D11237" s="3">
        <v>395.0</v>
      </c>
      <c r="E11237" s="3">
        <v>4.19</v>
      </c>
      <c r="F11237" s="3">
        <v>4.3</v>
      </c>
      <c r="G11237" s="3">
        <v>85.59</v>
      </c>
    </row>
    <row r="11238">
      <c r="A11238" s="3">
        <v>785728.0</v>
      </c>
      <c r="B11238" s="3" t="s">
        <v>11266</v>
      </c>
      <c r="C11238" s="3" t="s">
        <v>222</v>
      </c>
      <c r="D11238" s="3">
        <v>371.0</v>
      </c>
      <c r="E11238" s="3">
        <v>1.5</v>
      </c>
      <c r="F11238" s="3">
        <v>7.5</v>
      </c>
      <c r="G11238" s="3">
        <v>86.8</v>
      </c>
    </row>
    <row r="11239">
      <c r="A11239" s="3">
        <v>785729.0</v>
      </c>
      <c r="B11239" s="3" t="s">
        <v>11267</v>
      </c>
      <c r="C11239" s="3" t="s">
        <v>222</v>
      </c>
      <c r="D11239" s="3">
        <v>377.0</v>
      </c>
      <c r="E11239" s="3">
        <v>1.79</v>
      </c>
      <c r="F11239" s="3">
        <v>17.79</v>
      </c>
      <c r="G11239" s="3">
        <v>73.4</v>
      </c>
    </row>
    <row r="11240">
      <c r="A11240" s="3">
        <v>785730.0</v>
      </c>
      <c r="B11240" s="3" t="s">
        <v>11268</v>
      </c>
      <c r="C11240" s="3" t="s">
        <v>222</v>
      </c>
      <c r="D11240" s="3">
        <v>363.0</v>
      </c>
      <c r="E11240" s="3">
        <v>1.5</v>
      </c>
      <c r="F11240" s="3">
        <v>6.9</v>
      </c>
      <c r="G11240" s="3">
        <v>86.3</v>
      </c>
    </row>
    <row r="11241">
      <c r="A11241" s="3">
        <v>785732.0</v>
      </c>
      <c r="B11241" s="3" t="s">
        <v>11269</v>
      </c>
      <c r="C11241" s="3" t="s">
        <v>222</v>
      </c>
      <c r="D11241" s="3">
        <v>389.0</v>
      </c>
      <c r="E11241" s="3">
        <v>5.7</v>
      </c>
      <c r="F11241" s="3">
        <v>8.7</v>
      </c>
      <c r="G11241" s="3">
        <v>80.9</v>
      </c>
    </row>
    <row r="11242">
      <c r="A11242" s="3">
        <v>785737.0</v>
      </c>
      <c r="B11242" s="3" t="s">
        <v>11270</v>
      </c>
      <c r="C11242" s="3" t="s">
        <v>222</v>
      </c>
      <c r="D11242" s="3">
        <v>387.0</v>
      </c>
      <c r="E11242" s="3">
        <v>1.3</v>
      </c>
      <c r="F11242" s="3">
        <v>4.8</v>
      </c>
      <c r="G11242" s="3">
        <v>89.7</v>
      </c>
    </row>
    <row r="11243">
      <c r="A11243" s="3">
        <v>785738.0</v>
      </c>
      <c r="B11243" s="3" t="s">
        <v>11271</v>
      </c>
      <c r="C11243" s="3" t="s">
        <v>222</v>
      </c>
      <c r="D11243" s="3">
        <v>369.0</v>
      </c>
      <c r="E11243" s="3">
        <v>1.68</v>
      </c>
      <c r="F11243" s="3">
        <v>3.96</v>
      </c>
      <c r="G11243" s="3">
        <v>89.2</v>
      </c>
    </row>
    <row r="11244">
      <c r="A11244" s="3">
        <v>785739.0</v>
      </c>
      <c r="B11244" s="3" t="s">
        <v>11272</v>
      </c>
      <c r="C11244" s="3" t="s">
        <v>222</v>
      </c>
      <c r="D11244" s="3">
        <v>369.0</v>
      </c>
      <c r="E11244" s="3">
        <v>1.68</v>
      </c>
      <c r="F11244" s="3">
        <v>3.96</v>
      </c>
      <c r="G11244" s="3">
        <v>89.2</v>
      </c>
    </row>
    <row r="11245">
      <c r="A11245" s="3">
        <v>785740.0</v>
      </c>
      <c r="B11245" s="3" t="s">
        <v>11273</v>
      </c>
      <c r="C11245" s="3" t="s">
        <v>222</v>
      </c>
      <c r="D11245" s="3">
        <v>357.0</v>
      </c>
      <c r="E11245" s="3">
        <v>0.4</v>
      </c>
      <c r="F11245" s="3">
        <v>5.59</v>
      </c>
      <c r="G11245" s="3">
        <v>87.3</v>
      </c>
    </row>
    <row r="11246">
      <c r="A11246" s="3">
        <v>785744.0</v>
      </c>
      <c r="B11246" s="3" t="s">
        <v>11274</v>
      </c>
      <c r="C11246" s="3" t="s">
        <v>222</v>
      </c>
      <c r="D11246" s="3">
        <v>384.0</v>
      </c>
      <c r="E11246" s="3">
        <v>3.79</v>
      </c>
      <c r="F11246" s="3">
        <v>4.9</v>
      </c>
      <c r="G11246" s="3">
        <v>86.19</v>
      </c>
    </row>
    <row r="11247">
      <c r="A11247" s="3">
        <v>785745.0</v>
      </c>
      <c r="B11247" s="3" t="s">
        <v>11275</v>
      </c>
      <c r="C11247" s="3" t="s">
        <v>222</v>
      </c>
      <c r="D11247" s="3">
        <v>383.0</v>
      </c>
      <c r="E11247" s="3">
        <v>4.0</v>
      </c>
      <c r="F11247" s="3">
        <v>5.4</v>
      </c>
      <c r="G11247" s="3">
        <v>85.5</v>
      </c>
    </row>
    <row r="11248">
      <c r="A11248" s="3">
        <v>785753.0</v>
      </c>
      <c r="B11248" s="3" t="s">
        <v>11276</v>
      </c>
      <c r="C11248" s="3" t="s">
        <v>222</v>
      </c>
      <c r="D11248" s="3">
        <v>380.0</v>
      </c>
      <c r="E11248" s="3">
        <v>2.2</v>
      </c>
      <c r="F11248" s="3">
        <v>5.7</v>
      </c>
      <c r="G11248" s="3">
        <v>88.5</v>
      </c>
    </row>
    <row r="11249">
      <c r="A11249" s="3">
        <v>785756.0</v>
      </c>
      <c r="B11249" s="3" t="s">
        <v>11277</v>
      </c>
      <c r="C11249" s="3" t="s">
        <v>222</v>
      </c>
      <c r="D11249" s="3">
        <v>400.0</v>
      </c>
      <c r="E11249" s="3">
        <v>5.23</v>
      </c>
      <c r="F11249" s="3">
        <v>6.67</v>
      </c>
      <c r="G11249" s="3">
        <v>81.75</v>
      </c>
    </row>
    <row r="11250">
      <c r="A11250" s="3">
        <v>785773.0</v>
      </c>
      <c r="B11250" s="3" t="s">
        <v>11278</v>
      </c>
      <c r="C11250" s="3" t="s">
        <v>196</v>
      </c>
      <c r="D11250" s="3">
        <v>76.0</v>
      </c>
      <c r="E11250" s="3">
        <v>0.89</v>
      </c>
      <c r="F11250" s="3">
        <v>0.89</v>
      </c>
      <c r="G11250" s="3">
        <v>15.82</v>
      </c>
    </row>
    <row r="11251">
      <c r="A11251" s="3">
        <v>785775.0</v>
      </c>
      <c r="B11251" s="3" t="s">
        <v>11279</v>
      </c>
      <c r="C11251" s="3" t="s">
        <v>196</v>
      </c>
      <c r="D11251" s="3">
        <v>83.0</v>
      </c>
      <c r="E11251" s="3">
        <v>0.51</v>
      </c>
      <c r="F11251" s="3">
        <v>0.71</v>
      </c>
      <c r="G11251" s="3">
        <v>18.58</v>
      </c>
    </row>
    <row r="11252">
      <c r="A11252" s="3">
        <v>785776.0</v>
      </c>
      <c r="B11252" s="3" t="s">
        <v>11280</v>
      </c>
      <c r="C11252" s="3" t="s">
        <v>196</v>
      </c>
      <c r="D11252" s="3">
        <v>76.0</v>
      </c>
      <c r="E11252" s="3">
        <v>0.89</v>
      </c>
      <c r="F11252" s="3">
        <v>0.89</v>
      </c>
      <c r="G11252" s="3">
        <v>15.82</v>
      </c>
    </row>
    <row r="11253">
      <c r="A11253" s="3">
        <v>785780.0</v>
      </c>
      <c r="B11253" s="3" t="s">
        <v>11281</v>
      </c>
      <c r="C11253" s="3" t="s">
        <v>2807</v>
      </c>
      <c r="D11253" s="3">
        <v>229.0</v>
      </c>
      <c r="E11253" s="3">
        <v>11.84</v>
      </c>
      <c r="F11253" s="3">
        <v>10.27</v>
      </c>
      <c r="G11253" s="3">
        <v>19.69</v>
      </c>
    </row>
    <row r="11254">
      <c r="A11254" s="3">
        <v>785781.0</v>
      </c>
      <c r="B11254" s="3" t="s">
        <v>11282</v>
      </c>
      <c r="C11254" s="3" t="s">
        <v>2807</v>
      </c>
      <c r="D11254" s="3">
        <v>235.0</v>
      </c>
      <c r="E11254" s="3">
        <v>12.66</v>
      </c>
      <c r="F11254" s="3">
        <v>9.04</v>
      </c>
      <c r="G11254" s="3">
        <v>21.15</v>
      </c>
    </row>
    <row r="11255">
      <c r="A11255" s="3">
        <v>785782.0</v>
      </c>
      <c r="B11255" s="3" t="s">
        <v>11283</v>
      </c>
      <c r="C11255" s="3" t="s">
        <v>2807</v>
      </c>
      <c r="D11255" s="3">
        <v>242.0</v>
      </c>
      <c r="E11255" s="3">
        <v>13.92</v>
      </c>
      <c r="F11255" s="3">
        <v>11.38</v>
      </c>
      <c r="G11255" s="3">
        <v>17.22</v>
      </c>
    </row>
    <row r="11256">
      <c r="A11256" s="3">
        <v>785784.0</v>
      </c>
      <c r="B11256" s="3" t="s">
        <v>11284</v>
      </c>
      <c r="C11256" s="3" t="s">
        <v>2807</v>
      </c>
      <c r="D11256" s="3">
        <v>246.0</v>
      </c>
      <c r="E11256" s="3">
        <v>14.36</v>
      </c>
      <c r="F11256" s="3">
        <v>10.14</v>
      </c>
      <c r="G11256" s="3">
        <v>18.86</v>
      </c>
    </row>
    <row r="11257">
      <c r="A11257" s="3">
        <v>785785.0</v>
      </c>
      <c r="B11257" s="3" t="s">
        <v>11285</v>
      </c>
      <c r="C11257" s="3" t="s">
        <v>2807</v>
      </c>
      <c r="D11257" s="3">
        <v>242.0</v>
      </c>
      <c r="E11257" s="3">
        <v>13.94</v>
      </c>
      <c r="F11257" s="3">
        <v>11.15</v>
      </c>
      <c r="G11257" s="3">
        <v>17.76</v>
      </c>
    </row>
    <row r="11258">
      <c r="A11258" s="3">
        <v>785786.0</v>
      </c>
      <c r="B11258" s="3" t="s">
        <v>11286</v>
      </c>
      <c r="C11258" s="3" t="s">
        <v>2807</v>
      </c>
      <c r="D11258" s="3">
        <v>224.0</v>
      </c>
      <c r="E11258" s="3">
        <v>12.47</v>
      </c>
      <c r="F11258" s="3">
        <v>10.46</v>
      </c>
      <c r="G11258" s="3">
        <v>17.32</v>
      </c>
    </row>
    <row r="11259">
      <c r="A11259" s="3">
        <v>785787.0</v>
      </c>
      <c r="B11259" s="3" t="s">
        <v>11287</v>
      </c>
      <c r="C11259" s="3" t="s">
        <v>1464</v>
      </c>
      <c r="D11259" s="3">
        <v>242.0</v>
      </c>
      <c r="E11259" s="3">
        <v>14.48</v>
      </c>
      <c r="F11259" s="3">
        <v>13.03</v>
      </c>
      <c r="G11259" s="3">
        <v>14.44</v>
      </c>
    </row>
    <row r="11260">
      <c r="A11260" s="3">
        <v>785788.0</v>
      </c>
      <c r="B11260" s="3" t="s">
        <v>11288</v>
      </c>
      <c r="C11260" s="3" t="s">
        <v>1464</v>
      </c>
      <c r="D11260" s="3">
        <v>229.0</v>
      </c>
      <c r="E11260" s="3">
        <v>12.46</v>
      </c>
      <c r="F11260" s="3">
        <v>11.36</v>
      </c>
      <c r="G11260" s="3">
        <v>17.83</v>
      </c>
    </row>
    <row r="11261">
      <c r="A11261" s="3">
        <v>785790.0</v>
      </c>
      <c r="B11261" s="3" t="s">
        <v>11289</v>
      </c>
      <c r="C11261" s="3" t="s">
        <v>1464</v>
      </c>
      <c r="D11261" s="3">
        <v>236.0</v>
      </c>
      <c r="E11261" s="3">
        <v>15.15</v>
      </c>
      <c r="F11261" s="3">
        <v>11.57</v>
      </c>
      <c r="G11261" s="3">
        <v>13.09</v>
      </c>
    </row>
    <row r="11262">
      <c r="A11262" s="3">
        <v>785791.0</v>
      </c>
      <c r="B11262" s="3" t="s">
        <v>11290</v>
      </c>
      <c r="C11262" s="3" t="s">
        <v>1464</v>
      </c>
      <c r="D11262" s="3">
        <v>225.0</v>
      </c>
      <c r="E11262" s="3">
        <v>13.39</v>
      </c>
      <c r="F11262" s="3">
        <v>10.16</v>
      </c>
      <c r="G11262" s="3">
        <v>16.06</v>
      </c>
    </row>
    <row r="11263">
      <c r="A11263" s="3">
        <v>785792.0</v>
      </c>
      <c r="B11263" s="3" t="s">
        <v>11291</v>
      </c>
      <c r="C11263" s="3" t="s">
        <v>1464</v>
      </c>
      <c r="D11263" s="3">
        <v>209.0</v>
      </c>
      <c r="E11263" s="3">
        <v>7.86</v>
      </c>
      <c r="F11263" s="3">
        <v>8.56</v>
      </c>
      <c r="G11263" s="3">
        <v>26.78</v>
      </c>
    </row>
    <row r="11264">
      <c r="A11264" s="3">
        <v>785793.0</v>
      </c>
      <c r="B11264" s="3" t="s">
        <v>11292</v>
      </c>
      <c r="C11264" s="3" t="s">
        <v>1464</v>
      </c>
      <c r="D11264" s="3">
        <v>223.0</v>
      </c>
      <c r="E11264" s="3">
        <v>11.66</v>
      </c>
      <c r="F11264" s="3">
        <v>10.79</v>
      </c>
      <c r="G11264" s="3">
        <v>18.52</v>
      </c>
    </row>
    <row r="11265">
      <c r="A11265" s="3">
        <v>785794.0</v>
      </c>
      <c r="B11265" s="3" t="s">
        <v>11293</v>
      </c>
      <c r="C11265" s="3" t="s">
        <v>1464</v>
      </c>
      <c r="D11265" s="3">
        <v>219.0</v>
      </c>
      <c r="E11265" s="3">
        <v>12.63</v>
      </c>
      <c r="F11265" s="3">
        <v>9.73</v>
      </c>
      <c r="G11265" s="3">
        <v>16.76</v>
      </c>
    </row>
    <row r="11266">
      <c r="A11266" s="3">
        <v>785795.0</v>
      </c>
      <c r="B11266" s="3" t="s">
        <v>11294</v>
      </c>
      <c r="C11266" s="3" t="s">
        <v>1464</v>
      </c>
      <c r="D11266" s="3">
        <v>242.0</v>
      </c>
      <c r="E11266" s="3">
        <v>12.01</v>
      </c>
      <c r="F11266" s="3">
        <v>16.9</v>
      </c>
      <c r="G11266" s="3">
        <v>16.57</v>
      </c>
    </row>
    <row r="11267">
      <c r="A11267" s="3">
        <v>785796.0</v>
      </c>
      <c r="B11267" s="3" t="s">
        <v>11295</v>
      </c>
      <c r="C11267" s="3" t="s">
        <v>1464</v>
      </c>
      <c r="D11267" s="3">
        <v>228.0</v>
      </c>
      <c r="E11267" s="3">
        <v>11.2</v>
      </c>
      <c r="F11267" s="3">
        <v>12.93</v>
      </c>
      <c r="G11267" s="3">
        <v>19.06</v>
      </c>
    </row>
    <row r="11268">
      <c r="A11268" s="3">
        <v>785797.0</v>
      </c>
      <c r="B11268" s="3" t="s">
        <v>11296</v>
      </c>
      <c r="C11268" s="3" t="s">
        <v>1464</v>
      </c>
      <c r="D11268" s="3">
        <v>235.0</v>
      </c>
      <c r="E11268" s="3">
        <v>13.19</v>
      </c>
      <c r="F11268" s="3">
        <v>14.59</v>
      </c>
      <c r="G11268" s="3">
        <v>14.66</v>
      </c>
    </row>
    <row r="11269">
      <c r="A11269" s="3">
        <v>785798.0</v>
      </c>
      <c r="B11269" s="3" t="s">
        <v>11297</v>
      </c>
      <c r="C11269" s="3" t="s">
        <v>1464</v>
      </c>
      <c r="D11269" s="3">
        <v>224.0</v>
      </c>
      <c r="E11269" s="3">
        <v>12.38</v>
      </c>
      <c r="F11269" s="3">
        <v>11.42</v>
      </c>
      <c r="G11269" s="3">
        <v>16.98</v>
      </c>
    </row>
    <row r="11270">
      <c r="A11270" s="3">
        <v>785799.0</v>
      </c>
      <c r="B11270" s="3" t="s">
        <v>11298</v>
      </c>
      <c r="C11270" s="3" t="s">
        <v>1464</v>
      </c>
      <c r="D11270" s="3">
        <v>221.0</v>
      </c>
      <c r="E11270" s="3">
        <v>10.42</v>
      </c>
      <c r="F11270" s="3">
        <v>12.2</v>
      </c>
      <c r="G11270" s="3">
        <v>19.72</v>
      </c>
    </row>
    <row r="11271">
      <c r="A11271" s="3">
        <v>785800.0</v>
      </c>
      <c r="B11271" s="3" t="s">
        <v>11299</v>
      </c>
      <c r="C11271" s="3" t="s">
        <v>1464</v>
      </c>
      <c r="D11271" s="3">
        <v>218.0</v>
      </c>
      <c r="E11271" s="3">
        <v>11.63</v>
      </c>
      <c r="F11271" s="3">
        <v>10.88</v>
      </c>
      <c r="G11271" s="3">
        <v>17.67</v>
      </c>
    </row>
    <row r="11272">
      <c r="A11272" s="3">
        <v>785801.0</v>
      </c>
      <c r="B11272" s="3" t="s">
        <v>11300</v>
      </c>
      <c r="C11272" s="3" t="s">
        <v>1464</v>
      </c>
      <c r="D11272" s="3">
        <v>211.0</v>
      </c>
      <c r="E11272" s="3">
        <v>9.89</v>
      </c>
      <c r="F11272" s="3">
        <v>9.32</v>
      </c>
      <c r="G11272" s="3">
        <v>21.5</v>
      </c>
    </row>
    <row r="11273">
      <c r="A11273" s="3">
        <v>785802.0</v>
      </c>
      <c r="B11273" s="3" t="s">
        <v>11301</v>
      </c>
      <c r="C11273" s="3" t="s">
        <v>1464</v>
      </c>
      <c r="D11273" s="3">
        <v>217.0</v>
      </c>
      <c r="E11273" s="3">
        <v>10.56</v>
      </c>
      <c r="F11273" s="3">
        <v>9.78</v>
      </c>
      <c r="G11273" s="3">
        <v>21.04</v>
      </c>
    </row>
    <row r="11274">
      <c r="A11274" s="3">
        <v>785804.0</v>
      </c>
      <c r="B11274" s="3" t="s">
        <v>11302</v>
      </c>
      <c r="C11274" s="3" t="s">
        <v>1464</v>
      </c>
      <c r="D11274" s="3">
        <v>210.0</v>
      </c>
      <c r="E11274" s="3">
        <v>11.06</v>
      </c>
      <c r="F11274" s="3">
        <v>8.47</v>
      </c>
      <c r="G11274" s="3">
        <v>19.41</v>
      </c>
    </row>
    <row r="11275">
      <c r="A11275" s="3">
        <v>785805.0</v>
      </c>
      <c r="B11275" s="3" t="s">
        <v>11303</v>
      </c>
      <c r="C11275" s="3" t="s">
        <v>1464</v>
      </c>
      <c r="D11275" s="3">
        <v>292.0</v>
      </c>
      <c r="E11275" s="3">
        <v>17.84</v>
      </c>
      <c r="F11275" s="3">
        <v>8.57</v>
      </c>
      <c r="G11275" s="3">
        <v>24.71</v>
      </c>
    </row>
    <row r="11276">
      <c r="A11276" s="3">
        <v>785806.0</v>
      </c>
      <c r="B11276" s="3" t="s">
        <v>11304</v>
      </c>
      <c r="C11276" s="3" t="s">
        <v>1464</v>
      </c>
      <c r="D11276" s="3">
        <v>299.0</v>
      </c>
      <c r="E11276" s="3">
        <v>17.4</v>
      </c>
      <c r="F11276" s="3">
        <v>7.3</v>
      </c>
      <c r="G11276" s="3">
        <v>28.98</v>
      </c>
    </row>
    <row r="11277">
      <c r="A11277" s="3">
        <v>785807.0</v>
      </c>
      <c r="B11277" s="3" t="s">
        <v>11305</v>
      </c>
      <c r="C11277" s="3" t="s">
        <v>1464</v>
      </c>
      <c r="D11277" s="3">
        <v>139.0</v>
      </c>
      <c r="E11277" s="3">
        <v>6.42</v>
      </c>
      <c r="F11277" s="3">
        <v>6.83</v>
      </c>
      <c r="G11277" s="3">
        <v>14.4</v>
      </c>
    </row>
    <row r="11278">
      <c r="A11278" s="3">
        <v>785808.0</v>
      </c>
      <c r="B11278" s="3" t="s">
        <v>11306</v>
      </c>
      <c r="C11278" s="3" t="s">
        <v>1464</v>
      </c>
      <c r="D11278" s="3">
        <v>157.0</v>
      </c>
      <c r="E11278" s="3">
        <v>8.16</v>
      </c>
      <c r="F11278" s="3">
        <v>7.23</v>
      </c>
      <c r="G11278" s="3">
        <v>14.68</v>
      </c>
    </row>
    <row r="11279">
      <c r="A11279" s="3">
        <v>785809.0</v>
      </c>
      <c r="B11279" s="3" t="s">
        <v>11307</v>
      </c>
      <c r="C11279" s="3" t="s">
        <v>1464</v>
      </c>
      <c r="D11279" s="3">
        <v>147.0</v>
      </c>
      <c r="E11279" s="3">
        <v>7.15</v>
      </c>
      <c r="F11279" s="3">
        <v>9.22</v>
      </c>
      <c r="G11279" s="3">
        <v>12.22</v>
      </c>
    </row>
    <row r="11280">
      <c r="A11280" s="3">
        <v>785810.0</v>
      </c>
      <c r="B11280" s="3" t="s">
        <v>11308</v>
      </c>
      <c r="C11280" s="3" t="s">
        <v>1464</v>
      </c>
      <c r="D11280" s="3">
        <v>168.0</v>
      </c>
      <c r="E11280" s="3">
        <v>9.08</v>
      </c>
      <c r="F11280" s="3">
        <v>9.83</v>
      </c>
      <c r="G11280" s="3">
        <v>12.37</v>
      </c>
    </row>
    <row r="11281">
      <c r="A11281" s="3">
        <v>785811.0</v>
      </c>
      <c r="B11281" s="3" t="s">
        <v>11309</v>
      </c>
      <c r="C11281" s="3" t="s">
        <v>1464</v>
      </c>
      <c r="D11281" s="3">
        <v>131.0</v>
      </c>
      <c r="E11281" s="3">
        <v>5.81</v>
      </c>
      <c r="F11281" s="3">
        <v>6.48</v>
      </c>
      <c r="G11281" s="3">
        <v>14.39</v>
      </c>
    </row>
    <row r="11282">
      <c r="A11282" s="3">
        <v>785812.0</v>
      </c>
      <c r="B11282" s="3" t="s">
        <v>11310</v>
      </c>
      <c r="C11282" s="3" t="s">
        <v>1464</v>
      </c>
      <c r="D11282" s="3">
        <v>149.0</v>
      </c>
      <c r="E11282" s="3">
        <v>7.5</v>
      </c>
      <c r="F11282" s="3">
        <v>6.86</v>
      </c>
      <c r="G11282" s="3">
        <v>14.67</v>
      </c>
    </row>
    <row r="11283">
      <c r="A11283" s="3">
        <v>785813.0</v>
      </c>
      <c r="B11283" s="3" t="s">
        <v>11311</v>
      </c>
      <c r="C11283" s="3" t="s">
        <v>1464</v>
      </c>
      <c r="D11283" s="3">
        <v>130.0</v>
      </c>
      <c r="E11283" s="3">
        <v>5.82</v>
      </c>
      <c r="F11283" s="3">
        <v>8.47</v>
      </c>
      <c r="G11283" s="3">
        <v>12.21</v>
      </c>
    </row>
    <row r="11284">
      <c r="A11284" s="3">
        <v>785814.0</v>
      </c>
      <c r="B11284" s="3" t="s">
        <v>11312</v>
      </c>
      <c r="C11284" s="3" t="s">
        <v>1464</v>
      </c>
      <c r="D11284" s="3">
        <v>150.0</v>
      </c>
      <c r="E11284" s="3">
        <v>7.65</v>
      </c>
      <c r="F11284" s="3">
        <v>9.02</v>
      </c>
      <c r="G11284" s="3">
        <v>12.35</v>
      </c>
    </row>
    <row r="11285">
      <c r="A11285" s="3">
        <v>785815.0</v>
      </c>
      <c r="B11285" s="3" t="s">
        <v>11313</v>
      </c>
      <c r="C11285" s="3" t="s">
        <v>1464</v>
      </c>
      <c r="D11285" s="3">
        <v>131.0</v>
      </c>
      <c r="E11285" s="3">
        <v>5.8</v>
      </c>
      <c r="F11285" s="3">
        <v>4.75</v>
      </c>
      <c r="G11285" s="3">
        <v>16.28</v>
      </c>
    </row>
    <row r="11286">
      <c r="A11286" s="3">
        <v>785816.0</v>
      </c>
      <c r="B11286" s="3" t="s">
        <v>11314</v>
      </c>
      <c r="C11286" s="3" t="s">
        <v>1464</v>
      </c>
      <c r="D11286" s="3">
        <v>148.0</v>
      </c>
      <c r="E11286" s="3">
        <v>7.37</v>
      </c>
      <c r="F11286" s="3">
        <v>5.0</v>
      </c>
      <c r="G11286" s="3">
        <v>16.66</v>
      </c>
    </row>
    <row r="11287">
      <c r="A11287" s="3">
        <v>785817.0</v>
      </c>
      <c r="B11287" s="3" t="s">
        <v>11315</v>
      </c>
      <c r="C11287" s="3" t="s">
        <v>1464</v>
      </c>
      <c r="D11287" s="3">
        <v>167.0</v>
      </c>
      <c r="E11287" s="3">
        <v>10.06</v>
      </c>
      <c r="F11287" s="3">
        <v>7.31</v>
      </c>
      <c r="G11287" s="3">
        <v>12.88</v>
      </c>
    </row>
    <row r="11288">
      <c r="A11288" s="3">
        <v>785818.0</v>
      </c>
      <c r="B11288" s="3" t="s">
        <v>11316</v>
      </c>
      <c r="C11288" s="3" t="s">
        <v>1464</v>
      </c>
      <c r="D11288" s="3">
        <v>189.0</v>
      </c>
      <c r="E11288" s="3">
        <v>12.28</v>
      </c>
      <c r="F11288" s="3">
        <v>7.8</v>
      </c>
      <c r="G11288" s="3">
        <v>13.08</v>
      </c>
    </row>
    <row r="11289">
      <c r="A11289" s="3">
        <v>785819.0</v>
      </c>
      <c r="B11289" s="3" t="s">
        <v>11317</v>
      </c>
      <c r="C11289" s="3" t="s">
        <v>1464</v>
      </c>
      <c r="D11289" s="3">
        <v>246.0</v>
      </c>
      <c r="E11289" s="3">
        <v>14.31</v>
      </c>
      <c r="F11289" s="3">
        <v>10.45</v>
      </c>
      <c r="G11289" s="3">
        <v>19.28</v>
      </c>
    </row>
    <row r="11290">
      <c r="A11290" s="3">
        <v>785821.0</v>
      </c>
      <c r="B11290" s="3" t="s">
        <v>11318</v>
      </c>
      <c r="C11290" s="3" t="s">
        <v>1464</v>
      </c>
      <c r="D11290" s="3">
        <v>243.0</v>
      </c>
      <c r="E11290" s="3">
        <v>15.25</v>
      </c>
      <c r="F11290" s="3">
        <v>9.44</v>
      </c>
      <c r="G11290" s="3">
        <v>17.44</v>
      </c>
    </row>
    <row r="11291">
      <c r="A11291" s="3">
        <v>785822.0</v>
      </c>
      <c r="B11291" s="3" t="s">
        <v>11319</v>
      </c>
      <c r="C11291" s="3" t="s">
        <v>1464</v>
      </c>
      <c r="D11291" s="3">
        <v>221.0</v>
      </c>
      <c r="E11291" s="3">
        <v>10.71</v>
      </c>
      <c r="F11291" s="3">
        <v>10.68</v>
      </c>
      <c r="G11291" s="3">
        <v>20.42</v>
      </c>
    </row>
    <row r="11292">
      <c r="A11292" s="3">
        <v>785824.0</v>
      </c>
      <c r="B11292" s="3" t="s">
        <v>11320</v>
      </c>
      <c r="C11292" s="3" t="s">
        <v>1464</v>
      </c>
      <c r="D11292" s="3">
        <v>221.0</v>
      </c>
      <c r="E11292" s="3">
        <v>11.97</v>
      </c>
      <c r="F11292" s="3">
        <v>9.75</v>
      </c>
      <c r="G11292" s="3">
        <v>18.64</v>
      </c>
    </row>
    <row r="11293">
      <c r="A11293" s="3">
        <v>785825.0</v>
      </c>
      <c r="B11293" s="3" t="s">
        <v>11321</v>
      </c>
      <c r="C11293" s="3" t="s">
        <v>1464</v>
      </c>
      <c r="D11293" s="3">
        <v>200.0</v>
      </c>
      <c r="E11293" s="3">
        <v>9.96</v>
      </c>
      <c r="F11293" s="3">
        <v>8.68</v>
      </c>
      <c r="G11293" s="3">
        <v>18.78</v>
      </c>
    </row>
    <row r="11294">
      <c r="A11294" s="3">
        <v>785826.0</v>
      </c>
      <c r="B11294" s="3" t="s">
        <v>11322</v>
      </c>
      <c r="C11294" s="3" t="s">
        <v>1464</v>
      </c>
      <c r="D11294" s="3">
        <v>221.0</v>
      </c>
      <c r="E11294" s="3">
        <v>9.58</v>
      </c>
      <c r="F11294" s="3">
        <v>12.5</v>
      </c>
      <c r="G11294" s="3">
        <v>21.28</v>
      </c>
    </row>
    <row r="11295">
      <c r="A11295" s="3">
        <v>785828.0</v>
      </c>
      <c r="B11295" s="3" t="s">
        <v>11323</v>
      </c>
      <c r="C11295" s="3" t="s">
        <v>1464</v>
      </c>
      <c r="D11295" s="3">
        <v>218.0</v>
      </c>
      <c r="E11295" s="3">
        <v>10.97</v>
      </c>
      <c r="F11295" s="3">
        <v>11.07</v>
      </c>
      <c r="G11295" s="3">
        <v>18.91</v>
      </c>
    </row>
    <row r="11296">
      <c r="A11296" s="3">
        <v>785829.0</v>
      </c>
      <c r="B11296" s="3" t="s">
        <v>11324</v>
      </c>
      <c r="C11296" s="3" t="s">
        <v>1464</v>
      </c>
      <c r="D11296" s="3">
        <v>255.0</v>
      </c>
      <c r="E11296" s="3">
        <v>13.78</v>
      </c>
      <c r="F11296" s="3">
        <v>12.74</v>
      </c>
      <c r="G11296" s="3">
        <v>20.44</v>
      </c>
    </row>
    <row r="11297">
      <c r="A11297" s="3">
        <v>785830.0</v>
      </c>
      <c r="B11297" s="3" t="s">
        <v>11325</v>
      </c>
      <c r="C11297" s="3" t="s">
        <v>1464</v>
      </c>
      <c r="D11297" s="3">
        <v>245.0</v>
      </c>
      <c r="E11297" s="3">
        <v>14.69</v>
      </c>
      <c r="F11297" s="3">
        <v>11.06</v>
      </c>
      <c r="G11297" s="3">
        <v>17.87</v>
      </c>
    </row>
    <row r="11298">
      <c r="A11298" s="3">
        <v>785831.0</v>
      </c>
      <c r="B11298" s="3" t="s">
        <v>11326</v>
      </c>
      <c r="C11298" s="3" t="s">
        <v>1464</v>
      </c>
      <c r="D11298" s="3">
        <v>229.0</v>
      </c>
      <c r="E11298" s="3">
        <v>11.91</v>
      </c>
      <c r="F11298" s="3">
        <v>10.07</v>
      </c>
      <c r="G11298" s="3">
        <v>20.44</v>
      </c>
    </row>
    <row r="11299">
      <c r="A11299" s="3">
        <v>785832.0</v>
      </c>
      <c r="B11299" s="3" t="s">
        <v>11327</v>
      </c>
      <c r="C11299" s="3" t="s">
        <v>1464</v>
      </c>
      <c r="D11299" s="3">
        <v>199.0</v>
      </c>
      <c r="E11299" s="3">
        <v>8.01</v>
      </c>
      <c r="F11299" s="3">
        <v>10.22</v>
      </c>
      <c r="G11299" s="3">
        <v>21.28</v>
      </c>
    </row>
    <row r="11300">
      <c r="A11300" s="3">
        <v>785833.0</v>
      </c>
      <c r="B11300" s="3" t="s">
        <v>11328</v>
      </c>
      <c r="C11300" s="3" t="s">
        <v>1464</v>
      </c>
      <c r="D11300" s="3">
        <v>184.0</v>
      </c>
      <c r="E11300" s="3">
        <v>7.01</v>
      </c>
      <c r="F11300" s="3">
        <v>6.88</v>
      </c>
      <c r="G11300" s="3">
        <v>23.63</v>
      </c>
    </row>
    <row r="11301">
      <c r="A11301" s="3">
        <v>785834.0</v>
      </c>
      <c r="B11301" s="3" t="s">
        <v>11329</v>
      </c>
      <c r="C11301" s="3" t="s">
        <v>1464</v>
      </c>
      <c r="D11301" s="3">
        <v>185.0</v>
      </c>
      <c r="E11301" s="3">
        <v>8.29</v>
      </c>
      <c r="F11301" s="3">
        <v>6.42</v>
      </c>
      <c r="G11301" s="3">
        <v>21.66</v>
      </c>
    </row>
    <row r="11302">
      <c r="A11302" s="3">
        <v>785835.0</v>
      </c>
      <c r="B11302" s="3" t="s">
        <v>11330</v>
      </c>
      <c r="C11302" s="3" t="s">
        <v>1464</v>
      </c>
      <c r="D11302" s="3">
        <v>201.0</v>
      </c>
      <c r="E11302" s="3">
        <v>8.67</v>
      </c>
      <c r="F11302" s="3">
        <v>8.58</v>
      </c>
      <c r="G11302" s="3">
        <v>22.29</v>
      </c>
    </row>
    <row r="11303">
      <c r="A11303" s="3">
        <v>785836.0</v>
      </c>
      <c r="B11303" s="3" t="s">
        <v>11331</v>
      </c>
      <c r="C11303" s="3" t="s">
        <v>1464</v>
      </c>
      <c r="D11303" s="3">
        <v>199.0</v>
      </c>
      <c r="E11303" s="3">
        <v>8.07</v>
      </c>
      <c r="F11303" s="3">
        <v>9.18</v>
      </c>
      <c r="G11303" s="3">
        <v>22.67</v>
      </c>
    </row>
    <row r="11304">
      <c r="A11304" s="3">
        <v>785837.0</v>
      </c>
      <c r="B11304" s="3" t="s">
        <v>11332</v>
      </c>
      <c r="C11304" s="3" t="s">
        <v>1464</v>
      </c>
      <c r="D11304" s="3">
        <v>202.0</v>
      </c>
      <c r="E11304" s="3">
        <v>9.96</v>
      </c>
      <c r="F11304" s="3">
        <v>7.92</v>
      </c>
      <c r="G11304" s="3">
        <v>20.38</v>
      </c>
    </row>
    <row r="11305">
      <c r="A11305" s="3">
        <v>785838.0</v>
      </c>
      <c r="B11305" s="3" t="s">
        <v>11333</v>
      </c>
      <c r="C11305" s="3" t="s">
        <v>1464</v>
      </c>
      <c r="D11305" s="3">
        <v>199.0</v>
      </c>
      <c r="E11305" s="3">
        <v>9.42</v>
      </c>
      <c r="F11305" s="3">
        <v>8.37</v>
      </c>
      <c r="G11305" s="3">
        <v>20.5</v>
      </c>
    </row>
    <row r="11306">
      <c r="A11306" s="3">
        <v>785839.0</v>
      </c>
      <c r="B11306" s="3" t="s">
        <v>11334</v>
      </c>
      <c r="C11306" s="3" t="s">
        <v>1464</v>
      </c>
      <c r="D11306" s="3">
        <v>202.0</v>
      </c>
      <c r="E11306" s="3">
        <v>9.51</v>
      </c>
      <c r="F11306" s="3">
        <v>6.39</v>
      </c>
      <c r="G11306" s="3">
        <v>23.34</v>
      </c>
    </row>
    <row r="11307">
      <c r="A11307" s="3">
        <v>785840.0</v>
      </c>
      <c r="B11307" s="3" t="s">
        <v>11335</v>
      </c>
      <c r="C11307" s="3" t="s">
        <v>1464</v>
      </c>
      <c r="D11307" s="3">
        <v>201.0</v>
      </c>
      <c r="E11307" s="3">
        <v>10.63</v>
      </c>
      <c r="F11307" s="3">
        <v>5.94</v>
      </c>
      <c r="G11307" s="3">
        <v>21.2</v>
      </c>
    </row>
    <row r="11308">
      <c r="A11308" s="3">
        <v>785841.0</v>
      </c>
      <c r="B11308" s="3" t="s">
        <v>11336</v>
      </c>
      <c r="C11308" s="3" t="s">
        <v>1464</v>
      </c>
      <c r="D11308" s="3">
        <v>222.0</v>
      </c>
      <c r="E11308" s="3">
        <v>11.65</v>
      </c>
      <c r="F11308" s="3">
        <v>8.19</v>
      </c>
      <c r="G11308" s="3">
        <v>21.65</v>
      </c>
    </row>
    <row r="11309">
      <c r="A11309" s="3">
        <v>785842.0</v>
      </c>
      <c r="B11309" s="3" t="s">
        <v>11337</v>
      </c>
      <c r="C11309" s="3" t="s">
        <v>1464</v>
      </c>
      <c r="D11309" s="3">
        <v>219.0</v>
      </c>
      <c r="E11309" s="3">
        <v>12.06</v>
      </c>
      <c r="F11309" s="3">
        <v>8.61</v>
      </c>
      <c r="G11309" s="3">
        <v>19.66</v>
      </c>
    </row>
    <row r="11310">
      <c r="A11310" s="3">
        <v>785843.0</v>
      </c>
      <c r="B11310" s="3" t="s">
        <v>11338</v>
      </c>
      <c r="C11310" s="3" t="s">
        <v>1464</v>
      </c>
      <c r="D11310" s="3">
        <v>223.0</v>
      </c>
      <c r="E11310" s="3">
        <v>11.21</v>
      </c>
      <c r="F11310" s="3">
        <v>8.91</v>
      </c>
      <c r="G11310" s="3">
        <v>22.19</v>
      </c>
    </row>
    <row r="11311">
      <c r="A11311" s="3">
        <v>785844.0</v>
      </c>
      <c r="B11311" s="3" t="s">
        <v>11339</v>
      </c>
      <c r="C11311" s="3" t="s">
        <v>1464</v>
      </c>
      <c r="D11311" s="3">
        <v>220.0</v>
      </c>
      <c r="E11311" s="3">
        <v>12.71</v>
      </c>
      <c r="F11311" s="3">
        <v>7.51</v>
      </c>
      <c r="G11311" s="3">
        <v>19.6</v>
      </c>
    </row>
    <row r="11312">
      <c r="A11312" s="3">
        <v>785845.0</v>
      </c>
      <c r="B11312" s="3" t="s">
        <v>11340</v>
      </c>
      <c r="C11312" s="3" t="s">
        <v>1464</v>
      </c>
      <c r="D11312" s="3">
        <v>219.0</v>
      </c>
      <c r="E11312" s="3">
        <v>12.3</v>
      </c>
      <c r="F11312" s="3">
        <v>8.04</v>
      </c>
      <c r="G11312" s="3">
        <v>19.83</v>
      </c>
    </row>
    <row r="11313">
      <c r="A11313" s="3">
        <v>785846.0</v>
      </c>
      <c r="B11313" s="3" t="s">
        <v>11341</v>
      </c>
      <c r="C11313" s="3" t="s">
        <v>1464</v>
      </c>
      <c r="D11313" s="3">
        <v>194.0</v>
      </c>
      <c r="E11313" s="3">
        <v>8.13</v>
      </c>
      <c r="F11313" s="3">
        <v>9.56</v>
      </c>
      <c r="G11313" s="3">
        <v>20.49</v>
      </c>
    </row>
    <row r="11314">
      <c r="A11314" s="3">
        <v>785847.0</v>
      </c>
      <c r="B11314" s="3" t="s">
        <v>11342</v>
      </c>
      <c r="C11314" s="3" t="s">
        <v>1464</v>
      </c>
      <c r="D11314" s="3">
        <v>234.0</v>
      </c>
      <c r="E11314" s="3">
        <v>12.65</v>
      </c>
      <c r="F11314" s="3">
        <v>13.28</v>
      </c>
      <c r="G11314" s="3">
        <v>17.41</v>
      </c>
    </row>
    <row r="11315">
      <c r="A11315" s="3">
        <v>785848.0</v>
      </c>
      <c r="B11315" s="3" t="s">
        <v>11343</v>
      </c>
      <c r="C11315" s="3" t="s">
        <v>1464</v>
      </c>
      <c r="D11315" s="3">
        <v>268.0</v>
      </c>
      <c r="E11315" s="3">
        <v>17.08</v>
      </c>
      <c r="F11315" s="3">
        <v>14.62</v>
      </c>
      <c r="G11315" s="3">
        <v>14.51</v>
      </c>
    </row>
    <row r="11316">
      <c r="A11316" s="3">
        <v>785849.0</v>
      </c>
      <c r="B11316" s="3" t="s">
        <v>11344</v>
      </c>
      <c r="C11316" s="3" t="s">
        <v>1464</v>
      </c>
      <c r="D11316" s="3">
        <v>178.0</v>
      </c>
      <c r="E11316" s="3">
        <v>9.3</v>
      </c>
      <c r="F11316" s="3">
        <v>7.47</v>
      </c>
      <c r="G11316" s="3">
        <v>16.44</v>
      </c>
    </row>
    <row r="11317">
      <c r="A11317" s="3">
        <v>785850.0</v>
      </c>
      <c r="B11317" s="3" t="s">
        <v>11345</v>
      </c>
      <c r="C11317" s="3" t="s">
        <v>1464</v>
      </c>
      <c r="D11317" s="3">
        <v>166.0</v>
      </c>
      <c r="E11317" s="3">
        <v>8.0</v>
      </c>
      <c r="F11317" s="3">
        <v>7.85</v>
      </c>
      <c r="G11317" s="3">
        <v>16.24</v>
      </c>
    </row>
    <row r="11318">
      <c r="A11318" s="3">
        <v>785851.0</v>
      </c>
      <c r="B11318" s="3" t="s">
        <v>11346</v>
      </c>
      <c r="C11318" s="3" t="s">
        <v>1464</v>
      </c>
      <c r="D11318" s="3">
        <v>161.0</v>
      </c>
      <c r="E11318" s="3">
        <v>7.33</v>
      </c>
      <c r="F11318" s="3">
        <v>5.29</v>
      </c>
      <c r="G11318" s="3">
        <v>19.25</v>
      </c>
    </row>
    <row r="11319">
      <c r="A11319" s="3">
        <v>785852.0</v>
      </c>
      <c r="B11319" s="3" t="s">
        <v>11347</v>
      </c>
      <c r="C11319" s="3" t="s">
        <v>1464</v>
      </c>
      <c r="D11319" s="3">
        <v>180.0</v>
      </c>
      <c r="E11319" s="3">
        <v>10.51</v>
      </c>
      <c r="F11319" s="3">
        <v>6.86</v>
      </c>
      <c r="G11319" s="3">
        <v>15.02</v>
      </c>
    </row>
    <row r="11320">
      <c r="A11320" s="3">
        <v>785853.0</v>
      </c>
      <c r="B11320" s="3" t="s">
        <v>11348</v>
      </c>
      <c r="C11320" s="3" t="s">
        <v>1464</v>
      </c>
      <c r="D11320" s="3">
        <v>170.0</v>
      </c>
      <c r="E11320" s="3">
        <v>9.35</v>
      </c>
      <c r="F11320" s="3">
        <v>7.2</v>
      </c>
      <c r="G11320" s="3">
        <v>14.86</v>
      </c>
    </row>
    <row r="11321">
      <c r="A11321" s="3">
        <v>785854.0</v>
      </c>
      <c r="B11321" s="3" t="s">
        <v>11349</v>
      </c>
      <c r="C11321" s="3" t="s">
        <v>1464</v>
      </c>
      <c r="D11321" s="3">
        <v>166.0</v>
      </c>
      <c r="E11321" s="3">
        <v>8.8</v>
      </c>
      <c r="F11321" s="3">
        <v>4.95</v>
      </c>
      <c r="G11321" s="3">
        <v>17.47</v>
      </c>
    </row>
    <row r="11322">
      <c r="A11322" s="3">
        <v>785856.0</v>
      </c>
      <c r="B11322" s="3" t="s">
        <v>11350</v>
      </c>
      <c r="C11322" s="3" t="s">
        <v>1464</v>
      </c>
      <c r="D11322" s="3">
        <v>221.0</v>
      </c>
      <c r="E11322" s="3">
        <v>14.37</v>
      </c>
      <c r="F11322" s="3">
        <v>8.6</v>
      </c>
      <c r="G11322" s="3">
        <v>14.94</v>
      </c>
    </row>
    <row r="11323">
      <c r="A11323" s="3">
        <v>785857.0</v>
      </c>
      <c r="B11323" s="3" t="s">
        <v>11351</v>
      </c>
      <c r="C11323" s="3" t="s">
        <v>1464</v>
      </c>
      <c r="D11323" s="3">
        <v>216.0</v>
      </c>
      <c r="E11323" s="3">
        <v>18.82</v>
      </c>
      <c r="F11323" s="3">
        <v>1.88</v>
      </c>
      <c r="G11323" s="3">
        <v>11.68</v>
      </c>
    </row>
    <row r="11324">
      <c r="A11324" s="3">
        <v>785858.0</v>
      </c>
      <c r="B11324" s="3" t="s">
        <v>11352</v>
      </c>
      <c r="C11324" s="3" t="s">
        <v>1464</v>
      </c>
      <c r="D11324" s="3">
        <v>451.0</v>
      </c>
      <c r="E11324" s="3">
        <v>46.07</v>
      </c>
      <c r="F11324" s="3">
        <v>1.46</v>
      </c>
      <c r="G11324" s="3">
        <v>9.25</v>
      </c>
    </row>
    <row r="11325">
      <c r="A11325" s="3">
        <v>785860.0</v>
      </c>
      <c r="B11325" s="3" t="s">
        <v>11353</v>
      </c>
      <c r="C11325" s="3" t="s">
        <v>1464</v>
      </c>
      <c r="D11325" s="3">
        <v>160.0</v>
      </c>
      <c r="E11325" s="3">
        <v>8.25</v>
      </c>
      <c r="F11325" s="3">
        <v>6.31</v>
      </c>
      <c r="G11325" s="3">
        <v>15.43</v>
      </c>
    </row>
    <row r="11326">
      <c r="A11326" s="3">
        <v>785861.0</v>
      </c>
      <c r="B11326" s="3" t="s">
        <v>11354</v>
      </c>
      <c r="C11326" s="3" t="s">
        <v>1464</v>
      </c>
      <c r="D11326" s="3">
        <v>223.0</v>
      </c>
      <c r="E11326" s="3">
        <v>11.84</v>
      </c>
      <c r="F11326" s="3">
        <v>8.4</v>
      </c>
      <c r="G11326" s="3">
        <v>21.93</v>
      </c>
    </row>
    <row r="11327">
      <c r="A11327" s="3">
        <v>785863.0</v>
      </c>
      <c r="B11327" s="3" t="s">
        <v>11355</v>
      </c>
      <c r="C11327" s="3" t="s">
        <v>1464</v>
      </c>
      <c r="D11327" s="3">
        <v>235.0</v>
      </c>
      <c r="E11327" s="3">
        <v>12.41</v>
      </c>
      <c r="F11327" s="3">
        <v>13.48</v>
      </c>
      <c r="G11327" s="3">
        <v>17.88</v>
      </c>
    </row>
    <row r="11328">
      <c r="A11328" s="3">
        <v>785864.0</v>
      </c>
      <c r="B11328" s="3" t="s">
        <v>11356</v>
      </c>
      <c r="C11328" s="3" t="s">
        <v>1464</v>
      </c>
      <c r="D11328" s="3">
        <v>209.0</v>
      </c>
      <c r="E11328" s="3">
        <v>9.59</v>
      </c>
      <c r="F11328" s="3">
        <v>14.13</v>
      </c>
      <c r="G11328" s="3">
        <v>17.43</v>
      </c>
    </row>
    <row r="11329">
      <c r="A11329" s="3">
        <v>785865.0</v>
      </c>
      <c r="B11329" s="3" t="s">
        <v>11357</v>
      </c>
      <c r="C11329" s="3" t="s">
        <v>1464</v>
      </c>
      <c r="D11329" s="3">
        <v>252.0</v>
      </c>
      <c r="E11329" s="3">
        <v>14.07</v>
      </c>
      <c r="F11329" s="3">
        <v>10.05</v>
      </c>
      <c r="G11329" s="3">
        <v>23.12</v>
      </c>
    </row>
    <row r="11330">
      <c r="A11330" s="3">
        <v>785866.0</v>
      </c>
      <c r="B11330" s="3" t="s">
        <v>11358</v>
      </c>
      <c r="C11330" s="3" t="s">
        <v>1464</v>
      </c>
      <c r="D11330" s="3">
        <v>216.0</v>
      </c>
      <c r="E11330" s="3">
        <v>12.63</v>
      </c>
      <c r="F11330" s="3">
        <v>6.28</v>
      </c>
      <c r="G11330" s="3">
        <v>20.08</v>
      </c>
    </row>
    <row r="11331">
      <c r="A11331" s="3">
        <v>785867.0</v>
      </c>
      <c r="B11331" s="3" t="s">
        <v>11359</v>
      </c>
      <c r="C11331" s="3" t="s">
        <v>1464</v>
      </c>
      <c r="D11331" s="3">
        <v>208.0</v>
      </c>
      <c r="E11331" s="3">
        <v>10.44</v>
      </c>
      <c r="F11331" s="3">
        <v>13.11</v>
      </c>
      <c r="G11331" s="3">
        <v>16.31</v>
      </c>
    </row>
    <row r="11332">
      <c r="A11332" s="3">
        <v>785868.0</v>
      </c>
      <c r="B11332" s="3" t="s">
        <v>11360</v>
      </c>
      <c r="C11332" s="3" t="s">
        <v>1464</v>
      </c>
      <c r="D11332" s="3">
        <v>209.0</v>
      </c>
      <c r="E11332" s="3">
        <v>9.32</v>
      </c>
      <c r="F11332" s="3">
        <v>6.52</v>
      </c>
      <c r="G11332" s="3">
        <v>25.58</v>
      </c>
    </row>
    <row r="11333">
      <c r="A11333" s="3">
        <v>785869.0</v>
      </c>
      <c r="B11333" s="3" t="s">
        <v>11361</v>
      </c>
      <c r="C11333" s="3" t="s">
        <v>1464</v>
      </c>
      <c r="D11333" s="3">
        <v>208.0</v>
      </c>
      <c r="E11333" s="3">
        <v>10.22</v>
      </c>
      <c r="F11333" s="3">
        <v>6.15</v>
      </c>
      <c r="G11333" s="3">
        <v>23.72</v>
      </c>
    </row>
    <row r="11334">
      <c r="A11334" s="3">
        <v>785870.0</v>
      </c>
      <c r="B11334" s="3" t="s">
        <v>11362</v>
      </c>
      <c r="C11334" s="3" t="s">
        <v>1464</v>
      </c>
      <c r="D11334" s="3">
        <v>247.0</v>
      </c>
      <c r="E11334" s="3">
        <v>13.89</v>
      </c>
      <c r="F11334" s="3">
        <v>9.01</v>
      </c>
      <c r="G11334" s="3">
        <v>22.03</v>
      </c>
    </row>
    <row r="11335">
      <c r="A11335" s="3">
        <v>785871.0</v>
      </c>
      <c r="B11335" s="3" t="s">
        <v>11363</v>
      </c>
      <c r="C11335" s="3" t="s">
        <v>1464</v>
      </c>
      <c r="D11335" s="3">
        <v>250.0</v>
      </c>
      <c r="E11335" s="3">
        <v>13.06</v>
      </c>
      <c r="F11335" s="3">
        <v>9.7</v>
      </c>
      <c r="G11335" s="3">
        <v>23.87</v>
      </c>
    </row>
    <row r="11336">
      <c r="A11336" s="3">
        <v>785872.0</v>
      </c>
      <c r="B11336" s="3" t="s">
        <v>11364</v>
      </c>
      <c r="C11336" s="3" t="s">
        <v>1464</v>
      </c>
      <c r="D11336" s="3">
        <v>242.0</v>
      </c>
      <c r="E11336" s="3">
        <v>12.97</v>
      </c>
      <c r="F11336" s="3">
        <v>9.86</v>
      </c>
      <c r="G11336" s="3">
        <v>22.11</v>
      </c>
    </row>
    <row r="11337">
      <c r="A11337" s="3">
        <v>785873.0</v>
      </c>
      <c r="B11337" s="3" t="s">
        <v>11365</v>
      </c>
      <c r="C11337" s="3" t="s">
        <v>1464</v>
      </c>
      <c r="D11337" s="3">
        <v>248.0</v>
      </c>
      <c r="E11337" s="3">
        <v>12.14</v>
      </c>
      <c r="F11337" s="3">
        <v>10.83</v>
      </c>
      <c r="G11337" s="3">
        <v>24.4</v>
      </c>
    </row>
    <row r="11338">
      <c r="A11338" s="3">
        <v>785874.0</v>
      </c>
      <c r="B11338" s="3" t="s">
        <v>11366</v>
      </c>
      <c r="C11338" s="3" t="s">
        <v>1464</v>
      </c>
      <c r="D11338" s="3">
        <v>260.0</v>
      </c>
      <c r="E11338" s="3">
        <v>12.55</v>
      </c>
      <c r="F11338" s="3">
        <v>9.15</v>
      </c>
      <c r="G11338" s="3">
        <v>27.83</v>
      </c>
    </row>
    <row r="11339">
      <c r="A11339" s="3">
        <v>785875.0</v>
      </c>
      <c r="B11339" s="3" t="s">
        <v>11367</v>
      </c>
      <c r="C11339" s="3" t="s">
        <v>1464</v>
      </c>
      <c r="D11339" s="3">
        <v>225.0</v>
      </c>
      <c r="E11339" s="3">
        <v>10.04</v>
      </c>
      <c r="F11339" s="3">
        <v>7.11</v>
      </c>
      <c r="G11339" s="3">
        <v>26.92</v>
      </c>
    </row>
    <row r="11340">
      <c r="A11340" s="3">
        <v>785876.0</v>
      </c>
      <c r="B11340" s="3" t="s">
        <v>11368</v>
      </c>
      <c r="C11340" s="3" t="s">
        <v>1464</v>
      </c>
      <c r="D11340" s="3">
        <v>272.0</v>
      </c>
      <c r="E11340" s="3">
        <v>12.65</v>
      </c>
      <c r="F11340" s="3">
        <v>10.1</v>
      </c>
      <c r="G11340" s="3">
        <v>29.56</v>
      </c>
    </row>
    <row r="11341">
      <c r="A11341" s="3">
        <v>785877.0</v>
      </c>
      <c r="B11341" s="3" t="s">
        <v>11369</v>
      </c>
      <c r="C11341" s="3" t="s">
        <v>1464</v>
      </c>
      <c r="D11341" s="3">
        <v>282.0</v>
      </c>
      <c r="E11341" s="3">
        <v>15.3</v>
      </c>
      <c r="F11341" s="3">
        <v>9.0</v>
      </c>
      <c r="G11341" s="3">
        <v>27.23</v>
      </c>
    </row>
    <row r="11342">
      <c r="A11342" s="3">
        <v>785878.0</v>
      </c>
      <c r="B11342" s="3" t="s">
        <v>11370</v>
      </c>
      <c r="C11342" s="3" t="s">
        <v>1464</v>
      </c>
      <c r="D11342" s="3">
        <v>223.0</v>
      </c>
      <c r="E11342" s="3">
        <v>10.89</v>
      </c>
      <c r="F11342" s="3">
        <v>6.68</v>
      </c>
      <c r="G11342" s="3">
        <v>24.89</v>
      </c>
    </row>
    <row r="11343">
      <c r="A11343" s="3">
        <v>785879.0</v>
      </c>
      <c r="B11343" s="3" t="s">
        <v>11371</v>
      </c>
      <c r="C11343" s="3" t="s">
        <v>1464</v>
      </c>
      <c r="D11343" s="3">
        <v>266.0</v>
      </c>
      <c r="E11343" s="3">
        <v>13.55</v>
      </c>
      <c r="F11343" s="3">
        <v>9.33</v>
      </c>
      <c r="G11343" s="3">
        <v>27.02</v>
      </c>
    </row>
    <row r="11344">
      <c r="A11344" s="3">
        <v>785880.0</v>
      </c>
      <c r="B11344" s="3" t="s">
        <v>11372</v>
      </c>
      <c r="C11344" s="3" t="s">
        <v>1464</v>
      </c>
      <c r="D11344" s="3">
        <v>343.0</v>
      </c>
      <c r="E11344" s="3">
        <v>17.75</v>
      </c>
      <c r="F11344" s="3">
        <v>12.63</v>
      </c>
      <c r="G11344" s="3">
        <v>32.76</v>
      </c>
    </row>
    <row r="11345">
      <c r="A11345" s="3">
        <v>785881.0</v>
      </c>
      <c r="B11345" s="3" t="s">
        <v>11373</v>
      </c>
      <c r="C11345" s="3" t="s">
        <v>1464</v>
      </c>
      <c r="D11345" s="3">
        <v>346.0</v>
      </c>
      <c r="E11345" s="3">
        <v>18.96</v>
      </c>
      <c r="F11345" s="3">
        <v>13.28</v>
      </c>
      <c r="G11345" s="3">
        <v>30.07</v>
      </c>
    </row>
    <row r="11346">
      <c r="A11346" s="3">
        <v>785882.0</v>
      </c>
      <c r="B11346" s="3" t="s">
        <v>11374</v>
      </c>
      <c r="C11346" s="3" t="s">
        <v>1464</v>
      </c>
      <c r="D11346" s="3">
        <v>326.0</v>
      </c>
      <c r="E11346" s="3">
        <v>16.58</v>
      </c>
      <c r="F11346" s="3">
        <v>14.4</v>
      </c>
      <c r="G11346" s="3">
        <v>29.28</v>
      </c>
    </row>
    <row r="11347">
      <c r="A11347" s="3">
        <v>785885.0</v>
      </c>
      <c r="B11347" s="3" t="s">
        <v>11375</v>
      </c>
      <c r="C11347" s="3" t="s">
        <v>1464</v>
      </c>
      <c r="D11347" s="3">
        <v>307.0</v>
      </c>
      <c r="E11347" s="3">
        <v>15.74</v>
      </c>
      <c r="F11347" s="3">
        <v>11.3</v>
      </c>
      <c r="G11347" s="3">
        <v>29.64</v>
      </c>
    </row>
    <row r="11348">
      <c r="A11348" s="3">
        <v>785886.0</v>
      </c>
      <c r="B11348" s="3" t="s">
        <v>11376</v>
      </c>
      <c r="C11348" s="3" t="s">
        <v>1464</v>
      </c>
      <c r="D11348" s="3">
        <v>317.0</v>
      </c>
      <c r="E11348" s="3">
        <v>16.16</v>
      </c>
      <c r="F11348" s="3">
        <v>12.84</v>
      </c>
      <c r="G11348" s="3">
        <v>29.46</v>
      </c>
    </row>
    <row r="11349">
      <c r="A11349" s="3">
        <v>785887.0</v>
      </c>
      <c r="B11349" s="3" t="s">
        <v>11377</v>
      </c>
      <c r="C11349" s="3" t="s">
        <v>1464</v>
      </c>
      <c r="D11349" s="3">
        <v>315.0</v>
      </c>
      <c r="E11349" s="3">
        <v>16.13</v>
      </c>
      <c r="F11349" s="3">
        <v>12.72</v>
      </c>
      <c r="G11349" s="3">
        <v>29.45</v>
      </c>
    </row>
    <row r="11350">
      <c r="A11350" s="3">
        <v>785888.0</v>
      </c>
      <c r="B11350" s="3" t="s">
        <v>11378</v>
      </c>
      <c r="C11350" s="3" t="s">
        <v>1464</v>
      </c>
      <c r="D11350" s="3">
        <v>269.0</v>
      </c>
      <c r="E11350" s="3">
        <v>11.18</v>
      </c>
      <c r="F11350" s="3">
        <v>10.4</v>
      </c>
      <c r="G11350" s="3">
        <v>33.27</v>
      </c>
    </row>
    <row r="11351">
      <c r="A11351" s="3">
        <v>785893.0</v>
      </c>
      <c r="B11351" s="3" t="s">
        <v>11379</v>
      </c>
      <c r="C11351" s="3" t="s">
        <v>2807</v>
      </c>
      <c r="D11351" s="3">
        <v>255.0</v>
      </c>
      <c r="E11351" s="3">
        <v>11.39</v>
      </c>
      <c r="F11351" s="3">
        <v>10.06</v>
      </c>
      <c r="G11351" s="3">
        <v>27.37</v>
      </c>
    </row>
    <row r="11352">
      <c r="A11352" s="3">
        <v>785894.0</v>
      </c>
      <c r="B11352" s="3" t="s">
        <v>11380</v>
      </c>
      <c r="C11352" s="3" t="s">
        <v>2807</v>
      </c>
      <c r="D11352" s="3">
        <v>267.0</v>
      </c>
      <c r="E11352" s="3">
        <v>12.7</v>
      </c>
      <c r="F11352" s="3">
        <v>11.38</v>
      </c>
      <c r="G11352" s="3">
        <v>25.94</v>
      </c>
    </row>
    <row r="11353">
      <c r="A11353" s="3">
        <v>785895.0</v>
      </c>
      <c r="B11353" s="3" t="s">
        <v>11381</v>
      </c>
      <c r="C11353" s="3" t="s">
        <v>1464</v>
      </c>
      <c r="D11353" s="3">
        <v>161.0</v>
      </c>
      <c r="E11353" s="3">
        <v>7.13</v>
      </c>
      <c r="F11353" s="3">
        <v>9.72</v>
      </c>
      <c r="G11353" s="3">
        <v>14.76</v>
      </c>
    </row>
    <row r="11354">
      <c r="A11354" s="3">
        <v>785896.0</v>
      </c>
      <c r="B11354" s="3" t="s">
        <v>11382</v>
      </c>
      <c r="C11354" s="3" t="s">
        <v>1464</v>
      </c>
      <c r="D11354" s="3">
        <v>165.0</v>
      </c>
      <c r="E11354" s="3">
        <v>6.99</v>
      </c>
      <c r="F11354" s="3">
        <v>10.41</v>
      </c>
      <c r="G11354" s="3">
        <v>14.76</v>
      </c>
    </row>
    <row r="11355">
      <c r="A11355" s="3">
        <v>785897.0</v>
      </c>
      <c r="B11355" s="3" t="s">
        <v>11383</v>
      </c>
      <c r="C11355" s="3" t="s">
        <v>1464</v>
      </c>
      <c r="D11355" s="3">
        <v>161.0</v>
      </c>
      <c r="E11355" s="3">
        <v>8.61</v>
      </c>
      <c r="F11355" s="3">
        <v>5.47</v>
      </c>
      <c r="G11355" s="3">
        <v>15.89</v>
      </c>
    </row>
    <row r="11356">
      <c r="A11356" s="3">
        <v>785899.0</v>
      </c>
      <c r="B11356" s="3" t="s">
        <v>11384</v>
      </c>
      <c r="C11356" s="3" t="s">
        <v>1464</v>
      </c>
      <c r="D11356" s="3">
        <v>181.0</v>
      </c>
      <c r="E11356" s="3">
        <v>4.84</v>
      </c>
      <c r="F11356" s="3">
        <v>5.71</v>
      </c>
      <c r="G11356" s="3">
        <v>29.79</v>
      </c>
    </row>
    <row r="11357">
      <c r="A11357" s="3">
        <v>785908.0</v>
      </c>
      <c r="B11357" s="3" t="s">
        <v>11385</v>
      </c>
      <c r="C11357" s="3" t="s">
        <v>8</v>
      </c>
      <c r="D11357" s="3">
        <v>250.0</v>
      </c>
      <c r="E11357" s="3">
        <v>8.59</v>
      </c>
      <c r="F11357" s="3">
        <v>13.67</v>
      </c>
      <c r="G11357" s="3">
        <v>29.7</v>
      </c>
    </row>
    <row r="11358">
      <c r="A11358" s="3">
        <v>785911.0</v>
      </c>
      <c r="B11358" s="3" t="s">
        <v>11386</v>
      </c>
      <c r="C11358" s="3" t="s">
        <v>8</v>
      </c>
      <c r="D11358" s="3">
        <v>302.0</v>
      </c>
      <c r="E11358" s="3">
        <v>14.28</v>
      </c>
      <c r="F11358" s="3">
        <v>13.46</v>
      </c>
      <c r="G11358" s="3">
        <v>29.76</v>
      </c>
    </row>
    <row r="11359">
      <c r="A11359" s="3">
        <v>785912.0</v>
      </c>
      <c r="B11359" s="3" t="s">
        <v>11387</v>
      </c>
      <c r="C11359" s="3" t="s">
        <v>8</v>
      </c>
      <c r="D11359" s="3">
        <v>272.0</v>
      </c>
      <c r="E11359" s="3">
        <v>10.97</v>
      </c>
      <c r="F11359" s="3">
        <v>11.42</v>
      </c>
      <c r="G11359" s="3">
        <v>31.88</v>
      </c>
    </row>
    <row r="11360">
      <c r="A11360" s="3">
        <v>785913.0</v>
      </c>
      <c r="B11360" s="3" t="s">
        <v>11388</v>
      </c>
      <c r="C11360" s="3" t="s">
        <v>8</v>
      </c>
      <c r="D11360" s="3">
        <v>240.0</v>
      </c>
      <c r="E11360" s="3">
        <v>10.81</v>
      </c>
      <c r="F11360" s="3">
        <v>9.24</v>
      </c>
      <c r="G11360" s="3">
        <v>26.51</v>
      </c>
    </row>
    <row r="11361">
      <c r="A11361" s="3">
        <v>785914.0</v>
      </c>
      <c r="B11361" s="3" t="s">
        <v>11389</v>
      </c>
      <c r="C11361" s="3" t="s">
        <v>8</v>
      </c>
      <c r="D11361" s="3">
        <v>245.0</v>
      </c>
      <c r="E11361" s="3">
        <v>8.22</v>
      </c>
      <c r="F11361" s="3">
        <v>11.64</v>
      </c>
      <c r="G11361" s="3">
        <v>31.31</v>
      </c>
    </row>
    <row r="11362">
      <c r="A11362" s="3">
        <v>785915.0</v>
      </c>
      <c r="B11362" s="3" t="s">
        <v>11390</v>
      </c>
      <c r="C11362" s="3" t="s">
        <v>8</v>
      </c>
      <c r="D11362" s="3">
        <v>265.0</v>
      </c>
      <c r="E11362" s="3">
        <v>12.03</v>
      </c>
      <c r="F11362" s="3">
        <v>11.22</v>
      </c>
      <c r="G11362" s="3">
        <v>28.02</v>
      </c>
    </row>
    <row r="11363">
      <c r="A11363" s="3">
        <v>785916.0</v>
      </c>
      <c r="B11363" s="3" t="s">
        <v>11391</v>
      </c>
      <c r="C11363" s="3" t="s">
        <v>8</v>
      </c>
      <c r="D11363" s="3">
        <v>242.0</v>
      </c>
      <c r="E11363" s="3">
        <v>8.69</v>
      </c>
      <c r="F11363" s="3">
        <v>10.31</v>
      </c>
      <c r="G11363" s="3">
        <v>30.71</v>
      </c>
    </row>
    <row r="11364">
      <c r="A11364" s="3">
        <v>785917.0</v>
      </c>
      <c r="B11364" s="3" t="s">
        <v>11392</v>
      </c>
      <c r="C11364" s="3" t="s">
        <v>8</v>
      </c>
      <c r="D11364" s="3">
        <v>245.0</v>
      </c>
      <c r="E11364" s="3">
        <v>9.39</v>
      </c>
      <c r="F11364" s="3">
        <v>9.74</v>
      </c>
      <c r="G11364" s="3">
        <v>30.43</v>
      </c>
    </row>
    <row r="11365">
      <c r="A11365" s="3">
        <v>785918.0</v>
      </c>
      <c r="B11365" s="3" t="s">
        <v>11393</v>
      </c>
      <c r="C11365" s="3" t="s">
        <v>8</v>
      </c>
      <c r="D11365" s="3">
        <v>233.0</v>
      </c>
      <c r="E11365" s="3">
        <v>10.86</v>
      </c>
      <c r="F11365" s="3">
        <v>9.63</v>
      </c>
      <c r="G11365" s="3">
        <v>24.46</v>
      </c>
    </row>
    <row r="11366">
      <c r="A11366" s="3">
        <v>785919.0</v>
      </c>
      <c r="B11366" s="3" t="s">
        <v>11394</v>
      </c>
      <c r="C11366" s="3" t="s">
        <v>8</v>
      </c>
      <c r="D11366" s="3">
        <v>220.0</v>
      </c>
      <c r="E11366" s="3">
        <v>8.22</v>
      </c>
      <c r="F11366" s="3">
        <v>9.21</v>
      </c>
      <c r="G11366" s="3">
        <v>27.64</v>
      </c>
    </row>
    <row r="11367">
      <c r="A11367" s="3">
        <v>785920.0</v>
      </c>
      <c r="B11367" s="3" t="s">
        <v>11395</v>
      </c>
      <c r="C11367" s="3" t="s">
        <v>8</v>
      </c>
      <c r="D11367" s="3">
        <v>240.0</v>
      </c>
      <c r="E11367" s="3">
        <v>9.45</v>
      </c>
      <c r="F11367" s="3">
        <v>9.46</v>
      </c>
      <c r="G11367" s="3">
        <v>29.46</v>
      </c>
    </row>
    <row r="11368">
      <c r="A11368" s="3">
        <v>785921.0</v>
      </c>
      <c r="B11368" s="3" t="s">
        <v>11396</v>
      </c>
      <c r="C11368" s="3" t="s">
        <v>8</v>
      </c>
      <c r="D11368" s="3">
        <v>260.0</v>
      </c>
      <c r="E11368" s="3">
        <v>11.56</v>
      </c>
      <c r="F11368" s="3">
        <v>10.72</v>
      </c>
      <c r="G11368" s="3">
        <v>28.5</v>
      </c>
    </row>
    <row r="11369">
      <c r="A11369" s="3">
        <v>785922.0</v>
      </c>
      <c r="B11369" s="3" t="s">
        <v>11397</v>
      </c>
      <c r="C11369" s="3" t="s">
        <v>8</v>
      </c>
      <c r="D11369" s="3">
        <v>239.0</v>
      </c>
      <c r="E11369" s="3">
        <v>8.43</v>
      </c>
      <c r="F11369" s="3">
        <v>9.96</v>
      </c>
      <c r="G11369" s="3">
        <v>31.0</v>
      </c>
    </row>
    <row r="11370">
      <c r="A11370" s="3">
        <v>785923.0</v>
      </c>
      <c r="B11370" s="3" t="s">
        <v>11398</v>
      </c>
      <c r="C11370" s="3" t="s">
        <v>8</v>
      </c>
      <c r="D11370" s="3">
        <v>246.0</v>
      </c>
      <c r="E11370" s="3">
        <v>9.29</v>
      </c>
      <c r="F11370" s="3">
        <v>9.58</v>
      </c>
      <c r="G11370" s="3">
        <v>31.06</v>
      </c>
    </row>
    <row r="11371">
      <c r="A11371" s="3">
        <v>785924.0</v>
      </c>
      <c r="B11371" s="3" t="s">
        <v>11399</v>
      </c>
      <c r="C11371" s="3" t="s">
        <v>8</v>
      </c>
      <c r="D11371" s="3">
        <v>274.0</v>
      </c>
      <c r="E11371" s="3">
        <v>12.71</v>
      </c>
      <c r="F11371" s="3">
        <v>12.25</v>
      </c>
      <c r="G11371" s="3">
        <v>27.52</v>
      </c>
    </row>
    <row r="11372">
      <c r="A11372" s="3">
        <v>785925.0</v>
      </c>
      <c r="B11372" s="3" t="s">
        <v>11400</v>
      </c>
      <c r="C11372" s="3" t="s">
        <v>8</v>
      </c>
      <c r="D11372" s="3">
        <v>271.0</v>
      </c>
      <c r="E11372" s="3">
        <v>11.38</v>
      </c>
      <c r="F11372" s="3">
        <v>12.43</v>
      </c>
      <c r="G11372" s="3">
        <v>29.68</v>
      </c>
    </row>
    <row r="11373">
      <c r="A11373" s="3">
        <v>785926.0</v>
      </c>
      <c r="B11373" s="3" t="s">
        <v>11401</v>
      </c>
      <c r="C11373" s="3" t="s">
        <v>8</v>
      </c>
      <c r="D11373" s="3">
        <v>268.0</v>
      </c>
      <c r="E11373" s="3">
        <v>10.05</v>
      </c>
      <c r="F11373" s="3">
        <v>12.6</v>
      </c>
      <c r="G11373" s="3">
        <v>31.83</v>
      </c>
    </row>
    <row r="11374">
      <c r="A11374" s="3">
        <v>785931.0</v>
      </c>
      <c r="B11374" s="3" t="s">
        <v>11402</v>
      </c>
      <c r="C11374" s="3" t="s">
        <v>8</v>
      </c>
      <c r="D11374" s="3">
        <v>296.0</v>
      </c>
      <c r="E11374" s="3">
        <v>15.01</v>
      </c>
      <c r="F11374" s="3">
        <v>12.92</v>
      </c>
      <c r="G11374" s="3">
        <v>27.19</v>
      </c>
    </row>
    <row r="11375">
      <c r="A11375" s="3">
        <v>785933.0</v>
      </c>
      <c r="B11375" s="3" t="s">
        <v>11403</v>
      </c>
      <c r="C11375" s="3" t="s">
        <v>8</v>
      </c>
      <c r="D11375" s="3">
        <v>256.0</v>
      </c>
      <c r="E11375" s="3">
        <v>9.22</v>
      </c>
      <c r="F11375" s="3">
        <v>13.56</v>
      </c>
      <c r="G11375" s="3">
        <v>29.77</v>
      </c>
    </row>
    <row r="11376">
      <c r="A11376" s="3">
        <v>785935.0</v>
      </c>
      <c r="B11376" s="3" t="s">
        <v>11404</v>
      </c>
      <c r="C11376" s="3" t="s">
        <v>8</v>
      </c>
      <c r="D11376" s="3">
        <v>269.0</v>
      </c>
      <c r="E11376" s="3">
        <v>12.18</v>
      </c>
      <c r="F11376" s="3">
        <v>12.4</v>
      </c>
      <c r="G11376" s="3">
        <v>27.13</v>
      </c>
    </row>
    <row r="11377">
      <c r="A11377" s="3">
        <v>785936.0</v>
      </c>
      <c r="B11377" s="3" t="s">
        <v>11405</v>
      </c>
      <c r="C11377" s="3" t="s">
        <v>8</v>
      </c>
      <c r="D11377" s="3">
        <v>266.0</v>
      </c>
      <c r="E11377" s="3">
        <v>10.94</v>
      </c>
      <c r="F11377" s="3">
        <v>12.56</v>
      </c>
      <c r="G11377" s="3">
        <v>29.3</v>
      </c>
    </row>
    <row r="11378">
      <c r="A11378" s="3">
        <v>785937.0</v>
      </c>
      <c r="B11378" s="3" t="s">
        <v>11406</v>
      </c>
      <c r="C11378" s="3" t="s">
        <v>8</v>
      </c>
      <c r="D11378" s="3">
        <v>264.0</v>
      </c>
      <c r="E11378" s="3">
        <v>9.71</v>
      </c>
      <c r="F11378" s="3">
        <v>12.71</v>
      </c>
      <c r="G11378" s="3">
        <v>31.48</v>
      </c>
    </row>
    <row r="11379">
      <c r="A11379" s="3">
        <v>785942.0</v>
      </c>
      <c r="B11379" s="3" t="s">
        <v>11407</v>
      </c>
      <c r="C11379" s="3" t="s">
        <v>8</v>
      </c>
      <c r="D11379" s="3">
        <v>281.0</v>
      </c>
      <c r="E11379" s="3">
        <v>13.16</v>
      </c>
      <c r="F11379" s="3">
        <v>12.9</v>
      </c>
      <c r="G11379" s="3">
        <v>27.49</v>
      </c>
    </row>
    <row r="11380">
      <c r="A11380" s="3">
        <v>785943.0</v>
      </c>
      <c r="B11380" s="3" t="s">
        <v>11408</v>
      </c>
      <c r="C11380" s="3" t="s">
        <v>8</v>
      </c>
      <c r="D11380" s="3">
        <v>254.0</v>
      </c>
      <c r="E11380" s="3">
        <v>8.45</v>
      </c>
      <c r="F11380" s="3">
        <v>12.94</v>
      </c>
      <c r="G11380" s="3">
        <v>31.41</v>
      </c>
    </row>
    <row r="11381">
      <c r="A11381" s="3">
        <v>785946.0</v>
      </c>
      <c r="B11381" s="3" t="s">
        <v>11409</v>
      </c>
      <c r="C11381" s="3" t="s">
        <v>8</v>
      </c>
      <c r="D11381" s="3">
        <v>306.0</v>
      </c>
      <c r="E11381" s="3">
        <v>16.51</v>
      </c>
      <c r="F11381" s="3">
        <v>16.04</v>
      </c>
      <c r="G11381" s="3">
        <v>22.86</v>
      </c>
    </row>
    <row r="11382">
      <c r="A11382" s="3">
        <v>785947.0</v>
      </c>
      <c r="B11382" s="3" t="s">
        <v>11410</v>
      </c>
      <c r="C11382" s="3" t="s">
        <v>8</v>
      </c>
      <c r="D11382" s="3">
        <v>277.0</v>
      </c>
      <c r="E11382" s="3">
        <v>12.46</v>
      </c>
      <c r="F11382" s="3">
        <v>14.05</v>
      </c>
      <c r="G11382" s="3">
        <v>26.73</v>
      </c>
    </row>
    <row r="11383">
      <c r="A11383" s="3">
        <v>785948.0</v>
      </c>
      <c r="B11383" s="3" t="s">
        <v>11411</v>
      </c>
      <c r="C11383" s="3" t="s">
        <v>8</v>
      </c>
      <c r="D11383" s="3">
        <v>280.0</v>
      </c>
      <c r="E11383" s="3">
        <v>13.08</v>
      </c>
      <c r="F11383" s="3">
        <v>13.53</v>
      </c>
      <c r="G11383" s="3">
        <v>26.75</v>
      </c>
    </row>
    <row r="11384">
      <c r="A11384" s="3">
        <v>785952.0</v>
      </c>
      <c r="B11384" s="3" t="s">
        <v>11412</v>
      </c>
      <c r="C11384" s="3" t="s">
        <v>8</v>
      </c>
      <c r="D11384" s="3">
        <v>271.0</v>
      </c>
      <c r="E11384" s="3">
        <v>13.2</v>
      </c>
      <c r="F11384" s="3">
        <v>12.72</v>
      </c>
      <c r="G11384" s="3">
        <v>25.12</v>
      </c>
    </row>
    <row r="11385">
      <c r="A11385" s="3">
        <v>785954.0</v>
      </c>
      <c r="B11385" s="3" t="s">
        <v>11413</v>
      </c>
      <c r="C11385" s="3" t="s">
        <v>8</v>
      </c>
      <c r="D11385" s="3">
        <v>260.0</v>
      </c>
      <c r="E11385" s="3">
        <v>10.56</v>
      </c>
      <c r="F11385" s="3">
        <v>10.97</v>
      </c>
      <c r="G11385" s="3">
        <v>30.16</v>
      </c>
    </row>
    <row r="11386">
      <c r="A11386" s="3">
        <v>785955.0</v>
      </c>
      <c r="B11386" s="3" t="s">
        <v>11414</v>
      </c>
      <c r="C11386" s="3" t="s">
        <v>8</v>
      </c>
      <c r="D11386" s="3">
        <v>248.0</v>
      </c>
      <c r="E11386" s="3">
        <v>12.06</v>
      </c>
      <c r="F11386" s="3">
        <v>12.53</v>
      </c>
      <c r="G11386" s="3">
        <v>22.4</v>
      </c>
    </row>
    <row r="11387">
      <c r="A11387" s="3">
        <v>785956.0</v>
      </c>
      <c r="B11387" s="3" t="s">
        <v>11415</v>
      </c>
      <c r="C11387" s="3" t="s">
        <v>8</v>
      </c>
      <c r="D11387" s="3">
        <v>240.0</v>
      </c>
      <c r="E11387" s="3">
        <v>10.01</v>
      </c>
      <c r="F11387" s="3">
        <v>11.06</v>
      </c>
      <c r="G11387" s="3">
        <v>26.53</v>
      </c>
    </row>
    <row r="11388">
      <c r="A11388" s="3">
        <v>785957.0</v>
      </c>
      <c r="B11388" s="3" t="s">
        <v>11416</v>
      </c>
      <c r="C11388" s="3" t="s">
        <v>8</v>
      </c>
      <c r="D11388" s="3">
        <v>234.0</v>
      </c>
      <c r="E11388" s="3">
        <v>9.33</v>
      </c>
      <c r="F11388" s="3">
        <v>11.51</v>
      </c>
      <c r="G11388" s="3">
        <v>26.1</v>
      </c>
    </row>
    <row r="11389">
      <c r="A11389" s="3">
        <v>785958.0</v>
      </c>
      <c r="B11389" s="3" t="s">
        <v>11417</v>
      </c>
      <c r="C11389" s="3" t="s">
        <v>8</v>
      </c>
      <c r="D11389" s="3">
        <v>254.0</v>
      </c>
      <c r="E11389" s="3">
        <v>11.51</v>
      </c>
      <c r="F11389" s="3">
        <v>11.98</v>
      </c>
      <c r="G11389" s="3">
        <v>25.6</v>
      </c>
    </row>
    <row r="11390">
      <c r="A11390" s="3">
        <v>785959.0</v>
      </c>
      <c r="B11390" s="3" t="s">
        <v>11418</v>
      </c>
      <c r="C11390" s="3" t="s">
        <v>8</v>
      </c>
      <c r="D11390" s="3">
        <v>234.0</v>
      </c>
      <c r="E11390" s="3">
        <v>8.58</v>
      </c>
      <c r="F11390" s="3">
        <v>10.98</v>
      </c>
      <c r="G11390" s="3">
        <v>28.36</v>
      </c>
    </row>
    <row r="11391">
      <c r="A11391" s="3">
        <v>785960.0</v>
      </c>
      <c r="B11391" s="3" t="s">
        <v>11419</v>
      </c>
      <c r="C11391" s="3" t="s">
        <v>8</v>
      </c>
      <c r="D11391" s="3">
        <v>245.0</v>
      </c>
      <c r="E11391" s="3">
        <v>9.52</v>
      </c>
      <c r="F11391" s="3">
        <v>10.58</v>
      </c>
      <c r="G11391" s="3">
        <v>29.26</v>
      </c>
    </row>
    <row r="11392">
      <c r="A11392" s="3">
        <v>785961.0</v>
      </c>
      <c r="B11392" s="3" t="s">
        <v>11420</v>
      </c>
      <c r="C11392" s="3" t="s">
        <v>8</v>
      </c>
      <c r="D11392" s="3">
        <v>226.0</v>
      </c>
      <c r="E11392" s="3">
        <v>9.48</v>
      </c>
      <c r="F11392" s="3">
        <v>10.24</v>
      </c>
      <c r="G11392" s="3">
        <v>25.22</v>
      </c>
    </row>
    <row r="11393">
      <c r="A11393" s="3">
        <v>785962.0</v>
      </c>
      <c r="B11393" s="3" t="s">
        <v>11421</v>
      </c>
      <c r="C11393" s="3" t="s">
        <v>8</v>
      </c>
      <c r="D11393" s="3">
        <v>225.0</v>
      </c>
      <c r="E11393" s="3">
        <v>8.18</v>
      </c>
      <c r="F11393" s="3">
        <v>9.44</v>
      </c>
      <c r="G11393" s="3">
        <v>28.48</v>
      </c>
    </row>
    <row r="11394">
      <c r="A11394" s="3">
        <v>785963.0</v>
      </c>
      <c r="B11394" s="3" t="s">
        <v>11422</v>
      </c>
      <c r="C11394" s="3" t="s">
        <v>8</v>
      </c>
      <c r="D11394" s="3">
        <v>276.0</v>
      </c>
      <c r="E11394" s="3">
        <v>13.64</v>
      </c>
      <c r="F11394" s="3">
        <v>7.38</v>
      </c>
      <c r="G11394" s="3">
        <v>30.77</v>
      </c>
    </row>
    <row r="11395">
      <c r="A11395" s="3">
        <v>785964.0</v>
      </c>
      <c r="B11395" s="3" t="s">
        <v>11423</v>
      </c>
      <c r="C11395" s="3" t="s">
        <v>8</v>
      </c>
      <c r="D11395" s="3">
        <v>292.0</v>
      </c>
      <c r="E11395" s="3">
        <v>12.13</v>
      </c>
      <c r="F11395" s="3">
        <v>7.41</v>
      </c>
      <c r="G11395" s="3">
        <v>37.95</v>
      </c>
    </row>
    <row r="11396">
      <c r="A11396" s="3">
        <v>785965.0</v>
      </c>
      <c r="B11396" s="3" t="s">
        <v>11424</v>
      </c>
      <c r="C11396" s="3" t="s">
        <v>8</v>
      </c>
      <c r="D11396" s="3">
        <v>294.0</v>
      </c>
      <c r="E11396" s="3">
        <v>14.88</v>
      </c>
      <c r="F11396" s="3">
        <v>12.18</v>
      </c>
      <c r="G11396" s="3">
        <v>27.48</v>
      </c>
    </row>
    <row r="11397">
      <c r="A11397" s="3">
        <v>785966.0</v>
      </c>
      <c r="B11397" s="3" t="s">
        <v>11425</v>
      </c>
      <c r="C11397" s="3" t="s">
        <v>8</v>
      </c>
      <c r="D11397" s="3">
        <v>289.0</v>
      </c>
      <c r="E11397" s="3">
        <v>12.53</v>
      </c>
      <c r="F11397" s="3">
        <v>11.48</v>
      </c>
      <c r="G11397" s="3">
        <v>32.16</v>
      </c>
    </row>
    <row r="11398">
      <c r="A11398" s="3">
        <v>785967.0</v>
      </c>
      <c r="B11398" s="3" t="s">
        <v>11426</v>
      </c>
      <c r="C11398" s="3" t="s">
        <v>8</v>
      </c>
      <c r="D11398" s="3">
        <v>248.0</v>
      </c>
      <c r="E11398" s="3">
        <v>12.65</v>
      </c>
      <c r="F11398" s="3">
        <v>9.95</v>
      </c>
      <c r="G11398" s="3">
        <v>23.53</v>
      </c>
    </row>
    <row r="11399">
      <c r="A11399" s="3">
        <v>785968.0</v>
      </c>
      <c r="B11399" s="3" t="s">
        <v>11427</v>
      </c>
      <c r="C11399" s="3" t="s">
        <v>8</v>
      </c>
      <c r="D11399" s="3">
        <v>252.0</v>
      </c>
      <c r="E11399" s="3">
        <v>11.07</v>
      </c>
      <c r="F11399" s="3">
        <v>9.76</v>
      </c>
      <c r="G11399" s="3">
        <v>28.11</v>
      </c>
    </row>
    <row r="11400">
      <c r="A11400" s="3">
        <v>785969.0</v>
      </c>
      <c r="B11400" s="3" t="s">
        <v>11428</v>
      </c>
      <c r="C11400" s="3" t="s">
        <v>8</v>
      </c>
      <c r="D11400" s="3">
        <v>314.0</v>
      </c>
      <c r="E11400" s="3">
        <v>18.49</v>
      </c>
      <c r="F11400" s="3">
        <v>13.48</v>
      </c>
      <c r="G11400" s="3">
        <v>22.95</v>
      </c>
    </row>
    <row r="11401">
      <c r="A11401" s="3">
        <v>785970.0</v>
      </c>
      <c r="B11401" s="3" t="s">
        <v>11429</v>
      </c>
      <c r="C11401" s="3" t="s">
        <v>8</v>
      </c>
      <c r="D11401" s="3">
        <v>307.0</v>
      </c>
      <c r="E11401" s="3">
        <v>15.87</v>
      </c>
      <c r="F11401" s="3">
        <v>12.67</v>
      </c>
      <c r="G11401" s="3">
        <v>27.69</v>
      </c>
    </row>
    <row r="11402">
      <c r="A11402" s="3">
        <v>785971.0</v>
      </c>
      <c r="B11402" s="3" t="s">
        <v>11430</v>
      </c>
      <c r="C11402" s="3" t="s">
        <v>8</v>
      </c>
      <c r="D11402" s="3">
        <v>281.0</v>
      </c>
      <c r="E11402" s="3">
        <v>16.3</v>
      </c>
      <c r="F11402" s="3">
        <v>12.01</v>
      </c>
      <c r="G11402" s="3">
        <v>21.21</v>
      </c>
    </row>
    <row r="11403">
      <c r="A11403" s="3">
        <v>785972.0</v>
      </c>
      <c r="B11403" s="3" t="s">
        <v>11431</v>
      </c>
      <c r="C11403" s="3" t="s">
        <v>8</v>
      </c>
      <c r="D11403" s="3">
        <v>279.0</v>
      </c>
      <c r="E11403" s="3">
        <v>14.29</v>
      </c>
      <c r="F11403" s="3">
        <v>11.51</v>
      </c>
      <c r="G11403" s="3">
        <v>25.75</v>
      </c>
    </row>
    <row r="11404">
      <c r="A11404" s="3">
        <v>785973.0</v>
      </c>
      <c r="B11404" s="3" t="s">
        <v>11432</v>
      </c>
      <c r="C11404" s="3" t="s">
        <v>8</v>
      </c>
      <c r="D11404" s="3">
        <v>385.0</v>
      </c>
      <c r="E11404" s="3">
        <v>22.05</v>
      </c>
      <c r="F11404" s="3">
        <v>17.41</v>
      </c>
      <c r="G11404" s="3">
        <v>28.83</v>
      </c>
    </row>
    <row r="11405">
      <c r="A11405" s="3">
        <v>785974.0</v>
      </c>
      <c r="B11405" s="3" t="s">
        <v>11433</v>
      </c>
      <c r="C11405" s="3" t="s">
        <v>8</v>
      </c>
      <c r="D11405" s="3">
        <v>348.0</v>
      </c>
      <c r="E11405" s="3">
        <v>18.24</v>
      </c>
      <c r="F11405" s="3">
        <v>14.28</v>
      </c>
      <c r="G11405" s="3">
        <v>31.16</v>
      </c>
    </row>
    <row r="11406">
      <c r="A11406" s="3">
        <v>785975.0</v>
      </c>
      <c r="B11406" s="3" t="s">
        <v>11434</v>
      </c>
      <c r="C11406" s="3" t="s">
        <v>8</v>
      </c>
      <c r="D11406" s="3">
        <v>345.0</v>
      </c>
      <c r="E11406" s="3">
        <v>10.5</v>
      </c>
      <c r="F11406" s="3">
        <v>9.19</v>
      </c>
      <c r="G11406" s="3">
        <v>53.39</v>
      </c>
    </row>
    <row r="11407">
      <c r="A11407" s="3">
        <v>785976.0</v>
      </c>
      <c r="B11407" s="3" t="s">
        <v>11435</v>
      </c>
      <c r="C11407" s="3" t="s">
        <v>8</v>
      </c>
      <c r="D11407" s="3">
        <v>273.0</v>
      </c>
      <c r="E11407" s="3">
        <v>13.28</v>
      </c>
      <c r="F11407" s="3">
        <v>11.04</v>
      </c>
      <c r="G11407" s="3">
        <v>28.88</v>
      </c>
    </row>
    <row r="11408">
      <c r="A11408" s="3">
        <v>785977.0</v>
      </c>
      <c r="B11408" s="3" t="s">
        <v>11436</v>
      </c>
      <c r="C11408" s="3" t="s">
        <v>8</v>
      </c>
      <c r="D11408" s="3">
        <v>272.0</v>
      </c>
      <c r="E11408" s="3">
        <v>11.26</v>
      </c>
      <c r="F11408" s="3">
        <v>10.69</v>
      </c>
      <c r="G11408" s="3">
        <v>33.54</v>
      </c>
    </row>
    <row r="11409">
      <c r="A11409" s="3">
        <v>785978.0</v>
      </c>
      <c r="B11409" s="3" t="s">
        <v>11437</v>
      </c>
      <c r="C11409" s="3" t="s">
        <v>8</v>
      </c>
      <c r="D11409" s="3">
        <v>297.0</v>
      </c>
      <c r="E11409" s="3">
        <v>17.22</v>
      </c>
      <c r="F11409" s="3">
        <v>12.57</v>
      </c>
      <c r="G11409" s="3">
        <v>24.04</v>
      </c>
    </row>
    <row r="11410">
      <c r="A11410" s="3">
        <v>785979.0</v>
      </c>
      <c r="B11410" s="3" t="s">
        <v>11438</v>
      </c>
      <c r="C11410" s="3" t="s">
        <v>8</v>
      </c>
      <c r="D11410" s="3">
        <v>292.0</v>
      </c>
      <c r="E11410" s="3">
        <v>14.81</v>
      </c>
      <c r="F11410" s="3">
        <v>12.0</v>
      </c>
      <c r="G11410" s="3">
        <v>28.83</v>
      </c>
    </row>
    <row r="11411">
      <c r="A11411" s="3">
        <v>785980.0</v>
      </c>
      <c r="B11411" s="3" t="s">
        <v>11439</v>
      </c>
      <c r="C11411" s="3" t="s">
        <v>8</v>
      </c>
      <c r="D11411" s="3">
        <v>231.0</v>
      </c>
      <c r="E11411" s="3">
        <v>11.35</v>
      </c>
      <c r="F11411" s="3">
        <v>9.02</v>
      </c>
      <c r="G11411" s="3">
        <v>24.61</v>
      </c>
    </row>
    <row r="11412">
      <c r="A11412" s="3">
        <v>785981.0</v>
      </c>
      <c r="B11412" s="3" t="s">
        <v>11440</v>
      </c>
      <c r="C11412" s="3" t="s">
        <v>8</v>
      </c>
      <c r="D11412" s="3">
        <v>237.0</v>
      </c>
      <c r="E11412" s="3">
        <v>9.99</v>
      </c>
      <c r="F11412" s="3">
        <v>9.08</v>
      </c>
      <c r="G11412" s="3">
        <v>29.23</v>
      </c>
    </row>
    <row r="11413">
      <c r="A11413" s="3">
        <v>785982.0</v>
      </c>
      <c r="B11413" s="3" t="s">
        <v>11441</v>
      </c>
      <c r="C11413" s="3" t="s">
        <v>8</v>
      </c>
      <c r="D11413" s="3">
        <v>264.0</v>
      </c>
      <c r="E11413" s="3">
        <v>14.16</v>
      </c>
      <c r="F11413" s="3">
        <v>8.32</v>
      </c>
      <c r="G11413" s="3">
        <v>25.84</v>
      </c>
    </row>
    <row r="11414">
      <c r="A11414" s="3">
        <v>785983.0</v>
      </c>
      <c r="B11414" s="3" t="s">
        <v>11442</v>
      </c>
      <c r="C11414" s="3" t="s">
        <v>8</v>
      </c>
      <c r="D11414" s="3">
        <v>261.0</v>
      </c>
      <c r="E11414" s="3">
        <v>12.3</v>
      </c>
      <c r="F11414" s="3">
        <v>7.49</v>
      </c>
      <c r="G11414" s="3">
        <v>30.0</v>
      </c>
    </row>
    <row r="11415">
      <c r="A11415" s="3">
        <v>785984.0</v>
      </c>
      <c r="B11415" s="3" t="s">
        <v>11443</v>
      </c>
      <c r="C11415" s="3" t="s">
        <v>8</v>
      </c>
      <c r="D11415" s="3">
        <v>290.0</v>
      </c>
      <c r="E11415" s="3">
        <v>17.93</v>
      </c>
      <c r="F11415" s="3">
        <v>10.36</v>
      </c>
      <c r="G11415" s="3">
        <v>21.58</v>
      </c>
    </row>
    <row r="11416">
      <c r="A11416" s="3">
        <v>785985.0</v>
      </c>
      <c r="B11416" s="3" t="s">
        <v>11444</v>
      </c>
      <c r="C11416" s="3" t="s">
        <v>8</v>
      </c>
      <c r="D11416" s="3">
        <v>283.0</v>
      </c>
      <c r="E11416" s="3">
        <v>15.69</v>
      </c>
      <c r="F11416" s="3">
        <v>9.3</v>
      </c>
      <c r="G11416" s="3">
        <v>25.84</v>
      </c>
    </row>
    <row r="11417">
      <c r="A11417" s="3">
        <v>785986.0</v>
      </c>
      <c r="B11417" s="3" t="s">
        <v>11445</v>
      </c>
      <c r="C11417" s="3" t="s">
        <v>8</v>
      </c>
      <c r="D11417" s="3">
        <v>223.0</v>
      </c>
      <c r="E11417" s="3">
        <v>12.05</v>
      </c>
      <c r="F11417" s="3">
        <v>6.85</v>
      </c>
      <c r="G11417" s="3">
        <v>22.19</v>
      </c>
    </row>
    <row r="11418">
      <c r="A11418" s="3">
        <v>785987.0</v>
      </c>
      <c r="B11418" s="3" t="s">
        <v>11446</v>
      </c>
      <c r="C11418" s="3" t="s">
        <v>8</v>
      </c>
      <c r="D11418" s="3">
        <v>228.0</v>
      </c>
      <c r="E11418" s="3">
        <v>10.86</v>
      </c>
      <c r="F11418" s="3">
        <v>6.41</v>
      </c>
      <c r="G11418" s="3">
        <v>26.28</v>
      </c>
    </row>
    <row r="11419">
      <c r="A11419" s="3">
        <v>785988.0</v>
      </c>
      <c r="B11419" s="3" t="s">
        <v>11447</v>
      </c>
      <c r="C11419" s="3" t="s">
        <v>2807</v>
      </c>
      <c r="D11419" s="3">
        <v>297.0</v>
      </c>
      <c r="E11419" s="3">
        <v>15.21</v>
      </c>
      <c r="F11419" s="3">
        <v>13.19</v>
      </c>
      <c r="G11419" s="3">
        <v>26.21</v>
      </c>
    </row>
    <row r="11420">
      <c r="A11420" s="3">
        <v>785989.0</v>
      </c>
      <c r="B11420" s="3" t="s">
        <v>11448</v>
      </c>
      <c r="C11420" s="3" t="s">
        <v>1464</v>
      </c>
      <c r="D11420" s="3">
        <v>269.0</v>
      </c>
      <c r="E11420" s="3">
        <v>14.14</v>
      </c>
      <c r="F11420" s="3">
        <v>5.62</v>
      </c>
      <c r="G11420" s="3">
        <v>30.02</v>
      </c>
    </row>
    <row r="11421">
      <c r="A11421" s="3">
        <v>785990.0</v>
      </c>
      <c r="B11421" s="3" t="s">
        <v>11449</v>
      </c>
      <c r="C11421" s="3" t="s">
        <v>1464</v>
      </c>
      <c r="D11421" s="3">
        <v>269.0</v>
      </c>
      <c r="E11421" s="3">
        <v>14.14</v>
      </c>
      <c r="F11421" s="3">
        <v>5.62</v>
      </c>
      <c r="G11421" s="3">
        <v>30.02</v>
      </c>
    </row>
    <row r="11422">
      <c r="A11422" s="3">
        <v>785991.0</v>
      </c>
      <c r="B11422" s="3" t="s">
        <v>11450</v>
      </c>
      <c r="C11422" s="3" t="s">
        <v>1464</v>
      </c>
      <c r="D11422" s="3">
        <v>277.0</v>
      </c>
      <c r="E11422" s="3">
        <v>14.33</v>
      </c>
      <c r="F11422" s="3">
        <v>9.39</v>
      </c>
      <c r="G11422" s="3">
        <v>27.87</v>
      </c>
    </row>
    <row r="11423">
      <c r="A11423" s="3">
        <v>785992.0</v>
      </c>
      <c r="B11423" s="3" t="s">
        <v>11451</v>
      </c>
      <c r="C11423" s="3" t="s">
        <v>1464</v>
      </c>
      <c r="D11423" s="3">
        <v>253.0</v>
      </c>
      <c r="E11423" s="3">
        <v>11.82</v>
      </c>
      <c r="F11423" s="3">
        <v>9.86</v>
      </c>
      <c r="G11423" s="3">
        <v>26.96</v>
      </c>
    </row>
    <row r="11424">
      <c r="A11424" s="3">
        <v>785993.0</v>
      </c>
      <c r="B11424" s="3" t="s">
        <v>11452</v>
      </c>
      <c r="C11424" s="3" t="s">
        <v>1464</v>
      </c>
      <c r="D11424" s="3">
        <v>111.0</v>
      </c>
      <c r="E11424" s="3">
        <v>2.63</v>
      </c>
      <c r="F11424" s="3">
        <v>5.53</v>
      </c>
      <c r="G11424" s="3">
        <v>17.13</v>
      </c>
    </row>
    <row r="11425">
      <c r="A11425" s="3">
        <v>785994.0</v>
      </c>
      <c r="B11425" s="3" t="s">
        <v>11453</v>
      </c>
      <c r="C11425" s="3" t="s">
        <v>1464</v>
      </c>
      <c r="D11425" s="3">
        <v>191.0</v>
      </c>
      <c r="E11425" s="3">
        <v>11.13</v>
      </c>
      <c r="F11425" s="3">
        <v>8.76</v>
      </c>
      <c r="G11425" s="3">
        <v>14.05</v>
      </c>
    </row>
    <row r="11426">
      <c r="A11426" s="3">
        <v>785995.0</v>
      </c>
      <c r="B11426" s="3" t="s">
        <v>11454</v>
      </c>
      <c r="C11426" s="3" t="s">
        <v>1464</v>
      </c>
      <c r="D11426" s="3">
        <v>191.0</v>
      </c>
      <c r="E11426" s="3">
        <v>11.13</v>
      </c>
      <c r="F11426" s="3">
        <v>8.76</v>
      </c>
      <c r="G11426" s="3">
        <v>14.05</v>
      </c>
    </row>
    <row r="11427">
      <c r="A11427" s="3">
        <v>785996.0</v>
      </c>
      <c r="B11427" s="3" t="s">
        <v>11455</v>
      </c>
      <c r="C11427" s="3" t="s">
        <v>1464</v>
      </c>
      <c r="D11427" s="3">
        <v>191.0</v>
      </c>
      <c r="E11427" s="3">
        <v>11.13</v>
      </c>
      <c r="F11427" s="3">
        <v>8.76</v>
      </c>
      <c r="G11427" s="3">
        <v>14.05</v>
      </c>
    </row>
    <row r="11428">
      <c r="A11428" s="3">
        <v>785997.0</v>
      </c>
      <c r="B11428" s="3" t="s">
        <v>11456</v>
      </c>
      <c r="C11428" s="3" t="s">
        <v>1464</v>
      </c>
      <c r="D11428" s="3">
        <v>315.0</v>
      </c>
      <c r="E11428" s="3">
        <v>15.22</v>
      </c>
      <c r="F11428" s="3">
        <v>9.3</v>
      </c>
      <c r="G11428" s="3">
        <v>35.01</v>
      </c>
    </row>
    <row r="11429">
      <c r="A11429" s="3">
        <v>785998.0</v>
      </c>
      <c r="B11429" s="3" t="s">
        <v>11457</v>
      </c>
      <c r="C11429" s="3" t="s">
        <v>1464</v>
      </c>
      <c r="D11429" s="3">
        <v>113.0</v>
      </c>
      <c r="E11429" s="3">
        <v>4.6</v>
      </c>
      <c r="F11429" s="3">
        <v>6.9</v>
      </c>
      <c r="G11429" s="3">
        <v>11.07</v>
      </c>
    </row>
    <row r="11430">
      <c r="A11430" s="3">
        <v>785999.0</v>
      </c>
      <c r="B11430" s="3" t="s">
        <v>11458</v>
      </c>
      <c r="C11430" s="3" t="s">
        <v>1464</v>
      </c>
      <c r="D11430" s="3">
        <v>157.0</v>
      </c>
      <c r="E11430" s="3">
        <v>9.67</v>
      </c>
      <c r="F11430" s="3">
        <v>6.98</v>
      </c>
      <c r="G11430" s="3">
        <v>11.04</v>
      </c>
    </row>
    <row r="11431">
      <c r="A11431" s="3">
        <v>786000.0</v>
      </c>
      <c r="B11431" s="3" t="s">
        <v>11459</v>
      </c>
      <c r="C11431" s="3" t="s">
        <v>1464</v>
      </c>
      <c r="D11431" s="3">
        <v>153.0</v>
      </c>
      <c r="E11431" s="3">
        <v>8.16</v>
      </c>
      <c r="F11431" s="3">
        <v>9.42</v>
      </c>
      <c r="G11431" s="3">
        <v>11.78</v>
      </c>
    </row>
    <row r="11432">
      <c r="A11432" s="3">
        <v>786001.0</v>
      </c>
      <c r="B11432" s="3" t="s">
        <v>11460</v>
      </c>
      <c r="C11432" s="3" t="s">
        <v>1464</v>
      </c>
      <c r="D11432" s="3">
        <v>218.0</v>
      </c>
      <c r="E11432" s="3">
        <v>11.33</v>
      </c>
      <c r="F11432" s="3">
        <v>12.03</v>
      </c>
      <c r="G11432" s="3">
        <v>16.63</v>
      </c>
    </row>
    <row r="11433">
      <c r="A11433" s="3">
        <v>786002.0</v>
      </c>
      <c r="B11433" s="3" t="s">
        <v>11461</v>
      </c>
      <c r="C11433" s="3" t="s">
        <v>1464</v>
      </c>
      <c r="D11433" s="3">
        <v>256.0</v>
      </c>
      <c r="E11433" s="3">
        <v>13.34</v>
      </c>
      <c r="F11433" s="3">
        <v>11.89</v>
      </c>
      <c r="G11433" s="3">
        <v>21.62</v>
      </c>
    </row>
    <row r="11434">
      <c r="A11434" s="3">
        <v>786003.0</v>
      </c>
      <c r="B11434" s="3" t="s">
        <v>11462</v>
      </c>
      <c r="C11434" s="3" t="s">
        <v>1464</v>
      </c>
      <c r="D11434" s="3">
        <v>319.0</v>
      </c>
      <c r="E11434" s="3">
        <v>16.58</v>
      </c>
      <c r="F11434" s="3">
        <v>8.61</v>
      </c>
      <c r="G11434" s="3">
        <v>34.39</v>
      </c>
    </row>
    <row r="11435">
      <c r="A11435" s="3">
        <v>786005.0</v>
      </c>
      <c r="B11435" s="3" t="s">
        <v>11463</v>
      </c>
      <c r="C11435" s="3" t="s">
        <v>1464</v>
      </c>
      <c r="D11435" s="3">
        <v>285.0</v>
      </c>
      <c r="E11435" s="3">
        <v>12.77</v>
      </c>
      <c r="F11435" s="3">
        <v>9.66</v>
      </c>
      <c r="G11435" s="3">
        <v>33.18</v>
      </c>
    </row>
    <row r="11436">
      <c r="A11436" s="3">
        <v>786006.0</v>
      </c>
      <c r="B11436" s="3" t="s">
        <v>11464</v>
      </c>
      <c r="C11436" s="3" t="s">
        <v>1464</v>
      </c>
      <c r="D11436" s="3">
        <v>475.0</v>
      </c>
      <c r="E11436" s="3">
        <v>33.99</v>
      </c>
      <c r="F11436" s="3">
        <v>15.7</v>
      </c>
      <c r="G11436" s="3">
        <v>25.36</v>
      </c>
    </row>
    <row r="11437">
      <c r="A11437" s="3">
        <v>786007.0</v>
      </c>
      <c r="B11437" s="3" t="s">
        <v>11465</v>
      </c>
      <c r="C11437" s="3" t="s">
        <v>1464</v>
      </c>
      <c r="D11437" s="3">
        <v>420.0</v>
      </c>
      <c r="E11437" s="3">
        <v>25.71</v>
      </c>
      <c r="F11437" s="3">
        <v>9.68</v>
      </c>
      <c r="G11437" s="3">
        <v>36.79</v>
      </c>
    </row>
    <row r="11438">
      <c r="A11438" s="3">
        <v>786008.0</v>
      </c>
      <c r="B11438" s="3" t="s">
        <v>11466</v>
      </c>
      <c r="C11438" s="3" t="s">
        <v>8</v>
      </c>
      <c r="D11438" s="3">
        <v>266.0</v>
      </c>
      <c r="E11438" s="3">
        <v>17.21</v>
      </c>
      <c r="F11438" s="3">
        <v>6.77</v>
      </c>
      <c r="G11438" s="3">
        <v>20.78</v>
      </c>
    </row>
    <row r="11439">
      <c r="A11439" s="3">
        <v>786009.0</v>
      </c>
      <c r="B11439" s="3" t="s">
        <v>11467</v>
      </c>
      <c r="C11439" s="3" t="s">
        <v>8</v>
      </c>
      <c r="D11439" s="3">
        <v>410.0</v>
      </c>
      <c r="E11439" s="3">
        <v>20.58</v>
      </c>
      <c r="F11439" s="3">
        <v>6.94</v>
      </c>
      <c r="G11439" s="3">
        <v>48.5</v>
      </c>
    </row>
    <row r="11440">
      <c r="A11440" s="3">
        <v>786010.0</v>
      </c>
      <c r="B11440" s="3" t="s">
        <v>11468</v>
      </c>
      <c r="C11440" s="3" t="s">
        <v>189</v>
      </c>
      <c r="D11440" s="3">
        <v>168.0</v>
      </c>
      <c r="E11440" s="3">
        <v>7.2</v>
      </c>
      <c r="F11440" s="3">
        <v>8.76</v>
      </c>
      <c r="G11440" s="3">
        <v>17.99</v>
      </c>
    </row>
    <row r="11441">
      <c r="A11441" s="3">
        <v>786011.0</v>
      </c>
      <c r="B11441" s="3" t="s">
        <v>11469</v>
      </c>
      <c r="C11441" s="3" t="s">
        <v>252</v>
      </c>
      <c r="D11441" s="3">
        <v>278.0</v>
      </c>
      <c r="E11441" s="3">
        <v>7.45</v>
      </c>
      <c r="F11441" s="3">
        <v>15.32</v>
      </c>
      <c r="G11441" s="3">
        <v>36.02</v>
      </c>
    </row>
    <row r="11442">
      <c r="A11442" s="3">
        <v>786012.0</v>
      </c>
      <c r="B11442" s="3" t="s">
        <v>11470</v>
      </c>
      <c r="C11442" s="3" t="s">
        <v>189</v>
      </c>
      <c r="D11442" s="3">
        <v>155.0</v>
      </c>
      <c r="E11442" s="3">
        <v>10.62</v>
      </c>
      <c r="F11442" s="3">
        <v>5.84</v>
      </c>
      <c r="G11442" s="3">
        <v>9.39</v>
      </c>
    </row>
    <row r="11443">
      <c r="A11443" s="3">
        <v>786013.0</v>
      </c>
      <c r="B11443" s="3" t="s">
        <v>11471</v>
      </c>
      <c r="C11443" s="3" t="s">
        <v>38</v>
      </c>
      <c r="D11443" s="3">
        <v>279.0</v>
      </c>
      <c r="E11443" s="3">
        <v>22.51</v>
      </c>
      <c r="F11443" s="3">
        <v>2.18</v>
      </c>
      <c r="G11443" s="3">
        <v>20.87</v>
      </c>
    </row>
    <row r="11444">
      <c r="A11444" s="3">
        <v>786014.0</v>
      </c>
      <c r="B11444" s="3" t="s">
        <v>11472</v>
      </c>
      <c r="C11444" s="3" t="s">
        <v>38</v>
      </c>
      <c r="D11444" s="3">
        <v>292.0</v>
      </c>
      <c r="E11444" s="3">
        <v>20.49</v>
      </c>
      <c r="F11444" s="3">
        <v>2.82</v>
      </c>
      <c r="G11444" s="3">
        <v>27.72</v>
      </c>
    </row>
    <row r="11445">
      <c r="A11445" s="3">
        <v>786015.0</v>
      </c>
      <c r="B11445" s="3" t="s">
        <v>11473</v>
      </c>
      <c r="C11445" s="3" t="s">
        <v>1464</v>
      </c>
      <c r="D11445" s="3">
        <v>184.0</v>
      </c>
      <c r="E11445" s="3">
        <v>11.04</v>
      </c>
      <c r="F11445" s="3">
        <v>13.1</v>
      </c>
      <c r="G11445" s="3">
        <v>8.01</v>
      </c>
    </row>
    <row r="11446">
      <c r="A11446" s="3">
        <v>786016.0</v>
      </c>
      <c r="B11446" s="3" t="s">
        <v>11474</v>
      </c>
      <c r="C11446" s="3" t="s">
        <v>1464</v>
      </c>
      <c r="D11446" s="3">
        <v>194.0</v>
      </c>
      <c r="E11446" s="3">
        <v>10.58</v>
      </c>
      <c r="F11446" s="3">
        <v>13.71</v>
      </c>
      <c r="G11446" s="3">
        <v>11.13</v>
      </c>
    </row>
    <row r="11447">
      <c r="A11447" s="3">
        <v>786017.0</v>
      </c>
      <c r="B11447" s="3" t="s">
        <v>11475</v>
      </c>
      <c r="C11447" s="3" t="s">
        <v>1464</v>
      </c>
      <c r="D11447" s="3">
        <v>359.0</v>
      </c>
      <c r="E11447" s="3">
        <v>22.81</v>
      </c>
      <c r="F11447" s="3">
        <v>12.54</v>
      </c>
      <c r="G11447" s="3">
        <v>25.37</v>
      </c>
    </row>
    <row r="11448">
      <c r="A11448" s="3">
        <v>786019.0</v>
      </c>
      <c r="B11448" s="3" t="s">
        <v>11476</v>
      </c>
      <c r="C11448" s="3" t="s">
        <v>1464</v>
      </c>
      <c r="D11448" s="3">
        <v>164.0</v>
      </c>
      <c r="E11448" s="3">
        <v>3.76</v>
      </c>
      <c r="F11448" s="3">
        <v>5.05</v>
      </c>
      <c r="G11448" s="3">
        <v>27.4</v>
      </c>
    </row>
    <row r="11449">
      <c r="A11449" s="3">
        <v>786020.0</v>
      </c>
      <c r="B11449" s="3" t="s">
        <v>11477</v>
      </c>
      <c r="C11449" s="3" t="s">
        <v>1464</v>
      </c>
      <c r="D11449" s="3">
        <v>178.0</v>
      </c>
      <c r="E11449" s="3">
        <v>11.84</v>
      </c>
      <c r="F11449" s="3">
        <v>8.37</v>
      </c>
      <c r="G11449" s="3">
        <v>9.41</v>
      </c>
    </row>
    <row r="11450">
      <c r="A11450" s="3">
        <v>786021.0</v>
      </c>
      <c r="B11450" s="3" t="s">
        <v>11478</v>
      </c>
      <c r="C11450" s="3" t="s">
        <v>1464</v>
      </c>
      <c r="D11450" s="3">
        <v>133.0</v>
      </c>
      <c r="E11450" s="3">
        <v>6.24</v>
      </c>
      <c r="F11450" s="3">
        <v>2.36</v>
      </c>
      <c r="G11450" s="3">
        <v>17.06</v>
      </c>
    </row>
    <row r="11451">
      <c r="A11451" s="3">
        <v>786022.0</v>
      </c>
      <c r="B11451" s="3" t="s">
        <v>11479</v>
      </c>
      <c r="C11451" s="3" t="s">
        <v>1464</v>
      </c>
      <c r="D11451" s="3">
        <v>460.0</v>
      </c>
      <c r="E11451" s="3">
        <v>33.02</v>
      </c>
      <c r="F11451" s="3">
        <v>4.72</v>
      </c>
      <c r="G11451" s="3">
        <v>35.1</v>
      </c>
    </row>
    <row r="11452">
      <c r="A11452" s="3">
        <v>786023.0</v>
      </c>
      <c r="B11452" s="3" t="s">
        <v>11480</v>
      </c>
      <c r="C11452" s="3" t="s">
        <v>1464</v>
      </c>
      <c r="D11452" s="3">
        <v>349.0</v>
      </c>
      <c r="E11452" s="3">
        <v>20.32</v>
      </c>
      <c r="F11452" s="3">
        <v>7.59</v>
      </c>
      <c r="G11452" s="3">
        <v>33.81</v>
      </c>
    </row>
    <row r="11453">
      <c r="A11453" s="3">
        <v>786024.0</v>
      </c>
      <c r="B11453" s="3" t="s">
        <v>11481</v>
      </c>
      <c r="C11453" s="3" t="s">
        <v>1464</v>
      </c>
      <c r="D11453" s="3">
        <v>342.0</v>
      </c>
      <c r="E11453" s="3">
        <v>19.46</v>
      </c>
      <c r="F11453" s="3">
        <v>10.16</v>
      </c>
      <c r="G11453" s="3">
        <v>31.11</v>
      </c>
    </row>
    <row r="11454">
      <c r="A11454" s="3">
        <v>786025.0</v>
      </c>
      <c r="B11454" s="3" t="s">
        <v>11482</v>
      </c>
      <c r="C11454" s="3" t="s">
        <v>1464</v>
      </c>
      <c r="D11454" s="3">
        <v>349.0</v>
      </c>
      <c r="E11454" s="3">
        <v>21.28</v>
      </c>
      <c r="F11454" s="3">
        <v>13.12</v>
      </c>
      <c r="G11454" s="3">
        <v>25.65</v>
      </c>
    </row>
    <row r="11455">
      <c r="A11455" s="3">
        <v>786026.0</v>
      </c>
      <c r="B11455" s="3" t="s">
        <v>11483</v>
      </c>
      <c r="C11455" s="3" t="s">
        <v>1464</v>
      </c>
      <c r="D11455" s="3">
        <v>272.0</v>
      </c>
      <c r="E11455" s="3">
        <v>7.52</v>
      </c>
      <c r="F11455" s="3">
        <v>10.92</v>
      </c>
      <c r="G11455" s="3">
        <v>39.34</v>
      </c>
    </row>
    <row r="11456">
      <c r="A11456" s="3">
        <v>786027.0</v>
      </c>
      <c r="B11456" s="3" t="s">
        <v>11484</v>
      </c>
      <c r="C11456" s="3" t="s">
        <v>8</v>
      </c>
      <c r="D11456" s="3">
        <v>265.0</v>
      </c>
      <c r="E11456" s="3">
        <v>2.87</v>
      </c>
      <c r="F11456" s="3">
        <v>6.56</v>
      </c>
      <c r="G11456" s="3">
        <v>53.99</v>
      </c>
    </row>
    <row r="11457">
      <c r="A11457" s="3">
        <v>786028.0</v>
      </c>
      <c r="B11457" s="3" t="s">
        <v>11485</v>
      </c>
      <c r="C11457" s="3" t="s">
        <v>8</v>
      </c>
      <c r="D11457" s="3">
        <v>271.0</v>
      </c>
      <c r="E11457" s="3">
        <v>19.73</v>
      </c>
      <c r="F11457" s="3">
        <v>8.28</v>
      </c>
      <c r="G11457" s="3">
        <v>15.02</v>
      </c>
    </row>
    <row r="11458">
      <c r="A11458" s="3">
        <v>786029.0</v>
      </c>
      <c r="B11458" s="3" t="s">
        <v>11486</v>
      </c>
      <c r="C11458" s="3" t="s">
        <v>1464</v>
      </c>
      <c r="D11458" s="3">
        <v>343.0</v>
      </c>
      <c r="E11458" s="3">
        <v>15.18</v>
      </c>
      <c r="F11458" s="3">
        <v>8.05</v>
      </c>
      <c r="G11458" s="3">
        <v>43.39</v>
      </c>
    </row>
    <row r="11459">
      <c r="A11459" s="3">
        <v>786030.0</v>
      </c>
      <c r="B11459" s="3" t="s">
        <v>11487</v>
      </c>
      <c r="C11459" s="3" t="s">
        <v>1464</v>
      </c>
      <c r="D11459" s="3">
        <v>338.0</v>
      </c>
      <c r="E11459" s="3">
        <v>18.85</v>
      </c>
      <c r="F11459" s="3">
        <v>11.23</v>
      </c>
      <c r="G11459" s="3">
        <v>30.64</v>
      </c>
    </row>
    <row r="11460">
      <c r="A11460" s="3">
        <v>786031.0</v>
      </c>
      <c r="B11460" s="3" t="s">
        <v>11488</v>
      </c>
      <c r="C11460" s="3" t="s">
        <v>1464</v>
      </c>
      <c r="D11460" s="3">
        <v>206.0</v>
      </c>
      <c r="E11460" s="3">
        <v>15.19</v>
      </c>
      <c r="F11460" s="3">
        <v>7.51</v>
      </c>
      <c r="G11460" s="3">
        <v>10.53</v>
      </c>
    </row>
    <row r="11461">
      <c r="A11461" s="3">
        <v>786032.0</v>
      </c>
      <c r="B11461" s="3" t="s">
        <v>11489</v>
      </c>
      <c r="C11461" s="3" t="s">
        <v>1464</v>
      </c>
      <c r="D11461" s="3">
        <v>308.0</v>
      </c>
      <c r="E11461" s="3">
        <v>17.87</v>
      </c>
      <c r="F11461" s="3">
        <v>4.66</v>
      </c>
      <c r="G11461" s="3">
        <v>32.21</v>
      </c>
    </row>
    <row r="11462">
      <c r="A11462" s="3">
        <v>786033.0</v>
      </c>
      <c r="B11462" s="3" t="s">
        <v>11490</v>
      </c>
      <c r="C11462" s="3" t="s">
        <v>1464</v>
      </c>
      <c r="D11462" s="3">
        <v>386.0</v>
      </c>
      <c r="E11462" s="3">
        <v>30.7</v>
      </c>
      <c r="F11462" s="3">
        <v>15.79</v>
      </c>
      <c r="G11462" s="3">
        <v>11.73</v>
      </c>
    </row>
    <row r="11463">
      <c r="A11463" s="3">
        <v>786034.0</v>
      </c>
      <c r="B11463" s="3" t="s">
        <v>11491</v>
      </c>
      <c r="C11463" s="3" t="s">
        <v>1464</v>
      </c>
      <c r="D11463" s="3">
        <v>296.0</v>
      </c>
      <c r="E11463" s="3">
        <v>23.48</v>
      </c>
      <c r="F11463" s="3">
        <v>10.46</v>
      </c>
      <c r="G11463" s="3">
        <v>11.46</v>
      </c>
    </row>
    <row r="11464">
      <c r="A11464" s="3">
        <v>786035.0</v>
      </c>
      <c r="B11464" s="3" t="s">
        <v>11492</v>
      </c>
      <c r="C11464" s="3" t="s">
        <v>1464</v>
      </c>
      <c r="D11464" s="3">
        <v>364.0</v>
      </c>
      <c r="E11464" s="3">
        <v>29.32</v>
      </c>
      <c r="F11464" s="3">
        <v>12.25</v>
      </c>
      <c r="G11464" s="3">
        <v>13.29</v>
      </c>
    </row>
    <row r="11465">
      <c r="A11465" s="3">
        <v>786036.0</v>
      </c>
      <c r="B11465" s="3" t="s">
        <v>11493</v>
      </c>
      <c r="C11465" s="3" t="s">
        <v>1464</v>
      </c>
      <c r="D11465" s="3">
        <v>237.0</v>
      </c>
      <c r="E11465" s="3">
        <v>8.24</v>
      </c>
      <c r="F11465" s="3">
        <v>10.28</v>
      </c>
      <c r="G11465" s="3">
        <v>29.72</v>
      </c>
    </row>
    <row r="11466">
      <c r="A11466" s="3">
        <v>786037.0</v>
      </c>
      <c r="B11466" s="3" t="s">
        <v>11494</v>
      </c>
      <c r="C11466" s="3" t="s">
        <v>1464</v>
      </c>
      <c r="D11466" s="3">
        <v>371.0</v>
      </c>
      <c r="E11466" s="3">
        <v>23.6</v>
      </c>
      <c r="F11466" s="3">
        <v>12.87</v>
      </c>
      <c r="G11466" s="3">
        <v>26.16</v>
      </c>
    </row>
    <row r="11467">
      <c r="A11467" s="3">
        <v>786038.0</v>
      </c>
      <c r="B11467" s="3" t="s">
        <v>11495</v>
      </c>
      <c r="C11467" s="3" t="s">
        <v>1464</v>
      </c>
      <c r="D11467" s="3">
        <v>249.0</v>
      </c>
      <c r="E11467" s="3">
        <v>15.47</v>
      </c>
      <c r="F11467" s="3">
        <v>9.38</v>
      </c>
      <c r="G11467" s="3">
        <v>17.99</v>
      </c>
    </row>
    <row r="11468">
      <c r="A11468" s="3">
        <v>786039.0</v>
      </c>
      <c r="B11468" s="3" t="s">
        <v>11496</v>
      </c>
      <c r="C11468" s="3" t="s">
        <v>1464</v>
      </c>
      <c r="D11468" s="3">
        <v>241.0</v>
      </c>
      <c r="E11468" s="3">
        <v>9.14</v>
      </c>
      <c r="F11468" s="3">
        <v>9.16</v>
      </c>
      <c r="G11468" s="3">
        <v>30.55</v>
      </c>
    </row>
    <row r="11469">
      <c r="A11469" s="3">
        <v>786040.0</v>
      </c>
      <c r="B11469" s="3" t="s">
        <v>11497</v>
      </c>
      <c r="C11469" s="3" t="s">
        <v>1464</v>
      </c>
      <c r="D11469" s="3">
        <v>347.0</v>
      </c>
      <c r="E11469" s="3">
        <v>21.25</v>
      </c>
      <c r="F11469" s="3">
        <v>12.48</v>
      </c>
      <c r="G11469" s="3">
        <v>25.91</v>
      </c>
    </row>
    <row r="11470">
      <c r="A11470" s="3">
        <v>786041.0</v>
      </c>
      <c r="B11470" s="3" t="s">
        <v>11498</v>
      </c>
      <c r="C11470" s="3" t="s">
        <v>1464</v>
      </c>
      <c r="D11470" s="3">
        <v>253.0</v>
      </c>
      <c r="E11470" s="3">
        <v>10.47</v>
      </c>
      <c r="F11470" s="3">
        <v>9.32</v>
      </c>
      <c r="G11470" s="3">
        <v>30.45</v>
      </c>
    </row>
    <row r="11471">
      <c r="A11471" s="3">
        <v>786042.0</v>
      </c>
      <c r="B11471" s="3" t="s">
        <v>11499</v>
      </c>
      <c r="C11471" s="3" t="s">
        <v>1464</v>
      </c>
      <c r="D11471" s="3">
        <v>270.0</v>
      </c>
      <c r="E11471" s="3">
        <v>10.86</v>
      </c>
      <c r="F11471" s="3">
        <v>11.77</v>
      </c>
      <c r="G11471" s="3">
        <v>31.37</v>
      </c>
    </row>
    <row r="11472">
      <c r="A11472" s="3">
        <v>786043.0</v>
      </c>
      <c r="B11472" s="3" t="s">
        <v>11500</v>
      </c>
      <c r="C11472" s="3" t="s">
        <v>1464</v>
      </c>
      <c r="D11472" s="3">
        <v>305.0</v>
      </c>
      <c r="E11472" s="3">
        <v>18.82</v>
      </c>
      <c r="F11472" s="3">
        <v>10.69</v>
      </c>
      <c r="G11472" s="3">
        <v>22.98</v>
      </c>
    </row>
    <row r="11473">
      <c r="A11473" s="3">
        <v>786044.0</v>
      </c>
      <c r="B11473" s="3" t="s">
        <v>11501</v>
      </c>
      <c r="C11473" s="3" t="s">
        <v>1464</v>
      </c>
      <c r="D11473" s="3">
        <v>292.0</v>
      </c>
      <c r="E11473" s="3">
        <v>17.73</v>
      </c>
      <c r="F11473" s="3">
        <v>9.98</v>
      </c>
      <c r="G11473" s="3">
        <v>22.87</v>
      </c>
    </row>
    <row r="11474">
      <c r="A11474" s="3">
        <v>786049.0</v>
      </c>
      <c r="B11474" s="3" t="s">
        <v>11502</v>
      </c>
      <c r="C11474" s="3" t="s">
        <v>1464</v>
      </c>
      <c r="D11474" s="3">
        <v>279.0</v>
      </c>
      <c r="E11474" s="3">
        <v>17.92</v>
      </c>
      <c r="F11474" s="3">
        <v>9.42</v>
      </c>
      <c r="G11474" s="3">
        <v>20.15</v>
      </c>
    </row>
    <row r="11475">
      <c r="A11475" s="3">
        <v>786052.0</v>
      </c>
      <c r="B11475" s="3" t="s">
        <v>11503</v>
      </c>
      <c r="C11475" s="3" t="s">
        <v>1464</v>
      </c>
      <c r="D11475" s="3">
        <v>307.0</v>
      </c>
      <c r="E11475" s="3">
        <v>22.78</v>
      </c>
      <c r="F11475" s="3">
        <v>6.53</v>
      </c>
      <c r="G11475" s="3">
        <v>21.19</v>
      </c>
    </row>
    <row r="11476">
      <c r="A11476" s="3">
        <v>786053.0</v>
      </c>
      <c r="B11476" s="3" t="s">
        <v>11504</v>
      </c>
      <c r="C11476" s="3" t="s">
        <v>1464</v>
      </c>
      <c r="D11476" s="3">
        <v>315.0</v>
      </c>
      <c r="E11476" s="3">
        <v>23.62</v>
      </c>
      <c r="F11476" s="3">
        <v>7.84</v>
      </c>
      <c r="G11476" s="3">
        <v>19.74</v>
      </c>
    </row>
    <row r="11477">
      <c r="A11477" s="3">
        <v>786054.0</v>
      </c>
      <c r="B11477" s="3" t="s">
        <v>11505</v>
      </c>
      <c r="C11477" s="3" t="s">
        <v>2807</v>
      </c>
      <c r="D11477" s="3">
        <v>268.0</v>
      </c>
      <c r="E11477" s="3">
        <v>15.2</v>
      </c>
      <c r="F11477" s="3">
        <v>7.05</v>
      </c>
      <c r="G11477" s="3">
        <v>26.04</v>
      </c>
    </row>
    <row r="11478">
      <c r="A11478" s="3">
        <v>786055.0</v>
      </c>
      <c r="B11478" s="3" t="s">
        <v>11506</v>
      </c>
      <c r="C11478" s="3" t="s">
        <v>2807</v>
      </c>
      <c r="D11478" s="3">
        <v>299.0</v>
      </c>
      <c r="E11478" s="3">
        <v>17.32</v>
      </c>
      <c r="F11478" s="3">
        <v>12.84</v>
      </c>
      <c r="G11478" s="3">
        <v>22.52</v>
      </c>
    </row>
    <row r="11479">
      <c r="A11479" s="3">
        <v>786056.0</v>
      </c>
      <c r="B11479" s="3" t="s">
        <v>11507</v>
      </c>
      <c r="C11479" s="3" t="s">
        <v>2807</v>
      </c>
      <c r="D11479" s="3">
        <v>271.0</v>
      </c>
      <c r="E11479" s="3">
        <v>14.71</v>
      </c>
      <c r="F11479" s="3">
        <v>12.29</v>
      </c>
      <c r="G11479" s="3">
        <v>22.06</v>
      </c>
    </row>
    <row r="11480">
      <c r="A11480" s="3">
        <v>786057.0</v>
      </c>
      <c r="B11480" s="3" t="s">
        <v>11508</v>
      </c>
      <c r="C11480" s="3" t="s">
        <v>2807</v>
      </c>
      <c r="D11480" s="3">
        <v>350.0</v>
      </c>
      <c r="E11480" s="3">
        <v>23.97</v>
      </c>
      <c r="F11480" s="3">
        <v>11.33</v>
      </c>
      <c r="G11480" s="3">
        <v>21.65</v>
      </c>
    </row>
    <row r="11481">
      <c r="A11481" s="3">
        <v>786058.0</v>
      </c>
      <c r="B11481" s="3" t="s">
        <v>11509</v>
      </c>
      <c r="C11481" s="3" t="s">
        <v>2807</v>
      </c>
      <c r="D11481" s="3">
        <v>329.0</v>
      </c>
      <c r="E11481" s="3">
        <v>20.47</v>
      </c>
      <c r="F11481" s="3">
        <v>13.46</v>
      </c>
      <c r="G11481" s="3">
        <v>22.09</v>
      </c>
    </row>
    <row r="11482">
      <c r="A11482" s="3">
        <v>786061.0</v>
      </c>
      <c r="B11482" s="3" t="s">
        <v>11510</v>
      </c>
      <c r="C11482" s="3" t="s">
        <v>2807</v>
      </c>
      <c r="D11482" s="3">
        <v>312.0</v>
      </c>
      <c r="E11482" s="3">
        <v>19.97</v>
      </c>
      <c r="F11482" s="3">
        <v>12.58</v>
      </c>
      <c r="G11482" s="3">
        <v>20.79</v>
      </c>
    </row>
    <row r="11483">
      <c r="A11483" s="3">
        <v>786062.0</v>
      </c>
      <c r="B11483" s="3" t="s">
        <v>11511</v>
      </c>
      <c r="C11483" s="3" t="s">
        <v>2807</v>
      </c>
      <c r="D11483" s="3">
        <v>125.0</v>
      </c>
      <c r="E11483" s="3">
        <v>1.95</v>
      </c>
      <c r="F11483" s="3">
        <v>3.88</v>
      </c>
      <c r="G11483" s="3">
        <v>23.03</v>
      </c>
    </row>
    <row r="11484">
      <c r="A11484" s="3">
        <v>786063.0</v>
      </c>
      <c r="B11484" s="3" t="s">
        <v>11512</v>
      </c>
      <c r="C11484" s="3" t="s">
        <v>2807</v>
      </c>
      <c r="D11484" s="3">
        <v>186.0</v>
      </c>
      <c r="E11484" s="3">
        <v>10.59</v>
      </c>
      <c r="F11484" s="3">
        <v>3.78</v>
      </c>
      <c r="G11484" s="3">
        <v>19.02</v>
      </c>
    </row>
    <row r="11485">
      <c r="A11485" s="3">
        <v>786064.0</v>
      </c>
      <c r="B11485" s="3" t="s">
        <v>11513</v>
      </c>
      <c r="C11485" s="3" t="s">
        <v>2807</v>
      </c>
      <c r="D11485" s="3">
        <v>215.0</v>
      </c>
      <c r="E11485" s="3">
        <v>12.3</v>
      </c>
      <c r="F11485" s="3">
        <v>5.9</v>
      </c>
      <c r="G11485" s="3">
        <v>20.33</v>
      </c>
    </row>
    <row r="11486">
      <c r="A11486" s="3">
        <v>786065.0</v>
      </c>
      <c r="B11486" s="3" t="s">
        <v>11514</v>
      </c>
      <c r="C11486" s="3" t="s">
        <v>189</v>
      </c>
      <c r="D11486" s="3">
        <v>167.0</v>
      </c>
      <c r="E11486" s="3">
        <v>8.14</v>
      </c>
      <c r="F11486" s="3">
        <v>13.81</v>
      </c>
      <c r="G11486" s="3">
        <v>9.34</v>
      </c>
    </row>
    <row r="11487">
      <c r="A11487" s="3">
        <v>786066.0</v>
      </c>
      <c r="B11487" s="3" t="s">
        <v>11515</v>
      </c>
      <c r="C11487" s="3" t="s">
        <v>1464</v>
      </c>
      <c r="D11487" s="3">
        <v>236.0</v>
      </c>
      <c r="E11487" s="3">
        <v>14.37</v>
      </c>
      <c r="F11487" s="3">
        <v>7.56</v>
      </c>
      <c r="G11487" s="3">
        <v>19.16</v>
      </c>
    </row>
    <row r="11488">
      <c r="A11488" s="3">
        <v>786067.0</v>
      </c>
      <c r="B11488" s="3" t="s">
        <v>11516</v>
      </c>
      <c r="C11488" s="3" t="s">
        <v>1464</v>
      </c>
      <c r="D11488" s="3">
        <v>189.0</v>
      </c>
      <c r="E11488" s="3">
        <v>10.78</v>
      </c>
      <c r="F11488" s="3">
        <v>4.77</v>
      </c>
      <c r="G11488" s="3">
        <v>18.41</v>
      </c>
    </row>
    <row r="11489">
      <c r="A11489" s="3">
        <v>786068.0</v>
      </c>
      <c r="B11489" s="3" t="s">
        <v>11517</v>
      </c>
      <c r="C11489" s="3" t="s">
        <v>1464</v>
      </c>
      <c r="D11489" s="3">
        <v>217.0</v>
      </c>
      <c r="E11489" s="3">
        <v>11.15</v>
      </c>
      <c r="F11489" s="3">
        <v>7.98</v>
      </c>
      <c r="G11489" s="3">
        <v>21.01</v>
      </c>
    </row>
    <row r="11490">
      <c r="A11490" s="3">
        <v>786069.0</v>
      </c>
      <c r="B11490" s="3" t="s">
        <v>11518</v>
      </c>
      <c r="C11490" s="3" t="s">
        <v>1464</v>
      </c>
      <c r="D11490" s="3">
        <v>261.0</v>
      </c>
      <c r="E11490" s="3">
        <v>16.85</v>
      </c>
      <c r="F11490" s="3">
        <v>6.73</v>
      </c>
      <c r="G11490" s="3">
        <v>20.52</v>
      </c>
    </row>
    <row r="11491">
      <c r="A11491" s="3">
        <v>786070.0</v>
      </c>
      <c r="B11491" s="3" t="s">
        <v>11519</v>
      </c>
      <c r="C11491" s="3" t="s">
        <v>1464</v>
      </c>
      <c r="D11491" s="3">
        <v>139.0</v>
      </c>
      <c r="E11491" s="3">
        <v>4.97</v>
      </c>
      <c r="F11491" s="3">
        <v>7.45</v>
      </c>
      <c r="G11491" s="3">
        <v>16.17</v>
      </c>
    </row>
    <row r="11492">
      <c r="A11492" s="3">
        <v>786073.0</v>
      </c>
      <c r="B11492" s="3" t="s">
        <v>11520</v>
      </c>
      <c r="C11492" s="3" t="s">
        <v>1464</v>
      </c>
      <c r="D11492" s="3">
        <v>196.0</v>
      </c>
      <c r="E11492" s="3">
        <v>9.91</v>
      </c>
      <c r="F11492" s="3">
        <v>14.2</v>
      </c>
      <c r="G11492" s="3">
        <v>12.16</v>
      </c>
    </row>
    <row r="11493">
      <c r="A11493" s="3">
        <v>786075.0</v>
      </c>
      <c r="B11493" s="3" t="s">
        <v>11521</v>
      </c>
      <c r="C11493" s="3" t="s">
        <v>1464</v>
      </c>
      <c r="D11493" s="3">
        <v>197.0</v>
      </c>
      <c r="E11493" s="3">
        <v>9.83</v>
      </c>
      <c r="F11493" s="3">
        <v>13.86</v>
      </c>
      <c r="G11493" s="3">
        <v>12.77</v>
      </c>
    </row>
    <row r="11494">
      <c r="A11494" s="3">
        <v>786076.0</v>
      </c>
      <c r="B11494" s="3" t="s">
        <v>11522</v>
      </c>
      <c r="C11494" s="3" t="s">
        <v>1464</v>
      </c>
      <c r="D11494" s="3">
        <v>195.0</v>
      </c>
      <c r="E11494" s="3">
        <v>9.4</v>
      </c>
      <c r="F11494" s="3">
        <v>14.3</v>
      </c>
      <c r="G11494" s="3">
        <v>12.97</v>
      </c>
    </row>
    <row r="11495">
      <c r="A11495" s="3">
        <v>786077.0</v>
      </c>
      <c r="B11495" s="3" t="s">
        <v>11523</v>
      </c>
      <c r="C11495" s="3" t="s">
        <v>1464</v>
      </c>
      <c r="D11495" s="3">
        <v>191.0</v>
      </c>
      <c r="E11495" s="3">
        <v>9.19</v>
      </c>
      <c r="F11495" s="3">
        <v>14.04</v>
      </c>
      <c r="G11495" s="3">
        <v>12.77</v>
      </c>
    </row>
    <row r="11496">
      <c r="A11496" s="3">
        <v>786079.0</v>
      </c>
      <c r="B11496" s="3" t="s">
        <v>11524</v>
      </c>
      <c r="C11496" s="3" t="s">
        <v>1464</v>
      </c>
      <c r="D11496" s="3">
        <v>177.0</v>
      </c>
      <c r="E11496" s="3">
        <v>8.4</v>
      </c>
      <c r="F11496" s="3">
        <v>11.71</v>
      </c>
      <c r="G11496" s="3">
        <v>13.46</v>
      </c>
    </row>
    <row r="11497">
      <c r="A11497" s="3">
        <v>786080.0</v>
      </c>
      <c r="B11497" s="3" t="s">
        <v>11525</v>
      </c>
      <c r="C11497" s="3" t="s">
        <v>1464</v>
      </c>
      <c r="D11497" s="3">
        <v>198.0</v>
      </c>
      <c r="E11497" s="3">
        <v>10.29</v>
      </c>
      <c r="F11497" s="3">
        <v>14.17</v>
      </c>
      <c r="G11497" s="3">
        <v>12.74</v>
      </c>
    </row>
    <row r="11498">
      <c r="A11498" s="3">
        <v>786081.0</v>
      </c>
      <c r="B11498" s="3" t="s">
        <v>11526</v>
      </c>
      <c r="C11498" s="3" t="s">
        <v>1464</v>
      </c>
      <c r="D11498" s="3">
        <v>179.0</v>
      </c>
      <c r="E11498" s="3">
        <v>8.93</v>
      </c>
      <c r="F11498" s="3">
        <v>12.04</v>
      </c>
      <c r="G11498" s="3">
        <v>13.26</v>
      </c>
    </row>
    <row r="11499">
      <c r="A11499" s="3">
        <v>786082.0</v>
      </c>
      <c r="B11499" s="3" t="s">
        <v>11527</v>
      </c>
      <c r="C11499" s="3" t="s">
        <v>1464</v>
      </c>
      <c r="D11499" s="3">
        <v>194.0</v>
      </c>
      <c r="E11499" s="3">
        <v>10.25</v>
      </c>
      <c r="F11499" s="3">
        <v>13.89</v>
      </c>
      <c r="G11499" s="3">
        <v>11.06</v>
      </c>
    </row>
    <row r="11500">
      <c r="A11500" s="3">
        <v>786083.0</v>
      </c>
      <c r="B11500" s="3" t="s">
        <v>11528</v>
      </c>
      <c r="C11500" s="3" t="s">
        <v>1464</v>
      </c>
      <c r="D11500" s="3">
        <v>170.0</v>
      </c>
      <c r="E11500" s="3">
        <v>8.58</v>
      </c>
      <c r="F11500" s="3">
        <v>11.49</v>
      </c>
      <c r="G11500" s="3">
        <v>11.53</v>
      </c>
    </row>
    <row r="11501">
      <c r="A11501" s="3">
        <v>786084.0</v>
      </c>
      <c r="B11501" s="3" t="s">
        <v>11529</v>
      </c>
      <c r="C11501" s="3" t="s">
        <v>1464</v>
      </c>
      <c r="D11501" s="3">
        <v>186.0</v>
      </c>
      <c r="E11501" s="3">
        <v>7.06</v>
      </c>
      <c r="F11501" s="3">
        <v>10.7</v>
      </c>
      <c r="G11501" s="3">
        <v>19.09</v>
      </c>
    </row>
    <row r="11502">
      <c r="A11502" s="3">
        <v>786085.0</v>
      </c>
      <c r="B11502" s="3" t="s">
        <v>11530</v>
      </c>
      <c r="C11502" s="3" t="s">
        <v>1464</v>
      </c>
      <c r="D11502" s="3">
        <v>139.0</v>
      </c>
      <c r="E11502" s="3">
        <v>5.95</v>
      </c>
      <c r="F11502" s="3">
        <v>7.18</v>
      </c>
      <c r="G11502" s="3">
        <v>14.1</v>
      </c>
    </row>
    <row r="11503">
      <c r="A11503" s="3">
        <v>786086.0</v>
      </c>
      <c r="B11503" s="3" t="s">
        <v>11531</v>
      </c>
      <c r="C11503" s="3" t="s">
        <v>1464</v>
      </c>
      <c r="D11503" s="3">
        <v>170.0</v>
      </c>
      <c r="E11503" s="3">
        <v>8.44</v>
      </c>
      <c r="F11503" s="3">
        <v>8.37</v>
      </c>
      <c r="G11503" s="3">
        <v>14.63</v>
      </c>
    </row>
    <row r="11504">
      <c r="A11504" s="3">
        <v>786087.0</v>
      </c>
      <c r="B11504" s="3" t="s">
        <v>11532</v>
      </c>
      <c r="C11504" s="3" t="s">
        <v>1464</v>
      </c>
      <c r="D11504" s="3">
        <v>189.0</v>
      </c>
      <c r="E11504" s="3">
        <v>7.23</v>
      </c>
      <c r="F11504" s="3">
        <v>12.48</v>
      </c>
      <c r="G11504" s="3">
        <v>17.45</v>
      </c>
    </row>
    <row r="11505">
      <c r="A11505" s="3">
        <v>786088.0</v>
      </c>
      <c r="B11505" s="3" t="s">
        <v>11533</v>
      </c>
      <c r="C11505" s="3" t="s">
        <v>1464</v>
      </c>
      <c r="D11505" s="3">
        <v>148.0</v>
      </c>
      <c r="E11505" s="3">
        <v>6.12</v>
      </c>
      <c r="F11505" s="3">
        <v>8.67</v>
      </c>
      <c r="G11505" s="3">
        <v>14.31</v>
      </c>
    </row>
    <row r="11506">
      <c r="A11506" s="3">
        <v>786090.0</v>
      </c>
      <c r="B11506" s="3" t="s">
        <v>11534</v>
      </c>
      <c r="C11506" s="3" t="s">
        <v>1464</v>
      </c>
      <c r="D11506" s="3">
        <v>175.0</v>
      </c>
      <c r="E11506" s="3">
        <v>8.67</v>
      </c>
      <c r="F11506" s="3">
        <v>10.04</v>
      </c>
      <c r="G11506" s="3">
        <v>13.52</v>
      </c>
    </row>
    <row r="11507">
      <c r="A11507" s="3">
        <v>786091.0</v>
      </c>
      <c r="B11507" s="3" t="s">
        <v>11535</v>
      </c>
      <c r="C11507" s="3" t="s">
        <v>1464</v>
      </c>
      <c r="D11507" s="3">
        <v>177.0</v>
      </c>
      <c r="E11507" s="3">
        <v>6.65</v>
      </c>
      <c r="F11507" s="3">
        <v>8.36</v>
      </c>
      <c r="G11507" s="3">
        <v>20.33</v>
      </c>
    </row>
    <row r="11508">
      <c r="A11508" s="3">
        <v>786092.0</v>
      </c>
      <c r="B11508" s="3" t="s">
        <v>11536</v>
      </c>
      <c r="C11508" s="3" t="s">
        <v>1464</v>
      </c>
      <c r="D11508" s="3">
        <v>98.0</v>
      </c>
      <c r="E11508" s="3">
        <v>2.3</v>
      </c>
      <c r="F11508" s="3">
        <v>3.98</v>
      </c>
      <c r="G11508" s="3">
        <v>15.22</v>
      </c>
    </row>
    <row r="11509">
      <c r="A11509" s="3">
        <v>786094.0</v>
      </c>
      <c r="B11509" s="3" t="s">
        <v>11537</v>
      </c>
      <c r="C11509" s="3" t="s">
        <v>1464</v>
      </c>
      <c r="D11509" s="3">
        <v>139.0</v>
      </c>
      <c r="E11509" s="3">
        <v>6.36</v>
      </c>
      <c r="F11509" s="3">
        <v>6.93</v>
      </c>
      <c r="G11509" s="3">
        <v>13.5</v>
      </c>
    </row>
    <row r="11510">
      <c r="A11510" s="3">
        <v>786095.0</v>
      </c>
      <c r="B11510" s="3" t="s">
        <v>11538</v>
      </c>
      <c r="C11510" s="3" t="s">
        <v>1464</v>
      </c>
      <c r="D11510" s="3">
        <v>163.0</v>
      </c>
      <c r="E11510" s="3">
        <v>8.18</v>
      </c>
      <c r="F11510" s="3">
        <v>6.68</v>
      </c>
      <c r="G11510" s="3">
        <v>15.26</v>
      </c>
    </row>
    <row r="11511">
      <c r="A11511" s="3">
        <v>786096.0</v>
      </c>
      <c r="B11511" s="3" t="s">
        <v>11539</v>
      </c>
      <c r="C11511" s="3" t="s">
        <v>1464</v>
      </c>
      <c r="D11511" s="3">
        <v>151.0</v>
      </c>
      <c r="E11511" s="3">
        <v>4.51</v>
      </c>
      <c r="F11511" s="3">
        <v>6.94</v>
      </c>
      <c r="G11511" s="3">
        <v>20.17</v>
      </c>
    </row>
    <row r="11512">
      <c r="A11512" s="3">
        <v>786097.0</v>
      </c>
      <c r="B11512" s="3" t="s">
        <v>11540</v>
      </c>
      <c r="C11512" s="3" t="s">
        <v>1464</v>
      </c>
      <c r="D11512" s="3">
        <v>145.0</v>
      </c>
      <c r="E11512" s="3">
        <v>6.71</v>
      </c>
      <c r="F11512" s="3">
        <v>5.76</v>
      </c>
      <c r="G11512" s="3">
        <v>15.23</v>
      </c>
    </row>
    <row r="11513">
      <c r="A11513" s="3">
        <v>786098.0</v>
      </c>
      <c r="B11513" s="3" t="s">
        <v>11541</v>
      </c>
      <c r="C11513" s="3" t="s">
        <v>1464</v>
      </c>
      <c r="D11513" s="3">
        <v>117.0</v>
      </c>
      <c r="E11513" s="3">
        <v>3.37</v>
      </c>
      <c r="F11513" s="3">
        <v>5.43</v>
      </c>
      <c r="G11513" s="3">
        <v>16.35</v>
      </c>
    </row>
    <row r="11514">
      <c r="A11514" s="3">
        <v>786099.0</v>
      </c>
      <c r="B11514" s="3" t="s">
        <v>11542</v>
      </c>
      <c r="C11514" s="3" t="s">
        <v>1464</v>
      </c>
      <c r="D11514" s="3">
        <v>212.0</v>
      </c>
      <c r="E11514" s="3">
        <v>9.95</v>
      </c>
      <c r="F11514" s="3">
        <v>11.35</v>
      </c>
      <c r="G11514" s="3">
        <v>18.79</v>
      </c>
    </row>
    <row r="11515">
      <c r="A11515" s="3">
        <v>786100.0</v>
      </c>
      <c r="B11515" s="3" t="s">
        <v>11543</v>
      </c>
      <c r="C11515" s="3" t="s">
        <v>1464</v>
      </c>
      <c r="D11515" s="3">
        <v>157.0</v>
      </c>
      <c r="E11515" s="3">
        <v>7.05</v>
      </c>
      <c r="F11515" s="3">
        <v>8.3</v>
      </c>
      <c r="G11515" s="3">
        <v>15.04</v>
      </c>
    </row>
    <row r="11516">
      <c r="A11516" s="3">
        <v>786101.0</v>
      </c>
      <c r="B11516" s="3" t="s">
        <v>11544</v>
      </c>
      <c r="C11516" s="3" t="s">
        <v>1464</v>
      </c>
      <c r="D11516" s="3">
        <v>164.0</v>
      </c>
      <c r="E11516" s="3">
        <v>7.7</v>
      </c>
      <c r="F11516" s="3">
        <v>9.45</v>
      </c>
      <c r="G11516" s="3">
        <v>14.03</v>
      </c>
    </row>
    <row r="11517">
      <c r="A11517" s="3">
        <v>786102.0</v>
      </c>
      <c r="B11517" s="3" t="s">
        <v>11545</v>
      </c>
      <c r="C11517" s="3" t="s">
        <v>1464</v>
      </c>
      <c r="D11517" s="3">
        <v>137.0</v>
      </c>
      <c r="E11517" s="3">
        <v>5.5</v>
      </c>
      <c r="F11517" s="3">
        <v>7.06</v>
      </c>
      <c r="G11517" s="3">
        <v>15.01</v>
      </c>
    </row>
    <row r="11518">
      <c r="A11518" s="3">
        <v>786103.0</v>
      </c>
      <c r="B11518" s="3" t="s">
        <v>11546</v>
      </c>
      <c r="C11518" s="3" t="s">
        <v>1464</v>
      </c>
      <c r="D11518" s="3">
        <v>210.0</v>
      </c>
      <c r="E11518" s="3">
        <v>9.07</v>
      </c>
      <c r="F11518" s="3">
        <v>10.79</v>
      </c>
      <c r="G11518" s="3">
        <v>20.66</v>
      </c>
    </row>
    <row r="11519">
      <c r="A11519" s="3">
        <v>786104.0</v>
      </c>
      <c r="B11519" s="3" t="s">
        <v>11547</v>
      </c>
      <c r="C11519" s="3" t="s">
        <v>1464</v>
      </c>
      <c r="D11519" s="3">
        <v>149.0</v>
      </c>
      <c r="E11519" s="3">
        <v>6.14</v>
      </c>
      <c r="F11519" s="3">
        <v>7.58</v>
      </c>
      <c r="G11519" s="3">
        <v>15.82</v>
      </c>
    </row>
    <row r="11520">
      <c r="A11520" s="3">
        <v>786105.0</v>
      </c>
      <c r="B11520" s="3" t="s">
        <v>11548</v>
      </c>
      <c r="C11520" s="3" t="s">
        <v>1464</v>
      </c>
      <c r="D11520" s="3">
        <v>161.0</v>
      </c>
      <c r="E11520" s="3">
        <v>6.89</v>
      </c>
      <c r="F11520" s="3">
        <v>8.99</v>
      </c>
      <c r="G11520" s="3">
        <v>15.65</v>
      </c>
    </row>
    <row r="11521">
      <c r="A11521" s="3">
        <v>786106.0</v>
      </c>
      <c r="B11521" s="3" t="s">
        <v>11549</v>
      </c>
      <c r="C11521" s="3" t="s">
        <v>1464</v>
      </c>
      <c r="D11521" s="3">
        <v>188.0</v>
      </c>
      <c r="E11521" s="3">
        <v>6.77</v>
      </c>
      <c r="F11521" s="3">
        <v>9.81</v>
      </c>
      <c r="G11521" s="3">
        <v>21.53</v>
      </c>
    </row>
    <row r="11522">
      <c r="A11522" s="3">
        <v>786107.0</v>
      </c>
      <c r="B11522" s="3" t="s">
        <v>11550</v>
      </c>
      <c r="C11522" s="3" t="s">
        <v>1464</v>
      </c>
      <c r="D11522" s="3">
        <v>136.0</v>
      </c>
      <c r="E11522" s="3">
        <v>3.27</v>
      </c>
      <c r="F11522" s="3">
        <v>10.66</v>
      </c>
      <c r="G11522" s="3">
        <v>16.06</v>
      </c>
    </row>
    <row r="11523">
      <c r="A11523" s="3">
        <v>786108.0</v>
      </c>
      <c r="B11523" s="3" t="s">
        <v>11551</v>
      </c>
      <c r="C11523" s="3" t="s">
        <v>1464</v>
      </c>
      <c r="D11523" s="3">
        <v>116.0</v>
      </c>
      <c r="E11523" s="3">
        <v>1.85</v>
      </c>
      <c r="F11523" s="3">
        <v>8.75</v>
      </c>
      <c r="G11523" s="3">
        <v>15.94</v>
      </c>
    </row>
    <row r="11524">
      <c r="A11524" s="3">
        <v>786109.0</v>
      </c>
      <c r="B11524" s="3" t="s">
        <v>11552</v>
      </c>
      <c r="C11524" s="3" t="s">
        <v>1464</v>
      </c>
      <c r="D11524" s="3">
        <v>134.0</v>
      </c>
      <c r="E11524" s="3">
        <v>4.97</v>
      </c>
      <c r="F11524" s="3">
        <v>6.4</v>
      </c>
      <c r="G11524" s="3">
        <v>15.87</v>
      </c>
    </row>
    <row r="11525">
      <c r="A11525" s="3">
        <v>786110.0</v>
      </c>
      <c r="B11525" s="3" t="s">
        <v>11553</v>
      </c>
      <c r="C11525" s="3" t="s">
        <v>1464</v>
      </c>
      <c r="D11525" s="3">
        <v>91.0</v>
      </c>
      <c r="E11525" s="3">
        <v>1.89</v>
      </c>
      <c r="F11525" s="3">
        <v>3.5</v>
      </c>
      <c r="G11525" s="3">
        <v>15.32</v>
      </c>
    </row>
    <row r="11526">
      <c r="A11526" s="3">
        <v>786111.0</v>
      </c>
      <c r="B11526" s="3" t="s">
        <v>11554</v>
      </c>
      <c r="C11526" s="3" t="s">
        <v>1464</v>
      </c>
      <c r="D11526" s="3">
        <v>149.0</v>
      </c>
      <c r="E11526" s="3">
        <v>3.71</v>
      </c>
      <c r="F11526" s="3">
        <v>6.18</v>
      </c>
      <c r="G11526" s="3">
        <v>22.71</v>
      </c>
    </row>
    <row r="11527">
      <c r="A11527" s="3">
        <v>786112.0</v>
      </c>
      <c r="B11527" s="3" t="s">
        <v>11555</v>
      </c>
      <c r="C11527" s="3" t="s">
        <v>1464</v>
      </c>
      <c r="D11527" s="3">
        <v>91.0</v>
      </c>
      <c r="E11527" s="3">
        <v>1.48</v>
      </c>
      <c r="F11527" s="3">
        <v>3.52</v>
      </c>
      <c r="G11527" s="3">
        <v>15.83</v>
      </c>
    </row>
    <row r="11528">
      <c r="A11528" s="3">
        <v>786113.0</v>
      </c>
      <c r="B11528" s="3" t="s">
        <v>11556</v>
      </c>
      <c r="C11528" s="3" t="s">
        <v>1464</v>
      </c>
      <c r="D11528" s="3">
        <v>222.0</v>
      </c>
      <c r="E11528" s="3">
        <v>15.04</v>
      </c>
      <c r="F11528" s="3">
        <v>6.61</v>
      </c>
      <c r="G11528" s="3">
        <v>15.1</v>
      </c>
    </row>
    <row r="11529">
      <c r="A11529" s="3">
        <v>786114.0</v>
      </c>
      <c r="B11529" s="3" t="s">
        <v>11557</v>
      </c>
      <c r="C11529" s="3" t="s">
        <v>1464</v>
      </c>
      <c r="D11529" s="3">
        <v>197.0</v>
      </c>
      <c r="E11529" s="3">
        <v>10.79</v>
      </c>
      <c r="F11529" s="3">
        <v>7.04</v>
      </c>
      <c r="G11529" s="3">
        <v>17.57</v>
      </c>
    </row>
    <row r="11530">
      <c r="A11530" s="3">
        <v>786115.0</v>
      </c>
      <c r="B11530" s="3" t="s">
        <v>11558</v>
      </c>
      <c r="C11530" s="3" t="s">
        <v>1464</v>
      </c>
      <c r="D11530" s="3">
        <v>191.0</v>
      </c>
      <c r="E11530" s="3">
        <v>7.52</v>
      </c>
      <c r="F11530" s="3">
        <v>11.96</v>
      </c>
      <c r="G11530" s="3">
        <v>17.86</v>
      </c>
    </row>
    <row r="11531">
      <c r="A11531" s="3">
        <v>786116.0</v>
      </c>
      <c r="B11531" s="3" t="s">
        <v>11559</v>
      </c>
      <c r="C11531" s="3" t="s">
        <v>1464</v>
      </c>
      <c r="D11531" s="3">
        <v>156.0</v>
      </c>
      <c r="E11531" s="3">
        <v>7.39</v>
      </c>
      <c r="F11531" s="3">
        <v>6.39</v>
      </c>
      <c r="G11531" s="3">
        <v>15.61</v>
      </c>
    </row>
    <row r="11532">
      <c r="A11532" s="3">
        <v>786117.0</v>
      </c>
      <c r="B11532" s="3" t="s">
        <v>11560</v>
      </c>
      <c r="C11532" s="3" t="s">
        <v>1464</v>
      </c>
      <c r="D11532" s="3">
        <v>236.0</v>
      </c>
      <c r="E11532" s="3">
        <v>5.56</v>
      </c>
      <c r="F11532" s="3">
        <v>10.38</v>
      </c>
      <c r="G11532" s="3">
        <v>36.15</v>
      </c>
    </row>
    <row r="11533">
      <c r="A11533" s="3">
        <v>786118.0</v>
      </c>
      <c r="B11533" s="3" t="s">
        <v>11561</v>
      </c>
      <c r="C11533" s="3" t="s">
        <v>1464</v>
      </c>
      <c r="D11533" s="3">
        <v>120.0</v>
      </c>
      <c r="E11533" s="3">
        <v>4.31</v>
      </c>
      <c r="F11533" s="3">
        <v>4.42</v>
      </c>
      <c r="G11533" s="3">
        <v>16.2</v>
      </c>
    </row>
    <row r="11534">
      <c r="A11534" s="3">
        <v>786119.0</v>
      </c>
      <c r="B11534" s="3" t="s">
        <v>11562</v>
      </c>
      <c r="C11534" s="3" t="s">
        <v>1464</v>
      </c>
      <c r="D11534" s="3">
        <v>187.0</v>
      </c>
      <c r="E11534" s="3">
        <v>7.13</v>
      </c>
      <c r="F11534" s="3">
        <v>8.72</v>
      </c>
      <c r="G11534" s="3">
        <v>21.24</v>
      </c>
    </row>
    <row r="11535">
      <c r="A11535" s="3">
        <v>786120.0</v>
      </c>
      <c r="B11535" s="3" t="s">
        <v>11563</v>
      </c>
      <c r="C11535" s="3" t="s">
        <v>1464</v>
      </c>
      <c r="D11535" s="3">
        <v>158.0</v>
      </c>
      <c r="E11535" s="3">
        <v>6.71</v>
      </c>
      <c r="F11535" s="3">
        <v>6.95</v>
      </c>
      <c r="G11535" s="3">
        <v>17.41</v>
      </c>
    </row>
    <row r="11536">
      <c r="A11536" s="3">
        <v>786121.0</v>
      </c>
      <c r="B11536" s="3" t="s">
        <v>11564</v>
      </c>
      <c r="C11536" s="3" t="s">
        <v>1464</v>
      </c>
      <c r="D11536" s="3">
        <v>102.0</v>
      </c>
      <c r="E11536" s="3">
        <v>2.74</v>
      </c>
      <c r="F11536" s="3">
        <v>7.09</v>
      </c>
      <c r="G11536" s="3">
        <v>11.51</v>
      </c>
    </row>
    <row r="11537">
      <c r="A11537" s="3">
        <v>786122.0</v>
      </c>
      <c r="B11537" s="3" t="s">
        <v>11565</v>
      </c>
      <c r="C11537" s="3" t="s">
        <v>1464</v>
      </c>
      <c r="D11537" s="3">
        <v>74.0</v>
      </c>
      <c r="E11537" s="3">
        <v>0.97</v>
      </c>
      <c r="F11537" s="3">
        <v>1.56</v>
      </c>
      <c r="G11537" s="3">
        <v>14.46</v>
      </c>
    </row>
    <row r="11538">
      <c r="A11538" s="3">
        <v>786125.0</v>
      </c>
      <c r="B11538" s="3" t="s">
        <v>11566</v>
      </c>
      <c r="C11538" s="3" t="s">
        <v>1464</v>
      </c>
      <c r="D11538" s="3">
        <v>121.0</v>
      </c>
      <c r="E11538" s="3">
        <v>2.21</v>
      </c>
      <c r="F11538" s="3">
        <v>8.56</v>
      </c>
      <c r="G11538" s="3">
        <v>16.24</v>
      </c>
    </row>
    <row r="11539">
      <c r="A11539" s="3">
        <v>786126.0</v>
      </c>
      <c r="B11539" s="3" t="s">
        <v>11567</v>
      </c>
      <c r="C11539" s="3" t="s">
        <v>1464</v>
      </c>
      <c r="D11539" s="3">
        <v>138.0</v>
      </c>
      <c r="E11539" s="3">
        <v>3.79</v>
      </c>
      <c r="F11539" s="3">
        <v>9.48</v>
      </c>
      <c r="G11539" s="3">
        <v>16.18</v>
      </c>
    </row>
    <row r="11540">
      <c r="A11540" s="3">
        <v>786127.0</v>
      </c>
      <c r="B11540" s="3" t="s">
        <v>11568</v>
      </c>
      <c r="C11540" s="3" t="s">
        <v>1464</v>
      </c>
      <c r="D11540" s="3">
        <v>129.0</v>
      </c>
      <c r="E11540" s="3">
        <v>2.77</v>
      </c>
      <c r="F11540" s="3">
        <v>9.73</v>
      </c>
      <c r="G11540" s="3">
        <v>16.18</v>
      </c>
    </row>
    <row r="11541">
      <c r="A11541" s="3">
        <v>786128.0</v>
      </c>
      <c r="B11541" s="3" t="s">
        <v>11569</v>
      </c>
      <c r="C11541" s="3" t="s">
        <v>1464</v>
      </c>
      <c r="D11541" s="3">
        <v>130.0</v>
      </c>
      <c r="E11541" s="3">
        <v>3.15</v>
      </c>
      <c r="F11541" s="3">
        <v>9.15</v>
      </c>
      <c r="G11541" s="3">
        <v>16.15</v>
      </c>
    </row>
    <row r="11542">
      <c r="A11542" s="3">
        <v>786129.0</v>
      </c>
      <c r="B11542" s="3" t="s">
        <v>11570</v>
      </c>
      <c r="C11542" s="3" t="s">
        <v>1464</v>
      </c>
      <c r="D11542" s="3">
        <v>153.0</v>
      </c>
      <c r="E11542" s="3">
        <v>7.39</v>
      </c>
      <c r="F11542" s="3">
        <v>8.12</v>
      </c>
      <c r="G11542" s="3">
        <v>14.32</v>
      </c>
    </row>
    <row r="11543">
      <c r="A11543" s="3">
        <v>786130.0</v>
      </c>
      <c r="B11543" s="3" t="s">
        <v>11571</v>
      </c>
      <c r="C11543" s="3" t="s">
        <v>1464</v>
      </c>
      <c r="D11543" s="3">
        <v>164.0</v>
      </c>
      <c r="E11543" s="3">
        <v>9.08</v>
      </c>
      <c r="F11543" s="3">
        <v>5.77</v>
      </c>
      <c r="G11543" s="3">
        <v>16.31</v>
      </c>
    </row>
    <row r="11544">
      <c r="A11544" s="3">
        <v>786131.0</v>
      </c>
      <c r="B11544" s="3" t="s">
        <v>11572</v>
      </c>
      <c r="C11544" s="3" t="s">
        <v>1464</v>
      </c>
      <c r="D11544" s="3">
        <v>153.0</v>
      </c>
      <c r="E11544" s="3">
        <v>7.39</v>
      </c>
      <c r="F11544" s="3">
        <v>8.12</v>
      </c>
      <c r="G11544" s="3">
        <v>14.32</v>
      </c>
    </row>
    <row r="11545">
      <c r="A11545" s="3">
        <v>786132.0</v>
      </c>
      <c r="B11545" s="3" t="s">
        <v>11573</v>
      </c>
      <c r="C11545" s="3" t="s">
        <v>1464</v>
      </c>
      <c r="D11545" s="3">
        <v>145.0</v>
      </c>
      <c r="E11545" s="3">
        <v>6.7</v>
      </c>
      <c r="F11545" s="3">
        <v>6.82</v>
      </c>
      <c r="G11545" s="3">
        <v>15.01</v>
      </c>
    </row>
    <row r="11546">
      <c r="A11546" s="3">
        <v>786133.0</v>
      </c>
      <c r="B11546" s="3" t="s">
        <v>11574</v>
      </c>
      <c r="C11546" s="3" t="s">
        <v>1464</v>
      </c>
      <c r="D11546" s="3">
        <v>158.0</v>
      </c>
      <c r="E11546" s="3">
        <v>7.81</v>
      </c>
      <c r="F11546" s="3">
        <v>8.16</v>
      </c>
      <c r="G11546" s="3">
        <v>14.69</v>
      </c>
    </row>
    <row r="11547">
      <c r="A11547" s="3">
        <v>786134.0</v>
      </c>
      <c r="B11547" s="3" t="s">
        <v>11575</v>
      </c>
      <c r="C11547" s="3" t="s">
        <v>189</v>
      </c>
      <c r="D11547" s="3">
        <v>172.0</v>
      </c>
      <c r="E11547" s="3">
        <v>7.1</v>
      </c>
      <c r="F11547" s="3">
        <v>17.48</v>
      </c>
      <c r="G11547" s="3">
        <v>8.16</v>
      </c>
    </row>
    <row r="11548">
      <c r="A11548" s="3">
        <v>786135.0</v>
      </c>
      <c r="B11548" s="3" t="s">
        <v>11576</v>
      </c>
      <c r="C11548" s="3" t="s">
        <v>1464</v>
      </c>
      <c r="D11548" s="3">
        <v>251.0</v>
      </c>
      <c r="E11548" s="3">
        <v>14.28</v>
      </c>
      <c r="F11548" s="3">
        <v>12.83</v>
      </c>
      <c r="G11548" s="3">
        <v>17.38</v>
      </c>
    </row>
    <row r="11549">
      <c r="A11549" s="3">
        <v>786136.0</v>
      </c>
      <c r="B11549" s="3" t="s">
        <v>11577</v>
      </c>
      <c r="C11549" s="3" t="s">
        <v>1464</v>
      </c>
      <c r="D11549" s="3">
        <v>147.0</v>
      </c>
      <c r="E11549" s="3">
        <v>4.74</v>
      </c>
      <c r="F11549" s="3">
        <v>7.76</v>
      </c>
      <c r="G11549" s="3">
        <v>18.09</v>
      </c>
    </row>
    <row r="11550">
      <c r="A11550" s="3">
        <v>786137.0</v>
      </c>
      <c r="B11550" s="3" t="s">
        <v>11578</v>
      </c>
      <c r="C11550" s="3" t="s">
        <v>1464</v>
      </c>
      <c r="D11550" s="3">
        <v>221.0</v>
      </c>
      <c r="E11550" s="3">
        <v>10.26</v>
      </c>
      <c r="F11550" s="3">
        <v>8.58</v>
      </c>
      <c r="G11550" s="3">
        <v>23.16</v>
      </c>
    </row>
    <row r="11551">
      <c r="A11551" s="3">
        <v>786139.0</v>
      </c>
      <c r="B11551" s="3" t="s">
        <v>11579</v>
      </c>
      <c r="C11551" s="3" t="s">
        <v>1464</v>
      </c>
      <c r="D11551" s="3">
        <v>177.0</v>
      </c>
      <c r="E11551" s="3">
        <v>7.87</v>
      </c>
      <c r="F11551" s="3">
        <v>4.63</v>
      </c>
      <c r="G11551" s="3">
        <v>22.14</v>
      </c>
    </row>
    <row r="11552">
      <c r="A11552" s="3">
        <v>786141.0</v>
      </c>
      <c r="B11552" s="3" t="s">
        <v>11580</v>
      </c>
      <c r="C11552" s="3" t="s">
        <v>1464</v>
      </c>
      <c r="D11552" s="3">
        <v>110.0</v>
      </c>
      <c r="E11552" s="3">
        <v>1.86</v>
      </c>
      <c r="F11552" s="3">
        <v>3.26</v>
      </c>
      <c r="G11552" s="3">
        <v>20.1</v>
      </c>
    </row>
    <row r="11553">
      <c r="A11553" s="3">
        <v>786142.0</v>
      </c>
      <c r="B11553" s="3" t="s">
        <v>11581</v>
      </c>
      <c r="C11553" s="3" t="s">
        <v>1464</v>
      </c>
      <c r="D11553" s="3">
        <v>129.0</v>
      </c>
      <c r="E11553" s="3">
        <v>4.73</v>
      </c>
      <c r="F11553" s="3">
        <v>4.56</v>
      </c>
      <c r="G11553" s="3">
        <v>17.27</v>
      </c>
    </row>
    <row r="11554">
      <c r="A11554" s="3">
        <v>786143.0</v>
      </c>
      <c r="B11554" s="3" t="s">
        <v>11582</v>
      </c>
      <c r="C11554" s="3" t="s">
        <v>1464</v>
      </c>
      <c r="D11554" s="3">
        <v>162.0</v>
      </c>
      <c r="E11554" s="3">
        <v>6.66</v>
      </c>
      <c r="F11554" s="3">
        <v>7.67</v>
      </c>
      <c r="G11554" s="3">
        <v>18.19</v>
      </c>
    </row>
    <row r="11555">
      <c r="A11555" s="3">
        <v>786144.0</v>
      </c>
      <c r="B11555" s="3" t="s">
        <v>11583</v>
      </c>
      <c r="C11555" s="3" t="s">
        <v>1464</v>
      </c>
      <c r="D11555" s="3">
        <v>209.0</v>
      </c>
      <c r="E11555" s="3">
        <v>11.05</v>
      </c>
      <c r="F11555" s="3">
        <v>11.78</v>
      </c>
      <c r="G11555" s="3">
        <v>15.12</v>
      </c>
    </row>
    <row r="11556">
      <c r="A11556" s="3">
        <v>786145.0</v>
      </c>
      <c r="B11556" s="3" t="s">
        <v>11584</v>
      </c>
      <c r="C11556" s="3" t="s">
        <v>1464</v>
      </c>
      <c r="D11556" s="3">
        <v>144.0</v>
      </c>
      <c r="E11556" s="3">
        <v>7.55</v>
      </c>
      <c r="F11556" s="3">
        <v>8.22</v>
      </c>
      <c r="G11556" s="3">
        <v>10.28</v>
      </c>
    </row>
    <row r="11557">
      <c r="A11557" s="3">
        <v>786146.0</v>
      </c>
      <c r="B11557" s="3" t="s">
        <v>11585</v>
      </c>
      <c r="C11557" s="3" t="s">
        <v>1464</v>
      </c>
      <c r="D11557" s="3">
        <v>146.0</v>
      </c>
      <c r="E11557" s="3">
        <v>6.4</v>
      </c>
      <c r="F11557" s="3">
        <v>3.93</v>
      </c>
      <c r="G11557" s="3">
        <v>18.71</v>
      </c>
    </row>
    <row r="11558">
      <c r="A11558" s="3">
        <v>786147.0</v>
      </c>
      <c r="B11558" s="3" t="s">
        <v>11586</v>
      </c>
      <c r="C11558" s="3" t="s">
        <v>1464</v>
      </c>
      <c r="D11558" s="3">
        <v>212.0</v>
      </c>
      <c r="E11558" s="3">
        <v>12.43</v>
      </c>
      <c r="F11558" s="3">
        <v>6.28</v>
      </c>
      <c r="G11558" s="3">
        <v>18.74</v>
      </c>
    </row>
    <row r="11559">
      <c r="A11559" s="3">
        <v>786148.0</v>
      </c>
      <c r="B11559" s="3" t="s">
        <v>11587</v>
      </c>
      <c r="C11559" s="3" t="s">
        <v>1464</v>
      </c>
      <c r="D11559" s="3">
        <v>187.0</v>
      </c>
      <c r="E11559" s="3">
        <v>9.62</v>
      </c>
      <c r="F11559" s="3">
        <v>6.2</v>
      </c>
      <c r="G11559" s="3">
        <v>18.96</v>
      </c>
    </row>
    <row r="11560">
      <c r="A11560" s="3">
        <v>786149.0</v>
      </c>
      <c r="B11560" s="3" t="s">
        <v>11588</v>
      </c>
      <c r="C11560" s="3" t="s">
        <v>1464</v>
      </c>
      <c r="D11560" s="3">
        <v>176.0</v>
      </c>
      <c r="E11560" s="3">
        <v>7.5</v>
      </c>
      <c r="F11560" s="3">
        <v>12.52</v>
      </c>
      <c r="G11560" s="3">
        <v>14.81</v>
      </c>
    </row>
    <row r="11561">
      <c r="A11561" s="3">
        <v>786150.0</v>
      </c>
      <c r="B11561" s="3" t="s">
        <v>11589</v>
      </c>
      <c r="C11561" s="3" t="s">
        <v>1464</v>
      </c>
      <c r="D11561" s="3">
        <v>149.0</v>
      </c>
      <c r="E11561" s="3">
        <v>7.28</v>
      </c>
      <c r="F11561" s="3">
        <v>8.13</v>
      </c>
      <c r="G11561" s="3">
        <v>12.6</v>
      </c>
    </row>
    <row r="11562">
      <c r="A11562" s="3">
        <v>786151.0</v>
      </c>
      <c r="B11562" s="3" t="s">
        <v>11590</v>
      </c>
      <c r="C11562" s="3" t="s">
        <v>1464</v>
      </c>
      <c r="D11562" s="3">
        <v>118.0</v>
      </c>
      <c r="E11562" s="3">
        <v>4.83</v>
      </c>
      <c r="F11562" s="3">
        <v>3.72</v>
      </c>
      <c r="G11562" s="3">
        <v>14.63</v>
      </c>
    </row>
    <row r="11563">
      <c r="A11563" s="3">
        <v>786152.0</v>
      </c>
      <c r="B11563" s="3" t="s">
        <v>11591</v>
      </c>
      <c r="C11563" s="3" t="s">
        <v>1464</v>
      </c>
      <c r="D11563" s="3">
        <v>143.0</v>
      </c>
      <c r="E11563" s="3">
        <v>3.48</v>
      </c>
      <c r="F11563" s="3">
        <v>4.44</v>
      </c>
      <c r="G11563" s="3">
        <v>23.22</v>
      </c>
    </row>
    <row r="11564">
      <c r="A11564" s="3">
        <v>786153.0</v>
      </c>
      <c r="B11564" s="3" t="s">
        <v>11592</v>
      </c>
      <c r="C11564" s="3" t="s">
        <v>1464</v>
      </c>
      <c r="D11564" s="3">
        <v>131.0</v>
      </c>
      <c r="E11564" s="3">
        <v>3.08</v>
      </c>
      <c r="F11564" s="3">
        <v>4.8</v>
      </c>
      <c r="G11564" s="3">
        <v>20.42</v>
      </c>
    </row>
    <row r="11565">
      <c r="A11565" s="3">
        <v>786154.0</v>
      </c>
      <c r="B11565" s="3" t="s">
        <v>11593</v>
      </c>
      <c r="C11565" s="3" t="s">
        <v>1464</v>
      </c>
      <c r="D11565" s="3">
        <v>125.0</v>
      </c>
      <c r="E11565" s="3">
        <v>2.63</v>
      </c>
      <c r="F11565" s="3">
        <v>5.86</v>
      </c>
      <c r="G11565" s="3">
        <v>18.91</v>
      </c>
    </row>
    <row r="11566">
      <c r="A11566" s="3">
        <v>786155.0</v>
      </c>
      <c r="B11566" s="3" t="s">
        <v>11594</v>
      </c>
      <c r="C11566" s="3" t="s">
        <v>1464</v>
      </c>
      <c r="D11566" s="3">
        <v>102.0</v>
      </c>
      <c r="E11566" s="3">
        <v>1.6</v>
      </c>
      <c r="F11566" s="3">
        <v>3.78</v>
      </c>
      <c r="G11566" s="3">
        <v>19.44</v>
      </c>
    </row>
    <row r="11567">
      <c r="A11567" s="3">
        <v>786156.0</v>
      </c>
      <c r="B11567" s="3" t="s">
        <v>11595</v>
      </c>
      <c r="C11567" s="3" t="s">
        <v>1464</v>
      </c>
      <c r="D11567" s="3">
        <v>159.0</v>
      </c>
      <c r="E11567" s="3">
        <v>8.03</v>
      </c>
      <c r="F11567" s="3">
        <v>3.4</v>
      </c>
      <c r="G11567" s="3">
        <v>18.14</v>
      </c>
    </row>
    <row r="11568">
      <c r="A11568" s="3">
        <v>786157.0</v>
      </c>
      <c r="B11568" s="3" t="s">
        <v>11596</v>
      </c>
      <c r="C11568" s="3" t="s">
        <v>1464</v>
      </c>
      <c r="D11568" s="3">
        <v>106.0</v>
      </c>
      <c r="E11568" s="3">
        <v>1.26</v>
      </c>
      <c r="F11568" s="3">
        <v>3.68</v>
      </c>
      <c r="G11568" s="3">
        <v>19.58</v>
      </c>
    </row>
    <row r="11569">
      <c r="A11569" s="3">
        <v>786158.0</v>
      </c>
      <c r="B11569" s="3" t="s">
        <v>11597</v>
      </c>
      <c r="C11569" s="3" t="s">
        <v>1464</v>
      </c>
      <c r="D11569" s="3">
        <v>120.0</v>
      </c>
      <c r="E11569" s="3">
        <v>3.04</v>
      </c>
      <c r="F11569" s="3">
        <v>3.6</v>
      </c>
      <c r="G11569" s="3">
        <v>19.15</v>
      </c>
    </row>
    <row r="11570">
      <c r="A11570" s="3">
        <v>786159.0</v>
      </c>
      <c r="B11570" s="3" t="s">
        <v>11598</v>
      </c>
      <c r="C11570" s="3" t="s">
        <v>1464</v>
      </c>
      <c r="D11570" s="3">
        <v>156.0</v>
      </c>
      <c r="E11570" s="3">
        <v>7.89</v>
      </c>
      <c r="F11570" s="3">
        <v>3.4</v>
      </c>
      <c r="G11570" s="3">
        <v>17.88</v>
      </c>
    </row>
    <row r="11571">
      <c r="A11571" s="3">
        <v>786160.0</v>
      </c>
      <c r="B11571" s="3" t="s">
        <v>11599</v>
      </c>
      <c r="C11571" s="3" t="s">
        <v>1464</v>
      </c>
      <c r="D11571" s="3">
        <v>103.0</v>
      </c>
      <c r="E11571" s="3">
        <v>1.11</v>
      </c>
      <c r="F11571" s="3">
        <v>3.68</v>
      </c>
      <c r="G11571" s="3">
        <v>19.3</v>
      </c>
    </row>
    <row r="11572">
      <c r="A11572" s="3">
        <v>786161.0</v>
      </c>
      <c r="B11572" s="3" t="s">
        <v>11600</v>
      </c>
      <c r="C11572" s="3" t="s">
        <v>1464</v>
      </c>
      <c r="D11572" s="3">
        <v>117.0</v>
      </c>
      <c r="E11572" s="3">
        <v>2.9</v>
      </c>
      <c r="F11572" s="3">
        <v>3.6</v>
      </c>
      <c r="G11572" s="3">
        <v>18.89</v>
      </c>
    </row>
    <row r="11573">
      <c r="A11573" s="3">
        <v>786162.0</v>
      </c>
      <c r="B11573" s="3" t="s">
        <v>11601</v>
      </c>
      <c r="C11573" s="3" t="s">
        <v>1464</v>
      </c>
      <c r="D11573" s="3">
        <v>117.0</v>
      </c>
      <c r="E11573" s="3">
        <v>3.12</v>
      </c>
      <c r="F11573" s="3">
        <v>5.95</v>
      </c>
      <c r="G11573" s="3">
        <v>17.5</v>
      </c>
    </row>
    <row r="11574">
      <c r="A11574" s="3">
        <v>786163.0</v>
      </c>
      <c r="B11574" s="3" t="s">
        <v>11602</v>
      </c>
      <c r="C11574" s="3" t="s">
        <v>1464</v>
      </c>
      <c r="D11574" s="3">
        <v>177.0</v>
      </c>
      <c r="E11574" s="3">
        <v>9.3</v>
      </c>
      <c r="F11574" s="3">
        <v>5.42</v>
      </c>
      <c r="G11574" s="3">
        <v>17.51</v>
      </c>
    </row>
    <row r="11575">
      <c r="A11575" s="3">
        <v>786164.0</v>
      </c>
      <c r="B11575" s="3" t="s">
        <v>11603</v>
      </c>
      <c r="C11575" s="3" t="s">
        <v>1464</v>
      </c>
      <c r="D11575" s="3">
        <v>125.0</v>
      </c>
      <c r="E11575" s="3">
        <v>2.63</v>
      </c>
      <c r="F11575" s="3">
        <v>5.86</v>
      </c>
      <c r="G11575" s="3">
        <v>18.91</v>
      </c>
    </row>
    <row r="11576">
      <c r="A11576" s="3">
        <v>786165.0</v>
      </c>
      <c r="B11576" s="3" t="s">
        <v>11604</v>
      </c>
      <c r="C11576" s="3" t="s">
        <v>1464</v>
      </c>
      <c r="D11576" s="3">
        <v>138.0</v>
      </c>
      <c r="E11576" s="3">
        <v>4.38</v>
      </c>
      <c r="F11576" s="3">
        <v>5.73</v>
      </c>
      <c r="G11576" s="3">
        <v>18.5</v>
      </c>
    </row>
    <row r="11577">
      <c r="A11577" s="3">
        <v>786166.0</v>
      </c>
      <c r="B11577" s="3" t="s">
        <v>11605</v>
      </c>
      <c r="C11577" s="3" t="s">
        <v>1464</v>
      </c>
      <c r="D11577" s="3">
        <v>174.0</v>
      </c>
      <c r="E11577" s="3">
        <v>9.19</v>
      </c>
      <c r="F11577" s="3">
        <v>5.42</v>
      </c>
      <c r="G11577" s="3">
        <v>17.31</v>
      </c>
    </row>
    <row r="11578">
      <c r="A11578" s="3">
        <v>786167.0</v>
      </c>
      <c r="B11578" s="3" t="s">
        <v>11606</v>
      </c>
      <c r="C11578" s="3" t="s">
        <v>1464</v>
      </c>
      <c r="D11578" s="3">
        <v>123.0</v>
      </c>
      <c r="E11578" s="3">
        <v>2.51</v>
      </c>
      <c r="F11578" s="3">
        <v>5.86</v>
      </c>
      <c r="G11578" s="3">
        <v>18.68</v>
      </c>
    </row>
    <row r="11579">
      <c r="A11579" s="3">
        <v>786168.0</v>
      </c>
      <c r="B11579" s="3" t="s">
        <v>11607</v>
      </c>
      <c r="C11579" s="3" t="s">
        <v>1464</v>
      </c>
      <c r="D11579" s="3">
        <v>136.0</v>
      </c>
      <c r="E11579" s="3">
        <v>4.27</v>
      </c>
      <c r="F11579" s="3">
        <v>5.73</v>
      </c>
      <c r="G11579" s="3">
        <v>18.28</v>
      </c>
    </row>
    <row r="11580">
      <c r="A11580" s="3">
        <v>786169.0</v>
      </c>
      <c r="B11580" s="3" t="s">
        <v>11608</v>
      </c>
      <c r="C11580" s="3" t="s">
        <v>1464</v>
      </c>
      <c r="D11580" s="3">
        <v>169.0</v>
      </c>
      <c r="E11580" s="3">
        <v>8.47</v>
      </c>
      <c r="F11580" s="3">
        <v>5.6</v>
      </c>
      <c r="G11580" s="3">
        <v>17.51</v>
      </c>
    </row>
    <row r="11581">
      <c r="A11581" s="3">
        <v>786170.0</v>
      </c>
      <c r="B11581" s="3" t="s">
        <v>11609</v>
      </c>
      <c r="C11581" s="3" t="s">
        <v>1464</v>
      </c>
      <c r="D11581" s="3">
        <v>117.0</v>
      </c>
      <c r="E11581" s="3">
        <v>1.74</v>
      </c>
      <c r="F11581" s="3">
        <v>6.04</v>
      </c>
      <c r="G11581" s="3">
        <v>18.91</v>
      </c>
    </row>
    <row r="11582">
      <c r="A11582" s="3">
        <v>786171.0</v>
      </c>
      <c r="B11582" s="3" t="s">
        <v>11610</v>
      </c>
      <c r="C11582" s="3" t="s">
        <v>1464</v>
      </c>
      <c r="D11582" s="3">
        <v>131.0</v>
      </c>
      <c r="E11582" s="3">
        <v>3.51</v>
      </c>
      <c r="F11582" s="3">
        <v>5.91</v>
      </c>
      <c r="G11582" s="3">
        <v>18.5</v>
      </c>
    </row>
    <row r="11583">
      <c r="A11583" s="3">
        <v>786172.0</v>
      </c>
      <c r="B11583" s="3" t="s">
        <v>11611</v>
      </c>
      <c r="C11583" s="3" t="s">
        <v>1464</v>
      </c>
      <c r="D11583" s="3">
        <v>167.0</v>
      </c>
      <c r="E11583" s="3">
        <v>8.36</v>
      </c>
      <c r="F11583" s="3">
        <v>5.6</v>
      </c>
      <c r="G11583" s="3">
        <v>17.31</v>
      </c>
    </row>
    <row r="11584">
      <c r="A11584" s="3">
        <v>786173.0</v>
      </c>
      <c r="B11584" s="3" t="s">
        <v>11612</v>
      </c>
      <c r="C11584" s="3" t="s">
        <v>1464</v>
      </c>
      <c r="D11584" s="3">
        <v>115.0</v>
      </c>
      <c r="E11584" s="3">
        <v>1.62</v>
      </c>
      <c r="F11584" s="3">
        <v>6.04</v>
      </c>
      <c r="G11584" s="3">
        <v>18.68</v>
      </c>
    </row>
    <row r="11585">
      <c r="A11585" s="3">
        <v>786174.0</v>
      </c>
      <c r="B11585" s="3" t="s">
        <v>11613</v>
      </c>
      <c r="C11585" s="3" t="s">
        <v>1464</v>
      </c>
      <c r="D11585" s="3">
        <v>128.0</v>
      </c>
      <c r="E11585" s="3">
        <v>3.4</v>
      </c>
      <c r="F11585" s="3">
        <v>5.91</v>
      </c>
      <c r="G11585" s="3">
        <v>18.28</v>
      </c>
    </row>
    <row r="11586">
      <c r="A11586" s="3">
        <v>786175.0</v>
      </c>
      <c r="B11586" s="3" t="s">
        <v>11614</v>
      </c>
      <c r="C11586" s="3" t="s">
        <v>1464</v>
      </c>
      <c r="D11586" s="3">
        <v>165.0</v>
      </c>
      <c r="E11586" s="3">
        <v>8.02</v>
      </c>
      <c r="F11586" s="3">
        <v>5.16</v>
      </c>
      <c r="G11586" s="3">
        <v>17.76</v>
      </c>
    </row>
    <row r="11587">
      <c r="A11587" s="3">
        <v>786176.0</v>
      </c>
      <c r="B11587" s="3" t="s">
        <v>11615</v>
      </c>
      <c r="C11587" s="3" t="s">
        <v>1464</v>
      </c>
      <c r="D11587" s="3">
        <v>112.0</v>
      </c>
      <c r="E11587" s="3">
        <v>1.25</v>
      </c>
      <c r="F11587" s="3">
        <v>5.57</v>
      </c>
      <c r="G11587" s="3">
        <v>19.17</v>
      </c>
    </row>
    <row r="11588">
      <c r="A11588" s="3">
        <v>786177.0</v>
      </c>
      <c r="B11588" s="3" t="s">
        <v>11616</v>
      </c>
      <c r="C11588" s="3" t="s">
        <v>1464</v>
      </c>
      <c r="D11588" s="3">
        <v>126.0</v>
      </c>
      <c r="E11588" s="3">
        <v>3.03</v>
      </c>
      <c r="F11588" s="3">
        <v>5.45</v>
      </c>
      <c r="G11588" s="3">
        <v>18.76</v>
      </c>
    </row>
    <row r="11589">
      <c r="A11589" s="3">
        <v>786178.0</v>
      </c>
      <c r="B11589" s="3" t="s">
        <v>11617</v>
      </c>
      <c r="C11589" s="3" t="s">
        <v>1464</v>
      </c>
      <c r="D11589" s="3">
        <v>163.0</v>
      </c>
      <c r="E11589" s="3">
        <v>7.91</v>
      </c>
      <c r="F11589" s="3">
        <v>5.16</v>
      </c>
      <c r="G11589" s="3">
        <v>17.55</v>
      </c>
    </row>
    <row r="11590">
      <c r="A11590" s="3">
        <v>786179.0</v>
      </c>
      <c r="B11590" s="3" t="s">
        <v>11618</v>
      </c>
      <c r="C11590" s="3" t="s">
        <v>1464</v>
      </c>
      <c r="D11590" s="3">
        <v>110.0</v>
      </c>
      <c r="E11590" s="3">
        <v>1.13</v>
      </c>
      <c r="F11590" s="3">
        <v>5.57</v>
      </c>
      <c r="G11590" s="3">
        <v>18.95</v>
      </c>
    </row>
    <row r="11591">
      <c r="A11591" s="3">
        <v>786180.0</v>
      </c>
      <c r="B11591" s="3" t="s">
        <v>11619</v>
      </c>
      <c r="C11591" s="3" t="s">
        <v>1464</v>
      </c>
      <c r="D11591" s="3">
        <v>124.0</v>
      </c>
      <c r="E11591" s="3">
        <v>2.92</v>
      </c>
      <c r="F11591" s="3">
        <v>5.44</v>
      </c>
      <c r="G11591" s="3">
        <v>18.54</v>
      </c>
    </row>
    <row r="11592">
      <c r="A11592" s="3">
        <v>786181.0</v>
      </c>
      <c r="B11592" s="3" t="s">
        <v>11620</v>
      </c>
      <c r="C11592" s="3" t="s">
        <v>1464</v>
      </c>
      <c r="D11592" s="3">
        <v>202.0</v>
      </c>
      <c r="E11592" s="3">
        <v>13.95</v>
      </c>
      <c r="F11592" s="3">
        <v>3.97</v>
      </c>
      <c r="G11592" s="3">
        <v>15.21</v>
      </c>
    </row>
    <row r="11593">
      <c r="A11593" s="3">
        <v>786182.0</v>
      </c>
      <c r="B11593" s="3" t="s">
        <v>11621</v>
      </c>
      <c r="C11593" s="3" t="s">
        <v>1464</v>
      </c>
      <c r="D11593" s="3">
        <v>153.0</v>
      </c>
      <c r="E11593" s="3">
        <v>7.71</v>
      </c>
      <c r="F11593" s="3">
        <v>4.3</v>
      </c>
      <c r="G11593" s="3">
        <v>16.48</v>
      </c>
    </row>
    <row r="11594">
      <c r="A11594" s="3">
        <v>786183.0</v>
      </c>
      <c r="B11594" s="3" t="s">
        <v>11622</v>
      </c>
      <c r="C11594" s="3" t="s">
        <v>1464</v>
      </c>
      <c r="D11594" s="3">
        <v>166.0</v>
      </c>
      <c r="E11594" s="3">
        <v>9.35</v>
      </c>
      <c r="F11594" s="3">
        <v>4.2</v>
      </c>
      <c r="G11594" s="3">
        <v>16.12</v>
      </c>
    </row>
    <row r="11595">
      <c r="A11595" s="3">
        <v>786184.0</v>
      </c>
      <c r="B11595" s="3" t="s">
        <v>11623</v>
      </c>
      <c r="C11595" s="3" t="s">
        <v>1464</v>
      </c>
      <c r="D11595" s="3">
        <v>189.0</v>
      </c>
      <c r="E11595" s="3">
        <v>12.42</v>
      </c>
      <c r="F11595" s="3">
        <v>3.83</v>
      </c>
      <c r="G11595" s="3">
        <v>15.63</v>
      </c>
    </row>
    <row r="11596">
      <c r="A11596" s="3">
        <v>786185.0</v>
      </c>
      <c r="B11596" s="3" t="s">
        <v>11624</v>
      </c>
      <c r="C11596" s="3" t="s">
        <v>1464</v>
      </c>
      <c r="D11596" s="3">
        <v>139.0</v>
      </c>
      <c r="E11596" s="3">
        <v>6.05</v>
      </c>
      <c r="F11596" s="3">
        <v>4.15</v>
      </c>
      <c r="G11596" s="3">
        <v>16.93</v>
      </c>
    </row>
    <row r="11597">
      <c r="A11597" s="3">
        <v>786186.0</v>
      </c>
      <c r="B11597" s="3" t="s">
        <v>11625</v>
      </c>
      <c r="C11597" s="3" t="s">
        <v>1464</v>
      </c>
      <c r="D11597" s="3">
        <v>152.0</v>
      </c>
      <c r="E11597" s="3">
        <v>7.73</v>
      </c>
      <c r="F11597" s="3">
        <v>4.06</v>
      </c>
      <c r="G11597" s="3">
        <v>16.57</v>
      </c>
    </row>
    <row r="11598">
      <c r="A11598" s="3">
        <v>786187.0</v>
      </c>
      <c r="B11598" s="3" t="s">
        <v>11626</v>
      </c>
      <c r="C11598" s="3" t="s">
        <v>1464</v>
      </c>
      <c r="D11598" s="3">
        <v>211.0</v>
      </c>
      <c r="E11598" s="3">
        <v>14.1</v>
      </c>
      <c r="F11598" s="3">
        <v>5.87</v>
      </c>
      <c r="G11598" s="3">
        <v>15.13</v>
      </c>
    </row>
    <row r="11599">
      <c r="A11599" s="3">
        <v>786188.0</v>
      </c>
      <c r="B11599" s="3" t="s">
        <v>11627</v>
      </c>
      <c r="C11599" s="3" t="s">
        <v>1464</v>
      </c>
      <c r="D11599" s="3">
        <v>163.0</v>
      </c>
      <c r="E11599" s="3">
        <v>7.87</v>
      </c>
      <c r="F11599" s="3">
        <v>6.36</v>
      </c>
      <c r="G11599" s="3">
        <v>16.39</v>
      </c>
    </row>
    <row r="11600">
      <c r="A11600" s="3">
        <v>786189.0</v>
      </c>
      <c r="B11600" s="3" t="s">
        <v>11628</v>
      </c>
      <c r="C11600" s="3" t="s">
        <v>1464</v>
      </c>
      <c r="D11600" s="3">
        <v>176.0</v>
      </c>
      <c r="E11600" s="3">
        <v>9.51</v>
      </c>
      <c r="F11600" s="3">
        <v>6.22</v>
      </c>
      <c r="G11600" s="3">
        <v>16.03</v>
      </c>
    </row>
    <row r="11601">
      <c r="A11601" s="3">
        <v>786190.0</v>
      </c>
      <c r="B11601" s="3" t="s">
        <v>11629</v>
      </c>
      <c r="C11601" s="3" t="s">
        <v>1464</v>
      </c>
      <c r="D11601" s="3">
        <v>201.0</v>
      </c>
      <c r="E11601" s="3">
        <v>12.86</v>
      </c>
      <c r="F11601" s="3">
        <v>5.76</v>
      </c>
      <c r="G11601" s="3">
        <v>15.47</v>
      </c>
    </row>
    <row r="11602">
      <c r="A11602" s="3">
        <v>786191.0</v>
      </c>
      <c r="B11602" s="3" t="s">
        <v>11630</v>
      </c>
      <c r="C11602" s="3" t="s">
        <v>1464</v>
      </c>
      <c r="D11602" s="3">
        <v>152.0</v>
      </c>
      <c r="E11602" s="3">
        <v>6.52</v>
      </c>
      <c r="F11602" s="3">
        <v>6.24</v>
      </c>
      <c r="G11602" s="3">
        <v>16.76</v>
      </c>
    </row>
    <row r="11603">
      <c r="A11603" s="3">
        <v>786192.0</v>
      </c>
      <c r="B11603" s="3" t="s">
        <v>11631</v>
      </c>
      <c r="C11603" s="3" t="s">
        <v>1464</v>
      </c>
      <c r="D11603" s="3">
        <v>164.0</v>
      </c>
      <c r="E11603" s="3">
        <v>8.19</v>
      </c>
      <c r="F11603" s="3">
        <v>6.11</v>
      </c>
      <c r="G11603" s="3">
        <v>16.39</v>
      </c>
    </row>
    <row r="11604">
      <c r="A11604" s="3">
        <v>786193.0</v>
      </c>
      <c r="B11604" s="3" t="s">
        <v>11632</v>
      </c>
      <c r="C11604" s="3" t="s">
        <v>1464</v>
      </c>
      <c r="D11604" s="3">
        <v>204.0</v>
      </c>
      <c r="E11604" s="3">
        <v>13.28</v>
      </c>
      <c r="F11604" s="3">
        <v>6.04</v>
      </c>
      <c r="G11604" s="3">
        <v>15.13</v>
      </c>
    </row>
    <row r="11605">
      <c r="A11605" s="3">
        <v>786194.0</v>
      </c>
      <c r="B11605" s="3" t="s">
        <v>11633</v>
      </c>
      <c r="C11605" s="3" t="s">
        <v>1464</v>
      </c>
      <c r="D11605" s="3">
        <v>155.0</v>
      </c>
      <c r="E11605" s="3">
        <v>6.98</v>
      </c>
      <c r="F11605" s="3">
        <v>6.55</v>
      </c>
      <c r="G11605" s="3">
        <v>16.39</v>
      </c>
    </row>
    <row r="11606">
      <c r="A11606" s="3">
        <v>786195.0</v>
      </c>
      <c r="B11606" s="3" t="s">
        <v>11634</v>
      </c>
      <c r="C11606" s="3" t="s">
        <v>1464</v>
      </c>
      <c r="D11606" s="3">
        <v>168.0</v>
      </c>
      <c r="E11606" s="3">
        <v>8.64</v>
      </c>
      <c r="F11606" s="3">
        <v>6.4</v>
      </c>
      <c r="G11606" s="3">
        <v>16.03</v>
      </c>
    </row>
    <row r="11607">
      <c r="A11607" s="3">
        <v>786196.0</v>
      </c>
      <c r="B11607" s="3" t="s">
        <v>11635</v>
      </c>
      <c r="C11607" s="3" t="s">
        <v>1464</v>
      </c>
      <c r="D11607" s="3">
        <v>193.0</v>
      </c>
      <c r="E11607" s="3">
        <v>12.04</v>
      </c>
      <c r="F11607" s="3">
        <v>5.93</v>
      </c>
      <c r="G11607" s="3">
        <v>15.47</v>
      </c>
    </row>
    <row r="11608">
      <c r="A11608" s="3">
        <v>786197.0</v>
      </c>
      <c r="B11608" s="3" t="s">
        <v>11636</v>
      </c>
      <c r="C11608" s="3" t="s">
        <v>1464</v>
      </c>
      <c r="D11608" s="3">
        <v>144.0</v>
      </c>
      <c r="E11608" s="3">
        <v>5.63</v>
      </c>
      <c r="F11608" s="3">
        <v>6.43</v>
      </c>
      <c r="G11608" s="3">
        <v>16.76</v>
      </c>
    </row>
    <row r="11609">
      <c r="A11609" s="3">
        <v>786198.0</v>
      </c>
      <c r="B11609" s="3" t="s">
        <v>11637</v>
      </c>
      <c r="C11609" s="3" t="s">
        <v>1464</v>
      </c>
      <c r="D11609" s="3">
        <v>157.0</v>
      </c>
      <c r="E11609" s="3">
        <v>7.32</v>
      </c>
      <c r="F11609" s="3">
        <v>6.29</v>
      </c>
      <c r="G11609" s="3">
        <v>16.39</v>
      </c>
    </row>
    <row r="11610">
      <c r="A11610" s="3">
        <v>786199.0</v>
      </c>
      <c r="B11610" s="3" t="s">
        <v>11638</v>
      </c>
      <c r="C11610" s="3" t="s">
        <v>1464</v>
      </c>
      <c r="D11610" s="3">
        <v>199.0</v>
      </c>
      <c r="E11610" s="3">
        <v>12.83</v>
      </c>
      <c r="F11610" s="3">
        <v>5.6</v>
      </c>
      <c r="G11610" s="3">
        <v>15.37</v>
      </c>
    </row>
    <row r="11611">
      <c r="A11611" s="3">
        <v>786200.0</v>
      </c>
      <c r="B11611" s="3" t="s">
        <v>11639</v>
      </c>
      <c r="C11611" s="3" t="s">
        <v>1464</v>
      </c>
      <c r="D11611" s="3">
        <v>150.0</v>
      </c>
      <c r="E11611" s="3">
        <v>6.49</v>
      </c>
      <c r="F11611" s="3">
        <v>6.07</v>
      </c>
      <c r="G11611" s="3">
        <v>16.66</v>
      </c>
    </row>
    <row r="11612">
      <c r="A11612" s="3">
        <v>786201.0</v>
      </c>
      <c r="B11612" s="3" t="s">
        <v>11640</v>
      </c>
      <c r="C11612" s="3" t="s">
        <v>1464</v>
      </c>
      <c r="D11612" s="3">
        <v>163.0</v>
      </c>
      <c r="E11612" s="3">
        <v>8.16</v>
      </c>
      <c r="F11612" s="3">
        <v>5.94</v>
      </c>
      <c r="G11612" s="3">
        <v>16.29</v>
      </c>
    </row>
    <row r="11613">
      <c r="A11613" s="3">
        <v>786202.0</v>
      </c>
      <c r="B11613" s="3" t="s">
        <v>11641</v>
      </c>
      <c r="C11613" s="3" t="s">
        <v>1464</v>
      </c>
      <c r="D11613" s="3">
        <v>189.0</v>
      </c>
      <c r="E11613" s="3">
        <v>11.58</v>
      </c>
      <c r="F11613" s="3">
        <v>5.49</v>
      </c>
      <c r="G11613" s="3">
        <v>15.72</v>
      </c>
    </row>
    <row r="11614">
      <c r="A11614" s="3">
        <v>786203.0</v>
      </c>
      <c r="B11614" s="3" t="s">
        <v>11642</v>
      </c>
      <c r="C11614" s="3" t="s">
        <v>1464</v>
      </c>
      <c r="D11614" s="3">
        <v>139.0</v>
      </c>
      <c r="E11614" s="3">
        <v>5.14</v>
      </c>
      <c r="F11614" s="3">
        <v>5.95</v>
      </c>
      <c r="G11614" s="3">
        <v>17.02</v>
      </c>
    </row>
    <row r="11615">
      <c r="A11615" s="3">
        <v>786204.0</v>
      </c>
      <c r="B11615" s="3" t="s">
        <v>11643</v>
      </c>
      <c r="C11615" s="3" t="s">
        <v>1464</v>
      </c>
      <c r="D11615" s="3">
        <v>152.0</v>
      </c>
      <c r="E11615" s="3">
        <v>6.84</v>
      </c>
      <c r="F11615" s="3">
        <v>5.82</v>
      </c>
      <c r="G11615" s="3">
        <v>16.66</v>
      </c>
    </row>
    <row r="11616">
      <c r="A11616" s="3">
        <v>786205.0</v>
      </c>
      <c r="B11616" s="3" t="s">
        <v>11644</v>
      </c>
      <c r="C11616" s="3" t="s">
        <v>1464</v>
      </c>
      <c r="D11616" s="3">
        <v>155.0</v>
      </c>
      <c r="E11616" s="3">
        <v>8.4</v>
      </c>
      <c r="F11616" s="3">
        <v>3.5</v>
      </c>
      <c r="G11616" s="3">
        <v>17.76</v>
      </c>
    </row>
    <row r="11617">
      <c r="A11617" s="3">
        <v>786206.0</v>
      </c>
      <c r="B11617" s="3" t="s">
        <v>11645</v>
      </c>
      <c r="C11617" s="3" t="s">
        <v>1464</v>
      </c>
      <c r="D11617" s="3">
        <v>101.0</v>
      </c>
      <c r="E11617" s="3">
        <v>1.66</v>
      </c>
      <c r="F11617" s="3">
        <v>3.78</v>
      </c>
      <c r="G11617" s="3">
        <v>19.17</v>
      </c>
    </row>
    <row r="11618">
      <c r="A11618" s="3">
        <v>786207.0</v>
      </c>
      <c r="B11618" s="3" t="s">
        <v>11646</v>
      </c>
      <c r="C11618" s="3" t="s">
        <v>1464</v>
      </c>
      <c r="D11618" s="3">
        <v>115.0</v>
      </c>
      <c r="E11618" s="3">
        <v>3.44</v>
      </c>
      <c r="F11618" s="3">
        <v>3.69</v>
      </c>
      <c r="G11618" s="3">
        <v>18.75</v>
      </c>
    </row>
    <row r="11619">
      <c r="A11619" s="3">
        <v>786208.0</v>
      </c>
      <c r="B11619" s="3" t="s">
        <v>11647</v>
      </c>
      <c r="C11619" s="3" t="s">
        <v>1464</v>
      </c>
      <c r="D11619" s="3">
        <v>152.0</v>
      </c>
      <c r="E11619" s="3">
        <v>8.27</v>
      </c>
      <c r="F11619" s="3">
        <v>3.5</v>
      </c>
      <c r="G11619" s="3">
        <v>17.5</v>
      </c>
    </row>
    <row r="11620">
      <c r="A11620" s="3">
        <v>786209.0</v>
      </c>
      <c r="B11620" s="3" t="s">
        <v>11648</v>
      </c>
      <c r="C11620" s="3" t="s">
        <v>1464</v>
      </c>
      <c r="D11620" s="3">
        <v>98.0</v>
      </c>
      <c r="E11620" s="3">
        <v>1.52</v>
      </c>
      <c r="F11620" s="3">
        <v>3.77</v>
      </c>
      <c r="G11620" s="3">
        <v>18.9</v>
      </c>
    </row>
    <row r="11621">
      <c r="A11621" s="3">
        <v>786210.0</v>
      </c>
      <c r="B11621" s="3" t="s">
        <v>11649</v>
      </c>
      <c r="C11621" s="3" t="s">
        <v>1464</v>
      </c>
      <c r="D11621" s="3">
        <v>112.0</v>
      </c>
      <c r="E11621" s="3">
        <v>3.3</v>
      </c>
      <c r="F11621" s="3">
        <v>3.69</v>
      </c>
      <c r="G11621" s="3">
        <v>18.48</v>
      </c>
    </row>
    <row r="11622">
      <c r="A11622" s="3">
        <v>786211.0</v>
      </c>
      <c r="B11622" s="3" t="s">
        <v>11650</v>
      </c>
      <c r="C11622" s="3" t="s">
        <v>1464</v>
      </c>
      <c r="D11622" s="3">
        <v>172.0</v>
      </c>
      <c r="E11622" s="3">
        <v>9.67</v>
      </c>
      <c r="F11622" s="3">
        <v>5.52</v>
      </c>
      <c r="G11622" s="3">
        <v>17.13</v>
      </c>
    </row>
    <row r="11623">
      <c r="A11623" s="3">
        <v>786212.0</v>
      </c>
      <c r="B11623" s="3" t="s">
        <v>11651</v>
      </c>
      <c r="C11623" s="3" t="s">
        <v>1464</v>
      </c>
      <c r="D11623" s="3">
        <v>120.0</v>
      </c>
      <c r="E11623" s="3">
        <v>3.04</v>
      </c>
      <c r="F11623" s="3">
        <v>5.96</v>
      </c>
      <c r="G11623" s="3">
        <v>18.5</v>
      </c>
    </row>
    <row r="11624">
      <c r="A11624" s="3">
        <v>786213.0</v>
      </c>
      <c r="B11624" s="3" t="s">
        <v>11652</v>
      </c>
      <c r="C11624" s="3" t="s">
        <v>1464</v>
      </c>
      <c r="D11624" s="3">
        <v>134.0</v>
      </c>
      <c r="E11624" s="3">
        <v>4.78</v>
      </c>
      <c r="F11624" s="3">
        <v>5.83</v>
      </c>
      <c r="G11624" s="3">
        <v>18.1</v>
      </c>
    </row>
    <row r="11625">
      <c r="A11625" s="3">
        <v>786214.0</v>
      </c>
      <c r="B11625" s="3" t="s">
        <v>11653</v>
      </c>
      <c r="C11625" s="3" t="s">
        <v>1464</v>
      </c>
      <c r="D11625" s="3">
        <v>170.0</v>
      </c>
      <c r="E11625" s="3">
        <v>9.56</v>
      </c>
      <c r="F11625" s="3">
        <v>5.52</v>
      </c>
      <c r="G11625" s="3">
        <v>16.93</v>
      </c>
    </row>
    <row r="11626">
      <c r="A11626" s="3">
        <v>786215.0</v>
      </c>
      <c r="B11626" s="3" t="s">
        <v>11654</v>
      </c>
      <c r="C11626" s="3" t="s">
        <v>1464</v>
      </c>
      <c r="D11626" s="3">
        <v>118.0</v>
      </c>
      <c r="E11626" s="3">
        <v>2.92</v>
      </c>
      <c r="F11626" s="3">
        <v>5.95</v>
      </c>
      <c r="G11626" s="3">
        <v>18.28</v>
      </c>
    </row>
    <row r="11627">
      <c r="A11627" s="3">
        <v>786216.0</v>
      </c>
      <c r="B11627" s="3" t="s">
        <v>11655</v>
      </c>
      <c r="C11627" s="3" t="s">
        <v>1464</v>
      </c>
      <c r="D11627" s="3">
        <v>131.0</v>
      </c>
      <c r="E11627" s="3">
        <v>4.66</v>
      </c>
      <c r="F11627" s="3">
        <v>5.82</v>
      </c>
      <c r="G11627" s="3">
        <v>17.88</v>
      </c>
    </row>
    <row r="11628">
      <c r="A11628" s="3">
        <v>786217.0</v>
      </c>
      <c r="B11628" s="3" t="s">
        <v>11656</v>
      </c>
      <c r="C11628" s="3" t="s">
        <v>1464</v>
      </c>
      <c r="D11628" s="3">
        <v>165.0</v>
      </c>
      <c r="E11628" s="3">
        <v>8.85</v>
      </c>
      <c r="F11628" s="3">
        <v>5.69</v>
      </c>
      <c r="G11628" s="3">
        <v>17.13</v>
      </c>
    </row>
    <row r="11629">
      <c r="A11629" s="3">
        <v>786218.0</v>
      </c>
      <c r="B11629" s="3" t="s">
        <v>11657</v>
      </c>
      <c r="C11629" s="3" t="s">
        <v>1464</v>
      </c>
      <c r="D11629" s="3">
        <v>112.0</v>
      </c>
      <c r="E11629" s="3">
        <v>2.14</v>
      </c>
      <c r="F11629" s="3">
        <v>6.14</v>
      </c>
      <c r="G11629" s="3">
        <v>18.5</v>
      </c>
    </row>
    <row r="11630">
      <c r="A11630" s="3">
        <v>786219.0</v>
      </c>
      <c r="B11630" s="3" t="s">
        <v>11658</v>
      </c>
      <c r="C11630" s="3" t="s">
        <v>1464</v>
      </c>
      <c r="D11630" s="3">
        <v>126.0</v>
      </c>
      <c r="E11630" s="3">
        <v>3.91</v>
      </c>
      <c r="F11630" s="3">
        <v>6.01</v>
      </c>
      <c r="G11630" s="3">
        <v>18.1</v>
      </c>
    </row>
    <row r="11631">
      <c r="A11631" s="3">
        <v>786220.0</v>
      </c>
      <c r="B11631" s="3" t="s">
        <v>11659</v>
      </c>
      <c r="C11631" s="3" t="s">
        <v>1464</v>
      </c>
      <c r="D11631" s="3">
        <v>163.0</v>
      </c>
      <c r="E11631" s="3">
        <v>8.74</v>
      </c>
      <c r="F11631" s="3">
        <v>5.69</v>
      </c>
      <c r="G11631" s="3">
        <v>16.93</v>
      </c>
    </row>
    <row r="11632">
      <c r="A11632" s="3">
        <v>786221.0</v>
      </c>
      <c r="B11632" s="3" t="s">
        <v>11660</v>
      </c>
      <c r="C11632" s="3" t="s">
        <v>1464</v>
      </c>
      <c r="D11632" s="3">
        <v>110.0</v>
      </c>
      <c r="E11632" s="3">
        <v>2.03</v>
      </c>
      <c r="F11632" s="3">
        <v>6.14</v>
      </c>
      <c r="G11632" s="3">
        <v>18.28</v>
      </c>
    </row>
    <row r="11633">
      <c r="A11633" s="3">
        <v>786222.0</v>
      </c>
      <c r="B11633" s="3" t="s">
        <v>11661</v>
      </c>
      <c r="C11633" s="3" t="s">
        <v>1464</v>
      </c>
      <c r="D11633" s="3">
        <v>124.0</v>
      </c>
      <c r="E11633" s="3">
        <v>3.79</v>
      </c>
      <c r="F11633" s="3">
        <v>6.01</v>
      </c>
      <c r="G11633" s="3">
        <v>17.88</v>
      </c>
    </row>
    <row r="11634">
      <c r="A11634" s="3">
        <v>786223.0</v>
      </c>
      <c r="B11634" s="3" t="s">
        <v>11662</v>
      </c>
      <c r="C11634" s="3" t="s">
        <v>1464</v>
      </c>
      <c r="D11634" s="3">
        <v>161.0</v>
      </c>
      <c r="E11634" s="3">
        <v>8.39</v>
      </c>
      <c r="F11634" s="3">
        <v>5.25</v>
      </c>
      <c r="G11634" s="3">
        <v>17.38</v>
      </c>
    </row>
    <row r="11635">
      <c r="A11635" s="3">
        <v>786224.0</v>
      </c>
      <c r="B11635" s="3" t="s">
        <v>11663</v>
      </c>
      <c r="C11635" s="3" t="s">
        <v>1464</v>
      </c>
      <c r="D11635" s="3">
        <v>108.0</v>
      </c>
      <c r="E11635" s="3">
        <v>1.65</v>
      </c>
      <c r="F11635" s="3">
        <v>5.67</v>
      </c>
      <c r="G11635" s="3">
        <v>18.76</v>
      </c>
    </row>
    <row r="11636">
      <c r="A11636" s="3">
        <v>786225.0</v>
      </c>
      <c r="B11636" s="3" t="s">
        <v>11664</v>
      </c>
      <c r="C11636" s="3" t="s">
        <v>1464</v>
      </c>
      <c r="D11636" s="3">
        <v>121.0</v>
      </c>
      <c r="E11636" s="3">
        <v>3.43</v>
      </c>
      <c r="F11636" s="3">
        <v>5.54</v>
      </c>
      <c r="G11636" s="3">
        <v>18.36</v>
      </c>
    </row>
    <row r="11637">
      <c r="A11637" s="3">
        <v>786226.0</v>
      </c>
      <c r="B11637" s="3" t="s">
        <v>11665</v>
      </c>
      <c r="C11637" s="3" t="s">
        <v>1464</v>
      </c>
      <c r="D11637" s="3">
        <v>158.0</v>
      </c>
      <c r="E11637" s="3">
        <v>8.28</v>
      </c>
      <c r="F11637" s="3">
        <v>5.25</v>
      </c>
      <c r="G11637" s="3">
        <v>17.17</v>
      </c>
    </row>
    <row r="11638">
      <c r="A11638" s="3">
        <v>786227.0</v>
      </c>
      <c r="B11638" s="3" t="s">
        <v>11666</v>
      </c>
      <c r="C11638" s="3" t="s">
        <v>1464</v>
      </c>
      <c r="D11638" s="3">
        <v>105.0</v>
      </c>
      <c r="E11638" s="3">
        <v>1.53</v>
      </c>
      <c r="F11638" s="3">
        <v>5.66</v>
      </c>
      <c r="G11638" s="3">
        <v>18.54</v>
      </c>
    </row>
    <row r="11639">
      <c r="A11639" s="3">
        <v>786228.0</v>
      </c>
      <c r="B11639" s="3" t="s">
        <v>11667</v>
      </c>
      <c r="C11639" s="3" t="s">
        <v>1464</v>
      </c>
      <c r="D11639" s="3">
        <v>119.0</v>
      </c>
      <c r="E11639" s="3">
        <v>3.31</v>
      </c>
      <c r="F11639" s="3">
        <v>5.54</v>
      </c>
      <c r="G11639" s="3">
        <v>18.14</v>
      </c>
    </row>
    <row r="11640">
      <c r="A11640" s="3">
        <v>786229.0</v>
      </c>
      <c r="B11640" s="3" t="s">
        <v>11668</v>
      </c>
      <c r="C11640" s="3" t="s">
        <v>1464</v>
      </c>
      <c r="D11640" s="3">
        <v>197.0</v>
      </c>
      <c r="E11640" s="3">
        <v>14.33</v>
      </c>
      <c r="F11640" s="3">
        <v>4.06</v>
      </c>
      <c r="G11640" s="3">
        <v>14.83</v>
      </c>
    </row>
    <row r="11641">
      <c r="A11641" s="3">
        <v>786230.0</v>
      </c>
      <c r="B11641" s="3" t="s">
        <v>11669</v>
      </c>
      <c r="C11641" s="3" t="s">
        <v>1464</v>
      </c>
      <c r="D11641" s="3">
        <v>148.0</v>
      </c>
      <c r="E11641" s="3">
        <v>8.11</v>
      </c>
      <c r="F11641" s="3">
        <v>4.4</v>
      </c>
      <c r="G11641" s="3">
        <v>16.07</v>
      </c>
    </row>
    <row r="11642">
      <c r="A11642" s="3">
        <v>786231.0</v>
      </c>
      <c r="B11642" s="3" t="s">
        <v>11670</v>
      </c>
      <c r="C11642" s="3" t="s">
        <v>1464</v>
      </c>
      <c r="D11642" s="3">
        <v>161.0</v>
      </c>
      <c r="E11642" s="3">
        <v>9.75</v>
      </c>
      <c r="F11642" s="3">
        <v>4.3</v>
      </c>
      <c r="G11642" s="3">
        <v>15.72</v>
      </c>
    </row>
    <row r="11643">
      <c r="A11643" s="3">
        <v>786232.0</v>
      </c>
      <c r="B11643" s="3" t="s">
        <v>11671</v>
      </c>
      <c r="C11643" s="3" t="s">
        <v>1464</v>
      </c>
      <c r="D11643" s="3">
        <v>184.0</v>
      </c>
      <c r="E11643" s="3">
        <v>12.79</v>
      </c>
      <c r="F11643" s="3">
        <v>3.92</v>
      </c>
      <c r="G11643" s="3">
        <v>15.25</v>
      </c>
    </row>
    <row r="11644">
      <c r="A11644" s="3">
        <v>786233.0</v>
      </c>
      <c r="B11644" s="3" t="s">
        <v>11672</v>
      </c>
      <c r="C11644" s="3" t="s">
        <v>1464</v>
      </c>
      <c r="D11644" s="3">
        <v>134.0</v>
      </c>
      <c r="E11644" s="3">
        <v>6.45</v>
      </c>
      <c r="F11644" s="3">
        <v>4.25</v>
      </c>
      <c r="G11644" s="3">
        <v>16.52</v>
      </c>
    </row>
    <row r="11645">
      <c r="A11645" s="3">
        <v>786234.0</v>
      </c>
      <c r="B11645" s="3" t="s">
        <v>11673</v>
      </c>
      <c r="C11645" s="3" t="s">
        <v>1464</v>
      </c>
      <c r="D11645" s="3">
        <v>147.0</v>
      </c>
      <c r="E11645" s="3">
        <v>8.12</v>
      </c>
      <c r="F11645" s="3">
        <v>4.16</v>
      </c>
      <c r="G11645" s="3">
        <v>16.16</v>
      </c>
    </row>
    <row r="11646">
      <c r="A11646" s="3">
        <v>786235.0</v>
      </c>
      <c r="B11646" s="3" t="s">
        <v>11674</v>
      </c>
      <c r="C11646" s="3" t="s">
        <v>1464</v>
      </c>
      <c r="D11646" s="3">
        <v>207.0</v>
      </c>
      <c r="E11646" s="3">
        <v>14.48</v>
      </c>
      <c r="F11646" s="3">
        <v>5.96</v>
      </c>
      <c r="G11646" s="3">
        <v>14.75</v>
      </c>
    </row>
    <row r="11647">
      <c r="A11647" s="3">
        <v>786236.0</v>
      </c>
      <c r="B11647" s="3" t="s">
        <v>11675</v>
      </c>
      <c r="C11647" s="3" t="s">
        <v>1464</v>
      </c>
      <c r="D11647" s="3">
        <v>158.0</v>
      </c>
      <c r="E11647" s="3">
        <v>8.28</v>
      </c>
      <c r="F11647" s="3">
        <v>6.46</v>
      </c>
      <c r="G11647" s="3">
        <v>15.98</v>
      </c>
    </row>
    <row r="11648">
      <c r="A11648" s="3">
        <v>786237.0</v>
      </c>
      <c r="B11648" s="3" t="s">
        <v>11676</v>
      </c>
      <c r="C11648" s="3" t="s">
        <v>1464</v>
      </c>
      <c r="D11648" s="3">
        <v>171.0</v>
      </c>
      <c r="E11648" s="3">
        <v>9.91</v>
      </c>
      <c r="F11648" s="3">
        <v>6.32</v>
      </c>
      <c r="G11648" s="3">
        <v>15.63</v>
      </c>
    </row>
    <row r="11649">
      <c r="A11649" s="3">
        <v>786238.0</v>
      </c>
      <c r="B11649" s="3" t="s">
        <v>11677</v>
      </c>
      <c r="C11649" s="3" t="s">
        <v>1464</v>
      </c>
      <c r="D11649" s="3">
        <v>196.0</v>
      </c>
      <c r="E11649" s="3">
        <v>13.23</v>
      </c>
      <c r="F11649" s="3">
        <v>5.85</v>
      </c>
      <c r="G11649" s="3">
        <v>15.09</v>
      </c>
    </row>
    <row r="11650">
      <c r="A11650" s="3">
        <v>786239.0</v>
      </c>
      <c r="B11650" s="3" t="s">
        <v>11678</v>
      </c>
      <c r="C11650" s="3" t="s">
        <v>1464</v>
      </c>
      <c r="D11650" s="3">
        <v>147.0</v>
      </c>
      <c r="E11650" s="3">
        <v>6.93</v>
      </c>
      <c r="F11650" s="3">
        <v>6.34</v>
      </c>
      <c r="G11650" s="3">
        <v>16.35</v>
      </c>
    </row>
    <row r="11651">
      <c r="A11651" s="3">
        <v>786240.0</v>
      </c>
      <c r="B11651" s="3" t="s">
        <v>11679</v>
      </c>
      <c r="C11651" s="3" t="s">
        <v>1464</v>
      </c>
      <c r="D11651" s="3">
        <v>160.0</v>
      </c>
      <c r="E11651" s="3">
        <v>8.59</v>
      </c>
      <c r="F11651" s="3">
        <v>6.2</v>
      </c>
      <c r="G11651" s="3">
        <v>15.99</v>
      </c>
    </row>
    <row r="11652">
      <c r="A11652" s="3">
        <v>786241.0</v>
      </c>
      <c r="B11652" s="3" t="s">
        <v>11680</v>
      </c>
      <c r="C11652" s="3" t="s">
        <v>1464</v>
      </c>
      <c r="D11652" s="3">
        <v>199.0</v>
      </c>
      <c r="E11652" s="3">
        <v>13.66</v>
      </c>
      <c r="F11652" s="3">
        <v>6.13</v>
      </c>
      <c r="G11652" s="3">
        <v>14.75</v>
      </c>
    </row>
    <row r="11653">
      <c r="A11653" s="3">
        <v>786242.0</v>
      </c>
      <c r="B11653" s="3" t="s">
        <v>11681</v>
      </c>
      <c r="C11653" s="3" t="s">
        <v>1464</v>
      </c>
      <c r="D11653" s="3">
        <v>150.0</v>
      </c>
      <c r="E11653" s="3">
        <v>7.39</v>
      </c>
      <c r="F11653" s="3">
        <v>6.64</v>
      </c>
      <c r="G11653" s="3">
        <v>15.98</v>
      </c>
    </row>
    <row r="11654">
      <c r="A11654" s="3">
        <v>786243.0</v>
      </c>
      <c r="B11654" s="3" t="s">
        <v>11682</v>
      </c>
      <c r="C11654" s="3" t="s">
        <v>1464</v>
      </c>
      <c r="D11654" s="3">
        <v>163.0</v>
      </c>
      <c r="E11654" s="3">
        <v>9.04</v>
      </c>
      <c r="F11654" s="3">
        <v>6.5</v>
      </c>
      <c r="G11654" s="3">
        <v>15.63</v>
      </c>
    </row>
    <row r="11655">
      <c r="A11655" s="3">
        <v>786244.0</v>
      </c>
      <c r="B11655" s="3" t="s">
        <v>11683</v>
      </c>
      <c r="C11655" s="3" t="s">
        <v>1464</v>
      </c>
      <c r="D11655" s="3">
        <v>189.0</v>
      </c>
      <c r="E11655" s="3">
        <v>12.41</v>
      </c>
      <c r="F11655" s="3">
        <v>6.02</v>
      </c>
      <c r="G11655" s="3">
        <v>15.09</v>
      </c>
    </row>
    <row r="11656">
      <c r="A11656" s="3">
        <v>786245.0</v>
      </c>
      <c r="B11656" s="3" t="s">
        <v>11684</v>
      </c>
      <c r="C11656" s="3" t="s">
        <v>1464</v>
      </c>
      <c r="D11656" s="3">
        <v>139.0</v>
      </c>
      <c r="E11656" s="3">
        <v>6.04</v>
      </c>
      <c r="F11656" s="3">
        <v>6.52</v>
      </c>
      <c r="G11656" s="3">
        <v>16.35</v>
      </c>
    </row>
    <row r="11657">
      <c r="A11657" s="3">
        <v>786246.0</v>
      </c>
      <c r="B11657" s="3" t="s">
        <v>11685</v>
      </c>
      <c r="C11657" s="3" t="s">
        <v>1464</v>
      </c>
      <c r="D11657" s="3">
        <v>152.0</v>
      </c>
      <c r="E11657" s="3">
        <v>7.72</v>
      </c>
      <c r="F11657" s="3">
        <v>6.38</v>
      </c>
      <c r="G11657" s="3">
        <v>15.99</v>
      </c>
    </row>
    <row r="11658">
      <c r="A11658" s="3">
        <v>786247.0</v>
      </c>
      <c r="B11658" s="3" t="s">
        <v>11686</v>
      </c>
      <c r="C11658" s="3" t="s">
        <v>1464</v>
      </c>
      <c r="D11658" s="3">
        <v>195.0</v>
      </c>
      <c r="E11658" s="3">
        <v>13.2</v>
      </c>
      <c r="F11658" s="3">
        <v>5.7</v>
      </c>
      <c r="G11658" s="3">
        <v>15.0</v>
      </c>
    </row>
    <row r="11659">
      <c r="A11659" s="3">
        <v>786248.0</v>
      </c>
      <c r="B11659" s="3" t="s">
        <v>11687</v>
      </c>
      <c r="C11659" s="3" t="s">
        <v>1464</v>
      </c>
      <c r="D11659" s="3">
        <v>146.0</v>
      </c>
      <c r="E11659" s="3">
        <v>6.89</v>
      </c>
      <c r="F11659" s="3">
        <v>6.17</v>
      </c>
      <c r="G11659" s="3">
        <v>16.24</v>
      </c>
    </row>
    <row r="11660">
      <c r="A11660" s="3">
        <v>786249.0</v>
      </c>
      <c r="B11660" s="3" t="s">
        <v>11688</v>
      </c>
      <c r="C11660" s="3" t="s">
        <v>1464</v>
      </c>
      <c r="D11660" s="3">
        <v>159.0</v>
      </c>
      <c r="E11660" s="3">
        <v>8.55</v>
      </c>
      <c r="F11660" s="3">
        <v>6.04</v>
      </c>
      <c r="G11660" s="3">
        <v>15.89</v>
      </c>
    </row>
    <row r="11661">
      <c r="A11661" s="3">
        <v>786250.0</v>
      </c>
      <c r="B11661" s="3" t="s">
        <v>11689</v>
      </c>
      <c r="C11661" s="3" t="s">
        <v>1464</v>
      </c>
      <c r="D11661" s="3">
        <v>185.0</v>
      </c>
      <c r="E11661" s="3">
        <v>11.95</v>
      </c>
      <c r="F11661" s="3">
        <v>5.58</v>
      </c>
      <c r="G11661" s="3">
        <v>15.34</v>
      </c>
    </row>
    <row r="11662">
      <c r="A11662" s="3">
        <v>786251.0</v>
      </c>
      <c r="B11662" s="3" t="s">
        <v>11690</v>
      </c>
      <c r="C11662" s="3" t="s">
        <v>1464</v>
      </c>
      <c r="D11662" s="3">
        <v>134.0</v>
      </c>
      <c r="E11662" s="3">
        <v>5.54</v>
      </c>
      <c r="F11662" s="3">
        <v>6.05</v>
      </c>
      <c r="G11662" s="3">
        <v>16.61</v>
      </c>
    </row>
    <row r="11663">
      <c r="A11663" s="3">
        <v>786252.0</v>
      </c>
      <c r="B11663" s="3" t="s">
        <v>11691</v>
      </c>
      <c r="C11663" s="3" t="s">
        <v>1464</v>
      </c>
      <c r="D11663" s="3">
        <v>148.0</v>
      </c>
      <c r="E11663" s="3">
        <v>7.23</v>
      </c>
      <c r="F11663" s="3">
        <v>5.92</v>
      </c>
      <c r="G11663" s="3">
        <v>16.25</v>
      </c>
    </row>
    <row r="11664">
      <c r="A11664" s="3">
        <v>786253.0</v>
      </c>
      <c r="B11664" s="3" t="s">
        <v>11692</v>
      </c>
      <c r="C11664" s="3" t="s">
        <v>1464</v>
      </c>
      <c r="D11664" s="3">
        <v>125.0</v>
      </c>
      <c r="E11664" s="3">
        <v>2.33</v>
      </c>
      <c r="F11664" s="3">
        <v>5.22</v>
      </c>
      <c r="G11664" s="3">
        <v>20.73</v>
      </c>
    </row>
    <row r="11665">
      <c r="A11665" s="3">
        <v>786254.0</v>
      </c>
      <c r="B11665" s="3" t="s">
        <v>11693</v>
      </c>
      <c r="C11665" s="3" t="s">
        <v>1464</v>
      </c>
      <c r="D11665" s="3">
        <v>157.0</v>
      </c>
      <c r="E11665" s="3">
        <v>5.49</v>
      </c>
      <c r="F11665" s="3">
        <v>4.9</v>
      </c>
      <c r="G11665" s="3">
        <v>21.78</v>
      </c>
    </row>
    <row r="11666">
      <c r="A11666" s="3">
        <v>786255.0</v>
      </c>
      <c r="B11666" s="3" t="s">
        <v>11694</v>
      </c>
      <c r="C11666" s="3" t="s">
        <v>1464</v>
      </c>
      <c r="D11666" s="3">
        <v>143.0</v>
      </c>
      <c r="E11666" s="3">
        <v>4.53</v>
      </c>
      <c r="F11666" s="3">
        <v>8.08</v>
      </c>
      <c r="G11666" s="3">
        <v>17.14</v>
      </c>
    </row>
    <row r="11667">
      <c r="A11667" s="3">
        <v>786256.0</v>
      </c>
      <c r="B11667" s="3" t="s">
        <v>11695</v>
      </c>
      <c r="C11667" s="3" t="s">
        <v>1464</v>
      </c>
      <c r="D11667" s="3">
        <v>87.0</v>
      </c>
      <c r="E11667" s="3">
        <v>2.23</v>
      </c>
      <c r="F11667" s="3">
        <v>2.46</v>
      </c>
      <c r="G11667" s="3">
        <v>14.44</v>
      </c>
    </row>
    <row r="11668">
      <c r="A11668" s="3">
        <v>786257.0</v>
      </c>
      <c r="B11668" s="3" t="s">
        <v>11696</v>
      </c>
      <c r="C11668" s="3" t="s">
        <v>1464</v>
      </c>
      <c r="D11668" s="3">
        <v>135.0</v>
      </c>
      <c r="E11668" s="3">
        <v>4.86</v>
      </c>
      <c r="F11668" s="3">
        <v>10.03</v>
      </c>
      <c r="G11668" s="3">
        <v>12.28</v>
      </c>
    </row>
    <row r="11669">
      <c r="A11669" s="3">
        <v>786258.0</v>
      </c>
      <c r="B11669" s="3" t="s">
        <v>11697</v>
      </c>
      <c r="C11669" s="3" t="s">
        <v>1464</v>
      </c>
      <c r="D11669" s="3">
        <v>221.0</v>
      </c>
      <c r="E11669" s="3">
        <v>11.52</v>
      </c>
      <c r="F11669" s="3">
        <v>4.46</v>
      </c>
      <c r="G11669" s="3">
        <v>24.64</v>
      </c>
    </row>
    <row r="11670">
      <c r="A11670" s="3">
        <v>786259.0</v>
      </c>
      <c r="B11670" s="3" t="s">
        <v>11698</v>
      </c>
      <c r="C11670" s="3" t="s">
        <v>1464</v>
      </c>
      <c r="D11670" s="3">
        <v>159.0</v>
      </c>
      <c r="E11670" s="3">
        <v>4.16</v>
      </c>
      <c r="F11670" s="3">
        <v>4.32</v>
      </c>
      <c r="G11670" s="3">
        <v>25.68</v>
      </c>
    </row>
    <row r="11671">
      <c r="A11671" s="3">
        <v>786260.0</v>
      </c>
      <c r="B11671" s="3" t="s">
        <v>11699</v>
      </c>
      <c r="C11671" s="3" t="s">
        <v>1464</v>
      </c>
      <c r="D11671" s="3">
        <v>160.0</v>
      </c>
      <c r="E11671" s="3">
        <v>4.01</v>
      </c>
      <c r="F11671" s="3">
        <v>4.38</v>
      </c>
      <c r="G11671" s="3">
        <v>26.58</v>
      </c>
    </row>
    <row r="11672">
      <c r="A11672" s="3">
        <v>786261.0</v>
      </c>
      <c r="B11672" s="3" t="s">
        <v>11700</v>
      </c>
      <c r="C11672" s="3" t="s">
        <v>1464</v>
      </c>
      <c r="D11672" s="3">
        <v>159.0</v>
      </c>
      <c r="E11672" s="3">
        <v>4.16</v>
      </c>
      <c r="F11672" s="3">
        <v>4.32</v>
      </c>
      <c r="G11672" s="3">
        <v>25.68</v>
      </c>
    </row>
    <row r="11673">
      <c r="A11673" s="3">
        <v>786262.0</v>
      </c>
      <c r="B11673" s="3" t="s">
        <v>11701</v>
      </c>
      <c r="C11673" s="3" t="s">
        <v>1464</v>
      </c>
      <c r="D11673" s="3">
        <v>132.0</v>
      </c>
      <c r="E11673" s="3">
        <v>3.7</v>
      </c>
      <c r="F11673" s="3">
        <v>3.7</v>
      </c>
      <c r="G11673" s="3">
        <v>20.88</v>
      </c>
    </row>
    <row r="11674">
      <c r="A11674" s="3">
        <v>786263.0</v>
      </c>
      <c r="B11674" s="3" t="s">
        <v>11702</v>
      </c>
      <c r="C11674" s="3" t="s">
        <v>1464</v>
      </c>
      <c r="D11674" s="3">
        <v>115.0</v>
      </c>
      <c r="E11674" s="3">
        <v>1.98</v>
      </c>
      <c r="F11674" s="3">
        <v>3.69</v>
      </c>
      <c r="G11674" s="3">
        <v>20.59</v>
      </c>
    </row>
    <row r="11675">
      <c r="A11675" s="3">
        <v>786264.0</v>
      </c>
      <c r="B11675" s="3" t="s">
        <v>11703</v>
      </c>
      <c r="C11675" s="3" t="s">
        <v>1464</v>
      </c>
      <c r="D11675" s="3">
        <v>155.0</v>
      </c>
      <c r="E11675" s="3">
        <v>6.6</v>
      </c>
      <c r="F11675" s="3">
        <v>3.81</v>
      </c>
      <c r="G11675" s="3">
        <v>20.09</v>
      </c>
    </row>
    <row r="11676">
      <c r="A11676" s="3">
        <v>786265.0</v>
      </c>
      <c r="B11676" s="3" t="s">
        <v>11704</v>
      </c>
      <c r="C11676" s="3" t="s">
        <v>1464</v>
      </c>
      <c r="D11676" s="3">
        <v>122.0</v>
      </c>
      <c r="E11676" s="3">
        <v>2.9</v>
      </c>
      <c r="F11676" s="3">
        <v>3.82</v>
      </c>
      <c r="G11676" s="3">
        <v>20.2</v>
      </c>
    </row>
    <row r="11677">
      <c r="A11677" s="3">
        <v>786266.0</v>
      </c>
      <c r="B11677" s="3" t="s">
        <v>11705</v>
      </c>
      <c r="C11677" s="3" t="s">
        <v>1464</v>
      </c>
      <c r="D11677" s="3">
        <v>134.0</v>
      </c>
      <c r="E11677" s="3">
        <v>1.14</v>
      </c>
      <c r="F11677" s="3">
        <v>4.26</v>
      </c>
      <c r="G11677" s="3">
        <v>26.54</v>
      </c>
    </row>
    <row r="11678">
      <c r="A11678" s="3">
        <v>786267.0</v>
      </c>
      <c r="B11678" s="3" t="s">
        <v>11706</v>
      </c>
      <c r="C11678" s="3" t="s">
        <v>1464</v>
      </c>
      <c r="D11678" s="3">
        <v>215.0</v>
      </c>
      <c r="E11678" s="3">
        <v>11.44</v>
      </c>
      <c r="F11678" s="3">
        <v>5.19</v>
      </c>
      <c r="G11678" s="3">
        <v>22.53</v>
      </c>
    </row>
    <row r="11679">
      <c r="A11679" s="3">
        <v>786268.0</v>
      </c>
      <c r="B11679" s="3" t="s">
        <v>11707</v>
      </c>
      <c r="C11679" s="3" t="s">
        <v>1464</v>
      </c>
      <c r="D11679" s="3">
        <v>201.0</v>
      </c>
      <c r="E11679" s="3">
        <v>9.9</v>
      </c>
      <c r="F11679" s="3">
        <v>6.76</v>
      </c>
      <c r="G11679" s="3">
        <v>20.86</v>
      </c>
    </row>
    <row r="11680">
      <c r="A11680" s="3">
        <v>786269.0</v>
      </c>
      <c r="B11680" s="3" t="s">
        <v>11708</v>
      </c>
      <c r="C11680" s="3" t="s">
        <v>1464</v>
      </c>
      <c r="D11680" s="3">
        <v>200.0</v>
      </c>
      <c r="E11680" s="3">
        <v>9.9</v>
      </c>
      <c r="F11680" s="3">
        <v>6.48</v>
      </c>
      <c r="G11680" s="3">
        <v>20.93</v>
      </c>
    </row>
    <row r="11681">
      <c r="A11681" s="3">
        <v>786270.0</v>
      </c>
      <c r="B11681" s="3" t="s">
        <v>11709</v>
      </c>
      <c r="C11681" s="3" t="s">
        <v>1464</v>
      </c>
      <c r="D11681" s="3">
        <v>204.0</v>
      </c>
      <c r="E11681" s="3">
        <v>10.06</v>
      </c>
      <c r="F11681" s="3">
        <v>6.76</v>
      </c>
      <c r="G11681" s="3">
        <v>21.1</v>
      </c>
    </row>
    <row r="11682">
      <c r="A11682" s="3">
        <v>786271.0</v>
      </c>
      <c r="B11682" s="3" t="s">
        <v>11710</v>
      </c>
      <c r="C11682" s="3" t="s">
        <v>1464</v>
      </c>
      <c r="D11682" s="3">
        <v>197.0</v>
      </c>
      <c r="E11682" s="3">
        <v>9.96</v>
      </c>
      <c r="F11682" s="3">
        <v>7.21</v>
      </c>
      <c r="G11682" s="3">
        <v>19.34</v>
      </c>
    </row>
    <row r="11683">
      <c r="A11683" s="3">
        <v>786272.0</v>
      </c>
      <c r="B11683" s="3" t="s">
        <v>11711</v>
      </c>
      <c r="C11683" s="3" t="s">
        <v>1464</v>
      </c>
      <c r="D11683" s="3">
        <v>213.0</v>
      </c>
      <c r="E11683" s="3">
        <v>10.75</v>
      </c>
      <c r="F11683" s="3">
        <v>7.82</v>
      </c>
      <c r="G11683" s="3">
        <v>20.93</v>
      </c>
    </row>
    <row r="11684">
      <c r="A11684" s="3">
        <v>786273.0</v>
      </c>
      <c r="B11684" s="3" t="s">
        <v>11712</v>
      </c>
      <c r="C11684" s="3" t="s">
        <v>1464</v>
      </c>
      <c r="D11684" s="3">
        <v>245.0</v>
      </c>
      <c r="E11684" s="3">
        <v>14.34</v>
      </c>
      <c r="F11684" s="3">
        <v>6.84</v>
      </c>
      <c r="G11684" s="3">
        <v>21.86</v>
      </c>
    </row>
    <row r="11685">
      <c r="A11685" s="3">
        <v>786274.0</v>
      </c>
      <c r="B11685" s="3" t="s">
        <v>11713</v>
      </c>
      <c r="C11685" s="3" t="s">
        <v>1464</v>
      </c>
      <c r="D11685" s="3">
        <v>211.0</v>
      </c>
      <c r="E11685" s="3">
        <v>10.59</v>
      </c>
      <c r="F11685" s="3">
        <v>7.66</v>
      </c>
      <c r="G11685" s="3">
        <v>20.82</v>
      </c>
    </row>
    <row r="11686">
      <c r="A11686" s="3">
        <v>786275.0</v>
      </c>
      <c r="B11686" s="3" t="s">
        <v>11714</v>
      </c>
      <c r="C11686" s="3" t="s">
        <v>1464</v>
      </c>
      <c r="D11686" s="3">
        <v>209.0</v>
      </c>
      <c r="E11686" s="3">
        <v>7.34</v>
      </c>
      <c r="F11686" s="3">
        <v>5.94</v>
      </c>
      <c r="G11686" s="3">
        <v>30.97</v>
      </c>
    </row>
    <row r="11687">
      <c r="A11687" s="3">
        <v>786276.0</v>
      </c>
      <c r="B11687" s="3" t="s">
        <v>11715</v>
      </c>
      <c r="C11687" s="3" t="s">
        <v>38</v>
      </c>
      <c r="D11687" s="3">
        <v>257.0</v>
      </c>
      <c r="E11687" s="3">
        <v>7.09</v>
      </c>
      <c r="F11687" s="3">
        <v>6.16</v>
      </c>
      <c r="G11687" s="3">
        <v>43.25</v>
      </c>
    </row>
    <row r="11688">
      <c r="A11688" s="3">
        <v>786277.0</v>
      </c>
      <c r="B11688" s="3" t="s">
        <v>11716</v>
      </c>
      <c r="C11688" s="3" t="s">
        <v>1464</v>
      </c>
      <c r="D11688" s="3">
        <v>137.0</v>
      </c>
      <c r="E11688" s="3">
        <v>6.11</v>
      </c>
      <c r="F11688" s="3">
        <v>11.31</v>
      </c>
      <c r="G11688" s="3">
        <v>8.85</v>
      </c>
    </row>
    <row r="11689">
      <c r="A11689" s="3">
        <v>786278.0</v>
      </c>
      <c r="B11689" s="3" t="s">
        <v>11717</v>
      </c>
      <c r="C11689" s="3" t="s">
        <v>1464</v>
      </c>
      <c r="D11689" s="3">
        <v>79.0</v>
      </c>
      <c r="E11689" s="3">
        <v>2.81</v>
      </c>
      <c r="F11689" s="3">
        <v>5.38</v>
      </c>
      <c r="G11689" s="3">
        <v>8.34</v>
      </c>
    </row>
    <row r="11690">
      <c r="A11690" s="3">
        <v>786281.0</v>
      </c>
      <c r="B11690" s="3" t="s">
        <v>11718</v>
      </c>
      <c r="C11690" s="3" t="s">
        <v>1464</v>
      </c>
      <c r="D11690" s="3">
        <v>173.0</v>
      </c>
      <c r="E11690" s="3">
        <v>3.47</v>
      </c>
      <c r="F11690" s="3">
        <v>7.46</v>
      </c>
      <c r="G11690" s="3">
        <v>27.87</v>
      </c>
    </row>
    <row r="11691">
      <c r="A11691" s="3">
        <v>786282.0</v>
      </c>
      <c r="B11691" s="3" t="s">
        <v>11719</v>
      </c>
      <c r="C11691" s="3" t="s">
        <v>1464</v>
      </c>
      <c r="D11691" s="3">
        <v>179.0</v>
      </c>
      <c r="E11691" s="3">
        <v>3.96</v>
      </c>
      <c r="F11691" s="3">
        <v>7.74</v>
      </c>
      <c r="G11691" s="3">
        <v>27.87</v>
      </c>
    </row>
    <row r="11692">
      <c r="A11692" s="3">
        <v>786283.0</v>
      </c>
      <c r="B11692" s="3" t="s">
        <v>11720</v>
      </c>
      <c r="C11692" s="3" t="s">
        <v>1464</v>
      </c>
      <c r="D11692" s="3">
        <v>178.0</v>
      </c>
      <c r="E11692" s="3">
        <v>3.87</v>
      </c>
      <c r="F11692" s="3">
        <v>8.04</v>
      </c>
      <c r="G11692" s="3">
        <v>27.87</v>
      </c>
    </row>
    <row r="11693">
      <c r="A11693" s="3">
        <v>786284.0</v>
      </c>
      <c r="B11693" s="3" t="s">
        <v>11721</v>
      </c>
      <c r="C11693" s="3" t="s">
        <v>1464</v>
      </c>
      <c r="D11693" s="3">
        <v>166.0</v>
      </c>
      <c r="E11693" s="3">
        <v>2.77</v>
      </c>
      <c r="F11693" s="3">
        <v>6.86</v>
      </c>
      <c r="G11693" s="3">
        <v>28.1</v>
      </c>
    </row>
    <row r="11694">
      <c r="A11694" s="3">
        <v>786285.0</v>
      </c>
      <c r="B11694" s="3" t="s">
        <v>11722</v>
      </c>
      <c r="C11694" s="3" t="s">
        <v>1464</v>
      </c>
      <c r="D11694" s="3">
        <v>132.0</v>
      </c>
      <c r="E11694" s="3">
        <v>4.06</v>
      </c>
      <c r="F11694" s="3">
        <v>3.91</v>
      </c>
      <c r="G11694" s="3">
        <v>19.86</v>
      </c>
    </row>
    <row r="11695">
      <c r="A11695" s="3">
        <v>786286.0</v>
      </c>
      <c r="B11695" s="3" t="s">
        <v>11723</v>
      </c>
      <c r="C11695" s="3" t="s">
        <v>189</v>
      </c>
      <c r="D11695" s="3">
        <v>181.0</v>
      </c>
      <c r="E11695" s="3">
        <v>7.37</v>
      </c>
      <c r="F11695" s="3">
        <v>18.3</v>
      </c>
      <c r="G11695" s="3">
        <v>8.88</v>
      </c>
    </row>
    <row r="11696">
      <c r="A11696" s="3">
        <v>786287.0</v>
      </c>
      <c r="B11696" s="3" t="s">
        <v>11724</v>
      </c>
      <c r="C11696" s="3" t="s">
        <v>1464</v>
      </c>
      <c r="D11696" s="3">
        <v>93.0</v>
      </c>
      <c r="E11696" s="3">
        <v>0.67</v>
      </c>
      <c r="F11696" s="3">
        <v>2.92</v>
      </c>
      <c r="G11696" s="3">
        <v>18.42</v>
      </c>
    </row>
    <row r="11697">
      <c r="A11697" s="3">
        <v>786288.0</v>
      </c>
      <c r="B11697" s="3" t="s">
        <v>11725</v>
      </c>
      <c r="C11697" s="3" t="s">
        <v>1464</v>
      </c>
      <c r="D11697" s="3">
        <v>92.0</v>
      </c>
      <c r="E11697" s="3">
        <v>1.46</v>
      </c>
      <c r="F11697" s="3">
        <v>1.81</v>
      </c>
      <c r="G11697" s="3">
        <v>17.71</v>
      </c>
    </row>
    <row r="11698">
      <c r="A11698" s="3">
        <v>786289.0</v>
      </c>
      <c r="B11698" s="3" t="s">
        <v>11726</v>
      </c>
      <c r="C11698" s="3" t="s">
        <v>1464</v>
      </c>
      <c r="D11698" s="3">
        <v>93.0</v>
      </c>
      <c r="E11698" s="3">
        <v>0.67</v>
      </c>
      <c r="F11698" s="3">
        <v>2.92</v>
      </c>
      <c r="G11698" s="3">
        <v>18.42</v>
      </c>
    </row>
    <row r="11699">
      <c r="A11699" s="3">
        <v>786290.0</v>
      </c>
      <c r="B11699" s="3" t="s">
        <v>11727</v>
      </c>
      <c r="C11699" s="3" t="s">
        <v>1464</v>
      </c>
      <c r="D11699" s="3">
        <v>127.0</v>
      </c>
      <c r="E11699" s="3">
        <v>3.71</v>
      </c>
      <c r="F11699" s="3">
        <v>7.1</v>
      </c>
      <c r="G11699" s="3">
        <v>15.3</v>
      </c>
    </row>
    <row r="11700">
      <c r="A11700" s="3">
        <v>786291.0</v>
      </c>
      <c r="B11700" s="3" t="s">
        <v>11728</v>
      </c>
      <c r="C11700" s="3" t="s">
        <v>1464</v>
      </c>
      <c r="D11700" s="3">
        <v>103.0</v>
      </c>
      <c r="E11700" s="3">
        <v>1.28</v>
      </c>
      <c r="F11700" s="3">
        <v>6.88</v>
      </c>
      <c r="G11700" s="3">
        <v>15.3</v>
      </c>
    </row>
    <row r="11701">
      <c r="A11701" s="3">
        <v>786292.0</v>
      </c>
      <c r="B11701" s="3" t="s">
        <v>11729</v>
      </c>
      <c r="C11701" s="3" t="s">
        <v>1464</v>
      </c>
      <c r="D11701" s="3">
        <v>100.0</v>
      </c>
      <c r="E11701" s="3">
        <v>0.55</v>
      </c>
      <c r="F11701" s="3">
        <v>7.01</v>
      </c>
      <c r="G11701" s="3">
        <v>15.67</v>
      </c>
    </row>
    <row r="11702">
      <c r="A11702" s="3">
        <v>786293.0</v>
      </c>
      <c r="B11702" s="3" t="s">
        <v>11730</v>
      </c>
      <c r="C11702" s="3" t="s">
        <v>1464</v>
      </c>
      <c r="D11702" s="3">
        <v>97.0</v>
      </c>
      <c r="E11702" s="3">
        <v>0.25</v>
      </c>
      <c r="F11702" s="3">
        <v>7.4</v>
      </c>
      <c r="G11702" s="3">
        <v>15.3</v>
      </c>
    </row>
    <row r="11703">
      <c r="A11703" s="3">
        <v>786294.0</v>
      </c>
      <c r="B11703" s="3" t="s">
        <v>11731</v>
      </c>
      <c r="C11703" s="3" t="s">
        <v>1464</v>
      </c>
      <c r="D11703" s="3">
        <v>92.0</v>
      </c>
      <c r="E11703" s="3">
        <v>1.46</v>
      </c>
      <c r="F11703" s="3">
        <v>1.81</v>
      </c>
      <c r="G11703" s="3">
        <v>17.71</v>
      </c>
    </row>
    <row r="11704">
      <c r="A11704" s="3">
        <v>786295.0</v>
      </c>
      <c r="B11704" s="3" t="s">
        <v>11732</v>
      </c>
      <c r="C11704" s="3" t="s">
        <v>1464</v>
      </c>
      <c r="D11704" s="3">
        <v>95.0</v>
      </c>
      <c r="E11704" s="3">
        <v>0.27</v>
      </c>
      <c r="F11704" s="3">
        <v>3.85</v>
      </c>
      <c r="G11704" s="3">
        <v>18.59</v>
      </c>
    </row>
    <row r="11705">
      <c r="A11705" s="3">
        <v>786296.0</v>
      </c>
      <c r="B11705" s="3" t="s">
        <v>11733</v>
      </c>
      <c r="C11705" s="3" t="s">
        <v>1464</v>
      </c>
      <c r="D11705" s="3">
        <v>142.0</v>
      </c>
      <c r="E11705" s="3">
        <v>5.19</v>
      </c>
      <c r="F11705" s="3">
        <v>9.24</v>
      </c>
      <c r="G11705" s="3">
        <v>13.39</v>
      </c>
    </row>
    <row r="11706">
      <c r="A11706" s="3">
        <v>786297.0</v>
      </c>
      <c r="B11706" s="3" t="s">
        <v>11734</v>
      </c>
      <c r="C11706" s="3" t="s">
        <v>1464</v>
      </c>
      <c r="D11706" s="3">
        <v>107.0</v>
      </c>
      <c r="E11706" s="3">
        <v>1.74</v>
      </c>
      <c r="F11706" s="3">
        <v>8.92</v>
      </c>
      <c r="G11706" s="3">
        <v>13.39</v>
      </c>
    </row>
    <row r="11707">
      <c r="A11707" s="3">
        <v>786298.0</v>
      </c>
      <c r="B11707" s="3" t="s">
        <v>11735</v>
      </c>
      <c r="C11707" s="3" t="s">
        <v>1464</v>
      </c>
      <c r="D11707" s="3">
        <v>103.0</v>
      </c>
      <c r="E11707" s="3">
        <v>0.7</v>
      </c>
      <c r="F11707" s="3">
        <v>9.1</v>
      </c>
      <c r="G11707" s="3">
        <v>13.92</v>
      </c>
    </row>
    <row r="11708">
      <c r="A11708" s="3">
        <v>786299.0</v>
      </c>
      <c r="B11708" s="3" t="s">
        <v>11736</v>
      </c>
      <c r="C11708" s="3" t="s">
        <v>1464</v>
      </c>
      <c r="D11708" s="3">
        <v>100.0</v>
      </c>
      <c r="E11708" s="3">
        <v>0.28</v>
      </c>
      <c r="F11708" s="3">
        <v>9.66</v>
      </c>
      <c r="G11708" s="3">
        <v>13.39</v>
      </c>
    </row>
    <row r="11709">
      <c r="A11709" s="3">
        <v>786300.0</v>
      </c>
      <c r="B11709" s="3" t="s">
        <v>11737</v>
      </c>
      <c r="C11709" s="3" t="s">
        <v>1464</v>
      </c>
      <c r="D11709" s="3">
        <v>116.0</v>
      </c>
      <c r="E11709" s="3">
        <v>4.63</v>
      </c>
      <c r="F11709" s="3">
        <v>7.0</v>
      </c>
      <c r="G11709" s="3">
        <v>10.74</v>
      </c>
    </row>
    <row r="11710">
      <c r="A11710" s="3">
        <v>786301.0</v>
      </c>
      <c r="B11710" s="3" t="s">
        <v>11738</v>
      </c>
      <c r="C11710" s="3" t="s">
        <v>1464</v>
      </c>
      <c r="D11710" s="3">
        <v>297.0</v>
      </c>
      <c r="E11710" s="3">
        <v>14.02</v>
      </c>
      <c r="F11710" s="3">
        <v>10.14</v>
      </c>
      <c r="G11710" s="3">
        <v>31.46</v>
      </c>
    </row>
    <row r="11711">
      <c r="A11711" s="3">
        <v>786302.0</v>
      </c>
      <c r="B11711" s="3" t="s">
        <v>11739</v>
      </c>
      <c r="C11711" s="3" t="s">
        <v>1464</v>
      </c>
      <c r="D11711" s="3">
        <v>270.0</v>
      </c>
      <c r="E11711" s="3">
        <v>12.54</v>
      </c>
      <c r="F11711" s="3">
        <v>21.71</v>
      </c>
      <c r="G11711" s="3">
        <v>16.74</v>
      </c>
    </row>
    <row r="11712">
      <c r="A11712" s="3">
        <v>786303.0</v>
      </c>
      <c r="B11712" s="3" t="s">
        <v>11740</v>
      </c>
      <c r="C11712" s="3" t="s">
        <v>1464</v>
      </c>
      <c r="D11712" s="3">
        <v>144.0</v>
      </c>
      <c r="E11712" s="3">
        <v>5.48</v>
      </c>
      <c r="F11712" s="3">
        <v>7.61</v>
      </c>
      <c r="G11712" s="3">
        <v>15.69</v>
      </c>
    </row>
    <row r="11713">
      <c r="A11713" s="3">
        <v>786304.0</v>
      </c>
      <c r="B11713" s="3" t="s">
        <v>11741</v>
      </c>
      <c r="C11713" s="3" t="s">
        <v>225</v>
      </c>
      <c r="D11713" s="3">
        <v>151.0</v>
      </c>
      <c r="E11713" s="3">
        <v>4.02</v>
      </c>
      <c r="F11713" s="3">
        <v>12.08</v>
      </c>
      <c r="G11713" s="3">
        <v>16.49</v>
      </c>
    </row>
    <row r="11714">
      <c r="A11714" s="3">
        <v>786305.0</v>
      </c>
      <c r="B11714" s="3" t="s">
        <v>11742</v>
      </c>
      <c r="C11714" s="3" t="s">
        <v>225</v>
      </c>
      <c r="D11714" s="3">
        <v>112.0</v>
      </c>
      <c r="E11714" s="3">
        <v>4.32</v>
      </c>
      <c r="F11714" s="3">
        <v>6.34</v>
      </c>
      <c r="G11714" s="3">
        <v>12.05</v>
      </c>
    </row>
    <row r="11715">
      <c r="A11715" s="3">
        <v>786306.0</v>
      </c>
      <c r="B11715" s="3" t="s">
        <v>11743</v>
      </c>
      <c r="C11715" s="3" t="s">
        <v>1464</v>
      </c>
      <c r="D11715" s="3">
        <v>311.0</v>
      </c>
      <c r="E11715" s="3">
        <v>14.04</v>
      </c>
      <c r="F11715" s="3">
        <v>8.91</v>
      </c>
      <c r="G11715" s="3">
        <v>36.61</v>
      </c>
    </row>
    <row r="11716">
      <c r="A11716" s="3">
        <v>786307.0</v>
      </c>
      <c r="B11716" s="3" t="s">
        <v>11744</v>
      </c>
      <c r="C11716" s="3" t="s">
        <v>1464</v>
      </c>
      <c r="D11716" s="3">
        <v>222.0</v>
      </c>
      <c r="E11716" s="3">
        <v>7.68</v>
      </c>
      <c r="F11716" s="3">
        <v>3.97</v>
      </c>
      <c r="G11716" s="3">
        <v>33.48</v>
      </c>
    </row>
    <row r="11717">
      <c r="A11717" s="3">
        <v>786308.0</v>
      </c>
      <c r="B11717" s="3" t="s">
        <v>11745</v>
      </c>
      <c r="C11717" s="3" t="s">
        <v>1464</v>
      </c>
      <c r="D11717" s="3">
        <v>259.0</v>
      </c>
      <c r="E11717" s="3">
        <v>11.47</v>
      </c>
      <c r="F11717" s="3">
        <v>8.92</v>
      </c>
      <c r="G11717" s="3">
        <v>29.36</v>
      </c>
    </row>
    <row r="11718">
      <c r="A11718" s="3">
        <v>786309.0</v>
      </c>
      <c r="B11718" s="3" t="s">
        <v>11746</v>
      </c>
      <c r="C11718" s="3" t="s">
        <v>1464</v>
      </c>
      <c r="D11718" s="3">
        <v>119.0</v>
      </c>
      <c r="E11718" s="3">
        <v>3.33</v>
      </c>
      <c r="F11718" s="3">
        <v>12.78</v>
      </c>
      <c r="G11718" s="3">
        <v>8.53</v>
      </c>
    </row>
    <row r="11719">
      <c r="A11719" s="3">
        <v>786310.0</v>
      </c>
      <c r="B11719" s="3" t="s">
        <v>11747</v>
      </c>
      <c r="C11719" s="3" t="s">
        <v>1464</v>
      </c>
      <c r="D11719" s="3">
        <v>268.0</v>
      </c>
      <c r="E11719" s="3">
        <v>11.52</v>
      </c>
      <c r="F11719" s="3">
        <v>6.46</v>
      </c>
      <c r="G11719" s="3">
        <v>33.58</v>
      </c>
    </row>
    <row r="11720">
      <c r="A11720" s="3">
        <v>786311.0</v>
      </c>
      <c r="B11720" s="3" t="s">
        <v>11748</v>
      </c>
      <c r="C11720" s="3" t="s">
        <v>1464</v>
      </c>
      <c r="D11720" s="3">
        <v>315.0</v>
      </c>
      <c r="E11720" s="3">
        <v>15.94</v>
      </c>
      <c r="F11720" s="3">
        <v>9.56</v>
      </c>
      <c r="G11720" s="3">
        <v>32.26</v>
      </c>
    </row>
    <row r="11721">
      <c r="A11721" s="3">
        <v>786312.0</v>
      </c>
      <c r="B11721" s="3" t="s">
        <v>11749</v>
      </c>
      <c r="C11721" s="3" t="s">
        <v>1464</v>
      </c>
      <c r="D11721" s="3">
        <v>173.0</v>
      </c>
      <c r="E11721" s="3">
        <v>9.75</v>
      </c>
      <c r="F11721" s="3">
        <v>3.48</v>
      </c>
      <c r="G11721" s="3">
        <v>18.85</v>
      </c>
    </row>
    <row r="11722">
      <c r="A11722" s="3">
        <v>786313.0</v>
      </c>
      <c r="B11722" s="3" t="s">
        <v>11750</v>
      </c>
      <c r="C11722" s="3" t="s">
        <v>225</v>
      </c>
      <c r="D11722" s="3">
        <v>139.0</v>
      </c>
      <c r="E11722" s="3">
        <v>2.5</v>
      </c>
      <c r="F11722" s="3">
        <v>4.25</v>
      </c>
      <c r="G11722" s="3">
        <v>24.62</v>
      </c>
    </row>
    <row r="11723">
      <c r="A11723" s="3">
        <v>786314.0</v>
      </c>
      <c r="B11723" s="3" t="s">
        <v>11751</v>
      </c>
      <c r="C11723" s="3" t="s">
        <v>1464</v>
      </c>
      <c r="D11723" s="3">
        <v>137.0</v>
      </c>
      <c r="E11723" s="3">
        <v>3.23</v>
      </c>
      <c r="F11723" s="3">
        <v>3.66</v>
      </c>
      <c r="G11723" s="3">
        <v>23.02</v>
      </c>
    </row>
    <row r="11724">
      <c r="A11724" s="3">
        <v>786315.0</v>
      </c>
      <c r="B11724" s="3" t="s">
        <v>11752</v>
      </c>
      <c r="C11724" s="3" t="s">
        <v>38</v>
      </c>
      <c r="D11724" s="3">
        <v>137.0</v>
      </c>
      <c r="E11724" s="3">
        <v>1.0</v>
      </c>
      <c r="F11724" s="3">
        <v>1.31</v>
      </c>
      <c r="G11724" s="3">
        <v>30.89</v>
      </c>
    </row>
    <row r="11725">
      <c r="A11725" s="3">
        <v>786316.0</v>
      </c>
      <c r="B11725" s="3" t="s">
        <v>11753</v>
      </c>
      <c r="C11725" s="3" t="s">
        <v>38</v>
      </c>
      <c r="D11725" s="3">
        <v>271.0</v>
      </c>
      <c r="E11725" s="3">
        <v>17.95</v>
      </c>
      <c r="F11725" s="3">
        <v>2.64</v>
      </c>
      <c r="G11725" s="3">
        <v>28.43</v>
      </c>
    </row>
    <row r="11726">
      <c r="A11726" s="3">
        <v>786317.0</v>
      </c>
      <c r="B11726" s="3" t="s">
        <v>11754</v>
      </c>
      <c r="C11726" s="3" t="s">
        <v>1464</v>
      </c>
      <c r="D11726" s="3">
        <v>53.0</v>
      </c>
      <c r="E11726" s="3">
        <v>0.94</v>
      </c>
      <c r="F11726" s="3">
        <v>4.81</v>
      </c>
      <c r="G11726" s="3">
        <v>6.12</v>
      </c>
    </row>
    <row r="11727">
      <c r="A11727" s="3">
        <v>786318.0</v>
      </c>
      <c r="B11727" s="3" t="s">
        <v>11755</v>
      </c>
      <c r="C11727" s="3" t="s">
        <v>1464</v>
      </c>
      <c r="D11727" s="3">
        <v>52.0</v>
      </c>
      <c r="E11727" s="3">
        <v>0.92</v>
      </c>
      <c r="F11727" s="3">
        <v>4.62</v>
      </c>
      <c r="G11727" s="3">
        <v>6.09</v>
      </c>
    </row>
    <row r="11728">
      <c r="A11728" s="3">
        <v>786319.0</v>
      </c>
      <c r="B11728" s="3" t="s">
        <v>11756</v>
      </c>
      <c r="C11728" s="3" t="s">
        <v>1464</v>
      </c>
      <c r="D11728" s="3">
        <v>35.0</v>
      </c>
      <c r="E11728" s="3">
        <v>0.1</v>
      </c>
      <c r="F11728" s="3">
        <v>0.76</v>
      </c>
      <c r="G11728" s="3">
        <v>7.69</v>
      </c>
    </row>
    <row r="11729">
      <c r="A11729" s="3">
        <v>786320.0</v>
      </c>
      <c r="B11729" s="3" t="s">
        <v>11757</v>
      </c>
      <c r="C11729" s="3" t="s">
        <v>1464</v>
      </c>
      <c r="D11729" s="3">
        <v>119.0</v>
      </c>
      <c r="E11729" s="3">
        <v>4.33</v>
      </c>
      <c r="F11729" s="3">
        <v>2.38</v>
      </c>
      <c r="G11729" s="3">
        <v>17.89</v>
      </c>
    </row>
    <row r="11730">
      <c r="A11730" s="3">
        <v>786321.0</v>
      </c>
      <c r="B11730" s="3" t="s">
        <v>11758</v>
      </c>
      <c r="C11730" s="3" t="s">
        <v>1464</v>
      </c>
      <c r="D11730" s="3">
        <v>156.0</v>
      </c>
      <c r="E11730" s="3">
        <v>4.84</v>
      </c>
      <c r="F11730" s="3">
        <v>5.0</v>
      </c>
      <c r="G11730" s="3">
        <v>23.47</v>
      </c>
    </row>
    <row r="11731">
      <c r="A11731" s="3">
        <v>786322.0</v>
      </c>
      <c r="B11731" s="3" t="s">
        <v>11759</v>
      </c>
      <c r="C11731" s="3" t="s">
        <v>1464</v>
      </c>
      <c r="D11731" s="3">
        <v>124.0</v>
      </c>
      <c r="E11731" s="3">
        <v>3.78</v>
      </c>
      <c r="F11731" s="3">
        <v>4.03</v>
      </c>
      <c r="G11731" s="3">
        <v>18.86</v>
      </c>
    </row>
    <row r="11732">
      <c r="A11732" s="3">
        <v>786323.0</v>
      </c>
      <c r="B11732" s="3" t="s">
        <v>11760</v>
      </c>
      <c r="C11732" s="3" t="s">
        <v>1464</v>
      </c>
      <c r="D11732" s="3">
        <v>158.0</v>
      </c>
      <c r="E11732" s="3">
        <v>5.08</v>
      </c>
      <c r="F11732" s="3">
        <v>8.42</v>
      </c>
      <c r="G11732" s="3">
        <v>19.78</v>
      </c>
    </row>
    <row r="11733">
      <c r="A11733" s="3">
        <v>786324.0</v>
      </c>
      <c r="B11733" s="3" t="s">
        <v>11761</v>
      </c>
      <c r="C11733" s="3" t="s">
        <v>1464</v>
      </c>
      <c r="D11733" s="3">
        <v>173.0</v>
      </c>
      <c r="E11733" s="3">
        <v>6.74</v>
      </c>
      <c r="F11733" s="3">
        <v>8.26</v>
      </c>
      <c r="G11733" s="3">
        <v>19.74</v>
      </c>
    </row>
    <row r="11734">
      <c r="A11734" s="3">
        <v>786325.0</v>
      </c>
      <c r="B11734" s="3" t="s">
        <v>11762</v>
      </c>
      <c r="C11734" s="3" t="s">
        <v>1464</v>
      </c>
      <c r="D11734" s="3">
        <v>169.0</v>
      </c>
      <c r="E11734" s="3">
        <v>6.28</v>
      </c>
      <c r="F11734" s="3">
        <v>8.39</v>
      </c>
      <c r="G11734" s="3">
        <v>19.74</v>
      </c>
    </row>
    <row r="11735">
      <c r="A11735" s="3">
        <v>786326.0</v>
      </c>
      <c r="B11735" s="3" t="s">
        <v>11763</v>
      </c>
      <c r="C11735" s="3" t="s">
        <v>1464</v>
      </c>
      <c r="D11735" s="3">
        <v>182.0</v>
      </c>
      <c r="E11735" s="3">
        <v>9.04</v>
      </c>
      <c r="F11735" s="3">
        <v>6.53</v>
      </c>
      <c r="G11735" s="3">
        <v>18.91</v>
      </c>
    </row>
    <row r="11736">
      <c r="A11736" s="3">
        <v>786327.0</v>
      </c>
      <c r="B11736" s="3" t="s">
        <v>11764</v>
      </c>
      <c r="C11736" s="3" t="s">
        <v>1464</v>
      </c>
      <c r="D11736" s="3">
        <v>126.0</v>
      </c>
      <c r="E11736" s="3">
        <v>1.84</v>
      </c>
      <c r="F11736" s="3">
        <v>7.04</v>
      </c>
      <c r="G11736" s="3">
        <v>20.16</v>
      </c>
    </row>
    <row r="11737">
      <c r="A11737" s="3">
        <v>786328.0</v>
      </c>
      <c r="B11737" s="3" t="s">
        <v>11765</v>
      </c>
      <c r="C11737" s="3" t="s">
        <v>1464</v>
      </c>
      <c r="D11737" s="3">
        <v>137.0</v>
      </c>
      <c r="E11737" s="3">
        <v>2.66</v>
      </c>
      <c r="F11737" s="3">
        <v>2.8</v>
      </c>
      <c r="G11737" s="3">
        <v>25.65</v>
      </c>
    </row>
    <row r="11738">
      <c r="A11738" s="3">
        <v>786329.0</v>
      </c>
      <c r="B11738" s="3" t="s">
        <v>11766</v>
      </c>
      <c r="C11738" s="3" t="s">
        <v>1464</v>
      </c>
      <c r="D11738" s="3">
        <v>121.0</v>
      </c>
      <c r="E11738" s="3">
        <v>0.59</v>
      </c>
      <c r="F11738" s="3">
        <v>2.86</v>
      </c>
      <c r="G11738" s="3">
        <v>26.2</v>
      </c>
    </row>
    <row r="11739">
      <c r="A11739" s="3">
        <v>786330.0</v>
      </c>
      <c r="B11739" s="3" t="s">
        <v>11767</v>
      </c>
      <c r="C11739" s="3" t="s">
        <v>1464</v>
      </c>
      <c r="D11739" s="3">
        <v>137.0</v>
      </c>
      <c r="E11739" s="3">
        <v>2.66</v>
      </c>
      <c r="F11739" s="3">
        <v>2.8</v>
      </c>
      <c r="G11739" s="3">
        <v>25.65</v>
      </c>
    </row>
    <row r="11740">
      <c r="A11740" s="3">
        <v>786331.0</v>
      </c>
      <c r="B11740" s="3" t="s">
        <v>11768</v>
      </c>
      <c r="C11740" s="3" t="s">
        <v>1464</v>
      </c>
      <c r="D11740" s="3">
        <v>134.0</v>
      </c>
      <c r="E11740" s="3">
        <v>2.35</v>
      </c>
      <c r="F11740" s="3">
        <v>3.28</v>
      </c>
      <c r="G11740" s="3">
        <v>24.37</v>
      </c>
    </row>
    <row r="11741">
      <c r="A11741" s="3">
        <v>786332.0</v>
      </c>
      <c r="B11741" s="3" t="s">
        <v>11769</v>
      </c>
      <c r="C11741" s="3" t="s">
        <v>1464</v>
      </c>
      <c r="D11741" s="3">
        <v>118.0</v>
      </c>
      <c r="E11741" s="3">
        <v>0.26</v>
      </c>
      <c r="F11741" s="3">
        <v>3.35</v>
      </c>
      <c r="G11741" s="3">
        <v>24.89</v>
      </c>
    </row>
    <row r="11742">
      <c r="A11742" s="3">
        <v>786333.0</v>
      </c>
      <c r="B11742" s="3" t="s">
        <v>11770</v>
      </c>
      <c r="C11742" s="3" t="s">
        <v>1464</v>
      </c>
      <c r="D11742" s="3">
        <v>134.0</v>
      </c>
      <c r="E11742" s="3">
        <v>2.35</v>
      </c>
      <c r="F11742" s="3">
        <v>3.28</v>
      </c>
      <c r="G11742" s="3">
        <v>24.37</v>
      </c>
    </row>
    <row r="11743">
      <c r="A11743" s="3">
        <v>786334.0</v>
      </c>
      <c r="B11743" s="3" t="s">
        <v>11771</v>
      </c>
      <c r="C11743" s="3" t="s">
        <v>1464</v>
      </c>
      <c r="D11743" s="3">
        <v>123.0</v>
      </c>
      <c r="E11743" s="3">
        <v>2.36</v>
      </c>
      <c r="F11743" s="3">
        <v>2.16</v>
      </c>
      <c r="G11743" s="3">
        <v>22.65</v>
      </c>
    </row>
    <row r="11744">
      <c r="A11744" s="3">
        <v>786335.0</v>
      </c>
      <c r="B11744" s="3" t="s">
        <v>11772</v>
      </c>
      <c r="C11744" s="3" t="s">
        <v>1464</v>
      </c>
      <c r="D11744" s="3">
        <v>106.0</v>
      </c>
      <c r="E11744" s="3">
        <v>0.25</v>
      </c>
      <c r="F11744" s="3">
        <v>2.2</v>
      </c>
      <c r="G11744" s="3">
        <v>23.14</v>
      </c>
    </row>
    <row r="11745">
      <c r="A11745" s="3">
        <v>786336.0</v>
      </c>
      <c r="B11745" s="3" t="s">
        <v>11773</v>
      </c>
      <c r="C11745" s="3" t="s">
        <v>1464</v>
      </c>
      <c r="D11745" s="3">
        <v>123.0</v>
      </c>
      <c r="E11745" s="3">
        <v>2.36</v>
      </c>
      <c r="F11745" s="3">
        <v>2.16</v>
      </c>
      <c r="G11745" s="3">
        <v>22.65</v>
      </c>
    </row>
    <row r="11746">
      <c r="A11746" s="3">
        <v>786337.0</v>
      </c>
      <c r="B11746" s="3" t="s">
        <v>11774</v>
      </c>
      <c r="C11746" s="3" t="s">
        <v>1464</v>
      </c>
      <c r="D11746" s="3">
        <v>125.0</v>
      </c>
      <c r="E11746" s="3">
        <v>2.4</v>
      </c>
      <c r="F11746" s="3">
        <v>2.72</v>
      </c>
      <c r="G11746" s="3">
        <v>23.01</v>
      </c>
    </row>
    <row r="11747">
      <c r="A11747" s="3">
        <v>786338.0</v>
      </c>
      <c r="B11747" s="3" t="s">
        <v>11775</v>
      </c>
      <c r="C11747" s="3" t="s">
        <v>1464</v>
      </c>
      <c r="D11747" s="3">
        <v>109.0</v>
      </c>
      <c r="E11747" s="3">
        <v>0.31</v>
      </c>
      <c r="F11747" s="3">
        <v>2.78</v>
      </c>
      <c r="G11747" s="3">
        <v>23.5</v>
      </c>
    </row>
    <row r="11748">
      <c r="A11748" s="3">
        <v>786339.0</v>
      </c>
      <c r="B11748" s="3" t="s">
        <v>11776</v>
      </c>
      <c r="C11748" s="3" t="s">
        <v>1464</v>
      </c>
      <c r="D11748" s="3">
        <v>125.0</v>
      </c>
      <c r="E11748" s="3">
        <v>2.4</v>
      </c>
      <c r="F11748" s="3">
        <v>2.72</v>
      </c>
      <c r="G11748" s="3">
        <v>23.01</v>
      </c>
    </row>
    <row r="11749">
      <c r="A11749" s="3">
        <v>786340.0</v>
      </c>
      <c r="B11749" s="3" t="s">
        <v>11777</v>
      </c>
      <c r="C11749" s="3" t="s">
        <v>1464</v>
      </c>
      <c r="D11749" s="3">
        <v>106.0</v>
      </c>
      <c r="E11749" s="3">
        <v>2.13</v>
      </c>
      <c r="F11749" s="3">
        <v>2.0</v>
      </c>
      <c r="G11749" s="3">
        <v>19.42</v>
      </c>
    </row>
    <row r="11750">
      <c r="A11750" s="3">
        <v>786341.0</v>
      </c>
      <c r="B11750" s="3" t="s">
        <v>11778</v>
      </c>
      <c r="C11750" s="3" t="s">
        <v>1464</v>
      </c>
      <c r="D11750" s="3">
        <v>91.0</v>
      </c>
      <c r="E11750" s="3">
        <v>0.27</v>
      </c>
      <c r="F11750" s="3">
        <v>2.04</v>
      </c>
      <c r="G11750" s="3">
        <v>19.79</v>
      </c>
    </row>
    <row r="11751">
      <c r="A11751" s="3">
        <v>786342.0</v>
      </c>
      <c r="B11751" s="3" t="s">
        <v>11779</v>
      </c>
      <c r="C11751" s="3" t="s">
        <v>1464</v>
      </c>
      <c r="D11751" s="3">
        <v>106.0</v>
      </c>
      <c r="E11751" s="3">
        <v>2.13</v>
      </c>
      <c r="F11751" s="3">
        <v>2.0</v>
      </c>
      <c r="G11751" s="3">
        <v>19.42</v>
      </c>
    </row>
    <row r="11752">
      <c r="A11752" s="3">
        <v>786343.0</v>
      </c>
      <c r="B11752" s="3" t="s">
        <v>11780</v>
      </c>
      <c r="C11752" s="3" t="s">
        <v>1464</v>
      </c>
      <c r="D11752" s="3">
        <v>122.0</v>
      </c>
      <c r="E11752" s="3">
        <v>2.41</v>
      </c>
      <c r="F11752" s="3">
        <v>2.55</v>
      </c>
      <c r="G11752" s="3">
        <v>22.38</v>
      </c>
    </row>
    <row r="11753">
      <c r="A11753" s="3">
        <v>786344.0</v>
      </c>
      <c r="B11753" s="3" t="s">
        <v>11781</v>
      </c>
      <c r="C11753" s="3" t="s">
        <v>1464</v>
      </c>
      <c r="D11753" s="3">
        <v>106.0</v>
      </c>
      <c r="E11753" s="3">
        <v>0.31</v>
      </c>
      <c r="F11753" s="3">
        <v>2.6</v>
      </c>
      <c r="G11753" s="3">
        <v>22.86</v>
      </c>
    </row>
    <row r="11754">
      <c r="A11754" s="3">
        <v>786345.0</v>
      </c>
      <c r="B11754" s="3" t="s">
        <v>11782</v>
      </c>
      <c r="C11754" s="3" t="s">
        <v>1464</v>
      </c>
      <c r="D11754" s="3">
        <v>122.0</v>
      </c>
      <c r="E11754" s="3">
        <v>2.41</v>
      </c>
      <c r="F11754" s="3">
        <v>2.55</v>
      </c>
      <c r="G11754" s="3">
        <v>22.38</v>
      </c>
    </row>
    <row r="11755">
      <c r="A11755" s="3">
        <v>786346.0</v>
      </c>
      <c r="B11755" s="3" t="s">
        <v>11783</v>
      </c>
      <c r="C11755" s="3" t="s">
        <v>1464</v>
      </c>
      <c r="D11755" s="3">
        <v>114.0</v>
      </c>
      <c r="E11755" s="3">
        <v>2.24</v>
      </c>
      <c r="F11755" s="3">
        <v>2.08</v>
      </c>
      <c r="G11755" s="3">
        <v>20.92</v>
      </c>
    </row>
    <row r="11756">
      <c r="A11756" s="3">
        <v>786347.0</v>
      </c>
      <c r="B11756" s="3" t="s">
        <v>11784</v>
      </c>
      <c r="C11756" s="3" t="s">
        <v>1464</v>
      </c>
      <c r="D11756" s="3">
        <v>98.0</v>
      </c>
      <c r="E11756" s="3">
        <v>0.26</v>
      </c>
      <c r="F11756" s="3">
        <v>2.12</v>
      </c>
      <c r="G11756" s="3">
        <v>21.34</v>
      </c>
    </row>
    <row r="11757">
      <c r="A11757" s="3">
        <v>786348.0</v>
      </c>
      <c r="B11757" s="3" t="s">
        <v>11785</v>
      </c>
      <c r="C11757" s="3" t="s">
        <v>1464</v>
      </c>
      <c r="D11757" s="3">
        <v>114.0</v>
      </c>
      <c r="E11757" s="3">
        <v>2.24</v>
      </c>
      <c r="F11757" s="3">
        <v>2.08</v>
      </c>
      <c r="G11757" s="3">
        <v>20.92</v>
      </c>
    </row>
    <row r="11758">
      <c r="A11758" s="3">
        <v>786349.0</v>
      </c>
      <c r="B11758" s="3" t="s">
        <v>11786</v>
      </c>
      <c r="C11758" s="3" t="s">
        <v>1464</v>
      </c>
      <c r="D11758" s="3">
        <v>114.0</v>
      </c>
      <c r="E11758" s="3">
        <v>2.26</v>
      </c>
      <c r="F11758" s="3">
        <v>2.26</v>
      </c>
      <c r="G11758" s="3">
        <v>20.8</v>
      </c>
    </row>
    <row r="11759">
      <c r="A11759" s="3">
        <v>786350.0</v>
      </c>
      <c r="B11759" s="3" t="s">
        <v>11787</v>
      </c>
      <c r="C11759" s="3" t="s">
        <v>1464</v>
      </c>
      <c r="D11759" s="3">
        <v>98.0</v>
      </c>
      <c r="E11759" s="3">
        <v>0.29</v>
      </c>
      <c r="F11759" s="3">
        <v>2.3</v>
      </c>
      <c r="G11759" s="3">
        <v>21.22</v>
      </c>
    </row>
    <row r="11760">
      <c r="A11760" s="3">
        <v>786351.0</v>
      </c>
      <c r="B11760" s="3" t="s">
        <v>11788</v>
      </c>
      <c r="C11760" s="3" t="s">
        <v>1464</v>
      </c>
      <c r="D11760" s="3">
        <v>114.0</v>
      </c>
      <c r="E11760" s="3">
        <v>2.26</v>
      </c>
      <c r="F11760" s="3">
        <v>2.26</v>
      </c>
      <c r="G11760" s="3">
        <v>20.8</v>
      </c>
    </row>
    <row r="11761">
      <c r="A11761" s="3">
        <v>786352.0</v>
      </c>
      <c r="B11761" s="3" t="s">
        <v>11789</v>
      </c>
      <c r="C11761" s="3" t="s">
        <v>1464</v>
      </c>
      <c r="D11761" s="3">
        <v>122.0</v>
      </c>
      <c r="E11761" s="3">
        <v>2.38</v>
      </c>
      <c r="F11761" s="3">
        <v>2.35</v>
      </c>
      <c r="G11761" s="3">
        <v>22.51</v>
      </c>
    </row>
    <row r="11762">
      <c r="A11762" s="3">
        <v>786353.0</v>
      </c>
      <c r="B11762" s="3" t="s">
        <v>11790</v>
      </c>
      <c r="C11762" s="3" t="s">
        <v>1464</v>
      </c>
      <c r="D11762" s="3">
        <v>106.0</v>
      </c>
      <c r="E11762" s="3">
        <v>0.28</v>
      </c>
      <c r="F11762" s="3">
        <v>2.4</v>
      </c>
      <c r="G11762" s="3">
        <v>23.0</v>
      </c>
    </row>
    <row r="11763">
      <c r="A11763" s="3">
        <v>786354.0</v>
      </c>
      <c r="B11763" s="3" t="s">
        <v>11791</v>
      </c>
      <c r="C11763" s="3" t="s">
        <v>1464</v>
      </c>
      <c r="D11763" s="3">
        <v>122.0</v>
      </c>
      <c r="E11763" s="3">
        <v>2.38</v>
      </c>
      <c r="F11763" s="3">
        <v>2.35</v>
      </c>
      <c r="G11763" s="3">
        <v>22.51</v>
      </c>
    </row>
    <row r="11764">
      <c r="A11764" s="3">
        <v>786355.0</v>
      </c>
      <c r="B11764" s="3" t="s">
        <v>11792</v>
      </c>
      <c r="C11764" s="3" t="s">
        <v>1464</v>
      </c>
      <c r="D11764" s="3">
        <v>117.0</v>
      </c>
      <c r="E11764" s="3">
        <v>2.29</v>
      </c>
      <c r="F11764" s="3">
        <v>2.23</v>
      </c>
      <c r="G11764" s="3">
        <v>21.4</v>
      </c>
    </row>
    <row r="11765">
      <c r="A11765" s="3">
        <v>786356.0</v>
      </c>
      <c r="B11765" s="3" t="s">
        <v>11793</v>
      </c>
      <c r="C11765" s="3" t="s">
        <v>1464</v>
      </c>
      <c r="D11765" s="3">
        <v>101.0</v>
      </c>
      <c r="E11765" s="3">
        <v>0.28</v>
      </c>
      <c r="F11765" s="3">
        <v>2.27</v>
      </c>
      <c r="G11765" s="3">
        <v>21.84</v>
      </c>
    </row>
    <row r="11766">
      <c r="A11766" s="3">
        <v>786357.0</v>
      </c>
      <c r="B11766" s="3" t="s">
        <v>11794</v>
      </c>
      <c r="C11766" s="3" t="s">
        <v>1464</v>
      </c>
      <c r="D11766" s="3">
        <v>117.0</v>
      </c>
      <c r="E11766" s="3">
        <v>2.29</v>
      </c>
      <c r="F11766" s="3">
        <v>2.23</v>
      </c>
      <c r="G11766" s="3">
        <v>21.4</v>
      </c>
    </row>
    <row r="11767">
      <c r="A11767" s="3">
        <v>786358.0</v>
      </c>
      <c r="B11767" s="3" t="s">
        <v>11795</v>
      </c>
      <c r="C11767" s="3" t="s">
        <v>1464</v>
      </c>
      <c r="D11767" s="3">
        <v>123.0</v>
      </c>
      <c r="E11767" s="3">
        <v>2.36</v>
      </c>
      <c r="F11767" s="3">
        <v>2.3</v>
      </c>
      <c r="G11767" s="3">
        <v>22.69</v>
      </c>
    </row>
    <row r="11768">
      <c r="A11768" s="3">
        <v>786359.0</v>
      </c>
      <c r="B11768" s="3" t="s">
        <v>11796</v>
      </c>
      <c r="C11768" s="3" t="s">
        <v>1464</v>
      </c>
      <c r="D11768" s="3">
        <v>106.0</v>
      </c>
      <c r="E11768" s="3">
        <v>0.26</v>
      </c>
      <c r="F11768" s="3">
        <v>2.35</v>
      </c>
      <c r="G11768" s="3">
        <v>23.18</v>
      </c>
    </row>
    <row r="11769">
      <c r="A11769" s="3">
        <v>786360.0</v>
      </c>
      <c r="B11769" s="3" t="s">
        <v>11797</v>
      </c>
      <c r="C11769" s="3" t="s">
        <v>1464</v>
      </c>
      <c r="D11769" s="3">
        <v>123.0</v>
      </c>
      <c r="E11769" s="3">
        <v>2.36</v>
      </c>
      <c r="F11769" s="3">
        <v>2.3</v>
      </c>
      <c r="G11769" s="3">
        <v>22.69</v>
      </c>
    </row>
    <row r="11770">
      <c r="A11770" s="3">
        <v>786361.0</v>
      </c>
      <c r="B11770" s="3" t="s">
        <v>11798</v>
      </c>
      <c r="C11770" s="3" t="s">
        <v>1464</v>
      </c>
      <c r="D11770" s="3">
        <v>149.0</v>
      </c>
      <c r="E11770" s="3">
        <v>4.71</v>
      </c>
      <c r="F11770" s="3">
        <v>5.5</v>
      </c>
      <c r="G11770" s="3">
        <v>21.48</v>
      </c>
    </row>
    <row r="11771">
      <c r="A11771" s="3">
        <v>786362.0</v>
      </c>
      <c r="B11771" s="3" t="s">
        <v>11799</v>
      </c>
      <c r="C11771" s="3" t="s">
        <v>1464</v>
      </c>
      <c r="D11771" s="3">
        <v>149.0</v>
      </c>
      <c r="E11771" s="3">
        <v>4.71</v>
      </c>
      <c r="F11771" s="3">
        <v>5.5</v>
      </c>
      <c r="G11771" s="3">
        <v>21.48</v>
      </c>
    </row>
    <row r="11772">
      <c r="A11772" s="3">
        <v>786363.0</v>
      </c>
      <c r="B11772" s="3" t="s">
        <v>11800</v>
      </c>
      <c r="C11772" s="3" t="s">
        <v>1464</v>
      </c>
      <c r="D11772" s="3">
        <v>115.0</v>
      </c>
      <c r="E11772" s="3">
        <v>0.33</v>
      </c>
      <c r="F11772" s="3">
        <v>5.76</v>
      </c>
      <c r="G11772" s="3">
        <v>22.47</v>
      </c>
    </row>
    <row r="11773">
      <c r="A11773" s="3">
        <v>786364.0</v>
      </c>
      <c r="B11773" s="3" t="s">
        <v>11801</v>
      </c>
      <c r="C11773" s="3" t="s">
        <v>1464</v>
      </c>
      <c r="D11773" s="3">
        <v>267.0</v>
      </c>
      <c r="E11773" s="3">
        <v>17.23</v>
      </c>
      <c r="F11773" s="3">
        <v>3.57</v>
      </c>
      <c r="G11773" s="3">
        <v>26.56</v>
      </c>
    </row>
    <row r="11774">
      <c r="A11774" s="3">
        <v>786365.0</v>
      </c>
      <c r="B11774" s="3" t="s">
        <v>11802</v>
      </c>
      <c r="C11774" s="3" t="s">
        <v>1464</v>
      </c>
      <c r="D11774" s="3">
        <v>151.0</v>
      </c>
      <c r="E11774" s="3">
        <v>4.76</v>
      </c>
      <c r="F11774" s="3">
        <v>4.83</v>
      </c>
      <c r="G11774" s="3">
        <v>22.72</v>
      </c>
    </row>
    <row r="11775">
      <c r="A11775" s="3">
        <v>786366.0</v>
      </c>
      <c r="B11775" s="3" t="s">
        <v>11803</v>
      </c>
      <c r="C11775" s="3" t="s">
        <v>1464</v>
      </c>
      <c r="D11775" s="3">
        <v>122.0</v>
      </c>
      <c r="E11775" s="3">
        <v>3.79</v>
      </c>
      <c r="F11775" s="3">
        <v>3.96</v>
      </c>
      <c r="G11775" s="3">
        <v>18.57</v>
      </c>
    </row>
    <row r="11776">
      <c r="A11776" s="3">
        <v>786367.0</v>
      </c>
      <c r="B11776" s="3" t="s">
        <v>11804</v>
      </c>
      <c r="C11776" s="3" t="s">
        <v>1464</v>
      </c>
      <c r="D11776" s="3">
        <v>130.0</v>
      </c>
      <c r="E11776" s="3">
        <v>2.84</v>
      </c>
      <c r="F11776" s="3">
        <v>2.82</v>
      </c>
      <c r="G11776" s="3">
        <v>24.04</v>
      </c>
    </row>
    <row r="11777">
      <c r="A11777" s="3">
        <v>786368.0</v>
      </c>
      <c r="B11777" s="3" t="s">
        <v>11805</v>
      </c>
      <c r="C11777" s="3" t="s">
        <v>1464</v>
      </c>
      <c r="D11777" s="3">
        <v>117.0</v>
      </c>
      <c r="E11777" s="3">
        <v>1.08</v>
      </c>
      <c r="F11777" s="3">
        <v>2.88</v>
      </c>
      <c r="G11777" s="3">
        <v>24.48</v>
      </c>
    </row>
    <row r="11778">
      <c r="A11778" s="3">
        <v>786369.0</v>
      </c>
      <c r="B11778" s="3" t="s">
        <v>11806</v>
      </c>
      <c r="C11778" s="3" t="s">
        <v>1464</v>
      </c>
      <c r="D11778" s="3">
        <v>130.0</v>
      </c>
      <c r="E11778" s="3">
        <v>2.84</v>
      </c>
      <c r="F11778" s="3">
        <v>2.82</v>
      </c>
      <c r="G11778" s="3">
        <v>24.04</v>
      </c>
    </row>
    <row r="11779">
      <c r="A11779" s="3">
        <v>786370.0</v>
      </c>
      <c r="B11779" s="3" t="s">
        <v>11807</v>
      </c>
      <c r="C11779" s="3" t="s">
        <v>1464</v>
      </c>
      <c r="D11779" s="3">
        <v>128.0</v>
      </c>
      <c r="E11779" s="3">
        <v>2.58</v>
      </c>
      <c r="F11779" s="3">
        <v>3.23</v>
      </c>
      <c r="G11779" s="3">
        <v>22.93</v>
      </c>
    </row>
    <row r="11780">
      <c r="A11780" s="3">
        <v>786371.0</v>
      </c>
      <c r="B11780" s="3" t="s">
        <v>11808</v>
      </c>
      <c r="C11780" s="3" t="s">
        <v>1464</v>
      </c>
      <c r="D11780" s="3">
        <v>114.0</v>
      </c>
      <c r="E11780" s="3">
        <v>0.81</v>
      </c>
      <c r="F11780" s="3">
        <v>3.29</v>
      </c>
      <c r="G11780" s="3">
        <v>23.35</v>
      </c>
    </row>
    <row r="11781">
      <c r="A11781" s="3">
        <v>786372.0</v>
      </c>
      <c r="B11781" s="3" t="s">
        <v>11809</v>
      </c>
      <c r="C11781" s="3" t="s">
        <v>1464</v>
      </c>
      <c r="D11781" s="3">
        <v>128.0</v>
      </c>
      <c r="E11781" s="3">
        <v>2.58</v>
      </c>
      <c r="F11781" s="3">
        <v>3.23</v>
      </c>
      <c r="G11781" s="3">
        <v>22.93</v>
      </c>
    </row>
    <row r="11782">
      <c r="A11782" s="3">
        <v>786373.0</v>
      </c>
      <c r="B11782" s="3" t="s">
        <v>11810</v>
      </c>
      <c r="C11782" s="3" t="s">
        <v>1464</v>
      </c>
      <c r="D11782" s="3">
        <v>118.0</v>
      </c>
      <c r="E11782" s="3">
        <v>2.58</v>
      </c>
      <c r="F11782" s="3">
        <v>2.27</v>
      </c>
      <c r="G11782" s="3">
        <v>21.44</v>
      </c>
    </row>
    <row r="11783">
      <c r="A11783" s="3">
        <v>786374.0</v>
      </c>
      <c r="B11783" s="3" t="s">
        <v>11811</v>
      </c>
      <c r="C11783" s="3" t="s">
        <v>1464</v>
      </c>
      <c r="D11783" s="3">
        <v>104.0</v>
      </c>
      <c r="E11783" s="3">
        <v>0.8</v>
      </c>
      <c r="F11783" s="3">
        <v>2.31</v>
      </c>
      <c r="G11783" s="3">
        <v>21.84</v>
      </c>
    </row>
    <row r="11784">
      <c r="A11784" s="3">
        <v>786375.0</v>
      </c>
      <c r="B11784" s="3" t="s">
        <v>11812</v>
      </c>
      <c r="C11784" s="3" t="s">
        <v>1464</v>
      </c>
      <c r="D11784" s="3">
        <v>118.0</v>
      </c>
      <c r="E11784" s="3">
        <v>2.58</v>
      </c>
      <c r="F11784" s="3">
        <v>2.27</v>
      </c>
      <c r="G11784" s="3">
        <v>21.44</v>
      </c>
    </row>
    <row r="11785">
      <c r="A11785" s="3">
        <v>786376.0</v>
      </c>
      <c r="B11785" s="3" t="s">
        <v>11813</v>
      </c>
      <c r="C11785" s="3" t="s">
        <v>1464</v>
      </c>
      <c r="D11785" s="3">
        <v>120.0</v>
      </c>
      <c r="E11785" s="3">
        <v>2.62</v>
      </c>
      <c r="F11785" s="3">
        <v>2.75</v>
      </c>
      <c r="G11785" s="3">
        <v>21.77</v>
      </c>
    </row>
    <row r="11786">
      <c r="A11786" s="3">
        <v>786377.0</v>
      </c>
      <c r="B11786" s="3" t="s">
        <v>11814</v>
      </c>
      <c r="C11786" s="3" t="s">
        <v>1464</v>
      </c>
      <c r="D11786" s="3">
        <v>106.0</v>
      </c>
      <c r="E11786" s="3">
        <v>0.85</v>
      </c>
      <c r="F11786" s="3">
        <v>2.8</v>
      </c>
      <c r="G11786" s="3">
        <v>22.17</v>
      </c>
    </row>
    <row r="11787">
      <c r="A11787" s="3">
        <v>786378.0</v>
      </c>
      <c r="B11787" s="3" t="s">
        <v>11815</v>
      </c>
      <c r="C11787" s="3" t="s">
        <v>1464</v>
      </c>
      <c r="D11787" s="3">
        <v>120.0</v>
      </c>
      <c r="E11787" s="3">
        <v>2.62</v>
      </c>
      <c r="F11787" s="3">
        <v>2.75</v>
      </c>
      <c r="G11787" s="3">
        <v>21.77</v>
      </c>
    </row>
    <row r="11788">
      <c r="A11788" s="3">
        <v>786379.0</v>
      </c>
      <c r="B11788" s="3" t="s">
        <v>11816</v>
      </c>
      <c r="C11788" s="3" t="s">
        <v>1464</v>
      </c>
      <c r="D11788" s="3">
        <v>104.0</v>
      </c>
      <c r="E11788" s="3">
        <v>2.37</v>
      </c>
      <c r="F11788" s="3">
        <v>2.13</v>
      </c>
      <c r="G11788" s="3">
        <v>18.77</v>
      </c>
    </row>
    <row r="11789">
      <c r="A11789" s="3">
        <v>786380.0</v>
      </c>
      <c r="B11789" s="3" t="s">
        <v>11817</v>
      </c>
      <c r="C11789" s="3" t="s">
        <v>1464</v>
      </c>
      <c r="D11789" s="3">
        <v>92.0</v>
      </c>
      <c r="E11789" s="3">
        <v>0.76</v>
      </c>
      <c r="F11789" s="3">
        <v>2.16</v>
      </c>
      <c r="G11789" s="3">
        <v>19.08</v>
      </c>
    </row>
    <row r="11790">
      <c r="A11790" s="3">
        <v>786381.0</v>
      </c>
      <c r="B11790" s="3" t="s">
        <v>11818</v>
      </c>
      <c r="C11790" s="3" t="s">
        <v>1464</v>
      </c>
      <c r="D11790" s="3">
        <v>104.0</v>
      </c>
      <c r="E11790" s="3">
        <v>2.37</v>
      </c>
      <c r="F11790" s="3">
        <v>2.13</v>
      </c>
      <c r="G11790" s="3">
        <v>18.77</v>
      </c>
    </row>
    <row r="11791">
      <c r="A11791" s="3">
        <v>786382.0</v>
      </c>
      <c r="B11791" s="3" t="s">
        <v>11819</v>
      </c>
      <c r="C11791" s="3" t="s">
        <v>1464</v>
      </c>
      <c r="D11791" s="3">
        <v>118.0</v>
      </c>
      <c r="E11791" s="3">
        <v>2.63</v>
      </c>
      <c r="F11791" s="3">
        <v>2.61</v>
      </c>
      <c r="G11791" s="3">
        <v>21.23</v>
      </c>
    </row>
    <row r="11792">
      <c r="A11792" s="3">
        <v>786383.0</v>
      </c>
      <c r="B11792" s="3" t="s">
        <v>11820</v>
      </c>
      <c r="C11792" s="3" t="s">
        <v>1464</v>
      </c>
      <c r="D11792" s="3">
        <v>104.0</v>
      </c>
      <c r="E11792" s="3">
        <v>0.85</v>
      </c>
      <c r="F11792" s="3">
        <v>2.65</v>
      </c>
      <c r="G11792" s="3">
        <v>21.62</v>
      </c>
    </row>
    <row r="11793">
      <c r="A11793" s="3">
        <v>786384.0</v>
      </c>
      <c r="B11793" s="3" t="s">
        <v>11821</v>
      </c>
      <c r="C11793" s="3" t="s">
        <v>1464</v>
      </c>
      <c r="D11793" s="3">
        <v>118.0</v>
      </c>
      <c r="E11793" s="3">
        <v>2.63</v>
      </c>
      <c r="F11793" s="3">
        <v>2.61</v>
      </c>
      <c r="G11793" s="3">
        <v>21.23</v>
      </c>
    </row>
    <row r="11794">
      <c r="A11794" s="3">
        <v>786385.0</v>
      </c>
      <c r="B11794" s="3" t="s">
        <v>11822</v>
      </c>
      <c r="C11794" s="3" t="s">
        <v>1464</v>
      </c>
      <c r="D11794" s="3">
        <v>111.0</v>
      </c>
      <c r="E11794" s="3">
        <v>2.47</v>
      </c>
      <c r="F11794" s="3">
        <v>2.2</v>
      </c>
      <c r="G11794" s="3">
        <v>20.03</v>
      </c>
    </row>
    <row r="11795">
      <c r="A11795" s="3">
        <v>786386.0</v>
      </c>
      <c r="B11795" s="3" t="s">
        <v>11823</v>
      </c>
      <c r="C11795" s="3" t="s">
        <v>1464</v>
      </c>
      <c r="D11795" s="3">
        <v>97.0</v>
      </c>
      <c r="E11795" s="3">
        <v>0.78</v>
      </c>
      <c r="F11795" s="3">
        <v>2.24</v>
      </c>
      <c r="G11795" s="3">
        <v>20.38</v>
      </c>
    </row>
    <row r="11796">
      <c r="A11796" s="3">
        <v>786387.0</v>
      </c>
      <c r="B11796" s="3" t="s">
        <v>11824</v>
      </c>
      <c r="C11796" s="3" t="s">
        <v>1464</v>
      </c>
      <c r="D11796" s="3">
        <v>111.0</v>
      </c>
      <c r="E11796" s="3">
        <v>2.47</v>
      </c>
      <c r="F11796" s="3">
        <v>2.2</v>
      </c>
      <c r="G11796" s="3">
        <v>20.03</v>
      </c>
    </row>
    <row r="11797">
      <c r="A11797" s="3">
        <v>786388.0</v>
      </c>
      <c r="B11797" s="3" t="s">
        <v>11825</v>
      </c>
      <c r="C11797" s="3" t="s">
        <v>1464</v>
      </c>
      <c r="D11797" s="3">
        <v>111.0</v>
      </c>
      <c r="E11797" s="3">
        <v>2.49</v>
      </c>
      <c r="F11797" s="3">
        <v>2.36</v>
      </c>
      <c r="G11797" s="3">
        <v>19.93</v>
      </c>
    </row>
    <row r="11798">
      <c r="A11798" s="3">
        <v>786389.0</v>
      </c>
      <c r="B11798" s="3" t="s">
        <v>11826</v>
      </c>
      <c r="C11798" s="3" t="s">
        <v>1464</v>
      </c>
      <c r="D11798" s="3">
        <v>97.0</v>
      </c>
      <c r="E11798" s="3">
        <v>0.8</v>
      </c>
      <c r="F11798" s="3">
        <v>2.4</v>
      </c>
      <c r="G11798" s="3">
        <v>20.28</v>
      </c>
    </row>
    <row r="11799">
      <c r="A11799" s="3">
        <v>786390.0</v>
      </c>
      <c r="B11799" s="3" t="s">
        <v>11827</v>
      </c>
      <c r="C11799" s="3" t="s">
        <v>1464</v>
      </c>
      <c r="D11799" s="3">
        <v>111.0</v>
      </c>
      <c r="E11799" s="3">
        <v>2.49</v>
      </c>
      <c r="F11799" s="3">
        <v>2.36</v>
      </c>
      <c r="G11799" s="3">
        <v>19.93</v>
      </c>
    </row>
    <row r="11800">
      <c r="A11800" s="3">
        <v>786391.0</v>
      </c>
      <c r="B11800" s="3" t="s">
        <v>11828</v>
      </c>
      <c r="C11800" s="3" t="s">
        <v>1464</v>
      </c>
      <c r="D11800" s="3">
        <v>118.0</v>
      </c>
      <c r="E11800" s="3">
        <v>2.61</v>
      </c>
      <c r="F11800" s="3">
        <v>2.44</v>
      </c>
      <c r="G11800" s="3">
        <v>21.34</v>
      </c>
    </row>
    <row r="11801">
      <c r="A11801" s="3">
        <v>786392.0</v>
      </c>
      <c r="B11801" s="3" t="s">
        <v>11829</v>
      </c>
      <c r="C11801" s="3" t="s">
        <v>1464</v>
      </c>
      <c r="D11801" s="3">
        <v>104.0</v>
      </c>
      <c r="E11801" s="3">
        <v>0.82</v>
      </c>
      <c r="F11801" s="3">
        <v>2.48</v>
      </c>
      <c r="G11801" s="3">
        <v>21.73</v>
      </c>
    </row>
    <row r="11802">
      <c r="A11802" s="3">
        <v>786393.0</v>
      </c>
      <c r="B11802" s="3" t="s">
        <v>11830</v>
      </c>
      <c r="C11802" s="3" t="s">
        <v>1464</v>
      </c>
      <c r="D11802" s="3">
        <v>118.0</v>
      </c>
      <c r="E11802" s="3">
        <v>2.61</v>
      </c>
      <c r="F11802" s="3">
        <v>2.44</v>
      </c>
      <c r="G11802" s="3">
        <v>21.34</v>
      </c>
    </row>
    <row r="11803">
      <c r="A11803" s="3">
        <v>786394.0</v>
      </c>
      <c r="B11803" s="3" t="s">
        <v>11831</v>
      </c>
      <c r="C11803" s="3" t="s">
        <v>1464</v>
      </c>
      <c r="D11803" s="3">
        <v>163.0</v>
      </c>
      <c r="E11803" s="3">
        <v>11.59</v>
      </c>
      <c r="F11803" s="3">
        <v>2.29</v>
      </c>
      <c r="G11803" s="3">
        <v>13.94</v>
      </c>
    </row>
    <row r="11804">
      <c r="A11804" s="3">
        <v>786395.0</v>
      </c>
      <c r="B11804" s="3" t="s">
        <v>11832</v>
      </c>
      <c r="C11804" s="3" t="s">
        <v>1464</v>
      </c>
      <c r="D11804" s="3">
        <v>113.0</v>
      </c>
      <c r="E11804" s="3">
        <v>2.52</v>
      </c>
      <c r="F11804" s="3">
        <v>2.33</v>
      </c>
      <c r="G11804" s="3">
        <v>20.42</v>
      </c>
    </row>
    <row r="11805">
      <c r="A11805" s="3">
        <v>786396.0</v>
      </c>
      <c r="B11805" s="3" t="s">
        <v>11833</v>
      </c>
      <c r="C11805" s="3" t="s">
        <v>1464</v>
      </c>
      <c r="D11805" s="3">
        <v>100.0</v>
      </c>
      <c r="E11805" s="3">
        <v>0.8</v>
      </c>
      <c r="F11805" s="3">
        <v>2.37</v>
      </c>
      <c r="G11805" s="3">
        <v>20.78</v>
      </c>
    </row>
    <row r="11806">
      <c r="A11806" s="3">
        <v>786397.0</v>
      </c>
      <c r="B11806" s="3" t="s">
        <v>11834</v>
      </c>
      <c r="C11806" s="3" t="s">
        <v>1464</v>
      </c>
      <c r="D11806" s="3">
        <v>113.0</v>
      </c>
      <c r="E11806" s="3">
        <v>2.52</v>
      </c>
      <c r="F11806" s="3">
        <v>2.33</v>
      </c>
      <c r="G11806" s="3">
        <v>20.42</v>
      </c>
    </row>
    <row r="11807">
      <c r="A11807" s="3">
        <v>786398.0</v>
      </c>
      <c r="B11807" s="3" t="s">
        <v>11835</v>
      </c>
      <c r="C11807" s="3" t="s">
        <v>1464</v>
      </c>
      <c r="D11807" s="3">
        <v>118.0</v>
      </c>
      <c r="E11807" s="3">
        <v>2.59</v>
      </c>
      <c r="F11807" s="3">
        <v>2.4</v>
      </c>
      <c r="G11807" s="3">
        <v>21.5</v>
      </c>
    </row>
    <row r="11808">
      <c r="A11808" s="3">
        <v>786399.0</v>
      </c>
      <c r="B11808" s="3" t="s">
        <v>11836</v>
      </c>
      <c r="C11808" s="3" t="s">
        <v>1464</v>
      </c>
      <c r="D11808" s="3">
        <v>104.0</v>
      </c>
      <c r="E11808" s="3">
        <v>0.81</v>
      </c>
      <c r="F11808" s="3">
        <v>2.44</v>
      </c>
      <c r="G11808" s="3">
        <v>21.89</v>
      </c>
    </row>
    <row r="11809">
      <c r="A11809" s="3">
        <v>786400.0</v>
      </c>
      <c r="B11809" s="3" t="s">
        <v>11837</v>
      </c>
      <c r="C11809" s="3" t="s">
        <v>1464</v>
      </c>
      <c r="D11809" s="3">
        <v>118.0</v>
      </c>
      <c r="E11809" s="3">
        <v>2.59</v>
      </c>
      <c r="F11809" s="3">
        <v>2.4</v>
      </c>
      <c r="G11809" s="3">
        <v>21.5</v>
      </c>
    </row>
    <row r="11810">
      <c r="A11810" s="3">
        <v>786401.0</v>
      </c>
      <c r="B11810" s="3" t="s">
        <v>11838</v>
      </c>
      <c r="C11810" s="3" t="s">
        <v>1464</v>
      </c>
      <c r="D11810" s="3">
        <v>154.0</v>
      </c>
      <c r="E11810" s="3">
        <v>6.53</v>
      </c>
      <c r="F11810" s="3">
        <v>3.41</v>
      </c>
      <c r="G11810" s="3">
        <v>19.97</v>
      </c>
    </row>
    <row r="11811">
      <c r="A11811" s="3">
        <v>786402.0</v>
      </c>
      <c r="B11811" s="3" t="s">
        <v>11839</v>
      </c>
      <c r="C11811" s="3" t="s">
        <v>101</v>
      </c>
      <c r="D11811" s="3">
        <v>193.0</v>
      </c>
      <c r="E11811" s="3">
        <v>15.64</v>
      </c>
      <c r="F11811" s="3">
        <v>9.25</v>
      </c>
      <c r="G11811" s="3">
        <v>4.22</v>
      </c>
    </row>
    <row r="11812">
      <c r="A11812" s="3">
        <v>786403.0</v>
      </c>
      <c r="B11812" s="3" t="s">
        <v>11840</v>
      </c>
      <c r="C11812" s="3" t="s">
        <v>101</v>
      </c>
      <c r="D11812" s="3">
        <v>174.0</v>
      </c>
      <c r="E11812" s="3">
        <v>11.46</v>
      </c>
      <c r="F11812" s="3">
        <v>7.87</v>
      </c>
      <c r="G11812" s="3">
        <v>9.91</v>
      </c>
    </row>
    <row r="11813">
      <c r="A11813" s="3">
        <v>786404.0</v>
      </c>
      <c r="B11813" s="3" t="s">
        <v>11841</v>
      </c>
      <c r="C11813" s="3" t="s">
        <v>101</v>
      </c>
      <c r="D11813" s="3">
        <v>161.0</v>
      </c>
      <c r="E11813" s="3">
        <v>11.05</v>
      </c>
      <c r="F11813" s="3">
        <v>3.79</v>
      </c>
      <c r="G11813" s="3">
        <v>12.02</v>
      </c>
    </row>
    <row r="11814">
      <c r="A11814" s="3">
        <v>786405.0</v>
      </c>
      <c r="B11814" s="3" t="s">
        <v>11842</v>
      </c>
      <c r="C11814" s="3" t="s">
        <v>101</v>
      </c>
      <c r="D11814" s="3">
        <v>98.0</v>
      </c>
      <c r="E11814" s="3">
        <v>4.49</v>
      </c>
      <c r="F11814" s="3">
        <v>4.75</v>
      </c>
      <c r="G11814" s="3">
        <v>9.86</v>
      </c>
    </row>
    <row r="11815">
      <c r="A11815" s="3">
        <v>786406.0</v>
      </c>
      <c r="B11815" s="3" t="s">
        <v>11843</v>
      </c>
      <c r="C11815" s="3" t="s">
        <v>101</v>
      </c>
      <c r="D11815" s="3">
        <v>76.0</v>
      </c>
      <c r="E11815" s="3">
        <v>2.12</v>
      </c>
      <c r="F11815" s="3">
        <v>1.61</v>
      </c>
      <c r="G11815" s="3">
        <v>13.08</v>
      </c>
    </row>
    <row r="11816">
      <c r="A11816" s="3">
        <v>786408.0</v>
      </c>
      <c r="B11816" s="3" t="s">
        <v>11844</v>
      </c>
      <c r="C11816" s="3" t="s">
        <v>1464</v>
      </c>
      <c r="D11816" s="3">
        <v>112.0</v>
      </c>
      <c r="E11816" s="3">
        <v>2.21</v>
      </c>
      <c r="F11816" s="3">
        <v>5.13</v>
      </c>
      <c r="G11816" s="3">
        <v>17.29</v>
      </c>
    </row>
    <row r="11817">
      <c r="A11817" s="3">
        <v>786409.0</v>
      </c>
      <c r="B11817" s="3" t="s">
        <v>11845</v>
      </c>
      <c r="C11817" s="3" t="s">
        <v>1464</v>
      </c>
      <c r="D11817" s="3">
        <v>127.0</v>
      </c>
      <c r="E11817" s="3">
        <v>4.1</v>
      </c>
      <c r="F11817" s="3">
        <v>1.94</v>
      </c>
      <c r="G11817" s="3">
        <v>20.22</v>
      </c>
    </row>
    <row r="11818">
      <c r="A11818" s="3">
        <v>786410.0</v>
      </c>
      <c r="B11818" s="3" t="s">
        <v>11846</v>
      </c>
      <c r="C11818" s="3" t="s">
        <v>1464</v>
      </c>
      <c r="D11818" s="3">
        <v>124.0</v>
      </c>
      <c r="E11818" s="3">
        <v>1.2</v>
      </c>
      <c r="F11818" s="3">
        <v>2.99</v>
      </c>
      <c r="G11818" s="3">
        <v>25.22</v>
      </c>
    </row>
    <row r="11819">
      <c r="A11819" s="3">
        <v>786411.0</v>
      </c>
      <c r="B11819" s="3" t="s">
        <v>11847</v>
      </c>
      <c r="C11819" s="3" t="s">
        <v>1464</v>
      </c>
      <c r="D11819" s="3">
        <v>106.0</v>
      </c>
      <c r="E11819" s="3">
        <v>2.16</v>
      </c>
      <c r="F11819" s="3">
        <v>2.76</v>
      </c>
      <c r="G11819" s="3">
        <v>19.28</v>
      </c>
    </row>
    <row r="11820">
      <c r="A11820" s="3">
        <v>786412.0</v>
      </c>
      <c r="B11820" s="3" t="s">
        <v>11848</v>
      </c>
      <c r="C11820" s="3" t="s">
        <v>1464</v>
      </c>
      <c r="D11820" s="3">
        <v>119.0</v>
      </c>
      <c r="E11820" s="3">
        <v>3.6</v>
      </c>
      <c r="F11820" s="3">
        <v>2.67</v>
      </c>
      <c r="G11820" s="3">
        <v>19.03</v>
      </c>
    </row>
    <row r="11821">
      <c r="A11821" s="3">
        <v>786413.0</v>
      </c>
      <c r="B11821" s="3" t="s">
        <v>11849</v>
      </c>
      <c r="C11821" s="3" t="s">
        <v>1464</v>
      </c>
      <c r="D11821" s="3">
        <v>112.0</v>
      </c>
      <c r="E11821" s="3">
        <v>3.45</v>
      </c>
      <c r="F11821" s="3">
        <v>2.61</v>
      </c>
      <c r="G11821" s="3">
        <v>17.52</v>
      </c>
    </row>
    <row r="11822">
      <c r="A11822" s="3">
        <v>786415.0</v>
      </c>
      <c r="B11822" s="3" t="s">
        <v>11850</v>
      </c>
      <c r="C11822" s="3" t="s">
        <v>1464</v>
      </c>
      <c r="D11822" s="3">
        <v>114.0</v>
      </c>
      <c r="E11822" s="3">
        <v>2.57</v>
      </c>
      <c r="F11822" s="3">
        <v>2.88</v>
      </c>
      <c r="G11822" s="3">
        <v>19.66</v>
      </c>
    </row>
    <row r="11823">
      <c r="A11823" s="3">
        <v>786416.0</v>
      </c>
      <c r="B11823" s="3" t="s">
        <v>11851</v>
      </c>
      <c r="C11823" s="3" t="s">
        <v>1464</v>
      </c>
      <c r="D11823" s="3">
        <v>101.0</v>
      </c>
      <c r="E11823" s="3">
        <v>1.01</v>
      </c>
      <c r="F11823" s="3">
        <v>2.92</v>
      </c>
      <c r="G11823" s="3">
        <v>19.92</v>
      </c>
    </row>
    <row r="11824">
      <c r="A11824" s="3">
        <v>786417.0</v>
      </c>
      <c r="B11824" s="3" t="s">
        <v>11852</v>
      </c>
      <c r="C11824" s="3" t="s">
        <v>1464</v>
      </c>
      <c r="D11824" s="3">
        <v>114.0</v>
      </c>
      <c r="E11824" s="3">
        <v>2.56</v>
      </c>
      <c r="F11824" s="3">
        <v>2.88</v>
      </c>
      <c r="G11824" s="3">
        <v>19.66</v>
      </c>
    </row>
    <row r="11825">
      <c r="A11825" s="3">
        <v>786418.0</v>
      </c>
      <c r="B11825" s="3" t="s">
        <v>11853</v>
      </c>
      <c r="C11825" s="3" t="s">
        <v>1464</v>
      </c>
      <c r="D11825" s="3">
        <v>162.0</v>
      </c>
      <c r="E11825" s="3">
        <v>6.88</v>
      </c>
      <c r="F11825" s="3">
        <v>9.69</v>
      </c>
      <c r="G11825" s="3">
        <v>14.8</v>
      </c>
    </row>
    <row r="11826">
      <c r="A11826" s="3">
        <v>786419.0</v>
      </c>
      <c r="B11826" s="3" t="s">
        <v>11854</v>
      </c>
      <c r="C11826" s="3" t="s">
        <v>1464</v>
      </c>
      <c r="D11826" s="3">
        <v>110.0</v>
      </c>
      <c r="E11826" s="3">
        <v>3.34</v>
      </c>
      <c r="F11826" s="3">
        <v>2.0</v>
      </c>
      <c r="G11826" s="3">
        <v>17.67</v>
      </c>
    </row>
    <row r="11827">
      <c r="A11827" s="3">
        <v>786420.0</v>
      </c>
      <c r="B11827" s="3" t="s">
        <v>11855</v>
      </c>
      <c r="C11827" s="3" t="s">
        <v>1464</v>
      </c>
      <c r="D11827" s="3">
        <v>162.0</v>
      </c>
      <c r="E11827" s="3">
        <v>2.63</v>
      </c>
      <c r="F11827" s="3">
        <v>2.62</v>
      </c>
      <c r="G11827" s="3">
        <v>32.11</v>
      </c>
    </row>
    <row r="11828">
      <c r="A11828" s="3">
        <v>786421.0</v>
      </c>
      <c r="B11828" s="3" t="s">
        <v>11856</v>
      </c>
      <c r="C11828" s="3" t="s">
        <v>1464</v>
      </c>
      <c r="D11828" s="3">
        <v>155.0</v>
      </c>
      <c r="E11828" s="3">
        <v>7.29</v>
      </c>
      <c r="F11828" s="3">
        <v>1.58</v>
      </c>
      <c r="G11828" s="3">
        <v>21.75</v>
      </c>
    </row>
    <row r="11829">
      <c r="A11829" s="3">
        <v>786422.0</v>
      </c>
      <c r="B11829" s="3" t="s">
        <v>11857</v>
      </c>
      <c r="C11829" s="3" t="s">
        <v>1464</v>
      </c>
      <c r="D11829" s="3">
        <v>166.0</v>
      </c>
      <c r="E11829" s="3">
        <v>6.98</v>
      </c>
      <c r="F11829" s="3">
        <v>5.16</v>
      </c>
      <c r="G11829" s="3">
        <v>20.02</v>
      </c>
    </row>
    <row r="11830">
      <c r="A11830" s="3">
        <v>786423.0</v>
      </c>
      <c r="B11830" s="3" t="s">
        <v>11858</v>
      </c>
      <c r="C11830" s="3" t="s">
        <v>1464</v>
      </c>
      <c r="D11830" s="3">
        <v>152.0</v>
      </c>
      <c r="E11830" s="3">
        <v>5.22</v>
      </c>
      <c r="F11830" s="3">
        <v>5.26</v>
      </c>
      <c r="G11830" s="3">
        <v>20.4</v>
      </c>
    </row>
    <row r="11831">
      <c r="A11831" s="3">
        <v>786424.0</v>
      </c>
      <c r="B11831" s="3" t="s">
        <v>11859</v>
      </c>
      <c r="C11831" s="3" t="s">
        <v>1464</v>
      </c>
      <c r="D11831" s="3">
        <v>166.0</v>
      </c>
      <c r="E11831" s="3">
        <v>6.98</v>
      </c>
      <c r="F11831" s="3">
        <v>5.16</v>
      </c>
      <c r="G11831" s="3">
        <v>20.02</v>
      </c>
    </row>
    <row r="11832">
      <c r="A11832" s="3">
        <v>786425.0</v>
      </c>
      <c r="B11832" s="3" t="s">
        <v>11860</v>
      </c>
      <c r="C11832" s="3" t="s">
        <v>1464</v>
      </c>
      <c r="D11832" s="3">
        <v>117.0</v>
      </c>
      <c r="E11832" s="3">
        <v>2.91</v>
      </c>
      <c r="F11832" s="3">
        <v>1.98</v>
      </c>
      <c r="G11832" s="3">
        <v>20.06</v>
      </c>
    </row>
    <row r="11833">
      <c r="A11833" s="3">
        <v>786426.0</v>
      </c>
      <c r="B11833" s="3" t="s">
        <v>11861</v>
      </c>
      <c r="C11833" s="3" t="s">
        <v>1464</v>
      </c>
      <c r="D11833" s="3">
        <v>102.0</v>
      </c>
      <c r="E11833" s="3">
        <v>1.06</v>
      </c>
      <c r="F11833" s="3">
        <v>2.02</v>
      </c>
      <c r="G11833" s="3">
        <v>20.44</v>
      </c>
    </row>
    <row r="11834">
      <c r="A11834" s="3">
        <v>786427.0</v>
      </c>
      <c r="B11834" s="3" t="s">
        <v>11862</v>
      </c>
      <c r="C11834" s="3" t="s">
        <v>1464</v>
      </c>
      <c r="D11834" s="3">
        <v>117.0</v>
      </c>
      <c r="E11834" s="3">
        <v>2.91</v>
      </c>
      <c r="F11834" s="3">
        <v>1.98</v>
      </c>
      <c r="G11834" s="3">
        <v>20.06</v>
      </c>
    </row>
    <row r="11835">
      <c r="A11835" s="3">
        <v>786428.0</v>
      </c>
      <c r="B11835" s="3" t="s">
        <v>11863</v>
      </c>
      <c r="C11835" s="3" t="s">
        <v>1464</v>
      </c>
      <c r="D11835" s="3">
        <v>116.0</v>
      </c>
      <c r="E11835" s="3">
        <v>2.16</v>
      </c>
      <c r="F11835" s="3">
        <v>2.03</v>
      </c>
      <c r="G11835" s="3">
        <v>21.62</v>
      </c>
    </row>
    <row r="11836">
      <c r="A11836" s="3">
        <v>786429.0</v>
      </c>
      <c r="B11836" s="3" t="s">
        <v>11864</v>
      </c>
      <c r="C11836" s="3" t="s">
        <v>1464</v>
      </c>
      <c r="D11836" s="3">
        <v>102.0</v>
      </c>
      <c r="E11836" s="3">
        <v>0.28</v>
      </c>
      <c r="F11836" s="3">
        <v>2.06</v>
      </c>
      <c r="G11836" s="3">
        <v>22.04</v>
      </c>
    </row>
    <row r="11837">
      <c r="A11837" s="3">
        <v>786430.0</v>
      </c>
      <c r="B11837" s="3" t="s">
        <v>11865</v>
      </c>
      <c r="C11837" s="3" t="s">
        <v>1464</v>
      </c>
      <c r="D11837" s="3">
        <v>116.0</v>
      </c>
      <c r="E11837" s="3">
        <v>2.16</v>
      </c>
      <c r="F11837" s="3">
        <v>2.03</v>
      </c>
      <c r="G11837" s="3">
        <v>21.62</v>
      </c>
    </row>
    <row r="11838">
      <c r="A11838" s="3">
        <v>786431.0</v>
      </c>
      <c r="B11838" s="3" t="s">
        <v>11866</v>
      </c>
      <c r="C11838" s="3" t="s">
        <v>1464</v>
      </c>
      <c r="D11838" s="3">
        <v>156.0</v>
      </c>
      <c r="E11838" s="3">
        <v>6.58</v>
      </c>
      <c r="F11838" s="3">
        <v>4.87</v>
      </c>
      <c r="G11838" s="3">
        <v>19.29</v>
      </c>
    </row>
    <row r="11839">
      <c r="A11839" s="3">
        <v>786432.0</v>
      </c>
      <c r="B11839" s="3" t="s">
        <v>11867</v>
      </c>
      <c r="C11839" s="3" t="s">
        <v>1464</v>
      </c>
      <c r="D11839" s="3">
        <v>144.0</v>
      </c>
      <c r="E11839" s="3">
        <v>5.04</v>
      </c>
      <c r="F11839" s="3">
        <v>4.95</v>
      </c>
      <c r="G11839" s="3">
        <v>19.61</v>
      </c>
    </row>
    <row r="11840">
      <c r="A11840" s="3">
        <v>786433.0</v>
      </c>
      <c r="B11840" s="3" t="s">
        <v>11868</v>
      </c>
      <c r="C11840" s="3" t="s">
        <v>1464</v>
      </c>
      <c r="D11840" s="3">
        <v>156.0</v>
      </c>
      <c r="E11840" s="3">
        <v>6.58</v>
      </c>
      <c r="F11840" s="3">
        <v>4.87</v>
      </c>
      <c r="G11840" s="3">
        <v>19.29</v>
      </c>
    </row>
    <row r="11841">
      <c r="A11841" s="3">
        <v>786434.0</v>
      </c>
      <c r="B11841" s="3" t="s">
        <v>11869</v>
      </c>
      <c r="C11841" s="3" t="s">
        <v>1464</v>
      </c>
      <c r="D11841" s="3">
        <v>114.0</v>
      </c>
      <c r="E11841" s="3">
        <v>3.04</v>
      </c>
      <c r="F11841" s="3">
        <v>2.11</v>
      </c>
      <c r="G11841" s="3">
        <v>19.33</v>
      </c>
    </row>
    <row r="11842">
      <c r="A11842" s="3">
        <v>786435.0</v>
      </c>
      <c r="B11842" s="3" t="s">
        <v>11870</v>
      </c>
      <c r="C11842" s="3" t="s">
        <v>1464</v>
      </c>
      <c r="D11842" s="3">
        <v>101.0</v>
      </c>
      <c r="E11842" s="3">
        <v>1.44</v>
      </c>
      <c r="F11842" s="3">
        <v>2.15</v>
      </c>
      <c r="G11842" s="3">
        <v>19.64</v>
      </c>
    </row>
    <row r="11843">
      <c r="A11843" s="3">
        <v>786436.0</v>
      </c>
      <c r="B11843" s="3" t="s">
        <v>11871</v>
      </c>
      <c r="C11843" s="3" t="s">
        <v>1464</v>
      </c>
      <c r="D11843" s="3">
        <v>114.0</v>
      </c>
      <c r="E11843" s="3">
        <v>3.04</v>
      </c>
      <c r="F11843" s="3">
        <v>2.11</v>
      </c>
      <c r="G11843" s="3">
        <v>19.33</v>
      </c>
    </row>
    <row r="11844">
      <c r="A11844" s="3">
        <v>786437.0</v>
      </c>
      <c r="B11844" s="3" t="s">
        <v>11872</v>
      </c>
      <c r="C11844" s="3" t="s">
        <v>1464</v>
      </c>
      <c r="D11844" s="3">
        <v>113.0</v>
      </c>
      <c r="E11844" s="3">
        <v>2.39</v>
      </c>
      <c r="F11844" s="3">
        <v>2.15</v>
      </c>
      <c r="G11844" s="3">
        <v>20.68</v>
      </c>
    </row>
    <row r="11845">
      <c r="A11845" s="3">
        <v>786438.0</v>
      </c>
      <c r="B11845" s="3" t="s">
        <v>11873</v>
      </c>
      <c r="C11845" s="3" t="s">
        <v>1464</v>
      </c>
      <c r="D11845" s="3">
        <v>101.0</v>
      </c>
      <c r="E11845" s="3">
        <v>0.77</v>
      </c>
      <c r="F11845" s="3">
        <v>2.18</v>
      </c>
      <c r="G11845" s="3">
        <v>21.02</v>
      </c>
    </row>
    <row r="11846">
      <c r="A11846" s="3">
        <v>786439.0</v>
      </c>
      <c r="B11846" s="3" t="s">
        <v>11874</v>
      </c>
      <c r="C11846" s="3" t="s">
        <v>1464</v>
      </c>
      <c r="D11846" s="3">
        <v>113.0</v>
      </c>
      <c r="E11846" s="3">
        <v>2.39</v>
      </c>
      <c r="F11846" s="3">
        <v>2.15</v>
      </c>
      <c r="G11846" s="3">
        <v>20.68</v>
      </c>
    </row>
    <row r="11847">
      <c r="A11847" s="3">
        <v>786440.0</v>
      </c>
      <c r="B11847" s="3" t="s">
        <v>11875</v>
      </c>
      <c r="C11847" s="3" t="s">
        <v>1464</v>
      </c>
      <c r="D11847" s="3">
        <v>146.0</v>
      </c>
      <c r="E11847" s="3">
        <v>5.62</v>
      </c>
      <c r="F11847" s="3">
        <v>4.7</v>
      </c>
      <c r="G11847" s="3">
        <v>18.64</v>
      </c>
    </row>
    <row r="11848">
      <c r="A11848" s="3">
        <v>786441.0</v>
      </c>
      <c r="B11848" s="3" t="s">
        <v>11876</v>
      </c>
      <c r="C11848" s="3" t="s">
        <v>1464</v>
      </c>
      <c r="D11848" s="3">
        <v>134.0</v>
      </c>
      <c r="E11848" s="3">
        <v>4.2</v>
      </c>
      <c r="F11848" s="3">
        <v>4.77</v>
      </c>
      <c r="G11848" s="3">
        <v>18.92</v>
      </c>
    </row>
    <row r="11849">
      <c r="A11849" s="3">
        <v>786442.0</v>
      </c>
      <c r="B11849" s="3" t="s">
        <v>11877</v>
      </c>
      <c r="C11849" s="3" t="s">
        <v>1464</v>
      </c>
      <c r="D11849" s="3">
        <v>146.0</v>
      </c>
      <c r="E11849" s="3">
        <v>5.62</v>
      </c>
      <c r="F11849" s="3">
        <v>4.7</v>
      </c>
      <c r="G11849" s="3">
        <v>18.64</v>
      </c>
    </row>
    <row r="11850">
      <c r="A11850" s="3">
        <v>786443.0</v>
      </c>
      <c r="B11850" s="3" t="s">
        <v>11878</v>
      </c>
      <c r="C11850" s="3" t="s">
        <v>1464</v>
      </c>
      <c r="D11850" s="3">
        <v>106.0</v>
      </c>
      <c r="E11850" s="3">
        <v>2.36</v>
      </c>
      <c r="F11850" s="3">
        <v>2.16</v>
      </c>
      <c r="G11850" s="3">
        <v>18.66</v>
      </c>
    </row>
    <row r="11851">
      <c r="A11851" s="3">
        <v>786444.0</v>
      </c>
      <c r="B11851" s="3" t="s">
        <v>11879</v>
      </c>
      <c r="C11851" s="3" t="s">
        <v>1464</v>
      </c>
      <c r="D11851" s="3">
        <v>95.0</v>
      </c>
      <c r="E11851" s="3">
        <v>0.87</v>
      </c>
      <c r="F11851" s="3">
        <v>2.19</v>
      </c>
      <c r="G11851" s="3">
        <v>18.95</v>
      </c>
    </row>
    <row r="11852">
      <c r="A11852" s="3">
        <v>786445.0</v>
      </c>
      <c r="B11852" s="3" t="s">
        <v>11880</v>
      </c>
      <c r="C11852" s="3" t="s">
        <v>1464</v>
      </c>
      <c r="D11852" s="3">
        <v>106.0</v>
      </c>
      <c r="E11852" s="3">
        <v>2.36</v>
      </c>
      <c r="F11852" s="3">
        <v>2.16</v>
      </c>
      <c r="G11852" s="3">
        <v>18.66</v>
      </c>
    </row>
    <row r="11853">
      <c r="A11853" s="3">
        <v>786446.0</v>
      </c>
      <c r="B11853" s="3" t="s">
        <v>11881</v>
      </c>
      <c r="C11853" s="3" t="s">
        <v>1464</v>
      </c>
      <c r="D11853" s="3">
        <v>106.0</v>
      </c>
      <c r="E11853" s="3">
        <v>1.75</v>
      </c>
      <c r="F11853" s="3">
        <v>2.19</v>
      </c>
      <c r="G11853" s="3">
        <v>19.91</v>
      </c>
    </row>
    <row r="11854">
      <c r="A11854" s="3">
        <v>786447.0</v>
      </c>
      <c r="B11854" s="3" t="s">
        <v>11882</v>
      </c>
      <c r="C11854" s="3" t="s">
        <v>1464</v>
      </c>
      <c r="D11854" s="3">
        <v>94.0</v>
      </c>
      <c r="E11854" s="3">
        <v>0.25</v>
      </c>
      <c r="F11854" s="3">
        <v>2.23</v>
      </c>
      <c r="G11854" s="3">
        <v>20.21</v>
      </c>
    </row>
    <row r="11855">
      <c r="A11855" s="3">
        <v>786448.0</v>
      </c>
      <c r="B11855" s="3" t="s">
        <v>11883</v>
      </c>
      <c r="C11855" s="3" t="s">
        <v>1464</v>
      </c>
      <c r="D11855" s="3">
        <v>106.0</v>
      </c>
      <c r="E11855" s="3">
        <v>1.75</v>
      </c>
      <c r="F11855" s="3">
        <v>2.19</v>
      </c>
      <c r="G11855" s="3">
        <v>19.91</v>
      </c>
    </row>
    <row r="11856">
      <c r="A11856" s="3">
        <v>786449.0</v>
      </c>
      <c r="B11856" s="3" t="s">
        <v>11884</v>
      </c>
      <c r="C11856" s="3" t="s">
        <v>1464</v>
      </c>
      <c r="D11856" s="3">
        <v>140.0</v>
      </c>
      <c r="E11856" s="3">
        <v>5.44</v>
      </c>
      <c r="F11856" s="3">
        <v>4.51</v>
      </c>
      <c r="G11856" s="3">
        <v>18.19</v>
      </c>
    </row>
    <row r="11857">
      <c r="A11857" s="3">
        <v>786450.0</v>
      </c>
      <c r="B11857" s="3" t="s">
        <v>11885</v>
      </c>
      <c r="C11857" s="3" t="s">
        <v>1464</v>
      </c>
      <c r="D11857" s="3">
        <v>130.0</v>
      </c>
      <c r="E11857" s="3">
        <v>4.17</v>
      </c>
      <c r="F11857" s="3">
        <v>4.57</v>
      </c>
      <c r="G11857" s="3">
        <v>18.44</v>
      </c>
    </row>
    <row r="11858">
      <c r="A11858" s="3">
        <v>786451.0</v>
      </c>
      <c r="B11858" s="3" t="s">
        <v>11886</v>
      </c>
      <c r="C11858" s="3" t="s">
        <v>1464</v>
      </c>
      <c r="D11858" s="3">
        <v>140.0</v>
      </c>
      <c r="E11858" s="3">
        <v>5.44</v>
      </c>
      <c r="F11858" s="3">
        <v>4.51</v>
      </c>
      <c r="G11858" s="3">
        <v>18.19</v>
      </c>
    </row>
    <row r="11859">
      <c r="A11859" s="3">
        <v>786452.0</v>
      </c>
      <c r="B11859" s="3" t="s">
        <v>11887</v>
      </c>
      <c r="C11859" s="3" t="s">
        <v>1464</v>
      </c>
      <c r="D11859" s="3">
        <v>105.0</v>
      </c>
      <c r="E11859" s="3">
        <v>2.53</v>
      </c>
      <c r="F11859" s="3">
        <v>2.24</v>
      </c>
      <c r="G11859" s="3">
        <v>18.21</v>
      </c>
    </row>
    <row r="11860">
      <c r="A11860" s="3">
        <v>786453.0</v>
      </c>
      <c r="B11860" s="3" t="s">
        <v>11888</v>
      </c>
      <c r="C11860" s="3" t="s">
        <v>1464</v>
      </c>
      <c r="D11860" s="3">
        <v>94.0</v>
      </c>
      <c r="E11860" s="3">
        <v>1.21</v>
      </c>
      <c r="F11860" s="3">
        <v>2.28</v>
      </c>
      <c r="G11860" s="3">
        <v>18.46</v>
      </c>
    </row>
    <row r="11861">
      <c r="A11861" s="3">
        <v>786454.0</v>
      </c>
      <c r="B11861" s="3" t="s">
        <v>11889</v>
      </c>
      <c r="C11861" s="3" t="s">
        <v>1464</v>
      </c>
      <c r="D11861" s="3">
        <v>105.0</v>
      </c>
      <c r="E11861" s="3">
        <v>2.53</v>
      </c>
      <c r="F11861" s="3">
        <v>2.24</v>
      </c>
      <c r="G11861" s="3">
        <v>18.21</v>
      </c>
    </row>
    <row r="11862">
      <c r="A11862" s="3">
        <v>786455.0</v>
      </c>
      <c r="B11862" s="3" t="s">
        <v>11890</v>
      </c>
      <c r="C11862" s="3" t="s">
        <v>1464</v>
      </c>
      <c r="D11862" s="3">
        <v>105.0</v>
      </c>
      <c r="E11862" s="3">
        <v>1.99</v>
      </c>
      <c r="F11862" s="3">
        <v>2.28</v>
      </c>
      <c r="G11862" s="3">
        <v>19.32</v>
      </c>
    </row>
    <row r="11863">
      <c r="A11863" s="3">
        <v>786456.0</v>
      </c>
      <c r="B11863" s="3" t="s">
        <v>11891</v>
      </c>
      <c r="C11863" s="3" t="s">
        <v>1464</v>
      </c>
      <c r="D11863" s="3">
        <v>94.0</v>
      </c>
      <c r="E11863" s="3">
        <v>0.66</v>
      </c>
      <c r="F11863" s="3">
        <v>2.31</v>
      </c>
      <c r="G11863" s="3">
        <v>19.58</v>
      </c>
    </row>
    <row r="11864">
      <c r="A11864" s="3">
        <v>786457.0</v>
      </c>
      <c r="B11864" s="3" t="s">
        <v>11892</v>
      </c>
      <c r="C11864" s="3" t="s">
        <v>1464</v>
      </c>
      <c r="D11864" s="3">
        <v>105.0</v>
      </c>
      <c r="E11864" s="3">
        <v>1.99</v>
      </c>
      <c r="F11864" s="3">
        <v>2.28</v>
      </c>
      <c r="G11864" s="3">
        <v>19.32</v>
      </c>
    </row>
    <row r="11865">
      <c r="A11865" s="3">
        <v>786458.0</v>
      </c>
      <c r="B11865" s="3" t="s">
        <v>11893</v>
      </c>
      <c r="C11865" s="3" t="s">
        <v>222</v>
      </c>
      <c r="D11865" s="3">
        <v>87.0</v>
      </c>
      <c r="E11865" s="3">
        <v>2.56</v>
      </c>
      <c r="F11865" s="3">
        <v>2.06</v>
      </c>
      <c r="G11865" s="3">
        <v>14.04</v>
      </c>
    </row>
    <row r="11866">
      <c r="A11866" s="3">
        <v>786459.0</v>
      </c>
      <c r="B11866" s="3" t="s">
        <v>11894</v>
      </c>
      <c r="C11866" s="3" t="s">
        <v>1464</v>
      </c>
      <c r="D11866" s="3">
        <v>183.0</v>
      </c>
      <c r="E11866" s="3">
        <v>4.18</v>
      </c>
      <c r="F11866" s="3">
        <v>5.47</v>
      </c>
      <c r="G11866" s="3">
        <v>30.83</v>
      </c>
    </row>
    <row r="11867">
      <c r="A11867" s="3">
        <v>786460.0</v>
      </c>
      <c r="B11867" s="3" t="s">
        <v>11895</v>
      </c>
      <c r="C11867" s="3" t="s">
        <v>1464</v>
      </c>
      <c r="D11867" s="3">
        <v>265.0</v>
      </c>
      <c r="E11867" s="3">
        <v>9.72</v>
      </c>
      <c r="F11867" s="3">
        <v>12.82</v>
      </c>
      <c r="G11867" s="3">
        <v>33.43</v>
      </c>
    </row>
    <row r="11868">
      <c r="A11868" s="3">
        <v>786461.0</v>
      </c>
      <c r="B11868" s="3" t="s">
        <v>11896</v>
      </c>
      <c r="C11868" s="3" t="s">
        <v>1464</v>
      </c>
      <c r="D11868" s="3">
        <v>123.0</v>
      </c>
      <c r="E11868" s="3">
        <v>9.35</v>
      </c>
      <c r="F11868" s="3">
        <v>1.64</v>
      </c>
      <c r="G11868" s="3">
        <v>9.69</v>
      </c>
    </row>
    <row r="11869">
      <c r="A11869" s="3">
        <v>786462.0</v>
      </c>
      <c r="B11869" s="3" t="s">
        <v>11897</v>
      </c>
      <c r="C11869" s="3" t="s">
        <v>2807</v>
      </c>
      <c r="D11869" s="3">
        <v>157.0</v>
      </c>
      <c r="E11869" s="3">
        <v>5.37</v>
      </c>
      <c r="F11869" s="3">
        <v>9.1</v>
      </c>
      <c r="G11869" s="3">
        <v>18.19</v>
      </c>
    </row>
    <row r="11870">
      <c r="A11870" s="3">
        <v>786463.0</v>
      </c>
      <c r="B11870" s="3" t="s">
        <v>11898</v>
      </c>
      <c r="C11870" s="3" t="s">
        <v>2807</v>
      </c>
      <c r="D11870" s="3">
        <v>136.0</v>
      </c>
      <c r="E11870" s="3">
        <v>4.98</v>
      </c>
      <c r="F11870" s="3">
        <v>3.39</v>
      </c>
      <c r="G11870" s="3">
        <v>19.8</v>
      </c>
    </row>
    <row r="11871">
      <c r="A11871" s="3">
        <v>786464.0</v>
      </c>
      <c r="B11871" s="3" t="s">
        <v>11899</v>
      </c>
      <c r="C11871" s="3" t="s">
        <v>2807</v>
      </c>
      <c r="D11871" s="3">
        <v>122.0</v>
      </c>
      <c r="E11871" s="3">
        <v>6.24</v>
      </c>
      <c r="F11871" s="3">
        <v>3.18</v>
      </c>
      <c r="G11871" s="3">
        <v>13.84</v>
      </c>
    </row>
    <row r="11872">
      <c r="A11872" s="3">
        <v>786465.0</v>
      </c>
      <c r="B11872" s="3" t="s">
        <v>11900</v>
      </c>
      <c r="C11872" s="3" t="s">
        <v>2807</v>
      </c>
      <c r="D11872" s="3">
        <v>163.0</v>
      </c>
      <c r="E11872" s="3">
        <v>6.24</v>
      </c>
      <c r="F11872" s="3">
        <v>8.72</v>
      </c>
      <c r="G11872" s="3">
        <v>18.25</v>
      </c>
    </row>
    <row r="11873">
      <c r="A11873" s="3">
        <v>786466.0</v>
      </c>
      <c r="B11873" s="3" t="s">
        <v>11901</v>
      </c>
      <c r="C11873" s="3" t="s">
        <v>318</v>
      </c>
      <c r="D11873" s="3">
        <v>266.0</v>
      </c>
      <c r="E11873" s="3">
        <v>2.01</v>
      </c>
      <c r="F11873" s="3">
        <v>5.37</v>
      </c>
      <c r="G11873" s="3">
        <v>57.63</v>
      </c>
    </row>
    <row r="11874">
      <c r="A11874" s="3">
        <v>786467.0</v>
      </c>
      <c r="B11874" s="3" t="s">
        <v>11902</v>
      </c>
      <c r="C11874" s="3" t="s">
        <v>318</v>
      </c>
      <c r="D11874" s="3">
        <v>266.0</v>
      </c>
      <c r="E11874" s="3">
        <v>2.01</v>
      </c>
      <c r="F11874" s="3">
        <v>5.37</v>
      </c>
      <c r="G11874" s="3">
        <v>57.63</v>
      </c>
    </row>
    <row r="11875">
      <c r="A11875" s="3">
        <v>786468.0</v>
      </c>
      <c r="B11875" s="3" t="s">
        <v>11903</v>
      </c>
      <c r="C11875" s="3" t="s">
        <v>318</v>
      </c>
      <c r="D11875" s="3">
        <v>264.0</v>
      </c>
      <c r="E11875" s="3">
        <v>2.38</v>
      </c>
      <c r="F11875" s="3">
        <v>6.93</v>
      </c>
      <c r="G11875" s="3">
        <v>55.15</v>
      </c>
    </row>
    <row r="11876">
      <c r="A11876" s="3">
        <v>786469.0</v>
      </c>
      <c r="B11876" s="3" t="s">
        <v>11904</v>
      </c>
      <c r="C11876" s="3" t="s">
        <v>318</v>
      </c>
      <c r="D11876" s="3">
        <v>264.0</v>
      </c>
      <c r="E11876" s="3">
        <v>2.38</v>
      </c>
      <c r="F11876" s="3">
        <v>6.93</v>
      </c>
      <c r="G11876" s="3">
        <v>55.15</v>
      </c>
    </row>
    <row r="11877">
      <c r="A11877" s="3">
        <v>786470.0</v>
      </c>
      <c r="B11877" s="3" t="s">
        <v>11905</v>
      </c>
      <c r="C11877" s="3" t="s">
        <v>318</v>
      </c>
      <c r="D11877" s="3">
        <v>220.0</v>
      </c>
      <c r="E11877" s="3">
        <v>2.04</v>
      </c>
      <c r="F11877" s="3">
        <v>5.31</v>
      </c>
      <c r="G11877" s="3">
        <v>44.69</v>
      </c>
    </row>
    <row r="11878">
      <c r="A11878" s="3">
        <v>786471.0</v>
      </c>
      <c r="B11878" s="3" t="s">
        <v>11906</v>
      </c>
      <c r="C11878" s="3" t="s">
        <v>318</v>
      </c>
      <c r="D11878" s="3">
        <v>218.0</v>
      </c>
      <c r="E11878" s="3">
        <v>2.42</v>
      </c>
      <c r="F11878" s="3">
        <v>6.87</v>
      </c>
      <c r="G11878" s="3">
        <v>42.21</v>
      </c>
    </row>
    <row r="11879">
      <c r="A11879" s="3">
        <v>786472.0</v>
      </c>
      <c r="B11879" s="3" t="s">
        <v>11907</v>
      </c>
      <c r="C11879" s="3" t="s">
        <v>318</v>
      </c>
      <c r="D11879" s="3">
        <v>218.0</v>
      </c>
      <c r="E11879" s="3">
        <v>2.42</v>
      </c>
      <c r="F11879" s="3">
        <v>6.87</v>
      </c>
      <c r="G11879" s="3">
        <v>42.21</v>
      </c>
    </row>
    <row r="11880">
      <c r="A11880" s="3">
        <v>786473.0</v>
      </c>
      <c r="B11880" s="3" t="s">
        <v>11908</v>
      </c>
      <c r="C11880" s="3" t="s">
        <v>1464</v>
      </c>
      <c r="D11880" s="3">
        <v>137.0</v>
      </c>
      <c r="E11880" s="3">
        <v>5.0</v>
      </c>
      <c r="F11880" s="3">
        <v>5.71</v>
      </c>
      <c r="G11880" s="3">
        <v>17.64</v>
      </c>
    </row>
    <row r="11881">
      <c r="A11881" s="3">
        <v>786474.0</v>
      </c>
      <c r="B11881" s="3" t="s">
        <v>11909</v>
      </c>
      <c r="C11881" s="3" t="s">
        <v>1464</v>
      </c>
      <c r="D11881" s="3">
        <v>89.0</v>
      </c>
      <c r="E11881" s="3">
        <v>2.26</v>
      </c>
      <c r="F11881" s="3">
        <v>6.64</v>
      </c>
      <c r="G11881" s="3">
        <v>10.63</v>
      </c>
    </row>
    <row r="11882">
      <c r="A11882" s="3">
        <v>786475.0</v>
      </c>
      <c r="B11882" s="3" t="s">
        <v>11910</v>
      </c>
      <c r="C11882" s="3" t="s">
        <v>1464</v>
      </c>
      <c r="D11882" s="3">
        <v>118.0</v>
      </c>
      <c r="E11882" s="3">
        <v>4.21</v>
      </c>
      <c r="F11882" s="3">
        <v>7.61</v>
      </c>
      <c r="G11882" s="3">
        <v>12.56</v>
      </c>
    </row>
    <row r="11883">
      <c r="A11883" s="3">
        <v>786476.0</v>
      </c>
      <c r="B11883" s="3" t="s">
        <v>11911</v>
      </c>
      <c r="C11883" s="3" t="s">
        <v>1464</v>
      </c>
      <c r="D11883" s="3">
        <v>146.0</v>
      </c>
      <c r="E11883" s="3">
        <v>7.78</v>
      </c>
      <c r="F11883" s="3">
        <v>4.89</v>
      </c>
      <c r="G11883" s="3">
        <v>14.75</v>
      </c>
    </row>
    <row r="11884">
      <c r="A11884" s="3">
        <v>786477.0</v>
      </c>
      <c r="B11884" s="3" t="s">
        <v>11912</v>
      </c>
      <c r="C11884" s="3" t="s">
        <v>1464</v>
      </c>
      <c r="D11884" s="3">
        <v>99.0</v>
      </c>
      <c r="E11884" s="3">
        <v>3.19</v>
      </c>
      <c r="F11884" s="3">
        <v>5.36</v>
      </c>
      <c r="G11884" s="3">
        <v>12.76</v>
      </c>
    </row>
    <row r="11885">
      <c r="A11885" s="3">
        <v>786478.0</v>
      </c>
      <c r="B11885" s="3" t="s">
        <v>11913</v>
      </c>
      <c r="C11885" s="3" t="s">
        <v>1464</v>
      </c>
      <c r="D11885" s="3">
        <v>130.0</v>
      </c>
      <c r="E11885" s="3">
        <v>3.96</v>
      </c>
      <c r="F11885" s="3">
        <v>5.98</v>
      </c>
      <c r="G11885" s="3">
        <v>17.2</v>
      </c>
    </row>
    <row r="11886">
      <c r="A11886" s="3">
        <v>786479.0</v>
      </c>
      <c r="B11886" s="3" t="s">
        <v>11914</v>
      </c>
      <c r="C11886" s="3" t="s">
        <v>189</v>
      </c>
      <c r="D11886" s="3">
        <v>133.0</v>
      </c>
      <c r="E11886" s="3">
        <v>4.77</v>
      </c>
      <c r="F11886" s="3">
        <v>9.22</v>
      </c>
      <c r="G11886" s="3">
        <v>13.25</v>
      </c>
    </row>
    <row r="11887">
      <c r="A11887" s="3">
        <v>786480.0</v>
      </c>
      <c r="B11887" s="3" t="s">
        <v>11915</v>
      </c>
      <c r="C11887" s="3" t="s">
        <v>1464</v>
      </c>
      <c r="D11887" s="3">
        <v>66.0</v>
      </c>
      <c r="E11887" s="3">
        <v>1.56</v>
      </c>
      <c r="F11887" s="3">
        <v>3.28</v>
      </c>
      <c r="G11887" s="3">
        <v>10.63</v>
      </c>
    </row>
    <row r="11888">
      <c r="A11888" s="3">
        <v>786481.0</v>
      </c>
      <c r="B11888" s="3" t="s">
        <v>11916</v>
      </c>
      <c r="C11888" s="3" t="s">
        <v>1464</v>
      </c>
      <c r="D11888" s="3">
        <v>119.0</v>
      </c>
      <c r="E11888" s="3">
        <v>4.13</v>
      </c>
      <c r="F11888" s="3">
        <v>3.65</v>
      </c>
      <c r="G11888" s="3">
        <v>17.07</v>
      </c>
    </row>
    <row r="11889">
      <c r="A11889" s="3">
        <v>786482.0</v>
      </c>
      <c r="B11889" s="3" t="s">
        <v>11917</v>
      </c>
      <c r="C11889" s="3" t="s">
        <v>1464</v>
      </c>
      <c r="D11889" s="3">
        <v>97.0</v>
      </c>
      <c r="E11889" s="3">
        <v>3.23</v>
      </c>
      <c r="F11889" s="3">
        <v>2.62</v>
      </c>
      <c r="G11889" s="3">
        <v>14.65</v>
      </c>
    </row>
    <row r="11890">
      <c r="A11890" s="3">
        <v>786483.0</v>
      </c>
      <c r="B11890" s="3" t="s">
        <v>11918</v>
      </c>
      <c r="C11890" s="3" t="s">
        <v>1464</v>
      </c>
      <c r="D11890" s="3">
        <v>112.0</v>
      </c>
      <c r="E11890" s="3">
        <v>3.32</v>
      </c>
      <c r="F11890" s="3">
        <v>5.53</v>
      </c>
      <c r="G11890" s="3">
        <v>14.83</v>
      </c>
    </row>
    <row r="11891">
      <c r="A11891" s="3">
        <v>786484.0</v>
      </c>
      <c r="B11891" s="3" t="s">
        <v>11919</v>
      </c>
      <c r="C11891" s="3" t="s">
        <v>1464</v>
      </c>
      <c r="D11891" s="3">
        <v>130.0</v>
      </c>
      <c r="E11891" s="3">
        <v>3.72</v>
      </c>
      <c r="F11891" s="3">
        <v>7.69</v>
      </c>
      <c r="G11891" s="3">
        <v>16.36</v>
      </c>
    </row>
    <row r="11892">
      <c r="A11892" s="3">
        <v>786485.0</v>
      </c>
      <c r="B11892" s="3" t="s">
        <v>11920</v>
      </c>
      <c r="C11892" s="3" t="s">
        <v>1464</v>
      </c>
      <c r="D11892" s="3">
        <v>115.0</v>
      </c>
      <c r="E11892" s="3">
        <v>2.8</v>
      </c>
      <c r="F11892" s="3">
        <v>6.09</v>
      </c>
      <c r="G11892" s="3">
        <v>16.5</v>
      </c>
    </row>
    <row r="11893">
      <c r="A11893" s="3">
        <v>786486.0</v>
      </c>
      <c r="B11893" s="3" t="s">
        <v>11921</v>
      </c>
      <c r="C11893" s="3" t="s">
        <v>1464</v>
      </c>
      <c r="D11893" s="3">
        <v>112.0</v>
      </c>
      <c r="E11893" s="3">
        <v>3.32</v>
      </c>
      <c r="F11893" s="3">
        <v>5.53</v>
      </c>
      <c r="G11893" s="3">
        <v>14.83</v>
      </c>
    </row>
    <row r="11894">
      <c r="A11894" s="3">
        <v>786487.0</v>
      </c>
      <c r="B11894" s="3" t="s">
        <v>11922</v>
      </c>
      <c r="C11894" s="3" t="s">
        <v>1464</v>
      </c>
      <c r="D11894" s="3">
        <v>112.0</v>
      </c>
      <c r="E11894" s="3">
        <v>4.13</v>
      </c>
      <c r="F11894" s="3">
        <v>6.89</v>
      </c>
      <c r="G11894" s="3">
        <v>12.16</v>
      </c>
    </row>
    <row r="11895">
      <c r="A11895" s="3">
        <v>786488.0</v>
      </c>
      <c r="B11895" s="3" t="s">
        <v>11923</v>
      </c>
      <c r="C11895" s="3" t="s">
        <v>1464</v>
      </c>
      <c r="D11895" s="3">
        <v>91.0</v>
      </c>
      <c r="E11895" s="3">
        <v>3.71</v>
      </c>
      <c r="F11895" s="3">
        <v>6.19</v>
      </c>
      <c r="G11895" s="3">
        <v>8.66</v>
      </c>
    </row>
    <row r="11896">
      <c r="A11896" s="3">
        <v>786489.0</v>
      </c>
      <c r="B11896" s="3" t="s">
        <v>11924</v>
      </c>
      <c r="C11896" s="3" t="s">
        <v>1464</v>
      </c>
      <c r="D11896" s="3">
        <v>123.0</v>
      </c>
      <c r="E11896" s="3">
        <v>5.56</v>
      </c>
      <c r="F11896" s="3">
        <v>7.16</v>
      </c>
      <c r="G11896" s="3">
        <v>11.14</v>
      </c>
    </row>
    <row r="11897">
      <c r="A11897" s="3">
        <v>786490.0</v>
      </c>
      <c r="B11897" s="3" t="s">
        <v>11925</v>
      </c>
      <c r="C11897" s="3" t="s">
        <v>1464</v>
      </c>
      <c r="D11897" s="3">
        <v>115.0</v>
      </c>
      <c r="E11897" s="3">
        <v>4.8</v>
      </c>
      <c r="F11897" s="3">
        <v>7.05</v>
      </c>
      <c r="G11897" s="3">
        <v>10.85</v>
      </c>
    </row>
    <row r="11898">
      <c r="A11898" s="3">
        <v>786491.0</v>
      </c>
      <c r="B11898" s="3" t="s">
        <v>11926</v>
      </c>
      <c r="C11898" s="3" t="s">
        <v>1464</v>
      </c>
      <c r="D11898" s="3">
        <v>114.0</v>
      </c>
      <c r="E11898" s="3">
        <v>3.76</v>
      </c>
      <c r="F11898" s="3">
        <v>8.04</v>
      </c>
      <c r="G11898" s="3">
        <v>11.87</v>
      </c>
    </row>
    <row r="11899">
      <c r="A11899" s="3">
        <v>786492.0</v>
      </c>
      <c r="B11899" s="3" t="s">
        <v>11927</v>
      </c>
      <c r="C11899" s="3" t="s">
        <v>1464</v>
      </c>
      <c r="D11899" s="3">
        <v>108.0</v>
      </c>
      <c r="E11899" s="3">
        <v>2.81</v>
      </c>
      <c r="F11899" s="3">
        <v>4.71</v>
      </c>
      <c r="G11899" s="3">
        <v>16.48</v>
      </c>
    </row>
    <row r="11900">
      <c r="A11900" s="3">
        <v>786493.0</v>
      </c>
      <c r="B11900" s="3" t="s">
        <v>11928</v>
      </c>
      <c r="C11900" s="3" t="s">
        <v>1464</v>
      </c>
      <c r="D11900" s="3">
        <v>124.0</v>
      </c>
      <c r="E11900" s="3">
        <v>4.12</v>
      </c>
      <c r="F11900" s="3">
        <v>5.03</v>
      </c>
      <c r="G11900" s="3">
        <v>16.68</v>
      </c>
    </row>
    <row r="11901">
      <c r="A11901" s="3">
        <v>786494.0</v>
      </c>
      <c r="B11901" s="3" t="s">
        <v>11929</v>
      </c>
      <c r="C11901" s="3" t="s">
        <v>1464</v>
      </c>
      <c r="D11901" s="3">
        <v>124.0</v>
      </c>
      <c r="E11901" s="3">
        <v>4.12</v>
      </c>
      <c r="F11901" s="3">
        <v>5.03</v>
      </c>
      <c r="G11901" s="3">
        <v>16.68</v>
      </c>
    </row>
    <row r="11902">
      <c r="A11902" s="3">
        <v>786495.0</v>
      </c>
      <c r="B11902" s="3" t="s">
        <v>11930</v>
      </c>
      <c r="C11902" s="3" t="s">
        <v>1464</v>
      </c>
      <c r="D11902" s="3">
        <v>189.0</v>
      </c>
      <c r="E11902" s="3">
        <v>8.46</v>
      </c>
      <c r="F11902" s="3">
        <v>8.28</v>
      </c>
      <c r="G11902" s="3">
        <v>20.68</v>
      </c>
    </row>
    <row r="11903">
      <c r="A11903" s="3">
        <v>786496.0</v>
      </c>
      <c r="B11903" s="3" t="s">
        <v>11931</v>
      </c>
      <c r="C11903" s="3" t="s">
        <v>1464</v>
      </c>
      <c r="D11903" s="3">
        <v>146.0</v>
      </c>
      <c r="E11903" s="3">
        <v>6.32</v>
      </c>
      <c r="F11903" s="3">
        <v>10.62</v>
      </c>
      <c r="G11903" s="3">
        <v>11.97</v>
      </c>
    </row>
    <row r="11904">
      <c r="A11904" s="3">
        <v>786497.0</v>
      </c>
      <c r="B11904" s="3" t="s">
        <v>11932</v>
      </c>
      <c r="C11904" s="3" t="s">
        <v>1464</v>
      </c>
      <c r="D11904" s="3">
        <v>123.0</v>
      </c>
      <c r="E11904" s="3">
        <v>2.61</v>
      </c>
      <c r="F11904" s="3">
        <v>8.93</v>
      </c>
      <c r="G11904" s="3">
        <v>15.67</v>
      </c>
    </row>
    <row r="11905">
      <c r="A11905" s="3">
        <v>786498.0</v>
      </c>
      <c r="B11905" s="3" t="s">
        <v>11933</v>
      </c>
      <c r="C11905" s="3" t="s">
        <v>1464</v>
      </c>
      <c r="D11905" s="3">
        <v>176.0</v>
      </c>
      <c r="E11905" s="3">
        <v>4.62</v>
      </c>
      <c r="F11905" s="3">
        <v>9.6</v>
      </c>
      <c r="G11905" s="3">
        <v>23.76</v>
      </c>
    </row>
    <row r="11906">
      <c r="A11906" s="3">
        <v>786499.0</v>
      </c>
      <c r="B11906" s="3" t="s">
        <v>11934</v>
      </c>
      <c r="C11906" s="3" t="s">
        <v>189</v>
      </c>
      <c r="D11906" s="3">
        <v>223.0</v>
      </c>
      <c r="E11906" s="3">
        <v>11.22</v>
      </c>
      <c r="F11906" s="3">
        <v>11.53</v>
      </c>
      <c r="G11906" s="3">
        <v>18.83</v>
      </c>
    </row>
    <row r="11907">
      <c r="A11907" s="3">
        <v>786500.0</v>
      </c>
      <c r="B11907" s="3" t="s">
        <v>11935</v>
      </c>
      <c r="C11907" s="3" t="s">
        <v>189</v>
      </c>
      <c r="D11907" s="3">
        <v>270.0</v>
      </c>
      <c r="E11907" s="3">
        <v>13.7</v>
      </c>
      <c r="F11907" s="3">
        <v>8.86</v>
      </c>
      <c r="G11907" s="3">
        <v>27.72</v>
      </c>
    </row>
    <row r="11908">
      <c r="A11908" s="3">
        <v>786501.0</v>
      </c>
      <c r="B11908" s="3" t="s">
        <v>11936</v>
      </c>
      <c r="C11908" s="3" t="s">
        <v>225</v>
      </c>
      <c r="D11908" s="3">
        <v>24.0</v>
      </c>
      <c r="E11908" s="3">
        <v>0.78</v>
      </c>
      <c r="F11908" s="3">
        <v>1.2</v>
      </c>
      <c r="G11908" s="3">
        <v>3.07</v>
      </c>
    </row>
    <row r="11909">
      <c r="A11909" s="3">
        <v>786502.0</v>
      </c>
      <c r="B11909" s="3" t="s">
        <v>11937</v>
      </c>
      <c r="C11909" s="3" t="s">
        <v>225</v>
      </c>
      <c r="D11909" s="3">
        <v>67.0</v>
      </c>
      <c r="E11909" s="3">
        <v>2.68</v>
      </c>
      <c r="F11909" s="3">
        <v>1.55</v>
      </c>
      <c r="G11909" s="3">
        <v>9.17</v>
      </c>
    </row>
    <row r="11910">
      <c r="A11910" s="3">
        <v>786503.0</v>
      </c>
      <c r="B11910" s="3" t="s">
        <v>11938</v>
      </c>
      <c r="C11910" s="3" t="s">
        <v>225</v>
      </c>
      <c r="D11910" s="3">
        <v>34.0</v>
      </c>
      <c r="E11910" s="3">
        <v>0.78</v>
      </c>
      <c r="F11910" s="3">
        <v>0.92</v>
      </c>
      <c r="G11910" s="3">
        <v>5.8</v>
      </c>
    </row>
    <row r="11911">
      <c r="A11911" s="3">
        <v>786505.0</v>
      </c>
      <c r="B11911" s="3" t="s">
        <v>11939</v>
      </c>
      <c r="C11911" s="3" t="s">
        <v>225</v>
      </c>
      <c r="D11911" s="3">
        <v>61.0</v>
      </c>
      <c r="E11911" s="3">
        <v>1.55</v>
      </c>
      <c r="F11911" s="3">
        <v>1.01</v>
      </c>
      <c r="G11911" s="3">
        <v>11.57</v>
      </c>
    </row>
    <row r="11912">
      <c r="A11912" s="3">
        <v>786506.0</v>
      </c>
      <c r="B11912" s="3" t="s">
        <v>11940</v>
      </c>
      <c r="C11912" s="3" t="s">
        <v>225</v>
      </c>
      <c r="D11912" s="3">
        <v>34.0</v>
      </c>
      <c r="E11912" s="3">
        <v>1.25</v>
      </c>
      <c r="F11912" s="3">
        <v>1.95</v>
      </c>
      <c r="G11912" s="3">
        <v>3.63</v>
      </c>
    </row>
    <row r="11913">
      <c r="A11913" s="3">
        <v>786509.0</v>
      </c>
      <c r="B11913" s="3" t="s">
        <v>11941</v>
      </c>
      <c r="C11913" s="3" t="s">
        <v>225</v>
      </c>
      <c r="D11913" s="3">
        <v>70.0</v>
      </c>
      <c r="E11913" s="3">
        <v>2.36</v>
      </c>
      <c r="F11913" s="3">
        <v>7.17</v>
      </c>
      <c r="G11913" s="3">
        <v>4.6</v>
      </c>
    </row>
    <row r="11914">
      <c r="A11914" s="3">
        <v>786510.0</v>
      </c>
      <c r="B11914" s="3" t="s">
        <v>11942</v>
      </c>
      <c r="C11914" s="3" t="s">
        <v>225</v>
      </c>
      <c r="D11914" s="3">
        <v>24.0</v>
      </c>
      <c r="E11914" s="3">
        <v>0.78</v>
      </c>
      <c r="F11914" s="3">
        <v>1.2</v>
      </c>
      <c r="G11914" s="3">
        <v>3.07</v>
      </c>
    </row>
    <row r="11915">
      <c r="A11915" s="3">
        <v>786511.0</v>
      </c>
      <c r="B11915" s="3" t="s">
        <v>11943</v>
      </c>
      <c r="C11915" s="3" t="s">
        <v>225</v>
      </c>
      <c r="D11915" s="3">
        <v>61.0</v>
      </c>
      <c r="E11915" s="3">
        <v>2.2</v>
      </c>
      <c r="F11915" s="3">
        <v>5.56</v>
      </c>
      <c r="G11915" s="3">
        <v>4.93</v>
      </c>
    </row>
    <row r="11916">
      <c r="A11916" s="3">
        <v>786512.0</v>
      </c>
      <c r="B11916" s="3" t="s">
        <v>11944</v>
      </c>
      <c r="C11916" s="3" t="s">
        <v>225</v>
      </c>
      <c r="D11916" s="3">
        <v>49.0</v>
      </c>
      <c r="E11916" s="3">
        <v>1.8</v>
      </c>
      <c r="F11916" s="3">
        <v>2.82</v>
      </c>
      <c r="G11916" s="3">
        <v>5.46</v>
      </c>
    </row>
    <row r="11917">
      <c r="A11917" s="3">
        <v>786514.0</v>
      </c>
      <c r="B11917" s="3" t="s">
        <v>11945</v>
      </c>
      <c r="C11917" s="3" t="s">
        <v>225</v>
      </c>
      <c r="D11917" s="3">
        <v>29.0</v>
      </c>
      <c r="E11917" s="3">
        <v>0.12</v>
      </c>
      <c r="F11917" s="3">
        <v>0.86</v>
      </c>
      <c r="G11917" s="3">
        <v>6.48</v>
      </c>
    </row>
    <row r="11918">
      <c r="A11918" s="3">
        <v>786515.0</v>
      </c>
      <c r="B11918" s="3" t="s">
        <v>11946</v>
      </c>
      <c r="C11918" s="3" t="s">
        <v>225</v>
      </c>
      <c r="D11918" s="3">
        <v>34.0</v>
      </c>
      <c r="E11918" s="3">
        <v>0.78</v>
      </c>
      <c r="F11918" s="3">
        <v>0.92</v>
      </c>
      <c r="G11918" s="3">
        <v>5.8</v>
      </c>
    </row>
    <row r="11919">
      <c r="A11919" s="3">
        <v>786516.0</v>
      </c>
      <c r="B11919" s="3" t="s">
        <v>11947</v>
      </c>
      <c r="C11919" s="3" t="s">
        <v>225</v>
      </c>
      <c r="D11919" s="3">
        <v>62.0</v>
      </c>
      <c r="E11919" s="3">
        <v>2.01</v>
      </c>
      <c r="F11919" s="3">
        <v>5.22</v>
      </c>
      <c r="G11919" s="3">
        <v>5.66</v>
      </c>
    </row>
    <row r="11920">
      <c r="A11920" s="3">
        <v>786517.0</v>
      </c>
      <c r="B11920" s="3" t="s">
        <v>11948</v>
      </c>
      <c r="C11920" s="3" t="s">
        <v>225</v>
      </c>
      <c r="D11920" s="3">
        <v>23.0</v>
      </c>
      <c r="E11920" s="3">
        <v>0.6</v>
      </c>
      <c r="F11920" s="3">
        <v>0.8</v>
      </c>
      <c r="G11920" s="3">
        <v>3.61</v>
      </c>
    </row>
    <row r="11921">
      <c r="A11921" s="3">
        <v>786518.0</v>
      </c>
      <c r="B11921" s="3" t="s">
        <v>11949</v>
      </c>
      <c r="C11921" s="3" t="s">
        <v>225</v>
      </c>
      <c r="D11921" s="3">
        <v>48.0</v>
      </c>
      <c r="E11921" s="3">
        <v>1.62</v>
      </c>
      <c r="F11921" s="3">
        <v>2.44</v>
      </c>
      <c r="G11921" s="3">
        <v>6.01</v>
      </c>
    </row>
    <row r="11922">
      <c r="A11922" s="3">
        <v>786519.0</v>
      </c>
      <c r="B11922" s="3" t="s">
        <v>11950</v>
      </c>
      <c r="C11922" s="3" t="s">
        <v>225</v>
      </c>
      <c r="D11922" s="3">
        <v>75.0</v>
      </c>
      <c r="E11922" s="3">
        <v>2.05</v>
      </c>
      <c r="F11922" s="3">
        <v>1.39</v>
      </c>
      <c r="G11922" s="3">
        <v>12.62</v>
      </c>
    </row>
    <row r="11923">
      <c r="A11923" s="3">
        <v>786520.0</v>
      </c>
      <c r="B11923" s="3" t="s">
        <v>11951</v>
      </c>
      <c r="C11923" s="3" t="s">
        <v>225</v>
      </c>
      <c r="D11923" s="3">
        <v>60.0</v>
      </c>
      <c r="E11923" s="3">
        <v>2.03</v>
      </c>
      <c r="F11923" s="3">
        <v>2.61</v>
      </c>
      <c r="G11923" s="3">
        <v>7.74</v>
      </c>
    </row>
    <row r="11924">
      <c r="A11924" s="3">
        <v>786523.0</v>
      </c>
      <c r="B11924" s="3" t="s">
        <v>11952</v>
      </c>
      <c r="C11924" s="3" t="s">
        <v>225</v>
      </c>
      <c r="D11924" s="3">
        <v>25.0</v>
      </c>
      <c r="E11924" s="3">
        <v>0.44</v>
      </c>
      <c r="F11924" s="3">
        <v>1.03</v>
      </c>
      <c r="G11924" s="3">
        <v>4.17</v>
      </c>
    </row>
    <row r="11925">
      <c r="A11925" s="3">
        <v>786524.0</v>
      </c>
      <c r="B11925" s="3" t="s">
        <v>11953</v>
      </c>
      <c r="C11925" s="3" t="s">
        <v>225</v>
      </c>
      <c r="D11925" s="3">
        <v>67.0</v>
      </c>
      <c r="E11925" s="3">
        <v>2.68</v>
      </c>
      <c r="F11925" s="3">
        <v>1.55</v>
      </c>
      <c r="G11925" s="3">
        <v>9.17</v>
      </c>
    </row>
    <row r="11926">
      <c r="A11926" s="3">
        <v>786525.0</v>
      </c>
      <c r="B11926" s="3" t="s">
        <v>11954</v>
      </c>
      <c r="C11926" s="3" t="s">
        <v>225</v>
      </c>
      <c r="D11926" s="3">
        <v>53.0</v>
      </c>
      <c r="E11926" s="3">
        <v>0.38</v>
      </c>
      <c r="F11926" s="3">
        <v>1.66</v>
      </c>
      <c r="G11926" s="3">
        <v>10.79</v>
      </c>
    </row>
    <row r="11927">
      <c r="A11927" s="3">
        <v>786526.0</v>
      </c>
      <c r="B11927" s="3" t="s">
        <v>11955</v>
      </c>
      <c r="C11927" s="3" t="s">
        <v>225</v>
      </c>
      <c r="D11927" s="3">
        <v>67.0</v>
      </c>
      <c r="E11927" s="3">
        <v>2.68</v>
      </c>
      <c r="F11927" s="3">
        <v>1.55</v>
      </c>
      <c r="G11927" s="3">
        <v>9.17</v>
      </c>
    </row>
    <row r="11928">
      <c r="A11928" s="3">
        <v>786528.0</v>
      </c>
      <c r="B11928" s="3" t="s">
        <v>11956</v>
      </c>
      <c r="C11928" s="3" t="s">
        <v>225</v>
      </c>
      <c r="D11928" s="3">
        <v>71.0</v>
      </c>
      <c r="E11928" s="3">
        <v>1.2</v>
      </c>
      <c r="F11928" s="3">
        <v>1.91</v>
      </c>
      <c r="G11928" s="3">
        <v>13.16</v>
      </c>
    </row>
    <row r="11929">
      <c r="A11929" s="3">
        <v>786529.0</v>
      </c>
      <c r="B11929" s="3" t="s">
        <v>11957</v>
      </c>
      <c r="C11929" s="3" t="s">
        <v>225</v>
      </c>
      <c r="D11929" s="3">
        <v>74.0</v>
      </c>
      <c r="E11929" s="3">
        <v>1.58</v>
      </c>
      <c r="F11929" s="3">
        <v>4.44</v>
      </c>
      <c r="G11929" s="3">
        <v>10.23</v>
      </c>
    </row>
    <row r="11930">
      <c r="A11930" s="3">
        <v>786530.0</v>
      </c>
      <c r="B11930" s="3" t="s">
        <v>11958</v>
      </c>
      <c r="C11930" s="3" t="s">
        <v>225</v>
      </c>
      <c r="D11930" s="3">
        <v>140.0</v>
      </c>
      <c r="E11930" s="3">
        <v>6.36</v>
      </c>
      <c r="F11930" s="3">
        <v>2.66</v>
      </c>
      <c r="G11930" s="3">
        <v>18.26</v>
      </c>
    </row>
    <row r="11931">
      <c r="A11931" s="3">
        <v>786531.0</v>
      </c>
      <c r="B11931" s="3" t="s">
        <v>11959</v>
      </c>
      <c r="C11931" s="3" t="s">
        <v>225</v>
      </c>
      <c r="D11931" s="3">
        <v>138.0</v>
      </c>
      <c r="E11931" s="3">
        <v>6.83</v>
      </c>
      <c r="F11931" s="3">
        <v>3.12</v>
      </c>
      <c r="G11931" s="3">
        <v>16.59</v>
      </c>
    </row>
    <row r="11932">
      <c r="A11932" s="3">
        <v>786532.0</v>
      </c>
      <c r="B11932" s="3" t="s">
        <v>11960</v>
      </c>
      <c r="C11932" s="3" t="s">
        <v>225</v>
      </c>
      <c r="D11932" s="3">
        <v>80.0</v>
      </c>
      <c r="E11932" s="3">
        <v>3.46</v>
      </c>
      <c r="F11932" s="3">
        <v>3.3</v>
      </c>
      <c r="G11932" s="3">
        <v>8.76</v>
      </c>
    </row>
    <row r="11933">
      <c r="A11933" s="3">
        <v>786533.0</v>
      </c>
      <c r="B11933" s="3" t="s">
        <v>11961</v>
      </c>
      <c r="C11933" s="3" t="s">
        <v>225</v>
      </c>
      <c r="D11933" s="3">
        <v>149.0</v>
      </c>
      <c r="E11933" s="3">
        <v>6.36</v>
      </c>
      <c r="F11933" s="3">
        <v>2.32</v>
      </c>
      <c r="G11933" s="3">
        <v>20.79</v>
      </c>
    </row>
    <row r="11934">
      <c r="A11934" s="3">
        <v>786534.0</v>
      </c>
      <c r="B11934" s="3" t="s">
        <v>11962</v>
      </c>
      <c r="C11934" s="3" t="s">
        <v>225</v>
      </c>
      <c r="D11934" s="3">
        <v>117.0</v>
      </c>
      <c r="E11934" s="3">
        <v>7.62</v>
      </c>
      <c r="F11934" s="3">
        <v>4.85</v>
      </c>
      <c r="G11934" s="3">
        <v>7.49</v>
      </c>
    </row>
    <row r="11935">
      <c r="A11935" s="3">
        <v>786535.0</v>
      </c>
      <c r="B11935" s="3" t="s">
        <v>11963</v>
      </c>
      <c r="C11935" s="3" t="s">
        <v>196</v>
      </c>
      <c r="D11935" s="3">
        <v>60.0</v>
      </c>
      <c r="E11935" s="3">
        <v>1.28</v>
      </c>
      <c r="F11935" s="3">
        <v>2.43</v>
      </c>
      <c r="G11935" s="3">
        <v>9.43</v>
      </c>
    </row>
    <row r="11936">
      <c r="A11936" s="3">
        <v>786538.0</v>
      </c>
      <c r="B11936" s="3" t="s">
        <v>11964</v>
      </c>
      <c r="C11936" s="3" t="s">
        <v>196</v>
      </c>
      <c r="D11936" s="3">
        <v>81.0</v>
      </c>
      <c r="E11936" s="3">
        <v>1.9</v>
      </c>
      <c r="F11936" s="3">
        <v>4.34</v>
      </c>
      <c r="G11936" s="3">
        <v>11.53</v>
      </c>
    </row>
    <row r="11937">
      <c r="A11937" s="3">
        <v>786539.0</v>
      </c>
      <c r="B11937" s="3" t="s">
        <v>11965</v>
      </c>
      <c r="C11937" s="3" t="s">
        <v>196</v>
      </c>
      <c r="D11937" s="3">
        <v>64.0</v>
      </c>
      <c r="E11937" s="3">
        <v>2.06</v>
      </c>
      <c r="F11937" s="3">
        <v>2.87</v>
      </c>
      <c r="G11937" s="3">
        <v>8.57</v>
      </c>
    </row>
    <row r="11938">
      <c r="A11938" s="3">
        <v>786544.0</v>
      </c>
      <c r="B11938" s="3" t="s">
        <v>11966</v>
      </c>
      <c r="C11938" s="3" t="s">
        <v>228</v>
      </c>
      <c r="D11938" s="3">
        <v>334.0</v>
      </c>
      <c r="E11938" s="3">
        <v>7.04</v>
      </c>
      <c r="F11938" s="3">
        <v>11.28</v>
      </c>
      <c r="G11938" s="3">
        <v>61.87</v>
      </c>
    </row>
    <row r="11939">
      <c r="A11939" s="3">
        <v>786550.0</v>
      </c>
      <c r="B11939" s="3" t="s">
        <v>11967</v>
      </c>
      <c r="C11939" s="3" t="s">
        <v>257</v>
      </c>
      <c r="D11939" s="3">
        <v>40.0</v>
      </c>
      <c r="E11939" s="3">
        <v>0.11</v>
      </c>
      <c r="F11939" s="3">
        <v>0.78</v>
      </c>
      <c r="G11939" s="3">
        <v>9.91</v>
      </c>
    </row>
    <row r="11940">
      <c r="A11940" s="3">
        <v>786551.0</v>
      </c>
      <c r="B11940" s="3" t="s">
        <v>11968</v>
      </c>
      <c r="C11940" s="3" t="s">
        <v>257</v>
      </c>
      <c r="D11940" s="3">
        <v>60.0</v>
      </c>
      <c r="E11940" s="3">
        <v>0.09</v>
      </c>
      <c r="F11940" s="3">
        <v>0.59</v>
      </c>
      <c r="G11940" s="3">
        <v>15.35</v>
      </c>
    </row>
    <row r="11941">
      <c r="A11941" s="3">
        <v>786552.0</v>
      </c>
      <c r="B11941" s="3" t="s">
        <v>11969</v>
      </c>
      <c r="C11941" s="3" t="s">
        <v>257</v>
      </c>
      <c r="D11941" s="3">
        <v>27.0</v>
      </c>
      <c r="E11941" s="3">
        <v>0.07</v>
      </c>
      <c r="F11941" s="3">
        <v>0.53</v>
      </c>
      <c r="G11941" s="3">
        <v>6.68</v>
      </c>
    </row>
    <row r="11942">
      <c r="A11942" s="3">
        <v>786553.0</v>
      </c>
      <c r="B11942" s="3" t="s">
        <v>11970</v>
      </c>
      <c r="C11942" s="3" t="s">
        <v>257</v>
      </c>
      <c r="D11942" s="3">
        <v>60.0</v>
      </c>
      <c r="E11942" s="3">
        <v>0.09</v>
      </c>
      <c r="F11942" s="3">
        <v>0.59</v>
      </c>
      <c r="G11942" s="3">
        <v>15.35</v>
      </c>
    </row>
    <row r="11943">
      <c r="A11943" s="3">
        <v>786555.0</v>
      </c>
      <c r="B11943" s="3" t="s">
        <v>11971</v>
      </c>
      <c r="C11943" s="3" t="s">
        <v>257</v>
      </c>
      <c r="D11943" s="3">
        <v>98.0</v>
      </c>
      <c r="E11943" s="3">
        <v>0.58</v>
      </c>
      <c r="F11943" s="3">
        <v>1.26</v>
      </c>
      <c r="G11943" s="3">
        <v>23.65</v>
      </c>
    </row>
    <row r="11944">
      <c r="A11944" s="3">
        <v>786557.0</v>
      </c>
      <c r="B11944" s="3" t="s">
        <v>11972</v>
      </c>
      <c r="C11944" s="3" t="s">
        <v>38</v>
      </c>
      <c r="D11944" s="3">
        <v>345.0</v>
      </c>
      <c r="E11944" s="3">
        <v>6.56</v>
      </c>
      <c r="F11944" s="3">
        <v>4.72</v>
      </c>
      <c r="G11944" s="3">
        <v>69.01</v>
      </c>
    </row>
    <row r="11945">
      <c r="A11945" s="3">
        <v>786560.0</v>
      </c>
      <c r="B11945" s="3" t="s">
        <v>11973</v>
      </c>
      <c r="C11945" s="3" t="s">
        <v>257</v>
      </c>
      <c r="D11945" s="3">
        <v>47.0</v>
      </c>
      <c r="E11945" s="3">
        <v>0.13</v>
      </c>
      <c r="F11945" s="3">
        <v>0.85</v>
      </c>
      <c r="G11945" s="3">
        <v>11.5</v>
      </c>
    </row>
    <row r="11946">
      <c r="A11946" s="3">
        <v>786568.0</v>
      </c>
      <c r="B11946" s="3" t="s">
        <v>11974</v>
      </c>
      <c r="C11946" s="3" t="s">
        <v>257</v>
      </c>
      <c r="D11946" s="3">
        <v>34.0</v>
      </c>
      <c r="E11946" s="3">
        <v>0.1</v>
      </c>
      <c r="F11946" s="3">
        <v>0.58</v>
      </c>
      <c r="G11946" s="3">
        <v>7.93</v>
      </c>
    </row>
    <row r="11947">
      <c r="A11947" s="3">
        <v>786569.0</v>
      </c>
      <c r="B11947" s="3" t="s">
        <v>11975</v>
      </c>
      <c r="C11947" s="3" t="s">
        <v>257</v>
      </c>
      <c r="D11947" s="3">
        <v>34.0</v>
      </c>
      <c r="E11947" s="3">
        <v>0.1</v>
      </c>
      <c r="F11947" s="3">
        <v>0.58</v>
      </c>
      <c r="G11947" s="3">
        <v>7.93</v>
      </c>
    </row>
    <row r="11948">
      <c r="A11948" s="3">
        <v>786570.0</v>
      </c>
      <c r="B11948" s="3" t="s">
        <v>11976</v>
      </c>
      <c r="C11948" s="3" t="s">
        <v>257</v>
      </c>
      <c r="D11948" s="3">
        <v>38.0</v>
      </c>
      <c r="E11948" s="3">
        <v>0.1</v>
      </c>
      <c r="F11948" s="3">
        <v>0.5</v>
      </c>
      <c r="G11948" s="3">
        <v>8.69</v>
      </c>
    </row>
    <row r="11949">
      <c r="A11949" s="3">
        <v>786571.0</v>
      </c>
      <c r="B11949" s="3" t="s">
        <v>11977</v>
      </c>
      <c r="C11949" s="3" t="s">
        <v>257</v>
      </c>
      <c r="D11949" s="3">
        <v>41.0</v>
      </c>
      <c r="E11949" s="3">
        <v>0.13</v>
      </c>
      <c r="F11949" s="3">
        <v>0.55</v>
      </c>
      <c r="G11949" s="3">
        <v>9.66</v>
      </c>
    </row>
    <row r="11950">
      <c r="A11950" s="3">
        <v>786578.0</v>
      </c>
      <c r="B11950" s="3" t="s">
        <v>11978</v>
      </c>
      <c r="C11950" s="3" t="s">
        <v>257</v>
      </c>
      <c r="D11950" s="3">
        <v>48.0</v>
      </c>
      <c r="E11950" s="3">
        <v>0.12</v>
      </c>
      <c r="F11950" s="3">
        <v>0.68</v>
      </c>
      <c r="G11950" s="3">
        <v>11.45</v>
      </c>
    </row>
    <row r="11951">
      <c r="A11951" s="3">
        <v>786582.0</v>
      </c>
      <c r="B11951" s="3" t="s">
        <v>11979</v>
      </c>
      <c r="C11951" s="3" t="s">
        <v>257</v>
      </c>
      <c r="D11951" s="3">
        <v>42.0</v>
      </c>
      <c r="E11951" s="3">
        <v>0.07</v>
      </c>
      <c r="F11951" s="3">
        <v>0.68</v>
      </c>
      <c r="G11951" s="3">
        <v>10.04</v>
      </c>
    </row>
    <row r="11952">
      <c r="A11952" s="3">
        <v>786584.0</v>
      </c>
      <c r="B11952" s="3" t="s">
        <v>11980</v>
      </c>
      <c r="C11952" s="3" t="s">
        <v>257</v>
      </c>
      <c r="D11952" s="3">
        <v>42.0</v>
      </c>
      <c r="E11952" s="3">
        <v>0.07</v>
      </c>
      <c r="F11952" s="3">
        <v>0.68</v>
      </c>
      <c r="G11952" s="3">
        <v>9.67</v>
      </c>
    </row>
    <row r="11953">
      <c r="A11953" s="3">
        <v>786591.0</v>
      </c>
      <c r="B11953" s="3" t="s">
        <v>11981</v>
      </c>
      <c r="C11953" s="3" t="s">
        <v>257</v>
      </c>
      <c r="D11953" s="3">
        <v>92.0</v>
      </c>
      <c r="E11953" s="3">
        <v>0.06</v>
      </c>
      <c r="F11953" s="3">
        <v>0.2</v>
      </c>
      <c r="G11953" s="3">
        <v>24.39</v>
      </c>
    </row>
    <row r="11954">
      <c r="A11954" s="3">
        <v>786593.0</v>
      </c>
      <c r="B11954" s="3" t="s">
        <v>11982</v>
      </c>
      <c r="C11954" s="3" t="s">
        <v>257</v>
      </c>
      <c r="D11954" s="3">
        <v>92.0</v>
      </c>
      <c r="E11954" s="3">
        <v>0.06</v>
      </c>
      <c r="F11954" s="3">
        <v>0.2</v>
      </c>
      <c r="G11954" s="3">
        <v>24.39</v>
      </c>
    </row>
    <row r="11955">
      <c r="A11955" s="3">
        <v>786594.0</v>
      </c>
      <c r="B11955" s="3" t="s">
        <v>11983</v>
      </c>
      <c r="C11955" s="3" t="s">
        <v>257</v>
      </c>
      <c r="D11955" s="3">
        <v>460.0</v>
      </c>
      <c r="E11955" s="3">
        <v>21.66</v>
      </c>
      <c r="F11955" s="3">
        <v>1.04</v>
      </c>
      <c r="G11955" s="3">
        <v>73.7</v>
      </c>
    </row>
    <row r="11956">
      <c r="A11956" s="3">
        <v>786596.0</v>
      </c>
      <c r="B11956" s="3" t="s">
        <v>11984</v>
      </c>
      <c r="C11956" s="3" t="s">
        <v>257</v>
      </c>
      <c r="D11956" s="3">
        <v>117.0</v>
      </c>
      <c r="E11956" s="3">
        <v>0.16</v>
      </c>
      <c r="F11956" s="3">
        <v>1.07</v>
      </c>
      <c r="G11956" s="3">
        <v>30.49</v>
      </c>
    </row>
    <row r="11957">
      <c r="A11957" s="3">
        <v>786598.0</v>
      </c>
      <c r="B11957" s="3" t="s">
        <v>11985</v>
      </c>
      <c r="C11957" s="3" t="s">
        <v>257</v>
      </c>
      <c r="D11957" s="3">
        <v>117.0</v>
      </c>
      <c r="E11957" s="3">
        <v>0.16</v>
      </c>
      <c r="F11957" s="3">
        <v>1.07</v>
      </c>
      <c r="G11957" s="3">
        <v>30.49</v>
      </c>
    </row>
    <row r="11958">
      <c r="A11958" s="3">
        <v>786607.0</v>
      </c>
      <c r="B11958" s="3" t="s">
        <v>11986</v>
      </c>
      <c r="C11958" s="3" t="s">
        <v>257</v>
      </c>
      <c r="D11958" s="3">
        <v>137.0</v>
      </c>
      <c r="E11958" s="3">
        <v>0.36</v>
      </c>
      <c r="F11958" s="3">
        <v>1.27</v>
      </c>
      <c r="G11958" s="3">
        <v>35.33</v>
      </c>
    </row>
    <row r="11959">
      <c r="A11959" s="3">
        <v>786609.0</v>
      </c>
      <c r="B11959" s="3" t="s">
        <v>11987</v>
      </c>
      <c r="C11959" s="3" t="s">
        <v>257</v>
      </c>
      <c r="D11959" s="3">
        <v>137.0</v>
      </c>
      <c r="E11959" s="3">
        <v>0.36</v>
      </c>
      <c r="F11959" s="3">
        <v>1.27</v>
      </c>
      <c r="G11959" s="3">
        <v>35.33</v>
      </c>
    </row>
    <row r="11960">
      <c r="A11960" s="3">
        <v>786612.0</v>
      </c>
      <c r="B11960" s="3" t="s">
        <v>11988</v>
      </c>
      <c r="C11960" s="3" t="s">
        <v>257</v>
      </c>
      <c r="D11960" s="3">
        <v>296.0</v>
      </c>
      <c r="E11960" s="3">
        <v>0.86</v>
      </c>
      <c r="F11960" s="3">
        <v>1.55</v>
      </c>
      <c r="G11960" s="3">
        <v>75.46</v>
      </c>
    </row>
    <row r="11961">
      <c r="A11961" s="3">
        <v>786614.0</v>
      </c>
      <c r="B11961" s="3" t="s">
        <v>11989</v>
      </c>
      <c r="C11961" s="3" t="s">
        <v>257</v>
      </c>
      <c r="D11961" s="3">
        <v>110.0</v>
      </c>
      <c r="E11961" s="3">
        <v>0.22</v>
      </c>
      <c r="F11961" s="3">
        <v>1.04</v>
      </c>
      <c r="G11961" s="3">
        <v>28.29</v>
      </c>
    </row>
    <row r="11962">
      <c r="A11962" s="3">
        <v>786616.0</v>
      </c>
      <c r="B11962" s="3" t="s">
        <v>11990</v>
      </c>
      <c r="C11962" s="3" t="s">
        <v>257</v>
      </c>
      <c r="D11962" s="3">
        <v>110.0</v>
      </c>
      <c r="E11962" s="3">
        <v>0.22</v>
      </c>
      <c r="F11962" s="3">
        <v>1.04</v>
      </c>
      <c r="G11962" s="3">
        <v>28.29</v>
      </c>
    </row>
    <row r="11963">
      <c r="A11963" s="3">
        <v>786618.0</v>
      </c>
      <c r="B11963" s="3" t="s">
        <v>11991</v>
      </c>
      <c r="C11963" s="3" t="s">
        <v>257</v>
      </c>
      <c r="D11963" s="3">
        <v>155.0</v>
      </c>
      <c r="E11963" s="3">
        <v>0.28</v>
      </c>
      <c r="F11963" s="3">
        <v>0.81</v>
      </c>
      <c r="G11963" s="3">
        <v>40.9</v>
      </c>
    </row>
    <row r="11964">
      <c r="A11964" s="3">
        <v>786620.0</v>
      </c>
      <c r="B11964" s="3" t="s">
        <v>11992</v>
      </c>
      <c r="C11964" s="3" t="s">
        <v>257</v>
      </c>
      <c r="D11964" s="3">
        <v>155.0</v>
      </c>
      <c r="E11964" s="3">
        <v>0.28</v>
      </c>
      <c r="F11964" s="3">
        <v>0.81</v>
      </c>
      <c r="G11964" s="3">
        <v>40.9</v>
      </c>
    </row>
    <row r="11965">
      <c r="A11965" s="3">
        <v>786621.0</v>
      </c>
      <c r="B11965" s="3" t="s">
        <v>11993</v>
      </c>
      <c r="C11965" s="3" t="s">
        <v>257</v>
      </c>
      <c r="D11965" s="3">
        <v>269.0</v>
      </c>
      <c r="E11965" s="3">
        <v>0.34</v>
      </c>
      <c r="F11965" s="3">
        <v>1.51</v>
      </c>
      <c r="G11965" s="3">
        <v>70.08</v>
      </c>
    </row>
    <row r="11966">
      <c r="A11966" s="3">
        <v>786624.0</v>
      </c>
      <c r="B11966" s="3" t="s">
        <v>11994</v>
      </c>
      <c r="C11966" s="3" t="s">
        <v>257</v>
      </c>
      <c r="D11966" s="3">
        <v>137.0</v>
      </c>
      <c r="E11966" s="3">
        <v>0.14</v>
      </c>
      <c r="F11966" s="3">
        <v>0.86</v>
      </c>
      <c r="G11966" s="3">
        <v>35.78</v>
      </c>
    </row>
    <row r="11967">
      <c r="A11967" s="3">
        <v>786626.0</v>
      </c>
      <c r="B11967" s="3" t="s">
        <v>11995</v>
      </c>
      <c r="C11967" s="3" t="s">
        <v>257</v>
      </c>
      <c r="D11967" s="3">
        <v>137.0</v>
      </c>
      <c r="E11967" s="3">
        <v>0.14</v>
      </c>
      <c r="F11967" s="3">
        <v>0.86</v>
      </c>
      <c r="G11967" s="3">
        <v>35.78</v>
      </c>
    </row>
    <row r="11968">
      <c r="A11968" s="3">
        <v>786628.0</v>
      </c>
      <c r="B11968" s="3" t="s">
        <v>11996</v>
      </c>
      <c r="C11968" s="3" t="s">
        <v>257</v>
      </c>
      <c r="D11968" s="3">
        <v>219.0</v>
      </c>
      <c r="E11968" s="3">
        <v>0.21</v>
      </c>
      <c r="F11968" s="3">
        <v>1.43</v>
      </c>
      <c r="G11968" s="3">
        <v>57.38</v>
      </c>
    </row>
    <row r="11969">
      <c r="A11969" s="3">
        <v>786630.0</v>
      </c>
      <c r="B11969" s="3" t="s">
        <v>11997</v>
      </c>
      <c r="C11969" s="3" t="s">
        <v>257</v>
      </c>
      <c r="D11969" s="3">
        <v>69.0</v>
      </c>
      <c r="E11969" s="3">
        <v>0.22</v>
      </c>
      <c r="F11969" s="3">
        <v>0.76</v>
      </c>
      <c r="G11969" s="3">
        <v>17.76</v>
      </c>
    </row>
    <row r="11970">
      <c r="A11970" s="3">
        <v>786638.0</v>
      </c>
      <c r="B11970" s="3" t="s">
        <v>11998</v>
      </c>
      <c r="C11970" s="3" t="s">
        <v>257</v>
      </c>
      <c r="D11970" s="3">
        <v>95.0</v>
      </c>
      <c r="E11970" s="3">
        <v>0.16</v>
      </c>
      <c r="F11970" s="3">
        <v>0.25</v>
      </c>
      <c r="G11970" s="3">
        <v>24.79</v>
      </c>
    </row>
    <row r="11971">
      <c r="A11971" s="3">
        <v>786639.0</v>
      </c>
      <c r="B11971" s="3" t="s">
        <v>11999</v>
      </c>
      <c r="C11971" s="3" t="s">
        <v>257</v>
      </c>
      <c r="D11971" s="3">
        <v>56.0</v>
      </c>
      <c r="E11971" s="3">
        <v>0.18</v>
      </c>
      <c r="F11971" s="3">
        <v>0.28</v>
      </c>
      <c r="G11971" s="3">
        <v>14.85</v>
      </c>
    </row>
    <row r="11972">
      <c r="A11972" s="3">
        <v>786640.0</v>
      </c>
      <c r="B11972" s="3" t="s">
        <v>12000</v>
      </c>
      <c r="C11972" s="3" t="s">
        <v>257</v>
      </c>
      <c r="D11972" s="3">
        <v>95.0</v>
      </c>
      <c r="E11972" s="3">
        <v>0.16</v>
      </c>
      <c r="F11972" s="3">
        <v>0.25</v>
      </c>
      <c r="G11972" s="3">
        <v>24.79</v>
      </c>
    </row>
    <row r="11973">
      <c r="A11973" s="3">
        <v>786641.0</v>
      </c>
      <c r="B11973" s="3" t="s">
        <v>12001</v>
      </c>
      <c r="C11973" s="3" t="s">
        <v>257</v>
      </c>
      <c r="D11973" s="3">
        <v>119.0</v>
      </c>
      <c r="E11973" s="3">
        <v>5.33</v>
      </c>
      <c r="F11973" s="3">
        <v>0.27</v>
      </c>
      <c r="G11973" s="3">
        <v>19.35</v>
      </c>
    </row>
    <row r="11974">
      <c r="A11974" s="3">
        <v>786642.0</v>
      </c>
      <c r="B11974" s="3" t="s">
        <v>12002</v>
      </c>
      <c r="C11974" s="3" t="s">
        <v>257</v>
      </c>
      <c r="D11974" s="3">
        <v>126.0</v>
      </c>
      <c r="E11974" s="3">
        <v>0.12</v>
      </c>
      <c r="F11974" s="3">
        <v>0.18</v>
      </c>
      <c r="G11974" s="3">
        <v>32.1</v>
      </c>
    </row>
    <row r="11975">
      <c r="A11975" s="3">
        <v>786643.0</v>
      </c>
      <c r="B11975" s="3" t="s">
        <v>12003</v>
      </c>
      <c r="C11975" s="3" t="s">
        <v>257</v>
      </c>
      <c r="D11975" s="3">
        <v>138.0</v>
      </c>
      <c r="E11975" s="3">
        <v>5.37</v>
      </c>
      <c r="F11975" s="3">
        <v>0.28</v>
      </c>
      <c r="G11975" s="3">
        <v>24.06</v>
      </c>
    </row>
    <row r="11976">
      <c r="A11976" s="3">
        <v>786656.0</v>
      </c>
      <c r="B11976" s="3" t="s">
        <v>12004</v>
      </c>
      <c r="C11976" s="3" t="s">
        <v>257</v>
      </c>
      <c r="D11976" s="3">
        <v>147.0</v>
      </c>
      <c r="E11976" s="3">
        <v>6.41</v>
      </c>
      <c r="F11976" s="3">
        <v>1.14</v>
      </c>
      <c r="G11976" s="3">
        <v>23.99</v>
      </c>
    </row>
    <row r="11977">
      <c r="A11977" s="3">
        <v>786657.0</v>
      </c>
      <c r="B11977" s="3" t="s">
        <v>12005</v>
      </c>
      <c r="C11977" s="3" t="s">
        <v>257</v>
      </c>
      <c r="D11977" s="3">
        <v>127.0</v>
      </c>
      <c r="E11977" s="3">
        <v>0.38</v>
      </c>
      <c r="F11977" s="3">
        <v>1.22</v>
      </c>
      <c r="G11977" s="3">
        <v>32.55</v>
      </c>
    </row>
    <row r="11978">
      <c r="A11978" s="3">
        <v>786658.0</v>
      </c>
      <c r="B11978" s="3" t="s">
        <v>12006</v>
      </c>
      <c r="C11978" s="3" t="s">
        <v>257</v>
      </c>
      <c r="D11978" s="3">
        <v>147.0</v>
      </c>
      <c r="E11978" s="3">
        <v>6.41</v>
      </c>
      <c r="F11978" s="3">
        <v>1.14</v>
      </c>
      <c r="G11978" s="3">
        <v>23.99</v>
      </c>
    </row>
    <row r="11979">
      <c r="A11979" s="3">
        <v>786660.0</v>
      </c>
      <c r="B11979" s="3" t="s">
        <v>12007</v>
      </c>
      <c r="C11979" s="3" t="s">
        <v>257</v>
      </c>
      <c r="D11979" s="3">
        <v>308.0</v>
      </c>
      <c r="E11979" s="3">
        <v>15.18</v>
      </c>
      <c r="F11979" s="3">
        <v>4.85</v>
      </c>
      <c r="G11979" s="3">
        <v>39.36</v>
      </c>
    </row>
    <row r="11980">
      <c r="A11980" s="3">
        <v>786664.0</v>
      </c>
      <c r="B11980" s="3" t="s">
        <v>12008</v>
      </c>
      <c r="C11980" s="3" t="s">
        <v>257</v>
      </c>
      <c r="D11980" s="3">
        <v>69.0</v>
      </c>
      <c r="E11980" s="3">
        <v>0.3</v>
      </c>
      <c r="F11980" s="3">
        <v>0.93</v>
      </c>
      <c r="G11980" s="3">
        <v>16.72</v>
      </c>
    </row>
    <row r="11981">
      <c r="A11981" s="3">
        <v>786668.0</v>
      </c>
      <c r="B11981" s="3" t="s">
        <v>12009</v>
      </c>
      <c r="C11981" s="3" t="s">
        <v>38</v>
      </c>
      <c r="D11981" s="3">
        <v>120.0</v>
      </c>
      <c r="E11981" s="3">
        <v>0.85</v>
      </c>
      <c r="F11981" s="3">
        <v>0.6</v>
      </c>
      <c r="G11981" s="3">
        <v>28.66</v>
      </c>
    </row>
    <row r="11982">
      <c r="A11982" s="3">
        <v>786691.0</v>
      </c>
      <c r="B11982" s="3" t="s">
        <v>12010</v>
      </c>
      <c r="C11982" s="3" t="s">
        <v>257</v>
      </c>
      <c r="D11982" s="3">
        <v>109.0</v>
      </c>
      <c r="E11982" s="3">
        <v>0.68</v>
      </c>
      <c r="F11982" s="3">
        <v>1.81</v>
      </c>
      <c r="G11982" s="3">
        <v>25.83</v>
      </c>
    </row>
    <row r="11983">
      <c r="A11983" s="3">
        <v>786695.0</v>
      </c>
      <c r="B11983" s="3" t="s">
        <v>12011</v>
      </c>
      <c r="C11983" s="3" t="s">
        <v>257</v>
      </c>
      <c r="D11983" s="3">
        <v>95.0</v>
      </c>
      <c r="E11983" s="3">
        <v>0.3</v>
      </c>
      <c r="F11983" s="3">
        <v>0.56</v>
      </c>
      <c r="G11983" s="3">
        <v>24.07</v>
      </c>
    </row>
    <row r="11984">
      <c r="A11984" s="3">
        <v>786700.0</v>
      </c>
      <c r="B11984" s="3" t="s">
        <v>12012</v>
      </c>
      <c r="C11984" s="3" t="s">
        <v>257</v>
      </c>
      <c r="D11984" s="3">
        <v>132.0</v>
      </c>
      <c r="E11984" s="3">
        <v>0.26</v>
      </c>
      <c r="F11984" s="3">
        <v>0.56</v>
      </c>
      <c r="G11984" s="3">
        <v>32.9</v>
      </c>
    </row>
    <row r="11985">
      <c r="A11985" s="3">
        <v>786701.0</v>
      </c>
      <c r="B11985" s="3" t="s">
        <v>12013</v>
      </c>
      <c r="C11985" s="3" t="s">
        <v>257</v>
      </c>
      <c r="D11985" s="3">
        <v>60.0</v>
      </c>
      <c r="E11985" s="3">
        <v>0.38</v>
      </c>
      <c r="F11985" s="3">
        <v>0.82</v>
      </c>
      <c r="G11985" s="3">
        <v>14.98</v>
      </c>
    </row>
    <row r="11986">
      <c r="A11986" s="3">
        <v>786703.0</v>
      </c>
      <c r="B11986" s="3" t="s">
        <v>12014</v>
      </c>
      <c r="C11986" s="3" t="s">
        <v>257</v>
      </c>
      <c r="D11986" s="3">
        <v>85.0</v>
      </c>
      <c r="E11986" s="3">
        <v>0.3</v>
      </c>
      <c r="F11986" s="3">
        <v>1.0</v>
      </c>
      <c r="G11986" s="3">
        <v>21.19</v>
      </c>
    </row>
    <row r="11987">
      <c r="A11987" s="3">
        <v>786705.0</v>
      </c>
      <c r="B11987" s="3" t="s">
        <v>12015</v>
      </c>
      <c r="C11987" s="3" t="s">
        <v>257</v>
      </c>
      <c r="D11987" s="3">
        <v>43.0</v>
      </c>
      <c r="E11987" s="3">
        <v>0.26</v>
      </c>
      <c r="F11987" s="3">
        <v>0.47</v>
      </c>
      <c r="G11987" s="3">
        <v>10.82</v>
      </c>
    </row>
    <row r="11988">
      <c r="A11988" s="3">
        <v>786706.0</v>
      </c>
      <c r="B11988" s="3" t="s">
        <v>12016</v>
      </c>
      <c r="C11988" s="3" t="s">
        <v>257</v>
      </c>
      <c r="D11988" s="3">
        <v>79.0</v>
      </c>
      <c r="E11988" s="3">
        <v>0.17</v>
      </c>
      <c r="F11988" s="3">
        <v>0.32</v>
      </c>
      <c r="G11988" s="3">
        <v>20.25</v>
      </c>
    </row>
    <row r="11989">
      <c r="A11989" s="3">
        <v>786718.0</v>
      </c>
      <c r="B11989" s="3" t="s">
        <v>12017</v>
      </c>
      <c r="C11989" s="3" t="s">
        <v>257</v>
      </c>
      <c r="D11989" s="3">
        <v>118.0</v>
      </c>
      <c r="E11989" s="3">
        <v>0.17</v>
      </c>
      <c r="F11989" s="3">
        <v>0.62</v>
      </c>
      <c r="G11989" s="3">
        <v>29.2</v>
      </c>
    </row>
    <row r="11990">
      <c r="A11990" s="3">
        <v>786743.0</v>
      </c>
      <c r="B11990" s="3" t="s">
        <v>12018</v>
      </c>
      <c r="C11990" s="3" t="s">
        <v>257</v>
      </c>
      <c r="D11990" s="3">
        <v>123.0</v>
      </c>
      <c r="E11990" s="3">
        <v>0.19</v>
      </c>
      <c r="F11990" s="3">
        <v>0.48</v>
      </c>
      <c r="G11990" s="3">
        <v>30.8</v>
      </c>
    </row>
    <row r="11991">
      <c r="A11991" s="3">
        <v>786747.0</v>
      </c>
      <c r="B11991" s="3" t="s">
        <v>12019</v>
      </c>
      <c r="C11991" s="3" t="s">
        <v>257</v>
      </c>
      <c r="D11991" s="3">
        <v>21.0</v>
      </c>
      <c r="E11991" s="3">
        <v>0.2</v>
      </c>
      <c r="F11991" s="3">
        <v>0.9</v>
      </c>
      <c r="G11991" s="3">
        <v>4.54</v>
      </c>
    </row>
    <row r="11992">
      <c r="A11992" s="3">
        <v>786749.0</v>
      </c>
      <c r="B11992" s="3" t="s">
        <v>12020</v>
      </c>
      <c r="C11992" s="3" t="s">
        <v>257</v>
      </c>
      <c r="D11992" s="3">
        <v>60.0</v>
      </c>
      <c r="E11992" s="3">
        <v>0.1</v>
      </c>
      <c r="F11992" s="3">
        <v>0.49</v>
      </c>
      <c r="G11992" s="3">
        <v>15.27</v>
      </c>
    </row>
    <row r="11993">
      <c r="A11993" s="3">
        <v>786750.0</v>
      </c>
      <c r="B11993" s="3" t="s">
        <v>12021</v>
      </c>
      <c r="C11993" s="3" t="s">
        <v>257</v>
      </c>
      <c r="D11993" s="3">
        <v>116.0</v>
      </c>
      <c r="E11993" s="3">
        <v>0.05</v>
      </c>
      <c r="F11993" s="3">
        <v>0.39</v>
      </c>
      <c r="G11993" s="3">
        <v>31.2</v>
      </c>
    </row>
    <row r="11994">
      <c r="A11994" s="3">
        <v>786761.0</v>
      </c>
      <c r="B11994" s="3" t="s">
        <v>12022</v>
      </c>
      <c r="C11994" s="3" t="s">
        <v>257</v>
      </c>
      <c r="D11994" s="3">
        <v>99.0</v>
      </c>
      <c r="E11994" s="3">
        <v>0.38</v>
      </c>
      <c r="F11994" s="3">
        <v>1.05</v>
      </c>
      <c r="G11994" s="3">
        <v>24.7</v>
      </c>
    </row>
    <row r="11995">
      <c r="A11995" s="3">
        <v>786764.0</v>
      </c>
      <c r="B11995" s="3" t="s">
        <v>12023</v>
      </c>
      <c r="C11995" s="3" t="s">
        <v>257</v>
      </c>
      <c r="D11995" s="3">
        <v>38.0</v>
      </c>
      <c r="E11995" s="3">
        <v>0.22</v>
      </c>
      <c r="F11995" s="3">
        <v>0.5</v>
      </c>
      <c r="G11995" s="3">
        <v>9.71</v>
      </c>
    </row>
    <row r="11996">
      <c r="A11996" s="3">
        <v>786785.0</v>
      </c>
      <c r="B11996" s="3" t="s">
        <v>12024</v>
      </c>
      <c r="C11996" s="3" t="s">
        <v>257</v>
      </c>
      <c r="D11996" s="3">
        <v>35.0</v>
      </c>
      <c r="E11996" s="3">
        <v>0.44</v>
      </c>
      <c r="F11996" s="3">
        <v>0.8</v>
      </c>
      <c r="G11996" s="3">
        <v>8.0</v>
      </c>
    </row>
    <row r="11997">
      <c r="A11997" s="3">
        <v>786788.0</v>
      </c>
      <c r="B11997" s="3" t="s">
        <v>12025</v>
      </c>
      <c r="C11997" s="3" t="s">
        <v>257</v>
      </c>
      <c r="D11997" s="3">
        <v>52.0</v>
      </c>
      <c r="E11997" s="3">
        <v>0.65</v>
      </c>
      <c r="F11997" s="3">
        <v>1.2</v>
      </c>
      <c r="G11997" s="3">
        <v>11.94</v>
      </c>
    </row>
    <row r="11998">
      <c r="A11998" s="3">
        <v>786791.0</v>
      </c>
      <c r="B11998" s="3" t="s">
        <v>12026</v>
      </c>
      <c r="C11998" s="3" t="s">
        <v>257</v>
      </c>
      <c r="D11998" s="3">
        <v>50.0</v>
      </c>
      <c r="E11998" s="3">
        <v>0.28</v>
      </c>
      <c r="F11998" s="3">
        <v>0.64</v>
      </c>
      <c r="G11998" s="3">
        <v>12.3</v>
      </c>
    </row>
    <row r="11999">
      <c r="A11999" s="3">
        <v>786793.0</v>
      </c>
      <c r="B11999" s="3" t="s">
        <v>12027</v>
      </c>
      <c r="C11999" s="3" t="s">
        <v>257</v>
      </c>
      <c r="D11999" s="3">
        <v>21.0</v>
      </c>
      <c r="E11999" s="3">
        <v>0.2</v>
      </c>
      <c r="F11999" s="3">
        <v>0.45</v>
      </c>
      <c r="G11999" s="3">
        <v>5.15</v>
      </c>
    </row>
    <row r="12000">
      <c r="A12000" s="3">
        <v>786799.0</v>
      </c>
      <c r="B12000" s="3" t="s">
        <v>12028</v>
      </c>
      <c r="C12000" s="3" t="s">
        <v>257</v>
      </c>
      <c r="D12000" s="3">
        <v>70.0</v>
      </c>
      <c r="E12000" s="3">
        <v>0.96</v>
      </c>
      <c r="F12000" s="3">
        <v>0.9</v>
      </c>
      <c r="G12000" s="3">
        <v>16.16</v>
      </c>
    </row>
    <row r="12001">
      <c r="A12001" s="3">
        <v>786800.0</v>
      </c>
      <c r="B12001" s="3" t="s">
        <v>12029</v>
      </c>
      <c r="C12001" s="3" t="s">
        <v>257</v>
      </c>
      <c r="D12001" s="3">
        <v>131.0</v>
      </c>
      <c r="E12001" s="3">
        <v>0.1</v>
      </c>
      <c r="F12001" s="3">
        <v>0.45</v>
      </c>
      <c r="G12001" s="3">
        <v>33.74</v>
      </c>
    </row>
    <row r="12002">
      <c r="A12002" s="3">
        <v>786801.0</v>
      </c>
      <c r="B12002" s="3" t="s">
        <v>12030</v>
      </c>
      <c r="C12002" s="3" t="s">
        <v>257</v>
      </c>
      <c r="D12002" s="3">
        <v>162.0</v>
      </c>
      <c r="E12002" s="3">
        <v>0.22</v>
      </c>
      <c r="F12002" s="3">
        <v>0.78</v>
      </c>
      <c r="G12002" s="3">
        <v>41.83</v>
      </c>
    </row>
    <row r="12003">
      <c r="A12003" s="3">
        <v>786802.0</v>
      </c>
      <c r="B12003" s="3" t="s">
        <v>12031</v>
      </c>
      <c r="C12003" s="3" t="s">
        <v>257</v>
      </c>
      <c r="D12003" s="3">
        <v>53.0</v>
      </c>
      <c r="E12003" s="3">
        <v>0.26</v>
      </c>
      <c r="F12003" s="3">
        <v>0.7</v>
      </c>
      <c r="G12003" s="3">
        <v>13.53</v>
      </c>
    </row>
    <row r="12004">
      <c r="A12004" s="3">
        <v>786803.0</v>
      </c>
      <c r="B12004" s="3" t="s">
        <v>12032</v>
      </c>
      <c r="C12004" s="3" t="s">
        <v>257</v>
      </c>
      <c r="D12004" s="3">
        <v>52.0</v>
      </c>
      <c r="E12004" s="3">
        <v>0.23</v>
      </c>
      <c r="F12004" s="3">
        <v>0.75</v>
      </c>
      <c r="G12004" s="3">
        <v>13.16</v>
      </c>
    </row>
    <row r="12005">
      <c r="A12005" s="3">
        <v>786804.0</v>
      </c>
      <c r="B12005" s="3" t="s">
        <v>12033</v>
      </c>
      <c r="C12005" s="3" t="s">
        <v>257</v>
      </c>
      <c r="D12005" s="3">
        <v>49.0</v>
      </c>
      <c r="E12005" s="3">
        <v>0.3</v>
      </c>
      <c r="F12005" s="3">
        <v>0.98</v>
      </c>
      <c r="G12005" s="3">
        <v>11.99</v>
      </c>
    </row>
    <row r="12006">
      <c r="A12006" s="3">
        <v>786812.0</v>
      </c>
      <c r="B12006" s="3" t="s">
        <v>12034</v>
      </c>
      <c r="C12006" s="3" t="s">
        <v>257</v>
      </c>
      <c r="D12006" s="3">
        <v>58.0</v>
      </c>
      <c r="E12006" s="3">
        <v>0.21</v>
      </c>
      <c r="F12006" s="3">
        <v>0.7</v>
      </c>
      <c r="G12006" s="3">
        <v>14.73</v>
      </c>
    </row>
    <row r="12007">
      <c r="A12007" s="3">
        <v>786813.0</v>
      </c>
      <c r="B12007" s="3" t="s">
        <v>12035</v>
      </c>
      <c r="C12007" s="3" t="s">
        <v>257</v>
      </c>
      <c r="D12007" s="3">
        <v>172.0</v>
      </c>
      <c r="E12007" s="3">
        <v>13.92</v>
      </c>
      <c r="F12007" s="3">
        <v>1.48</v>
      </c>
      <c r="G12007" s="3">
        <v>12.15</v>
      </c>
    </row>
    <row r="12008">
      <c r="A12008" s="3">
        <v>786814.0</v>
      </c>
      <c r="B12008" s="3" t="s">
        <v>12036</v>
      </c>
      <c r="C12008" s="3" t="s">
        <v>257</v>
      </c>
      <c r="D12008" s="3">
        <v>129.0</v>
      </c>
      <c r="E12008" s="3">
        <v>2.02</v>
      </c>
      <c r="F12008" s="3">
        <v>1.27</v>
      </c>
      <c r="G12008" s="3">
        <v>28.59</v>
      </c>
    </row>
    <row r="12009">
      <c r="A12009" s="3">
        <v>786817.0</v>
      </c>
      <c r="B12009" s="3" t="s">
        <v>12037</v>
      </c>
      <c r="C12009" s="3" t="s">
        <v>257</v>
      </c>
      <c r="D12009" s="3">
        <v>136.0</v>
      </c>
      <c r="E12009" s="3">
        <v>0.3</v>
      </c>
      <c r="F12009" s="3">
        <v>4.93</v>
      </c>
      <c r="G12009" s="3">
        <v>30.26</v>
      </c>
    </row>
    <row r="12010">
      <c r="A12010" s="3">
        <v>786818.0</v>
      </c>
      <c r="B12010" s="3" t="s">
        <v>12038</v>
      </c>
      <c r="C12010" s="3" t="s">
        <v>257</v>
      </c>
      <c r="D12010" s="3">
        <v>147.0</v>
      </c>
      <c r="E12010" s="3">
        <v>0.19</v>
      </c>
      <c r="F12010" s="3">
        <v>4.66</v>
      </c>
      <c r="G12010" s="3">
        <v>33.76</v>
      </c>
    </row>
    <row r="12011">
      <c r="A12011" s="3">
        <v>786819.0</v>
      </c>
      <c r="B12011" s="3" t="s">
        <v>12039</v>
      </c>
      <c r="C12011" s="3" t="s">
        <v>257</v>
      </c>
      <c r="D12011" s="3">
        <v>155.0</v>
      </c>
      <c r="E12011" s="3">
        <v>8.53</v>
      </c>
      <c r="F12011" s="3">
        <v>1.0</v>
      </c>
      <c r="G12011" s="3">
        <v>20.96</v>
      </c>
    </row>
    <row r="12012">
      <c r="A12012" s="3">
        <v>786820.0</v>
      </c>
      <c r="B12012" s="3" t="s">
        <v>12040</v>
      </c>
      <c r="C12012" s="3" t="s">
        <v>257</v>
      </c>
      <c r="D12012" s="3">
        <v>210.0</v>
      </c>
      <c r="E12012" s="3">
        <v>12.37</v>
      </c>
      <c r="F12012" s="3">
        <v>3.54</v>
      </c>
      <c r="G12012" s="3">
        <v>23.97</v>
      </c>
    </row>
    <row r="12013">
      <c r="A12013" s="3">
        <v>786821.0</v>
      </c>
      <c r="B12013" s="3" t="s">
        <v>12041</v>
      </c>
      <c r="C12013" s="3" t="s">
        <v>257</v>
      </c>
      <c r="D12013" s="3">
        <v>235.0</v>
      </c>
      <c r="E12013" s="3">
        <v>20.32</v>
      </c>
      <c r="F12013" s="3">
        <v>1.89</v>
      </c>
      <c r="G12013" s="3">
        <v>13.27</v>
      </c>
    </row>
    <row r="12014">
      <c r="A12014" s="3">
        <v>786822.0</v>
      </c>
      <c r="B12014" s="3" t="s">
        <v>12042</v>
      </c>
      <c r="C12014" s="3" t="s">
        <v>257</v>
      </c>
      <c r="D12014" s="3">
        <v>150.0</v>
      </c>
      <c r="E12014" s="3">
        <v>10.29</v>
      </c>
      <c r="F12014" s="3">
        <v>2.21</v>
      </c>
      <c r="G12014" s="3">
        <v>14.79</v>
      </c>
    </row>
    <row r="12015">
      <c r="A12015" s="3">
        <v>786823.0</v>
      </c>
      <c r="B12015" s="3" t="s">
        <v>12043</v>
      </c>
      <c r="C12015" s="3" t="s">
        <v>257</v>
      </c>
      <c r="D12015" s="3">
        <v>139.0</v>
      </c>
      <c r="E12015" s="3">
        <v>8.26</v>
      </c>
      <c r="F12015" s="3">
        <v>2.06</v>
      </c>
      <c r="G12015" s="3">
        <v>16.93</v>
      </c>
    </row>
    <row r="12016">
      <c r="A12016" s="3">
        <v>786824.0</v>
      </c>
      <c r="B12016" s="3" t="s">
        <v>12044</v>
      </c>
      <c r="C12016" s="3" t="s">
        <v>257</v>
      </c>
      <c r="D12016" s="3">
        <v>239.0</v>
      </c>
      <c r="E12016" s="3">
        <v>19.14</v>
      </c>
      <c r="F12016" s="3">
        <v>1.89</v>
      </c>
      <c r="G12016" s="3">
        <v>17.26</v>
      </c>
    </row>
    <row r="12017">
      <c r="A12017" s="3">
        <v>786825.0</v>
      </c>
      <c r="B12017" s="3" t="s">
        <v>12045</v>
      </c>
      <c r="C12017" s="3" t="s">
        <v>257</v>
      </c>
      <c r="D12017" s="3">
        <v>123.0</v>
      </c>
      <c r="E12017" s="3">
        <v>6.01</v>
      </c>
      <c r="F12017" s="3">
        <v>2.04</v>
      </c>
      <c r="G12017" s="3">
        <v>17.41</v>
      </c>
    </row>
    <row r="12018">
      <c r="A12018" s="3">
        <v>786826.0</v>
      </c>
      <c r="B12018" s="3" t="s">
        <v>12046</v>
      </c>
      <c r="C12018" s="3" t="s">
        <v>257</v>
      </c>
      <c r="D12018" s="3">
        <v>125.0</v>
      </c>
      <c r="E12018" s="3">
        <v>6.13</v>
      </c>
      <c r="F12018" s="3">
        <v>1.97</v>
      </c>
      <c r="G12018" s="3">
        <v>17.82</v>
      </c>
    </row>
    <row r="12019">
      <c r="A12019" s="3">
        <v>786827.0</v>
      </c>
      <c r="B12019" s="3" t="s">
        <v>12047</v>
      </c>
      <c r="C12019" s="3" t="s">
        <v>257</v>
      </c>
      <c r="D12019" s="3">
        <v>230.0</v>
      </c>
      <c r="E12019" s="3">
        <v>19.92</v>
      </c>
      <c r="F12019" s="3">
        <v>1.96</v>
      </c>
      <c r="G12019" s="3">
        <v>12.94</v>
      </c>
    </row>
    <row r="12020">
      <c r="A12020" s="3">
        <v>786828.0</v>
      </c>
      <c r="B12020" s="3" t="s">
        <v>12048</v>
      </c>
      <c r="C12020" s="3" t="s">
        <v>257</v>
      </c>
      <c r="D12020" s="3">
        <v>147.0</v>
      </c>
      <c r="E12020" s="3">
        <v>10.06</v>
      </c>
      <c r="F12020" s="3">
        <v>2.28</v>
      </c>
      <c r="G12020" s="3">
        <v>14.4</v>
      </c>
    </row>
    <row r="12021">
      <c r="A12021" s="3">
        <v>786829.0</v>
      </c>
      <c r="B12021" s="3" t="s">
        <v>12049</v>
      </c>
      <c r="C12021" s="3" t="s">
        <v>257</v>
      </c>
      <c r="D12021" s="3">
        <v>136.0</v>
      </c>
      <c r="E12021" s="3">
        <v>8.07</v>
      </c>
      <c r="F12021" s="3">
        <v>2.13</v>
      </c>
      <c r="G12021" s="3">
        <v>16.47</v>
      </c>
    </row>
    <row r="12022">
      <c r="A12022" s="3">
        <v>786830.0</v>
      </c>
      <c r="B12022" s="3" t="s">
        <v>12050</v>
      </c>
      <c r="C12022" s="3" t="s">
        <v>257</v>
      </c>
      <c r="D12022" s="3">
        <v>235.0</v>
      </c>
      <c r="E12022" s="3">
        <v>18.79</v>
      </c>
      <c r="F12022" s="3">
        <v>1.95</v>
      </c>
      <c r="G12022" s="3">
        <v>16.87</v>
      </c>
    </row>
    <row r="12023">
      <c r="A12023" s="3">
        <v>786831.0</v>
      </c>
      <c r="B12023" s="3" t="s">
        <v>12051</v>
      </c>
      <c r="C12023" s="3" t="s">
        <v>257</v>
      </c>
      <c r="D12023" s="3">
        <v>203.0</v>
      </c>
      <c r="E12023" s="3">
        <v>9.99</v>
      </c>
      <c r="F12023" s="3">
        <v>1.52</v>
      </c>
      <c r="G12023" s="3">
        <v>28.96</v>
      </c>
    </row>
    <row r="12024">
      <c r="A12024" s="3">
        <v>786832.0</v>
      </c>
      <c r="B12024" s="3" t="s">
        <v>12052</v>
      </c>
      <c r="C12024" s="3" t="s">
        <v>38</v>
      </c>
      <c r="D12024" s="3">
        <v>316.0</v>
      </c>
      <c r="E12024" s="3">
        <v>14.47</v>
      </c>
      <c r="F12024" s="3">
        <v>8.82</v>
      </c>
      <c r="G12024" s="3">
        <v>39.96</v>
      </c>
    </row>
    <row r="12025">
      <c r="A12025" s="3">
        <v>786833.0</v>
      </c>
      <c r="B12025" s="3" t="s">
        <v>12053</v>
      </c>
      <c r="C12025" s="3" t="s">
        <v>225</v>
      </c>
      <c r="D12025" s="3">
        <v>155.0</v>
      </c>
      <c r="E12025" s="3">
        <v>14.18</v>
      </c>
      <c r="F12025" s="3">
        <v>1.95</v>
      </c>
      <c r="G12025" s="3">
        <v>8.45</v>
      </c>
    </row>
    <row r="12026">
      <c r="A12026" s="3">
        <v>786834.0</v>
      </c>
      <c r="B12026" s="3" t="s">
        <v>12054</v>
      </c>
      <c r="C12026" s="3" t="s">
        <v>225</v>
      </c>
      <c r="D12026" s="3">
        <v>145.0</v>
      </c>
      <c r="E12026" s="3">
        <v>13.09</v>
      </c>
      <c r="F12026" s="3">
        <v>1.87</v>
      </c>
      <c r="G12026" s="3">
        <v>8.09</v>
      </c>
    </row>
    <row r="12027">
      <c r="A12027" s="3">
        <v>786835.0</v>
      </c>
      <c r="B12027" s="3" t="s">
        <v>12055</v>
      </c>
      <c r="C12027" s="3" t="s">
        <v>225</v>
      </c>
      <c r="D12027" s="3">
        <v>150.0</v>
      </c>
      <c r="E12027" s="3">
        <v>0.3</v>
      </c>
      <c r="F12027" s="3">
        <v>1.38</v>
      </c>
      <c r="G12027" s="3">
        <v>36.93</v>
      </c>
    </row>
    <row r="12028">
      <c r="A12028" s="3">
        <v>786836.0</v>
      </c>
      <c r="B12028" s="3" t="s">
        <v>12056</v>
      </c>
      <c r="C12028" s="3" t="s">
        <v>257</v>
      </c>
      <c r="D12028" s="3">
        <v>116.0</v>
      </c>
      <c r="E12028" s="3">
        <v>3.61</v>
      </c>
      <c r="F12028" s="3">
        <v>1.91</v>
      </c>
      <c r="G12028" s="3">
        <v>20.57</v>
      </c>
    </row>
    <row r="12029">
      <c r="A12029" s="3">
        <v>786837.0</v>
      </c>
      <c r="B12029" s="3" t="s">
        <v>12057</v>
      </c>
      <c r="C12029" s="3" t="s">
        <v>257</v>
      </c>
      <c r="D12029" s="3">
        <v>96.0</v>
      </c>
      <c r="E12029" s="3">
        <v>5.71</v>
      </c>
      <c r="F12029" s="3">
        <v>0.58</v>
      </c>
      <c r="G12029" s="3">
        <v>11.9</v>
      </c>
    </row>
    <row r="12030">
      <c r="A12030" s="3">
        <v>786838.0</v>
      </c>
      <c r="B12030" s="3" t="s">
        <v>12058</v>
      </c>
      <c r="C12030" s="3" t="s">
        <v>225</v>
      </c>
      <c r="D12030" s="3">
        <v>72.0</v>
      </c>
      <c r="E12030" s="3">
        <v>0.08</v>
      </c>
      <c r="F12030" s="3">
        <v>0.53</v>
      </c>
      <c r="G12030" s="3">
        <v>18.79</v>
      </c>
    </row>
    <row r="12031">
      <c r="A12031" s="3">
        <v>786863.0</v>
      </c>
      <c r="B12031" s="3" t="s">
        <v>12059</v>
      </c>
      <c r="C12031" s="3" t="s">
        <v>183</v>
      </c>
      <c r="D12031" s="3">
        <v>53.0</v>
      </c>
      <c r="E12031" s="3">
        <v>0.28</v>
      </c>
      <c r="F12031" s="3">
        <v>0.64</v>
      </c>
      <c r="G12031" s="3">
        <v>13.1</v>
      </c>
    </row>
    <row r="12032">
      <c r="A12032" s="3">
        <v>786864.0</v>
      </c>
      <c r="B12032" s="3" t="s">
        <v>12060</v>
      </c>
      <c r="C12032" s="3" t="s">
        <v>183</v>
      </c>
      <c r="D12032" s="3">
        <v>75.0</v>
      </c>
      <c r="E12032" s="3">
        <v>0.37</v>
      </c>
      <c r="F12032" s="3">
        <v>6.22</v>
      </c>
      <c r="G12032" s="3">
        <v>12.61</v>
      </c>
    </row>
    <row r="12033">
      <c r="A12033" s="3">
        <v>786865.0</v>
      </c>
      <c r="B12033" s="3" t="s">
        <v>12061</v>
      </c>
      <c r="C12033" s="3" t="s">
        <v>183</v>
      </c>
      <c r="D12033" s="3">
        <v>50.0</v>
      </c>
      <c r="E12033" s="3">
        <v>0.15</v>
      </c>
      <c r="F12033" s="3">
        <v>0.63</v>
      </c>
      <c r="G12033" s="3">
        <v>12.4</v>
      </c>
    </row>
    <row r="12034">
      <c r="A12034" s="3">
        <v>786866.0</v>
      </c>
      <c r="B12034" s="3" t="s">
        <v>12062</v>
      </c>
      <c r="C12034" s="3" t="s">
        <v>183</v>
      </c>
      <c r="D12034" s="3">
        <v>52.0</v>
      </c>
      <c r="E12034" s="3">
        <v>0.62</v>
      </c>
      <c r="F12034" s="3">
        <v>2.62</v>
      </c>
      <c r="G12034" s="3">
        <v>9.72</v>
      </c>
    </row>
    <row r="12035">
      <c r="A12035" s="3">
        <v>786869.0</v>
      </c>
      <c r="B12035" s="3" t="s">
        <v>12063</v>
      </c>
      <c r="C12035" s="3" t="s">
        <v>183</v>
      </c>
      <c r="D12035" s="3">
        <v>56.0</v>
      </c>
      <c r="E12035" s="3">
        <v>0.09</v>
      </c>
      <c r="F12035" s="3">
        <v>0.37</v>
      </c>
      <c r="G12035" s="3">
        <v>14.39</v>
      </c>
    </row>
    <row r="12036">
      <c r="A12036" s="3">
        <v>786870.0</v>
      </c>
      <c r="B12036" s="3" t="s">
        <v>12064</v>
      </c>
      <c r="C12036" s="3" t="s">
        <v>183</v>
      </c>
      <c r="D12036" s="3">
        <v>70.0</v>
      </c>
      <c r="E12036" s="3">
        <v>0.12</v>
      </c>
      <c r="F12036" s="3">
        <v>0.38</v>
      </c>
      <c r="G12036" s="3">
        <v>17.99</v>
      </c>
    </row>
    <row r="12037">
      <c r="A12037" s="3">
        <v>786871.0</v>
      </c>
      <c r="B12037" s="3" t="s">
        <v>12065</v>
      </c>
      <c r="C12037" s="3" t="s">
        <v>183</v>
      </c>
      <c r="D12037" s="3">
        <v>62.0</v>
      </c>
      <c r="E12037" s="3">
        <v>0.08</v>
      </c>
      <c r="F12037" s="3">
        <v>0.33</v>
      </c>
      <c r="G12037" s="3">
        <v>15.68</v>
      </c>
    </row>
    <row r="12038">
      <c r="A12038" s="3">
        <v>786874.0</v>
      </c>
      <c r="B12038" s="3" t="s">
        <v>12066</v>
      </c>
      <c r="C12038" s="3" t="s">
        <v>183</v>
      </c>
      <c r="D12038" s="3">
        <v>54.0</v>
      </c>
      <c r="E12038" s="3">
        <v>0.02</v>
      </c>
      <c r="F12038" s="3">
        <v>0.27</v>
      </c>
      <c r="G12038" s="3">
        <v>13.92</v>
      </c>
    </row>
    <row r="12039">
      <c r="A12039" s="3">
        <v>786876.0</v>
      </c>
      <c r="B12039" s="3" t="s">
        <v>12067</v>
      </c>
      <c r="C12039" s="3" t="s">
        <v>183</v>
      </c>
      <c r="D12039" s="3">
        <v>67.0</v>
      </c>
      <c r="E12039" s="3">
        <v>0.02</v>
      </c>
      <c r="F12039" s="3">
        <v>0.16</v>
      </c>
      <c r="G12039" s="3">
        <v>17.44</v>
      </c>
    </row>
    <row r="12040">
      <c r="A12040" s="3">
        <v>786882.0</v>
      </c>
      <c r="B12040" s="3" t="s">
        <v>12068</v>
      </c>
      <c r="C12040" s="3" t="s">
        <v>196</v>
      </c>
      <c r="D12040" s="3">
        <v>51.0</v>
      </c>
      <c r="E12040" s="3">
        <v>0.14</v>
      </c>
      <c r="F12040" s="3">
        <v>0.31</v>
      </c>
      <c r="G12040" s="3">
        <v>12.22</v>
      </c>
    </row>
    <row r="12041">
      <c r="A12041" s="3">
        <v>786883.0</v>
      </c>
      <c r="B12041" s="3" t="s">
        <v>12069</v>
      </c>
      <c r="C12041" s="3" t="s">
        <v>196</v>
      </c>
      <c r="D12041" s="3">
        <v>51.0</v>
      </c>
      <c r="E12041" s="3">
        <v>0.1</v>
      </c>
      <c r="F12041" s="3">
        <v>0.2</v>
      </c>
      <c r="G12041" s="3">
        <v>12.1</v>
      </c>
    </row>
    <row r="12042">
      <c r="A12042" s="3">
        <v>786884.0</v>
      </c>
      <c r="B12042" s="3" t="s">
        <v>12070</v>
      </c>
      <c r="C12042" s="3" t="s">
        <v>196</v>
      </c>
      <c r="D12042" s="3">
        <v>60.0</v>
      </c>
      <c r="E12042" s="3">
        <v>0.2</v>
      </c>
      <c r="F12042" s="3">
        <v>0.2</v>
      </c>
      <c r="G12042" s="3">
        <v>15.98</v>
      </c>
    </row>
    <row r="12043">
      <c r="A12043" s="3">
        <v>786886.0</v>
      </c>
      <c r="B12043" s="3" t="s">
        <v>12071</v>
      </c>
      <c r="C12043" s="3" t="s">
        <v>196</v>
      </c>
      <c r="D12043" s="3">
        <v>60.0</v>
      </c>
      <c r="E12043" s="3">
        <v>0.2</v>
      </c>
      <c r="F12043" s="3">
        <v>0.2</v>
      </c>
      <c r="G12043" s="3">
        <v>16.0</v>
      </c>
    </row>
    <row r="12044">
      <c r="A12044" s="3">
        <v>786887.0</v>
      </c>
      <c r="B12044" s="3" t="s">
        <v>12072</v>
      </c>
      <c r="C12044" s="3" t="s">
        <v>196</v>
      </c>
      <c r="D12044" s="3">
        <v>39.0</v>
      </c>
      <c r="E12044" s="3">
        <v>0.1</v>
      </c>
      <c r="F12044" s="3">
        <v>0.1</v>
      </c>
      <c r="G12044" s="3">
        <v>10.55</v>
      </c>
    </row>
    <row r="12045">
      <c r="A12045" s="3">
        <v>786890.0</v>
      </c>
      <c r="B12045" s="3" t="s">
        <v>12073</v>
      </c>
      <c r="C12045" s="3" t="s">
        <v>196</v>
      </c>
      <c r="D12045" s="3">
        <v>46.0</v>
      </c>
      <c r="E12045" s="3">
        <v>0.2</v>
      </c>
      <c r="F12045" s="3">
        <v>0.2</v>
      </c>
      <c r="G12045" s="3">
        <v>12.02</v>
      </c>
    </row>
    <row r="12046">
      <c r="A12046" s="3">
        <v>786901.0</v>
      </c>
      <c r="B12046" s="3" t="s">
        <v>12074</v>
      </c>
      <c r="C12046" s="3" t="s">
        <v>196</v>
      </c>
      <c r="D12046" s="3">
        <v>86.0</v>
      </c>
      <c r="E12046" s="3">
        <v>0.0</v>
      </c>
      <c r="F12046" s="3">
        <v>1.06</v>
      </c>
      <c r="G12046" s="3">
        <v>20.41</v>
      </c>
    </row>
    <row r="12047">
      <c r="A12047" s="3">
        <v>786907.0</v>
      </c>
      <c r="B12047" s="3" t="s">
        <v>12075</v>
      </c>
      <c r="C12047" s="3" t="s">
        <v>196</v>
      </c>
      <c r="D12047" s="3">
        <v>43.0</v>
      </c>
      <c r="E12047" s="3">
        <v>0.15</v>
      </c>
      <c r="F12047" s="3">
        <v>0.3</v>
      </c>
      <c r="G12047" s="3">
        <v>11.2</v>
      </c>
    </row>
    <row r="12048">
      <c r="A12048" s="3">
        <v>786912.0</v>
      </c>
      <c r="B12048" s="3" t="s">
        <v>12076</v>
      </c>
      <c r="C12048" s="3" t="s">
        <v>196</v>
      </c>
      <c r="D12048" s="3">
        <v>41.0</v>
      </c>
      <c r="E12048" s="3">
        <v>0.12</v>
      </c>
      <c r="F12048" s="3">
        <v>0.2</v>
      </c>
      <c r="G12048" s="3">
        <v>10.88</v>
      </c>
    </row>
    <row r="12049">
      <c r="A12049" s="3">
        <v>786913.0</v>
      </c>
      <c r="B12049" s="3" t="s">
        <v>12077</v>
      </c>
      <c r="C12049" s="3" t="s">
        <v>196</v>
      </c>
      <c r="D12049" s="3">
        <v>42.0</v>
      </c>
      <c r="E12049" s="3">
        <v>0.2</v>
      </c>
      <c r="F12049" s="3">
        <v>0.25</v>
      </c>
      <c r="G12049" s="3">
        <v>10.8</v>
      </c>
    </row>
    <row r="12050">
      <c r="A12050" s="3">
        <v>786914.0</v>
      </c>
      <c r="B12050" s="3" t="s">
        <v>12078</v>
      </c>
      <c r="C12050" s="3" t="s">
        <v>196</v>
      </c>
      <c r="D12050" s="3">
        <v>40.0</v>
      </c>
      <c r="E12050" s="3">
        <v>0.05</v>
      </c>
      <c r="F12050" s="3">
        <v>0.15</v>
      </c>
      <c r="G12050" s="3">
        <v>10.95</v>
      </c>
    </row>
    <row r="12051">
      <c r="A12051" s="3">
        <v>786915.0</v>
      </c>
      <c r="B12051" s="3" t="s">
        <v>12079</v>
      </c>
      <c r="C12051" s="3" t="s">
        <v>196</v>
      </c>
      <c r="D12051" s="3">
        <v>42.0</v>
      </c>
      <c r="E12051" s="3">
        <v>0.15</v>
      </c>
      <c r="F12051" s="3">
        <v>0.3</v>
      </c>
      <c r="G12051" s="3">
        <v>11.15</v>
      </c>
    </row>
    <row r="12052">
      <c r="A12052" s="3">
        <v>786931.0</v>
      </c>
      <c r="B12052" s="3" t="s">
        <v>12080</v>
      </c>
      <c r="C12052" s="3" t="s">
        <v>196</v>
      </c>
      <c r="D12052" s="3">
        <v>47.0</v>
      </c>
      <c r="E12052" s="3">
        <v>0.0</v>
      </c>
      <c r="F12052" s="3">
        <v>0.0</v>
      </c>
      <c r="G12052" s="3">
        <v>11.86</v>
      </c>
    </row>
    <row r="12053">
      <c r="A12053" s="3">
        <v>786932.0</v>
      </c>
      <c r="B12053" s="3" t="s">
        <v>12081</v>
      </c>
      <c r="C12053" s="3" t="s">
        <v>196</v>
      </c>
      <c r="D12053" s="3">
        <v>48.0</v>
      </c>
      <c r="E12053" s="3">
        <v>0.1</v>
      </c>
      <c r="F12053" s="3">
        <v>0.3</v>
      </c>
      <c r="G12053" s="3">
        <v>11.4</v>
      </c>
    </row>
    <row r="12054">
      <c r="A12054" s="3">
        <v>786934.0</v>
      </c>
      <c r="B12054" s="3" t="s">
        <v>12082</v>
      </c>
      <c r="C12054" s="3" t="s">
        <v>196</v>
      </c>
      <c r="D12054" s="3">
        <v>89.0</v>
      </c>
      <c r="E12054" s="3">
        <v>0.8</v>
      </c>
      <c r="F12054" s="3">
        <v>2.5</v>
      </c>
      <c r="G12054" s="3">
        <v>17.54</v>
      </c>
    </row>
    <row r="12055">
      <c r="A12055" s="3">
        <v>786935.0</v>
      </c>
      <c r="B12055" s="3" t="s">
        <v>12083</v>
      </c>
      <c r="C12055" s="3" t="s">
        <v>196</v>
      </c>
      <c r="D12055" s="3">
        <v>76.0</v>
      </c>
      <c r="E12055" s="3">
        <v>0.8</v>
      </c>
      <c r="F12055" s="3">
        <v>2.4</v>
      </c>
      <c r="G12055" s="3">
        <v>14.68</v>
      </c>
    </row>
    <row r="12056">
      <c r="A12056" s="3">
        <v>786936.0</v>
      </c>
      <c r="B12056" s="3" t="s">
        <v>12084</v>
      </c>
      <c r="C12056" s="3" t="s">
        <v>196</v>
      </c>
      <c r="D12056" s="3">
        <v>31.0</v>
      </c>
      <c r="E12056" s="3">
        <v>0.0</v>
      </c>
      <c r="F12056" s="3">
        <v>0.0</v>
      </c>
      <c r="G12056" s="3">
        <v>7.4</v>
      </c>
    </row>
    <row r="12057">
      <c r="A12057" s="3">
        <v>786937.0</v>
      </c>
      <c r="B12057" s="3" t="s">
        <v>12085</v>
      </c>
      <c r="C12057" s="3" t="s">
        <v>196</v>
      </c>
      <c r="D12057" s="3">
        <v>72.0</v>
      </c>
      <c r="E12057" s="3">
        <v>0.0</v>
      </c>
      <c r="F12057" s="3">
        <v>0.1</v>
      </c>
      <c r="G12057" s="3">
        <v>20.1</v>
      </c>
    </row>
    <row r="12058">
      <c r="A12058" s="3">
        <v>786942.0</v>
      </c>
      <c r="B12058" s="3" t="s">
        <v>12086</v>
      </c>
      <c r="C12058" s="3" t="s">
        <v>196</v>
      </c>
      <c r="D12058" s="3">
        <v>62.0</v>
      </c>
      <c r="E12058" s="3">
        <v>0.0</v>
      </c>
      <c r="F12058" s="3">
        <v>0.3</v>
      </c>
      <c r="G12058" s="3">
        <v>16.8</v>
      </c>
    </row>
    <row r="12059">
      <c r="A12059" s="3">
        <v>786945.0</v>
      </c>
      <c r="B12059" s="3" t="s">
        <v>12087</v>
      </c>
      <c r="C12059" s="3" t="s">
        <v>196</v>
      </c>
      <c r="D12059" s="3">
        <v>62.0</v>
      </c>
      <c r="E12059" s="3">
        <v>0.15</v>
      </c>
      <c r="F12059" s="3">
        <v>0.4</v>
      </c>
      <c r="G12059" s="3">
        <v>16.55</v>
      </c>
    </row>
    <row r="12060">
      <c r="A12060" s="3">
        <v>786947.0</v>
      </c>
      <c r="B12060" s="3" t="s">
        <v>12088</v>
      </c>
      <c r="C12060" s="3" t="s">
        <v>196</v>
      </c>
      <c r="D12060" s="3">
        <v>66.0</v>
      </c>
      <c r="E12060" s="3">
        <v>0.05</v>
      </c>
      <c r="F12060" s="3">
        <v>0.2</v>
      </c>
      <c r="G12060" s="3">
        <v>18.1</v>
      </c>
    </row>
    <row r="12061">
      <c r="A12061" s="3">
        <v>786951.0</v>
      </c>
      <c r="B12061" s="3" t="s">
        <v>12089</v>
      </c>
      <c r="C12061" s="3" t="s">
        <v>196</v>
      </c>
      <c r="D12061" s="3">
        <v>61.0</v>
      </c>
      <c r="E12061" s="3">
        <v>0.0</v>
      </c>
      <c r="F12061" s="3">
        <v>0.3</v>
      </c>
      <c r="G12061" s="3">
        <v>16.6</v>
      </c>
    </row>
    <row r="12062">
      <c r="A12062" s="3">
        <v>786955.0</v>
      </c>
      <c r="B12062" s="3" t="s">
        <v>12090</v>
      </c>
      <c r="C12062" s="3" t="s">
        <v>196</v>
      </c>
      <c r="D12062" s="3">
        <v>96.0</v>
      </c>
      <c r="E12062" s="3">
        <v>1.6</v>
      </c>
      <c r="F12062" s="3">
        <v>0.8</v>
      </c>
      <c r="G12062" s="3">
        <v>19.5</v>
      </c>
    </row>
    <row r="12063">
      <c r="A12063" s="3">
        <v>786960.0</v>
      </c>
      <c r="B12063" s="3" t="s">
        <v>12091</v>
      </c>
      <c r="C12063" s="3" t="s">
        <v>196</v>
      </c>
      <c r="D12063" s="3">
        <v>66.0</v>
      </c>
      <c r="E12063" s="3">
        <v>0.0</v>
      </c>
      <c r="F12063" s="3">
        <v>0.3</v>
      </c>
      <c r="G12063" s="3">
        <v>18.05</v>
      </c>
    </row>
    <row r="12064">
      <c r="A12064" s="3">
        <v>786965.0</v>
      </c>
      <c r="B12064" s="3" t="s">
        <v>12092</v>
      </c>
      <c r="C12064" s="3" t="s">
        <v>196</v>
      </c>
      <c r="D12064" s="3">
        <v>68.0</v>
      </c>
      <c r="E12064" s="3">
        <v>0.25</v>
      </c>
      <c r="F12064" s="3">
        <v>0.2</v>
      </c>
      <c r="G12064" s="3">
        <v>18.1</v>
      </c>
    </row>
    <row r="12065">
      <c r="A12065" s="3">
        <v>786966.0</v>
      </c>
      <c r="B12065" s="3" t="s">
        <v>12093</v>
      </c>
      <c r="C12065" s="3" t="s">
        <v>196</v>
      </c>
      <c r="D12065" s="3">
        <v>77.0</v>
      </c>
      <c r="E12065" s="3">
        <v>0.28</v>
      </c>
      <c r="F12065" s="3">
        <v>0.2</v>
      </c>
      <c r="G12065" s="3">
        <v>19.46</v>
      </c>
    </row>
    <row r="12066">
      <c r="A12066" s="3">
        <v>786969.0</v>
      </c>
      <c r="B12066" s="3" t="s">
        <v>12094</v>
      </c>
      <c r="C12066" s="3" t="s">
        <v>196</v>
      </c>
      <c r="D12066" s="3">
        <v>76.0</v>
      </c>
      <c r="E12066" s="3">
        <v>0.18</v>
      </c>
      <c r="F12066" s="3">
        <v>0.9</v>
      </c>
      <c r="G12066" s="3">
        <v>17.6</v>
      </c>
    </row>
    <row r="12067">
      <c r="A12067" s="3">
        <v>786972.0</v>
      </c>
      <c r="B12067" s="3" t="s">
        <v>12095</v>
      </c>
      <c r="C12067" s="3" t="s">
        <v>196</v>
      </c>
      <c r="D12067" s="3">
        <v>68.0</v>
      </c>
      <c r="E12067" s="3">
        <v>0.35</v>
      </c>
      <c r="F12067" s="3">
        <v>0.4</v>
      </c>
      <c r="G12067" s="3">
        <v>15.74</v>
      </c>
    </row>
    <row r="12068">
      <c r="A12068" s="3">
        <v>786980.0</v>
      </c>
      <c r="B12068" s="3" t="s">
        <v>12096</v>
      </c>
      <c r="C12068" s="3" t="s">
        <v>101</v>
      </c>
      <c r="D12068" s="3">
        <v>125.0</v>
      </c>
      <c r="E12068" s="3">
        <v>4.19</v>
      </c>
      <c r="F12068" s="3">
        <v>1.87</v>
      </c>
      <c r="G12068" s="3">
        <v>20.45</v>
      </c>
    </row>
    <row r="12069">
      <c r="A12069" s="3">
        <v>786981.0</v>
      </c>
      <c r="B12069" s="3" t="s">
        <v>12097</v>
      </c>
      <c r="C12069" s="3" t="s">
        <v>101</v>
      </c>
      <c r="D12069" s="3">
        <v>93.0</v>
      </c>
      <c r="E12069" s="3">
        <v>0.1</v>
      </c>
      <c r="F12069" s="3">
        <v>1.95</v>
      </c>
      <c r="G12069" s="3">
        <v>21.45</v>
      </c>
    </row>
    <row r="12070">
      <c r="A12070" s="3">
        <v>786982.0</v>
      </c>
      <c r="B12070" s="3" t="s">
        <v>12098</v>
      </c>
      <c r="C12070" s="3" t="s">
        <v>101</v>
      </c>
      <c r="D12070" s="3">
        <v>93.0</v>
      </c>
      <c r="E12070" s="3">
        <v>0.1</v>
      </c>
      <c r="F12070" s="3">
        <v>1.95</v>
      </c>
      <c r="G12070" s="3">
        <v>21.45</v>
      </c>
    </row>
    <row r="12071">
      <c r="A12071" s="3">
        <v>786983.0</v>
      </c>
      <c r="B12071" s="3" t="s">
        <v>12099</v>
      </c>
      <c r="C12071" s="3" t="s">
        <v>101</v>
      </c>
      <c r="D12071" s="3">
        <v>125.0</v>
      </c>
      <c r="E12071" s="3">
        <v>4.19</v>
      </c>
      <c r="F12071" s="3">
        <v>1.87</v>
      </c>
      <c r="G12071" s="3">
        <v>20.45</v>
      </c>
    </row>
    <row r="12072">
      <c r="A12072" s="3">
        <v>786984.0</v>
      </c>
      <c r="B12072" s="3" t="s">
        <v>12100</v>
      </c>
      <c r="C12072" s="3" t="s">
        <v>101</v>
      </c>
      <c r="D12072" s="3">
        <v>125.0</v>
      </c>
      <c r="E12072" s="3">
        <v>4.19</v>
      </c>
      <c r="F12072" s="3">
        <v>1.87</v>
      </c>
      <c r="G12072" s="3">
        <v>20.45</v>
      </c>
    </row>
    <row r="12073">
      <c r="A12073" s="3">
        <v>786985.0</v>
      </c>
      <c r="B12073" s="3" t="s">
        <v>12101</v>
      </c>
      <c r="C12073" s="3" t="s">
        <v>101</v>
      </c>
      <c r="D12073" s="3">
        <v>125.0</v>
      </c>
      <c r="E12073" s="3">
        <v>4.19</v>
      </c>
      <c r="F12073" s="3">
        <v>1.87</v>
      </c>
      <c r="G12073" s="3">
        <v>20.45</v>
      </c>
    </row>
    <row r="12074">
      <c r="A12074" s="3">
        <v>786986.0</v>
      </c>
      <c r="B12074" s="3" t="s">
        <v>12102</v>
      </c>
      <c r="C12074" s="3" t="s">
        <v>101</v>
      </c>
      <c r="D12074" s="3">
        <v>93.0</v>
      </c>
      <c r="E12074" s="3">
        <v>0.1</v>
      </c>
      <c r="F12074" s="3">
        <v>1.95</v>
      </c>
      <c r="G12074" s="3">
        <v>21.46</v>
      </c>
    </row>
    <row r="12075">
      <c r="A12075" s="3">
        <v>786987.0</v>
      </c>
      <c r="B12075" s="3" t="s">
        <v>12103</v>
      </c>
      <c r="C12075" s="3" t="s">
        <v>101</v>
      </c>
      <c r="D12075" s="3">
        <v>125.0</v>
      </c>
      <c r="E12075" s="3">
        <v>4.19</v>
      </c>
      <c r="F12075" s="3">
        <v>1.87</v>
      </c>
      <c r="G12075" s="3">
        <v>20.45</v>
      </c>
    </row>
    <row r="12076">
      <c r="A12076" s="3">
        <v>786988.0</v>
      </c>
      <c r="B12076" s="3" t="s">
        <v>12104</v>
      </c>
      <c r="C12076" s="3" t="s">
        <v>101</v>
      </c>
      <c r="D12076" s="3">
        <v>130.0</v>
      </c>
      <c r="E12076" s="3">
        <v>4.84</v>
      </c>
      <c r="F12076" s="3">
        <v>1.86</v>
      </c>
      <c r="G12076" s="3">
        <v>20.45</v>
      </c>
    </row>
    <row r="12077">
      <c r="A12077" s="3">
        <v>786989.0</v>
      </c>
      <c r="B12077" s="3" t="s">
        <v>12105</v>
      </c>
      <c r="C12077" s="3" t="s">
        <v>101</v>
      </c>
      <c r="D12077" s="3">
        <v>122.0</v>
      </c>
      <c r="E12077" s="3">
        <v>3.94</v>
      </c>
      <c r="F12077" s="3">
        <v>1.9</v>
      </c>
      <c r="G12077" s="3">
        <v>20.45</v>
      </c>
    </row>
    <row r="12078">
      <c r="A12078" s="3">
        <v>786990.0</v>
      </c>
      <c r="B12078" s="3" t="s">
        <v>12106</v>
      </c>
      <c r="C12078" s="3" t="s">
        <v>101</v>
      </c>
      <c r="D12078" s="3">
        <v>114.0</v>
      </c>
      <c r="E12078" s="3">
        <v>2.93</v>
      </c>
      <c r="F12078" s="3">
        <v>1.87</v>
      </c>
      <c r="G12078" s="3">
        <v>20.49</v>
      </c>
    </row>
    <row r="12079">
      <c r="A12079" s="3">
        <v>786991.0</v>
      </c>
      <c r="B12079" s="3" t="s">
        <v>12107</v>
      </c>
      <c r="C12079" s="3" t="s">
        <v>101</v>
      </c>
      <c r="D12079" s="3">
        <v>125.0</v>
      </c>
      <c r="E12079" s="3">
        <v>4.22</v>
      </c>
      <c r="F12079" s="3">
        <v>2.39</v>
      </c>
      <c r="G12079" s="3">
        <v>20.08</v>
      </c>
    </row>
    <row r="12080">
      <c r="A12080" s="3">
        <v>786992.0</v>
      </c>
      <c r="B12080" s="3" t="s">
        <v>12108</v>
      </c>
      <c r="C12080" s="3" t="s">
        <v>101</v>
      </c>
      <c r="D12080" s="3">
        <v>125.0</v>
      </c>
      <c r="E12080" s="3">
        <v>4.22</v>
      </c>
      <c r="F12080" s="3">
        <v>2.39</v>
      </c>
      <c r="G12080" s="3">
        <v>20.08</v>
      </c>
    </row>
    <row r="12081">
      <c r="A12081" s="3">
        <v>786993.0</v>
      </c>
      <c r="B12081" s="3" t="s">
        <v>12109</v>
      </c>
      <c r="C12081" s="3" t="s">
        <v>101</v>
      </c>
      <c r="D12081" s="3">
        <v>93.0</v>
      </c>
      <c r="E12081" s="3">
        <v>0.13</v>
      </c>
      <c r="F12081" s="3">
        <v>2.49</v>
      </c>
      <c r="G12081" s="3">
        <v>21.07</v>
      </c>
    </row>
    <row r="12082">
      <c r="A12082" s="3">
        <v>786994.0</v>
      </c>
      <c r="B12082" s="3" t="s">
        <v>12110</v>
      </c>
      <c r="C12082" s="3" t="s">
        <v>101</v>
      </c>
      <c r="D12082" s="3">
        <v>130.0</v>
      </c>
      <c r="E12082" s="3">
        <v>4.87</v>
      </c>
      <c r="F12082" s="3">
        <v>2.37</v>
      </c>
      <c r="G12082" s="3">
        <v>20.07</v>
      </c>
    </row>
    <row r="12083">
      <c r="A12083" s="3">
        <v>786995.0</v>
      </c>
      <c r="B12083" s="3" t="s">
        <v>12111</v>
      </c>
      <c r="C12083" s="3" t="s">
        <v>101</v>
      </c>
      <c r="D12083" s="3">
        <v>122.0</v>
      </c>
      <c r="E12083" s="3">
        <v>3.97</v>
      </c>
      <c r="F12083" s="3">
        <v>2.41</v>
      </c>
      <c r="G12083" s="3">
        <v>20.07</v>
      </c>
    </row>
    <row r="12084">
      <c r="A12084" s="3">
        <v>786996.0</v>
      </c>
      <c r="B12084" s="3" t="s">
        <v>12112</v>
      </c>
      <c r="C12084" s="3" t="s">
        <v>101</v>
      </c>
      <c r="D12084" s="3">
        <v>114.0</v>
      </c>
      <c r="E12084" s="3">
        <v>2.96</v>
      </c>
      <c r="F12084" s="3">
        <v>2.38</v>
      </c>
      <c r="G12084" s="3">
        <v>20.11</v>
      </c>
    </row>
    <row r="12085">
      <c r="A12085" s="3">
        <v>786997.0</v>
      </c>
      <c r="B12085" s="3" t="s">
        <v>12113</v>
      </c>
      <c r="C12085" s="3" t="s">
        <v>101</v>
      </c>
      <c r="D12085" s="3">
        <v>95.0</v>
      </c>
      <c r="E12085" s="3">
        <v>4.28</v>
      </c>
      <c r="F12085" s="3">
        <v>1.34</v>
      </c>
      <c r="G12085" s="3">
        <v>12.91</v>
      </c>
    </row>
    <row r="12086">
      <c r="A12086" s="3">
        <v>786998.0</v>
      </c>
      <c r="B12086" s="3" t="s">
        <v>12114</v>
      </c>
      <c r="C12086" s="3" t="s">
        <v>101</v>
      </c>
      <c r="D12086" s="3">
        <v>95.0</v>
      </c>
      <c r="E12086" s="3">
        <v>4.28</v>
      </c>
      <c r="F12086" s="3">
        <v>1.34</v>
      </c>
      <c r="G12086" s="3">
        <v>12.91</v>
      </c>
    </row>
    <row r="12087">
      <c r="A12087" s="3">
        <v>786999.0</v>
      </c>
      <c r="B12087" s="3" t="s">
        <v>12115</v>
      </c>
      <c r="C12087" s="3" t="s">
        <v>101</v>
      </c>
      <c r="D12087" s="3">
        <v>62.0</v>
      </c>
      <c r="E12087" s="3">
        <v>0.2</v>
      </c>
      <c r="F12087" s="3">
        <v>1.39</v>
      </c>
      <c r="G12087" s="3">
        <v>13.55</v>
      </c>
    </row>
    <row r="12088">
      <c r="A12088" s="3">
        <v>787000.0</v>
      </c>
      <c r="B12088" s="3" t="s">
        <v>12116</v>
      </c>
      <c r="C12088" s="3" t="s">
        <v>101</v>
      </c>
      <c r="D12088" s="3">
        <v>125.0</v>
      </c>
      <c r="E12088" s="3">
        <v>4.19</v>
      </c>
      <c r="F12088" s="3">
        <v>1.87</v>
      </c>
      <c r="G12088" s="3">
        <v>20.45</v>
      </c>
    </row>
    <row r="12089">
      <c r="A12089" s="3">
        <v>787001.0</v>
      </c>
      <c r="B12089" s="3" t="s">
        <v>12117</v>
      </c>
      <c r="C12089" s="3" t="s">
        <v>101</v>
      </c>
      <c r="D12089" s="3">
        <v>125.0</v>
      </c>
      <c r="E12089" s="3">
        <v>4.22</v>
      </c>
      <c r="F12089" s="3">
        <v>2.39</v>
      </c>
      <c r="G12089" s="3">
        <v>20.08</v>
      </c>
    </row>
    <row r="12090">
      <c r="A12090" s="3">
        <v>787002.0</v>
      </c>
      <c r="B12090" s="3" t="s">
        <v>12118</v>
      </c>
      <c r="C12090" s="3" t="s">
        <v>101</v>
      </c>
      <c r="D12090" s="3">
        <v>93.0</v>
      </c>
      <c r="E12090" s="3">
        <v>0.13</v>
      </c>
      <c r="F12090" s="3">
        <v>2.49</v>
      </c>
      <c r="G12090" s="3">
        <v>21.07</v>
      </c>
    </row>
    <row r="12091">
      <c r="A12091" s="3">
        <v>787003.0</v>
      </c>
      <c r="B12091" s="3" t="s">
        <v>12119</v>
      </c>
      <c r="C12091" s="3" t="s">
        <v>101</v>
      </c>
      <c r="D12091" s="3">
        <v>125.0</v>
      </c>
      <c r="E12091" s="3">
        <v>4.22</v>
      </c>
      <c r="F12091" s="3">
        <v>2.39</v>
      </c>
      <c r="G12091" s="3">
        <v>20.08</v>
      </c>
    </row>
    <row r="12092">
      <c r="A12092" s="3">
        <v>787004.0</v>
      </c>
      <c r="B12092" s="3" t="s">
        <v>12120</v>
      </c>
      <c r="C12092" s="3" t="s">
        <v>101</v>
      </c>
      <c r="D12092" s="3">
        <v>130.0</v>
      </c>
      <c r="E12092" s="3">
        <v>4.87</v>
      </c>
      <c r="F12092" s="3">
        <v>2.37</v>
      </c>
      <c r="G12092" s="3">
        <v>20.07</v>
      </c>
    </row>
    <row r="12093">
      <c r="A12093" s="3">
        <v>787005.0</v>
      </c>
      <c r="B12093" s="3" t="s">
        <v>12121</v>
      </c>
      <c r="C12093" s="3" t="s">
        <v>101</v>
      </c>
      <c r="D12093" s="3">
        <v>122.0</v>
      </c>
      <c r="E12093" s="3">
        <v>3.97</v>
      </c>
      <c r="F12093" s="3">
        <v>2.41</v>
      </c>
      <c r="G12093" s="3">
        <v>20.07</v>
      </c>
    </row>
    <row r="12094">
      <c r="A12094" s="3">
        <v>787006.0</v>
      </c>
      <c r="B12094" s="3" t="s">
        <v>12122</v>
      </c>
      <c r="C12094" s="3" t="s">
        <v>101</v>
      </c>
      <c r="D12094" s="3">
        <v>114.0</v>
      </c>
      <c r="E12094" s="3">
        <v>2.96</v>
      </c>
      <c r="F12094" s="3">
        <v>2.38</v>
      </c>
      <c r="G12094" s="3">
        <v>20.11</v>
      </c>
    </row>
    <row r="12095">
      <c r="A12095" s="3">
        <v>787007.0</v>
      </c>
      <c r="B12095" s="3" t="s">
        <v>12123</v>
      </c>
      <c r="C12095" s="3" t="s">
        <v>101</v>
      </c>
      <c r="D12095" s="3">
        <v>125.0</v>
      </c>
      <c r="E12095" s="3">
        <v>4.19</v>
      </c>
      <c r="F12095" s="3">
        <v>1.87</v>
      </c>
      <c r="G12095" s="3">
        <v>20.45</v>
      </c>
    </row>
    <row r="12096">
      <c r="A12096" s="3">
        <v>787008.0</v>
      </c>
      <c r="B12096" s="3" t="s">
        <v>12124</v>
      </c>
      <c r="C12096" s="3" t="s">
        <v>101</v>
      </c>
      <c r="D12096" s="3">
        <v>125.0</v>
      </c>
      <c r="E12096" s="3">
        <v>4.19</v>
      </c>
      <c r="F12096" s="3">
        <v>1.87</v>
      </c>
      <c r="G12096" s="3">
        <v>20.45</v>
      </c>
    </row>
    <row r="12097">
      <c r="A12097" s="3">
        <v>787009.0</v>
      </c>
      <c r="B12097" s="3" t="s">
        <v>12125</v>
      </c>
      <c r="C12097" s="3" t="s">
        <v>101</v>
      </c>
      <c r="D12097" s="3">
        <v>93.0</v>
      </c>
      <c r="E12097" s="3">
        <v>0.1</v>
      </c>
      <c r="F12097" s="3">
        <v>1.95</v>
      </c>
      <c r="G12097" s="3">
        <v>21.46</v>
      </c>
    </row>
    <row r="12098">
      <c r="A12098" s="3">
        <v>787010.0</v>
      </c>
      <c r="B12098" s="3" t="s">
        <v>12126</v>
      </c>
      <c r="C12098" s="3" t="s">
        <v>101</v>
      </c>
      <c r="D12098" s="3">
        <v>130.0</v>
      </c>
      <c r="E12098" s="3">
        <v>4.84</v>
      </c>
      <c r="F12098" s="3">
        <v>1.86</v>
      </c>
      <c r="G12098" s="3">
        <v>20.45</v>
      </c>
    </row>
    <row r="12099">
      <c r="A12099" s="3">
        <v>787011.0</v>
      </c>
      <c r="B12099" s="3" t="s">
        <v>12127</v>
      </c>
      <c r="C12099" s="3" t="s">
        <v>101</v>
      </c>
      <c r="D12099" s="3">
        <v>122.0</v>
      </c>
      <c r="E12099" s="3">
        <v>3.94</v>
      </c>
      <c r="F12099" s="3">
        <v>1.9</v>
      </c>
      <c r="G12099" s="3">
        <v>20.45</v>
      </c>
    </row>
    <row r="12100">
      <c r="A12100" s="3">
        <v>787012.0</v>
      </c>
      <c r="B12100" s="3" t="s">
        <v>12128</v>
      </c>
      <c r="C12100" s="3" t="s">
        <v>101</v>
      </c>
      <c r="D12100" s="3">
        <v>114.0</v>
      </c>
      <c r="E12100" s="3">
        <v>2.93</v>
      </c>
      <c r="F12100" s="3">
        <v>1.87</v>
      </c>
      <c r="G12100" s="3">
        <v>20.49</v>
      </c>
    </row>
    <row r="12101">
      <c r="A12101" s="3">
        <v>787013.0</v>
      </c>
      <c r="B12101" s="3" t="s">
        <v>12129</v>
      </c>
      <c r="C12101" s="3" t="s">
        <v>101</v>
      </c>
      <c r="D12101" s="3">
        <v>125.0</v>
      </c>
      <c r="E12101" s="3">
        <v>4.19</v>
      </c>
      <c r="F12101" s="3">
        <v>1.87</v>
      </c>
      <c r="G12101" s="3">
        <v>20.45</v>
      </c>
    </row>
    <row r="12102">
      <c r="A12102" s="3">
        <v>787014.0</v>
      </c>
      <c r="B12102" s="3" t="s">
        <v>12130</v>
      </c>
      <c r="C12102" s="3" t="s">
        <v>1464</v>
      </c>
      <c r="D12102" s="3">
        <v>114.0</v>
      </c>
      <c r="E12102" s="3">
        <v>3.64</v>
      </c>
      <c r="F12102" s="3">
        <v>2.1</v>
      </c>
      <c r="G12102" s="3">
        <v>18.77</v>
      </c>
    </row>
    <row r="12103">
      <c r="A12103" s="3">
        <v>787015.0</v>
      </c>
      <c r="B12103" s="3" t="s">
        <v>12131</v>
      </c>
      <c r="C12103" s="3" t="s">
        <v>101</v>
      </c>
      <c r="D12103" s="3">
        <v>85.0</v>
      </c>
      <c r="E12103" s="3">
        <v>0.1</v>
      </c>
      <c r="F12103" s="3">
        <v>1.7</v>
      </c>
      <c r="G12103" s="3">
        <v>19.89</v>
      </c>
    </row>
    <row r="12104">
      <c r="A12104" s="3">
        <v>787016.0</v>
      </c>
      <c r="B12104" s="3" t="s">
        <v>12132</v>
      </c>
      <c r="C12104" s="3" t="s">
        <v>1464</v>
      </c>
      <c r="D12104" s="3">
        <v>74.0</v>
      </c>
      <c r="E12104" s="3">
        <v>0.91</v>
      </c>
      <c r="F12104" s="3">
        <v>2.44</v>
      </c>
      <c r="G12104" s="3">
        <v>14.55</v>
      </c>
    </row>
    <row r="12105">
      <c r="A12105" s="3">
        <v>787017.0</v>
      </c>
      <c r="B12105" s="3" t="s">
        <v>12133</v>
      </c>
      <c r="C12105" s="3" t="s">
        <v>1464</v>
      </c>
      <c r="D12105" s="3">
        <v>74.0</v>
      </c>
      <c r="E12105" s="3">
        <v>0.91</v>
      </c>
      <c r="F12105" s="3">
        <v>2.44</v>
      </c>
      <c r="G12105" s="3">
        <v>14.55</v>
      </c>
    </row>
    <row r="12106">
      <c r="A12106" s="3">
        <v>787018.0</v>
      </c>
      <c r="B12106" s="3" t="s">
        <v>12134</v>
      </c>
      <c r="C12106" s="3" t="s">
        <v>1464</v>
      </c>
      <c r="D12106" s="3">
        <v>72.0</v>
      </c>
      <c r="E12106" s="3">
        <v>1.02</v>
      </c>
      <c r="F12106" s="3">
        <v>1.35</v>
      </c>
      <c r="G12106" s="3">
        <v>14.65</v>
      </c>
    </row>
    <row r="12107">
      <c r="A12107" s="3">
        <v>787030.0</v>
      </c>
      <c r="B12107" s="3" t="s">
        <v>12135</v>
      </c>
      <c r="C12107" s="3" t="s">
        <v>33</v>
      </c>
      <c r="D12107" s="3">
        <v>543.0</v>
      </c>
      <c r="E12107" s="3">
        <v>35.17</v>
      </c>
      <c r="F12107" s="3">
        <v>4.61</v>
      </c>
      <c r="G12107" s="3">
        <v>55.21</v>
      </c>
    </row>
    <row r="12108">
      <c r="A12108" s="3">
        <v>787031.0</v>
      </c>
      <c r="B12108" s="3" t="s">
        <v>12136</v>
      </c>
      <c r="C12108" s="3" t="s">
        <v>33</v>
      </c>
      <c r="D12108" s="3">
        <v>542.0</v>
      </c>
      <c r="E12108" s="3">
        <v>35.07</v>
      </c>
      <c r="F12108" s="3">
        <v>4.59</v>
      </c>
      <c r="G12108" s="3">
        <v>55.05</v>
      </c>
    </row>
    <row r="12109">
      <c r="A12109" s="3">
        <v>787033.0</v>
      </c>
      <c r="B12109" s="3" t="s">
        <v>12137</v>
      </c>
      <c r="C12109" s="3" t="s">
        <v>33</v>
      </c>
      <c r="D12109" s="3">
        <v>467.0</v>
      </c>
      <c r="E12109" s="3">
        <v>18.11</v>
      </c>
      <c r="F12109" s="3">
        <v>4.97</v>
      </c>
      <c r="G12109" s="3">
        <v>71.04</v>
      </c>
    </row>
    <row r="12110">
      <c r="A12110" s="3">
        <v>787034.0</v>
      </c>
      <c r="B12110" s="3" t="s">
        <v>12138</v>
      </c>
      <c r="C12110" s="3" t="s">
        <v>33</v>
      </c>
      <c r="D12110" s="3">
        <v>482.0</v>
      </c>
      <c r="E12110" s="3">
        <v>20.59</v>
      </c>
      <c r="F12110" s="3">
        <v>7.03</v>
      </c>
      <c r="G12110" s="3">
        <v>67.13</v>
      </c>
    </row>
    <row r="12111">
      <c r="A12111" s="3">
        <v>787035.0</v>
      </c>
      <c r="B12111" s="3" t="s">
        <v>12139</v>
      </c>
      <c r="C12111" s="3" t="s">
        <v>33</v>
      </c>
      <c r="D12111" s="3">
        <v>482.0</v>
      </c>
      <c r="E12111" s="3">
        <v>20.59</v>
      </c>
      <c r="F12111" s="3">
        <v>7.03</v>
      </c>
      <c r="G12111" s="3">
        <v>67.13</v>
      </c>
    </row>
    <row r="12112">
      <c r="A12112" s="3">
        <v>787038.0</v>
      </c>
      <c r="B12112" s="3" t="s">
        <v>12140</v>
      </c>
      <c r="C12112" s="3" t="s">
        <v>33</v>
      </c>
      <c r="D12112" s="3">
        <v>537.0</v>
      </c>
      <c r="E12112" s="3">
        <v>30.3</v>
      </c>
      <c r="F12112" s="3">
        <v>6.25</v>
      </c>
      <c r="G12112" s="3">
        <v>59.66</v>
      </c>
    </row>
    <row r="12113">
      <c r="A12113" s="3">
        <v>787040.0</v>
      </c>
      <c r="B12113" s="3" t="s">
        <v>12141</v>
      </c>
      <c r="C12113" s="3" t="s">
        <v>33</v>
      </c>
      <c r="D12113" s="3">
        <v>559.0</v>
      </c>
      <c r="E12113" s="3">
        <v>35.32</v>
      </c>
      <c r="F12113" s="3">
        <v>6.71</v>
      </c>
      <c r="G12113" s="3">
        <v>53.43</v>
      </c>
    </row>
    <row r="12114">
      <c r="A12114" s="3">
        <v>787041.0</v>
      </c>
      <c r="B12114" s="3" t="s">
        <v>12142</v>
      </c>
      <c r="C12114" s="3" t="s">
        <v>33</v>
      </c>
      <c r="D12114" s="3">
        <v>559.0</v>
      </c>
      <c r="E12114" s="3">
        <v>35.32</v>
      </c>
      <c r="F12114" s="3">
        <v>6.71</v>
      </c>
      <c r="G12114" s="3">
        <v>53.43</v>
      </c>
    </row>
    <row r="12115">
      <c r="A12115" s="3">
        <v>787043.0</v>
      </c>
      <c r="B12115" s="3" t="s">
        <v>12143</v>
      </c>
      <c r="C12115" s="3" t="s">
        <v>33</v>
      </c>
      <c r="D12115" s="3">
        <v>467.0</v>
      </c>
      <c r="E12115" s="3">
        <v>18.11</v>
      </c>
      <c r="F12115" s="3">
        <v>4.97</v>
      </c>
      <c r="G12115" s="3">
        <v>71.04</v>
      </c>
    </row>
    <row r="12116">
      <c r="A12116" s="3">
        <v>787046.0</v>
      </c>
      <c r="B12116" s="3" t="s">
        <v>12144</v>
      </c>
      <c r="C12116" s="3" t="s">
        <v>33</v>
      </c>
      <c r="D12116" s="3">
        <v>517.0</v>
      </c>
      <c r="E12116" s="3">
        <v>34.06</v>
      </c>
      <c r="F12116" s="3">
        <v>6.63</v>
      </c>
      <c r="G12116" s="3">
        <v>52.77</v>
      </c>
    </row>
    <row r="12117">
      <c r="A12117" s="3">
        <v>787047.0</v>
      </c>
      <c r="B12117" s="3" t="s">
        <v>12145</v>
      </c>
      <c r="C12117" s="3" t="s">
        <v>33</v>
      </c>
      <c r="D12117" s="3">
        <v>517.0</v>
      </c>
      <c r="E12117" s="3">
        <v>34.06</v>
      </c>
      <c r="F12117" s="3">
        <v>6.63</v>
      </c>
      <c r="G12117" s="3">
        <v>52.77</v>
      </c>
    </row>
    <row r="12118">
      <c r="A12118" s="3">
        <v>787048.0</v>
      </c>
      <c r="B12118" s="3" t="s">
        <v>12146</v>
      </c>
      <c r="C12118" s="3" t="s">
        <v>33</v>
      </c>
      <c r="D12118" s="3">
        <v>495.0</v>
      </c>
      <c r="E12118" s="3">
        <v>26.56</v>
      </c>
      <c r="F12118" s="3">
        <v>4.72</v>
      </c>
      <c r="G12118" s="3">
        <v>59.2</v>
      </c>
    </row>
    <row r="12119">
      <c r="A12119" s="3">
        <v>787049.0</v>
      </c>
      <c r="B12119" s="3" t="s">
        <v>12147</v>
      </c>
      <c r="C12119" s="3" t="s">
        <v>1464</v>
      </c>
      <c r="D12119" s="3">
        <v>166.0</v>
      </c>
      <c r="E12119" s="3">
        <v>9.39</v>
      </c>
      <c r="F12119" s="3">
        <v>7.01</v>
      </c>
      <c r="G12119" s="3">
        <v>13.64</v>
      </c>
    </row>
    <row r="12120">
      <c r="A12120" s="3">
        <v>787050.0</v>
      </c>
      <c r="B12120" s="3" t="s">
        <v>12148</v>
      </c>
      <c r="C12120" s="3" t="s">
        <v>1464</v>
      </c>
      <c r="D12120" s="3">
        <v>201.0</v>
      </c>
      <c r="E12120" s="3">
        <v>13.74</v>
      </c>
      <c r="F12120" s="3">
        <v>6.56</v>
      </c>
      <c r="G12120" s="3">
        <v>13.22</v>
      </c>
    </row>
    <row r="12121">
      <c r="A12121" s="3">
        <v>787051.0</v>
      </c>
      <c r="B12121" s="3" t="s">
        <v>12149</v>
      </c>
      <c r="C12121" s="3" t="s">
        <v>1464</v>
      </c>
      <c r="D12121" s="3">
        <v>166.0</v>
      </c>
      <c r="E12121" s="3">
        <v>9.39</v>
      </c>
      <c r="F12121" s="3">
        <v>7.01</v>
      </c>
      <c r="G12121" s="3">
        <v>13.64</v>
      </c>
    </row>
    <row r="12122">
      <c r="A12122" s="3">
        <v>787052.0</v>
      </c>
      <c r="B12122" s="3" t="s">
        <v>12150</v>
      </c>
      <c r="C12122" s="3" t="s">
        <v>1464</v>
      </c>
      <c r="D12122" s="3">
        <v>173.0</v>
      </c>
      <c r="E12122" s="3">
        <v>10.31</v>
      </c>
      <c r="F12122" s="3">
        <v>7.28</v>
      </c>
      <c r="G12122" s="3">
        <v>13.1</v>
      </c>
    </row>
    <row r="12123">
      <c r="A12123" s="3">
        <v>787053.0</v>
      </c>
      <c r="B12123" s="3" t="s">
        <v>12151</v>
      </c>
      <c r="C12123" s="3" t="s">
        <v>1464</v>
      </c>
      <c r="D12123" s="3">
        <v>167.0</v>
      </c>
      <c r="E12123" s="3">
        <v>9.53</v>
      </c>
      <c r="F12123" s="3">
        <v>6.79</v>
      </c>
      <c r="G12123" s="3">
        <v>13.66</v>
      </c>
    </row>
    <row r="12124">
      <c r="A12124" s="3">
        <v>787054.0</v>
      </c>
      <c r="B12124" s="3" t="s">
        <v>12152</v>
      </c>
      <c r="C12124" s="3" t="s">
        <v>1464</v>
      </c>
      <c r="D12124" s="3">
        <v>167.0</v>
      </c>
      <c r="E12124" s="3">
        <v>9.56</v>
      </c>
      <c r="F12124" s="3">
        <v>7.14</v>
      </c>
      <c r="G12124" s="3">
        <v>13.32</v>
      </c>
    </row>
    <row r="12125">
      <c r="A12125" s="3">
        <v>787055.0</v>
      </c>
      <c r="B12125" s="3" t="s">
        <v>12153</v>
      </c>
      <c r="C12125" s="3" t="s">
        <v>1464</v>
      </c>
      <c r="D12125" s="3">
        <v>175.0</v>
      </c>
      <c r="E12125" s="3">
        <v>10.68</v>
      </c>
      <c r="F12125" s="3">
        <v>6.68</v>
      </c>
      <c r="G12125" s="3">
        <v>13.42</v>
      </c>
    </row>
    <row r="12126">
      <c r="A12126" s="3">
        <v>787056.0</v>
      </c>
      <c r="B12126" s="3" t="s">
        <v>12154</v>
      </c>
      <c r="C12126" s="3" t="s">
        <v>1464</v>
      </c>
      <c r="D12126" s="3">
        <v>181.0</v>
      </c>
      <c r="E12126" s="3">
        <v>11.46</v>
      </c>
      <c r="F12126" s="3">
        <v>6.94</v>
      </c>
      <c r="G12126" s="3">
        <v>12.94</v>
      </c>
    </row>
    <row r="12127">
      <c r="A12127" s="3">
        <v>787057.0</v>
      </c>
      <c r="B12127" s="3" t="s">
        <v>12155</v>
      </c>
      <c r="C12127" s="3" t="s">
        <v>2807</v>
      </c>
      <c r="D12127" s="3">
        <v>224.0</v>
      </c>
      <c r="E12127" s="3">
        <v>14.07</v>
      </c>
      <c r="F12127" s="3">
        <v>2.5</v>
      </c>
      <c r="G12127" s="3">
        <v>23.23</v>
      </c>
    </row>
    <row r="12128">
      <c r="A12128" s="3">
        <v>787058.0</v>
      </c>
      <c r="B12128" s="3" t="s">
        <v>12156</v>
      </c>
      <c r="C12128" s="3" t="s">
        <v>2807</v>
      </c>
      <c r="D12128" s="3">
        <v>224.0</v>
      </c>
      <c r="E12128" s="3">
        <v>14.07</v>
      </c>
      <c r="F12128" s="3">
        <v>2.5</v>
      </c>
      <c r="G12128" s="3">
        <v>23.23</v>
      </c>
    </row>
    <row r="12129">
      <c r="A12129" s="3">
        <v>787059.0</v>
      </c>
      <c r="B12129" s="3" t="s">
        <v>12157</v>
      </c>
      <c r="C12129" s="3" t="s">
        <v>2807</v>
      </c>
      <c r="D12129" s="3">
        <v>196.0</v>
      </c>
      <c r="E12129" s="3">
        <v>13.1</v>
      </c>
      <c r="F12129" s="3">
        <v>1.93</v>
      </c>
      <c r="G12129" s="3">
        <v>18.5</v>
      </c>
    </row>
    <row r="12130">
      <c r="A12130" s="3">
        <v>787060.0</v>
      </c>
      <c r="B12130" s="3" t="s">
        <v>12158</v>
      </c>
      <c r="C12130" s="3" t="s">
        <v>2807</v>
      </c>
      <c r="D12130" s="3">
        <v>164.0</v>
      </c>
      <c r="E12130" s="3">
        <v>9.16</v>
      </c>
      <c r="F12130" s="3">
        <v>2.02</v>
      </c>
      <c r="G12130" s="3">
        <v>19.34</v>
      </c>
    </row>
    <row r="12131">
      <c r="A12131" s="3">
        <v>787064.0</v>
      </c>
      <c r="B12131" s="3" t="s">
        <v>12159</v>
      </c>
      <c r="C12131" s="3" t="s">
        <v>2807</v>
      </c>
      <c r="D12131" s="3">
        <v>224.0</v>
      </c>
      <c r="E12131" s="3">
        <v>14.07</v>
      </c>
      <c r="F12131" s="3">
        <v>2.5</v>
      </c>
      <c r="G12131" s="3">
        <v>23.23</v>
      </c>
    </row>
    <row r="12132">
      <c r="A12132" s="3">
        <v>787065.0</v>
      </c>
      <c r="B12132" s="3" t="s">
        <v>12160</v>
      </c>
      <c r="C12132" s="3" t="s">
        <v>2807</v>
      </c>
      <c r="D12132" s="3">
        <v>164.0</v>
      </c>
      <c r="E12132" s="3">
        <v>9.16</v>
      </c>
      <c r="F12132" s="3">
        <v>2.02</v>
      </c>
      <c r="G12132" s="3">
        <v>19.34</v>
      </c>
    </row>
    <row r="12133">
      <c r="A12133" s="3">
        <v>787066.0</v>
      </c>
      <c r="B12133" s="3" t="s">
        <v>12161</v>
      </c>
      <c r="C12133" s="3" t="s">
        <v>2807</v>
      </c>
      <c r="D12133" s="3">
        <v>259.0</v>
      </c>
      <c r="E12133" s="3">
        <v>14.14</v>
      </c>
      <c r="F12133" s="3">
        <v>3.36</v>
      </c>
      <c r="G12133" s="3">
        <v>29.69</v>
      </c>
    </row>
    <row r="12134">
      <c r="A12134" s="3">
        <v>787067.0</v>
      </c>
      <c r="B12134" s="3" t="s">
        <v>12162</v>
      </c>
      <c r="C12134" s="3" t="s">
        <v>2807</v>
      </c>
      <c r="D12134" s="3">
        <v>179.0</v>
      </c>
      <c r="E12134" s="3">
        <v>10.29</v>
      </c>
      <c r="F12134" s="3">
        <v>4.55</v>
      </c>
      <c r="G12134" s="3">
        <v>17.81</v>
      </c>
    </row>
    <row r="12135">
      <c r="A12135" s="3">
        <v>787068.0</v>
      </c>
      <c r="B12135" s="3" t="s">
        <v>12163</v>
      </c>
      <c r="C12135" s="3" t="s">
        <v>2807</v>
      </c>
      <c r="D12135" s="3">
        <v>241.0</v>
      </c>
      <c r="E12135" s="3">
        <v>10.81</v>
      </c>
      <c r="F12135" s="3">
        <v>4.25</v>
      </c>
      <c r="G12135" s="3">
        <v>31.58</v>
      </c>
    </row>
    <row r="12136">
      <c r="A12136" s="3">
        <v>787069.0</v>
      </c>
      <c r="B12136" s="3" t="s">
        <v>12164</v>
      </c>
      <c r="C12136" s="3" t="s">
        <v>2807</v>
      </c>
      <c r="D12136" s="3">
        <v>220.0</v>
      </c>
      <c r="E12136" s="3">
        <v>11.38</v>
      </c>
      <c r="F12136" s="3">
        <v>3.99</v>
      </c>
      <c r="G12136" s="3">
        <v>25.41</v>
      </c>
    </row>
    <row r="12137">
      <c r="A12137" s="3">
        <v>787070.0</v>
      </c>
      <c r="B12137" s="3" t="s">
        <v>12165</v>
      </c>
      <c r="C12137" s="3" t="s">
        <v>2807</v>
      </c>
      <c r="D12137" s="3">
        <v>259.0</v>
      </c>
      <c r="E12137" s="3">
        <v>14.14</v>
      </c>
      <c r="F12137" s="3">
        <v>3.36</v>
      </c>
      <c r="G12137" s="3">
        <v>29.69</v>
      </c>
    </row>
    <row r="12138">
      <c r="A12138" s="3">
        <v>787071.0</v>
      </c>
      <c r="B12138" s="3" t="s">
        <v>12166</v>
      </c>
      <c r="C12138" s="3" t="s">
        <v>2807</v>
      </c>
      <c r="D12138" s="3">
        <v>220.0</v>
      </c>
      <c r="E12138" s="3">
        <v>11.38</v>
      </c>
      <c r="F12138" s="3">
        <v>3.99</v>
      </c>
      <c r="G12138" s="3">
        <v>25.41</v>
      </c>
    </row>
    <row r="12139">
      <c r="A12139" s="3">
        <v>787072.0</v>
      </c>
      <c r="B12139" s="3" t="s">
        <v>12167</v>
      </c>
      <c r="C12139" s="3" t="s">
        <v>2807</v>
      </c>
      <c r="D12139" s="3">
        <v>241.0</v>
      </c>
      <c r="E12139" s="3">
        <v>10.81</v>
      </c>
      <c r="F12139" s="3">
        <v>4.25</v>
      </c>
      <c r="G12139" s="3">
        <v>31.58</v>
      </c>
    </row>
    <row r="12140">
      <c r="A12140" s="3">
        <v>787073.0</v>
      </c>
      <c r="B12140" s="3" t="s">
        <v>12168</v>
      </c>
      <c r="C12140" s="3" t="s">
        <v>2807</v>
      </c>
      <c r="D12140" s="3">
        <v>195.0</v>
      </c>
      <c r="E12140" s="3">
        <v>13.03</v>
      </c>
      <c r="F12140" s="3">
        <v>1.92</v>
      </c>
      <c r="G12140" s="3">
        <v>18.4</v>
      </c>
    </row>
    <row r="12141">
      <c r="A12141" s="3">
        <v>787074.0</v>
      </c>
      <c r="B12141" s="3" t="s">
        <v>12169</v>
      </c>
      <c r="C12141" s="3" t="s">
        <v>2807</v>
      </c>
      <c r="D12141" s="3">
        <v>213.0</v>
      </c>
      <c r="E12141" s="3">
        <v>15.2</v>
      </c>
      <c r="F12141" s="3">
        <v>1.87</v>
      </c>
      <c r="G12141" s="3">
        <v>17.91</v>
      </c>
    </row>
    <row r="12142">
      <c r="A12142" s="3">
        <v>787075.0</v>
      </c>
      <c r="B12142" s="3" t="s">
        <v>12170</v>
      </c>
      <c r="C12142" s="3" t="s">
        <v>2807</v>
      </c>
      <c r="D12142" s="3">
        <v>183.0</v>
      </c>
      <c r="E12142" s="3">
        <v>11.52</v>
      </c>
      <c r="F12142" s="3">
        <v>1.96</v>
      </c>
      <c r="G12142" s="3">
        <v>18.76</v>
      </c>
    </row>
    <row r="12143">
      <c r="A12143" s="3">
        <v>787076.0</v>
      </c>
      <c r="B12143" s="3" t="s">
        <v>12171</v>
      </c>
      <c r="C12143" s="3" t="s">
        <v>2807</v>
      </c>
      <c r="D12143" s="3">
        <v>195.0</v>
      </c>
      <c r="E12143" s="3">
        <v>13.03</v>
      </c>
      <c r="F12143" s="3">
        <v>1.92</v>
      </c>
      <c r="G12143" s="3">
        <v>18.4</v>
      </c>
    </row>
    <row r="12144">
      <c r="A12144" s="3">
        <v>787077.0</v>
      </c>
      <c r="B12144" s="3" t="s">
        <v>12172</v>
      </c>
      <c r="C12144" s="3" t="s">
        <v>2807</v>
      </c>
      <c r="D12144" s="3">
        <v>171.0</v>
      </c>
      <c r="E12144" s="3">
        <v>11.77</v>
      </c>
      <c r="F12144" s="3">
        <v>1.73</v>
      </c>
      <c r="G12144" s="3">
        <v>15.6</v>
      </c>
    </row>
    <row r="12145">
      <c r="A12145" s="3">
        <v>787078.0</v>
      </c>
      <c r="B12145" s="3" t="s">
        <v>12173</v>
      </c>
      <c r="C12145" s="3" t="s">
        <v>2807</v>
      </c>
      <c r="D12145" s="3">
        <v>217.0</v>
      </c>
      <c r="E12145" s="3">
        <v>11.48</v>
      </c>
      <c r="F12145" s="3">
        <v>2.62</v>
      </c>
      <c r="G12145" s="3">
        <v>28.23</v>
      </c>
    </row>
    <row r="12146">
      <c r="A12146" s="3">
        <v>787080.0</v>
      </c>
      <c r="B12146" s="3" t="s">
        <v>12174</v>
      </c>
      <c r="C12146" s="3" t="s">
        <v>2807</v>
      </c>
      <c r="D12146" s="3">
        <v>294.0</v>
      </c>
      <c r="E12146" s="3">
        <v>19.75</v>
      </c>
      <c r="F12146" s="3">
        <v>5.96</v>
      </c>
      <c r="G12146" s="3">
        <v>24.58</v>
      </c>
    </row>
    <row r="12147">
      <c r="A12147" s="3">
        <v>787082.0</v>
      </c>
      <c r="B12147" s="3" t="s">
        <v>12175</v>
      </c>
      <c r="C12147" s="3" t="s">
        <v>2807</v>
      </c>
      <c r="D12147" s="3">
        <v>294.0</v>
      </c>
      <c r="E12147" s="3">
        <v>19.75</v>
      </c>
      <c r="F12147" s="3">
        <v>5.96</v>
      </c>
      <c r="G12147" s="3">
        <v>24.58</v>
      </c>
    </row>
    <row r="12148">
      <c r="A12148" s="3">
        <v>787083.0</v>
      </c>
      <c r="B12148" s="3" t="s">
        <v>12176</v>
      </c>
      <c r="C12148" s="3" t="s">
        <v>2807</v>
      </c>
      <c r="D12148" s="3">
        <v>218.0</v>
      </c>
      <c r="E12148" s="3">
        <v>11.54</v>
      </c>
      <c r="F12148" s="3">
        <v>2.64</v>
      </c>
      <c r="G12148" s="3">
        <v>28.4</v>
      </c>
    </row>
    <row r="12149">
      <c r="A12149" s="3">
        <v>787084.0</v>
      </c>
      <c r="B12149" s="3" t="s">
        <v>12177</v>
      </c>
      <c r="C12149" s="3" t="s">
        <v>2807</v>
      </c>
      <c r="D12149" s="3">
        <v>189.0</v>
      </c>
      <c r="E12149" s="3">
        <v>12.27</v>
      </c>
      <c r="F12149" s="3">
        <v>1.94</v>
      </c>
      <c r="G12149" s="3">
        <v>18.57</v>
      </c>
    </row>
    <row r="12150">
      <c r="A12150" s="3">
        <v>787085.0</v>
      </c>
      <c r="B12150" s="3" t="s">
        <v>12178</v>
      </c>
      <c r="C12150" s="3" t="s">
        <v>2807</v>
      </c>
      <c r="D12150" s="3">
        <v>221.0</v>
      </c>
      <c r="E12150" s="3">
        <v>15.39</v>
      </c>
      <c r="F12150" s="3">
        <v>5.04</v>
      </c>
      <c r="G12150" s="3">
        <v>16.27</v>
      </c>
    </row>
    <row r="12151">
      <c r="A12151" s="3">
        <v>787086.0</v>
      </c>
      <c r="B12151" s="3" t="s">
        <v>12179</v>
      </c>
      <c r="C12151" s="3" t="s">
        <v>2807</v>
      </c>
      <c r="D12151" s="3">
        <v>217.0</v>
      </c>
      <c r="E12151" s="3">
        <v>11.48</v>
      </c>
      <c r="F12151" s="3">
        <v>2.62</v>
      </c>
      <c r="G12151" s="3">
        <v>28.23</v>
      </c>
    </row>
    <row r="12152">
      <c r="A12152" s="3">
        <v>787087.0</v>
      </c>
      <c r="B12152" s="3" t="s">
        <v>12180</v>
      </c>
      <c r="C12152" s="3" t="s">
        <v>2807</v>
      </c>
      <c r="D12152" s="3">
        <v>217.0</v>
      </c>
      <c r="E12152" s="3">
        <v>11.48</v>
      </c>
      <c r="F12152" s="3">
        <v>2.62</v>
      </c>
      <c r="G12152" s="3">
        <v>28.23</v>
      </c>
    </row>
    <row r="12153">
      <c r="A12153" s="3">
        <v>787088.0</v>
      </c>
      <c r="B12153" s="3" t="s">
        <v>12181</v>
      </c>
      <c r="C12153" s="3" t="s">
        <v>2807</v>
      </c>
      <c r="D12153" s="3">
        <v>248.0</v>
      </c>
      <c r="E12153" s="3">
        <v>15.08</v>
      </c>
      <c r="F12153" s="3">
        <v>5.97</v>
      </c>
      <c r="G12153" s="3">
        <v>24.07</v>
      </c>
    </row>
    <row r="12154">
      <c r="A12154" s="3">
        <v>787089.0</v>
      </c>
      <c r="B12154" s="3" t="s">
        <v>12182</v>
      </c>
      <c r="C12154" s="3" t="s">
        <v>2807</v>
      </c>
      <c r="D12154" s="3">
        <v>150.0</v>
      </c>
      <c r="E12154" s="3">
        <v>7.45</v>
      </c>
      <c r="F12154" s="3">
        <v>2.12</v>
      </c>
      <c r="G12154" s="3">
        <v>19.53</v>
      </c>
    </row>
    <row r="12155">
      <c r="A12155" s="3">
        <v>787090.0</v>
      </c>
      <c r="B12155" s="3" t="s">
        <v>12183</v>
      </c>
      <c r="C12155" s="3" t="s">
        <v>2807</v>
      </c>
      <c r="D12155" s="3">
        <v>198.0</v>
      </c>
      <c r="E12155" s="3">
        <v>12.27</v>
      </c>
      <c r="F12155" s="3">
        <v>5.99</v>
      </c>
      <c r="G12155" s="3">
        <v>16.46</v>
      </c>
    </row>
    <row r="12156">
      <c r="A12156" s="3">
        <v>787091.0</v>
      </c>
      <c r="B12156" s="3" t="s">
        <v>12184</v>
      </c>
      <c r="C12156" s="3" t="s">
        <v>2807</v>
      </c>
      <c r="D12156" s="3">
        <v>213.0</v>
      </c>
      <c r="E12156" s="3">
        <v>13.56</v>
      </c>
      <c r="F12156" s="3">
        <v>7.56</v>
      </c>
      <c r="G12156" s="3">
        <v>15.63</v>
      </c>
    </row>
    <row r="12157">
      <c r="A12157" s="3">
        <v>787092.0</v>
      </c>
      <c r="B12157" s="3" t="s">
        <v>12185</v>
      </c>
      <c r="C12157" s="3" t="s">
        <v>2807</v>
      </c>
      <c r="D12157" s="3">
        <v>198.0</v>
      </c>
      <c r="E12157" s="3">
        <v>12.27</v>
      </c>
      <c r="F12157" s="3">
        <v>5.99</v>
      </c>
      <c r="G12157" s="3">
        <v>16.46</v>
      </c>
    </row>
    <row r="12158">
      <c r="A12158" s="3">
        <v>787093.0</v>
      </c>
      <c r="B12158" s="3" t="s">
        <v>12186</v>
      </c>
      <c r="C12158" s="3" t="s">
        <v>1464</v>
      </c>
      <c r="D12158" s="3">
        <v>111.0</v>
      </c>
      <c r="E12158" s="3">
        <v>3.79</v>
      </c>
      <c r="F12158" s="3">
        <v>2.15</v>
      </c>
      <c r="G12158" s="3">
        <v>17.69</v>
      </c>
    </row>
    <row r="12159">
      <c r="A12159" s="3">
        <v>787095.0</v>
      </c>
      <c r="B12159" s="3" t="s">
        <v>12187</v>
      </c>
      <c r="C12159" s="3" t="s">
        <v>1464</v>
      </c>
      <c r="D12159" s="3">
        <v>81.0</v>
      </c>
      <c r="E12159" s="3">
        <v>2.78</v>
      </c>
      <c r="F12159" s="3">
        <v>1.46</v>
      </c>
      <c r="G12159" s="3">
        <v>12.78</v>
      </c>
    </row>
    <row r="12160">
      <c r="A12160" s="3">
        <v>787097.0</v>
      </c>
      <c r="B12160" s="3" t="s">
        <v>12188</v>
      </c>
      <c r="C12160" s="3" t="s">
        <v>1464</v>
      </c>
      <c r="D12160" s="3">
        <v>111.0</v>
      </c>
      <c r="E12160" s="3">
        <v>3.79</v>
      </c>
      <c r="F12160" s="3">
        <v>2.15</v>
      </c>
      <c r="G12160" s="3">
        <v>17.69</v>
      </c>
    </row>
    <row r="12161">
      <c r="A12161" s="3">
        <v>787098.0</v>
      </c>
      <c r="B12161" s="3" t="s">
        <v>12189</v>
      </c>
      <c r="C12161" s="3" t="s">
        <v>1464</v>
      </c>
      <c r="D12161" s="3">
        <v>143.0</v>
      </c>
      <c r="E12161" s="3">
        <v>6.95</v>
      </c>
      <c r="F12161" s="3">
        <v>4.37</v>
      </c>
      <c r="G12161" s="3">
        <v>16.12</v>
      </c>
    </row>
    <row r="12162">
      <c r="A12162" s="3">
        <v>787099.0</v>
      </c>
      <c r="B12162" s="3" t="s">
        <v>12190</v>
      </c>
      <c r="C12162" s="3" t="s">
        <v>1464</v>
      </c>
      <c r="D12162" s="3">
        <v>99.0</v>
      </c>
      <c r="E12162" s="3">
        <v>3.56</v>
      </c>
      <c r="F12162" s="3">
        <v>1.86</v>
      </c>
      <c r="G12162" s="3">
        <v>15.21</v>
      </c>
    </row>
    <row r="12163">
      <c r="A12163" s="3">
        <v>787100.0</v>
      </c>
      <c r="B12163" s="3" t="s">
        <v>12191</v>
      </c>
      <c r="C12163" s="3" t="s">
        <v>1464</v>
      </c>
      <c r="D12163" s="3">
        <v>111.0</v>
      </c>
      <c r="E12163" s="3">
        <v>3.79</v>
      </c>
      <c r="F12163" s="3">
        <v>2.15</v>
      </c>
      <c r="G12163" s="3">
        <v>17.69</v>
      </c>
    </row>
    <row r="12164">
      <c r="A12164" s="3">
        <v>787101.0</v>
      </c>
      <c r="B12164" s="3" t="s">
        <v>12192</v>
      </c>
      <c r="C12164" s="3" t="s">
        <v>1464</v>
      </c>
      <c r="D12164" s="3">
        <v>134.0</v>
      </c>
      <c r="E12164" s="3">
        <v>6.83</v>
      </c>
      <c r="F12164" s="3">
        <v>2.07</v>
      </c>
      <c r="G12164" s="3">
        <v>16.85</v>
      </c>
    </row>
    <row r="12165">
      <c r="A12165" s="3">
        <v>787102.0</v>
      </c>
      <c r="B12165" s="3" t="s">
        <v>12193</v>
      </c>
      <c r="C12165" s="3" t="s">
        <v>1464</v>
      </c>
      <c r="D12165" s="3">
        <v>117.0</v>
      </c>
      <c r="E12165" s="3">
        <v>5.99</v>
      </c>
      <c r="F12165" s="3">
        <v>1.8</v>
      </c>
      <c r="G12165" s="3">
        <v>14.54</v>
      </c>
    </row>
    <row r="12166">
      <c r="A12166" s="3">
        <v>787103.0</v>
      </c>
      <c r="B12166" s="3" t="s">
        <v>12194</v>
      </c>
      <c r="C12166" s="3" t="s">
        <v>1464</v>
      </c>
      <c r="D12166" s="3">
        <v>76.0</v>
      </c>
      <c r="E12166" s="3">
        <v>1.77</v>
      </c>
      <c r="F12166" s="3">
        <v>2.14</v>
      </c>
      <c r="G12166" s="3">
        <v>13.14</v>
      </c>
    </row>
    <row r="12167">
      <c r="A12167" s="3">
        <v>787104.0</v>
      </c>
      <c r="B12167" s="3" t="s">
        <v>12195</v>
      </c>
      <c r="C12167" s="3" t="s">
        <v>1464</v>
      </c>
      <c r="D12167" s="3">
        <v>113.0</v>
      </c>
      <c r="E12167" s="3">
        <v>6.27</v>
      </c>
      <c r="F12167" s="3">
        <v>2.05</v>
      </c>
      <c r="G12167" s="3">
        <v>12.75</v>
      </c>
    </row>
    <row r="12168">
      <c r="A12168" s="3">
        <v>787105.0</v>
      </c>
      <c r="B12168" s="3" t="s">
        <v>12196</v>
      </c>
      <c r="C12168" s="3" t="s">
        <v>1464</v>
      </c>
      <c r="D12168" s="3">
        <v>113.0</v>
      </c>
      <c r="E12168" s="3">
        <v>6.27</v>
      </c>
      <c r="F12168" s="3">
        <v>2.05</v>
      </c>
      <c r="G12168" s="3">
        <v>12.75</v>
      </c>
    </row>
    <row r="12169">
      <c r="A12169" s="3">
        <v>787106.0</v>
      </c>
      <c r="B12169" s="3" t="s">
        <v>12197</v>
      </c>
      <c r="C12169" s="3" t="s">
        <v>1464</v>
      </c>
      <c r="D12169" s="3">
        <v>144.0</v>
      </c>
      <c r="E12169" s="3">
        <v>9.16</v>
      </c>
      <c r="F12169" s="3">
        <v>4.28</v>
      </c>
      <c r="G12169" s="3">
        <v>11.71</v>
      </c>
    </row>
    <row r="12170">
      <c r="A12170" s="3">
        <v>787107.0</v>
      </c>
      <c r="B12170" s="3" t="s">
        <v>12198</v>
      </c>
      <c r="C12170" s="3" t="s">
        <v>1464</v>
      </c>
      <c r="D12170" s="3">
        <v>100.0</v>
      </c>
      <c r="E12170" s="3">
        <v>5.54</v>
      </c>
      <c r="F12170" s="3">
        <v>1.78</v>
      </c>
      <c r="G12170" s="3">
        <v>11.26</v>
      </c>
    </row>
    <row r="12171">
      <c r="A12171" s="3">
        <v>787109.0</v>
      </c>
      <c r="B12171" s="3" t="s">
        <v>12199</v>
      </c>
      <c r="C12171" s="3" t="s">
        <v>1464</v>
      </c>
      <c r="D12171" s="3">
        <v>138.0</v>
      </c>
      <c r="E12171" s="3">
        <v>8.04</v>
      </c>
      <c r="F12171" s="3">
        <v>4.21</v>
      </c>
      <c r="G12171" s="3">
        <v>12.2</v>
      </c>
    </row>
    <row r="12172">
      <c r="A12172" s="3">
        <v>787110.0</v>
      </c>
      <c r="B12172" s="3" t="s">
        <v>12200</v>
      </c>
      <c r="C12172" s="3" t="s">
        <v>1464</v>
      </c>
      <c r="D12172" s="3">
        <v>94.0</v>
      </c>
      <c r="E12172" s="3">
        <v>4.53</v>
      </c>
      <c r="F12172" s="3">
        <v>1.72</v>
      </c>
      <c r="G12172" s="3">
        <v>11.69</v>
      </c>
    </row>
    <row r="12173">
      <c r="A12173" s="3">
        <v>787111.0</v>
      </c>
      <c r="B12173" s="3" t="s">
        <v>12201</v>
      </c>
      <c r="C12173" s="3" t="s">
        <v>2807</v>
      </c>
      <c r="D12173" s="3">
        <v>170.0</v>
      </c>
      <c r="E12173" s="3">
        <v>11.22</v>
      </c>
      <c r="F12173" s="3">
        <v>3.89</v>
      </c>
      <c r="G12173" s="3">
        <v>13.4</v>
      </c>
    </row>
    <row r="12174">
      <c r="A12174" s="3">
        <v>787112.0</v>
      </c>
      <c r="B12174" s="3" t="s">
        <v>12202</v>
      </c>
      <c r="C12174" s="3" t="s">
        <v>2807</v>
      </c>
      <c r="D12174" s="3">
        <v>236.0</v>
      </c>
      <c r="E12174" s="3">
        <v>15.46</v>
      </c>
      <c r="F12174" s="3">
        <v>1.9</v>
      </c>
      <c r="G12174" s="3">
        <v>24.4</v>
      </c>
    </row>
    <row r="12175">
      <c r="A12175" s="3">
        <v>787113.0</v>
      </c>
      <c r="B12175" s="3" t="s">
        <v>12203</v>
      </c>
      <c r="C12175" s="3" t="s">
        <v>2807</v>
      </c>
      <c r="D12175" s="3">
        <v>236.0</v>
      </c>
      <c r="E12175" s="3">
        <v>15.4</v>
      </c>
      <c r="F12175" s="3">
        <v>1.89</v>
      </c>
      <c r="G12175" s="3">
        <v>24.31</v>
      </c>
    </row>
    <row r="12176">
      <c r="A12176" s="3">
        <v>787114.0</v>
      </c>
      <c r="B12176" s="3" t="s">
        <v>12204</v>
      </c>
      <c r="C12176" s="3" t="s">
        <v>2807</v>
      </c>
      <c r="D12176" s="3">
        <v>164.0</v>
      </c>
      <c r="E12176" s="3">
        <v>9.16</v>
      </c>
      <c r="F12176" s="3">
        <v>2.02</v>
      </c>
      <c r="G12176" s="3">
        <v>19.34</v>
      </c>
    </row>
    <row r="12177">
      <c r="A12177" s="3">
        <v>787115.0</v>
      </c>
      <c r="B12177" s="3" t="s">
        <v>12205</v>
      </c>
      <c r="C12177" s="3" t="s">
        <v>2807</v>
      </c>
      <c r="D12177" s="3">
        <v>236.0</v>
      </c>
      <c r="E12177" s="3">
        <v>15.46</v>
      </c>
      <c r="F12177" s="3">
        <v>1.9</v>
      </c>
      <c r="G12177" s="3">
        <v>24.4</v>
      </c>
    </row>
    <row r="12178">
      <c r="A12178" s="3">
        <v>787116.0</v>
      </c>
      <c r="B12178" s="3" t="s">
        <v>12206</v>
      </c>
      <c r="C12178" s="3" t="s">
        <v>2807</v>
      </c>
      <c r="D12178" s="3">
        <v>187.0</v>
      </c>
      <c r="E12178" s="3">
        <v>9.17</v>
      </c>
      <c r="F12178" s="3">
        <v>2.03</v>
      </c>
      <c r="G12178" s="3">
        <v>26.1</v>
      </c>
    </row>
    <row r="12179">
      <c r="A12179" s="3">
        <v>787117.0</v>
      </c>
      <c r="B12179" s="3" t="s">
        <v>12207</v>
      </c>
      <c r="C12179" s="3" t="s">
        <v>2807</v>
      </c>
      <c r="D12179" s="3">
        <v>236.0</v>
      </c>
      <c r="E12179" s="3">
        <v>15.46</v>
      </c>
      <c r="F12179" s="3">
        <v>1.9</v>
      </c>
      <c r="G12179" s="3">
        <v>24.4</v>
      </c>
    </row>
    <row r="12180">
      <c r="A12180" s="3">
        <v>787118.0</v>
      </c>
      <c r="B12180" s="3" t="s">
        <v>12208</v>
      </c>
      <c r="C12180" s="3" t="s">
        <v>2807</v>
      </c>
      <c r="D12180" s="3">
        <v>236.0</v>
      </c>
      <c r="E12180" s="3">
        <v>15.46</v>
      </c>
      <c r="F12180" s="3">
        <v>1.9</v>
      </c>
      <c r="G12180" s="3">
        <v>24.4</v>
      </c>
    </row>
    <row r="12181">
      <c r="A12181" s="3">
        <v>787119.0</v>
      </c>
      <c r="B12181" s="3" t="s">
        <v>12209</v>
      </c>
      <c r="C12181" s="3" t="s">
        <v>101</v>
      </c>
      <c r="D12181" s="3">
        <v>124.0</v>
      </c>
      <c r="E12181" s="3">
        <v>4.13</v>
      </c>
      <c r="F12181" s="3">
        <v>1.9</v>
      </c>
      <c r="G12181" s="3">
        <v>20.39</v>
      </c>
    </row>
    <row r="12182">
      <c r="A12182" s="3">
        <v>787120.0</v>
      </c>
      <c r="B12182" s="3" t="s">
        <v>12210</v>
      </c>
      <c r="C12182" s="3" t="s">
        <v>101</v>
      </c>
      <c r="D12182" s="3">
        <v>130.0</v>
      </c>
      <c r="E12182" s="3">
        <v>5.51</v>
      </c>
      <c r="F12182" s="3">
        <v>1.95</v>
      </c>
      <c r="G12182" s="3">
        <v>18.96</v>
      </c>
    </row>
    <row r="12183">
      <c r="A12183" s="3">
        <v>787121.0</v>
      </c>
      <c r="B12183" s="3" t="s">
        <v>12211</v>
      </c>
      <c r="C12183" s="3" t="s">
        <v>101</v>
      </c>
      <c r="D12183" s="3">
        <v>152.0</v>
      </c>
      <c r="E12183" s="3">
        <v>7.68</v>
      </c>
      <c r="F12183" s="3">
        <v>3.58</v>
      </c>
      <c r="G12183" s="3">
        <v>17.72</v>
      </c>
    </row>
    <row r="12184">
      <c r="A12184" s="3">
        <v>787122.0</v>
      </c>
      <c r="B12184" s="3" t="s">
        <v>12212</v>
      </c>
      <c r="C12184" s="3" t="s">
        <v>101</v>
      </c>
      <c r="D12184" s="3">
        <v>159.0</v>
      </c>
      <c r="E12184" s="3">
        <v>8.27</v>
      </c>
      <c r="F12184" s="3">
        <v>4.24</v>
      </c>
      <c r="G12184" s="3">
        <v>17.38</v>
      </c>
    </row>
    <row r="12185">
      <c r="A12185" s="3">
        <v>787123.0</v>
      </c>
      <c r="B12185" s="3" t="s">
        <v>12213</v>
      </c>
      <c r="C12185" s="3" t="s">
        <v>101</v>
      </c>
      <c r="D12185" s="3">
        <v>141.0</v>
      </c>
      <c r="E12185" s="3">
        <v>6.13</v>
      </c>
      <c r="F12185" s="3">
        <v>4.01</v>
      </c>
      <c r="G12185" s="3">
        <v>18.02</v>
      </c>
    </row>
    <row r="12186">
      <c r="A12186" s="3">
        <v>787124.0</v>
      </c>
      <c r="B12186" s="3" t="s">
        <v>12214</v>
      </c>
      <c r="C12186" s="3" t="s">
        <v>101</v>
      </c>
      <c r="D12186" s="3">
        <v>141.0</v>
      </c>
      <c r="E12186" s="3">
        <v>6.24</v>
      </c>
      <c r="F12186" s="3">
        <v>3.65</v>
      </c>
      <c r="G12186" s="3">
        <v>18.14</v>
      </c>
    </row>
    <row r="12187">
      <c r="A12187" s="3">
        <v>787125.0</v>
      </c>
      <c r="B12187" s="3" t="s">
        <v>12215</v>
      </c>
      <c r="C12187" s="3" t="s">
        <v>101</v>
      </c>
      <c r="D12187" s="3">
        <v>93.0</v>
      </c>
      <c r="E12187" s="3">
        <v>0.13</v>
      </c>
      <c r="F12187" s="3">
        <v>2.49</v>
      </c>
      <c r="G12187" s="3">
        <v>21.05</v>
      </c>
    </row>
    <row r="12188">
      <c r="A12188" s="3">
        <v>787126.0</v>
      </c>
      <c r="B12188" s="3" t="s">
        <v>12216</v>
      </c>
      <c r="C12188" s="3" t="s">
        <v>101</v>
      </c>
      <c r="D12188" s="3">
        <v>124.0</v>
      </c>
      <c r="E12188" s="3">
        <v>4.16</v>
      </c>
      <c r="F12188" s="3">
        <v>2.41</v>
      </c>
      <c r="G12188" s="3">
        <v>20.01</v>
      </c>
    </row>
    <row r="12189">
      <c r="A12189" s="3">
        <v>787127.0</v>
      </c>
      <c r="B12189" s="3" t="s">
        <v>12217</v>
      </c>
      <c r="C12189" s="3" t="s">
        <v>101</v>
      </c>
      <c r="D12189" s="3">
        <v>130.0</v>
      </c>
      <c r="E12189" s="3">
        <v>5.54</v>
      </c>
      <c r="F12189" s="3">
        <v>2.41</v>
      </c>
      <c r="G12189" s="3">
        <v>18.62</v>
      </c>
    </row>
    <row r="12190">
      <c r="A12190" s="3">
        <v>787128.0</v>
      </c>
      <c r="B12190" s="3" t="s">
        <v>12218</v>
      </c>
      <c r="C12190" s="3" t="s">
        <v>101</v>
      </c>
      <c r="D12190" s="3">
        <v>152.0</v>
      </c>
      <c r="E12190" s="3">
        <v>7.7</v>
      </c>
      <c r="F12190" s="3">
        <v>4.0</v>
      </c>
      <c r="G12190" s="3">
        <v>17.41</v>
      </c>
    </row>
    <row r="12191">
      <c r="A12191" s="3">
        <v>787129.0</v>
      </c>
      <c r="B12191" s="3" t="s">
        <v>12219</v>
      </c>
      <c r="C12191" s="3" t="s">
        <v>101</v>
      </c>
      <c r="D12191" s="3">
        <v>159.0</v>
      </c>
      <c r="E12191" s="3">
        <v>8.3</v>
      </c>
      <c r="F12191" s="3">
        <v>4.66</v>
      </c>
      <c r="G12191" s="3">
        <v>17.06</v>
      </c>
    </row>
    <row r="12192">
      <c r="A12192" s="3">
        <v>787130.0</v>
      </c>
      <c r="B12192" s="3" t="s">
        <v>12220</v>
      </c>
      <c r="C12192" s="3" t="s">
        <v>101</v>
      </c>
      <c r="D12192" s="3">
        <v>141.0</v>
      </c>
      <c r="E12192" s="3">
        <v>6.15</v>
      </c>
      <c r="F12192" s="3">
        <v>4.4</v>
      </c>
      <c r="G12192" s="3">
        <v>17.73</v>
      </c>
    </row>
    <row r="12193">
      <c r="A12193" s="3">
        <v>787131.0</v>
      </c>
      <c r="B12193" s="3" t="s">
        <v>12221</v>
      </c>
      <c r="C12193" s="3" t="s">
        <v>101</v>
      </c>
      <c r="D12193" s="3">
        <v>141.0</v>
      </c>
      <c r="E12193" s="3">
        <v>6.27</v>
      </c>
      <c r="F12193" s="3">
        <v>4.09</v>
      </c>
      <c r="G12193" s="3">
        <v>17.81</v>
      </c>
    </row>
    <row r="12194">
      <c r="A12194" s="3">
        <v>787132.0</v>
      </c>
      <c r="B12194" s="3" t="s">
        <v>12222</v>
      </c>
      <c r="C12194" s="3" t="s">
        <v>1464</v>
      </c>
      <c r="D12194" s="3">
        <v>171.0</v>
      </c>
      <c r="E12194" s="3">
        <v>11.39</v>
      </c>
      <c r="F12194" s="3">
        <v>2.88</v>
      </c>
      <c r="G12194" s="3">
        <v>14.4</v>
      </c>
    </row>
    <row r="12195">
      <c r="A12195" s="3">
        <v>787134.0</v>
      </c>
      <c r="B12195" s="3" t="s">
        <v>12223</v>
      </c>
      <c r="C12195" s="3" t="s">
        <v>1464</v>
      </c>
      <c r="D12195" s="3">
        <v>111.0</v>
      </c>
      <c r="E12195" s="3">
        <v>4.46</v>
      </c>
      <c r="F12195" s="3">
        <v>2.72</v>
      </c>
      <c r="G12195" s="3">
        <v>15.12</v>
      </c>
    </row>
    <row r="12196">
      <c r="A12196" s="3">
        <v>787135.0</v>
      </c>
      <c r="B12196" s="3" t="s">
        <v>12224</v>
      </c>
      <c r="C12196" s="3" t="s">
        <v>1464</v>
      </c>
      <c r="D12196" s="3">
        <v>112.0</v>
      </c>
      <c r="E12196" s="3">
        <v>4.32</v>
      </c>
      <c r="F12196" s="3">
        <v>2.76</v>
      </c>
      <c r="G12196" s="3">
        <v>15.9</v>
      </c>
    </row>
    <row r="12197">
      <c r="A12197" s="3">
        <v>787136.0</v>
      </c>
      <c r="B12197" s="3" t="s">
        <v>12225</v>
      </c>
      <c r="C12197" s="3" t="s">
        <v>1464</v>
      </c>
      <c r="D12197" s="3">
        <v>111.0</v>
      </c>
      <c r="E12197" s="3">
        <v>4.46</v>
      </c>
      <c r="F12197" s="3">
        <v>2.72</v>
      </c>
      <c r="G12197" s="3">
        <v>15.12</v>
      </c>
    </row>
    <row r="12198">
      <c r="A12198" s="3">
        <v>787137.0</v>
      </c>
      <c r="B12198" s="3" t="s">
        <v>12226</v>
      </c>
      <c r="C12198" s="3" t="s">
        <v>1464</v>
      </c>
      <c r="D12198" s="3">
        <v>142.0</v>
      </c>
      <c r="E12198" s="3">
        <v>7.91</v>
      </c>
      <c r="F12198" s="3">
        <v>2.94</v>
      </c>
      <c r="G12198" s="3">
        <v>14.88</v>
      </c>
    </row>
    <row r="12199">
      <c r="A12199" s="3">
        <v>787138.0</v>
      </c>
      <c r="B12199" s="3" t="s">
        <v>12227</v>
      </c>
      <c r="C12199" s="3" t="s">
        <v>1464</v>
      </c>
      <c r="D12199" s="3">
        <v>102.0</v>
      </c>
      <c r="E12199" s="3">
        <v>3.46</v>
      </c>
      <c r="F12199" s="3">
        <v>2.96</v>
      </c>
      <c r="G12199" s="3">
        <v>15.01</v>
      </c>
    </row>
    <row r="12200">
      <c r="A12200" s="3">
        <v>787139.0</v>
      </c>
      <c r="B12200" s="3" t="s">
        <v>12228</v>
      </c>
      <c r="C12200" s="3" t="s">
        <v>1464</v>
      </c>
      <c r="D12200" s="3">
        <v>114.0</v>
      </c>
      <c r="E12200" s="3">
        <v>4.42</v>
      </c>
      <c r="F12200" s="3">
        <v>2.81</v>
      </c>
      <c r="G12200" s="3">
        <v>15.8</v>
      </c>
    </row>
    <row r="12201">
      <c r="A12201" s="3">
        <v>787140.0</v>
      </c>
      <c r="B12201" s="3" t="s">
        <v>12229</v>
      </c>
      <c r="C12201" s="3" t="s">
        <v>1464</v>
      </c>
      <c r="D12201" s="3">
        <v>94.0</v>
      </c>
      <c r="E12201" s="3">
        <v>2.35</v>
      </c>
      <c r="F12201" s="3">
        <v>2.8</v>
      </c>
      <c r="G12201" s="3">
        <v>15.48</v>
      </c>
    </row>
    <row r="12202">
      <c r="A12202" s="3">
        <v>787141.0</v>
      </c>
      <c r="B12202" s="3" t="s">
        <v>12230</v>
      </c>
      <c r="C12202" s="3" t="s">
        <v>1464</v>
      </c>
      <c r="D12202" s="3">
        <v>89.0</v>
      </c>
      <c r="E12202" s="3">
        <v>1.74</v>
      </c>
      <c r="F12202" s="3">
        <v>2.67</v>
      </c>
      <c r="G12202" s="3">
        <v>16.0</v>
      </c>
    </row>
    <row r="12203">
      <c r="A12203" s="3">
        <v>787142.0</v>
      </c>
      <c r="B12203" s="3" t="s">
        <v>12231</v>
      </c>
      <c r="C12203" s="3" t="s">
        <v>1464</v>
      </c>
      <c r="D12203" s="3">
        <v>104.0</v>
      </c>
      <c r="E12203" s="3">
        <v>3.2</v>
      </c>
      <c r="F12203" s="3">
        <v>2.44</v>
      </c>
      <c r="G12203" s="3">
        <v>16.4</v>
      </c>
    </row>
    <row r="12204">
      <c r="A12204" s="3">
        <v>787143.0</v>
      </c>
      <c r="B12204" s="3" t="s">
        <v>12232</v>
      </c>
      <c r="C12204" s="3" t="s">
        <v>1464</v>
      </c>
      <c r="D12204" s="3">
        <v>173.0</v>
      </c>
      <c r="E12204" s="3">
        <v>11.5</v>
      </c>
      <c r="F12204" s="3">
        <v>1.54</v>
      </c>
      <c r="G12204" s="3">
        <v>16.23</v>
      </c>
    </row>
    <row r="12205">
      <c r="A12205" s="3">
        <v>787144.0</v>
      </c>
      <c r="B12205" s="3" t="s">
        <v>12233</v>
      </c>
      <c r="C12205" s="3" t="s">
        <v>1464</v>
      </c>
      <c r="D12205" s="3">
        <v>168.0</v>
      </c>
      <c r="E12205" s="3">
        <v>11.14</v>
      </c>
      <c r="F12205" s="3">
        <v>1.52</v>
      </c>
      <c r="G12205" s="3">
        <v>15.8</v>
      </c>
    </row>
    <row r="12206">
      <c r="A12206" s="3">
        <v>787145.0</v>
      </c>
      <c r="B12206" s="3" t="s">
        <v>12234</v>
      </c>
      <c r="C12206" s="3" t="s">
        <v>1464</v>
      </c>
      <c r="D12206" s="3">
        <v>105.0</v>
      </c>
      <c r="E12206" s="3">
        <v>3.65</v>
      </c>
      <c r="F12206" s="3">
        <v>1.41</v>
      </c>
      <c r="G12206" s="3">
        <v>16.97</v>
      </c>
    </row>
    <row r="12207">
      <c r="A12207" s="3">
        <v>787146.0</v>
      </c>
      <c r="B12207" s="3" t="s">
        <v>12235</v>
      </c>
      <c r="C12207" s="3" t="s">
        <v>1464</v>
      </c>
      <c r="D12207" s="3">
        <v>107.0</v>
      </c>
      <c r="E12207" s="3">
        <v>3.49</v>
      </c>
      <c r="F12207" s="3">
        <v>1.46</v>
      </c>
      <c r="G12207" s="3">
        <v>17.86</v>
      </c>
    </row>
    <row r="12208">
      <c r="A12208" s="3">
        <v>787147.0</v>
      </c>
      <c r="B12208" s="3" t="s">
        <v>12236</v>
      </c>
      <c r="C12208" s="3" t="s">
        <v>1464</v>
      </c>
      <c r="D12208" s="3">
        <v>105.0</v>
      </c>
      <c r="E12208" s="3">
        <v>3.65</v>
      </c>
      <c r="F12208" s="3">
        <v>1.41</v>
      </c>
      <c r="G12208" s="3">
        <v>16.97</v>
      </c>
    </row>
    <row r="12209">
      <c r="A12209" s="3">
        <v>787148.0</v>
      </c>
      <c r="B12209" s="3" t="s">
        <v>12237</v>
      </c>
      <c r="C12209" s="3" t="s">
        <v>1464</v>
      </c>
      <c r="D12209" s="3">
        <v>140.0</v>
      </c>
      <c r="E12209" s="3">
        <v>7.53</v>
      </c>
      <c r="F12209" s="3">
        <v>1.59</v>
      </c>
      <c r="G12209" s="3">
        <v>16.79</v>
      </c>
    </row>
    <row r="12210">
      <c r="A12210" s="3">
        <v>787149.0</v>
      </c>
      <c r="B12210" s="3" t="s">
        <v>12238</v>
      </c>
      <c r="C12210" s="3" t="s">
        <v>1464</v>
      </c>
      <c r="D12210" s="3">
        <v>95.0</v>
      </c>
      <c r="E12210" s="3">
        <v>2.47</v>
      </c>
      <c r="F12210" s="3">
        <v>1.62</v>
      </c>
      <c r="G12210" s="3">
        <v>16.94</v>
      </c>
    </row>
    <row r="12211">
      <c r="A12211" s="3">
        <v>787150.0</v>
      </c>
      <c r="B12211" s="3" t="s">
        <v>12239</v>
      </c>
      <c r="C12211" s="3" t="s">
        <v>1464</v>
      </c>
      <c r="D12211" s="3">
        <v>108.0</v>
      </c>
      <c r="E12211" s="3">
        <v>3.56</v>
      </c>
      <c r="F12211" s="3">
        <v>1.44</v>
      </c>
      <c r="G12211" s="3">
        <v>17.85</v>
      </c>
    </row>
    <row r="12212">
      <c r="A12212" s="3">
        <v>787151.0</v>
      </c>
      <c r="B12212" s="3" t="s">
        <v>12240</v>
      </c>
      <c r="C12212" s="3" t="s">
        <v>1464</v>
      </c>
      <c r="D12212" s="3">
        <v>85.0</v>
      </c>
      <c r="E12212" s="3">
        <v>1.2</v>
      </c>
      <c r="F12212" s="3">
        <v>1.44</v>
      </c>
      <c r="G12212" s="3">
        <v>17.48</v>
      </c>
    </row>
    <row r="12213">
      <c r="A12213" s="3">
        <v>787152.0</v>
      </c>
      <c r="B12213" s="3" t="s">
        <v>12241</v>
      </c>
      <c r="C12213" s="3" t="s">
        <v>1464</v>
      </c>
      <c r="D12213" s="3">
        <v>81.0</v>
      </c>
      <c r="E12213" s="3">
        <v>0.58</v>
      </c>
      <c r="F12213" s="3">
        <v>1.38</v>
      </c>
      <c r="G12213" s="3">
        <v>17.94</v>
      </c>
    </row>
    <row r="12214">
      <c r="A12214" s="3">
        <v>787153.0</v>
      </c>
      <c r="B12214" s="3" t="s">
        <v>12242</v>
      </c>
      <c r="C12214" s="3" t="s">
        <v>1464</v>
      </c>
      <c r="D12214" s="3">
        <v>192.0</v>
      </c>
      <c r="E12214" s="3">
        <v>10.49</v>
      </c>
      <c r="F12214" s="3">
        <v>4.49</v>
      </c>
      <c r="G12214" s="3">
        <v>20.6</v>
      </c>
    </row>
    <row r="12215">
      <c r="A12215" s="3">
        <v>787154.0</v>
      </c>
      <c r="B12215" s="3" t="s">
        <v>12243</v>
      </c>
      <c r="C12215" s="3" t="s">
        <v>1464</v>
      </c>
      <c r="D12215" s="3">
        <v>216.0</v>
      </c>
      <c r="E12215" s="3">
        <v>6.09</v>
      </c>
      <c r="F12215" s="3">
        <v>4.22</v>
      </c>
      <c r="G12215" s="3">
        <v>36.04</v>
      </c>
    </row>
    <row r="12216">
      <c r="A12216" s="3">
        <v>787155.0</v>
      </c>
      <c r="B12216" s="3" t="s">
        <v>12244</v>
      </c>
      <c r="C12216" s="3" t="s">
        <v>1464</v>
      </c>
      <c r="D12216" s="3">
        <v>126.0</v>
      </c>
      <c r="E12216" s="3">
        <v>7.72</v>
      </c>
      <c r="F12216" s="3">
        <v>3.56</v>
      </c>
      <c r="G12216" s="3">
        <v>10.65</v>
      </c>
    </row>
    <row r="12217">
      <c r="A12217" s="3">
        <v>787156.0</v>
      </c>
      <c r="B12217" s="3" t="s">
        <v>12245</v>
      </c>
      <c r="C12217" s="3" t="s">
        <v>1464</v>
      </c>
      <c r="D12217" s="3">
        <v>114.0</v>
      </c>
      <c r="E12217" s="3">
        <v>3.22</v>
      </c>
      <c r="F12217" s="3">
        <v>1.84</v>
      </c>
      <c r="G12217" s="3">
        <v>19.91</v>
      </c>
    </row>
    <row r="12218">
      <c r="A12218" s="3">
        <v>787157.0</v>
      </c>
      <c r="B12218" s="3" t="s">
        <v>12246</v>
      </c>
      <c r="C12218" s="3" t="s">
        <v>1464</v>
      </c>
      <c r="D12218" s="3">
        <v>92.0</v>
      </c>
      <c r="E12218" s="3">
        <v>3.13</v>
      </c>
      <c r="F12218" s="3">
        <v>1.57</v>
      </c>
      <c r="G12218" s="3">
        <v>15.17</v>
      </c>
    </row>
    <row r="12219">
      <c r="A12219" s="3">
        <v>787158.0</v>
      </c>
      <c r="B12219" s="3" t="s">
        <v>12247</v>
      </c>
      <c r="C12219" s="3" t="s">
        <v>225</v>
      </c>
      <c r="D12219" s="3">
        <v>50.0</v>
      </c>
      <c r="E12219" s="3">
        <v>1.46</v>
      </c>
      <c r="F12219" s="3">
        <v>1.58</v>
      </c>
      <c r="G12219" s="3">
        <v>7.66</v>
      </c>
    </row>
    <row r="12220">
      <c r="A12220" s="3">
        <v>787159.0</v>
      </c>
      <c r="B12220" s="3" t="s">
        <v>12248</v>
      </c>
      <c r="C12220" s="3" t="s">
        <v>225</v>
      </c>
      <c r="D12220" s="3">
        <v>62.0</v>
      </c>
      <c r="E12220" s="3">
        <v>1.96</v>
      </c>
      <c r="F12220" s="3">
        <v>2.39</v>
      </c>
      <c r="G12220" s="3">
        <v>8.82</v>
      </c>
    </row>
    <row r="12221">
      <c r="A12221" s="3">
        <v>787160.0</v>
      </c>
      <c r="B12221" s="3" t="s">
        <v>12249</v>
      </c>
      <c r="C12221" s="3" t="s">
        <v>225</v>
      </c>
      <c r="D12221" s="3">
        <v>38.0</v>
      </c>
      <c r="E12221" s="3">
        <v>0.95</v>
      </c>
      <c r="F12221" s="3">
        <v>0.77</v>
      </c>
      <c r="G12221" s="3">
        <v>6.49</v>
      </c>
    </row>
    <row r="12222">
      <c r="A12222" s="3">
        <v>787161.0</v>
      </c>
      <c r="B12222" s="3" t="s">
        <v>12250</v>
      </c>
      <c r="C12222" s="3" t="s">
        <v>225</v>
      </c>
      <c r="D12222" s="3">
        <v>74.0</v>
      </c>
      <c r="E12222" s="3">
        <v>3.35</v>
      </c>
      <c r="F12222" s="3">
        <v>2.71</v>
      </c>
      <c r="G12222" s="3">
        <v>8.56</v>
      </c>
    </row>
    <row r="12223">
      <c r="A12223" s="3">
        <v>787162.0</v>
      </c>
      <c r="B12223" s="3" t="s">
        <v>12251</v>
      </c>
      <c r="C12223" s="3" t="s">
        <v>225</v>
      </c>
      <c r="D12223" s="3">
        <v>92.0</v>
      </c>
      <c r="E12223" s="3">
        <v>4.78</v>
      </c>
      <c r="F12223" s="3">
        <v>3.82</v>
      </c>
      <c r="G12223" s="3">
        <v>8.73</v>
      </c>
    </row>
    <row r="12224">
      <c r="A12224" s="3">
        <v>787163.0</v>
      </c>
      <c r="B12224" s="3" t="s">
        <v>12252</v>
      </c>
      <c r="C12224" s="3" t="s">
        <v>225</v>
      </c>
      <c r="D12224" s="3">
        <v>40.0</v>
      </c>
      <c r="E12224" s="3">
        <v>0.48</v>
      </c>
      <c r="F12224" s="3">
        <v>2.33</v>
      </c>
      <c r="G12224" s="3">
        <v>7.15</v>
      </c>
    </row>
    <row r="12225">
      <c r="A12225" s="3">
        <v>787164.0</v>
      </c>
      <c r="B12225" s="3" t="s">
        <v>12253</v>
      </c>
      <c r="C12225" s="3" t="s">
        <v>101</v>
      </c>
      <c r="D12225" s="3">
        <v>116.0</v>
      </c>
      <c r="E12225" s="3">
        <v>0.18</v>
      </c>
      <c r="F12225" s="3">
        <v>0.79</v>
      </c>
      <c r="G12225" s="3">
        <v>31.15</v>
      </c>
    </row>
    <row r="12226">
      <c r="A12226" s="3">
        <v>787165.0</v>
      </c>
      <c r="B12226" s="3" t="s">
        <v>12254</v>
      </c>
      <c r="C12226" s="3" t="s">
        <v>101</v>
      </c>
      <c r="D12226" s="3">
        <v>241.0</v>
      </c>
      <c r="E12226" s="3">
        <v>10.16</v>
      </c>
      <c r="F12226" s="3">
        <v>1.66</v>
      </c>
      <c r="G12226" s="3">
        <v>40.6</v>
      </c>
    </row>
    <row r="12227">
      <c r="A12227" s="3">
        <v>787166.0</v>
      </c>
      <c r="B12227" s="3" t="s">
        <v>12255</v>
      </c>
      <c r="C12227" s="3" t="s">
        <v>101</v>
      </c>
      <c r="D12227" s="3">
        <v>116.0</v>
      </c>
      <c r="E12227" s="3">
        <v>0.18</v>
      </c>
      <c r="F12227" s="3">
        <v>0.79</v>
      </c>
      <c r="G12227" s="3">
        <v>31.15</v>
      </c>
    </row>
    <row r="12228">
      <c r="A12228" s="3">
        <v>787167.0</v>
      </c>
      <c r="B12228" s="3" t="s">
        <v>12256</v>
      </c>
      <c r="C12228" s="3" t="s">
        <v>101</v>
      </c>
      <c r="D12228" s="3">
        <v>236.0</v>
      </c>
      <c r="E12228" s="3">
        <v>11.72</v>
      </c>
      <c r="F12228" s="3">
        <v>1.45</v>
      </c>
      <c r="G12228" s="3">
        <v>35.53</v>
      </c>
    </row>
    <row r="12229">
      <c r="A12229" s="3">
        <v>787170.0</v>
      </c>
      <c r="B12229" s="3" t="s">
        <v>12257</v>
      </c>
      <c r="C12229" s="3" t="s">
        <v>101</v>
      </c>
      <c r="D12229" s="3">
        <v>252.0</v>
      </c>
      <c r="E12229" s="3">
        <v>13.27</v>
      </c>
      <c r="F12229" s="3">
        <v>1.47</v>
      </c>
      <c r="G12229" s="3">
        <v>36.07</v>
      </c>
    </row>
    <row r="12230">
      <c r="A12230" s="3">
        <v>787171.0</v>
      </c>
      <c r="B12230" s="3" t="s">
        <v>12258</v>
      </c>
      <c r="C12230" s="3" t="s">
        <v>101</v>
      </c>
      <c r="D12230" s="3">
        <v>245.0</v>
      </c>
      <c r="E12230" s="3">
        <v>11.89</v>
      </c>
      <c r="F12230" s="3">
        <v>1.91</v>
      </c>
      <c r="G12230" s="3">
        <v>36.46</v>
      </c>
    </row>
    <row r="12231">
      <c r="A12231" s="3">
        <v>787172.0</v>
      </c>
      <c r="B12231" s="3" t="s">
        <v>12259</v>
      </c>
      <c r="C12231" s="3" t="s">
        <v>101</v>
      </c>
      <c r="D12231" s="3">
        <v>258.0</v>
      </c>
      <c r="E12231" s="3">
        <v>7.5</v>
      </c>
      <c r="F12231" s="3">
        <v>0.8</v>
      </c>
      <c r="G12231" s="3">
        <v>50.17</v>
      </c>
    </row>
    <row r="12232">
      <c r="A12232" s="3">
        <v>787174.0</v>
      </c>
      <c r="B12232" s="3" t="s">
        <v>12260</v>
      </c>
      <c r="C12232" s="3" t="s">
        <v>101</v>
      </c>
      <c r="D12232" s="3">
        <v>88.0</v>
      </c>
      <c r="E12232" s="3">
        <v>0.33</v>
      </c>
      <c r="F12232" s="3">
        <v>1.08</v>
      </c>
      <c r="G12232" s="3">
        <v>22.7</v>
      </c>
    </row>
    <row r="12233">
      <c r="A12233" s="3">
        <v>787175.0</v>
      </c>
      <c r="B12233" s="3" t="s">
        <v>12261</v>
      </c>
      <c r="C12233" s="3" t="s">
        <v>101</v>
      </c>
      <c r="D12233" s="3">
        <v>147.0</v>
      </c>
      <c r="E12233" s="3">
        <v>6.41</v>
      </c>
      <c r="F12233" s="3">
        <v>1.14</v>
      </c>
      <c r="G12233" s="3">
        <v>23.99</v>
      </c>
    </row>
    <row r="12234">
      <c r="A12234" s="3">
        <v>787176.0</v>
      </c>
      <c r="B12234" s="3" t="s">
        <v>12262</v>
      </c>
      <c r="C12234" s="3" t="s">
        <v>257</v>
      </c>
      <c r="D12234" s="3">
        <v>320.0</v>
      </c>
      <c r="E12234" s="3">
        <v>29.52</v>
      </c>
      <c r="F12234" s="3">
        <v>0.91</v>
      </c>
      <c r="G12234" s="3">
        <v>15.04</v>
      </c>
    </row>
    <row r="12235">
      <c r="A12235" s="3">
        <v>787177.0</v>
      </c>
      <c r="B12235" s="3" t="s">
        <v>12263</v>
      </c>
      <c r="C12235" s="3" t="s">
        <v>101</v>
      </c>
      <c r="D12235" s="3">
        <v>176.0</v>
      </c>
      <c r="E12235" s="3">
        <v>2.53</v>
      </c>
      <c r="F12235" s="3">
        <v>1.34</v>
      </c>
      <c r="G12235" s="3">
        <v>37.05</v>
      </c>
    </row>
    <row r="12236">
      <c r="A12236" s="3">
        <v>787178.0</v>
      </c>
      <c r="B12236" s="3" t="s">
        <v>12264</v>
      </c>
      <c r="C12236" s="3" t="s">
        <v>101</v>
      </c>
      <c r="D12236" s="3">
        <v>161.0</v>
      </c>
      <c r="E12236" s="3">
        <v>0.28</v>
      </c>
      <c r="F12236" s="3">
        <v>1.37</v>
      </c>
      <c r="G12236" s="3">
        <v>38.22</v>
      </c>
    </row>
    <row r="12237">
      <c r="A12237" s="3">
        <v>787179.0</v>
      </c>
      <c r="B12237" s="3" t="s">
        <v>12265</v>
      </c>
      <c r="C12237" s="3" t="s">
        <v>101</v>
      </c>
      <c r="D12237" s="3">
        <v>176.0</v>
      </c>
      <c r="E12237" s="3">
        <v>2.53</v>
      </c>
      <c r="F12237" s="3">
        <v>1.34</v>
      </c>
      <c r="G12237" s="3">
        <v>37.05</v>
      </c>
    </row>
    <row r="12238">
      <c r="A12238" s="3">
        <v>787180.0</v>
      </c>
      <c r="B12238" s="3" t="s">
        <v>12266</v>
      </c>
      <c r="C12238" s="3" t="s">
        <v>101</v>
      </c>
      <c r="D12238" s="3">
        <v>183.0</v>
      </c>
      <c r="E12238" s="3">
        <v>3.39</v>
      </c>
      <c r="F12238" s="3">
        <v>1.32</v>
      </c>
      <c r="G12238" s="3">
        <v>37.04</v>
      </c>
    </row>
    <row r="12239">
      <c r="A12239" s="3">
        <v>787181.0</v>
      </c>
      <c r="B12239" s="3" t="s">
        <v>12267</v>
      </c>
      <c r="C12239" s="3" t="s">
        <v>101</v>
      </c>
      <c r="D12239" s="3">
        <v>178.0</v>
      </c>
      <c r="E12239" s="3">
        <v>2.8</v>
      </c>
      <c r="F12239" s="3">
        <v>1.35</v>
      </c>
      <c r="G12239" s="3">
        <v>37.04</v>
      </c>
    </row>
    <row r="12240">
      <c r="A12240" s="3">
        <v>787182.0</v>
      </c>
      <c r="B12240" s="3" t="s">
        <v>12268</v>
      </c>
      <c r="C12240" s="3" t="s">
        <v>101</v>
      </c>
      <c r="D12240" s="3">
        <v>172.0</v>
      </c>
      <c r="E12240" s="3">
        <v>2.13</v>
      </c>
      <c r="F12240" s="3">
        <v>1.33</v>
      </c>
      <c r="G12240" s="3">
        <v>37.06</v>
      </c>
    </row>
    <row r="12241">
      <c r="A12241" s="3">
        <v>787183.0</v>
      </c>
      <c r="B12241" s="3" t="s">
        <v>12269</v>
      </c>
      <c r="C12241" s="3" t="s">
        <v>101</v>
      </c>
      <c r="D12241" s="3">
        <v>267.0</v>
      </c>
      <c r="E12241" s="3">
        <v>13.94</v>
      </c>
      <c r="F12241" s="3">
        <v>1.24</v>
      </c>
      <c r="G12241" s="3">
        <v>34.72</v>
      </c>
    </row>
    <row r="12242">
      <c r="A12242" s="3">
        <v>787184.0</v>
      </c>
      <c r="B12242" s="3" t="s">
        <v>12270</v>
      </c>
      <c r="C12242" s="3" t="s">
        <v>8</v>
      </c>
      <c r="D12242" s="3">
        <v>299.0</v>
      </c>
      <c r="E12242" s="3">
        <v>0.52</v>
      </c>
      <c r="F12242" s="3">
        <v>2.54</v>
      </c>
      <c r="G12242" s="3">
        <v>71.22</v>
      </c>
    </row>
    <row r="12243">
      <c r="A12243" s="3">
        <v>787185.0</v>
      </c>
      <c r="B12243" s="3" t="s">
        <v>12271</v>
      </c>
      <c r="C12243" s="3" t="s">
        <v>101</v>
      </c>
      <c r="D12243" s="3">
        <v>132.0</v>
      </c>
      <c r="E12243" s="3">
        <v>3.48</v>
      </c>
      <c r="F12243" s="3">
        <v>1.28</v>
      </c>
      <c r="G12243" s="3">
        <v>24.57</v>
      </c>
    </row>
    <row r="12244">
      <c r="A12244" s="3">
        <v>787186.0</v>
      </c>
      <c r="B12244" s="3" t="s">
        <v>12272</v>
      </c>
      <c r="C12244" s="3" t="s">
        <v>101</v>
      </c>
      <c r="D12244" s="3">
        <v>115.0</v>
      </c>
      <c r="E12244" s="3">
        <v>0.14</v>
      </c>
      <c r="F12244" s="3">
        <v>1.48</v>
      </c>
      <c r="G12244" s="3">
        <v>27.29</v>
      </c>
    </row>
    <row r="12245">
      <c r="A12245" s="3">
        <v>787187.0</v>
      </c>
      <c r="B12245" s="3" t="s">
        <v>12273</v>
      </c>
      <c r="C12245" s="3" t="s">
        <v>8</v>
      </c>
      <c r="D12245" s="3">
        <v>302.0</v>
      </c>
      <c r="E12245" s="3">
        <v>19.0</v>
      </c>
      <c r="F12245" s="3">
        <v>3.46</v>
      </c>
      <c r="G12245" s="3">
        <v>29.77</v>
      </c>
    </row>
    <row r="12246">
      <c r="A12246" s="3">
        <v>787188.0</v>
      </c>
      <c r="B12246" s="3" t="s">
        <v>12274</v>
      </c>
      <c r="C12246" s="3" t="s">
        <v>101</v>
      </c>
      <c r="D12246" s="3">
        <v>153.0</v>
      </c>
      <c r="E12246" s="3">
        <v>0.27</v>
      </c>
      <c r="F12246" s="3">
        <v>2.05</v>
      </c>
      <c r="G12246" s="3">
        <v>36.18</v>
      </c>
    </row>
    <row r="12247">
      <c r="A12247" s="3">
        <v>787189.0</v>
      </c>
      <c r="B12247" s="3" t="s">
        <v>12275</v>
      </c>
      <c r="C12247" s="3" t="s">
        <v>101</v>
      </c>
      <c r="D12247" s="3">
        <v>44.0</v>
      </c>
      <c r="E12247" s="3">
        <v>0.31</v>
      </c>
      <c r="F12247" s="3">
        <v>1.57</v>
      </c>
      <c r="G12247" s="3">
        <v>9.63</v>
      </c>
    </row>
    <row r="12248">
      <c r="A12248" s="3">
        <v>787190.0</v>
      </c>
      <c r="B12248" s="3" t="s">
        <v>12276</v>
      </c>
      <c r="C12248" s="3" t="s">
        <v>101</v>
      </c>
      <c r="D12248" s="3">
        <v>141.0</v>
      </c>
      <c r="E12248" s="3">
        <v>0.11</v>
      </c>
      <c r="F12248" s="3">
        <v>0.52</v>
      </c>
      <c r="G12248" s="3">
        <v>34.39</v>
      </c>
    </row>
    <row r="12249">
      <c r="A12249" s="3">
        <v>787191.0</v>
      </c>
      <c r="B12249" s="3" t="s">
        <v>12277</v>
      </c>
      <c r="C12249" s="3" t="s">
        <v>101</v>
      </c>
      <c r="D12249" s="3">
        <v>253.0</v>
      </c>
      <c r="E12249" s="3">
        <v>8.85</v>
      </c>
      <c r="F12249" s="3">
        <v>0.64</v>
      </c>
      <c r="G12249" s="3">
        <v>42.81</v>
      </c>
    </row>
    <row r="12250">
      <c r="A12250" s="3">
        <v>787192.0</v>
      </c>
      <c r="B12250" s="3" t="s">
        <v>12278</v>
      </c>
      <c r="C12250" s="3" t="s">
        <v>101</v>
      </c>
      <c r="D12250" s="3">
        <v>144.0</v>
      </c>
      <c r="E12250" s="3">
        <v>0.26</v>
      </c>
      <c r="F12250" s="3">
        <v>1.93</v>
      </c>
      <c r="G12250" s="3">
        <v>34.09</v>
      </c>
    </row>
    <row r="12251">
      <c r="A12251" s="3">
        <v>787193.0</v>
      </c>
      <c r="B12251" s="3" t="s">
        <v>12279</v>
      </c>
      <c r="C12251" s="3" t="s">
        <v>101</v>
      </c>
      <c r="D12251" s="3">
        <v>135.0</v>
      </c>
      <c r="E12251" s="3">
        <v>0.19</v>
      </c>
      <c r="F12251" s="3">
        <v>1.06</v>
      </c>
      <c r="G12251" s="3">
        <v>33.14</v>
      </c>
    </row>
    <row r="12252">
      <c r="A12252" s="3">
        <v>787194.0</v>
      </c>
      <c r="B12252" s="3" t="s">
        <v>12280</v>
      </c>
      <c r="C12252" s="3" t="s">
        <v>101</v>
      </c>
      <c r="D12252" s="3">
        <v>135.0</v>
      </c>
      <c r="E12252" s="3">
        <v>0.19</v>
      </c>
      <c r="F12252" s="3">
        <v>1.06</v>
      </c>
      <c r="G12252" s="3">
        <v>33.14</v>
      </c>
    </row>
    <row r="12253">
      <c r="A12253" s="3">
        <v>787195.0</v>
      </c>
      <c r="B12253" s="3" t="s">
        <v>12281</v>
      </c>
      <c r="C12253" s="3" t="s">
        <v>101</v>
      </c>
      <c r="D12253" s="3">
        <v>142.0</v>
      </c>
      <c r="E12253" s="3">
        <v>0.19</v>
      </c>
      <c r="F12253" s="3">
        <v>1.16</v>
      </c>
      <c r="G12253" s="3">
        <v>33.86</v>
      </c>
    </row>
    <row r="12254">
      <c r="A12254" s="3">
        <v>787196.0</v>
      </c>
      <c r="B12254" s="3" t="s">
        <v>12282</v>
      </c>
      <c r="C12254" s="3" t="s">
        <v>101</v>
      </c>
      <c r="D12254" s="3">
        <v>156.0</v>
      </c>
      <c r="E12254" s="3">
        <v>2.65</v>
      </c>
      <c r="F12254" s="3">
        <v>1.39</v>
      </c>
      <c r="G12254" s="3">
        <v>31.8</v>
      </c>
    </row>
    <row r="12255">
      <c r="A12255" s="3">
        <v>787200.0</v>
      </c>
      <c r="B12255" s="3" t="s">
        <v>12283</v>
      </c>
      <c r="C12255" s="3" t="s">
        <v>101</v>
      </c>
      <c r="D12255" s="3">
        <v>46.0</v>
      </c>
      <c r="E12255" s="3">
        <v>2.48</v>
      </c>
      <c r="F12255" s="3">
        <v>2.49</v>
      </c>
      <c r="G12255" s="3">
        <v>5.26</v>
      </c>
    </row>
    <row r="12256">
      <c r="A12256" s="3">
        <v>787201.0</v>
      </c>
      <c r="B12256" s="3" t="s">
        <v>12284</v>
      </c>
      <c r="C12256" s="3" t="s">
        <v>101</v>
      </c>
      <c r="D12256" s="3">
        <v>27.0</v>
      </c>
      <c r="E12256" s="3">
        <v>0.2</v>
      </c>
      <c r="F12256" s="3">
        <v>2.55</v>
      </c>
      <c r="G12256" s="3">
        <v>5.42</v>
      </c>
    </row>
    <row r="12257">
      <c r="A12257" s="3">
        <v>787202.0</v>
      </c>
      <c r="B12257" s="3" t="s">
        <v>12285</v>
      </c>
      <c r="C12257" s="3" t="s">
        <v>101</v>
      </c>
      <c r="D12257" s="3">
        <v>46.0</v>
      </c>
      <c r="E12257" s="3">
        <v>2.48</v>
      </c>
      <c r="F12257" s="3">
        <v>2.49</v>
      </c>
      <c r="G12257" s="3">
        <v>5.26</v>
      </c>
    </row>
    <row r="12258">
      <c r="A12258" s="3">
        <v>787203.0</v>
      </c>
      <c r="B12258" s="3" t="s">
        <v>12286</v>
      </c>
      <c r="C12258" s="3" t="s">
        <v>101</v>
      </c>
      <c r="D12258" s="3">
        <v>53.0</v>
      </c>
      <c r="E12258" s="3">
        <v>3.23</v>
      </c>
      <c r="F12258" s="3">
        <v>2.48</v>
      </c>
      <c r="G12258" s="3">
        <v>5.26</v>
      </c>
    </row>
    <row r="12259">
      <c r="A12259" s="3">
        <v>787204.0</v>
      </c>
      <c r="B12259" s="3" t="s">
        <v>12287</v>
      </c>
      <c r="C12259" s="3" t="s">
        <v>101</v>
      </c>
      <c r="D12259" s="3">
        <v>49.0</v>
      </c>
      <c r="E12259" s="3">
        <v>2.75</v>
      </c>
      <c r="F12259" s="3">
        <v>2.5</v>
      </c>
      <c r="G12259" s="3">
        <v>5.25</v>
      </c>
    </row>
    <row r="12260">
      <c r="A12260" s="3">
        <v>787205.0</v>
      </c>
      <c r="B12260" s="3" t="s">
        <v>12288</v>
      </c>
      <c r="C12260" s="3" t="s">
        <v>101</v>
      </c>
      <c r="D12260" s="3">
        <v>43.0</v>
      </c>
      <c r="E12260" s="3">
        <v>2.1</v>
      </c>
      <c r="F12260" s="3">
        <v>2.48</v>
      </c>
      <c r="G12260" s="3">
        <v>5.28</v>
      </c>
    </row>
    <row r="12261">
      <c r="A12261" s="3">
        <v>787207.0</v>
      </c>
      <c r="B12261" s="3" t="s">
        <v>12289</v>
      </c>
      <c r="C12261" s="3" t="s">
        <v>101</v>
      </c>
      <c r="D12261" s="3">
        <v>49.0</v>
      </c>
      <c r="E12261" s="3">
        <v>2.46</v>
      </c>
      <c r="F12261" s="3">
        <v>3.72</v>
      </c>
      <c r="G12261" s="3">
        <v>3.03</v>
      </c>
    </row>
    <row r="12262">
      <c r="A12262" s="3">
        <v>787208.0</v>
      </c>
      <c r="B12262" s="3" t="s">
        <v>12290</v>
      </c>
      <c r="C12262" s="3" t="s">
        <v>101</v>
      </c>
      <c r="D12262" s="3">
        <v>33.0</v>
      </c>
      <c r="E12262" s="3">
        <v>0.52</v>
      </c>
      <c r="F12262" s="3">
        <v>3.81</v>
      </c>
      <c r="G12262" s="3">
        <v>3.1</v>
      </c>
    </row>
    <row r="12263">
      <c r="A12263" s="3">
        <v>787209.0</v>
      </c>
      <c r="B12263" s="3" t="s">
        <v>12291</v>
      </c>
      <c r="C12263" s="3" t="s">
        <v>101</v>
      </c>
      <c r="D12263" s="3">
        <v>49.0</v>
      </c>
      <c r="E12263" s="3">
        <v>2.46</v>
      </c>
      <c r="F12263" s="3">
        <v>3.72</v>
      </c>
      <c r="G12263" s="3">
        <v>3.03</v>
      </c>
    </row>
    <row r="12264">
      <c r="A12264" s="3">
        <v>787210.0</v>
      </c>
      <c r="B12264" s="3" t="s">
        <v>12292</v>
      </c>
      <c r="C12264" s="3" t="s">
        <v>101</v>
      </c>
      <c r="D12264" s="3">
        <v>55.0</v>
      </c>
      <c r="E12264" s="3">
        <v>3.09</v>
      </c>
      <c r="F12264" s="3">
        <v>3.71</v>
      </c>
      <c r="G12264" s="3">
        <v>3.02</v>
      </c>
    </row>
    <row r="12265">
      <c r="A12265" s="3">
        <v>787211.0</v>
      </c>
      <c r="B12265" s="3" t="s">
        <v>12293</v>
      </c>
      <c r="C12265" s="3" t="s">
        <v>101</v>
      </c>
      <c r="D12265" s="3">
        <v>51.0</v>
      </c>
      <c r="E12265" s="3">
        <v>2.69</v>
      </c>
      <c r="F12265" s="3">
        <v>3.73</v>
      </c>
      <c r="G12265" s="3">
        <v>3.02</v>
      </c>
    </row>
    <row r="12266">
      <c r="A12266" s="3">
        <v>787212.0</v>
      </c>
      <c r="B12266" s="3" t="s">
        <v>12294</v>
      </c>
      <c r="C12266" s="3" t="s">
        <v>101</v>
      </c>
      <c r="D12266" s="3">
        <v>46.0</v>
      </c>
      <c r="E12266" s="3">
        <v>2.13</v>
      </c>
      <c r="F12266" s="3">
        <v>3.71</v>
      </c>
      <c r="G12266" s="3">
        <v>3.04</v>
      </c>
    </row>
    <row r="12267">
      <c r="A12267" s="3">
        <v>787214.0</v>
      </c>
      <c r="B12267" s="3" t="s">
        <v>12295</v>
      </c>
      <c r="C12267" s="3" t="s">
        <v>101</v>
      </c>
      <c r="D12267" s="3">
        <v>36.0</v>
      </c>
      <c r="E12267" s="3">
        <v>1.98</v>
      </c>
      <c r="F12267" s="3">
        <v>1.84</v>
      </c>
      <c r="G12267" s="3">
        <v>4.01</v>
      </c>
    </row>
    <row r="12268">
      <c r="A12268" s="3">
        <v>787215.0</v>
      </c>
      <c r="B12268" s="3" t="s">
        <v>12296</v>
      </c>
      <c r="C12268" s="3" t="s">
        <v>101</v>
      </c>
      <c r="D12268" s="3">
        <v>20.0</v>
      </c>
      <c r="E12268" s="3">
        <v>0.08</v>
      </c>
      <c r="F12268" s="3">
        <v>1.87</v>
      </c>
      <c r="G12268" s="3">
        <v>4.11</v>
      </c>
    </row>
    <row r="12269">
      <c r="A12269" s="3">
        <v>787216.0</v>
      </c>
      <c r="B12269" s="3" t="s">
        <v>12297</v>
      </c>
      <c r="C12269" s="3" t="s">
        <v>101</v>
      </c>
      <c r="D12269" s="3">
        <v>36.0</v>
      </c>
      <c r="E12269" s="3">
        <v>1.98</v>
      </c>
      <c r="F12269" s="3">
        <v>1.84</v>
      </c>
      <c r="G12269" s="3">
        <v>4.01</v>
      </c>
    </row>
    <row r="12270">
      <c r="A12270" s="3">
        <v>787217.0</v>
      </c>
      <c r="B12270" s="3" t="s">
        <v>12298</v>
      </c>
      <c r="C12270" s="3" t="s">
        <v>101</v>
      </c>
      <c r="D12270" s="3">
        <v>42.0</v>
      </c>
      <c r="E12270" s="3">
        <v>2.59</v>
      </c>
      <c r="F12270" s="3">
        <v>1.82</v>
      </c>
      <c r="G12270" s="3">
        <v>4.0</v>
      </c>
    </row>
    <row r="12271">
      <c r="A12271" s="3">
        <v>787218.0</v>
      </c>
      <c r="B12271" s="3" t="s">
        <v>12299</v>
      </c>
      <c r="C12271" s="3" t="s">
        <v>101</v>
      </c>
      <c r="D12271" s="3">
        <v>38.0</v>
      </c>
      <c r="E12271" s="3">
        <v>2.2</v>
      </c>
      <c r="F12271" s="3">
        <v>1.84</v>
      </c>
      <c r="G12271" s="3">
        <v>4.0</v>
      </c>
    </row>
    <row r="12272">
      <c r="A12272" s="3">
        <v>787219.0</v>
      </c>
      <c r="B12272" s="3" t="s">
        <v>12300</v>
      </c>
      <c r="C12272" s="3" t="s">
        <v>101</v>
      </c>
      <c r="D12272" s="3">
        <v>33.0</v>
      </c>
      <c r="E12272" s="3">
        <v>1.66</v>
      </c>
      <c r="F12272" s="3">
        <v>1.82</v>
      </c>
      <c r="G12272" s="3">
        <v>4.02</v>
      </c>
    </row>
    <row r="12273">
      <c r="A12273" s="3">
        <v>787221.0</v>
      </c>
      <c r="B12273" s="3" t="s">
        <v>12301</v>
      </c>
      <c r="C12273" s="3" t="s">
        <v>101</v>
      </c>
      <c r="D12273" s="3">
        <v>48.0</v>
      </c>
      <c r="E12273" s="3">
        <v>2.45</v>
      </c>
      <c r="F12273" s="3">
        <v>2.64</v>
      </c>
      <c r="G12273" s="3">
        <v>5.49</v>
      </c>
    </row>
    <row r="12274">
      <c r="A12274" s="3">
        <v>787222.0</v>
      </c>
      <c r="B12274" s="3" t="s">
        <v>12302</v>
      </c>
      <c r="C12274" s="3" t="s">
        <v>101</v>
      </c>
      <c r="D12274" s="3">
        <v>48.0</v>
      </c>
      <c r="E12274" s="3">
        <v>2.45</v>
      </c>
      <c r="F12274" s="3">
        <v>2.64</v>
      </c>
      <c r="G12274" s="3">
        <v>5.49</v>
      </c>
    </row>
    <row r="12275">
      <c r="A12275" s="3">
        <v>787223.0</v>
      </c>
      <c r="B12275" s="3" t="s">
        <v>12303</v>
      </c>
      <c r="C12275" s="3" t="s">
        <v>101</v>
      </c>
      <c r="D12275" s="3">
        <v>52.0</v>
      </c>
      <c r="E12275" s="3">
        <v>2.35</v>
      </c>
      <c r="F12275" s="3">
        <v>2.89</v>
      </c>
      <c r="G12275" s="3">
        <v>6.88</v>
      </c>
    </row>
    <row r="12276">
      <c r="A12276" s="3">
        <v>787224.0</v>
      </c>
      <c r="B12276" s="3" t="s">
        <v>12304</v>
      </c>
      <c r="C12276" s="3" t="s">
        <v>101</v>
      </c>
      <c r="D12276" s="3">
        <v>47.0</v>
      </c>
      <c r="E12276" s="3">
        <v>2.44</v>
      </c>
      <c r="F12276" s="3">
        <v>2.63</v>
      </c>
      <c r="G12276" s="3">
        <v>5.46</v>
      </c>
    </row>
    <row r="12277">
      <c r="A12277" s="3">
        <v>787225.0</v>
      </c>
      <c r="B12277" s="3" t="s">
        <v>12305</v>
      </c>
      <c r="C12277" s="3" t="s">
        <v>101</v>
      </c>
      <c r="D12277" s="3">
        <v>33.0</v>
      </c>
      <c r="E12277" s="3">
        <v>0.72</v>
      </c>
      <c r="F12277" s="3">
        <v>2.7</v>
      </c>
      <c r="G12277" s="3">
        <v>5.62</v>
      </c>
    </row>
    <row r="12278">
      <c r="A12278" s="3">
        <v>787226.0</v>
      </c>
      <c r="B12278" s="3" t="s">
        <v>12306</v>
      </c>
      <c r="C12278" s="3" t="s">
        <v>101</v>
      </c>
      <c r="D12278" s="3">
        <v>33.0</v>
      </c>
      <c r="E12278" s="3">
        <v>0.72</v>
      </c>
      <c r="F12278" s="3">
        <v>2.7</v>
      </c>
      <c r="G12278" s="3">
        <v>5.62</v>
      </c>
    </row>
    <row r="12279">
      <c r="A12279" s="3">
        <v>787227.0</v>
      </c>
      <c r="B12279" s="3" t="s">
        <v>12307</v>
      </c>
      <c r="C12279" s="3" t="s">
        <v>101</v>
      </c>
      <c r="D12279" s="3">
        <v>36.0</v>
      </c>
      <c r="E12279" s="3">
        <v>0.41</v>
      </c>
      <c r="F12279" s="3">
        <v>2.95</v>
      </c>
      <c r="G12279" s="3">
        <v>7.06</v>
      </c>
    </row>
    <row r="12280">
      <c r="A12280" s="3">
        <v>787228.0</v>
      </c>
      <c r="B12280" s="3" t="s">
        <v>12308</v>
      </c>
      <c r="C12280" s="3" t="s">
        <v>101</v>
      </c>
      <c r="D12280" s="3">
        <v>33.0</v>
      </c>
      <c r="E12280" s="3">
        <v>0.71</v>
      </c>
      <c r="F12280" s="3">
        <v>2.68</v>
      </c>
      <c r="G12280" s="3">
        <v>5.58</v>
      </c>
    </row>
    <row r="12281">
      <c r="A12281" s="3">
        <v>787229.0</v>
      </c>
      <c r="B12281" s="3" t="s">
        <v>12309</v>
      </c>
      <c r="C12281" s="3" t="s">
        <v>101</v>
      </c>
      <c r="D12281" s="3">
        <v>48.0</v>
      </c>
      <c r="E12281" s="3">
        <v>2.45</v>
      </c>
      <c r="F12281" s="3">
        <v>2.64</v>
      </c>
      <c r="G12281" s="3">
        <v>5.49</v>
      </c>
    </row>
    <row r="12282">
      <c r="A12282" s="3">
        <v>787230.0</v>
      </c>
      <c r="B12282" s="3" t="s">
        <v>12310</v>
      </c>
      <c r="C12282" s="3" t="s">
        <v>101</v>
      </c>
      <c r="D12282" s="3">
        <v>48.0</v>
      </c>
      <c r="E12282" s="3">
        <v>2.45</v>
      </c>
      <c r="F12282" s="3">
        <v>2.64</v>
      </c>
      <c r="G12282" s="3">
        <v>5.49</v>
      </c>
    </row>
    <row r="12283">
      <c r="A12283" s="3">
        <v>787231.0</v>
      </c>
      <c r="B12283" s="3" t="s">
        <v>12311</v>
      </c>
      <c r="C12283" s="3" t="s">
        <v>101</v>
      </c>
      <c r="D12283" s="3">
        <v>52.0</v>
      </c>
      <c r="E12283" s="3">
        <v>2.35</v>
      </c>
      <c r="F12283" s="3">
        <v>2.89</v>
      </c>
      <c r="G12283" s="3">
        <v>6.88</v>
      </c>
    </row>
    <row r="12284">
      <c r="A12284" s="3">
        <v>787232.0</v>
      </c>
      <c r="B12284" s="3" t="s">
        <v>12312</v>
      </c>
      <c r="C12284" s="3" t="s">
        <v>101</v>
      </c>
      <c r="D12284" s="3">
        <v>47.0</v>
      </c>
      <c r="E12284" s="3">
        <v>2.44</v>
      </c>
      <c r="F12284" s="3">
        <v>2.63</v>
      </c>
      <c r="G12284" s="3">
        <v>5.46</v>
      </c>
    </row>
    <row r="12285">
      <c r="A12285" s="3">
        <v>787233.0</v>
      </c>
      <c r="B12285" s="3" t="s">
        <v>12313</v>
      </c>
      <c r="C12285" s="3" t="s">
        <v>101</v>
      </c>
      <c r="D12285" s="3">
        <v>53.0</v>
      </c>
      <c r="E12285" s="3">
        <v>3.02</v>
      </c>
      <c r="F12285" s="3">
        <v>2.63</v>
      </c>
      <c r="G12285" s="3">
        <v>5.49</v>
      </c>
    </row>
    <row r="12286">
      <c r="A12286" s="3">
        <v>787234.0</v>
      </c>
      <c r="B12286" s="3" t="s">
        <v>12314</v>
      </c>
      <c r="C12286" s="3" t="s">
        <v>101</v>
      </c>
      <c r="D12286" s="3">
        <v>49.0</v>
      </c>
      <c r="E12286" s="3">
        <v>2.66</v>
      </c>
      <c r="F12286" s="3">
        <v>2.65</v>
      </c>
      <c r="G12286" s="3">
        <v>5.49</v>
      </c>
    </row>
    <row r="12287">
      <c r="A12287" s="3">
        <v>787235.0</v>
      </c>
      <c r="B12287" s="3" t="s">
        <v>12315</v>
      </c>
      <c r="C12287" s="3" t="s">
        <v>101</v>
      </c>
      <c r="D12287" s="3">
        <v>45.0</v>
      </c>
      <c r="E12287" s="3">
        <v>2.16</v>
      </c>
      <c r="F12287" s="3">
        <v>2.63</v>
      </c>
      <c r="G12287" s="3">
        <v>5.5</v>
      </c>
    </row>
    <row r="12288">
      <c r="A12288" s="3">
        <v>787236.0</v>
      </c>
      <c r="B12288" s="3" t="s">
        <v>12316</v>
      </c>
      <c r="C12288" s="3" t="s">
        <v>101</v>
      </c>
      <c r="D12288" s="3">
        <v>53.0</v>
      </c>
      <c r="E12288" s="3">
        <v>3.02</v>
      </c>
      <c r="F12288" s="3">
        <v>2.63</v>
      </c>
      <c r="G12288" s="3">
        <v>5.49</v>
      </c>
    </row>
    <row r="12289">
      <c r="A12289" s="3">
        <v>787237.0</v>
      </c>
      <c r="B12289" s="3" t="s">
        <v>12317</v>
      </c>
      <c r="C12289" s="3" t="s">
        <v>101</v>
      </c>
      <c r="D12289" s="3">
        <v>49.0</v>
      </c>
      <c r="E12289" s="3">
        <v>2.66</v>
      </c>
      <c r="F12289" s="3">
        <v>2.65</v>
      </c>
      <c r="G12289" s="3">
        <v>5.49</v>
      </c>
    </row>
    <row r="12290">
      <c r="A12290" s="3">
        <v>787238.0</v>
      </c>
      <c r="B12290" s="3" t="s">
        <v>12318</v>
      </c>
      <c r="C12290" s="3" t="s">
        <v>101</v>
      </c>
      <c r="D12290" s="3">
        <v>45.0</v>
      </c>
      <c r="E12290" s="3">
        <v>2.16</v>
      </c>
      <c r="F12290" s="3">
        <v>2.63</v>
      </c>
      <c r="G12290" s="3">
        <v>5.5</v>
      </c>
    </row>
    <row r="12291">
      <c r="A12291" s="3">
        <v>787239.0</v>
      </c>
      <c r="B12291" s="3" t="s">
        <v>12319</v>
      </c>
      <c r="C12291" s="3" t="s">
        <v>101</v>
      </c>
      <c r="D12291" s="3">
        <v>58.0</v>
      </c>
      <c r="E12291" s="3">
        <v>2.98</v>
      </c>
      <c r="F12291" s="3">
        <v>2.88</v>
      </c>
      <c r="G12291" s="3">
        <v>6.88</v>
      </c>
    </row>
    <row r="12292">
      <c r="A12292" s="3">
        <v>787240.0</v>
      </c>
      <c r="B12292" s="3" t="s">
        <v>12320</v>
      </c>
      <c r="C12292" s="3" t="s">
        <v>101</v>
      </c>
      <c r="D12292" s="3">
        <v>54.0</v>
      </c>
      <c r="E12292" s="3">
        <v>2.58</v>
      </c>
      <c r="F12292" s="3">
        <v>2.9</v>
      </c>
      <c r="G12292" s="3">
        <v>6.87</v>
      </c>
    </row>
    <row r="12293">
      <c r="A12293" s="3">
        <v>787241.0</v>
      </c>
      <c r="B12293" s="3" t="s">
        <v>12321</v>
      </c>
      <c r="C12293" s="3" t="s">
        <v>101</v>
      </c>
      <c r="D12293" s="3">
        <v>49.0</v>
      </c>
      <c r="E12293" s="3">
        <v>2.02</v>
      </c>
      <c r="F12293" s="3">
        <v>2.88</v>
      </c>
      <c r="G12293" s="3">
        <v>6.89</v>
      </c>
    </row>
    <row r="12294">
      <c r="A12294" s="3">
        <v>787242.0</v>
      </c>
      <c r="B12294" s="3" t="s">
        <v>12322</v>
      </c>
      <c r="C12294" s="3" t="s">
        <v>101</v>
      </c>
      <c r="D12294" s="3">
        <v>52.0</v>
      </c>
      <c r="E12294" s="3">
        <v>3.0</v>
      </c>
      <c r="F12294" s="3">
        <v>2.61</v>
      </c>
      <c r="G12294" s="3">
        <v>5.45</v>
      </c>
    </row>
    <row r="12295">
      <c r="A12295" s="3">
        <v>787243.0</v>
      </c>
      <c r="B12295" s="3" t="s">
        <v>12323</v>
      </c>
      <c r="C12295" s="3" t="s">
        <v>101</v>
      </c>
      <c r="D12295" s="3">
        <v>49.0</v>
      </c>
      <c r="E12295" s="3">
        <v>2.64</v>
      </c>
      <c r="F12295" s="3">
        <v>2.63</v>
      </c>
      <c r="G12295" s="3">
        <v>5.45</v>
      </c>
    </row>
    <row r="12296">
      <c r="A12296" s="3">
        <v>787244.0</v>
      </c>
      <c r="B12296" s="3" t="s">
        <v>12324</v>
      </c>
      <c r="C12296" s="3" t="s">
        <v>101</v>
      </c>
      <c r="D12296" s="3">
        <v>45.0</v>
      </c>
      <c r="E12296" s="3">
        <v>2.14</v>
      </c>
      <c r="F12296" s="3">
        <v>2.62</v>
      </c>
      <c r="G12296" s="3">
        <v>5.46</v>
      </c>
    </row>
    <row r="12297">
      <c r="A12297" s="3">
        <v>787246.0</v>
      </c>
      <c r="B12297" s="3" t="s">
        <v>12325</v>
      </c>
      <c r="C12297" s="3" t="s">
        <v>101</v>
      </c>
      <c r="D12297" s="3">
        <v>44.0</v>
      </c>
      <c r="E12297" s="3">
        <v>3.02</v>
      </c>
      <c r="F12297" s="3">
        <v>1.84</v>
      </c>
      <c r="G12297" s="3">
        <v>3.66</v>
      </c>
    </row>
    <row r="12298">
      <c r="A12298" s="3">
        <v>787247.0</v>
      </c>
      <c r="B12298" s="3" t="s">
        <v>12326</v>
      </c>
      <c r="C12298" s="3" t="s">
        <v>101</v>
      </c>
      <c r="D12298" s="3">
        <v>44.0</v>
      </c>
      <c r="E12298" s="3">
        <v>3.02</v>
      </c>
      <c r="F12298" s="3">
        <v>1.84</v>
      </c>
      <c r="G12298" s="3">
        <v>3.66</v>
      </c>
    </row>
    <row r="12299">
      <c r="A12299" s="3">
        <v>787248.0</v>
      </c>
      <c r="B12299" s="3" t="s">
        <v>12327</v>
      </c>
      <c r="C12299" s="3" t="s">
        <v>101</v>
      </c>
      <c r="D12299" s="3">
        <v>44.0</v>
      </c>
      <c r="E12299" s="3">
        <v>3.02</v>
      </c>
      <c r="F12299" s="3">
        <v>1.84</v>
      </c>
      <c r="G12299" s="3">
        <v>3.66</v>
      </c>
    </row>
    <row r="12300">
      <c r="A12300" s="3">
        <v>787249.0</v>
      </c>
      <c r="B12300" s="3" t="s">
        <v>12328</v>
      </c>
      <c r="C12300" s="3" t="s">
        <v>101</v>
      </c>
      <c r="D12300" s="3">
        <v>23.0</v>
      </c>
      <c r="E12300" s="3">
        <v>0.6</v>
      </c>
      <c r="F12300" s="3">
        <v>1.89</v>
      </c>
      <c r="G12300" s="3">
        <v>3.77</v>
      </c>
    </row>
    <row r="12301">
      <c r="A12301" s="3">
        <v>787250.0</v>
      </c>
      <c r="B12301" s="3" t="s">
        <v>12329</v>
      </c>
      <c r="C12301" s="3" t="s">
        <v>101</v>
      </c>
      <c r="D12301" s="3">
        <v>23.0</v>
      </c>
      <c r="E12301" s="3">
        <v>0.6</v>
      </c>
      <c r="F12301" s="3">
        <v>1.89</v>
      </c>
      <c r="G12301" s="3">
        <v>3.77</v>
      </c>
    </row>
    <row r="12302">
      <c r="A12302" s="3">
        <v>787251.0</v>
      </c>
      <c r="B12302" s="3" t="s">
        <v>12330</v>
      </c>
      <c r="C12302" s="3" t="s">
        <v>101</v>
      </c>
      <c r="D12302" s="3">
        <v>23.0</v>
      </c>
      <c r="E12302" s="3">
        <v>0.6</v>
      </c>
      <c r="F12302" s="3">
        <v>1.89</v>
      </c>
      <c r="G12302" s="3">
        <v>3.77</v>
      </c>
    </row>
    <row r="12303">
      <c r="A12303" s="3">
        <v>787252.0</v>
      </c>
      <c r="B12303" s="3" t="s">
        <v>12331</v>
      </c>
      <c r="C12303" s="3" t="s">
        <v>101</v>
      </c>
      <c r="D12303" s="3">
        <v>44.0</v>
      </c>
      <c r="E12303" s="3">
        <v>3.02</v>
      </c>
      <c r="F12303" s="3">
        <v>1.84</v>
      </c>
      <c r="G12303" s="3">
        <v>3.66</v>
      </c>
    </row>
    <row r="12304">
      <c r="A12304" s="3">
        <v>787253.0</v>
      </c>
      <c r="B12304" s="3" t="s">
        <v>12332</v>
      </c>
      <c r="C12304" s="3" t="s">
        <v>101</v>
      </c>
      <c r="D12304" s="3">
        <v>44.0</v>
      </c>
      <c r="E12304" s="3">
        <v>3.02</v>
      </c>
      <c r="F12304" s="3">
        <v>1.84</v>
      </c>
      <c r="G12304" s="3">
        <v>3.66</v>
      </c>
    </row>
    <row r="12305">
      <c r="A12305" s="3">
        <v>787254.0</v>
      </c>
      <c r="B12305" s="3" t="s">
        <v>12333</v>
      </c>
      <c r="C12305" s="3" t="s">
        <v>101</v>
      </c>
      <c r="D12305" s="3">
        <v>44.0</v>
      </c>
      <c r="E12305" s="3">
        <v>3.02</v>
      </c>
      <c r="F12305" s="3">
        <v>1.84</v>
      </c>
      <c r="G12305" s="3">
        <v>3.66</v>
      </c>
    </row>
    <row r="12306">
      <c r="A12306" s="3">
        <v>787255.0</v>
      </c>
      <c r="B12306" s="3" t="s">
        <v>12334</v>
      </c>
      <c r="C12306" s="3" t="s">
        <v>101</v>
      </c>
      <c r="D12306" s="3">
        <v>51.0</v>
      </c>
      <c r="E12306" s="3">
        <v>3.81</v>
      </c>
      <c r="F12306" s="3">
        <v>1.82</v>
      </c>
      <c r="G12306" s="3">
        <v>3.65</v>
      </c>
    </row>
    <row r="12307">
      <c r="A12307" s="3">
        <v>787256.0</v>
      </c>
      <c r="B12307" s="3" t="s">
        <v>12335</v>
      </c>
      <c r="C12307" s="3" t="s">
        <v>101</v>
      </c>
      <c r="D12307" s="3">
        <v>46.0</v>
      </c>
      <c r="E12307" s="3">
        <v>3.3</v>
      </c>
      <c r="F12307" s="3">
        <v>1.85</v>
      </c>
      <c r="G12307" s="3">
        <v>3.65</v>
      </c>
    </row>
    <row r="12308">
      <c r="A12308" s="3">
        <v>787257.0</v>
      </c>
      <c r="B12308" s="3" t="s">
        <v>12336</v>
      </c>
      <c r="C12308" s="3" t="s">
        <v>101</v>
      </c>
      <c r="D12308" s="3">
        <v>40.0</v>
      </c>
      <c r="E12308" s="3">
        <v>2.6</v>
      </c>
      <c r="F12308" s="3">
        <v>1.83</v>
      </c>
      <c r="G12308" s="3">
        <v>3.67</v>
      </c>
    </row>
    <row r="12309">
      <c r="A12309" s="3">
        <v>787258.0</v>
      </c>
      <c r="B12309" s="3" t="s">
        <v>12337</v>
      </c>
      <c r="C12309" s="3" t="s">
        <v>101</v>
      </c>
      <c r="D12309" s="3">
        <v>51.0</v>
      </c>
      <c r="E12309" s="3">
        <v>3.81</v>
      </c>
      <c r="F12309" s="3">
        <v>1.82</v>
      </c>
      <c r="G12309" s="3">
        <v>3.65</v>
      </c>
    </row>
    <row r="12310">
      <c r="A12310" s="3">
        <v>787259.0</v>
      </c>
      <c r="B12310" s="3" t="s">
        <v>12338</v>
      </c>
      <c r="C12310" s="3" t="s">
        <v>101</v>
      </c>
      <c r="D12310" s="3">
        <v>46.0</v>
      </c>
      <c r="E12310" s="3">
        <v>3.3</v>
      </c>
      <c r="F12310" s="3">
        <v>1.85</v>
      </c>
      <c r="G12310" s="3">
        <v>3.65</v>
      </c>
    </row>
    <row r="12311">
      <c r="A12311" s="3">
        <v>787260.0</v>
      </c>
      <c r="B12311" s="3" t="s">
        <v>12339</v>
      </c>
      <c r="C12311" s="3" t="s">
        <v>101</v>
      </c>
      <c r="D12311" s="3">
        <v>40.0</v>
      </c>
      <c r="E12311" s="3">
        <v>2.6</v>
      </c>
      <c r="F12311" s="3">
        <v>1.83</v>
      </c>
      <c r="G12311" s="3">
        <v>3.67</v>
      </c>
    </row>
    <row r="12312">
      <c r="A12312" s="3">
        <v>787261.0</v>
      </c>
      <c r="B12312" s="3" t="s">
        <v>12340</v>
      </c>
      <c r="C12312" s="3" t="s">
        <v>101</v>
      </c>
      <c r="D12312" s="3">
        <v>51.0</v>
      </c>
      <c r="E12312" s="3">
        <v>3.81</v>
      </c>
      <c r="F12312" s="3">
        <v>1.82</v>
      </c>
      <c r="G12312" s="3">
        <v>3.65</v>
      </c>
    </row>
    <row r="12313">
      <c r="A12313" s="3">
        <v>787262.0</v>
      </c>
      <c r="B12313" s="3" t="s">
        <v>12341</v>
      </c>
      <c r="C12313" s="3" t="s">
        <v>101</v>
      </c>
      <c r="D12313" s="3">
        <v>46.0</v>
      </c>
      <c r="E12313" s="3">
        <v>3.3</v>
      </c>
      <c r="F12313" s="3">
        <v>1.85</v>
      </c>
      <c r="G12313" s="3">
        <v>3.65</v>
      </c>
    </row>
    <row r="12314">
      <c r="A12314" s="3">
        <v>787263.0</v>
      </c>
      <c r="B12314" s="3" t="s">
        <v>12342</v>
      </c>
      <c r="C12314" s="3" t="s">
        <v>101</v>
      </c>
      <c r="D12314" s="3">
        <v>40.0</v>
      </c>
      <c r="E12314" s="3">
        <v>2.6</v>
      </c>
      <c r="F12314" s="3">
        <v>1.83</v>
      </c>
      <c r="G12314" s="3">
        <v>3.67</v>
      </c>
    </row>
    <row r="12315">
      <c r="A12315" s="3">
        <v>787265.0</v>
      </c>
      <c r="B12315" s="3" t="s">
        <v>12343</v>
      </c>
      <c r="C12315" s="3" t="s">
        <v>101</v>
      </c>
      <c r="D12315" s="3">
        <v>59.0</v>
      </c>
      <c r="E12315" s="3">
        <v>3.67</v>
      </c>
      <c r="F12315" s="3">
        <v>1.92</v>
      </c>
      <c r="G12315" s="3">
        <v>6.08</v>
      </c>
    </row>
    <row r="12316">
      <c r="A12316" s="3">
        <v>787266.0</v>
      </c>
      <c r="B12316" s="3" t="s">
        <v>12344</v>
      </c>
      <c r="C12316" s="3" t="s">
        <v>101</v>
      </c>
      <c r="D12316" s="3">
        <v>33.0</v>
      </c>
      <c r="E12316" s="3">
        <v>0.59</v>
      </c>
      <c r="F12316" s="3">
        <v>1.98</v>
      </c>
      <c r="G12316" s="3">
        <v>6.34</v>
      </c>
    </row>
    <row r="12317">
      <c r="A12317" s="3">
        <v>787267.0</v>
      </c>
      <c r="B12317" s="3" t="s">
        <v>12345</v>
      </c>
      <c r="C12317" s="3" t="s">
        <v>101</v>
      </c>
      <c r="D12317" s="3">
        <v>59.0</v>
      </c>
      <c r="E12317" s="3">
        <v>3.67</v>
      </c>
      <c r="F12317" s="3">
        <v>1.92</v>
      </c>
      <c r="G12317" s="3">
        <v>6.08</v>
      </c>
    </row>
    <row r="12318">
      <c r="A12318" s="3">
        <v>787268.0</v>
      </c>
      <c r="B12318" s="3" t="s">
        <v>12346</v>
      </c>
      <c r="C12318" s="3" t="s">
        <v>101</v>
      </c>
      <c r="D12318" s="3">
        <v>68.0</v>
      </c>
      <c r="E12318" s="3">
        <v>4.68</v>
      </c>
      <c r="F12318" s="3">
        <v>1.9</v>
      </c>
      <c r="G12318" s="3">
        <v>6.08</v>
      </c>
    </row>
    <row r="12319">
      <c r="A12319" s="3">
        <v>787269.0</v>
      </c>
      <c r="B12319" s="3" t="s">
        <v>12347</v>
      </c>
      <c r="C12319" s="3" t="s">
        <v>101</v>
      </c>
      <c r="D12319" s="3">
        <v>62.0</v>
      </c>
      <c r="E12319" s="3">
        <v>4.03</v>
      </c>
      <c r="F12319" s="3">
        <v>1.93</v>
      </c>
      <c r="G12319" s="3">
        <v>6.07</v>
      </c>
    </row>
    <row r="12320">
      <c r="A12320" s="3">
        <v>787270.0</v>
      </c>
      <c r="B12320" s="3" t="s">
        <v>12348</v>
      </c>
      <c r="C12320" s="3" t="s">
        <v>101</v>
      </c>
      <c r="D12320" s="3">
        <v>54.0</v>
      </c>
      <c r="E12320" s="3">
        <v>3.14</v>
      </c>
      <c r="F12320" s="3">
        <v>1.9</v>
      </c>
      <c r="G12320" s="3">
        <v>6.1</v>
      </c>
    </row>
    <row r="12321">
      <c r="A12321" s="3">
        <v>787271.0</v>
      </c>
      <c r="B12321" s="3" t="s">
        <v>12349</v>
      </c>
      <c r="C12321" s="3" t="s">
        <v>101</v>
      </c>
      <c r="D12321" s="3">
        <v>19.0</v>
      </c>
      <c r="E12321" s="3">
        <v>0.27</v>
      </c>
      <c r="F12321" s="3">
        <v>1.39</v>
      </c>
      <c r="G12321" s="3">
        <v>3.78</v>
      </c>
    </row>
    <row r="12322">
      <c r="A12322" s="3">
        <v>787272.0</v>
      </c>
      <c r="B12322" s="3" t="s">
        <v>12350</v>
      </c>
      <c r="C12322" s="3" t="s">
        <v>101</v>
      </c>
      <c r="D12322" s="3">
        <v>71.0</v>
      </c>
      <c r="E12322" s="3">
        <v>3.41</v>
      </c>
      <c r="F12322" s="3">
        <v>4.77</v>
      </c>
      <c r="G12322" s="3">
        <v>6.0</v>
      </c>
    </row>
    <row r="12323">
      <c r="A12323" s="3">
        <v>787273.0</v>
      </c>
      <c r="B12323" s="3" t="s">
        <v>12351</v>
      </c>
      <c r="C12323" s="3" t="s">
        <v>101</v>
      </c>
      <c r="D12323" s="3">
        <v>47.0</v>
      </c>
      <c r="E12323" s="3">
        <v>3.4</v>
      </c>
      <c r="F12323" s="3">
        <v>1.1</v>
      </c>
      <c r="G12323" s="3">
        <v>2.95</v>
      </c>
    </row>
    <row r="12324">
      <c r="A12324" s="3">
        <v>787274.0</v>
      </c>
      <c r="B12324" s="3" t="s">
        <v>12352</v>
      </c>
      <c r="C12324" s="3" t="s">
        <v>101</v>
      </c>
      <c r="D12324" s="3">
        <v>19.0</v>
      </c>
      <c r="E12324" s="3">
        <v>0.18</v>
      </c>
      <c r="F12324" s="3">
        <v>1.14</v>
      </c>
      <c r="G12324" s="3">
        <v>3.05</v>
      </c>
    </row>
    <row r="12325">
      <c r="A12325" s="3">
        <v>787275.0</v>
      </c>
      <c r="B12325" s="3" t="s">
        <v>12353</v>
      </c>
      <c r="C12325" s="3" t="s">
        <v>101</v>
      </c>
      <c r="D12325" s="3">
        <v>47.0</v>
      </c>
      <c r="E12325" s="3">
        <v>3.4</v>
      </c>
      <c r="F12325" s="3">
        <v>1.1</v>
      </c>
      <c r="G12325" s="3">
        <v>2.95</v>
      </c>
    </row>
    <row r="12326">
      <c r="A12326" s="3">
        <v>787276.0</v>
      </c>
      <c r="B12326" s="3" t="s">
        <v>12354</v>
      </c>
      <c r="C12326" s="3" t="s">
        <v>101</v>
      </c>
      <c r="D12326" s="3">
        <v>47.0</v>
      </c>
      <c r="E12326" s="3">
        <v>3.4</v>
      </c>
      <c r="F12326" s="3">
        <v>1.1</v>
      </c>
      <c r="G12326" s="3">
        <v>2.95</v>
      </c>
    </row>
    <row r="12327">
      <c r="A12327" s="3">
        <v>787277.0</v>
      </c>
      <c r="B12327" s="3" t="s">
        <v>12355</v>
      </c>
      <c r="C12327" s="3" t="s">
        <v>101</v>
      </c>
      <c r="D12327" s="3">
        <v>42.0</v>
      </c>
      <c r="E12327" s="3">
        <v>2.9</v>
      </c>
      <c r="F12327" s="3">
        <v>1.13</v>
      </c>
      <c r="G12327" s="3">
        <v>2.95</v>
      </c>
    </row>
    <row r="12328">
      <c r="A12328" s="3">
        <v>787278.0</v>
      </c>
      <c r="B12328" s="3" t="s">
        <v>12356</v>
      </c>
      <c r="C12328" s="3" t="s">
        <v>101</v>
      </c>
      <c r="D12328" s="3">
        <v>36.0</v>
      </c>
      <c r="E12328" s="3">
        <v>2.2</v>
      </c>
      <c r="F12328" s="3">
        <v>1.11</v>
      </c>
      <c r="G12328" s="3">
        <v>2.97</v>
      </c>
    </row>
    <row r="12329">
      <c r="A12329" s="3">
        <v>787279.0</v>
      </c>
      <c r="B12329" s="3" t="s">
        <v>12357</v>
      </c>
      <c r="C12329" s="3" t="s">
        <v>101</v>
      </c>
      <c r="D12329" s="3">
        <v>80.0</v>
      </c>
      <c r="E12329" s="3">
        <v>5.2</v>
      </c>
      <c r="F12329" s="3">
        <v>2.44</v>
      </c>
      <c r="G12329" s="3">
        <v>5.99</v>
      </c>
    </row>
    <row r="12330">
      <c r="A12330" s="3">
        <v>787280.0</v>
      </c>
      <c r="B12330" s="3" t="s">
        <v>12358</v>
      </c>
      <c r="C12330" s="3" t="s">
        <v>101</v>
      </c>
      <c r="D12330" s="3">
        <v>46.0</v>
      </c>
      <c r="E12330" s="3">
        <v>2.6</v>
      </c>
      <c r="F12330" s="3">
        <v>1.94</v>
      </c>
      <c r="G12330" s="3">
        <v>5.07</v>
      </c>
    </row>
    <row r="12331">
      <c r="A12331" s="3">
        <v>787281.0</v>
      </c>
      <c r="B12331" s="3" t="s">
        <v>12359</v>
      </c>
      <c r="C12331" s="3" t="s">
        <v>101</v>
      </c>
      <c r="D12331" s="3">
        <v>46.0</v>
      </c>
      <c r="E12331" s="3">
        <v>2.6</v>
      </c>
      <c r="F12331" s="3">
        <v>1.94</v>
      </c>
      <c r="G12331" s="3">
        <v>5.07</v>
      </c>
    </row>
    <row r="12332">
      <c r="A12332" s="3">
        <v>787282.0</v>
      </c>
      <c r="B12332" s="3" t="s">
        <v>12360</v>
      </c>
      <c r="C12332" s="3" t="s">
        <v>101</v>
      </c>
      <c r="D12332" s="3">
        <v>50.0</v>
      </c>
      <c r="E12332" s="3">
        <v>2.56</v>
      </c>
      <c r="F12332" s="3">
        <v>2.98</v>
      </c>
      <c r="G12332" s="3">
        <v>5.63</v>
      </c>
    </row>
    <row r="12333">
      <c r="A12333" s="3">
        <v>787283.0</v>
      </c>
      <c r="B12333" s="3" t="s">
        <v>12361</v>
      </c>
      <c r="C12333" s="3" t="s">
        <v>101</v>
      </c>
      <c r="D12333" s="3">
        <v>46.0</v>
      </c>
      <c r="E12333" s="3">
        <v>2.6</v>
      </c>
      <c r="F12333" s="3">
        <v>1.94</v>
      </c>
      <c r="G12333" s="3">
        <v>5.07</v>
      </c>
    </row>
    <row r="12334">
      <c r="A12334" s="3">
        <v>787284.0</v>
      </c>
      <c r="B12334" s="3" t="s">
        <v>12362</v>
      </c>
      <c r="C12334" s="3" t="s">
        <v>101</v>
      </c>
      <c r="D12334" s="3">
        <v>27.0</v>
      </c>
      <c r="E12334" s="3">
        <v>0.48</v>
      </c>
      <c r="F12334" s="3">
        <v>1.98</v>
      </c>
      <c r="G12334" s="3">
        <v>5.21</v>
      </c>
    </row>
    <row r="12335">
      <c r="A12335" s="3">
        <v>787285.0</v>
      </c>
      <c r="B12335" s="3" t="s">
        <v>12363</v>
      </c>
      <c r="C12335" s="3" t="s">
        <v>101</v>
      </c>
      <c r="D12335" s="3">
        <v>27.0</v>
      </c>
      <c r="E12335" s="3">
        <v>0.48</v>
      </c>
      <c r="F12335" s="3">
        <v>1.98</v>
      </c>
      <c r="G12335" s="3">
        <v>5.21</v>
      </c>
    </row>
    <row r="12336">
      <c r="A12336" s="3">
        <v>787286.0</v>
      </c>
      <c r="B12336" s="3" t="s">
        <v>12364</v>
      </c>
      <c r="C12336" s="3" t="s">
        <v>101</v>
      </c>
      <c r="D12336" s="3">
        <v>32.0</v>
      </c>
      <c r="E12336" s="3">
        <v>0.43</v>
      </c>
      <c r="F12336" s="3">
        <v>3.05</v>
      </c>
      <c r="G12336" s="3">
        <v>5.79</v>
      </c>
    </row>
    <row r="12337">
      <c r="A12337" s="3">
        <v>787287.0</v>
      </c>
      <c r="B12337" s="3" t="s">
        <v>12365</v>
      </c>
      <c r="C12337" s="3" t="s">
        <v>101</v>
      </c>
      <c r="D12337" s="3">
        <v>27.0</v>
      </c>
      <c r="E12337" s="3">
        <v>0.48</v>
      </c>
      <c r="F12337" s="3">
        <v>1.98</v>
      </c>
      <c r="G12337" s="3">
        <v>5.21</v>
      </c>
    </row>
    <row r="12338">
      <c r="A12338" s="3">
        <v>787288.0</v>
      </c>
      <c r="B12338" s="3" t="s">
        <v>12366</v>
      </c>
      <c r="C12338" s="3" t="s">
        <v>101</v>
      </c>
      <c r="D12338" s="3">
        <v>46.0</v>
      </c>
      <c r="E12338" s="3">
        <v>2.6</v>
      </c>
      <c r="F12338" s="3">
        <v>1.94</v>
      </c>
      <c r="G12338" s="3">
        <v>5.07</v>
      </c>
    </row>
    <row r="12339">
      <c r="A12339" s="3">
        <v>787289.0</v>
      </c>
      <c r="B12339" s="3" t="s">
        <v>12367</v>
      </c>
      <c r="C12339" s="3" t="s">
        <v>101</v>
      </c>
      <c r="D12339" s="3">
        <v>46.0</v>
      </c>
      <c r="E12339" s="3">
        <v>2.6</v>
      </c>
      <c r="F12339" s="3">
        <v>1.94</v>
      </c>
      <c r="G12339" s="3">
        <v>5.07</v>
      </c>
    </row>
    <row r="12340">
      <c r="A12340" s="3">
        <v>787290.0</v>
      </c>
      <c r="B12340" s="3" t="s">
        <v>12368</v>
      </c>
      <c r="C12340" s="3" t="s">
        <v>101</v>
      </c>
      <c r="D12340" s="3">
        <v>50.0</v>
      </c>
      <c r="E12340" s="3">
        <v>2.56</v>
      </c>
      <c r="F12340" s="3">
        <v>2.98</v>
      </c>
      <c r="G12340" s="3">
        <v>5.63</v>
      </c>
    </row>
    <row r="12341">
      <c r="A12341" s="3">
        <v>787291.0</v>
      </c>
      <c r="B12341" s="3" t="s">
        <v>12369</v>
      </c>
      <c r="C12341" s="3" t="s">
        <v>101</v>
      </c>
      <c r="D12341" s="3">
        <v>46.0</v>
      </c>
      <c r="E12341" s="3">
        <v>2.6</v>
      </c>
      <c r="F12341" s="3">
        <v>1.94</v>
      </c>
      <c r="G12341" s="3">
        <v>5.07</v>
      </c>
    </row>
    <row r="12342">
      <c r="A12342" s="3">
        <v>787292.0</v>
      </c>
      <c r="B12342" s="3" t="s">
        <v>12370</v>
      </c>
      <c r="C12342" s="3" t="s">
        <v>101</v>
      </c>
      <c r="D12342" s="3">
        <v>52.0</v>
      </c>
      <c r="E12342" s="3">
        <v>3.3</v>
      </c>
      <c r="F12342" s="3">
        <v>1.93</v>
      </c>
      <c r="G12342" s="3">
        <v>5.06</v>
      </c>
    </row>
    <row r="12343">
      <c r="A12343" s="3">
        <v>787293.0</v>
      </c>
      <c r="B12343" s="3" t="s">
        <v>12371</v>
      </c>
      <c r="C12343" s="3" t="s">
        <v>101</v>
      </c>
      <c r="D12343" s="3">
        <v>48.0</v>
      </c>
      <c r="E12343" s="3">
        <v>2.85</v>
      </c>
      <c r="F12343" s="3">
        <v>1.95</v>
      </c>
      <c r="G12343" s="3">
        <v>5.06</v>
      </c>
    </row>
    <row r="12344">
      <c r="A12344" s="3">
        <v>787294.0</v>
      </c>
      <c r="B12344" s="3" t="s">
        <v>12372</v>
      </c>
      <c r="C12344" s="3" t="s">
        <v>101</v>
      </c>
      <c r="D12344" s="3">
        <v>42.0</v>
      </c>
      <c r="E12344" s="3">
        <v>2.24</v>
      </c>
      <c r="F12344" s="3">
        <v>1.93</v>
      </c>
      <c r="G12344" s="3">
        <v>5.08</v>
      </c>
    </row>
    <row r="12345">
      <c r="A12345" s="3">
        <v>787295.0</v>
      </c>
      <c r="B12345" s="3" t="s">
        <v>12373</v>
      </c>
      <c r="C12345" s="3" t="s">
        <v>101</v>
      </c>
      <c r="D12345" s="3">
        <v>52.0</v>
      </c>
      <c r="E12345" s="3">
        <v>3.3</v>
      </c>
      <c r="F12345" s="3">
        <v>1.93</v>
      </c>
      <c r="G12345" s="3">
        <v>5.06</v>
      </c>
    </row>
    <row r="12346">
      <c r="A12346" s="3">
        <v>787296.0</v>
      </c>
      <c r="B12346" s="3" t="s">
        <v>12374</v>
      </c>
      <c r="C12346" s="3" t="s">
        <v>101</v>
      </c>
      <c r="D12346" s="3">
        <v>48.0</v>
      </c>
      <c r="E12346" s="3">
        <v>2.85</v>
      </c>
      <c r="F12346" s="3">
        <v>1.95</v>
      </c>
      <c r="G12346" s="3">
        <v>5.06</v>
      </c>
    </row>
    <row r="12347">
      <c r="A12347" s="3">
        <v>787297.0</v>
      </c>
      <c r="B12347" s="3" t="s">
        <v>12375</v>
      </c>
      <c r="C12347" s="3" t="s">
        <v>101</v>
      </c>
      <c r="D12347" s="3">
        <v>42.0</v>
      </c>
      <c r="E12347" s="3">
        <v>2.24</v>
      </c>
      <c r="F12347" s="3">
        <v>1.93</v>
      </c>
      <c r="G12347" s="3">
        <v>5.08</v>
      </c>
    </row>
    <row r="12348">
      <c r="A12348" s="3">
        <v>787298.0</v>
      </c>
      <c r="B12348" s="3" t="s">
        <v>12376</v>
      </c>
      <c r="C12348" s="3" t="s">
        <v>101</v>
      </c>
      <c r="D12348" s="3">
        <v>56.0</v>
      </c>
      <c r="E12348" s="3">
        <v>3.26</v>
      </c>
      <c r="F12348" s="3">
        <v>2.96</v>
      </c>
      <c r="G12348" s="3">
        <v>5.62</v>
      </c>
    </row>
    <row r="12349">
      <c r="A12349" s="3">
        <v>787299.0</v>
      </c>
      <c r="B12349" s="3" t="s">
        <v>12377</v>
      </c>
      <c r="C12349" s="3" t="s">
        <v>101</v>
      </c>
      <c r="D12349" s="3">
        <v>52.0</v>
      </c>
      <c r="E12349" s="3">
        <v>2.81</v>
      </c>
      <c r="F12349" s="3">
        <v>2.98</v>
      </c>
      <c r="G12349" s="3">
        <v>5.62</v>
      </c>
    </row>
    <row r="12350">
      <c r="A12350" s="3">
        <v>787300.0</v>
      </c>
      <c r="B12350" s="3" t="s">
        <v>12378</v>
      </c>
      <c r="C12350" s="3" t="s">
        <v>101</v>
      </c>
      <c r="D12350" s="3">
        <v>45.0</v>
      </c>
      <c r="E12350" s="3">
        <v>2.24</v>
      </c>
      <c r="F12350" s="3">
        <v>2.86</v>
      </c>
      <c r="G12350" s="3">
        <v>5.15</v>
      </c>
    </row>
    <row r="12351">
      <c r="A12351" s="3">
        <v>787301.0</v>
      </c>
      <c r="B12351" s="3" t="s">
        <v>12379</v>
      </c>
      <c r="C12351" s="3" t="s">
        <v>101</v>
      </c>
      <c r="D12351" s="3">
        <v>52.0</v>
      </c>
      <c r="E12351" s="3">
        <v>3.3</v>
      </c>
      <c r="F12351" s="3">
        <v>1.93</v>
      </c>
      <c r="G12351" s="3">
        <v>5.06</v>
      </c>
    </row>
    <row r="12352">
      <c r="A12352" s="3">
        <v>787302.0</v>
      </c>
      <c r="B12352" s="3" t="s">
        <v>12380</v>
      </c>
      <c r="C12352" s="3" t="s">
        <v>101</v>
      </c>
      <c r="D12352" s="3">
        <v>48.0</v>
      </c>
      <c r="E12352" s="3">
        <v>2.85</v>
      </c>
      <c r="F12352" s="3">
        <v>1.95</v>
      </c>
      <c r="G12352" s="3">
        <v>5.06</v>
      </c>
    </row>
    <row r="12353">
      <c r="A12353" s="3">
        <v>787303.0</v>
      </c>
      <c r="B12353" s="3" t="s">
        <v>12381</v>
      </c>
      <c r="C12353" s="3" t="s">
        <v>101</v>
      </c>
      <c r="D12353" s="3">
        <v>42.0</v>
      </c>
      <c r="E12353" s="3">
        <v>2.24</v>
      </c>
      <c r="F12353" s="3">
        <v>1.93</v>
      </c>
      <c r="G12353" s="3">
        <v>5.08</v>
      </c>
    </row>
    <row r="12354">
      <c r="A12354" s="3">
        <v>787304.0</v>
      </c>
      <c r="B12354" s="3" t="s">
        <v>12382</v>
      </c>
      <c r="C12354" s="3" t="s">
        <v>101</v>
      </c>
      <c r="D12354" s="3">
        <v>84.0</v>
      </c>
      <c r="E12354" s="3">
        <v>5.94</v>
      </c>
      <c r="F12354" s="3">
        <v>3.28</v>
      </c>
      <c r="G12354" s="3">
        <v>6.09</v>
      </c>
    </row>
    <row r="12355">
      <c r="A12355" s="3">
        <v>787305.0</v>
      </c>
      <c r="B12355" s="3" t="s">
        <v>12383</v>
      </c>
      <c r="C12355" s="3" t="s">
        <v>101</v>
      </c>
      <c r="D12355" s="3">
        <v>44.0</v>
      </c>
      <c r="E12355" s="3">
        <v>1.21</v>
      </c>
      <c r="F12355" s="3">
        <v>3.45</v>
      </c>
      <c r="G12355" s="3">
        <v>6.4</v>
      </c>
    </row>
    <row r="12356">
      <c r="A12356" s="3">
        <v>787306.0</v>
      </c>
      <c r="B12356" s="3" t="s">
        <v>12384</v>
      </c>
      <c r="C12356" s="3" t="s">
        <v>101</v>
      </c>
      <c r="D12356" s="3">
        <v>84.0</v>
      </c>
      <c r="E12356" s="3">
        <v>5.94</v>
      </c>
      <c r="F12356" s="3">
        <v>3.28</v>
      </c>
      <c r="G12356" s="3">
        <v>6.09</v>
      </c>
    </row>
    <row r="12357">
      <c r="A12357" s="3">
        <v>787308.0</v>
      </c>
      <c r="B12357" s="3" t="s">
        <v>12385</v>
      </c>
      <c r="C12357" s="3" t="s">
        <v>101</v>
      </c>
      <c r="D12357" s="3">
        <v>49.0</v>
      </c>
      <c r="E12357" s="3">
        <v>2.91</v>
      </c>
      <c r="F12357" s="3">
        <v>1.84</v>
      </c>
      <c r="G12357" s="3">
        <v>5.41</v>
      </c>
    </row>
    <row r="12358">
      <c r="A12358" s="3">
        <v>787309.0</v>
      </c>
      <c r="B12358" s="3" t="s">
        <v>12386</v>
      </c>
      <c r="C12358" s="3" t="s">
        <v>101</v>
      </c>
      <c r="D12358" s="3">
        <v>49.0</v>
      </c>
      <c r="E12358" s="3">
        <v>2.91</v>
      </c>
      <c r="F12358" s="3">
        <v>1.84</v>
      </c>
      <c r="G12358" s="3">
        <v>5.41</v>
      </c>
    </row>
    <row r="12359">
      <c r="A12359" s="3">
        <v>787310.0</v>
      </c>
      <c r="B12359" s="3" t="s">
        <v>12387</v>
      </c>
      <c r="C12359" s="3" t="s">
        <v>101</v>
      </c>
      <c r="D12359" s="3">
        <v>51.0</v>
      </c>
      <c r="E12359" s="3">
        <v>3.0</v>
      </c>
      <c r="F12359" s="3">
        <v>2.74</v>
      </c>
      <c r="G12359" s="3">
        <v>5.02</v>
      </c>
    </row>
    <row r="12360">
      <c r="A12360" s="3">
        <v>787311.0</v>
      </c>
      <c r="B12360" s="3" t="s">
        <v>12388</v>
      </c>
      <c r="C12360" s="3" t="s">
        <v>101</v>
      </c>
      <c r="D12360" s="3">
        <v>49.0</v>
      </c>
      <c r="E12360" s="3">
        <v>2.91</v>
      </c>
      <c r="F12360" s="3">
        <v>1.84</v>
      </c>
      <c r="G12360" s="3">
        <v>5.41</v>
      </c>
    </row>
    <row r="12361">
      <c r="A12361" s="3">
        <v>787312.0</v>
      </c>
      <c r="B12361" s="3" t="s">
        <v>12389</v>
      </c>
      <c r="C12361" s="3" t="s">
        <v>101</v>
      </c>
      <c r="D12361" s="3">
        <v>28.0</v>
      </c>
      <c r="E12361" s="3">
        <v>0.4</v>
      </c>
      <c r="F12361" s="3">
        <v>1.88</v>
      </c>
      <c r="G12361" s="3">
        <v>5.59</v>
      </c>
    </row>
    <row r="12362">
      <c r="A12362" s="3">
        <v>787313.0</v>
      </c>
      <c r="B12362" s="3" t="s">
        <v>12390</v>
      </c>
      <c r="C12362" s="3" t="s">
        <v>101</v>
      </c>
      <c r="D12362" s="3">
        <v>28.0</v>
      </c>
      <c r="E12362" s="3">
        <v>0.4</v>
      </c>
      <c r="F12362" s="3">
        <v>1.88</v>
      </c>
      <c r="G12362" s="3">
        <v>5.59</v>
      </c>
    </row>
    <row r="12363">
      <c r="A12363" s="3">
        <v>787314.0</v>
      </c>
      <c r="B12363" s="3" t="s">
        <v>12391</v>
      </c>
      <c r="C12363" s="3" t="s">
        <v>101</v>
      </c>
      <c r="D12363" s="3">
        <v>30.0</v>
      </c>
      <c r="E12363" s="3">
        <v>0.49</v>
      </c>
      <c r="F12363" s="3">
        <v>2.82</v>
      </c>
      <c r="G12363" s="3">
        <v>5.19</v>
      </c>
    </row>
    <row r="12364">
      <c r="A12364" s="3">
        <v>787315.0</v>
      </c>
      <c r="B12364" s="3" t="s">
        <v>12392</v>
      </c>
      <c r="C12364" s="3" t="s">
        <v>101</v>
      </c>
      <c r="D12364" s="3">
        <v>28.0</v>
      </c>
      <c r="E12364" s="3">
        <v>0.4</v>
      </c>
      <c r="F12364" s="3">
        <v>1.88</v>
      </c>
      <c r="G12364" s="3">
        <v>5.59</v>
      </c>
    </row>
    <row r="12365">
      <c r="A12365" s="3">
        <v>787316.0</v>
      </c>
      <c r="B12365" s="3" t="s">
        <v>12393</v>
      </c>
      <c r="C12365" s="3" t="s">
        <v>101</v>
      </c>
      <c r="D12365" s="3">
        <v>49.0</v>
      </c>
      <c r="E12365" s="3">
        <v>2.91</v>
      </c>
      <c r="F12365" s="3">
        <v>1.84</v>
      </c>
      <c r="G12365" s="3">
        <v>5.41</v>
      </c>
    </row>
    <row r="12366">
      <c r="A12366" s="3">
        <v>787317.0</v>
      </c>
      <c r="B12366" s="3" t="s">
        <v>12394</v>
      </c>
      <c r="C12366" s="3" t="s">
        <v>101</v>
      </c>
      <c r="D12366" s="3">
        <v>49.0</v>
      </c>
      <c r="E12366" s="3">
        <v>2.91</v>
      </c>
      <c r="F12366" s="3">
        <v>1.84</v>
      </c>
      <c r="G12366" s="3">
        <v>5.41</v>
      </c>
    </row>
    <row r="12367">
      <c r="A12367" s="3">
        <v>787318.0</v>
      </c>
      <c r="B12367" s="3" t="s">
        <v>12395</v>
      </c>
      <c r="C12367" s="3" t="s">
        <v>101</v>
      </c>
      <c r="D12367" s="3">
        <v>51.0</v>
      </c>
      <c r="E12367" s="3">
        <v>3.0</v>
      </c>
      <c r="F12367" s="3">
        <v>2.74</v>
      </c>
      <c r="G12367" s="3">
        <v>5.02</v>
      </c>
    </row>
    <row r="12368">
      <c r="A12368" s="3">
        <v>787319.0</v>
      </c>
      <c r="B12368" s="3" t="s">
        <v>12396</v>
      </c>
      <c r="C12368" s="3" t="s">
        <v>101</v>
      </c>
      <c r="D12368" s="3">
        <v>49.0</v>
      </c>
      <c r="E12368" s="3">
        <v>2.91</v>
      </c>
      <c r="F12368" s="3">
        <v>1.84</v>
      </c>
      <c r="G12368" s="3">
        <v>5.41</v>
      </c>
    </row>
    <row r="12369">
      <c r="A12369" s="3">
        <v>787320.0</v>
      </c>
      <c r="B12369" s="3" t="s">
        <v>12397</v>
      </c>
      <c r="C12369" s="3" t="s">
        <v>101</v>
      </c>
      <c r="D12369" s="3">
        <v>58.0</v>
      </c>
      <c r="E12369" s="3">
        <v>3.82</v>
      </c>
      <c r="F12369" s="3">
        <v>2.72</v>
      </c>
      <c r="G12369" s="3">
        <v>5.02</v>
      </c>
    </row>
    <row r="12370">
      <c r="A12370" s="3">
        <v>787321.0</v>
      </c>
      <c r="B12370" s="3" t="s">
        <v>12398</v>
      </c>
      <c r="C12370" s="3" t="s">
        <v>101</v>
      </c>
      <c r="D12370" s="3">
        <v>54.0</v>
      </c>
      <c r="E12370" s="3">
        <v>3.3</v>
      </c>
      <c r="F12370" s="3">
        <v>2.75</v>
      </c>
      <c r="G12370" s="3">
        <v>5.01</v>
      </c>
    </row>
    <row r="12371">
      <c r="A12371" s="3">
        <v>787322.0</v>
      </c>
      <c r="B12371" s="3" t="s">
        <v>12399</v>
      </c>
      <c r="C12371" s="3" t="s">
        <v>101</v>
      </c>
      <c r="D12371" s="3">
        <v>47.0</v>
      </c>
      <c r="E12371" s="3">
        <v>2.57</v>
      </c>
      <c r="F12371" s="3">
        <v>2.72</v>
      </c>
      <c r="G12371" s="3">
        <v>5.04</v>
      </c>
    </row>
    <row r="12372">
      <c r="A12372" s="3">
        <v>787323.0</v>
      </c>
      <c r="B12372" s="3" t="s">
        <v>12400</v>
      </c>
      <c r="C12372" s="3" t="s">
        <v>101</v>
      </c>
      <c r="D12372" s="3">
        <v>57.0</v>
      </c>
      <c r="E12372" s="3">
        <v>3.74</v>
      </c>
      <c r="F12372" s="3">
        <v>1.82</v>
      </c>
      <c r="G12372" s="3">
        <v>5.4</v>
      </c>
    </row>
    <row r="12373">
      <c r="A12373" s="3">
        <v>787324.0</v>
      </c>
      <c r="B12373" s="3" t="s">
        <v>12401</v>
      </c>
      <c r="C12373" s="3" t="s">
        <v>101</v>
      </c>
      <c r="D12373" s="3">
        <v>52.0</v>
      </c>
      <c r="E12373" s="3">
        <v>3.21</v>
      </c>
      <c r="F12373" s="3">
        <v>1.85</v>
      </c>
      <c r="G12373" s="3">
        <v>5.39</v>
      </c>
    </row>
    <row r="12374">
      <c r="A12374" s="3">
        <v>787325.0</v>
      </c>
      <c r="B12374" s="3" t="s">
        <v>12402</v>
      </c>
      <c r="C12374" s="3" t="s">
        <v>101</v>
      </c>
      <c r="D12374" s="3">
        <v>46.0</v>
      </c>
      <c r="E12374" s="3">
        <v>2.48</v>
      </c>
      <c r="F12374" s="3">
        <v>1.82</v>
      </c>
      <c r="G12374" s="3">
        <v>5.42</v>
      </c>
    </row>
    <row r="12375">
      <c r="A12375" s="3">
        <v>787326.0</v>
      </c>
      <c r="B12375" s="3" t="s">
        <v>12403</v>
      </c>
      <c r="C12375" s="3" t="s">
        <v>101</v>
      </c>
      <c r="D12375" s="3">
        <v>58.0</v>
      </c>
      <c r="E12375" s="3">
        <v>3.82</v>
      </c>
      <c r="F12375" s="3">
        <v>2.72</v>
      </c>
      <c r="G12375" s="3">
        <v>5.02</v>
      </c>
    </row>
    <row r="12376">
      <c r="A12376" s="3">
        <v>787327.0</v>
      </c>
      <c r="B12376" s="3" t="s">
        <v>12404</v>
      </c>
      <c r="C12376" s="3" t="s">
        <v>101</v>
      </c>
      <c r="D12376" s="3">
        <v>54.0</v>
      </c>
      <c r="E12376" s="3">
        <v>3.3</v>
      </c>
      <c r="F12376" s="3">
        <v>2.75</v>
      </c>
      <c r="G12376" s="3">
        <v>5.01</v>
      </c>
    </row>
    <row r="12377">
      <c r="A12377" s="3">
        <v>787328.0</v>
      </c>
      <c r="B12377" s="3" t="s">
        <v>12405</v>
      </c>
      <c r="C12377" s="3" t="s">
        <v>101</v>
      </c>
      <c r="D12377" s="3">
        <v>47.0</v>
      </c>
      <c r="E12377" s="3">
        <v>2.57</v>
      </c>
      <c r="F12377" s="3">
        <v>2.72</v>
      </c>
      <c r="G12377" s="3">
        <v>5.04</v>
      </c>
    </row>
    <row r="12378">
      <c r="A12378" s="3">
        <v>787329.0</v>
      </c>
      <c r="B12378" s="3" t="s">
        <v>12406</v>
      </c>
      <c r="C12378" s="3" t="s">
        <v>101</v>
      </c>
      <c r="D12378" s="3">
        <v>57.0</v>
      </c>
      <c r="E12378" s="3">
        <v>3.74</v>
      </c>
      <c r="F12378" s="3">
        <v>1.82</v>
      </c>
      <c r="G12378" s="3">
        <v>5.4</v>
      </c>
    </row>
    <row r="12379">
      <c r="A12379" s="3">
        <v>787330.0</v>
      </c>
      <c r="B12379" s="3" t="s">
        <v>12407</v>
      </c>
      <c r="C12379" s="3" t="s">
        <v>101</v>
      </c>
      <c r="D12379" s="3">
        <v>52.0</v>
      </c>
      <c r="E12379" s="3">
        <v>3.21</v>
      </c>
      <c r="F12379" s="3">
        <v>1.85</v>
      </c>
      <c r="G12379" s="3">
        <v>5.39</v>
      </c>
    </row>
    <row r="12380">
      <c r="A12380" s="3">
        <v>787331.0</v>
      </c>
      <c r="B12380" s="3" t="s">
        <v>12408</v>
      </c>
      <c r="C12380" s="3" t="s">
        <v>101</v>
      </c>
      <c r="D12380" s="3">
        <v>46.0</v>
      </c>
      <c r="E12380" s="3">
        <v>2.48</v>
      </c>
      <c r="F12380" s="3">
        <v>1.82</v>
      </c>
      <c r="G12380" s="3">
        <v>5.42</v>
      </c>
    </row>
    <row r="12381">
      <c r="A12381" s="3">
        <v>787332.0</v>
      </c>
      <c r="B12381" s="3" t="s">
        <v>12409</v>
      </c>
      <c r="C12381" s="3" t="s">
        <v>101</v>
      </c>
      <c r="D12381" s="3">
        <v>47.0</v>
      </c>
      <c r="E12381" s="3">
        <v>2.53</v>
      </c>
      <c r="F12381" s="3">
        <v>3.12</v>
      </c>
      <c r="G12381" s="3">
        <v>4.86</v>
      </c>
    </row>
    <row r="12382">
      <c r="A12382" s="3">
        <v>787333.0</v>
      </c>
      <c r="B12382" s="3" t="s">
        <v>12410</v>
      </c>
      <c r="C12382" s="3" t="s">
        <v>101</v>
      </c>
      <c r="D12382" s="3">
        <v>32.0</v>
      </c>
      <c r="E12382" s="3">
        <v>0.7</v>
      </c>
      <c r="F12382" s="3">
        <v>3.18</v>
      </c>
      <c r="G12382" s="3">
        <v>4.97</v>
      </c>
    </row>
    <row r="12383">
      <c r="A12383" s="3">
        <v>787334.0</v>
      </c>
      <c r="B12383" s="3" t="s">
        <v>12411</v>
      </c>
      <c r="C12383" s="3" t="s">
        <v>101</v>
      </c>
      <c r="D12383" s="3">
        <v>47.0</v>
      </c>
      <c r="E12383" s="3">
        <v>2.53</v>
      </c>
      <c r="F12383" s="3">
        <v>3.12</v>
      </c>
      <c r="G12383" s="3">
        <v>4.86</v>
      </c>
    </row>
    <row r="12384">
      <c r="A12384" s="3">
        <v>787335.0</v>
      </c>
      <c r="B12384" s="3" t="s">
        <v>12412</v>
      </c>
      <c r="C12384" s="3" t="s">
        <v>101</v>
      </c>
      <c r="D12384" s="3">
        <v>53.0</v>
      </c>
      <c r="E12384" s="3">
        <v>3.13</v>
      </c>
      <c r="F12384" s="3">
        <v>3.1</v>
      </c>
      <c r="G12384" s="3">
        <v>4.85</v>
      </c>
    </row>
    <row r="12385">
      <c r="A12385" s="3">
        <v>787336.0</v>
      </c>
      <c r="B12385" s="3" t="s">
        <v>12413</v>
      </c>
      <c r="C12385" s="3" t="s">
        <v>101</v>
      </c>
      <c r="D12385" s="3">
        <v>49.0</v>
      </c>
      <c r="E12385" s="3">
        <v>2.74</v>
      </c>
      <c r="F12385" s="3">
        <v>3.12</v>
      </c>
      <c r="G12385" s="3">
        <v>4.85</v>
      </c>
    </row>
    <row r="12386">
      <c r="A12386" s="3">
        <v>787337.0</v>
      </c>
      <c r="B12386" s="3" t="s">
        <v>12414</v>
      </c>
      <c r="C12386" s="3" t="s">
        <v>101</v>
      </c>
      <c r="D12386" s="3">
        <v>45.0</v>
      </c>
      <c r="E12386" s="3">
        <v>2.21</v>
      </c>
      <c r="F12386" s="3">
        <v>3.1</v>
      </c>
      <c r="G12386" s="3">
        <v>4.87</v>
      </c>
    </row>
    <row r="12387">
      <c r="A12387" s="3">
        <v>787338.0</v>
      </c>
      <c r="B12387" s="3" t="s">
        <v>12415</v>
      </c>
      <c r="C12387" s="3" t="s">
        <v>101</v>
      </c>
      <c r="D12387" s="3">
        <v>29.0</v>
      </c>
      <c r="E12387" s="3">
        <v>2.11</v>
      </c>
      <c r="F12387" s="3">
        <v>1.52</v>
      </c>
      <c r="G12387" s="3">
        <v>1.73</v>
      </c>
    </row>
    <row r="12388">
      <c r="A12388" s="3">
        <v>787339.0</v>
      </c>
      <c r="B12388" s="3" t="s">
        <v>12416</v>
      </c>
      <c r="C12388" s="3" t="s">
        <v>101</v>
      </c>
      <c r="D12388" s="3">
        <v>12.0</v>
      </c>
      <c r="E12388" s="3">
        <v>0.16</v>
      </c>
      <c r="F12388" s="3">
        <v>1.55</v>
      </c>
      <c r="G12388" s="3">
        <v>1.77</v>
      </c>
    </row>
    <row r="12389">
      <c r="A12389" s="3">
        <v>787340.0</v>
      </c>
      <c r="B12389" s="3" t="s">
        <v>12417</v>
      </c>
      <c r="C12389" s="3" t="s">
        <v>101</v>
      </c>
      <c r="D12389" s="3">
        <v>29.0</v>
      </c>
      <c r="E12389" s="3">
        <v>2.11</v>
      </c>
      <c r="F12389" s="3">
        <v>1.52</v>
      </c>
      <c r="G12389" s="3">
        <v>1.73</v>
      </c>
    </row>
    <row r="12390">
      <c r="A12390" s="3">
        <v>787342.0</v>
      </c>
      <c r="B12390" s="3" t="s">
        <v>12418</v>
      </c>
      <c r="C12390" s="3" t="s">
        <v>101</v>
      </c>
      <c r="D12390" s="3">
        <v>46.0</v>
      </c>
      <c r="E12390" s="3">
        <v>2.81</v>
      </c>
      <c r="F12390" s="3">
        <v>2.48</v>
      </c>
      <c r="G12390" s="3">
        <v>4.34</v>
      </c>
    </row>
    <row r="12391">
      <c r="A12391" s="3">
        <v>787343.0</v>
      </c>
      <c r="B12391" s="3" t="s">
        <v>12419</v>
      </c>
      <c r="C12391" s="3" t="s">
        <v>101</v>
      </c>
      <c r="D12391" s="3">
        <v>46.0</v>
      </c>
      <c r="E12391" s="3">
        <v>2.81</v>
      </c>
      <c r="F12391" s="3">
        <v>2.48</v>
      </c>
      <c r="G12391" s="3">
        <v>4.34</v>
      </c>
    </row>
    <row r="12392">
      <c r="A12392" s="3">
        <v>787344.0</v>
      </c>
      <c r="B12392" s="3" t="s">
        <v>12420</v>
      </c>
      <c r="C12392" s="3" t="s">
        <v>101</v>
      </c>
      <c r="D12392" s="3">
        <v>38.0</v>
      </c>
      <c r="E12392" s="3">
        <v>2.44</v>
      </c>
      <c r="F12392" s="3">
        <v>2.2</v>
      </c>
      <c r="G12392" s="3">
        <v>3.01</v>
      </c>
    </row>
    <row r="12393">
      <c r="A12393" s="3">
        <v>787345.0</v>
      </c>
      <c r="B12393" s="3" t="s">
        <v>12421</v>
      </c>
      <c r="C12393" s="3" t="s">
        <v>101</v>
      </c>
      <c r="D12393" s="3">
        <v>46.0</v>
      </c>
      <c r="E12393" s="3">
        <v>2.81</v>
      </c>
      <c r="F12393" s="3">
        <v>2.48</v>
      </c>
      <c r="G12393" s="3">
        <v>4.34</v>
      </c>
    </row>
    <row r="12394">
      <c r="A12394" s="3">
        <v>787346.0</v>
      </c>
      <c r="B12394" s="3" t="s">
        <v>12422</v>
      </c>
      <c r="C12394" s="3" t="s">
        <v>101</v>
      </c>
      <c r="D12394" s="3">
        <v>19.0</v>
      </c>
      <c r="E12394" s="3">
        <v>0.25</v>
      </c>
      <c r="F12394" s="3">
        <v>2.26</v>
      </c>
      <c r="G12394" s="3">
        <v>3.09</v>
      </c>
    </row>
    <row r="12395">
      <c r="A12395" s="3">
        <v>787347.0</v>
      </c>
      <c r="B12395" s="3" t="s">
        <v>12423</v>
      </c>
      <c r="C12395" s="3" t="s">
        <v>101</v>
      </c>
      <c r="D12395" s="3">
        <v>26.0</v>
      </c>
      <c r="E12395" s="3">
        <v>0.47</v>
      </c>
      <c r="F12395" s="3">
        <v>2.54</v>
      </c>
      <c r="G12395" s="3">
        <v>4.48</v>
      </c>
    </row>
    <row r="12396">
      <c r="A12396" s="3">
        <v>787348.0</v>
      </c>
      <c r="B12396" s="3" t="s">
        <v>12424</v>
      </c>
      <c r="C12396" s="3" t="s">
        <v>101</v>
      </c>
      <c r="D12396" s="3">
        <v>19.0</v>
      </c>
      <c r="E12396" s="3">
        <v>0.25</v>
      </c>
      <c r="F12396" s="3">
        <v>2.26</v>
      </c>
      <c r="G12396" s="3">
        <v>3.09</v>
      </c>
    </row>
    <row r="12397">
      <c r="A12397" s="3">
        <v>787349.0</v>
      </c>
      <c r="B12397" s="3" t="s">
        <v>12425</v>
      </c>
      <c r="C12397" s="3" t="s">
        <v>101</v>
      </c>
      <c r="D12397" s="3">
        <v>26.0</v>
      </c>
      <c r="E12397" s="3">
        <v>0.47</v>
      </c>
      <c r="F12397" s="3">
        <v>2.54</v>
      </c>
      <c r="G12397" s="3">
        <v>4.48</v>
      </c>
    </row>
    <row r="12398">
      <c r="A12398" s="3">
        <v>787350.0</v>
      </c>
      <c r="B12398" s="3" t="s">
        <v>12426</v>
      </c>
      <c r="C12398" s="3" t="s">
        <v>101</v>
      </c>
      <c r="D12398" s="3">
        <v>38.0</v>
      </c>
      <c r="E12398" s="3">
        <v>2.44</v>
      </c>
      <c r="F12398" s="3">
        <v>2.2</v>
      </c>
      <c r="G12398" s="3">
        <v>3.01</v>
      </c>
    </row>
    <row r="12399">
      <c r="A12399" s="3">
        <v>787351.0</v>
      </c>
      <c r="B12399" s="3" t="s">
        <v>12427</v>
      </c>
      <c r="C12399" s="3" t="s">
        <v>101</v>
      </c>
      <c r="D12399" s="3">
        <v>46.0</v>
      </c>
      <c r="E12399" s="3">
        <v>2.81</v>
      </c>
      <c r="F12399" s="3">
        <v>2.48</v>
      </c>
      <c r="G12399" s="3">
        <v>4.34</v>
      </c>
    </row>
    <row r="12400">
      <c r="A12400" s="3">
        <v>787352.0</v>
      </c>
      <c r="B12400" s="3" t="s">
        <v>12428</v>
      </c>
      <c r="C12400" s="3" t="s">
        <v>101</v>
      </c>
      <c r="D12400" s="3">
        <v>38.0</v>
      </c>
      <c r="E12400" s="3">
        <v>2.44</v>
      </c>
      <c r="F12400" s="3">
        <v>2.2</v>
      </c>
      <c r="G12400" s="3">
        <v>3.01</v>
      </c>
    </row>
    <row r="12401">
      <c r="A12401" s="3">
        <v>787353.0</v>
      </c>
      <c r="B12401" s="3" t="s">
        <v>12429</v>
      </c>
      <c r="C12401" s="3" t="s">
        <v>101</v>
      </c>
      <c r="D12401" s="3">
        <v>46.0</v>
      </c>
      <c r="E12401" s="3">
        <v>2.81</v>
      </c>
      <c r="F12401" s="3">
        <v>2.48</v>
      </c>
      <c r="G12401" s="3">
        <v>4.34</v>
      </c>
    </row>
    <row r="12402">
      <c r="A12402" s="3">
        <v>787354.0</v>
      </c>
      <c r="B12402" s="3" t="s">
        <v>12430</v>
      </c>
      <c r="C12402" s="3" t="s">
        <v>101</v>
      </c>
      <c r="D12402" s="3">
        <v>53.0</v>
      </c>
      <c r="E12402" s="3">
        <v>3.57</v>
      </c>
      <c r="F12402" s="3">
        <v>2.46</v>
      </c>
      <c r="G12402" s="3">
        <v>4.34</v>
      </c>
    </row>
    <row r="12403">
      <c r="A12403" s="3">
        <v>787355.0</v>
      </c>
      <c r="B12403" s="3" t="s">
        <v>12431</v>
      </c>
      <c r="C12403" s="3" t="s">
        <v>101</v>
      </c>
      <c r="D12403" s="3">
        <v>48.0</v>
      </c>
      <c r="E12403" s="3">
        <v>3.08</v>
      </c>
      <c r="F12403" s="3">
        <v>2.49</v>
      </c>
      <c r="G12403" s="3">
        <v>4.34</v>
      </c>
    </row>
    <row r="12404">
      <c r="A12404" s="3">
        <v>787356.0</v>
      </c>
      <c r="B12404" s="3" t="s">
        <v>12432</v>
      </c>
      <c r="C12404" s="3" t="s">
        <v>101</v>
      </c>
      <c r="D12404" s="3">
        <v>42.0</v>
      </c>
      <c r="E12404" s="3">
        <v>2.41</v>
      </c>
      <c r="F12404" s="3">
        <v>2.46</v>
      </c>
      <c r="G12404" s="3">
        <v>4.36</v>
      </c>
    </row>
    <row r="12405">
      <c r="A12405" s="3">
        <v>787357.0</v>
      </c>
      <c r="B12405" s="3" t="s">
        <v>12433</v>
      </c>
      <c r="C12405" s="3" t="s">
        <v>101</v>
      </c>
      <c r="D12405" s="3">
        <v>53.0</v>
      </c>
      <c r="E12405" s="3">
        <v>3.57</v>
      </c>
      <c r="F12405" s="3">
        <v>2.46</v>
      </c>
      <c r="G12405" s="3">
        <v>4.34</v>
      </c>
    </row>
    <row r="12406">
      <c r="A12406" s="3">
        <v>787358.0</v>
      </c>
      <c r="B12406" s="3" t="s">
        <v>12434</v>
      </c>
      <c r="C12406" s="3" t="s">
        <v>101</v>
      </c>
      <c r="D12406" s="3">
        <v>48.0</v>
      </c>
      <c r="E12406" s="3">
        <v>3.08</v>
      </c>
      <c r="F12406" s="3">
        <v>2.49</v>
      </c>
      <c r="G12406" s="3">
        <v>4.34</v>
      </c>
    </row>
    <row r="12407">
      <c r="A12407" s="3">
        <v>787359.0</v>
      </c>
      <c r="B12407" s="3" t="s">
        <v>12435</v>
      </c>
      <c r="C12407" s="3" t="s">
        <v>101</v>
      </c>
      <c r="D12407" s="3">
        <v>42.0</v>
      </c>
      <c r="E12407" s="3">
        <v>2.41</v>
      </c>
      <c r="F12407" s="3">
        <v>2.46</v>
      </c>
      <c r="G12407" s="3">
        <v>4.36</v>
      </c>
    </row>
    <row r="12408">
      <c r="A12408" s="3">
        <v>787360.0</v>
      </c>
      <c r="B12408" s="3" t="s">
        <v>12436</v>
      </c>
      <c r="C12408" s="3" t="s">
        <v>101</v>
      </c>
      <c r="D12408" s="3">
        <v>44.0</v>
      </c>
      <c r="E12408" s="3">
        <v>3.16</v>
      </c>
      <c r="F12408" s="3">
        <v>2.19</v>
      </c>
      <c r="G12408" s="3">
        <v>3.0</v>
      </c>
    </row>
    <row r="12409">
      <c r="A12409" s="3">
        <v>787361.0</v>
      </c>
      <c r="B12409" s="3" t="s">
        <v>12437</v>
      </c>
      <c r="C12409" s="3" t="s">
        <v>101</v>
      </c>
      <c r="D12409" s="3">
        <v>40.0</v>
      </c>
      <c r="E12409" s="3">
        <v>2.7</v>
      </c>
      <c r="F12409" s="3">
        <v>2.21</v>
      </c>
      <c r="G12409" s="3">
        <v>3.0</v>
      </c>
    </row>
    <row r="12410">
      <c r="A12410" s="3">
        <v>787362.0</v>
      </c>
      <c r="B12410" s="3" t="s">
        <v>12438</v>
      </c>
      <c r="C12410" s="3" t="s">
        <v>101</v>
      </c>
      <c r="D12410" s="3">
        <v>35.0</v>
      </c>
      <c r="E12410" s="3">
        <v>2.07</v>
      </c>
      <c r="F12410" s="3">
        <v>2.19</v>
      </c>
      <c r="G12410" s="3">
        <v>3.02</v>
      </c>
    </row>
    <row r="12411">
      <c r="A12411" s="3">
        <v>787363.0</v>
      </c>
      <c r="B12411" s="3" t="s">
        <v>12439</v>
      </c>
      <c r="C12411" s="3" t="s">
        <v>101</v>
      </c>
      <c r="D12411" s="3">
        <v>53.0</v>
      </c>
      <c r="E12411" s="3">
        <v>3.57</v>
      </c>
      <c r="F12411" s="3">
        <v>2.46</v>
      </c>
      <c r="G12411" s="3">
        <v>4.34</v>
      </c>
    </row>
    <row r="12412">
      <c r="A12412" s="3">
        <v>787364.0</v>
      </c>
      <c r="B12412" s="3" t="s">
        <v>12440</v>
      </c>
      <c r="C12412" s="3" t="s">
        <v>101</v>
      </c>
      <c r="D12412" s="3">
        <v>48.0</v>
      </c>
      <c r="E12412" s="3">
        <v>3.08</v>
      </c>
      <c r="F12412" s="3">
        <v>2.49</v>
      </c>
      <c r="G12412" s="3">
        <v>4.34</v>
      </c>
    </row>
    <row r="12413">
      <c r="A12413" s="3">
        <v>787365.0</v>
      </c>
      <c r="B12413" s="3" t="s">
        <v>12441</v>
      </c>
      <c r="C12413" s="3" t="s">
        <v>101</v>
      </c>
      <c r="D12413" s="3">
        <v>42.0</v>
      </c>
      <c r="E12413" s="3">
        <v>2.41</v>
      </c>
      <c r="F12413" s="3">
        <v>2.46</v>
      </c>
      <c r="G12413" s="3">
        <v>4.36</v>
      </c>
    </row>
    <row r="12414">
      <c r="A12414" s="3">
        <v>787366.0</v>
      </c>
      <c r="B12414" s="3" t="s">
        <v>12442</v>
      </c>
      <c r="C12414" s="3" t="s">
        <v>101</v>
      </c>
      <c r="D12414" s="3">
        <v>37.0</v>
      </c>
      <c r="E12414" s="3">
        <v>2.4</v>
      </c>
      <c r="F12414" s="3">
        <v>2.24</v>
      </c>
      <c r="G12414" s="3">
        <v>3.01</v>
      </c>
    </row>
    <row r="12415">
      <c r="A12415" s="3">
        <v>787367.0</v>
      </c>
      <c r="B12415" s="3" t="s">
        <v>12443</v>
      </c>
      <c r="C12415" s="3" t="s">
        <v>101</v>
      </c>
      <c r="D12415" s="3">
        <v>20.0</v>
      </c>
      <c r="E12415" s="3">
        <v>0.4</v>
      </c>
      <c r="F12415" s="3">
        <v>2.29</v>
      </c>
      <c r="G12415" s="3">
        <v>3.08</v>
      </c>
    </row>
    <row r="12416">
      <c r="A12416" s="3">
        <v>787368.0</v>
      </c>
      <c r="B12416" s="3" t="s">
        <v>12444</v>
      </c>
      <c r="C12416" s="3" t="s">
        <v>101</v>
      </c>
      <c r="D12416" s="3">
        <v>37.0</v>
      </c>
      <c r="E12416" s="3">
        <v>2.4</v>
      </c>
      <c r="F12416" s="3">
        <v>2.24</v>
      </c>
      <c r="G12416" s="3">
        <v>3.01</v>
      </c>
    </row>
    <row r="12417">
      <c r="A12417" s="3">
        <v>787369.0</v>
      </c>
      <c r="B12417" s="3" t="s">
        <v>12445</v>
      </c>
      <c r="C12417" s="3" t="s">
        <v>101</v>
      </c>
      <c r="D12417" s="3">
        <v>43.0</v>
      </c>
      <c r="E12417" s="3">
        <v>3.05</v>
      </c>
      <c r="F12417" s="3">
        <v>2.22</v>
      </c>
      <c r="G12417" s="3">
        <v>3.0</v>
      </c>
    </row>
    <row r="12418">
      <c r="A12418" s="3">
        <v>787370.0</v>
      </c>
      <c r="B12418" s="3" t="s">
        <v>12446</v>
      </c>
      <c r="C12418" s="3" t="s">
        <v>101</v>
      </c>
      <c r="D12418" s="3">
        <v>39.0</v>
      </c>
      <c r="E12418" s="3">
        <v>2.63</v>
      </c>
      <c r="F12418" s="3">
        <v>2.25</v>
      </c>
      <c r="G12418" s="3">
        <v>3.0</v>
      </c>
    </row>
    <row r="12419">
      <c r="A12419" s="3">
        <v>787371.0</v>
      </c>
      <c r="B12419" s="3" t="s">
        <v>12447</v>
      </c>
      <c r="C12419" s="3" t="s">
        <v>101</v>
      </c>
      <c r="D12419" s="3">
        <v>34.0</v>
      </c>
      <c r="E12419" s="3">
        <v>2.06</v>
      </c>
      <c r="F12419" s="3">
        <v>2.23</v>
      </c>
      <c r="G12419" s="3">
        <v>3.02</v>
      </c>
    </row>
    <row r="12420">
      <c r="A12420" s="3">
        <v>787374.0</v>
      </c>
      <c r="B12420" s="3" t="s">
        <v>12448</v>
      </c>
      <c r="C12420" s="3" t="s">
        <v>101</v>
      </c>
      <c r="D12420" s="3">
        <v>49.0</v>
      </c>
      <c r="E12420" s="3">
        <v>2.6</v>
      </c>
      <c r="F12420" s="3">
        <v>3.91</v>
      </c>
      <c r="G12420" s="3">
        <v>4.67</v>
      </c>
    </row>
    <row r="12421">
      <c r="A12421" s="3">
        <v>787375.0</v>
      </c>
      <c r="B12421" s="3" t="s">
        <v>12449</v>
      </c>
      <c r="C12421" s="3" t="s">
        <v>101</v>
      </c>
      <c r="D12421" s="3">
        <v>39.0</v>
      </c>
      <c r="E12421" s="3">
        <v>2.1</v>
      </c>
      <c r="F12421" s="3">
        <v>2.89</v>
      </c>
      <c r="G12421" s="3">
        <v>3.64</v>
      </c>
    </row>
    <row r="12422">
      <c r="A12422" s="3">
        <v>787376.0</v>
      </c>
      <c r="B12422" s="3" t="s">
        <v>12450</v>
      </c>
      <c r="C12422" s="3" t="s">
        <v>101</v>
      </c>
      <c r="D12422" s="3">
        <v>49.0</v>
      </c>
      <c r="E12422" s="3">
        <v>2.6</v>
      </c>
      <c r="F12422" s="3">
        <v>3.91</v>
      </c>
      <c r="G12422" s="3">
        <v>4.67</v>
      </c>
    </row>
    <row r="12423">
      <c r="A12423" s="3">
        <v>787377.0</v>
      </c>
      <c r="B12423" s="3" t="s">
        <v>12451</v>
      </c>
      <c r="C12423" s="3" t="s">
        <v>101</v>
      </c>
      <c r="D12423" s="3">
        <v>36.0</v>
      </c>
      <c r="E12423" s="3">
        <v>2.06</v>
      </c>
      <c r="F12423" s="3">
        <v>2.76</v>
      </c>
      <c r="G12423" s="3">
        <v>3.33</v>
      </c>
    </row>
    <row r="12424">
      <c r="A12424" s="3">
        <v>787378.0</v>
      </c>
      <c r="B12424" s="3" t="s">
        <v>12452</v>
      </c>
      <c r="C12424" s="3" t="s">
        <v>101</v>
      </c>
      <c r="D12424" s="3">
        <v>34.0</v>
      </c>
      <c r="E12424" s="3">
        <v>0.86</v>
      </c>
      <c r="F12424" s="3">
        <v>3.99</v>
      </c>
      <c r="G12424" s="3">
        <v>4.78</v>
      </c>
    </row>
    <row r="12425">
      <c r="A12425" s="3">
        <v>787379.0</v>
      </c>
      <c r="B12425" s="3" t="s">
        <v>12453</v>
      </c>
      <c r="C12425" s="3" t="s">
        <v>101</v>
      </c>
      <c r="D12425" s="3">
        <v>23.0</v>
      </c>
      <c r="E12425" s="3">
        <v>0.26</v>
      </c>
      <c r="F12425" s="3">
        <v>2.95</v>
      </c>
      <c r="G12425" s="3">
        <v>3.73</v>
      </c>
    </row>
    <row r="12426">
      <c r="A12426" s="3">
        <v>787380.0</v>
      </c>
      <c r="B12426" s="3" t="s">
        <v>12454</v>
      </c>
      <c r="C12426" s="3" t="s">
        <v>101</v>
      </c>
      <c r="D12426" s="3">
        <v>34.0</v>
      </c>
      <c r="E12426" s="3">
        <v>0.86</v>
      </c>
      <c r="F12426" s="3">
        <v>3.99</v>
      </c>
      <c r="G12426" s="3">
        <v>4.78</v>
      </c>
    </row>
    <row r="12427">
      <c r="A12427" s="3">
        <v>787381.0</v>
      </c>
      <c r="B12427" s="3" t="s">
        <v>12455</v>
      </c>
      <c r="C12427" s="3" t="s">
        <v>101</v>
      </c>
      <c r="D12427" s="3">
        <v>23.0</v>
      </c>
      <c r="E12427" s="3">
        <v>0.5</v>
      </c>
      <c r="F12427" s="3">
        <v>2.8</v>
      </c>
      <c r="G12427" s="3">
        <v>3.39</v>
      </c>
    </row>
    <row r="12428">
      <c r="A12428" s="3">
        <v>787382.0</v>
      </c>
      <c r="B12428" s="3" t="s">
        <v>12456</v>
      </c>
      <c r="C12428" s="3" t="s">
        <v>101</v>
      </c>
      <c r="D12428" s="3">
        <v>49.0</v>
      </c>
      <c r="E12428" s="3">
        <v>2.6</v>
      </c>
      <c r="F12428" s="3">
        <v>3.91</v>
      </c>
      <c r="G12428" s="3">
        <v>4.67</v>
      </c>
    </row>
    <row r="12429">
      <c r="A12429" s="3">
        <v>787383.0</v>
      </c>
      <c r="B12429" s="3" t="s">
        <v>12457</v>
      </c>
      <c r="C12429" s="3" t="s">
        <v>101</v>
      </c>
      <c r="D12429" s="3">
        <v>50.0</v>
      </c>
      <c r="E12429" s="3">
        <v>2.8</v>
      </c>
      <c r="F12429" s="3">
        <v>3.91</v>
      </c>
      <c r="G12429" s="3">
        <v>4.66</v>
      </c>
    </row>
    <row r="12430">
      <c r="A12430" s="3">
        <v>787384.0</v>
      </c>
      <c r="B12430" s="3" t="s">
        <v>12458</v>
      </c>
      <c r="C12430" s="3" t="s">
        <v>101</v>
      </c>
      <c r="D12430" s="3">
        <v>46.0</v>
      </c>
      <c r="E12430" s="3">
        <v>2.3</v>
      </c>
      <c r="F12430" s="3">
        <v>3.9</v>
      </c>
      <c r="G12430" s="3">
        <v>4.68</v>
      </c>
    </row>
    <row r="12431">
      <c r="A12431" s="3">
        <v>787385.0</v>
      </c>
      <c r="B12431" s="3" t="s">
        <v>12459</v>
      </c>
      <c r="C12431" s="3" t="s">
        <v>101</v>
      </c>
      <c r="D12431" s="3">
        <v>44.0</v>
      </c>
      <c r="E12431" s="3">
        <v>2.7</v>
      </c>
      <c r="F12431" s="3">
        <v>2.88</v>
      </c>
      <c r="G12431" s="3">
        <v>3.64</v>
      </c>
    </row>
    <row r="12432">
      <c r="A12432" s="3">
        <v>787386.0</v>
      </c>
      <c r="B12432" s="3" t="s">
        <v>12460</v>
      </c>
      <c r="C12432" s="3" t="s">
        <v>101</v>
      </c>
      <c r="D12432" s="3">
        <v>41.0</v>
      </c>
      <c r="E12432" s="3">
        <v>2.32</v>
      </c>
      <c r="F12432" s="3">
        <v>2.9</v>
      </c>
      <c r="G12432" s="3">
        <v>3.64</v>
      </c>
    </row>
    <row r="12433">
      <c r="A12433" s="3">
        <v>787387.0</v>
      </c>
      <c r="B12433" s="3" t="s">
        <v>12461</v>
      </c>
      <c r="C12433" s="3" t="s">
        <v>101</v>
      </c>
      <c r="D12433" s="3">
        <v>36.0</v>
      </c>
      <c r="E12433" s="3">
        <v>1.79</v>
      </c>
      <c r="F12433" s="3">
        <v>2.88</v>
      </c>
      <c r="G12433" s="3">
        <v>3.66</v>
      </c>
    </row>
    <row r="12434">
      <c r="A12434" s="3">
        <v>787388.0</v>
      </c>
      <c r="B12434" s="3" t="s">
        <v>12462</v>
      </c>
      <c r="C12434" s="3" t="s">
        <v>101</v>
      </c>
      <c r="D12434" s="3">
        <v>49.0</v>
      </c>
      <c r="E12434" s="3">
        <v>2.6</v>
      </c>
      <c r="F12434" s="3">
        <v>3.91</v>
      </c>
      <c r="G12434" s="3">
        <v>4.67</v>
      </c>
    </row>
    <row r="12435">
      <c r="A12435" s="3">
        <v>787389.0</v>
      </c>
      <c r="B12435" s="3" t="s">
        <v>12463</v>
      </c>
      <c r="C12435" s="3" t="s">
        <v>101</v>
      </c>
      <c r="D12435" s="3">
        <v>39.0</v>
      </c>
      <c r="E12435" s="3">
        <v>2.1</v>
      </c>
      <c r="F12435" s="3">
        <v>2.89</v>
      </c>
      <c r="G12435" s="3">
        <v>3.64</v>
      </c>
    </row>
    <row r="12436">
      <c r="A12436" s="3">
        <v>787390.0</v>
      </c>
      <c r="B12436" s="3" t="s">
        <v>12464</v>
      </c>
      <c r="C12436" s="3" t="s">
        <v>101</v>
      </c>
      <c r="D12436" s="3">
        <v>49.0</v>
      </c>
      <c r="E12436" s="3">
        <v>2.6</v>
      </c>
      <c r="F12436" s="3">
        <v>3.91</v>
      </c>
      <c r="G12436" s="3">
        <v>4.67</v>
      </c>
    </row>
    <row r="12437">
      <c r="A12437" s="3">
        <v>787391.0</v>
      </c>
      <c r="B12437" s="3" t="s">
        <v>12465</v>
      </c>
      <c r="C12437" s="3" t="s">
        <v>101</v>
      </c>
      <c r="D12437" s="3">
        <v>36.0</v>
      </c>
      <c r="E12437" s="3">
        <v>2.06</v>
      </c>
      <c r="F12437" s="3">
        <v>2.76</v>
      </c>
      <c r="G12437" s="3">
        <v>3.33</v>
      </c>
    </row>
    <row r="12438">
      <c r="A12438" s="3">
        <v>787392.0</v>
      </c>
      <c r="B12438" s="3" t="s">
        <v>12466</v>
      </c>
      <c r="C12438" s="3" t="s">
        <v>101</v>
      </c>
      <c r="D12438" s="3">
        <v>54.0</v>
      </c>
      <c r="E12438" s="3">
        <v>3.17</v>
      </c>
      <c r="F12438" s="3">
        <v>3.9</v>
      </c>
      <c r="G12438" s="3">
        <v>4.66</v>
      </c>
    </row>
    <row r="12439">
      <c r="A12439" s="3">
        <v>787393.0</v>
      </c>
      <c r="B12439" s="3" t="s">
        <v>12467</v>
      </c>
      <c r="C12439" s="3" t="s">
        <v>101</v>
      </c>
      <c r="D12439" s="3">
        <v>50.0</v>
      </c>
      <c r="E12439" s="3">
        <v>2.8</v>
      </c>
      <c r="F12439" s="3">
        <v>3.91</v>
      </c>
      <c r="G12439" s="3">
        <v>4.66</v>
      </c>
    </row>
    <row r="12440">
      <c r="A12440" s="3">
        <v>787394.0</v>
      </c>
      <c r="B12440" s="3" t="s">
        <v>12468</v>
      </c>
      <c r="C12440" s="3" t="s">
        <v>101</v>
      </c>
      <c r="D12440" s="3">
        <v>46.0</v>
      </c>
      <c r="E12440" s="3">
        <v>2.3</v>
      </c>
      <c r="F12440" s="3">
        <v>3.9</v>
      </c>
      <c r="G12440" s="3">
        <v>4.68</v>
      </c>
    </row>
    <row r="12441">
      <c r="A12441" s="3">
        <v>787395.0</v>
      </c>
      <c r="B12441" s="3" t="s">
        <v>12469</v>
      </c>
      <c r="C12441" s="3" t="s">
        <v>101</v>
      </c>
      <c r="D12441" s="3">
        <v>41.0</v>
      </c>
      <c r="E12441" s="3">
        <v>2.56</v>
      </c>
      <c r="F12441" s="3">
        <v>2.75</v>
      </c>
      <c r="G12441" s="3">
        <v>3.32</v>
      </c>
    </row>
    <row r="12442">
      <c r="A12442" s="3">
        <v>787396.0</v>
      </c>
      <c r="B12442" s="3" t="s">
        <v>12470</v>
      </c>
      <c r="C12442" s="3" t="s">
        <v>101</v>
      </c>
      <c r="D12442" s="3">
        <v>38.0</v>
      </c>
      <c r="E12442" s="3">
        <v>2.24</v>
      </c>
      <c r="F12442" s="3">
        <v>2.76</v>
      </c>
      <c r="G12442" s="3">
        <v>3.32</v>
      </c>
    </row>
    <row r="12443">
      <c r="A12443" s="3">
        <v>787397.0</v>
      </c>
      <c r="B12443" s="3" t="s">
        <v>12471</v>
      </c>
      <c r="C12443" s="3" t="s">
        <v>101</v>
      </c>
      <c r="D12443" s="3">
        <v>34.0</v>
      </c>
      <c r="E12443" s="3">
        <v>1.79</v>
      </c>
      <c r="F12443" s="3">
        <v>2.75</v>
      </c>
      <c r="G12443" s="3">
        <v>3.34</v>
      </c>
    </row>
    <row r="12444">
      <c r="A12444" s="3">
        <v>787398.0</v>
      </c>
      <c r="B12444" s="3" t="s">
        <v>12472</v>
      </c>
      <c r="C12444" s="3" t="s">
        <v>101</v>
      </c>
      <c r="D12444" s="3">
        <v>79.0</v>
      </c>
      <c r="E12444" s="3">
        <v>4.74</v>
      </c>
      <c r="F12444" s="3">
        <v>3.94</v>
      </c>
      <c r="G12444" s="3">
        <v>6.53</v>
      </c>
    </row>
    <row r="12445">
      <c r="A12445" s="3">
        <v>787399.0</v>
      </c>
      <c r="B12445" s="3" t="s">
        <v>12473</v>
      </c>
      <c r="C12445" s="3" t="s">
        <v>101</v>
      </c>
      <c r="D12445" s="3">
        <v>74.0</v>
      </c>
      <c r="E12445" s="3">
        <v>4.5</v>
      </c>
      <c r="F12445" s="3">
        <v>3.32</v>
      </c>
      <c r="G12445" s="3">
        <v>5.96</v>
      </c>
    </row>
    <row r="12446">
      <c r="A12446" s="3">
        <v>787400.0</v>
      </c>
      <c r="B12446" s="3" t="s">
        <v>12474</v>
      </c>
      <c r="C12446" s="3" t="s">
        <v>101</v>
      </c>
      <c r="D12446" s="3">
        <v>79.0</v>
      </c>
      <c r="E12446" s="3">
        <v>4.74</v>
      </c>
      <c r="F12446" s="3">
        <v>3.94</v>
      </c>
      <c r="G12446" s="3">
        <v>6.53</v>
      </c>
    </row>
    <row r="12447">
      <c r="A12447" s="3">
        <v>787401.0</v>
      </c>
      <c r="B12447" s="3" t="s">
        <v>12475</v>
      </c>
      <c r="C12447" s="3" t="s">
        <v>101</v>
      </c>
      <c r="D12447" s="3">
        <v>69.0</v>
      </c>
      <c r="E12447" s="3">
        <v>4.24</v>
      </c>
      <c r="F12447" s="3">
        <v>3.19</v>
      </c>
      <c r="G12447" s="3">
        <v>5.53</v>
      </c>
    </row>
    <row r="12448">
      <c r="A12448" s="3">
        <v>787403.0</v>
      </c>
      <c r="B12448" s="3" t="s">
        <v>12476</v>
      </c>
      <c r="C12448" s="3" t="s">
        <v>101</v>
      </c>
      <c r="D12448" s="3">
        <v>83.0</v>
      </c>
      <c r="E12448" s="3">
        <v>5.06</v>
      </c>
      <c r="F12448" s="3">
        <v>5.89</v>
      </c>
      <c r="G12448" s="3">
        <v>5.0</v>
      </c>
    </row>
    <row r="12449">
      <c r="A12449" s="3">
        <v>787404.0</v>
      </c>
      <c r="B12449" s="3" t="s">
        <v>12477</v>
      </c>
      <c r="C12449" s="3" t="s">
        <v>101</v>
      </c>
      <c r="D12449" s="3">
        <v>77.0</v>
      </c>
      <c r="E12449" s="3">
        <v>4.8</v>
      </c>
      <c r="F12449" s="3">
        <v>5.25</v>
      </c>
      <c r="G12449" s="3">
        <v>4.28</v>
      </c>
    </row>
    <row r="12450">
      <c r="A12450" s="3">
        <v>787405.0</v>
      </c>
      <c r="B12450" s="3" t="s">
        <v>12478</v>
      </c>
      <c r="C12450" s="3" t="s">
        <v>101</v>
      </c>
      <c r="D12450" s="3">
        <v>83.0</v>
      </c>
      <c r="E12450" s="3">
        <v>5.06</v>
      </c>
      <c r="F12450" s="3">
        <v>5.89</v>
      </c>
      <c r="G12450" s="3">
        <v>5.0</v>
      </c>
    </row>
    <row r="12451">
      <c r="A12451" s="3">
        <v>787406.0</v>
      </c>
      <c r="B12451" s="3" t="s">
        <v>12479</v>
      </c>
      <c r="C12451" s="3" t="s">
        <v>101</v>
      </c>
      <c r="D12451" s="3">
        <v>58.0</v>
      </c>
      <c r="E12451" s="3">
        <v>3.33</v>
      </c>
      <c r="F12451" s="3">
        <v>3.09</v>
      </c>
      <c r="G12451" s="3">
        <v>5.01</v>
      </c>
    </row>
    <row r="12452">
      <c r="A12452" s="3">
        <v>787407.0</v>
      </c>
      <c r="B12452" s="3" t="s">
        <v>12480</v>
      </c>
      <c r="C12452" s="3" t="s">
        <v>101</v>
      </c>
      <c r="D12452" s="3">
        <v>125.0</v>
      </c>
      <c r="E12452" s="3">
        <v>7.23</v>
      </c>
      <c r="F12452" s="3">
        <v>6.75</v>
      </c>
      <c r="G12452" s="3">
        <v>9.56</v>
      </c>
    </row>
    <row r="12453">
      <c r="A12453" s="3">
        <v>787408.0</v>
      </c>
      <c r="B12453" s="3" t="s">
        <v>12481</v>
      </c>
      <c r="C12453" s="3" t="s">
        <v>101</v>
      </c>
      <c r="D12453" s="3">
        <v>96.0</v>
      </c>
      <c r="E12453" s="3">
        <v>6.84</v>
      </c>
      <c r="F12453" s="3">
        <v>5.23</v>
      </c>
      <c r="G12453" s="3">
        <v>4.32</v>
      </c>
    </row>
    <row r="12454">
      <c r="A12454" s="3">
        <v>787409.0</v>
      </c>
      <c r="B12454" s="3" t="s">
        <v>12482</v>
      </c>
      <c r="C12454" s="3" t="s">
        <v>101</v>
      </c>
      <c r="D12454" s="3">
        <v>82.0</v>
      </c>
      <c r="E12454" s="3">
        <v>3.96</v>
      </c>
      <c r="F12454" s="3">
        <v>3.82</v>
      </c>
      <c r="G12454" s="3">
        <v>9.22</v>
      </c>
    </row>
    <row r="12455">
      <c r="A12455" s="3">
        <v>787413.0</v>
      </c>
      <c r="B12455" s="3" t="s">
        <v>12483</v>
      </c>
      <c r="C12455" s="3" t="s">
        <v>101</v>
      </c>
      <c r="D12455" s="3">
        <v>44.0</v>
      </c>
      <c r="E12455" s="3">
        <v>3.02</v>
      </c>
      <c r="F12455" s="3">
        <v>1.84</v>
      </c>
      <c r="G12455" s="3">
        <v>3.66</v>
      </c>
    </row>
    <row r="12456">
      <c r="A12456" s="3">
        <v>787414.0</v>
      </c>
      <c r="B12456" s="3" t="s">
        <v>12484</v>
      </c>
      <c r="C12456" s="3" t="s">
        <v>101</v>
      </c>
      <c r="D12456" s="3">
        <v>23.0</v>
      </c>
      <c r="E12456" s="3">
        <v>0.6</v>
      </c>
      <c r="F12456" s="3">
        <v>1.89</v>
      </c>
      <c r="G12456" s="3">
        <v>3.77</v>
      </c>
    </row>
    <row r="12457">
      <c r="A12457" s="3">
        <v>787415.0</v>
      </c>
      <c r="B12457" s="3" t="s">
        <v>12485</v>
      </c>
      <c r="C12457" s="3" t="s">
        <v>101</v>
      </c>
      <c r="D12457" s="3">
        <v>44.0</v>
      </c>
      <c r="E12457" s="3">
        <v>3.02</v>
      </c>
      <c r="F12457" s="3">
        <v>1.84</v>
      </c>
      <c r="G12457" s="3">
        <v>3.66</v>
      </c>
    </row>
    <row r="12458">
      <c r="A12458" s="3">
        <v>787416.0</v>
      </c>
      <c r="B12458" s="3" t="s">
        <v>12486</v>
      </c>
      <c r="C12458" s="3" t="s">
        <v>101</v>
      </c>
      <c r="D12458" s="3">
        <v>46.0</v>
      </c>
      <c r="E12458" s="3">
        <v>2.43</v>
      </c>
      <c r="F12458" s="3">
        <v>3.25</v>
      </c>
      <c r="G12458" s="3">
        <v>4.82</v>
      </c>
    </row>
    <row r="12459">
      <c r="A12459" s="3">
        <v>787417.0</v>
      </c>
      <c r="B12459" s="3" t="s">
        <v>12487</v>
      </c>
      <c r="C12459" s="3" t="s">
        <v>101</v>
      </c>
      <c r="D12459" s="3">
        <v>40.0</v>
      </c>
      <c r="E12459" s="3">
        <v>2.51</v>
      </c>
      <c r="F12459" s="3">
        <v>1.12</v>
      </c>
      <c r="G12459" s="3">
        <v>4.2</v>
      </c>
    </row>
    <row r="12460">
      <c r="A12460" s="3">
        <v>787418.0</v>
      </c>
      <c r="B12460" s="3" t="s">
        <v>12488</v>
      </c>
      <c r="C12460" s="3" t="s">
        <v>101</v>
      </c>
      <c r="D12460" s="3">
        <v>46.0</v>
      </c>
      <c r="E12460" s="3">
        <v>2.43</v>
      </c>
      <c r="F12460" s="3">
        <v>3.25</v>
      </c>
      <c r="G12460" s="3">
        <v>4.82</v>
      </c>
    </row>
    <row r="12461">
      <c r="A12461" s="3">
        <v>787419.0</v>
      </c>
      <c r="B12461" s="3" t="s">
        <v>12489</v>
      </c>
      <c r="C12461" s="3" t="s">
        <v>101</v>
      </c>
      <c r="D12461" s="3">
        <v>39.0</v>
      </c>
      <c r="E12461" s="3">
        <v>2.58</v>
      </c>
      <c r="F12461" s="3">
        <v>1.33</v>
      </c>
      <c r="G12461" s="3">
        <v>2.71</v>
      </c>
    </row>
    <row r="12462">
      <c r="A12462" s="3">
        <v>787420.0</v>
      </c>
      <c r="B12462" s="3" t="s">
        <v>12490</v>
      </c>
      <c r="C12462" s="3" t="s">
        <v>101</v>
      </c>
      <c r="D12462" s="3">
        <v>29.0</v>
      </c>
      <c r="E12462" s="3">
        <v>0.42</v>
      </c>
      <c r="F12462" s="3">
        <v>3.33</v>
      </c>
      <c r="G12462" s="3">
        <v>4.95</v>
      </c>
    </row>
    <row r="12463">
      <c r="A12463" s="3">
        <v>787421.0</v>
      </c>
      <c r="B12463" s="3" t="s">
        <v>12491</v>
      </c>
      <c r="C12463" s="3" t="s">
        <v>101</v>
      </c>
      <c r="D12463" s="3">
        <v>20.0</v>
      </c>
      <c r="E12463" s="3">
        <v>0.23</v>
      </c>
      <c r="F12463" s="3">
        <v>1.13</v>
      </c>
      <c r="G12463" s="3">
        <v>4.33</v>
      </c>
    </row>
    <row r="12464">
      <c r="A12464" s="3">
        <v>787422.0</v>
      </c>
      <c r="B12464" s="3" t="s">
        <v>12492</v>
      </c>
      <c r="C12464" s="3" t="s">
        <v>101</v>
      </c>
      <c r="D12464" s="3">
        <v>29.0</v>
      </c>
      <c r="E12464" s="3">
        <v>0.42</v>
      </c>
      <c r="F12464" s="3">
        <v>3.33</v>
      </c>
      <c r="G12464" s="3">
        <v>4.95</v>
      </c>
    </row>
    <row r="12465">
      <c r="A12465" s="3">
        <v>787423.0</v>
      </c>
      <c r="B12465" s="3" t="s">
        <v>12493</v>
      </c>
      <c r="C12465" s="3" t="s">
        <v>101</v>
      </c>
      <c r="D12465" s="3">
        <v>19.0</v>
      </c>
      <c r="E12465" s="3">
        <v>0.3</v>
      </c>
      <c r="F12465" s="3">
        <v>1.35</v>
      </c>
      <c r="G12465" s="3">
        <v>2.79</v>
      </c>
    </row>
    <row r="12466">
      <c r="A12466" s="3">
        <v>787424.0</v>
      </c>
      <c r="B12466" s="3" t="s">
        <v>12494</v>
      </c>
      <c r="C12466" s="3" t="s">
        <v>101</v>
      </c>
      <c r="D12466" s="3">
        <v>46.0</v>
      </c>
      <c r="E12466" s="3">
        <v>2.43</v>
      </c>
      <c r="F12466" s="3">
        <v>3.25</v>
      </c>
      <c r="G12466" s="3">
        <v>4.82</v>
      </c>
    </row>
    <row r="12467">
      <c r="A12467" s="3">
        <v>787425.0</v>
      </c>
      <c r="B12467" s="3" t="s">
        <v>12495</v>
      </c>
      <c r="C12467" s="3" t="s">
        <v>101</v>
      </c>
      <c r="D12467" s="3">
        <v>40.0</v>
      </c>
      <c r="E12467" s="3">
        <v>2.51</v>
      </c>
      <c r="F12467" s="3">
        <v>1.12</v>
      </c>
      <c r="G12467" s="3">
        <v>4.2</v>
      </c>
    </row>
    <row r="12468">
      <c r="A12468" s="3">
        <v>787426.0</v>
      </c>
      <c r="B12468" s="3" t="s">
        <v>12496</v>
      </c>
      <c r="C12468" s="3" t="s">
        <v>101</v>
      </c>
      <c r="D12468" s="3">
        <v>46.0</v>
      </c>
      <c r="E12468" s="3">
        <v>2.43</v>
      </c>
      <c r="F12468" s="3">
        <v>3.25</v>
      </c>
      <c r="G12468" s="3">
        <v>4.82</v>
      </c>
    </row>
    <row r="12469">
      <c r="A12469" s="3">
        <v>787427.0</v>
      </c>
      <c r="B12469" s="3" t="s">
        <v>12497</v>
      </c>
      <c r="C12469" s="3" t="s">
        <v>101</v>
      </c>
      <c r="D12469" s="3">
        <v>39.0</v>
      </c>
      <c r="E12469" s="3">
        <v>2.58</v>
      </c>
      <c r="F12469" s="3">
        <v>1.33</v>
      </c>
      <c r="G12469" s="3">
        <v>2.71</v>
      </c>
    </row>
    <row r="12470">
      <c r="A12470" s="3">
        <v>787428.0</v>
      </c>
      <c r="B12470" s="3" t="s">
        <v>12498</v>
      </c>
      <c r="C12470" s="3" t="s">
        <v>101</v>
      </c>
      <c r="D12470" s="3">
        <v>46.0</v>
      </c>
      <c r="E12470" s="3">
        <v>2.43</v>
      </c>
      <c r="F12470" s="3">
        <v>3.25</v>
      </c>
      <c r="G12470" s="3">
        <v>4.82</v>
      </c>
    </row>
    <row r="12471">
      <c r="A12471" s="3">
        <v>787429.0</v>
      </c>
      <c r="B12471" s="3" t="s">
        <v>12499</v>
      </c>
      <c r="C12471" s="3" t="s">
        <v>101</v>
      </c>
      <c r="D12471" s="3">
        <v>48.0</v>
      </c>
      <c r="E12471" s="3">
        <v>2.67</v>
      </c>
      <c r="F12471" s="3">
        <v>3.26</v>
      </c>
      <c r="G12471" s="3">
        <v>4.81</v>
      </c>
    </row>
    <row r="12472">
      <c r="A12472" s="3">
        <v>787430.0</v>
      </c>
      <c r="B12472" s="3" t="s">
        <v>12500</v>
      </c>
      <c r="C12472" s="3" t="s">
        <v>101</v>
      </c>
      <c r="D12472" s="3">
        <v>43.0</v>
      </c>
      <c r="E12472" s="3">
        <v>2.09</v>
      </c>
      <c r="F12472" s="3">
        <v>3.24</v>
      </c>
      <c r="G12472" s="3">
        <v>4.84</v>
      </c>
    </row>
    <row r="12473">
      <c r="A12473" s="3">
        <v>787431.0</v>
      </c>
      <c r="B12473" s="3" t="s">
        <v>12501</v>
      </c>
      <c r="C12473" s="3" t="s">
        <v>101</v>
      </c>
      <c r="D12473" s="3">
        <v>46.0</v>
      </c>
      <c r="E12473" s="3">
        <v>3.26</v>
      </c>
      <c r="F12473" s="3">
        <v>1.1</v>
      </c>
      <c r="G12473" s="3">
        <v>4.2</v>
      </c>
    </row>
    <row r="12474">
      <c r="A12474" s="3">
        <v>787432.0</v>
      </c>
      <c r="B12474" s="3" t="s">
        <v>12502</v>
      </c>
      <c r="C12474" s="3" t="s">
        <v>101</v>
      </c>
      <c r="D12474" s="3">
        <v>42.0</v>
      </c>
      <c r="E12474" s="3">
        <v>2.78</v>
      </c>
      <c r="F12474" s="3">
        <v>1.12</v>
      </c>
      <c r="G12474" s="3">
        <v>4.2</v>
      </c>
    </row>
    <row r="12475">
      <c r="A12475" s="3">
        <v>787433.0</v>
      </c>
      <c r="B12475" s="3" t="s">
        <v>12503</v>
      </c>
      <c r="C12475" s="3" t="s">
        <v>101</v>
      </c>
      <c r="D12475" s="3">
        <v>36.0</v>
      </c>
      <c r="E12475" s="3">
        <v>2.13</v>
      </c>
      <c r="F12475" s="3">
        <v>1.1</v>
      </c>
      <c r="G12475" s="3">
        <v>4.22</v>
      </c>
    </row>
    <row r="12476">
      <c r="A12476" s="3">
        <v>787434.0</v>
      </c>
      <c r="B12476" s="3" t="s">
        <v>12504</v>
      </c>
      <c r="C12476" s="3" t="s">
        <v>101</v>
      </c>
      <c r="D12476" s="3">
        <v>52.0</v>
      </c>
      <c r="E12476" s="3">
        <v>3.08</v>
      </c>
      <c r="F12476" s="3">
        <v>3.24</v>
      </c>
      <c r="G12476" s="3">
        <v>4.82</v>
      </c>
    </row>
    <row r="12477">
      <c r="A12477" s="3">
        <v>787435.0</v>
      </c>
      <c r="B12477" s="3" t="s">
        <v>12505</v>
      </c>
      <c r="C12477" s="3" t="s">
        <v>101</v>
      </c>
      <c r="D12477" s="3">
        <v>48.0</v>
      </c>
      <c r="E12477" s="3">
        <v>2.67</v>
      </c>
      <c r="F12477" s="3">
        <v>3.26</v>
      </c>
      <c r="G12477" s="3">
        <v>4.81</v>
      </c>
    </row>
    <row r="12478">
      <c r="A12478" s="3">
        <v>787436.0</v>
      </c>
      <c r="B12478" s="3" t="s">
        <v>12506</v>
      </c>
      <c r="C12478" s="3" t="s">
        <v>101</v>
      </c>
      <c r="D12478" s="3">
        <v>43.0</v>
      </c>
      <c r="E12478" s="3">
        <v>2.09</v>
      </c>
      <c r="F12478" s="3">
        <v>3.24</v>
      </c>
      <c r="G12478" s="3">
        <v>4.84</v>
      </c>
    </row>
    <row r="12479">
      <c r="A12479" s="3">
        <v>787437.0</v>
      </c>
      <c r="B12479" s="3" t="s">
        <v>12507</v>
      </c>
      <c r="C12479" s="3" t="s">
        <v>101</v>
      </c>
      <c r="D12479" s="3">
        <v>45.0</v>
      </c>
      <c r="E12479" s="3">
        <v>3.33</v>
      </c>
      <c r="F12479" s="3">
        <v>1.31</v>
      </c>
      <c r="G12479" s="3">
        <v>2.71</v>
      </c>
    </row>
    <row r="12480">
      <c r="A12480" s="3">
        <v>787438.0</v>
      </c>
      <c r="B12480" s="3" t="s">
        <v>12508</v>
      </c>
      <c r="C12480" s="3" t="s">
        <v>101</v>
      </c>
      <c r="D12480" s="3">
        <v>41.0</v>
      </c>
      <c r="E12480" s="3">
        <v>2.85</v>
      </c>
      <c r="F12480" s="3">
        <v>1.34</v>
      </c>
      <c r="G12480" s="3">
        <v>2.7</v>
      </c>
    </row>
    <row r="12481">
      <c r="A12481" s="3">
        <v>787439.0</v>
      </c>
      <c r="B12481" s="3" t="s">
        <v>12509</v>
      </c>
      <c r="C12481" s="3" t="s">
        <v>101</v>
      </c>
      <c r="D12481" s="3">
        <v>35.0</v>
      </c>
      <c r="E12481" s="3">
        <v>2.19</v>
      </c>
      <c r="F12481" s="3">
        <v>1.31</v>
      </c>
      <c r="G12481" s="3">
        <v>2.73</v>
      </c>
    </row>
    <row r="12482">
      <c r="A12482" s="3">
        <v>787440.0</v>
      </c>
      <c r="B12482" s="3" t="s">
        <v>12510</v>
      </c>
      <c r="C12482" s="3" t="s">
        <v>101</v>
      </c>
      <c r="D12482" s="3">
        <v>39.0</v>
      </c>
      <c r="E12482" s="3">
        <v>2.6</v>
      </c>
      <c r="F12482" s="3">
        <v>1.34</v>
      </c>
      <c r="G12482" s="3">
        <v>2.73</v>
      </c>
    </row>
    <row r="12483">
      <c r="A12483" s="3">
        <v>787442.0</v>
      </c>
      <c r="B12483" s="3" t="s">
        <v>12511</v>
      </c>
      <c r="C12483" s="3" t="s">
        <v>101</v>
      </c>
      <c r="D12483" s="3">
        <v>39.0</v>
      </c>
      <c r="E12483" s="3">
        <v>2.6</v>
      </c>
      <c r="F12483" s="3">
        <v>1.34</v>
      </c>
      <c r="G12483" s="3">
        <v>2.73</v>
      </c>
    </row>
    <row r="12484">
      <c r="A12484" s="3">
        <v>787443.0</v>
      </c>
      <c r="B12484" s="3" t="s">
        <v>12512</v>
      </c>
      <c r="C12484" s="3" t="s">
        <v>101</v>
      </c>
      <c r="D12484" s="3">
        <v>51.0</v>
      </c>
      <c r="E12484" s="3">
        <v>2.3</v>
      </c>
      <c r="F12484" s="3">
        <v>2.91</v>
      </c>
      <c r="G12484" s="3">
        <v>4.7</v>
      </c>
    </row>
    <row r="12485">
      <c r="A12485" s="3">
        <v>787444.0</v>
      </c>
      <c r="B12485" s="3" t="s">
        <v>12513</v>
      </c>
      <c r="C12485" s="3" t="s">
        <v>101</v>
      </c>
      <c r="D12485" s="3">
        <v>40.0</v>
      </c>
      <c r="E12485" s="3">
        <v>2.35</v>
      </c>
      <c r="F12485" s="3">
        <v>0.9</v>
      </c>
      <c r="G12485" s="3">
        <v>4.56</v>
      </c>
    </row>
    <row r="12486">
      <c r="A12486" s="3">
        <v>787445.0</v>
      </c>
      <c r="B12486" s="3" t="s">
        <v>12514</v>
      </c>
      <c r="C12486" s="3" t="s">
        <v>101</v>
      </c>
      <c r="D12486" s="3">
        <v>51.0</v>
      </c>
      <c r="E12486" s="3">
        <v>2.3</v>
      </c>
      <c r="F12486" s="3">
        <v>2.91</v>
      </c>
      <c r="G12486" s="3">
        <v>4.7</v>
      </c>
    </row>
    <row r="12487">
      <c r="A12487" s="3">
        <v>787446.0</v>
      </c>
      <c r="B12487" s="3" t="s">
        <v>12515</v>
      </c>
      <c r="C12487" s="3" t="s">
        <v>101</v>
      </c>
      <c r="D12487" s="3">
        <v>39.0</v>
      </c>
      <c r="E12487" s="3">
        <v>2.38</v>
      </c>
      <c r="F12487" s="3">
        <v>1.0</v>
      </c>
      <c r="G12487" s="3">
        <v>3.84</v>
      </c>
    </row>
    <row r="12488">
      <c r="A12488" s="3">
        <v>787447.0</v>
      </c>
      <c r="B12488" s="3" t="s">
        <v>12516</v>
      </c>
      <c r="C12488" s="3" t="s">
        <v>101</v>
      </c>
      <c r="D12488" s="3">
        <v>35.0</v>
      </c>
      <c r="E12488" s="3">
        <v>0.38</v>
      </c>
      <c r="F12488" s="3">
        <v>2.97</v>
      </c>
      <c r="G12488" s="3">
        <v>4.82</v>
      </c>
    </row>
    <row r="12489">
      <c r="A12489" s="3">
        <v>787448.0</v>
      </c>
      <c r="B12489" s="3" t="s">
        <v>12517</v>
      </c>
      <c r="C12489" s="3" t="s">
        <v>101</v>
      </c>
      <c r="D12489" s="3">
        <v>21.0</v>
      </c>
      <c r="E12489" s="3">
        <v>0.15</v>
      </c>
      <c r="F12489" s="3">
        <v>0.91</v>
      </c>
      <c r="G12489" s="3">
        <v>4.69</v>
      </c>
    </row>
    <row r="12490">
      <c r="A12490" s="3">
        <v>787449.0</v>
      </c>
      <c r="B12490" s="3" t="s">
        <v>12518</v>
      </c>
      <c r="C12490" s="3" t="s">
        <v>101</v>
      </c>
      <c r="D12490" s="3">
        <v>35.0</v>
      </c>
      <c r="E12490" s="3">
        <v>0.38</v>
      </c>
      <c r="F12490" s="3">
        <v>2.97</v>
      </c>
      <c r="G12490" s="3">
        <v>4.82</v>
      </c>
    </row>
    <row r="12491">
      <c r="A12491" s="3">
        <v>787450.0</v>
      </c>
      <c r="B12491" s="3" t="s">
        <v>12519</v>
      </c>
      <c r="C12491" s="3" t="s">
        <v>101</v>
      </c>
      <c r="D12491" s="3">
        <v>20.0</v>
      </c>
      <c r="E12491" s="3">
        <v>0.18</v>
      </c>
      <c r="F12491" s="3">
        <v>1.01</v>
      </c>
      <c r="G12491" s="3">
        <v>3.95</v>
      </c>
    </row>
    <row r="12492">
      <c r="A12492" s="3">
        <v>787451.0</v>
      </c>
      <c r="B12492" s="3" t="s">
        <v>12520</v>
      </c>
      <c r="C12492" s="3" t="s">
        <v>101</v>
      </c>
      <c r="D12492" s="3">
        <v>51.0</v>
      </c>
      <c r="E12492" s="3">
        <v>2.3</v>
      </c>
      <c r="F12492" s="3">
        <v>2.91</v>
      </c>
      <c r="G12492" s="3">
        <v>4.7</v>
      </c>
    </row>
    <row r="12493">
      <c r="A12493" s="3">
        <v>787452.0</v>
      </c>
      <c r="B12493" s="3" t="s">
        <v>12521</v>
      </c>
      <c r="C12493" s="3" t="s">
        <v>101</v>
      </c>
      <c r="D12493" s="3">
        <v>40.0</v>
      </c>
      <c r="E12493" s="3">
        <v>2.35</v>
      </c>
      <c r="F12493" s="3">
        <v>0.9</v>
      </c>
      <c r="G12493" s="3">
        <v>4.56</v>
      </c>
    </row>
    <row r="12494">
      <c r="A12494" s="3">
        <v>787453.0</v>
      </c>
      <c r="B12494" s="3" t="s">
        <v>12522</v>
      </c>
      <c r="C12494" s="3" t="s">
        <v>101</v>
      </c>
      <c r="D12494" s="3">
        <v>51.0</v>
      </c>
      <c r="E12494" s="3">
        <v>2.3</v>
      </c>
      <c r="F12494" s="3">
        <v>2.91</v>
      </c>
      <c r="G12494" s="3">
        <v>4.7</v>
      </c>
    </row>
    <row r="12495">
      <c r="A12495" s="3">
        <v>787454.0</v>
      </c>
      <c r="B12495" s="3" t="s">
        <v>12523</v>
      </c>
      <c r="C12495" s="3" t="s">
        <v>101</v>
      </c>
      <c r="D12495" s="3">
        <v>39.0</v>
      </c>
      <c r="E12495" s="3">
        <v>2.38</v>
      </c>
      <c r="F12495" s="3">
        <v>1.0</v>
      </c>
      <c r="G12495" s="3">
        <v>3.84</v>
      </c>
    </row>
    <row r="12496">
      <c r="A12496" s="3">
        <v>787456.0</v>
      </c>
      <c r="B12496" s="3" t="s">
        <v>12524</v>
      </c>
      <c r="C12496" s="3" t="s">
        <v>101</v>
      </c>
      <c r="D12496" s="3">
        <v>30.0</v>
      </c>
      <c r="E12496" s="3">
        <v>2.33</v>
      </c>
      <c r="F12496" s="3">
        <v>2.23</v>
      </c>
      <c r="G12496" s="3">
        <v>1.25</v>
      </c>
    </row>
    <row r="12497">
      <c r="A12497" s="3">
        <v>787457.0</v>
      </c>
      <c r="B12497" s="3" t="s">
        <v>12525</v>
      </c>
      <c r="C12497" s="3" t="s">
        <v>101</v>
      </c>
      <c r="D12497" s="3">
        <v>11.0</v>
      </c>
      <c r="E12497" s="3">
        <v>0.1</v>
      </c>
      <c r="F12497" s="3">
        <v>2.29</v>
      </c>
      <c r="G12497" s="3">
        <v>1.28</v>
      </c>
    </row>
    <row r="12498">
      <c r="A12498" s="3">
        <v>787458.0</v>
      </c>
      <c r="B12498" s="3" t="s">
        <v>12526</v>
      </c>
      <c r="C12498" s="3" t="s">
        <v>101</v>
      </c>
      <c r="D12498" s="3">
        <v>30.0</v>
      </c>
      <c r="E12498" s="3">
        <v>2.27</v>
      </c>
      <c r="F12498" s="3">
        <v>2.17</v>
      </c>
      <c r="G12498" s="3">
        <v>1.22</v>
      </c>
    </row>
    <row r="12499">
      <c r="A12499" s="3">
        <v>787459.0</v>
      </c>
      <c r="B12499" s="3" t="s">
        <v>12527</v>
      </c>
      <c r="C12499" s="3" t="s">
        <v>101</v>
      </c>
      <c r="D12499" s="3">
        <v>65.0</v>
      </c>
      <c r="E12499" s="3">
        <v>3.92</v>
      </c>
      <c r="F12499" s="3">
        <v>3.39</v>
      </c>
      <c r="G12499" s="3">
        <v>6.25</v>
      </c>
    </row>
    <row r="12500">
      <c r="A12500" s="3">
        <v>787461.0</v>
      </c>
      <c r="B12500" s="3" t="s">
        <v>12528</v>
      </c>
      <c r="C12500" s="3" t="s">
        <v>101</v>
      </c>
      <c r="D12500" s="3">
        <v>79.0</v>
      </c>
      <c r="E12500" s="3">
        <v>5.57</v>
      </c>
      <c r="F12500" s="3">
        <v>3.32</v>
      </c>
      <c r="G12500" s="3">
        <v>6.11</v>
      </c>
    </row>
    <row r="12501">
      <c r="A12501" s="3">
        <v>787462.0</v>
      </c>
      <c r="B12501" s="3" t="s">
        <v>12529</v>
      </c>
      <c r="C12501" s="3" t="s">
        <v>101</v>
      </c>
      <c r="D12501" s="3">
        <v>81.0</v>
      </c>
      <c r="E12501" s="3">
        <v>5.24</v>
      </c>
      <c r="F12501" s="3">
        <v>2.04</v>
      </c>
      <c r="G12501" s="3">
        <v>6.8</v>
      </c>
    </row>
    <row r="12502">
      <c r="A12502" s="3">
        <v>787463.0</v>
      </c>
      <c r="B12502" s="3" t="s">
        <v>12530</v>
      </c>
      <c r="C12502" s="3" t="s">
        <v>101</v>
      </c>
      <c r="D12502" s="3">
        <v>40.0</v>
      </c>
      <c r="E12502" s="3">
        <v>0.34</v>
      </c>
      <c r="F12502" s="3">
        <v>2.15</v>
      </c>
      <c r="G12502" s="3">
        <v>7.27</v>
      </c>
    </row>
    <row r="12503">
      <c r="A12503" s="3">
        <v>787464.0</v>
      </c>
      <c r="B12503" s="3" t="s">
        <v>12531</v>
      </c>
      <c r="C12503" s="3" t="s">
        <v>101</v>
      </c>
      <c r="D12503" s="3">
        <v>81.0</v>
      </c>
      <c r="E12503" s="3">
        <v>5.24</v>
      </c>
      <c r="F12503" s="3">
        <v>2.04</v>
      </c>
      <c r="G12503" s="3">
        <v>6.8</v>
      </c>
    </row>
    <row r="12504">
      <c r="A12504" s="3">
        <v>787466.0</v>
      </c>
      <c r="B12504" s="3" t="s">
        <v>12532</v>
      </c>
      <c r="C12504" s="3" t="s">
        <v>101</v>
      </c>
      <c r="D12504" s="3">
        <v>43.0</v>
      </c>
      <c r="E12504" s="3">
        <v>1.93</v>
      </c>
      <c r="F12504" s="3">
        <v>3.02</v>
      </c>
      <c r="G12504" s="3">
        <v>5.2</v>
      </c>
    </row>
    <row r="12505">
      <c r="A12505" s="3">
        <v>787467.0</v>
      </c>
      <c r="B12505" s="3" t="s">
        <v>12533</v>
      </c>
      <c r="C12505" s="3" t="s">
        <v>101</v>
      </c>
      <c r="D12505" s="3">
        <v>53.0</v>
      </c>
      <c r="E12505" s="3">
        <v>2.52</v>
      </c>
      <c r="F12505" s="3">
        <v>2.31</v>
      </c>
      <c r="G12505" s="3">
        <v>6.94</v>
      </c>
    </row>
    <row r="12506">
      <c r="A12506" s="3">
        <v>787468.0</v>
      </c>
      <c r="B12506" s="3" t="s">
        <v>12534</v>
      </c>
      <c r="C12506" s="3" t="s">
        <v>101</v>
      </c>
      <c r="D12506" s="3">
        <v>43.0</v>
      </c>
      <c r="E12506" s="3">
        <v>1.93</v>
      </c>
      <c r="F12506" s="3">
        <v>3.02</v>
      </c>
      <c r="G12506" s="3">
        <v>5.2</v>
      </c>
    </row>
    <row r="12507">
      <c r="A12507" s="3">
        <v>787469.0</v>
      </c>
      <c r="B12507" s="3" t="s">
        <v>12535</v>
      </c>
      <c r="C12507" s="3" t="s">
        <v>101</v>
      </c>
      <c r="D12507" s="3">
        <v>28.0</v>
      </c>
      <c r="E12507" s="3">
        <v>0.12</v>
      </c>
      <c r="F12507" s="3">
        <v>3.08</v>
      </c>
      <c r="G12507" s="3">
        <v>5.32</v>
      </c>
    </row>
    <row r="12508">
      <c r="A12508" s="3">
        <v>787470.0</v>
      </c>
      <c r="B12508" s="3" t="s">
        <v>12536</v>
      </c>
      <c r="C12508" s="3" t="s">
        <v>101</v>
      </c>
      <c r="D12508" s="3">
        <v>35.0</v>
      </c>
      <c r="E12508" s="3">
        <v>0.41</v>
      </c>
      <c r="F12508" s="3">
        <v>2.37</v>
      </c>
      <c r="G12508" s="3">
        <v>7.13</v>
      </c>
    </row>
    <row r="12509">
      <c r="A12509" s="3">
        <v>787471.0</v>
      </c>
      <c r="B12509" s="3" t="s">
        <v>12537</v>
      </c>
      <c r="C12509" s="3" t="s">
        <v>101</v>
      </c>
      <c r="D12509" s="3">
        <v>28.0</v>
      </c>
      <c r="E12509" s="3">
        <v>0.12</v>
      </c>
      <c r="F12509" s="3">
        <v>3.08</v>
      </c>
      <c r="G12509" s="3">
        <v>5.32</v>
      </c>
    </row>
    <row r="12510">
      <c r="A12510" s="3">
        <v>787472.0</v>
      </c>
      <c r="B12510" s="3" t="s">
        <v>12538</v>
      </c>
      <c r="C12510" s="3" t="s">
        <v>101</v>
      </c>
      <c r="D12510" s="3">
        <v>48.0</v>
      </c>
      <c r="E12510" s="3">
        <v>2.51</v>
      </c>
      <c r="F12510" s="3">
        <v>3.01</v>
      </c>
      <c r="G12510" s="3">
        <v>5.19</v>
      </c>
    </row>
    <row r="12511">
      <c r="A12511" s="3">
        <v>787473.0</v>
      </c>
      <c r="B12511" s="3" t="s">
        <v>12539</v>
      </c>
      <c r="C12511" s="3" t="s">
        <v>101</v>
      </c>
      <c r="D12511" s="3">
        <v>45.0</v>
      </c>
      <c r="E12511" s="3">
        <v>2.14</v>
      </c>
      <c r="F12511" s="3">
        <v>3.03</v>
      </c>
      <c r="G12511" s="3">
        <v>5.19</v>
      </c>
    </row>
    <row r="12512">
      <c r="A12512" s="3">
        <v>787474.0</v>
      </c>
      <c r="B12512" s="3" t="s">
        <v>12540</v>
      </c>
      <c r="C12512" s="3" t="s">
        <v>101</v>
      </c>
      <c r="D12512" s="3">
        <v>41.0</v>
      </c>
      <c r="E12512" s="3">
        <v>1.62</v>
      </c>
      <c r="F12512" s="3">
        <v>3.01</v>
      </c>
      <c r="G12512" s="3">
        <v>5.21</v>
      </c>
    </row>
    <row r="12513">
      <c r="A12513" s="3">
        <v>787475.0</v>
      </c>
      <c r="B12513" s="3" t="s">
        <v>12541</v>
      </c>
      <c r="C12513" s="3" t="s">
        <v>101</v>
      </c>
      <c r="D12513" s="3">
        <v>43.0</v>
      </c>
      <c r="E12513" s="3">
        <v>1.93</v>
      </c>
      <c r="F12513" s="3">
        <v>3.02</v>
      </c>
      <c r="G12513" s="3">
        <v>5.2</v>
      </c>
    </row>
    <row r="12514">
      <c r="A12514" s="3">
        <v>787476.0</v>
      </c>
      <c r="B12514" s="3" t="s">
        <v>12542</v>
      </c>
      <c r="C12514" s="3" t="s">
        <v>101</v>
      </c>
      <c r="D12514" s="3">
        <v>53.0</v>
      </c>
      <c r="E12514" s="3">
        <v>2.52</v>
      </c>
      <c r="F12514" s="3">
        <v>2.31</v>
      </c>
      <c r="G12514" s="3">
        <v>6.94</v>
      </c>
    </row>
    <row r="12515">
      <c r="A12515" s="3">
        <v>787477.0</v>
      </c>
      <c r="B12515" s="3" t="s">
        <v>12543</v>
      </c>
      <c r="C12515" s="3" t="s">
        <v>101</v>
      </c>
      <c r="D12515" s="3">
        <v>43.0</v>
      </c>
      <c r="E12515" s="3">
        <v>1.93</v>
      </c>
      <c r="F12515" s="3">
        <v>3.02</v>
      </c>
      <c r="G12515" s="3">
        <v>5.2</v>
      </c>
    </row>
    <row r="12516">
      <c r="A12516" s="3">
        <v>787478.0</v>
      </c>
      <c r="B12516" s="3" t="s">
        <v>12544</v>
      </c>
      <c r="C12516" s="3" t="s">
        <v>101</v>
      </c>
      <c r="D12516" s="3">
        <v>59.0</v>
      </c>
      <c r="E12516" s="3">
        <v>3.21</v>
      </c>
      <c r="F12516" s="3">
        <v>2.3</v>
      </c>
      <c r="G12516" s="3">
        <v>6.93</v>
      </c>
    </row>
    <row r="12517">
      <c r="A12517" s="3">
        <v>787479.0</v>
      </c>
      <c r="B12517" s="3" t="s">
        <v>12545</v>
      </c>
      <c r="C12517" s="3" t="s">
        <v>101</v>
      </c>
      <c r="D12517" s="3">
        <v>55.0</v>
      </c>
      <c r="E12517" s="3">
        <v>2.77</v>
      </c>
      <c r="F12517" s="3">
        <v>2.32</v>
      </c>
      <c r="G12517" s="3">
        <v>6.93</v>
      </c>
    </row>
    <row r="12518">
      <c r="A12518" s="3">
        <v>787480.0</v>
      </c>
      <c r="B12518" s="3" t="s">
        <v>12546</v>
      </c>
      <c r="C12518" s="3" t="s">
        <v>101</v>
      </c>
      <c r="D12518" s="3">
        <v>49.0</v>
      </c>
      <c r="E12518" s="3">
        <v>2.16</v>
      </c>
      <c r="F12518" s="3">
        <v>2.3</v>
      </c>
      <c r="G12518" s="3">
        <v>6.95</v>
      </c>
    </row>
    <row r="12519">
      <c r="A12519" s="3">
        <v>787481.0</v>
      </c>
      <c r="B12519" s="3" t="s">
        <v>12547</v>
      </c>
      <c r="C12519" s="3" t="s">
        <v>101</v>
      </c>
      <c r="D12519" s="3">
        <v>48.0</v>
      </c>
      <c r="E12519" s="3">
        <v>2.51</v>
      </c>
      <c r="F12519" s="3">
        <v>3.01</v>
      </c>
      <c r="G12519" s="3">
        <v>5.19</v>
      </c>
    </row>
    <row r="12520">
      <c r="A12520" s="3">
        <v>787482.0</v>
      </c>
      <c r="B12520" s="3" t="s">
        <v>12548</v>
      </c>
      <c r="C12520" s="3" t="s">
        <v>101</v>
      </c>
      <c r="D12520" s="3">
        <v>45.0</v>
      </c>
      <c r="E12520" s="3">
        <v>2.14</v>
      </c>
      <c r="F12520" s="3">
        <v>3.03</v>
      </c>
      <c r="G12520" s="3">
        <v>5.19</v>
      </c>
    </row>
    <row r="12521">
      <c r="A12521" s="3">
        <v>787483.0</v>
      </c>
      <c r="B12521" s="3" t="s">
        <v>12549</v>
      </c>
      <c r="C12521" s="3" t="s">
        <v>101</v>
      </c>
      <c r="D12521" s="3">
        <v>41.0</v>
      </c>
      <c r="E12521" s="3">
        <v>1.62</v>
      </c>
      <c r="F12521" s="3">
        <v>3.01</v>
      </c>
      <c r="G12521" s="3">
        <v>5.21</v>
      </c>
    </row>
    <row r="12522">
      <c r="A12522" s="3">
        <v>787484.0</v>
      </c>
      <c r="B12522" s="3" t="s">
        <v>12550</v>
      </c>
      <c r="C12522" s="3" t="s">
        <v>101</v>
      </c>
      <c r="D12522" s="3">
        <v>80.0</v>
      </c>
      <c r="E12522" s="3">
        <v>4.63</v>
      </c>
      <c r="F12522" s="3">
        <v>5.3</v>
      </c>
      <c r="G12522" s="3">
        <v>5.38</v>
      </c>
    </row>
    <row r="12523">
      <c r="A12523" s="3">
        <v>787485.0</v>
      </c>
      <c r="B12523" s="3" t="s">
        <v>12551</v>
      </c>
      <c r="C12523" s="3" t="s">
        <v>101</v>
      </c>
      <c r="D12523" s="3">
        <v>90.0</v>
      </c>
      <c r="E12523" s="3">
        <v>5.36</v>
      </c>
      <c r="F12523" s="3">
        <v>5.09</v>
      </c>
      <c r="G12523" s="3">
        <v>6.59</v>
      </c>
    </row>
    <row r="12524">
      <c r="A12524" s="3">
        <v>787486.0</v>
      </c>
      <c r="B12524" s="3" t="s">
        <v>12552</v>
      </c>
      <c r="C12524" s="3" t="s">
        <v>101</v>
      </c>
      <c r="D12524" s="3">
        <v>80.0</v>
      </c>
      <c r="E12524" s="3">
        <v>4.64</v>
      </c>
      <c r="F12524" s="3">
        <v>5.3</v>
      </c>
      <c r="G12524" s="3">
        <v>5.38</v>
      </c>
    </row>
    <row r="12525">
      <c r="A12525" s="3">
        <v>787487.0</v>
      </c>
      <c r="B12525" s="3" t="s">
        <v>12553</v>
      </c>
      <c r="C12525" s="3" t="s">
        <v>101</v>
      </c>
      <c r="D12525" s="3">
        <v>45.0</v>
      </c>
      <c r="E12525" s="3">
        <v>1.77</v>
      </c>
      <c r="F12525" s="3">
        <v>2.62</v>
      </c>
      <c r="G12525" s="3">
        <v>5.7</v>
      </c>
    </row>
    <row r="12526">
      <c r="A12526" s="3">
        <v>787488.0</v>
      </c>
      <c r="B12526" s="3" t="s">
        <v>12554</v>
      </c>
      <c r="C12526" s="3" t="s">
        <v>101</v>
      </c>
      <c r="D12526" s="3">
        <v>50.0</v>
      </c>
      <c r="E12526" s="3">
        <v>2.11</v>
      </c>
      <c r="F12526" s="3">
        <v>2.16</v>
      </c>
      <c r="G12526" s="3">
        <v>6.79</v>
      </c>
    </row>
    <row r="12527">
      <c r="A12527" s="3">
        <v>787489.0</v>
      </c>
      <c r="B12527" s="3" t="s">
        <v>12555</v>
      </c>
      <c r="C12527" s="3" t="s">
        <v>101</v>
      </c>
      <c r="D12527" s="3">
        <v>45.0</v>
      </c>
      <c r="E12527" s="3">
        <v>1.77</v>
      </c>
      <c r="F12527" s="3">
        <v>2.62</v>
      </c>
      <c r="G12527" s="3">
        <v>5.7</v>
      </c>
    </row>
    <row r="12528">
      <c r="A12528" s="3">
        <v>787490.0</v>
      </c>
      <c r="B12528" s="3" t="s">
        <v>12556</v>
      </c>
      <c r="C12528" s="3" t="s">
        <v>101</v>
      </c>
      <c r="D12528" s="3">
        <v>65.0</v>
      </c>
      <c r="E12528" s="3">
        <v>3.39</v>
      </c>
      <c r="F12528" s="3">
        <v>3.33</v>
      </c>
      <c r="G12528" s="3">
        <v>6.53</v>
      </c>
    </row>
    <row r="12529">
      <c r="A12529" s="3">
        <v>787491.0</v>
      </c>
      <c r="B12529" s="3" t="s">
        <v>12557</v>
      </c>
      <c r="C12529" s="3" t="s">
        <v>101</v>
      </c>
      <c r="D12529" s="3">
        <v>85.0</v>
      </c>
      <c r="E12529" s="3">
        <v>4.95</v>
      </c>
      <c r="F12529" s="3">
        <v>3.02</v>
      </c>
      <c r="G12529" s="3">
        <v>8.05</v>
      </c>
    </row>
    <row r="12530">
      <c r="A12530" s="3">
        <v>787492.0</v>
      </c>
      <c r="B12530" s="3" t="s">
        <v>12558</v>
      </c>
      <c r="C12530" s="3" t="s">
        <v>101</v>
      </c>
      <c r="D12530" s="3">
        <v>76.0</v>
      </c>
      <c r="E12530" s="3">
        <v>4.37</v>
      </c>
      <c r="F12530" s="3">
        <v>3.4</v>
      </c>
      <c r="G12530" s="3">
        <v>6.89</v>
      </c>
    </row>
    <row r="12531">
      <c r="A12531" s="3">
        <v>787493.0</v>
      </c>
      <c r="B12531" s="3" t="s">
        <v>12559</v>
      </c>
      <c r="C12531" s="3" t="s">
        <v>101</v>
      </c>
      <c r="D12531" s="3">
        <v>103.0</v>
      </c>
      <c r="E12531" s="3">
        <v>3.28</v>
      </c>
      <c r="F12531" s="3">
        <v>4.11</v>
      </c>
      <c r="G12531" s="3">
        <v>15.05</v>
      </c>
    </row>
    <row r="12532">
      <c r="A12532" s="3">
        <v>787494.0</v>
      </c>
      <c r="B12532" s="3" t="s">
        <v>12560</v>
      </c>
      <c r="C12532" s="3" t="s">
        <v>101</v>
      </c>
      <c r="D12532" s="3">
        <v>106.0</v>
      </c>
      <c r="E12532" s="3">
        <v>3.49</v>
      </c>
      <c r="F12532" s="3">
        <v>4.12</v>
      </c>
      <c r="G12532" s="3">
        <v>15.11</v>
      </c>
    </row>
    <row r="12533">
      <c r="A12533" s="3">
        <v>787495.0</v>
      </c>
      <c r="B12533" s="3" t="s">
        <v>12561</v>
      </c>
      <c r="C12533" s="3" t="s">
        <v>101</v>
      </c>
      <c r="D12533" s="3">
        <v>148.0</v>
      </c>
      <c r="E12533" s="3">
        <v>10.36</v>
      </c>
      <c r="F12533" s="3">
        <v>3.82</v>
      </c>
      <c r="G12533" s="3">
        <v>11.54</v>
      </c>
    </row>
    <row r="12534">
      <c r="A12534" s="3">
        <v>787497.0</v>
      </c>
      <c r="B12534" s="3" t="s">
        <v>12562</v>
      </c>
      <c r="C12534" s="3" t="s">
        <v>101</v>
      </c>
      <c r="D12534" s="3">
        <v>53.0</v>
      </c>
      <c r="E12534" s="3">
        <v>4.34</v>
      </c>
      <c r="F12534" s="3">
        <v>1.1</v>
      </c>
      <c r="G12534" s="3">
        <v>3.6</v>
      </c>
    </row>
    <row r="12535">
      <c r="A12535" s="3">
        <v>787498.0</v>
      </c>
      <c r="B12535" s="3" t="s">
        <v>12563</v>
      </c>
      <c r="C12535" s="3" t="s">
        <v>101</v>
      </c>
      <c r="D12535" s="3">
        <v>53.0</v>
      </c>
      <c r="E12535" s="3">
        <v>4.34</v>
      </c>
      <c r="F12535" s="3">
        <v>1.1</v>
      </c>
      <c r="G12535" s="3">
        <v>3.6</v>
      </c>
    </row>
    <row r="12536">
      <c r="A12536" s="3">
        <v>787499.0</v>
      </c>
      <c r="B12536" s="3" t="s">
        <v>12564</v>
      </c>
      <c r="C12536" s="3" t="s">
        <v>101</v>
      </c>
      <c r="D12536" s="3">
        <v>53.0</v>
      </c>
      <c r="E12536" s="3">
        <v>4.34</v>
      </c>
      <c r="F12536" s="3">
        <v>1.1</v>
      </c>
      <c r="G12536" s="3">
        <v>3.6</v>
      </c>
    </row>
    <row r="12537">
      <c r="A12537" s="3">
        <v>787500.0</v>
      </c>
      <c r="B12537" s="3" t="s">
        <v>12565</v>
      </c>
      <c r="C12537" s="3" t="s">
        <v>101</v>
      </c>
      <c r="D12537" s="3">
        <v>22.0</v>
      </c>
      <c r="E12537" s="3">
        <v>0.71</v>
      </c>
      <c r="F12537" s="3">
        <v>1.13</v>
      </c>
      <c r="G12537" s="3">
        <v>3.77</v>
      </c>
    </row>
    <row r="12538">
      <c r="A12538" s="3">
        <v>787501.0</v>
      </c>
      <c r="B12538" s="3" t="s">
        <v>12566</v>
      </c>
      <c r="C12538" s="3" t="s">
        <v>101</v>
      </c>
      <c r="D12538" s="3">
        <v>22.0</v>
      </c>
      <c r="E12538" s="3">
        <v>0.71</v>
      </c>
      <c r="F12538" s="3">
        <v>1.13</v>
      </c>
      <c r="G12538" s="3">
        <v>3.77</v>
      </c>
    </row>
    <row r="12539">
      <c r="A12539" s="3">
        <v>787502.0</v>
      </c>
      <c r="B12539" s="3" t="s">
        <v>12567</v>
      </c>
      <c r="C12539" s="3" t="s">
        <v>101</v>
      </c>
      <c r="D12539" s="3">
        <v>22.0</v>
      </c>
      <c r="E12539" s="3">
        <v>0.71</v>
      </c>
      <c r="F12539" s="3">
        <v>1.13</v>
      </c>
      <c r="G12539" s="3">
        <v>3.77</v>
      </c>
    </row>
    <row r="12540">
      <c r="A12540" s="3">
        <v>787503.0</v>
      </c>
      <c r="B12540" s="3" t="s">
        <v>12568</v>
      </c>
      <c r="C12540" s="3" t="s">
        <v>101</v>
      </c>
      <c r="D12540" s="3">
        <v>53.0</v>
      </c>
      <c r="E12540" s="3">
        <v>4.34</v>
      </c>
      <c r="F12540" s="3">
        <v>1.1</v>
      </c>
      <c r="G12540" s="3">
        <v>3.6</v>
      </c>
    </row>
    <row r="12541">
      <c r="A12541" s="3">
        <v>787504.0</v>
      </c>
      <c r="B12541" s="3" t="s">
        <v>12569</v>
      </c>
      <c r="C12541" s="3" t="s">
        <v>101</v>
      </c>
      <c r="D12541" s="3">
        <v>64.0</v>
      </c>
      <c r="E12541" s="3">
        <v>5.53</v>
      </c>
      <c r="F12541" s="3">
        <v>1.07</v>
      </c>
      <c r="G12541" s="3">
        <v>3.58</v>
      </c>
    </row>
    <row r="12542">
      <c r="A12542" s="3">
        <v>787505.0</v>
      </c>
      <c r="B12542" s="3" t="s">
        <v>12570</v>
      </c>
      <c r="C12542" s="3" t="s">
        <v>101</v>
      </c>
      <c r="D12542" s="3">
        <v>57.0</v>
      </c>
      <c r="E12542" s="3">
        <v>4.77</v>
      </c>
      <c r="F12542" s="3">
        <v>1.11</v>
      </c>
      <c r="G12542" s="3">
        <v>3.58</v>
      </c>
    </row>
    <row r="12543">
      <c r="A12543" s="3">
        <v>787506.0</v>
      </c>
      <c r="B12543" s="3" t="s">
        <v>12571</v>
      </c>
      <c r="C12543" s="3" t="s">
        <v>101</v>
      </c>
      <c r="D12543" s="3">
        <v>48.0</v>
      </c>
      <c r="E12543" s="3">
        <v>3.72</v>
      </c>
      <c r="F12543" s="3">
        <v>1.08</v>
      </c>
      <c r="G12543" s="3">
        <v>3.62</v>
      </c>
    </row>
    <row r="12544">
      <c r="A12544" s="3">
        <v>787507.0</v>
      </c>
      <c r="B12544" s="3" t="s">
        <v>12572</v>
      </c>
      <c r="C12544" s="3" t="s">
        <v>101</v>
      </c>
      <c r="D12544" s="3">
        <v>53.0</v>
      </c>
      <c r="E12544" s="3">
        <v>4.34</v>
      </c>
      <c r="F12544" s="3">
        <v>1.1</v>
      </c>
      <c r="G12544" s="3">
        <v>3.6</v>
      </c>
    </row>
    <row r="12545">
      <c r="A12545" s="3">
        <v>787508.0</v>
      </c>
      <c r="B12545" s="3" t="s">
        <v>12573</v>
      </c>
      <c r="C12545" s="3" t="s">
        <v>101</v>
      </c>
      <c r="D12545" s="3">
        <v>64.0</v>
      </c>
      <c r="E12545" s="3">
        <v>5.53</v>
      </c>
      <c r="F12545" s="3">
        <v>1.07</v>
      </c>
      <c r="G12545" s="3">
        <v>3.58</v>
      </c>
    </row>
    <row r="12546">
      <c r="A12546" s="3">
        <v>787509.0</v>
      </c>
      <c r="B12546" s="3" t="s">
        <v>12574</v>
      </c>
      <c r="C12546" s="3" t="s">
        <v>101</v>
      </c>
      <c r="D12546" s="3">
        <v>57.0</v>
      </c>
      <c r="E12546" s="3">
        <v>4.77</v>
      </c>
      <c r="F12546" s="3">
        <v>1.11</v>
      </c>
      <c r="G12546" s="3">
        <v>3.58</v>
      </c>
    </row>
    <row r="12547">
      <c r="A12547" s="3">
        <v>787510.0</v>
      </c>
      <c r="B12547" s="3" t="s">
        <v>12575</v>
      </c>
      <c r="C12547" s="3" t="s">
        <v>101</v>
      </c>
      <c r="D12547" s="3">
        <v>48.0</v>
      </c>
      <c r="E12547" s="3">
        <v>3.72</v>
      </c>
      <c r="F12547" s="3">
        <v>1.08</v>
      </c>
      <c r="G12547" s="3">
        <v>3.62</v>
      </c>
    </row>
    <row r="12548">
      <c r="A12548" s="3">
        <v>787511.0</v>
      </c>
      <c r="B12548" s="3" t="s">
        <v>12576</v>
      </c>
      <c r="C12548" s="3" t="s">
        <v>101</v>
      </c>
      <c r="D12548" s="3">
        <v>53.0</v>
      </c>
      <c r="E12548" s="3">
        <v>4.34</v>
      </c>
      <c r="F12548" s="3">
        <v>1.1</v>
      </c>
      <c r="G12548" s="3">
        <v>3.6</v>
      </c>
    </row>
    <row r="12549">
      <c r="A12549" s="3">
        <v>787512.0</v>
      </c>
      <c r="B12549" s="3" t="s">
        <v>12577</v>
      </c>
      <c r="C12549" s="3" t="s">
        <v>101</v>
      </c>
      <c r="D12549" s="3">
        <v>64.0</v>
      </c>
      <c r="E12549" s="3">
        <v>5.53</v>
      </c>
      <c r="F12549" s="3">
        <v>1.07</v>
      </c>
      <c r="G12549" s="3">
        <v>3.58</v>
      </c>
    </row>
    <row r="12550">
      <c r="A12550" s="3">
        <v>787513.0</v>
      </c>
      <c r="B12550" s="3" t="s">
        <v>12578</v>
      </c>
      <c r="C12550" s="3" t="s">
        <v>101</v>
      </c>
      <c r="D12550" s="3">
        <v>57.0</v>
      </c>
      <c r="E12550" s="3">
        <v>4.77</v>
      </c>
      <c r="F12550" s="3">
        <v>1.11</v>
      </c>
      <c r="G12550" s="3">
        <v>3.58</v>
      </c>
    </row>
    <row r="12551">
      <c r="A12551" s="3">
        <v>787514.0</v>
      </c>
      <c r="B12551" s="3" t="s">
        <v>12579</v>
      </c>
      <c r="C12551" s="3" t="s">
        <v>101</v>
      </c>
      <c r="D12551" s="3">
        <v>48.0</v>
      </c>
      <c r="E12551" s="3">
        <v>3.72</v>
      </c>
      <c r="F12551" s="3">
        <v>1.08</v>
      </c>
      <c r="G12551" s="3">
        <v>3.62</v>
      </c>
    </row>
    <row r="12552">
      <c r="A12552" s="3">
        <v>787515.0</v>
      </c>
      <c r="B12552" s="3" t="s">
        <v>12580</v>
      </c>
      <c r="C12552" s="3" t="s">
        <v>225</v>
      </c>
      <c r="D12552" s="3">
        <v>69.0</v>
      </c>
      <c r="E12552" s="3">
        <v>3.67</v>
      </c>
      <c r="F12552" s="3">
        <v>2.68</v>
      </c>
      <c r="G12552" s="3">
        <v>6.28</v>
      </c>
    </row>
    <row r="12553">
      <c r="A12553" s="3">
        <v>787516.0</v>
      </c>
      <c r="B12553" s="3" t="s">
        <v>12581</v>
      </c>
      <c r="C12553" s="3" t="s">
        <v>225</v>
      </c>
      <c r="D12553" s="3">
        <v>44.0</v>
      </c>
      <c r="E12553" s="3">
        <v>2.69</v>
      </c>
      <c r="F12553" s="3">
        <v>1.06</v>
      </c>
      <c r="G12553" s="3">
        <v>3.91</v>
      </c>
    </row>
    <row r="12554">
      <c r="A12554" s="3">
        <v>787517.0</v>
      </c>
      <c r="B12554" s="3" t="s">
        <v>12582</v>
      </c>
      <c r="C12554" s="3" t="s">
        <v>225</v>
      </c>
      <c r="D12554" s="3">
        <v>69.0</v>
      </c>
      <c r="E12554" s="3">
        <v>3.67</v>
      </c>
      <c r="F12554" s="3">
        <v>2.68</v>
      </c>
      <c r="G12554" s="3">
        <v>6.28</v>
      </c>
    </row>
    <row r="12555">
      <c r="A12555" s="3">
        <v>787518.0</v>
      </c>
      <c r="B12555" s="3" t="s">
        <v>12583</v>
      </c>
      <c r="C12555" s="3" t="s">
        <v>225</v>
      </c>
      <c r="D12555" s="3">
        <v>48.0</v>
      </c>
      <c r="E12555" s="3">
        <v>1.84</v>
      </c>
      <c r="F12555" s="3">
        <v>6.23</v>
      </c>
      <c r="G12555" s="3">
        <v>1.34</v>
      </c>
    </row>
    <row r="12556">
      <c r="A12556" s="3">
        <v>787519.0</v>
      </c>
      <c r="B12556" s="3" t="s">
        <v>12584</v>
      </c>
      <c r="C12556" s="3" t="s">
        <v>225</v>
      </c>
      <c r="D12556" s="3">
        <v>30.0</v>
      </c>
      <c r="E12556" s="3">
        <v>0.99</v>
      </c>
      <c r="F12556" s="3">
        <v>2.9</v>
      </c>
      <c r="G12556" s="3">
        <v>2.88</v>
      </c>
    </row>
    <row r="12557">
      <c r="A12557" s="3">
        <v>787520.0</v>
      </c>
      <c r="B12557" s="3" t="s">
        <v>12585</v>
      </c>
      <c r="C12557" s="3" t="s">
        <v>225</v>
      </c>
      <c r="D12557" s="3">
        <v>77.0</v>
      </c>
      <c r="E12557" s="3">
        <v>3.29</v>
      </c>
      <c r="F12557" s="3">
        <v>6.44</v>
      </c>
      <c r="G12557" s="3">
        <v>5.4</v>
      </c>
    </row>
    <row r="12558">
      <c r="A12558" s="3">
        <v>787521.0</v>
      </c>
      <c r="B12558" s="3" t="s">
        <v>12586</v>
      </c>
      <c r="C12558" s="3" t="s">
        <v>225</v>
      </c>
      <c r="D12558" s="3">
        <v>48.0</v>
      </c>
      <c r="E12558" s="3">
        <v>1.95</v>
      </c>
      <c r="F12558" s="3">
        <v>1.54</v>
      </c>
      <c r="G12558" s="3">
        <v>6.38</v>
      </c>
    </row>
    <row r="12559">
      <c r="A12559" s="3">
        <v>787523.0</v>
      </c>
      <c r="B12559" s="3" t="s">
        <v>12587</v>
      </c>
      <c r="C12559" s="3" t="s">
        <v>101</v>
      </c>
      <c r="D12559" s="3">
        <v>208.0</v>
      </c>
      <c r="E12559" s="3">
        <v>15.7</v>
      </c>
      <c r="F12559" s="3">
        <v>1.22</v>
      </c>
      <c r="G12559" s="3">
        <v>17.17</v>
      </c>
    </row>
    <row r="12560">
      <c r="A12560" s="3">
        <v>787524.0</v>
      </c>
      <c r="B12560" s="3" t="s">
        <v>12588</v>
      </c>
      <c r="C12560" s="3" t="s">
        <v>101</v>
      </c>
      <c r="D12560" s="3">
        <v>176.0</v>
      </c>
      <c r="E12560" s="3">
        <v>15.95</v>
      </c>
      <c r="F12560" s="3">
        <v>0.84</v>
      </c>
      <c r="G12560" s="3">
        <v>8.16</v>
      </c>
    </row>
    <row r="12561">
      <c r="A12561" s="3">
        <v>787525.0</v>
      </c>
      <c r="B12561" s="3" t="s">
        <v>12589</v>
      </c>
      <c r="C12561" s="3" t="s">
        <v>101</v>
      </c>
      <c r="D12561" s="3">
        <v>56.0</v>
      </c>
      <c r="E12561" s="3">
        <v>2.92</v>
      </c>
      <c r="F12561" s="3">
        <v>0.58</v>
      </c>
      <c r="G12561" s="3">
        <v>7.45</v>
      </c>
    </row>
    <row r="12562">
      <c r="A12562" s="3">
        <v>787526.0</v>
      </c>
      <c r="B12562" s="3" t="s">
        <v>12590</v>
      </c>
      <c r="C12562" s="3" t="s">
        <v>101</v>
      </c>
      <c r="D12562" s="3">
        <v>53.0</v>
      </c>
      <c r="E12562" s="3">
        <v>2.31</v>
      </c>
      <c r="F12562" s="3">
        <v>0.75</v>
      </c>
      <c r="G12562" s="3">
        <v>7.94</v>
      </c>
    </row>
    <row r="12563">
      <c r="A12563" s="3">
        <v>787527.0</v>
      </c>
      <c r="B12563" s="3" t="s">
        <v>12591</v>
      </c>
      <c r="C12563" s="3" t="s">
        <v>101</v>
      </c>
      <c r="D12563" s="3">
        <v>56.0</v>
      </c>
      <c r="E12563" s="3">
        <v>2.92</v>
      </c>
      <c r="F12563" s="3">
        <v>0.58</v>
      </c>
      <c r="G12563" s="3">
        <v>7.45</v>
      </c>
    </row>
    <row r="12564">
      <c r="A12564" s="3">
        <v>787528.0</v>
      </c>
      <c r="B12564" s="3" t="s">
        <v>12592</v>
      </c>
      <c r="C12564" s="3" t="s">
        <v>101</v>
      </c>
      <c r="D12564" s="3">
        <v>44.0</v>
      </c>
      <c r="E12564" s="3">
        <v>2.46</v>
      </c>
      <c r="F12564" s="3">
        <v>0.64</v>
      </c>
      <c r="G12564" s="3">
        <v>5.36</v>
      </c>
    </row>
    <row r="12565">
      <c r="A12565" s="3">
        <v>787529.0</v>
      </c>
      <c r="B12565" s="3" t="s">
        <v>12593</v>
      </c>
      <c r="C12565" s="3" t="s">
        <v>101</v>
      </c>
      <c r="D12565" s="3">
        <v>37.0</v>
      </c>
      <c r="E12565" s="3">
        <v>0.68</v>
      </c>
      <c r="F12565" s="3">
        <v>0.58</v>
      </c>
      <c r="G12565" s="3">
        <v>7.68</v>
      </c>
    </row>
    <row r="12566">
      <c r="A12566" s="3">
        <v>787530.0</v>
      </c>
      <c r="B12566" s="3" t="s">
        <v>12594</v>
      </c>
      <c r="C12566" s="3" t="s">
        <v>101</v>
      </c>
      <c r="D12566" s="3">
        <v>35.0</v>
      </c>
      <c r="E12566" s="3">
        <v>0.18</v>
      </c>
      <c r="F12566" s="3">
        <v>0.76</v>
      </c>
      <c r="G12566" s="3">
        <v>8.17</v>
      </c>
    </row>
    <row r="12567">
      <c r="A12567" s="3">
        <v>787531.0</v>
      </c>
      <c r="B12567" s="3" t="s">
        <v>12595</v>
      </c>
      <c r="C12567" s="3" t="s">
        <v>101</v>
      </c>
      <c r="D12567" s="3">
        <v>37.0</v>
      </c>
      <c r="E12567" s="3">
        <v>0.68</v>
      </c>
      <c r="F12567" s="3">
        <v>0.58</v>
      </c>
      <c r="G12567" s="3">
        <v>7.68</v>
      </c>
    </row>
    <row r="12568">
      <c r="A12568" s="3">
        <v>787532.0</v>
      </c>
      <c r="B12568" s="3" t="s">
        <v>12596</v>
      </c>
      <c r="C12568" s="3" t="s">
        <v>101</v>
      </c>
      <c r="D12568" s="3">
        <v>25.0</v>
      </c>
      <c r="E12568" s="3">
        <v>0.19</v>
      </c>
      <c r="F12568" s="3">
        <v>0.64</v>
      </c>
      <c r="G12568" s="3">
        <v>5.52</v>
      </c>
    </row>
    <row r="12569">
      <c r="A12569" s="3">
        <v>787533.0</v>
      </c>
      <c r="B12569" s="3" t="s">
        <v>12597</v>
      </c>
      <c r="C12569" s="3" t="s">
        <v>101</v>
      </c>
      <c r="D12569" s="3">
        <v>62.0</v>
      </c>
      <c r="E12569" s="3">
        <v>3.65</v>
      </c>
      <c r="F12569" s="3">
        <v>0.56</v>
      </c>
      <c r="G12569" s="3">
        <v>7.45</v>
      </c>
    </row>
    <row r="12570">
      <c r="A12570" s="3">
        <v>787534.0</v>
      </c>
      <c r="B12570" s="3" t="s">
        <v>12598</v>
      </c>
      <c r="C12570" s="3" t="s">
        <v>101</v>
      </c>
      <c r="D12570" s="3">
        <v>58.0</v>
      </c>
      <c r="E12570" s="3">
        <v>3.18</v>
      </c>
      <c r="F12570" s="3">
        <v>0.58</v>
      </c>
      <c r="G12570" s="3">
        <v>7.44</v>
      </c>
    </row>
    <row r="12571">
      <c r="A12571" s="3">
        <v>787535.0</v>
      </c>
      <c r="B12571" s="3" t="s">
        <v>12599</v>
      </c>
      <c r="C12571" s="3" t="s">
        <v>101</v>
      </c>
      <c r="D12571" s="3">
        <v>52.0</v>
      </c>
      <c r="E12571" s="3">
        <v>2.53</v>
      </c>
      <c r="F12571" s="3">
        <v>0.56</v>
      </c>
      <c r="G12571" s="3">
        <v>7.46</v>
      </c>
    </row>
    <row r="12572">
      <c r="A12572" s="3">
        <v>787536.0</v>
      </c>
      <c r="B12572" s="3" t="s">
        <v>12600</v>
      </c>
      <c r="C12572" s="3" t="s">
        <v>101</v>
      </c>
      <c r="D12572" s="3">
        <v>59.0</v>
      </c>
      <c r="E12572" s="3">
        <v>3.0</v>
      </c>
      <c r="F12572" s="3">
        <v>0.73</v>
      </c>
      <c r="G12572" s="3">
        <v>7.94</v>
      </c>
    </row>
    <row r="12573">
      <c r="A12573" s="3">
        <v>787537.0</v>
      </c>
      <c r="B12573" s="3" t="s">
        <v>12601</v>
      </c>
      <c r="C12573" s="3" t="s">
        <v>101</v>
      </c>
      <c r="D12573" s="3">
        <v>55.0</v>
      </c>
      <c r="E12573" s="3">
        <v>2.56</v>
      </c>
      <c r="F12573" s="3">
        <v>0.76</v>
      </c>
      <c r="G12573" s="3">
        <v>7.93</v>
      </c>
    </row>
    <row r="12574">
      <c r="A12574" s="3">
        <v>787538.0</v>
      </c>
      <c r="B12574" s="3" t="s">
        <v>12602</v>
      </c>
      <c r="C12574" s="3" t="s">
        <v>101</v>
      </c>
      <c r="D12574" s="3">
        <v>50.0</v>
      </c>
      <c r="E12574" s="3">
        <v>1.95</v>
      </c>
      <c r="F12574" s="3">
        <v>0.74</v>
      </c>
      <c r="G12574" s="3">
        <v>7.95</v>
      </c>
    </row>
    <row r="12575">
      <c r="A12575" s="3">
        <v>787539.0</v>
      </c>
      <c r="B12575" s="3" t="s">
        <v>12603</v>
      </c>
      <c r="C12575" s="3" t="s">
        <v>101</v>
      </c>
      <c r="D12575" s="3">
        <v>56.0</v>
      </c>
      <c r="E12575" s="3">
        <v>2.92</v>
      </c>
      <c r="F12575" s="3">
        <v>0.58</v>
      </c>
      <c r="G12575" s="3">
        <v>7.45</v>
      </c>
    </row>
    <row r="12576">
      <c r="A12576" s="3">
        <v>787540.0</v>
      </c>
      <c r="B12576" s="3" t="s">
        <v>12604</v>
      </c>
      <c r="C12576" s="3" t="s">
        <v>101</v>
      </c>
      <c r="D12576" s="3">
        <v>53.0</v>
      </c>
      <c r="E12576" s="3">
        <v>2.31</v>
      </c>
      <c r="F12576" s="3">
        <v>0.75</v>
      </c>
      <c r="G12576" s="3">
        <v>7.94</v>
      </c>
    </row>
    <row r="12577">
      <c r="A12577" s="3">
        <v>787541.0</v>
      </c>
      <c r="B12577" s="3" t="s">
        <v>12605</v>
      </c>
      <c r="C12577" s="3" t="s">
        <v>101</v>
      </c>
      <c r="D12577" s="3">
        <v>56.0</v>
      </c>
      <c r="E12577" s="3">
        <v>2.92</v>
      </c>
      <c r="F12577" s="3">
        <v>0.58</v>
      </c>
      <c r="G12577" s="3">
        <v>7.45</v>
      </c>
    </row>
    <row r="12578">
      <c r="A12578" s="3">
        <v>787542.0</v>
      </c>
      <c r="B12578" s="3" t="s">
        <v>12606</v>
      </c>
      <c r="C12578" s="3" t="s">
        <v>101</v>
      </c>
      <c r="D12578" s="3">
        <v>44.0</v>
      </c>
      <c r="E12578" s="3">
        <v>2.46</v>
      </c>
      <c r="F12578" s="3">
        <v>0.64</v>
      </c>
      <c r="G12578" s="3">
        <v>5.36</v>
      </c>
    </row>
    <row r="12579">
      <c r="A12579" s="3">
        <v>787543.0</v>
      </c>
      <c r="B12579" s="3" t="s">
        <v>12607</v>
      </c>
      <c r="C12579" s="3" t="s">
        <v>101</v>
      </c>
      <c r="D12579" s="3">
        <v>62.0</v>
      </c>
      <c r="E12579" s="3">
        <v>3.65</v>
      </c>
      <c r="F12579" s="3">
        <v>0.56</v>
      </c>
      <c r="G12579" s="3">
        <v>7.45</v>
      </c>
    </row>
    <row r="12580">
      <c r="A12580" s="3">
        <v>787544.0</v>
      </c>
      <c r="B12580" s="3" t="s">
        <v>12608</v>
      </c>
      <c r="C12580" s="3" t="s">
        <v>101</v>
      </c>
      <c r="D12580" s="3">
        <v>58.0</v>
      </c>
      <c r="E12580" s="3">
        <v>3.18</v>
      </c>
      <c r="F12580" s="3">
        <v>0.58</v>
      </c>
      <c r="G12580" s="3">
        <v>7.44</v>
      </c>
    </row>
    <row r="12581">
      <c r="A12581" s="3">
        <v>787545.0</v>
      </c>
      <c r="B12581" s="3" t="s">
        <v>12609</v>
      </c>
      <c r="C12581" s="3" t="s">
        <v>101</v>
      </c>
      <c r="D12581" s="3">
        <v>52.0</v>
      </c>
      <c r="E12581" s="3">
        <v>2.53</v>
      </c>
      <c r="F12581" s="3">
        <v>0.56</v>
      </c>
      <c r="G12581" s="3">
        <v>7.46</v>
      </c>
    </row>
    <row r="12582">
      <c r="A12582" s="3">
        <v>787546.0</v>
      </c>
      <c r="B12582" s="3" t="s">
        <v>12610</v>
      </c>
      <c r="C12582" s="3" t="s">
        <v>101</v>
      </c>
      <c r="D12582" s="3">
        <v>51.0</v>
      </c>
      <c r="E12582" s="3">
        <v>3.19</v>
      </c>
      <c r="F12582" s="3">
        <v>0.62</v>
      </c>
      <c r="G12582" s="3">
        <v>5.36</v>
      </c>
    </row>
    <row r="12583">
      <c r="A12583" s="3">
        <v>787547.0</v>
      </c>
      <c r="B12583" s="3" t="s">
        <v>12611</v>
      </c>
      <c r="C12583" s="3" t="s">
        <v>101</v>
      </c>
      <c r="D12583" s="3">
        <v>47.0</v>
      </c>
      <c r="E12583" s="3">
        <v>2.72</v>
      </c>
      <c r="F12583" s="3">
        <v>0.64</v>
      </c>
      <c r="G12583" s="3">
        <v>5.35</v>
      </c>
    </row>
    <row r="12584">
      <c r="A12584" s="3">
        <v>787548.0</v>
      </c>
      <c r="B12584" s="3" t="s">
        <v>12612</v>
      </c>
      <c r="C12584" s="3" t="s">
        <v>101</v>
      </c>
      <c r="D12584" s="3">
        <v>41.0</v>
      </c>
      <c r="E12584" s="3">
        <v>2.07</v>
      </c>
      <c r="F12584" s="3">
        <v>0.62</v>
      </c>
      <c r="G12584" s="3">
        <v>5.38</v>
      </c>
    </row>
    <row r="12585">
      <c r="A12585" s="3">
        <v>787549.0</v>
      </c>
      <c r="B12585" s="3" t="s">
        <v>12613</v>
      </c>
      <c r="C12585" s="3" t="s">
        <v>101</v>
      </c>
      <c r="D12585" s="3">
        <v>88.0</v>
      </c>
      <c r="E12585" s="3">
        <v>5.26</v>
      </c>
      <c r="F12585" s="3">
        <v>2.08</v>
      </c>
      <c r="G12585" s="3">
        <v>8.38</v>
      </c>
    </row>
    <row r="12586">
      <c r="A12586" s="3">
        <v>787550.0</v>
      </c>
      <c r="B12586" s="3" t="s">
        <v>12614</v>
      </c>
      <c r="C12586" s="3" t="s">
        <v>101</v>
      </c>
      <c r="D12586" s="3">
        <v>85.0</v>
      </c>
      <c r="E12586" s="3">
        <v>4.84</v>
      </c>
      <c r="F12586" s="3">
        <v>2.13</v>
      </c>
      <c r="G12586" s="3">
        <v>8.63</v>
      </c>
    </row>
    <row r="12587">
      <c r="A12587" s="3">
        <v>787551.0</v>
      </c>
      <c r="B12587" s="3" t="s">
        <v>12615</v>
      </c>
      <c r="C12587" s="3" t="s">
        <v>101</v>
      </c>
      <c r="D12587" s="3">
        <v>88.0</v>
      </c>
      <c r="E12587" s="3">
        <v>5.26</v>
      </c>
      <c r="F12587" s="3">
        <v>2.08</v>
      </c>
      <c r="G12587" s="3">
        <v>8.38</v>
      </c>
    </row>
    <row r="12588">
      <c r="A12588" s="3">
        <v>787552.0</v>
      </c>
      <c r="B12588" s="3" t="s">
        <v>12616</v>
      </c>
      <c r="C12588" s="3" t="s">
        <v>101</v>
      </c>
      <c r="D12588" s="3">
        <v>81.0</v>
      </c>
      <c r="E12588" s="3">
        <v>5.0</v>
      </c>
      <c r="F12588" s="3">
        <v>2.12</v>
      </c>
      <c r="G12588" s="3">
        <v>7.21</v>
      </c>
    </row>
    <row r="12589">
      <c r="A12589" s="3">
        <v>787553.0</v>
      </c>
      <c r="B12589" s="3" t="s">
        <v>12617</v>
      </c>
      <c r="C12589" s="3" t="s">
        <v>101</v>
      </c>
      <c r="D12589" s="3">
        <v>93.0</v>
      </c>
      <c r="E12589" s="3">
        <v>5.12</v>
      </c>
      <c r="F12589" s="3">
        <v>0.57</v>
      </c>
      <c r="G12589" s="3">
        <v>12.16</v>
      </c>
    </row>
    <row r="12590">
      <c r="A12590" s="3">
        <v>787554.0</v>
      </c>
      <c r="B12590" s="3" t="s">
        <v>12618</v>
      </c>
      <c r="C12590" s="3" t="s">
        <v>101</v>
      </c>
      <c r="D12590" s="3">
        <v>80.0</v>
      </c>
      <c r="E12590" s="3">
        <v>2.36</v>
      </c>
      <c r="F12590" s="3">
        <v>0.71</v>
      </c>
      <c r="G12590" s="3">
        <v>15.03</v>
      </c>
    </row>
    <row r="12591">
      <c r="A12591" s="3">
        <v>787555.0</v>
      </c>
      <c r="B12591" s="3" t="s">
        <v>12619</v>
      </c>
      <c r="C12591" s="3" t="s">
        <v>101</v>
      </c>
      <c r="D12591" s="3">
        <v>85.0</v>
      </c>
      <c r="E12591" s="3">
        <v>2.92</v>
      </c>
      <c r="F12591" s="3">
        <v>0.55</v>
      </c>
      <c r="G12591" s="3">
        <v>14.97</v>
      </c>
    </row>
    <row r="12592">
      <c r="A12592" s="3">
        <v>787556.0</v>
      </c>
      <c r="B12592" s="3" t="s">
        <v>12620</v>
      </c>
      <c r="C12592" s="3" t="s">
        <v>101</v>
      </c>
      <c r="D12592" s="3">
        <v>74.0</v>
      </c>
      <c r="E12592" s="3">
        <v>2.49</v>
      </c>
      <c r="F12592" s="3">
        <v>0.6</v>
      </c>
      <c r="G12592" s="3">
        <v>13.04</v>
      </c>
    </row>
    <row r="12593">
      <c r="A12593" s="3">
        <v>787557.0</v>
      </c>
      <c r="B12593" s="3" t="s">
        <v>12621</v>
      </c>
      <c r="C12593" s="3" t="s">
        <v>101</v>
      </c>
      <c r="D12593" s="3">
        <v>94.0</v>
      </c>
      <c r="E12593" s="3">
        <v>5.75</v>
      </c>
      <c r="F12593" s="3">
        <v>4.05</v>
      </c>
      <c r="G12593" s="3">
        <v>6.92</v>
      </c>
    </row>
    <row r="12594">
      <c r="A12594" s="3">
        <v>787558.0</v>
      </c>
      <c r="B12594" s="3" t="s">
        <v>12622</v>
      </c>
      <c r="C12594" s="3" t="s">
        <v>101</v>
      </c>
      <c r="D12594" s="3">
        <v>90.0</v>
      </c>
      <c r="E12594" s="3">
        <v>5.23</v>
      </c>
      <c r="F12594" s="3">
        <v>4.04</v>
      </c>
      <c r="G12594" s="3">
        <v>7.27</v>
      </c>
    </row>
    <row r="12595">
      <c r="A12595" s="3">
        <v>787559.0</v>
      </c>
      <c r="B12595" s="3" t="s">
        <v>12623</v>
      </c>
      <c r="C12595" s="3" t="s">
        <v>101</v>
      </c>
      <c r="D12595" s="3">
        <v>94.0</v>
      </c>
      <c r="E12595" s="3">
        <v>5.75</v>
      </c>
      <c r="F12595" s="3">
        <v>4.05</v>
      </c>
      <c r="G12595" s="3">
        <v>6.92</v>
      </c>
    </row>
    <row r="12596">
      <c r="A12596" s="3">
        <v>787560.0</v>
      </c>
      <c r="B12596" s="3" t="s">
        <v>12624</v>
      </c>
      <c r="C12596" s="3" t="s">
        <v>101</v>
      </c>
      <c r="D12596" s="3">
        <v>86.0</v>
      </c>
      <c r="E12596" s="3">
        <v>5.44</v>
      </c>
      <c r="F12596" s="3">
        <v>4.09</v>
      </c>
      <c r="G12596" s="3">
        <v>5.51</v>
      </c>
    </row>
    <row r="12597">
      <c r="A12597" s="3">
        <v>787561.0</v>
      </c>
      <c r="B12597" s="3" t="s">
        <v>12625</v>
      </c>
      <c r="C12597" s="3" t="s">
        <v>101</v>
      </c>
      <c r="D12597" s="3">
        <v>53.0</v>
      </c>
      <c r="E12597" s="3">
        <v>2.28</v>
      </c>
      <c r="F12597" s="3">
        <v>0.89</v>
      </c>
      <c r="G12597" s="3">
        <v>7.98</v>
      </c>
    </row>
    <row r="12598">
      <c r="A12598" s="3">
        <v>787563.0</v>
      </c>
      <c r="B12598" s="3" t="s">
        <v>12626</v>
      </c>
      <c r="C12598" s="3" t="s">
        <v>101</v>
      </c>
      <c r="D12598" s="3">
        <v>53.0</v>
      </c>
      <c r="E12598" s="3">
        <v>2.28</v>
      </c>
      <c r="F12598" s="3">
        <v>0.89</v>
      </c>
      <c r="G12598" s="3">
        <v>7.98</v>
      </c>
    </row>
    <row r="12599">
      <c r="A12599" s="3">
        <v>787564.0</v>
      </c>
      <c r="B12599" s="3" t="s">
        <v>12627</v>
      </c>
      <c r="C12599" s="3" t="s">
        <v>101</v>
      </c>
      <c r="D12599" s="3">
        <v>59.0</v>
      </c>
      <c r="E12599" s="3">
        <v>2.96</v>
      </c>
      <c r="F12599" s="3">
        <v>0.88</v>
      </c>
      <c r="G12599" s="3">
        <v>7.97</v>
      </c>
    </row>
    <row r="12600">
      <c r="A12600" s="3">
        <v>787565.0</v>
      </c>
      <c r="B12600" s="3" t="s">
        <v>12628</v>
      </c>
      <c r="C12600" s="3" t="s">
        <v>101</v>
      </c>
      <c r="D12600" s="3">
        <v>55.0</v>
      </c>
      <c r="E12600" s="3">
        <v>2.53</v>
      </c>
      <c r="F12600" s="3">
        <v>0.9</v>
      </c>
      <c r="G12600" s="3">
        <v>7.97</v>
      </c>
    </row>
    <row r="12601">
      <c r="A12601" s="3">
        <v>787566.0</v>
      </c>
      <c r="B12601" s="3" t="s">
        <v>12629</v>
      </c>
      <c r="C12601" s="3" t="s">
        <v>101</v>
      </c>
      <c r="D12601" s="3">
        <v>50.0</v>
      </c>
      <c r="E12601" s="3">
        <v>1.93</v>
      </c>
      <c r="F12601" s="3">
        <v>0.88</v>
      </c>
      <c r="G12601" s="3">
        <v>7.99</v>
      </c>
    </row>
    <row r="12602">
      <c r="A12602" s="3">
        <v>787568.0</v>
      </c>
      <c r="B12602" s="3" t="s">
        <v>12630</v>
      </c>
      <c r="C12602" s="3" t="s">
        <v>101</v>
      </c>
      <c r="D12602" s="3">
        <v>91.0</v>
      </c>
      <c r="E12602" s="3">
        <v>4.89</v>
      </c>
      <c r="F12602" s="3">
        <v>3.41</v>
      </c>
      <c r="G12602" s="3">
        <v>9.69</v>
      </c>
    </row>
    <row r="12603">
      <c r="A12603" s="3">
        <v>787569.0</v>
      </c>
      <c r="B12603" s="3" t="s">
        <v>12631</v>
      </c>
      <c r="C12603" s="3" t="s">
        <v>101</v>
      </c>
      <c r="D12603" s="3">
        <v>98.0</v>
      </c>
      <c r="E12603" s="3">
        <v>4.81</v>
      </c>
      <c r="F12603" s="3">
        <v>3.42</v>
      </c>
      <c r="G12603" s="3">
        <v>10.72</v>
      </c>
    </row>
    <row r="12604">
      <c r="A12604" s="3">
        <v>787570.0</v>
      </c>
      <c r="B12604" s="3" t="s">
        <v>12632</v>
      </c>
      <c r="C12604" s="3" t="s">
        <v>101</v>
      </c>
      <c r="D12604" s="3">
        <v>91.0</v>
      </c>
      <c r="E12604" s="3">
        <v>4.89</v>
      </c>
      <c r="F12604" s="3">
        <v>3.41</v>
      </c>
      <c r="G12604" s="3">
        <v>9.69</v>
      </c>
    </row>
    <row r="12605">
      <c r="A12605" s="3">
        <v>787571.0</v>
      </c>
      <c r="B12605" s="3" t="s">
        <v>12633</v>
      </c>
      <c r="C12605" s="3" t="s">
        <v>101</v>
      </c>
      <c r="D12605" s="3">
        <v>92.0</v>
      </c>
      <c r="E12605" s="3">
        <v>4.99</v>
      </c>
      <c r="F12605" s="3">
        <v>3.2</v>
      </c>
      <c r="G12605" s="3">
        <v>8.89</v>
      </c>
    </row>
    <row r="12606">
      <c r="A12606" s="3">
        <v>787572.0</v>
      </c>
      <c r="B12606" s="3" t="s">
        <v>12634</v>
      </c>
      <c r="C12606" s="3" t="s">
        <v>101</v>
      </c>
      <c r="D12606" s="3">
        <v>65.0</v>
      </c>
      <c r="E12606" s="3">
        <v>2.48</v>
      </c>
      <c r="F12606" s="3">
        <v>3.0</v>
      </c>
      <c r="G12606" s="3">
        <v>9.78</v>
      </c>
    </row>
    <row r="12607">
      <c r="A12607" s="3">
        <v>787573.0</v>
      </c>
      <c r="B12607" s="3" t="s">
        <v>12635</v>
      </c>
      <c r="C12607" s="3" t="s">
        <v>101</v>
      </c>
      <c r="D12607" s="3">
        <v>76.0</v>
      </c>
      <c r="E12607" s="3">
        <v>2.3</v>
      </c>
      <c r="F12607" s="3">
        <v>3.0</v>
      </c>
      <c r="G12607" s="3">
        <v>11.57</v>
      </c>
    </row>
    <row r="12608">
      <c r="A12608" s="3">
        <v>787574.0</v>
      </c>
      <c r="B12608" s="3" t="s">
        <v>12636</v>
      </c>
      <c r="C12608" s="3" t="s">
        <v>101</v>
      </c>
      <c r="D12608" s="3">
        <v>65.0</v>
      </c>
      <c r="E12608" s="3">
        <v>2.48</v>
      </c>
      <c r="F12608" s="3">
        <v>3.0</v>
      </c>
      <c r="G12608" s="3">
        <v>9.78</v>
      </c>
    </row>
    <row r="12609">
      <c r="A12609" s="3">
        <v>787575.0</v>
      </c>
      <c r="B12609" s="3" t="s">
        <v>12637</v>
      </c>
      <c r="C12609" s="3" t="s">
        <v>101</v>
      </c>
      <c r="D12609" s="3">
        <v>65.0</v>
      </c>
      <c r="E12609" s="3">
        <v>2.61</v>
      </c>
      <c r="F12609" s="3">
        <v>2.63</v>
      </c>
      <c r="G12609" s="3">
        <v>8.41</v>
      </c>
    </row>
    <row r="12610">
      <c r="A12610" s="3">
        <v>787576.0</v>
      </c>
      <c r="B12610" s="3" t="s">
        <v>12638</v>
      </c>
      <c r="C12610" s="3" t="s">
        <v>101</v>
      </c>
      <c r="D12610" s="3">
        <v>48.0</v>
      </c>
      <c r="E12610" s="3">
        <v>0.42</v>
      </c>
      <c r="F12610" s="3">
        <v>3.07</v>
      </c>
      <c r="G12610" s="3">
        <v>10.06</v>
      </c>
    </row>
    <row r="12611">
      <c r="A12611" s="3">
        <v>787577.0</v>
      </c>
      <c r="B12611" s="3" t="s">
        <v>12639</v>
      </c>
      <c r="C12611" s="3" t="s">
        <v>101</v>
      </c>
      <c r="D12611" s="3">
        <v>59.0</v>
      </c>
      <c r="E12611" s="3">
        <v>0.2</v>
      </c>
      <c r="F12611" s="3">
        <v>3.08</v>
      </c>
      <c r="G12611" s="3">
        <v>11.91</v>
      </c>
    </row>
    <row r="12612">
      <c r="A12612" s="3">
        <v>787578.0</v>
      </c>
      <c r="B12612" s="3" t="s">
        <v>12640</v>
      </c>
      <c r="C12612" s="3" t="s">
        <v>101</v>
      </c>
      <c r="D12612" s="3">
        <v>48.0</v>
      </c>
      <c r="E12612" s="3">
        <v>0.42</v>
      </c>
      <c r="F12612" s="3">
        <v>3.07</v>
      </c>
      <c r="G12612" s="3">
        <v>10.06</v>
      </c>
    </row>
    <row r="12613">
      <c r="A12613" s="3">
        <v>787579.0</v>
      </c>
      <c r="B12613" s="3" t="s">
        <v>12641</v>
      </c>
      <c r="C12613" s="3" t="s">
        <v>101</v>
      </c>
      <c r="D12613" s="3">
        <v>48.0</v>
      </c>
      <c r="E12613" s="3">
        <v>0.52</v>
      </c>
      <c r="F12613" s="3">
        <v>2.69</v>
      </c>
      <c r="G12613" s="3">
        <v>8.65</v>
      </c>
    </row>
    <row r="12614">
      <c r="A12614" s="3">
        <v>787580.0</v>
      </c>
      <c r="B12614" s="3" t="s">
        <v>12642</v>
      </c>
      <c r="C12614" s="3" t="s">
        <v>101</v>
      </c>
      <c r="D12614" s="3">
        <v>65.0</v>
      </c>
      <c r="E12614" s="3">
        <v>2.48</v>
      </c>
      <c r="F12614" s="3">
        <v>3.0</v>
      </c>
      <c r="G12614" s="3">
        <v>9.78</v>
      </c>
    </row>
    <row r="12615">
      <c r="A12615" s="3">
        <v>787581.0</v>
      </c>
      <c r="B12615" s="3" t="s">
        <v>12643</v>
      </c>
      <c r="C12615" s="3" t="s">
        <v>101</v>
      </c>
      <c r="D12615" s="3">
        <v>76.0</v>
      </c>
      <c r="E12615" s="3">
        <v>2.3</v>
      </c>
      <c r="F12615" s="3">
        <v>3.0</v>
      </c>
      <c r="G12615" s="3">
        <v>11.57</v>
      </c>
    </row>
    <row r="12616">
      <c r="A12616" s="3">
        <v>787582.0</v>
      </c>
      <c r="B12616" s="3" t="s">
        <v>12644</v>
      </c>
      <c r="C12616" s="3" t="s">
        <v>101</v>
      </c>
      <c r="D12616" s="3">
        <v>65.0</v>
      </c>
      <c r="E12616" s="3">
        <v>2.48</v>
      </c>
      <c r="F12616" s="3">
        <v>3.0</v>
      </c>
      <c r="G12616" s="3">
        <v>9.78</v>
      </c>
    </row>
    <row r="12617">
      <c r="A12617" s="3">
        <v>787583.0</v>
      </c>
      <c r="B12617" s="3" t="s">
        <v>12645</v>
      </c>
      <c r="C12617" s="3" t="s">
        <v>101</v>
      </c>
      <c r="D12617" s="3">
        <v>65.0</v>
      </c>
      <c r="E12617" s="3">
        <v>2.61</v>
      </c>
      <c r="F12617" s="3">
        <v>2.63</v>
      </c>
      <c r="G12617" s="3">
        <v>8.41</v>
      </c>
    </row>
    <row r="12618">
      <c r="A12618" s="3">
        <v>787584.0</v>
      </c>
      <c r="B12618" s="3" t="s">
        <v>12646</v>
      </c>
      <c r="C12618" s="3" t="s">
        <v>101</v>
      </c>
      <c r="D12618" s="3">
        <v>71.0</v>
      </c>
      <c r="E12618" s="3">
        <v>3.15</v>
      </c>
      <c r="F12618" s="3">
        <v>2.99</v>
      </c>
      <c r="G12618" s="3">
        <v>9.78</v>
      </c>
    </row>
    <row r="12619">
      <c r="A12619" s="3">
        <v>787585.0</v>
      </c>
      <c r="B12619" s="3" t="s">
        <v>12647</v>
      </c>
      <c r="C12619" s="3" t="s">
        <v>101</v>
      </c>
      <c r="D12619" s="3">
        <v>67.0</v>
      </c>
      <c r="E12619" s="3">
        <v>2.72</v>
      </c>
      <c r="F12619" s="3">
        <v>3.01</v>
      </c>
      <c r="G12619" s="3">
        <v>9.77</v>
      </c>
    </row>
    <row r="12620">
      <c r="A12620" s="3">
        <v>787586.0</v>
      </c>
      <c r="B12620" s="3" t="s">
        <v>12648</v>
      </c>
      <c r="C12620" s="3" t="s">
        <v>101</v>
      </c>
      <c r="D12620" s="3">
        <v>62.0</v>
      </c>
      <c r="E12620" s="3">
        <v>2.13</v>
      </c>
      <c r="F12620" s="3">
        <v>2.99</v>
      </c>
      <c r="G12620" s="3">
        <v>9.79</v>
      </c>
    </row>
    <row r="12621">
      <c r="A12621" s="3">
        <v>787587.0</v>
      </c>
      <c r="B12621" s="3" t="s">
        <v>12649</v>
      </c>
      <c r="C12621" s="3" t="s">
        <v>101</v>
      </c>
      <c r="D12621" s="3">
        <v>71.0</v>
      </c>
      <c r="E12621" s="3">
        <v>3.15</v>
      </c>
      <c r="F12621" s="3">
        <v>2.99</v>
      </c>
      <c r="G12621" s="3">
        <v>9.78</v>
      </c>
    </row>
    <row r="12622">
      <c r="A12622" s="3">
        <v>787588.0</v>
      </c>
      <c r="B12622" s="3" t="s">
        <v>12650</v>
      </c>
      <c r="C12622" s="3" t="s">
        <v>101</v>
      </c>
      <c r="D12622" s="3">
        <v>67.0</v>
      </c>
      <c r="E12622" s="3">
        <v>2.72</v>
      </c>
      <c r="F12622" s="3">
        <v>3.01</v>
      </c>
      <c r="G12622" s="3">
        <v>9.77</v>
      </c>
    </row>
    <row r="12623">
      <c r="A12623" s="3">
        <v>787589.0</v>
      </c>
      <c r="B12623" s="3" t="s">
        <v>12651</v>
      </c>
      <c r="C12623" s="3" t="s">
        <v>101</v>
      </c>
      <c r="D12623" s="3">
        <v>62.0</v>
      </c>
      <c r="E12623" s="3">
        <v>2.13</v>
      </c>
      <c r="F12623" s="3">
        <v>2.99</v>
      </c>
      <c r="G12623" s="3">
        <v>9.79</v>
      </c>
    </row>
    <row r="12624">
      <c r="A12624" s="3">
        <v>787590.0</v>
      </c>
      <c r="B12624" s="3" t="s">
        <v>12652</v>
      </c>
      <c r="C12624" s="3" t="s">
        <v>101</v>
      </c>
      <c r="D12624" s="3">
        <v>71.0</v>
      </c>
      <c r="E12624" s="3">
        <v>3.15</v>
      </c>
      <c r="F12624" s="3">
        <v>2.99</v>
      </c>
      <c r="G12624" s="3">
        <v>9.78</v>
      </c>
    </row>
    <row r="12625">
      <c r="A12625" s="3">
        <v>787591.0</v>
      </c>
      <c r="B12625" s="3" t="s">
        <v>12653</v>
      </c>
      <c r="C12625" s="3" t="s">
        <v>101</v>
      </c>
      <c r="D12625" s="3">
        <v>67.0</v>
      </c>
      <c r="E12625" s="3">
        <v>2.72</v>
      </c>
      <c r="F12625" s="3">
        <v>3.01</v>
      </c>
      <c r="G12625" s="3">
        <v>9.77</v>
      </c>
    </row>
    <row r="12626">
      <c r="A12626" s="3">
        <v>787592.0</v>
      </c>
      <c r="B12626" s="3" t="s">
        <v>12654</v>
      </c>
      <c r="C12626" s="3" t="s">
        <v>101</v>
      </c>
      <c r="D12626" s="3">
        <v>62.0</v>
      </c>
      <c r="E12626" s="3">
        <v>2.13</v>
      </c>
      <c r="F12626" s="3">
        <v>2.99</v>
      </c>
      <c r="G12626" s="3">
        <v>9.79</v>
      </c>
    </row>
    <row r="12627">
      <c r="A12627" s="3">
        <v>787593.0</v>
      </c>
      <c r="B12627" s="3" t="s">
        <v>12655</v>
      </c>
      <c r="C12627" s="3" t="s">
        <v>101</v>
      </c>
      <c r="D12627" s="3">
        <v>71.0</v>
      </c>
      <c r="E12627" s="3">
        <v>3.29</v>
      </c>
      <c r="F12627" s="3">
        <v>2.62</v>
      </c>
      <c r="G12627" s="3">
        <v>8.41</v>
      </c>
    </row>
    <row r="12628">
      <c r="A12628" s="3">
        <v>787594.0</v>
      </c>
      <c r="B12628" s="3" t="s">
        <v>12656</v>
      </c>
      <c r="C12628" s="3" t="s">
        <v>101</v>
      </c>
      <c r="D12628" s="3">
        <v>67.0</v>
      </c>
      <c r="E12628" s="3">
        <v>2.85</v>
      </c>
      <c r="F12628" s="3">
        <v>2.64</v>
      </c>
      <c r="G12628" s="3">
        <v>8.4</v>
      </c>
    </row>
    <row r="12629">
      <c r="A12629" s="3">
        <v>787595.0</v>
      </c>
      <c r="B12629" s="3" t="s">
        <v>12657</v>
      </c>
      <c r="C12629" s="3" t="s">
        <v>101</v>
      </c>
      <c r="D12629" s="3">
        <v>62.0</v>
      </c>
      <c r="E12629" s="3">
        <v>2.25</v>
      </c>
      <c r="F12629" s="3">
        <v>2.62</v>
      </c>
      <c r="G12629" s="3">
        <v>8.42</v>
      </c>
    </row>
    <row r="12630">
      <c r="A12630" s="3">
        <v>787596.0</v>
      </c>
      <c r="B12630" s="3" t="s">
        <v>12658</v>
      </c>
      <c r="C12630" s="3" t="s">
        <v>101</v>
      </c>
      <c r="D12630" s="3">
        <v>31.0</v>
      </c>
      <c r="E12630" s="3">
        <v>0.22</v>
      </c>
      <c r="F12630" s="3">
        <v>0.91</v>
      </c>
      <c r="G12630" s="3">
        <v>7.18</v>
      </c>
    </row>
    <row r="12631">
      <c r="A12631" s="3">
        <v>787597.0</v>
      </c>
      <c r="B12631" s="3" t="s">
        <v>12659</v>
      </c>
      <c r="C12631" s="3" t="s">
        <v>101</v>
      </c>
      <c r="D12631" s="3">
        <v>32.0</v>
      </c>
      <c r="E12631" s="3">
        <v>1.44</v>
      </c>
      <c r="F12631" s="3">
        <v>0.71</v>
      </c>
      <c r="G12631" s="3">
        <v>4.8</v>
      </c>
    </row>
    <row r="12632">
      <c r="A12632" s="3">
        <v>787598.0</v>
      </c>
      <c r="B12632" s="3" t="s">
        <v>12660</v>
      </c>
      <c r="C12632" s="3" t="s">
        <v>101</v>
      </c>
      <c r="D12632" s="3">
        <v>32.0</v>
      </c>
      <c r="E12632" s="3">
        <v>1.44</v>
      </c>
      <c r="F12632" s="3">
        <v>0.71</v>
      </c>
      <c r="G12632" s="3">
        <v>4.8</v>
      </c>
    </row>
    <row r="12633">
      <c r="A12633" s="3">
        <v>787599.0</v>
      </c>
      <c r="B12633" s="3" t="s">
        <v>12661</v>
      </c>
      <c r="C12633" s="3" t="s">
        <v>101</v>
      </c>
      <c r="D12633" s="3">
        <v>32.0</v>
      </c>
      <c r="E12633" s="3">
        <v>1.44</v>
      </c>
      <c r="F12633" s="3">
        <v>0.71</v>
      </c>
      <c r="G12633" s="3">
        <v>4.8</v>
      </c>
    </row>
    <row r="12634">
      <c r="A12634" s="3">
        <v>787600.0</v>
      </c>
      <c r="B12634" s="3" t="s">
        <v>12662</v>
      </c>
      <c r="C12634" s="3" t="s">
        <v>101</v>
      </c>
      <c r="D12634" s="3">
        <v>45.0</v>
      </c>
      <c r="E12634" s="3">
        <v>1.64</v>
      </c>
      <c r="F12634" s="3">
        <v>1.09</v>
      </c>
      <c r="G12634" s="3">
        <v>7.91</v>
      </c>
    </row>
    <row r="12635">
      <c r="A12635" s="3">
        <v>787601.0</v>
      </c>
      <c r="B12635" s="3" t="s">
        <v>12663</v>
      </c>
      <c r="C12635" s="3" t="s">
        <v>101</v>
      </c>
      <c r="D12635" s="3">
        <v>20.0</v>
      </c>
      <c r="E12635" s="3">
        <v>0.07</v>
      </c>
      <c r="F12635" s="3">
        <v>0.72</v>
      </c>
      <c r="G12635" s="3">
        <v>4.88</v>
      </c>
    </row>
    <row r="12636">
      <c r="A12636" s="3">
        <v>787602.0</v>
      </c>
      <c r="B12636" s="3" t="s">
        <v>12664</v>
      </c>
      <c r="C12636" s="3" t="s">
        <v>101</v>
      </c>
      <c r="D12636" s="3">
        <v>20.0</v>
      </c>
      <c r="E12636" s="3">
        <v>0.07</v>
      </c>
      <c r="F12636" s="3">
        <v>0.72</v>
      </c>
      <c r="G12636" s="3">
        <v>4.88</v>
      </c>
    </row>
    <row r="12637">
      <c r="A12637" s="3">
        <v>787603.0</v>
      </c>
      <c r="B12637" s="3" t="s">
        <v>12665</v>
      </c>
      <c r="C12637" s="3" t="s">
        <v>101</v>
      </c>
      <c r="D12637" s="3">
        <v>20.0</v>
      </c>
      <c r="E12637" s="3">
        <v>0.07</v>
      </c>
      <c r="F12637" s="3">
        <v>0.72</v>
      </c>
      <c r="G12637" s="3">
        <v>4.88</v>
      </c>
    </row>
    <row r="12638">
      <c r="A12638" s="3">
        <v>787604.0</v>
      </c>
      <c r="B12638" s="3" t="s">
        <v>12666</v>
      </c>
      <c r="C12638" s="3" t="s">
        <v>101</v>
      </c>
      <c r="D12638" s="3">
        <v>34.0</v>
      </c>
      <c r="E12638" s="3">
        <v>0.28</v>
      </c>
      <c r="F12638" s="3">
        <v>1.1</v>
      </c>
      <c r="G12638" s="3">
        <v>8.06</v>
      </c>
    </row>
    <row r="12639">
      <c r="A12639" s="3">
        <v>787605.0</v>
      </c>
      <c r="B12639" s="3" t="s">
        <v>12667</v>
      </c>
      <c r="C12639" s="3" t="s">
        <v>101</v>
      </c>
      <c r="D12639" s="3">
        <v>32.0</v>
      </c>
      <c r="E12639" s="3">
        <v>1.44</v>
      </c>
      <c r="F12639" s="3">
        <v>0.71</v>
      </c>
      <c r="G12639" s="3">
        <v>4.8</v>
      </c>
    </row>
    <row r="12640">
      <c r="A12640" s="3">
        <v>787606.0</v>
      </c>
      <c r="B12640" s="3" t="s">
        <v>12668</v>
      </c>
      <c r="C12640" s="3" t="s">
        <v>101</v>
      </c>
      <c r="D12640" s="3">
        <v>32.0</v>
      </c>
      <c r="E12640" s="3">
        <v>1.44</v>
      </c>
      <c r="F12640" s="3">
        <v>0.71</v>
      </c>
      <c r="G12640" s="3">
        <v>4.8</v>
      </c>
    </row>
    <row r="12641">
      <c r="A12641" s="3">
        <v>787607.0</v>
      </c>
      <c r="B12641" s="3" t="s">
        <v>12669</v>
      </c>
      <c r="C12641" s="3" t="s">
        <v>101</v>
      </c>
      <c r="D12641" s="3">
        <v>32.0</v>
      </c>
      <c r="E12641" s="3">
        <v>1.44</v>
      </c>
      <c r="F12641" s="3">
        <v>0.71</v>
      </c>
      <c r="G12641" s="3">
        <v>4.8</v>
      </c>
    </row>
    <row r="12642">
      <c r="A12642" s="3">
        <v>787608.0</v>
      </c>
      <c r="B12642" s="3" t="s">
        <v>12670</v>
      </c>
      <c r="C12642" s="3" t="s">
        <v>101</v>
      </c>
      <c r="D12642" s="3">
        <v>45.0</v>
      </c>
      <c r="E12642" s="3">
        <v>1.64</v>
      </c>
      <c r="F12642" s="3">
        <v>1.09</v>
      </c>
      <c r="G12642" s="3">
        <v>7.91</v>
      </c>
    </row>
    <row r="12643">
      <c r="A12643" s="3">
        <v>787609.0</v>
      </c>
      <c r="B12643" s="3" t="s">
        <v>12671</v>
      </c>
      <c r="C12643" s="3" t="s">
        <v>101</v>
      </c>
      <c r="D12643" s="3">
        <v>36.0</v>
      </c>
      <c r="E12643" s="3">
        <v>1.88</v>
      </c>
      <c r="F12643" s="3">
        <v>0.7</v>
      </c>
      <c r="G12643" s="3">
        <v>4.79</v>
      </c>
    </row>
    <row r="12644">
      <c r="A12644" s="3">
        <v>787610.0</v>
      </c>
      <c r="B12644" s="3" t="s">
        <v>12672</v>
      </c>
      <c r="C12644" s="3" t="s">
        <v>101</v>
      </c>
      <c r="D12644" s="3">
        <v>33.0</v>
      </c>
      <c r="E12644" s="3">
        <v>1.6</v>
      </c>
      <c r="F12644" s="3">
        <v>0.72</v>
      </c>
      <c r="G12644" s="3">
        <v>4.79</v>
      </c>
    </row>
    <row r="12645">
      <c r="A12645" s="3">
        <v>787611.0</v>
      </c>
      <c r="B12645" s="3" t="s">
        <v>12673</v>
      </c>
      <c r="C12645" s="3" t="s">
        <v>101</v>
      </c>
      <c r="D12645" s="3">
        <v>30.0</v>
      </c>
      <c r="E12645" s="3">
        <v>1.21</v>
      </c>
      <c r="F12645" s="3">
        <v>0.71</v>
      </c>
      <c r="G12645" s="3">
        <v>4.8</v>
      </c>
    </row>
    <row r="12646">
      <c r="A12646" s="3">
        <v>787612.0</v>
      </c>
      <c r="B12646" s="3" t="s">
        <v>12674</v>
      </c>
      <c r="C12646" s="3" t="s">
        <v>101</v>
      </c>
      <c r="D12646" s="3">
        <v>36.0</v>
      </c>
      <c r="E12646" s="3">
        <v>1.88</v>
      </c>
      <c r="F12646" s="3">
        <v>0.7</v>
      </c>
      <c r="G12646" s="3">
        <v>4.79</v>
      </c>
    </row>
    <row r="12647">
      <c r="A12647" s="3">
        <v>787613.0</v>
      </c>
      <c r="B12647" s="3" t="s">
        <v>12675</v>
      </c>
      <c r="C12647" s="3" t="s">
        <v>101</v>
      </c>
      <c r="D12647" s="3">
        <v>33.0</v>
      </c>
      <c r="E12647" s="3">
        <v>1.6</v>
      </c>
      <c r="F12647" s="3">
        <v>0.72</v>
      </c>
      <c r="G12647" s="3">
        <v>4.79</v>
      </c>
    </row>
    <row r="12648">
      <c r="A12648" s="3">
        <v>787614.0</v>
      </c>
      <c r="B12648" s="3" t="s">
        <v>12676</v>
      </c>
      <c r="C12648" s="3" t="s">
        <v>101</v>
      </c>
      <c r="D12648" s="3">
        <v>30.0</v>
      </c>
      <c r="E12648" s="3">
        <v>1.21</v>
      </c>
      <c r="F12648" s="3">
        <v>0.71</v>
      </c>
      <c r="G12648" s="3">
        <v>4.8</v>
      </c>
    </row>
    <row r="12649">
      <c r="A12649" s="3">
        <v>787615.0</v>
      </c>
      <c r="B12649" s="3" t="s">
        <v>12677</v>
      </c>
      <c r="C12649" s="3" t="s">
        <v>101</v>
      </c>
      <c r="D12649" s="3">
        <v>36.0</v>
      </c>
      <c r="E12649" s="3">
        <v>1.88</v>
      </c>
      <c r="F12649" s="3">
        <v>0.7</v>
      </c>
      <c r="G12649" s="3">
        <v>4.79</v>
      </c>
    </row>
    <row r="12650">
      <c r="A12650" s="3">
        <v>787616.0</v>
      </c>
      <c r="B12650" s="3" t="s">
        <v>12678</v>
      </c>
      <c r="C12650" s="3" t="s">
        <v>101</v>
      </c>
      <c r="D12650" s="3">
        <v>33.0</v>
      </c>
      <c r="E12650" s="3">
        <v>1.6</v>
      </c>
      <c r="F12650" s="3">
        <v>0.72</v>
      </c>
      <c r="G12650" s="3">
        <v>4.79</v>
      </c>
    </row>
    <row r="12651">
      <c r="A12651" s="3">
        <v>787617.0</v>
      </c>
      <c r="B12651" s="3" t="s">
        <v>12679</v>
      </c>
      <c r="C12651" s="3" t="s">
        <v>101</v>
      </c>
      <c r="D12651" s="3">
        <v>30.0</v>
      </c>
      <c r="E12651" s="3">
        <v>1.21</v>
      </c>
      <c r="F12651" s="3">
        <v>0.71</v>
      </c>
      <c r="G12651" s="3">
        <v>4.8</v>
      </c>
    </row>
    <row r="12652">
      <c r="A12652" s="3">
        <v>787618.0</v>
      </c>
      <c r="B12652" s="3" t="s">
        <v>12680</v>
      </c>
      <c r="C12652" s="3" t="s">
        <v>101</v>
      </c>
      <c r="D12652" s="3">
        <v>49.0</v>
      </c>
      <c r="E12652" s="3">
        <v>2.09</v>
      </c>
      <c r="F12652" s="3">
        <v>1.08</v>
      </c>
      <c r="G12652" s="3">
        <v>7.91</v>
      </c>
    </row>
    <row r="12653">
      <c r="A12653" s="3">
        <v>787619.0</v>
      </c>
      <c r="B12653" s="3" t="s">
        <v>12681</v>
      </c>
      <c r="C12653" s="3" t="s">
        <v>101</v>
      </c>
      <c r="D12653" s="3">
        <v>47.0</v>
      </c>
      <c r="E12653" s="3">
        <v>1.8</v>
      </c>
      <c r="F12653" s="3">
        <v>1.09</v>
      </c>
      <c r="G12653" s="3">
        <v>7.91</v>
      </c>
    </row>
    <row r="12654">
      <c r="A12654" s="3">
        <v>787620.0</v>
      </c>
      <c r="B12654" s="3" t="s">
        <v>12682</v>
      </c>
      <c r="C12654" s="3" t="s">
        <v>101</v>
      </c>
      <c r="D12654" s="3">
        <v>43.0</v>
      </c>
      <c r="E12654" s="3">
        <v>1.41</v>
      </c>
      <c r="F12654" s="3">
        <v>1.08</v>
      </c>
      <c r="G12654" s="3">
        <v>7.92</v>
      </c>
    </row>
    <row r="12655">
      <c r="A12655" s="3">
        <v>787621.0</v>
      </c>
      <c r="B12655" s="3" t="s">
        <v>12683</v>
      </c>
      <c r="C12655" s="3" t="s">
        <v>101</v>
      </c>
      <c r="D12655" s="3">
        <v>45.0</v>
      </c>
      <c r="E12655" s="3">
        <v>1.64</v>
      </c>
      <c r="F12655" s="3">
        <v>1.09</v>
      </c>
      <c r="G12655" s="3">
        <v>7.91</v>
      </c>
    </row>
    <row r="12656">
      <c r="A12656" s="3">
        <v>787622.0</v>
      </c>
      <c r="B12656" s="3" t="s">
        <v>12684</v>
      </c>
      <c r="C12656" s="3" t="s">
        <v>101</v>
      </c>
      <c r="D12656" s="3">
        <v>241.0</v>
      </c>
      <c r="E12656" s="3">
        <v>8.98</v>
      </c>
      <c r="F12656" s="3">
        <v>2.27</v>
      </c>
      <c r="G12656" s="3">
        <v>39.13</v>
      </c>
    </row>
    <row r="12657">
      <c r="A12657" s="3">
        <v>787623.0</v>
      </c>
      <c r="B12657" s="3" t="s">
        <v>12685</v>
      </c>
      <c r="C12657" s="3" t="s">
        <v>101</v>
      </c>
      <c r="D12657" s="3">
        <v>226.0</v>
      </c>
      <c r="E12657" s="3">
        <v>6.96</v>
      </c>
      <c r="F12657" s="3">
        <v>2.99</v>
      </c>
      <c r="G12657" s="3">
        <v>39.91</v>
      </c>
    </row>
    <row r="12658">
      <c r="A12658" s="3">
        <v>787624.0</v>
      </c>
      <c r="B12658" s="3" t="s">
        <v>12686</v>
      </c>
      <c r="C12658" s="3" t="s">
        <v>101</v>
      </c>
      <c r="D12658" s="3">
        <v>50.0</v>
      </c>
      <c r="E12658" s="3">
        <v>1.97</v>
      </c>
      <c r="F12658" s="3">
        <v>0.88</v>
      </c>
      <c r="G12658" s="3">
        <v>8.62</v>
      </c>
    </row>
    <row r="12659">
      <c r="A12659" s="3">
        <v>787625.0</v>
      </c>
      <c r="B12659" s="3" t="s">
        <v>12687</v>
      </c>
      <c r="C12659" s="3" t="s">
        <v>101</v>
      </c>
      <c r="D12659" s="3">
        <v>37.0</v>
      </c>
      <c r="E12659" s="3">
        <v>0.35</v>
      </c>
      <c r="F12659" s="3">
        <v>0.89</v>
      </c>
      <c r="G12659" s="3">
        <v>8.81</v>
      </c>
    </row>
    <row r="12660">
      <c r="A12660" s="3">
        <v>787626.0</v>
      </c>
      <c r="B12660" s="3" t="s">
        <v>12688</v>
      </c>
      <c r="C12660" s="3" t="s">
        <v>101</v>
      </c>
      <c r="D12660" s="3">
        <v>50.0</v>
      </c>
      <c r="E12660" s="3">
        <v>1.97</v>
      </c>
      <c r="F12660" s="3">
        <v>0.88</v>
      </c>
      <c r="G12660" s="3">
        <v>8.62</v>
      </c>
    </row>
    <row r="12661">
      <c r="A12661" s="3">
        <v>787627.0</v>
      </c>
      <c r="B12661" s="3" t="s">
        <v>12689</v>
      </c>
      <c r="C12661" s="3" t="s">
        <v>101</v>
      </c>
      <c r="D12661" s="3">
        <v>71.0</v>
      </c>
      <c r="E12661" s="3">
        <v>1.85</v>
      </c>
      <c r="F12661" s="3">
        <v>0.83</v>
      </c>
      <c r="G12661" s="3">
        <v>14.1</v>
      </c>
    </row>
    <row r="12662">
      <c r="A12662" s="3">
        <v>787629.0</v>
      </c>
      <c r="B12662" s="3" t="s">
        <v>12690</v>
      </c>
      <c r="C12662" s="3" t="s">
        <v>101</v>
      </c>
      <c r="D12662" s="3">
        <v>50.0</v>
      </c>
      <c r="E12662" s="3">
        <v>1.97</v>
      </c>
      <c r="F12662" s="3">
        <v>0.88</v>
      </c>
      <c r="G12662" s="3">
        <v>8.62</v>
      </c>
    </row>
    <row r="12663">
      <c r="A12663" s="3">
        <v>787630.0</v>
      </c>
      <c r="B12663" s="3" t="s">
        <v>12691</v>
      </c>
      <c r="C12663" s="3" t="s">
        <v>101</v>
      </c>
      <c r="D12663" s="3">
        <v>37.0</v>
      </c>
      <c r="E12663" s="3">
        <v>0.35</v>
      </c>
      <c r="F12663" s="3">
        <v>0.89</v>
      </c>
      <c r="G12663" s="3">
        <v>8.81</v>
      </c>
    </row>
    <row r="12664">
      <c r="A12664" s="3">
        <v>787631.0</v>
      </c>
      <c r="B12664" s="3" t="s">
        <v>12692</v>
      </c>
      <c r="C12664" s="3" t="s">
        <v>101</v>
      </c>
      <c r="D12664" s="3">
        <v>50.0</v>
      </c>
      <c r="E12664" s="3">
        <v>1.97</v>
      </c>
      <c r="F12664" s="3">
        <v>0.88</v>
      </c>
      <c r="G12664" s="3">
        <v>8.62</v>
      </c>
    </row>
    <row r="12665">
      <c r="A12665" s="3">
        <v>787632.0</v>
      </c>
      <c r="B12665" s="3" t="s">
        <v>12693</v>
      </c>
      <c r="C12665" s="3" t="s">
        <v>101</v>
      </c>
      <c r="D12665" s="3">
        <v>55.0</v>
      </c>
      <c r="E12665" s="3">
        <v>2.5</v>
      </c>
      <c r="F12665" s="3">
        <v>0.87</v>
      </c>
      <c r="G12665" s="3">
        <v>8.62</v>
      </c>
    </row>
    <row r="12666">
      <c r="A12666" s="3">
        <v>787633.0</v>
      </c>
      <c r="B12666" s="3" t="s">
        <v>12694</v>
      </c>
      <c r="C12666" s="3" t="s">
        <v>101</v>
      </c>
      <c r="D12666" s="3">
        <v>52.0</v>
      </c>
      <c r="E12666" s="3">
        <v>2.16</v>
      </c>
      <c r="F12666" s="3">
        <v>0.88</v>
      </c>
      <c r="G12666" s="3">
        <v>8.61</v>
      </c>
    </row>
    <row r="12667">
      <c r="A12667" s="3">
        <v>787634.0</v>
      </c>
      <c r="B12667" s="3" t="s">
        <v>12695</v>
      </c>
      <c r="C12667" s="3" t="s">
        <v>101</v>
      </c>
      <c r="D12667" s="3">
        <v>48.0</v>
      </c>
      <c r="E12667" s="3">
        <v>1.69</v>
      </c>
      <c r="F12667" s="3">
        <v>0.87</v>
      </c>
      <c r="G12667" s="3">
        <v>8.63</v>
      </c>
    </row>
    <row r="12668">
      <c r="A12668" s="3">
        <v>787635.0</v>
      </c>
      <c r="B12668" s="3" t="s">
        <v>12696</v>
      </c>
      <c r="C12668" s="3" t="s">
        <v>101</v>
      </c>
      <c r="D12668" s="3">
        <v>71.0</v>
      </c>
      <c r="E12668" s="3">
        <v>1.85</v>
      </c>
      <c r="F12668" s="3">
        <v>0.83</v>
      </c>
      <c r="G12668" s="3">
        <v>14.1</v>
      </c>
    </row>
    <row r="12669">
      <c r="A12669" s="3">
        <v>787636.0</v>
      </c>
      <c r="B12669" s="3" t="s">
        <v>12697</v>
      </c>
      <c r="C12669" s="3" t="s">
        <v>101</v>
      </c>
      <c r="D12669" s="3">
        <v>58.0</v>
      </c>
      <c r="E12669" s="3">
        <v>0.33</v>
      </c>
      <c r="F12669" s="3">
        <v>0.84</v>
      </c>
      <c r="G12669" s="3">
        <v>14.39</v>
      </c>
    </row>
    <row r="12670">
      <c r="A12670" s="3">
        <v>787637.0</v>
      </c>
      <c r="B12670" s="3" t="s">
        <v>12698</v>
      </c>
      <c r="C12670" s="3" t="s">
        <v>101</v>
      </c>
      <c r="D12670" s="3">
        <v>359.0</v>
      </c>
      <c r="E12670" s="3">
        <v>21.29</v>
      </c>
      <c r="F12670" s="3">
        <v>6.94</v>
      </c>
      <c r="G12670" s="3">
        <v>35.65</v>
      </c>
    </row>
    <row r="12671">
      <c r="A12671" s="3">
        <v>787638.0</v>
      </c>
      <c r="B12671" s="3" t="s">
        <v>12699</v>
      </c>
      <c r="C12671" s="3" t="s">
        <v>101</v>
      </c>
      <c r="D12671" s="3">
        <v>140.0</v>
      </c>
      <c r="E12671" s="3">
        <v>8.31</v>
      </c>
      <c r="F12671" s="3">
        <v>3.27</v>
      </c>
      <c r="G12671" s="3">
        <v>14.2</v>
      </c>
    </row>
    <row r="12672">
      <c r="A12672" s="3">
        <v>787639.0</v>
      </c>
      <c r="B12672" s="3" t="s">
        <v>12700</v>
      </c>
      <c r="C12672" s="3" t="s">
        <v>7823</v>
      </c>
      <c r="D12672" s="3">
        <v>78.0</v>
      </c>
      <c r="E12672" s="3">
        <v>2.16</v>
      </c>
      <c r="F12672" s="3">
        <v>3.4</v>
      </c>
      <c r="G12672" s="3">
        <v>12.17</v>
      </c>
    </row>
    <row r="12673">
      <c r="A12673" s="3">
        <v>787640.0</v>
      </c>
      <c r="B12673" s="3" t="s">
        <v>12701</v>
      </c>
      <c r="C12673" s="3" t="s">
        <v>101</v>
      </c>
      <c r="D12673" s="3">
        <v>108.0</v>
      </c>
      <c r="E12673" s="3">
        <v>4.23</v>
      </c>
      <c r="F12673" s="3">
        <v>1.31</v>
      </c>
      <c r="G12673" s="3">
        <v>16.82</v>
      </c>
    </row>
    <row r="12674">
      <c r="A12674" s="3">
        <v>787641.0</v>
      </c>
      <c r="B12674" s="3" t="s">
        <v>12702</v>
      </c>
      <c r="C12674" s="3" t="s">
        <v>101</v>
      </c>
      <c r="D12674" s="3">
        <v>125.0</v>
      </c>
      <c r="E12674" s="3">
        <v>4.05</v>
      </c>
      <c r="F12674" s="3">
        <v>2.03</v>
      </c>
      <c r="G12674" s="3">
        <v>20.85</v>
      </c>
    </row>
    <row r="12675">
      <c r="A12675" s="3">
        <v>787642.0</v>
      </c>
      <c r="B12675" s="3" t="s">
        <v>12703</v>
      </c>
      <c r="C12675" s="3" t="s">
        <v>101</v>
      </c>
      <c r="D12675" s="3">
        <v>95.0</v>
      </c>
      <c r="E12675" s="3">
        <v>0.15</v>
      </c>
      <c r="F12675" s="3">
        <v>2.11</v>
      </c>
      <c r="G12675" s="3">
        <v>21.83</v>
      </c>
    </row>
    <row r="12676">
      <c r="A12676" s="3">
        <v>787643.0</v>
      </c>
      <c r="B12676" s="3" t="s">
        <v>12704</v>
      </c>
      <c r="C12676" s="3" t="s">
        <v>101</v>
      </c>
      <c r="D12676" s="3">
        <v>125.0</v>
      </c>
      <c r="E12676" s="3">
        <v>4.05</v>
      </c>
      <c r="F12676" s="3">
        <v>2.03</v>
      </c>
      <c r="G12676" s="3">
        <v>20.85</v>
      </c>
    </row>
    <row r="12677">
      <c r="A12677" s="3">
        <v>787644.0</v>
      </c>
      <c r="B12677" s="3" t="s">
        <v>12705</v>
      </c>
      <c r="C12677" s="3" t="s">
        <v>101</v>
      </c>
      <c r="D12677" s="3">
        <v>131.0</v>
      </c>
      <c r="E12677" s="3">
        <v>4.67</v>
      </c>
      <c r="F12677" s="3">
        <v>2.02</v>
      </c>
      <c r="G12677" s="3">
        <v>20.84</v>
      </c>
    </row>
    <row r="12678">
      <c r="A12678" s="3">
        <v>787645.0</v>
      </c>
      <c r="B12678" s="3" t="s">
        <v>12706</v>
      </c>
      <c r="C12678" s="3" t="s">
        <v>101</v>
      </c>
      <c r="D12678" s="3">
        <v>123.0</v>
      </c>
      <c r="E12678" s="3">
        <v>3.81</v>
      </c>
      <c r="F12678" s="3">
        <v>2.05</v>
      </c>
      <c r="G12678" s="3">
        <v>20.85</v>
      </c>
    </row>
    <row r="12679">
      <c r="A12679" s="3">
        <v>787646.0</v>
      </c>
      <c r="B12679" s="3" t="s">
        <v>12707</v>
      </c>
      <c r="C12679" s="3" t="s">
        <v>101</v>
      </c>
      <c r="D12679" s="3">
        <v>115.0</v>
      </c>
      <c r="E12679" s="3">
        <v>2.85</v>
      </c>
      <c r="F12679" s="3">
        <v>2.02</v>
      </c>
      <c r="G12679" s="3">
        <v>20.88</v>
      </c>
    </row>
    <row r="12680">
      <c r="A12680" s="3">
        <v>787647.0</v>
      </c>
      <c r="B12680" s="3" t="s">
        <v>12708</v>
      </c>
      <c r="C12680" s="3" t="s">
        <v>101</v>
      </c>
      <c r="D12680" s="3">
        <v>122.0</v>
      </c>
      <c r="E12680" s="3">
        <v>4.24</v>
      </c>
      <c r="F12680" s="3">
        <v>1.92</v>
      </c>
      <c r="G12680" s="3">
        <v>19.66</v>
      </c>
    </row>
    <row r="12681">
      <c r="A12681" s="3">
        <v>787648.0</v>
      </c>
      <c r="B12681" s="3" t="s">
        <v>12709</v>
      </c>
      <c r="C12681" s="3" t="s">
        <v>101</v>
      </c>
      <c r="D12681" s="3">
        <v>90.0</v>
      </c>
      <c r="E12681" s="3">
        <v>0.15</v>
      </c>
      <c r="F12681" s="3">
        <v>2.0</v>
      </c>
      <c r="G12681" s="3">
        <v>20.63</v>
      </c>
    </row>
    <row r="12682">
      <c r="A12682" s="3">
        <v>787649.0</v>
      </c>
      <c r="B12682" s="3" t="s">
        <v>12710</v>
      </c>
      <c r="C12682" s="3" t="s">
        <v>101</v>
      </c>
      <c r="D12682" s="3">
        <v>122.0</v>
      </c>
      <c r="E12682" s="3">
        <v>4.24</v>
      </c>
      <c r="F12682" s="3">
        <v>1.92</v>
      </c>
      <c r="G12682" s="3">
        <v>19.66</v>
      </c>
    </row>
    <row r="12683">
      <c r="A12683" s="3">
        <v>787650.0</v>
      </c>
      <c r="B12683" s="3" t="s">
        <v>12711</v>
      </c>
      <c r="C12683" s="3" t="s">
        <v>101</v>
      </c>
      <c r="D12683" s="3">
        <v>127.0</v>
      </c>
      <c r="E12683" s="3">
        <v>4.89</v>
      </c>
      <c r="F12683" s="3">
        <v>1.91</v>
      </c>
      <c r="G12683" s="3">
        <v>19.65</v>
      </c>
    </row>
    <row r="12684">
      <c r="A12684" s="3">
        <v>787651.0</v>
      </c>
      <c r="B12684" s="3" t="s">
        <v>12712</v>
      </c>
      <c r="C12684" s="3" t="s">
        <v>101</v>
      </c>
      <c r="D12684" s="3">
        <v>119.0</v>
      </c>
      <c r="E12684" s="3">
        <v>3.99</v>
      </c>
      <c r="F12684" s="3">
        <v>1.95</v>
      </c>
      <c r="G12684" s="3">
        <v>19.65</v>
      </c>
    </row>
    <row r="12685">
      <c r="A12685" s="3">
        <v>787652.0</v>
      </c>
      <c r="B12685" s="3" t="s">
        <v>12713</v>
      </c>
      <c r="C12685" s="3" t="s">
        <v>101</v>
      </c>
      <c r="D12685" s="3">
        <v>111.0</v>
      </c>
      <c r="E12685" s="3">
        <v>2.98</v>
      </c>
      <c r="F12685" s="3">
        <v>1.92</v>
      </c>
      <c r="G12685" s="3">
        <v>19.69</v>
      </c>
    </row>
    <row r="12686">
      <c r="A12686" s="3">
        <v>787653.0</v>
      </c>
      <c r="B12686" s="3" t="s">
        <v>12714</v>
      </c>
      <c r="C12686" s="3" t="s">
        <v>101</v>
      </c>
      <c r="D12686" s="3">
        <v>108.0</v>
      </c>
      <c r="E12686" s="3">
        <v>4.23</v>
      </c>
      <c r="F12686" s="3">
        <v>1.31</v>
      </c>
      <c r="G12686" s="3">
        <v>16.82</v>
      </c>
    </row>
    <row r="12687">
      <c r="A12687" s="3">
        <v>787654.0</v>
      </c>
      <c r="B12687" s="3" t="s">
        <v>12715</v>
      </c>
      <c r="C12687" s="3" t="s">
        <v>101</v>
      </c>
      <c r="D12687" s="3">
        <v>76.0</v>
      </c>
      <c r="E12687" s="3">
        <v>0.14</v>
      </c>
      <c r="F12687" s="3">
        <v>1.36</v>
      </c>
      <c r="G12687" s="3">
        <v>17.65</v>
      </c>
    </row>
    <row r="12688">
      <c r="A12688" s="3">
        <v>787655.0</v>
      </c>
      <c r="B12688" s="3" t="s">
        <v>12716</v>
      </c>
      <c r="C12688" s="3" t="s">
        <v>101</v>
      </c>
      <c r="D12688" s="3">
        <v>108.0</v>
      </c>
      <c r="E12688" s="3">
        <v>4.23</v>
      </c>
      <c r="F12688" s="3">
        <v>1.31</v>
      </c>
      <c r="G12688" s="3">
        <v>16.82</v>
      </c>
    </row>
    <row r="12689">
      <c r="A12689" s="3">
        <v>787656.0</v>
      </c>
      <c r="B12689" s="3" t="s">
        <v>12717</v>
      </c>
      <c r="C12689" s="3" t="s">
        <v>101</v>
      </c>
      <c r="D12689" s="3">
        <v>114.0</v>
      </c>
      <c r="E12689" s="3">
        <v>4.88</v>
      </c>
      <c r="F12689" s="3">
        <v>1.3</v>
      </c>
      <c r="G12689" s="3">
        <v>16.81</v>
      </c>
    </row>
    <row r="12690">
      <c r="A12690" s="3">
        <v>787657.0</v>
      </c>
      <c r="B12690" s="3" t="s">
        <v>12718</v>
      </c>
      <c r="C12690" s="3" t="s">
        <v>101</v>
      </c>
      <c r="D12690" s="3">
        <v>106.0</v>
      </c>
      <c r="E12690" s="3">
        <v>3.98</v>
      </c>
      <c r="F12690" s="3">
        <v>1.34</v>
      </c>
      <c r="G12690" s="3">
        <v>16.82</v>
      </c>
    </row>
    <row r="12691">
      <c r="A12691" s="3">
        <v>787658.0</v>
      </c>
      <c r="B12691" s="3" t="s">
        <v>12719</v>
      </c>
      <c r="C12691" s="3" t="s">
        <v>101</v>
      </c>
      <c r="D12691" s="3">
        <v>97.0</v>
      </c>
      <c r="E12691" s="3">
        <v>2.97</v>
      </c>
      <c r="F12691" s="3">
        <v>1.31</v>
      </c>
      <c r="G12691" s="3">
        <v>16.85</v>
      </c>
    </row>
    <row r="12692">
      <c r="A12692" s="3">
        <v>787659.0</v>
      </c>
      <c r="B12692" s="3" t="s">
        <v>12720</v>
      </c>
      <c r="C12692" s="3" t="s">
        <v>101</v>
      </c>
      <c r="D12692" s="3">
        <v>178.0</v>
      </c>
      <c r="E12692" s="3">
        <v>3.17</v>
      </c>
      <c r="F12692" s="3">
        <v>0.99</v>
      </c>
      <c r="G12692" s="3">
        <v>37.55</v>
      </c>
    </row>
    <row r="12693">
      <c r="A12693" s="3">
        <v>787660.0</v>
      </c>
      <c r="B12693" s="3" t="s">
        <v>12721</v>
      </c>
      <c r="C12693" s="3" t="s">
        <v>101</v>
      </c>
      <c r="D12693" s="3">
        <v>123.0</v>
      </c>
      <c r="E12693" s="3">
        <v>4.28</v>
      </c>
      <c r="F12693" s="3">
        <v>1.58</v>
      </c>
      <c r="G12693" s="3">
        <v>20.05</v>
      </c>
    </row>
    <row r="12694">
      <c r="A12694" s="3">
        <v>787661.0</v>
      </c>
      <c r="B12694" s="3" t="s">
        <v>12722</v>
      </c>
      <c r="C12694" s="3" t="s">
        <v>101</v>
      </c>
      <c r="D12694" s="3">
        <v>91.0</v>
      </c>
      <c r="E12694" s="3">
        <v>0.2</v>
      </c>
      <c r="F12694" s="3">
        <v>1.64</v>
      </c>
      <c r="G12694" s="3">
        <v>21.04</v>
      </c>
    </row>
    <row r="12695">
      <c r="A12695" s="3">
        <v>787662.0</v>
      </c>
      <c r="B12695" s="3" t="s">
        <v>12723</v>
      </c>
      <c r="C12695" s="3" t="s">
        <v>101</v>
      </c>
      <c r="D12695" s="3">
        <v>123.0</v>
      </c>
      <c r="E12695" s="3">
        <v>4.28</v>
      </c>
      <c r="F12695" s="3">
        <v>1.58</v>
      </c>
      <c r="G12695" s="3">
        <v>20.05</v>
      </c>
    </row>
    <row r="12696">
      <c r="A12696" s="3">
        <v>787663.0</v>
      </c>
      <c r="B12696" s="3" t="s">
        <v>12724</v>
      </c>
      <c r="C12696" s="3" t="s">
        <v>101</v>
      </c>
      <c r="D12696" s="3">
        <v>92.0</v>
      </c>
      <c r="E12696" s="3">
        <v>2.13</v>
      </c>
      <c r="F12696" s="3">
        <v>1.68</v>
      </c>
      <c r="G12696" s="3">
        <v>17.06</v>
      </c>
    </row>
    <row r="12697">
      <c r="A12697" s="3">
        <v>787665.0</v>
      </c>
      <c r="B12697" s="3" t="s">
        <v>12725</v>
      </c>
      <c r="C12697" s="3" t="s">
        <v>33</v>
      </c>
      <c r="D12697" s="3">
        <v>529.0</v>
      </c>
      <c r="E12697" s="3">
        <v>32.19</v>
      </c>
      <c r="F12697" s="3">
        <v>2.92</v>
      </c>
      <c r="G12697" s="3">
        <v>56.54</v>
      </c>
    </row>
    <row r="12698">
      <c r="A12698" s="3">
        <v>787669.0</v>
      </c>
      <c r="B12698" s="3" t="s">
        <v>12726</v>
      </c>
      <c r="C12698" s="3" t="s">
        <v>101</v>
      </c>
      <c r="D12698" s="3">
        <v>193.0</v>
      </c>
      <c r="E12698" s="3">
        <v>13.13</v>
      </c>
      <c r="F12698" s="3">
        <v>1.74</v>
      </c>
      <c r="G12698" s="3">
        <v>17.95</v>
      </c>
    </row>
    <row r="12699">
      <c r="A12699" s="3">
        <v>787670.0</v>
      </c>
      <c r="B12699" s="3" t="s">
        <v>12727</v>
      </c>
      <c r="C12699" s="3" t="s">
        <v>101</v>
      </c>
      <c r="D12699" s="3">
        <v>162.0</v>
      </c>
      <c r="E12699" s="3">
        <v>9.19</v>
      </c>
      <c r="F12699" s="3">
        <v>1.82</v>
      </c>
      <c r="G12699" s="3">
        <v>18.76</v>
      </c>
    </row>
    <row r="12700">
      <c r="A12700" s="3">
        <v>787679.0</v>
      </c>
      <c r="B12700" s="3" t="s">
        <v>12728</v>
      </c>
      <c r="C12700" s="3" t="s">
        <v>101</v>
      </c>
      <c r="D12700" s="3">
        <v>76.0</v>
      </c>
      <c r="E12700" s="3">
        <v>0.14</v>
      </c>
      <c r="F12700" s="3">
        <v>1.36</v>
      </c>
      <c r="G12700" s="3">
        <v>17.61</v>
      </c>
    </row>
    <row r="12701">
      <c r="A12701" s="3">
        <v>787680.0</v>
      </c>
      <c r="B12701" s="3" t="s">
        <v>12729</v>
      </c>
      <c r="C12701" s="3" t="s">
        <v>225</v>
      </c>
      <c r="D12701" s="3">
        <v>32.0</v>
      </c>
      <c r="E12701" s="3">
        <v>0.77</v>
      </c>
      <c r="F12701" s="3">
        <v>1.58</v>
      </c>
      <c r="G12701" s="3">
        <v>5.01</v>
      </c>
    </row>
    <row r="12702">
      <c r="A12702" s="3">
        <v>787681.0</v>
      </c>
      <c r="B12702" s="3" t="s">
        <v>12730</v>
      </c>
      <c r="C12702" s="3" t="s">
        <v>225</v>
      </c>
      <c r="D12702" s="3">
        <v>55.0</v>
      </c>
      <c r="E12702" s="3">
        <v>0.77</v>
      </c>
      <c r="F12702" s="3">
        <v>1.96</v>
      </c>
      <c r="G12702" s="3">
        <v>10.11</v>
      </c>
    </row>
    <row r="12703">
      <c r="A12703" s="3">
        <v>787682.0</v>
      </c>
      <c r="B12703" s="3" t="s">
        <v>12731</v>
      </c>
      <c r="C12703" s="3" t="s">
        <v>225</v>
      </c>
      <c r="D12703" s="3">
        <v>39.0</v>
      </c>
      <c r="E12703" s="3">
        <v>2.46</v>
      </c>
      <c r="F12703" s="3">
        <v>0.5</v>
      </c>
      <c r="G12703" s="3">
        <v>4.37</v>
      </c>
    </row>
    <row r="12704">
      <c r="A12704" s="3">
        <v>787685.0</v>
      </c>
      <c r="B12704" s="3" t="s">
        <v>12732</v>
      </c>
      <c r="C12704" s="3" t="s">
        <v>101</v>
      </c>
      <c r="D12704" s="3">
        <v>18.0</v>
      </c>
      <c r="E12704" s="3">
        <v>0.11</v>
      </c>
      <c r="F12704" s="3">
        <v>0.95</v>
      </c>
      <c r="G12704" s="3">
        <v>3.99</v>
      </c>
    </row>
    <row r="12705">
      <c r="A12705" s="3">
        <v>787686.0</v>
      </c>
      <c r="B12705" s="3" t="s">
        <v>12733</v>
      </c>
      <c r="C12705" s="3" t="s">
        <v>101</v>
      </c>
      <c r="D12705" s="3">
        <v>18.0</v>
      </c>
      <c r="E12705" s="3">
        <v>0.11</v>
      </c>
      <c r="F12705" s="3">
        <v>0.95</v>
      </c>
      <c r="G12705" s="3">
        <v>3.99</v>
      </c>
    </row>
    <row r="12706">
      <c r="A12706" s="3">
        <v>787688.0</v>
      </c>
      <c r="B12706" s="3" t="s">
        <v>12734</v>
      </c>
      <c r="C12706" s="3" t="s">
        <v>101</v>
      </c>
      <c r="D12706" s="3">
        <v>22.0</v>
      </c>
      <c r="E12706" s="3">
        <v>0.25</v>
      </c>
      <c r="F12706" s="3">
        <v>1.09</v>
      </c>
      <c r="G12706" s="3">
        <v>4.83</v>
      </c>
    </row>
    <row r="12707">
      <c r="A12707" s="3">
        <v>787689.0</v>
      </c>
      <c r="B12707" s="3" t="s">
        <v>12735</v>
      </c>
      <c r="C12707" s="3" t="s">
        <v>101</v>
      </c>
      <c r="D12707" s="3">
        <v>22.0</v>
      </c>
      <c r="E12707" s="3">
        <v>0.25</v>
      </c>
      <c r="F12707" s="3">
        <v>1.09</v>
      </c>
      <c r="G12707" s="3">
        <v>4.84</v>
      </c>
    </row>
    <row r="12708">
      <c r="A12708" s="3">
        <v>787690.0</v>
      </c>
      <c r="B12708" s="3" t="s">
        <v>12736</v>
      </c>
      <c r="C12708" s="3" t="s">
        <v>101</v>
      </c>
      <c r="D12708" s="3">
        <v>179.0</v>
      </c>
      <c r="E12708" s="3">
        <v>11.74</v>
      </c>
      <c r="F12708" s="3">
        <v>3.82</v>
      </c>
      <c r="G12708" s="3">
        <v>14.68</v>
      </c>
    </row>
    <row r="12709">
      <c r="A12709" s="3">
        <v>787691.0</v>
      </c>
      <c r="B12709" s="3" t="s">
        <v>12737</v>
      </c>
      <c r="C12709" s="3" t="s">
        <v>101</v>
      </c>
      <c r="D12709" s="3">
        <v>169.0</v>
      </c>
      <c r="E12709" s="3">
        <v>13.11</v>
      </c>
      <c r="F12709" s="3">
        <v>2.7</v>
      </c>
      <c r="G12709" s="3">
        <v>10.93</v>
      </c>
    </row>
    <row r="12710">
      <c r="A12710" s="3">
        <v>787692.0</v>
      </c>
      <c r="B12710" s="3" t="s">
        <v>12738</v>
      </c>
      <c r="C12710" s="3" t="s">
        <v>101</v>
      </c>
      <c r="D12710" s="3">
        <v>124.0</v>
      </c>
      <c r="E12710" s="3">
        <v>5.86</v>
      </c>
      <c r="F12710" s="3">
        <v>2.75</v>
      </c>
      <c r="G12710" s="3">
        <v>15.67</v>
      </c>
    </row>
    <row r="12711">
      <c r="A12711" s="3">
        <v>787693.0</v>
      </c>
      <c r="B12711" s="3" t="s">
        <v>12739</v>
      </c>
      <c r="C12711" s="3" t="s">
        <v>101</v>
      </c>
      <c r="D12711" s="3">
        <v>85.0</v>
      </c>
      <c r="E12711" s="3">
        <v>4.41</v>
      </c>
      <c r="F12711" s="3">
        <v>1.8</v>
      </c>
      <c r="G12711" s="3">
        <v>10.34</v>
      </c>
    </row>
    <row r="12712">
      <c r="A12712" s="3">
        <v>787695.0</v>
      </c>
      <c r="B12712" s="3" t="s">
        <v>12740</v>
      </c>
      <c r="C12712" s="3" t="s">
        <v>101</v>
      </c>
      <c r="D12712" s="3">
        <v>59.0</v>
      </c>
      <c r="E12712" s="3">
        <v>1.83</v>
      </c>
      <c r="F12712" s="3">
        <v>1.74</v>
      </c>
      <c r="G12712" s="3">
        <v>9.67</v>
      </c>
    </row>
    <row r="12713">
      <c r="A12713" s="3">
        <v>787698.0</v>
      </c>
      <c r="B12713" s="3" t="s">
        <v>12741</v>
      </c>
      <c r="C12713" s="3" t="s">
        <v>101</v>
      </c>
      <c r="D12713" s="3">
        <v>181.0</v>
      </c>
      <c r="E12713" s="3">
        <v>11.74</v>
      </c>
      <c r="F12713" s="3">
        <v>3.97</v>
      </c>
      <c r="G12713" s="3">
        <v>15.26</v>
      </c>
    </row>
    <row r="12714">
      <c r="A12714" s="3">
        <v>787699.0</v>
      </c>
      <c r="B12714" s="3" t="s">
        <v>12742</v>
      </c>
      <c r="C12714" s="3" t="s">
        <v>101</v>
      </c>
      <c r="D12714" s="3">
        <v>202.0</v>
      </c>
      <c r="E12714" s="3">
        <v>15.67</v>
      </c>
      <c r="F12714" s="3">
        <v>3.24</v>
      </c>
      <c r="G12714" s="3">
        <v>13.01</v>
      </c>
    </row>
    <row r="12715">
      <c r="A12715" s="3">
        <v>787700.0</v>
      </c>
      <c r="B12715" s="3" t="s">
        <v>12743</v>
      </c>
      <c r="C12715" s="3" t="s">
        <v>257</v>
      </c>
      <c r="D12715" s="3">
        <v>36.0</v>
      </c>
      <c r="E12715" s="3">
        <v>0.24</v>
      </c>
      <c r="F12715" s="3">
        <v>1.09</v>
      </c>
      <c r="G12715" s="3">
        <v>8.24</v>
      </c>
    </row>
    <row r="12716">
      <c r="A12716" s="3">
        <v>787711.0</v>
      </c>
      <c r="B12716" s="3" t="s">
        <v>12744</v>
      </c>
      <c r="C12716" s="3" t="s">
        <v>225</v>
      </c>
      <c r="D12716" s="3">
        <v>17.0</v>
      </c>
      <c r="E12716" s="3">
        <v>0.14</v>
      </c>
      <c r="F12716" s="3">
        <v>0.71</v>
      </c>
      <c r="G12716" s="3">
        <v>3.7</v>
      </c>
    </row>
    <row r="12717">
      <c r="A12717" s="3">
        <v>787713.0</v>
      </c>
      <c r="B12717" s="3" t="s">
        <v>12745</v>
      </c>
      <c r="C12717" s="3" t="s">
        <v>225</v>
      </c>
      <c r="D12717" s="3">
        <v>56.0</v>
      </c>
      <c r="E12717" s="3">
        <v>4.36</v>
      </c>
      <c r="F12717" s="3">
        <v>0.83</v>
      </c>
      <c r="G12717" s="3">
        <v>4.32</v>
      </c>
    </row>
    <row r="12718">
      <c r="A12718" s="3">
        <v>787715.0</v>
      </c>
      <c r="B12718" s="3" t="s">
        <v>12746</v>
      </c>
      <c r="C12718" s="3" t="s">
        <v>225</v>
      </c>
      <c r="D12718" s="3">
        <v>28.0</v>
      </c>
      <c r="E12718" s="3">
        <v>0.59</v>
      </c>
      <c r="F12718" s="3">
        <v>0.99</v>
      </c>
      <c r="G12718" s="3">
        <v>5.5</v>
      </c>
    </row>
    <row r="12719">
      <c r="A12719" s="3">
        <v>787718.0</v>
      </c>
      <c r="B12719" s="3" t="s">
        <v>12747</v>
      </c>
      <c r="C12719" s="3" t="s">
        <v>225</v>
      </c>
      <c r="D12719" s="3">
        <v>44.0</v>
      </c>
      <c r="E12719" s="3">
        <v>1.31</v>
      </c>
      <c r="F12719" s="3">
        <v>1.39</v>
      </c>
      <c r="G12719" s="3">
        <v>6.86</v>
      </c>
    </row>
    <row r="12720">
      <c r="A12720" s="3">
        <v>787721.0</v>
      </c>
      <c r="B12720" s="3" t="s">
        <v>12748</v>
      </c>
      <c r="C12720" s="3" t="s">
        <v>225</v>
      </c>
      <c r="D12720" s="3">
        <v>74.0</v>
      </c>
      <c r="E12720" s="3">
        <v>6.58</v>
      </c>
      <c r="F12720" s="3">
        <v>1.26</v>
      </c>
      <c r="G12720" s="3">
        <v>3.43</v>
      </c>
    </row>
    <row r="12721">
      <c r="A12721" s="3">
        <v>787722.0</v>
      </c>
      <c r="B12721" s="3" t="s">
        <v>12749</v>
      </c>
      <c r="C12721" s="3" t="s">
        <v>225</v>
      </c>
      <c r="D12721" s="3">
        <v>157.0</v>
      </c>
      <c r="E12721" s="3">
        <v>0.59</v>
      </c>
      <c r="F12721" s="3">
        <v>2.18</v>
      </c>
      <c r="G12721" s="3">
        <v>37.63</v>
      </c>
    </row>
    <row r="12722">
      <c r="A12722" s="3">
        <v>787725.0</v>
      </c>
      <c r="B12722" s="3" t="s">
        <v>12750</v>
      </c>
      <c r="C12722" s="3" t="s">
        <v>225</v>
      </c>
      <c r="D12722" s="3">
        <v>124.0</v>
      </c>
      <c r="E12722" s="3">
        <v>1.05</v>
      </c>
      <c r="F12722" s="3">
        <v>1.36</v>
      </c>
      <c r="G12722" s="3">
        <v>28.22</v>
      </c>
    </row>
    <row r="12723">
      <c r="A12723" s="3">
        <v>787726.0</v>
      </c>
      <c r="B12723" s="3" t="s">
        <v>12751</v>
      </c>
      <c r="C12723" s="3" t="s">
        <v>225</v>
      </c>
      <c r="D12723" s="3">
        <v>258.0</v>
      </c>
      <c r="E12723" s="3">
        <v>24.29</v>
      </c>
      <c r="F12723" s="3">
        <v>4.02</v>
      </c>
      <c r="G12723" s="3">
        <v>7.35</v>
      </c>
    </row>
    <row r="12724">
      <c r="A12724" s="3">
        <v>787727.0</v>
      </c>
      <c r="B12724" s="3" t="s">
        <v>12752</v>
      </c>
      <c r="C12724" s="3" t="s">
        <v>225</v>
      </c>
      <c r="D12724" s="3">
        <v>174.0</v>
      </c>
      <c r="E12724" s="3">
        <v>14.91</v>
      </c>
      <c r="F12724" s="3">
        <v>5.14</v>
      </c>
      <c r="G12724" s="3">
        <v>5.3</v>
      </c>
    </row>
    <row r="12725">
      <c r="A12725" s="3">
        <v>787728.0</v>
      </c>
      <c r="B12725" s="3" t="s">
        <v>12753</v>
      </c>
      <c r="C12725" s="3" t="s">
        <v>225</v>
      </c>
      <c r="D12725" s="3">
        <v>123.0</v>
      </c>
      <c r="E12725" s="3">
        <v>10.54</v>
      </c>
      <c r="F12725" s="3">
        <v>1.16</v>
      </c>
      <c r="G12725" s="3">
        <v>7.23</v>
      </c>
    </row>
    <row r="12726">
      <c r="A12726" s="3">
        <v>787729.0</v>
      </c>
      <c r="B12726" s="3" t="s">
        <v>12754</v>
      </c>
      <c r="C12726" s="3" t="s">
        <v>101</v>
      </c>
      <c r="D12726" s="3">
        <v>28.0</v>
      </c>
      <c r="E12726" s="3">
        <v>0.25</v>
      </c>
      <c r="F12726" s="3">
        <v>2.57</v>
      </c>
      <c r="G12726" s="3">
        <v>4.71</v>
      </c>
    </row>
    <row r="12727">
      <c r="A12727" s="3">
        <v>787730.0</v>
      </c>
      <c r="B12727" s="3" t="s">
        <v>12755</v>
      </c>
      <c r="C12727" s="3" t="s">
        <v>101</v>
      </c>
      <c r="D12727" s="3">
        <v>50.0</v>
      </c>
      <c r="E12727" s="3">
        <v>2.28</v>
      </c>
      <c r="F12727" s="3">
        <v>1.37</v>
      </c>
      <c r="G12727" s="3">
        <v>7.67</v>
      </c>
    </row>
    <row r="12728">
      <c r="A12728" s="3">
        <v>787731.0</v>
      </c>
      <c r="B12728" s="3" t="s">
        <v>12756</v>
      </c>
      <c r="C12728" s="3" t="s">
        <v>101</v>
      </c>
      <c r="D12728" s="3">
        <v>37.0</v>
      </c>
      <c r="E12728" s="3">
        <v>0.64</v>
      </c>
      <c r="F12728" s="3">
        <v>1.39</v>
      </c>
      <c r="G12728" s="3">
        <v>7.84</v>
      </c>
    </row>
    <row r="12729">
      <c r="A12729" s="3">
        <v>787732.0</v>
      </c>
      <c r="B12729" s="3" t="s">
        <v>12757</v>
      </c>
      <c r="C12729" s="3" t="s">
        <v>101</v>
      </c>
      <c r="D12729" s="3">
        <v>50.0</v>
      </c>
      <c r="E12729" s="3">
        <v>2.28</v>
      </c>
      <c r="F12729" s="3">
        <v>1.37</v>
      </c>
      <c r="G12729" s="3">
        <v>7.67</v>
      </c>
    </row>
    <row r="12730">
      <c r="A12730" s="3">
        <v>787733.0</v>
      </c>
      <c r="B12730" s="3" t="s">
        <v>12758</v>
      </c>
      <c r="C12730" s="3" t="s">
        <v>101</v>
      </c>
      <c r="D12730" s="3">
        <v>33.0</v>
      </c>
      <c r="E12730" s="3">
        <v>1.9</v>
      </c>
      <c r="F12730" s="3">
        <v>1.2</v>
      </c>
      <c r="G12730" s="3">
        <v>3.79</v>
      </c>
    </row>
    <row r="12731">
      <c r="A12731" s="3">
        <v>787734.0</v>
      </c>
      <c r="B12731" s="3" t="s">
        <v>12759</v>
      </c>
      <c r="C12731" s="3" t="s">
        <v>101</v>
      </c>
      <c r="D12731" s="3">
        <v>18.0</v>
      </c>
      <c r="E12731" s="3">
        <v>0.23</v>
      </c>
      <c r="F12731" s="3">
        <v>1.22</v>
      </c>
      <c r="G12731" s="3">
        <v>3.87</v>
      </c>
    </row>
    <row r="12732">
      <c r="A12732" s="3">
        <v>787735.0</v>
      </c>
      <c r="B12732" s="3" t="s">
        <v>12760</v>
      </c>
      <c r="C12732" s="3" t="s">
        <v>101</v>
      </c>
      <c r="D12732" s="3">
        <v>33.0</v>
      </c>
      <c r="E12732" s="3">
        <v>1.9</v>
      </c>
      <c r="F12732" s="3">
        <v>1.2</v>
      </c>
      <c r="G12732" s="3">
        <v>3.79</v>
      </c>
    </row>
    <row r="12733">
      <c r="A12733" s="3">
        <v>787736.0</v>
      </c>
      <c r="B12733" s="3" t="s">
        <v>12761</v>
      </c>
      <c r="C12733" s="3" t="s">
        <v>101</v>
      </c>
      <c r="D12733" s="3">
        <v>37.0</v>
      </c>
      <c r="E12733" s="3">
        <v>2.44</v>
      </c>
      <c r="F12733" s="3">
        <v>1.19</v>
      </c>
      <c r="G12733" s="3">
        <v>3.78</v>
      </c>
    </row>
    <row r="12734">
      <c r="A12734" s="3">
        <v>787737.0</v>
      </c>
      <c r="B12734" s="3" t="s">
        <v>12762</v>
      </c>
      <c r="C12734" s="3" t="s">
        <v>101</v>
      </c>
      <c r="D12734" s="3">
        <v>34.0</v>
      </c>
      <c r="E12734" s="3">
        <v>2.09</v>
      </c>
      <c r="F12734" s="3">
        <v>1.21</v>
      </c>
      <c r="G12734" s="3">
        <v>3.78</v>
      </c>
    </row>
    <row r="12735">
      <c r="A12735" s="3">
        <v>787738.0</v>
      </c>
      <c r="B12735" s="3" t="s">
        <v>12763</v>
      </c>
      <c r="C12735" s="3" t="s">
        <v>101</v>
      </c>
      <c r="D12735" s="3">
        <v>30.0</v>
      </c>
      <c r="E12735" s="3">
        <v>1.61</v>
      </c>
      <c r="F12735" s="3">
        <v>1.19</v>
      </c>
      <c r="G12735" s="3">
        <v>3.8</v>
      </c>
    </row>
    <row r="12736">
      <c r="A12736" s="3">
        <v>787739.0</v>
      </c>
      <c r="B12736" s="3" t="s">
        <v>12764</v>
      </c>
      <c r="C12736" s="3" t="s">
        <v>101</v>
      </c>
      <c r="D12736" s="3">
        <v>36.0</v>
      </c>
      <c r="E12736" s="3">
        <v>1.57</v>
      </c>
      <c r="F12736" s="3">
        <v>1.03</v>
      </c>
      <c r="G12736" s="3">
        <v>5.27</v>
      </c>
    </row>
    <row r="12737">
      <c r="A12737" s="3">
        <v>787740.0</v>
      </c>
      <c r="B12737" s="3" t="s">
        <v>12765</v>
      </c>
      <c r="C12737" s="3" t="s">
        <v>101</v>
      </c>
      <c r="D12737" s="3">
        <v>24.0</v>
      </c>
      <c r="E12737" s="3">
        <v>0.13</v>
      </c>
      <c r="F12737" s="3">
        <v>1.04</v>
      </c>
      <c r="G12737" s="3">
        <v>5.37</v>
      </c>
    </row>
    <row r="12738">
      <c r="A12738" s="3">
        <v>787741.0</v>
      </c>
      <c r="B12738" s="3" t="s">
        <v>12766</v>
      </c>
      <c r="C12738" s="3" t="s">
        <v>101</v>
      </c>
      <c r="D12738" s="3">
        <v>36.0</v>
      </c>
      <c r="E12738" s="3">
        <v>1.57</v>
      </c>
      <c r="F12738" s="3">
        <v>1.03</v>
      </c>
      <c r="G12738" s="3">
        <v>5.27</v>
      </c>
    </row>
    <row r="12739">
      <c r="A12739" s="3">
        <v>787742.0</v>
      </c>
      <c r="B12739" s="3" t="s">
        <v>12767</v>
      </c>
      <c r="C12739" s="3" t="s">
        <v>101</v>
      </c>
      <c r="D12739" s="3">
        <v>40.0</v>
      </c>
      <c r="E12739" s="3">
        <v>2.03</v>
      </c>
      <c r="F12739" s="3">
        <v>1.02</v>
      </c>
      <c r="G12739" s="3">
        <v>5.27</v>
      </c>
    </row>
    <row r="12740">
      <c r="A12740" s="3">
        <v>787743.0</v>
      </c>
      <c r="B12740" s="3" t="s">
        <v>12768</v>
      </c>
      <c r="C12740" s="3" t="s">
        <v>101</v>
      </c>
      <c r="D12740" s="3">
        <v>38.0</v>
      </c>
      <c r="E12740" s="3">
        <v>1.74</v>
      </c>
      <c r="F12740" s="3">
        <v>1.03</v>
      </c>
      <c r="G12740" s="3">
        <v>5.27</v>
      </c>
    </row>
    <row r="12741">
      <c r="A12741" s="3">
        <v>787744.0</v>
      </c>
      <c r="B12741" s="3" t="s">
        <v>12769</v>
      </c>
      <c r="C12741" s="3" t="s">
        <v>101</v>
      </c>
      <c r="D12741" s="3">
        <v>34.0</v>
      </c>
      <c r="E12741" s="3">
        <v>1.32</v>
      </c>
      <c r="F12741" s="3">
        <v>1.02</v>
      </c>
      <c r="G12741" s="3">
        <v>5.28</v>
      </c>
    </row>
    <row r="12742">
      <c r="A12742" s="3">
        <v>787745.0</v>
      </c>
      <c r="B12742" s="3" t="s">
        <v>12770</v>
      </c>
      <c r="C12742" s="3" t="s">
        <v>101</v>
      </c>
      <c r="D12742" s="3">
        <v>30.0</v>
      </c>
      <c r="E12742" s="3">
        <v>1.77</v>
      </c>
      <c r="F12742" s="3">
        <v>0.79</v>
      </c>
      <c r="G12742" s="3">
        <v>3.48</v>
      </c>
    </row>
    <row r="12743">
      <c r="A12743" s="3">
        <v>787746.0</v>
      </c>
      <c r="B12743" s="3" t="s">
        <v>12771</v>
      </c>
      <c r="C12743" s="3" t="s">
        <v>101</v>
      </c>
      <c r="D12743" s="3">
        <v>31.0</v>
      </c>
      <c r="E12743" s="3">
        <v>1.65</v>
      </c>
      <c r="F12743" s="3">
        <v>0.92</v>
      </c>
      <c r="G12743" s="3">
        <v>3.91</v>
      </c>
    </row>
    <row r="12744">
      <c r="A12744" s="3">
        <v>787747.0</v>
      </c>
      <c r="B12744" s="3" t="s">
        <v>12772</v>
      </c>
      <c r="C12744" s="3" t="s">
        <v>101</v>
      </c>
      <c r="D12744" s="3">
        <v>18.0</v>
      </c>
      <c r="E12744" s="3">
        <v>0.12</v>
      </c>
      <c r="F12744" s="3">
        <v>0.92</v>
      </c>
      <c r="G12744" s="3">
        <v>3.99</v>
      </c>
    </row>
    <row r="12745">
      <c r="A12745" s="3">
        <v>787748.0</v>
      </c>
      <c r="B12745" s="3" t="s">
        <v>12773</v>
      </c>
      <c r="C12745" s="3" t="s">
        <v>101</v>
      </c>
      <c r="D12745" s="3">
        <v>55.0</v>
      </c>
      <c r="E12745" s="3">
        <v>2.36</v>
      </c>
      <c r="F12745" s="3">
        <v>1.82</v>
      </c>
      <c r="G12745" s="3">
        <v>8.61</v>
      </c>
    </row>
    <row r="12746">
      <c r="A12746" s="3">
        <v>787749.0</v>
      </c>
      <c r="B12746" s="3" t="s">
        <v>12774</v>
      </c>
      <c r="C12746" s="3" t="s">
        <v>101</v>
      </c>
      <c r="D12746" s="3">
        <v>32.0</v>
      </c>
      <c r="E12746" s="3">
        <v>0.52</v>
      </c>
      <c r="F12746" s="3">
        <v>1.52</v>
      </c>
      <c r="G12746" s="3">
        <v>6.89</v>
      </c>
    </row>
    <row r="12747">
      <c r="A12747" s="3">
        <v>787750.0</v>
      </c>
      <c r="B12747" s="3" t="s">
        <v>12775</v>
      </c>
      <c r="C12747" s="3" t="s">
        <v>101</v>
      </c>
      <c r="D12747" s="3">
        <v>55.0</v>
      </c>
      <c r="E12747" s="3">
        <v>2.36</v>
      </c>
      <c r="F12747" s="3">
        <v>1.82</v>
      </c>
      <c r="G12747" s="3">
        <v>8.61</v>
      </c>
    </row>
    <row r="12748">
      <c r="A12748" s="3">
        <v>787751.0</v>
      </c>
      <c r="B12748" s="3" t="s">
        <v>12776</v>
      </c>
      <c r="C12748" s="3" t="s">
        <v>101</v>
      </c>
      <c r="D12748" s="3">
        <v>52.0</v>
      </c>
      <c r="E12748" s="3">
        <v>2.81</v>
      </c>
      <c r="F12748" s="3">
        <v>1.5</v>
      </c>
      <c r="G12748" s="3">
        <v>6.69</v>
      </c>
    </row>
    <row r="12749">
      <c r="A12749" s="3">
        <v>787752.0</v>
      </c>
      <c r="B12749" s="3" t="s">
        <v>12777</v>
      </c>
      <c r="C12749" s="3" t="s">
        <v>101</v>
      </c>
      <c r="D12749" s="3">
        <v>49.0</v>
      </c>
      <c r="E12749" s="3">
        <v>2.48</v>
      </c>
      <c r="F12749" s="3">
        <v>1.51</v>
      </c>
      <c r="G12749" s="3">
        <v>6.72</v>
      </c>
    </row>
    <row r="12750">
      <c r="A12750" s="3">
        <v>787753.0</v>
      </c>
      <c r="B12750" s="3" t="s">
        <v>12778</v>
      </c>
      <c r="C12750" s="3" t="s">
        <v>101</v>
      </c>
      <c r="D12750" s="3">
        <v>45.0</v>
      </c>
      <c r="E12750" s="3">
        <v>1.98</v>
      </c>
      <c r="F12750" s="3">
        <v>1.49</v>
      </c>
      <c r="G12750" s="3">
        <v>6.74</v>
      </c>
    </row>
    <row r="12751">
      <c r="A12751" s="3">
        <v>787754.0</v>
      </c>
      <c r="B12751" s="3" t="s">
        <v>12779</v>
      </c>
      <c r="C12751" s="3" t="s">
        <v>101</v>
      </c>
      <c r="D12751" s="3">
        <v>117.0</v>
      </c>
      <c r="E12751" s="3">
        <v>9.91</v>
      </c>
      <c r="F12751" s="3">
        <v>0.53</v>
      </c>
      <c r="G12751" s="3">
        <v>6.56</v>
      </c>
    </row>
    <row r="12752">
      <c r="A12752" s="3">
        <v>787755.0</v>
      </c>
      <c r="B12752" s="3" t="s">
        <v>12780</v>
      </c>
      <c r="C12752" s="3" t="s">
        <v>225</v>
      </c>
      <c r="D12752" s="3">
        <v>33.0</v>
      </c>
      <c r="E12752" s="3">
        <v>0.22</v>
      </c>
      <c r="F12752" s="3">
        <v>0.74</v>
      </c>
      <c r="G12752" s="3">
        <v>7.72</v>
      </c>
    </row>
    <row r="12753">
      <c r="A12753" s="3">
        <v>787756.0</v>
      </c>
      <c r="B12753" s="3" t="s">
        <v>12781</v>
      </c>
      <c r="C12753" s="3" t="s">
        <v>225</v>
      </c>
      <c r="D12753" s="3">
        <v>58.0</v>
      </c>
      <c r="E12753" s="3">
        <v>1.24</v>
      </c>
      <c r="F12753" s="3">
        <v>2.36</v>
      </c>
      <c r="G12753" s="3">
        <v>10.04</v>
      </c>
    </row>
    <row r="12754">
      <c r="A12754" s="3">
        <v>787757.0</v>
      </c>
      <c r="B12754" s="3" t="s">
        <v>12782</v>
      </c>
      <c r="C12754" s="3" t="s">
        <v>225</v>
      </c>
      <c r="D12754" s="3">
        <v>33.0</v>
      </c>
      <c r="E12754" s="3">
        <v>0.22</v>
      </c>
      <c r="F12754" s="3">
        <v>0.74</v>
      </c>
      <c r="G12754" s="3">
        <v>7.72</v>
      </c>
    </row>
    <row r="12755">
      <c r="A12755" s="3">
        <v>787759.0</v>
      </c>
      <c r="B12755" s="3" t="s">
        <v>12783</v>
      </c>
      <c r="C12755" s="3" t="s">
        <v>225</v>
      </c>
      <c r="D12755" s="3">
        <v>33.0</v>
      </c>
      <c r="E12755" s="3">
        <v>0.28</v>
      </c>
      <c r="F12755" s="3">
        <v>0.82</v>
      </c>
      <c r="G12755" s="3">
        <v>6.8</v>
      </c>
    </row>
    <row r="12756">
      <c r="A12756" s="3">
        <v>787760.0</v>
      </c>
      <c r="B12756" s="3" t="s">
        <v>12784</v>
      </c>
      <c r="C12756" s="3" t="s">
        <v>225</v>
      </c>
      <c r="D12756" s="3">
        <v>58.0</v>
      </c>
      <c r="E12756" s="3">
        <v>1.3</v>
      </c>
      <c r="F12756" s="3">
        <v>2.44</v>
      </c>
      <c r="G12756" s="3">
        <v>9.13</v>
      </c>
    </row>
    <row r="12757">
      <c r="A12757" s="3">
        <v>787764.0</v>
      </c>
      <c r="B12757" s="3" t="s">
        <v>12785</v>
      </c>
      <c r="C12757" s="3" t="s">
        <v>225</v>
      </c>
      <c r="D12757" s="3">
        <v>58.0</v>
      </c>
      <c r="E12757" s="3">
        <v>0.67</v>
      </c>
      <c r="F12757" s="3">
        <v>1.66</v>
      </c>
      <c r="G12757" s="3">
        <v>11.82</v>
      </c>
    </row>
    <row r="12758">
      <c r="A12758" s="3">
        <v>787765.0</v>
      </c>
      <c r="B12758" s="3" t="s">
        <v>12786</v>
      </c>
      <c r="C12758" s="3" t="s">
        <v>225</v>
      </c>
      <c r="D12758" s="3">
        <v>70.0</v>
      </c>
      <c r="E12758" s="3">
        <v>1.36</v>
      </c>
      <c r="F12758" s="3">
        <v>2.67</v>
      </c>
      <c r="G12758" s="3">
        <v>12.15</v>
      </c>
    </row>
    <row r="12759">
      <c r="A12759" s="3">
        <v>787767.0</v>
      </c>
      <c r="B12759" s="3" t="s">
        <v>12787</v>
      </c>
      <c r="C12759" s="3" t="s">
        <v>225</v>
      </c>
      <c r="D12759" s="3">
        <v>33.0</v>
      </c>
      <c r="E12759" s="3">
        <v>0.22</v>
      </c>
      <c r="F12759" s="3">
        <v>0.74</v>
      </c>
      <c r="G12759" s="3">
        <v>7.72</v>
      </c>
    </row>
    <row r="12760">
      <c r="A12760" s="3">
        <v>787769.0</v>
      </c>
      <c r="B12760" s="3" t="s">
        <v>12788</v>
      </c>
      <c r="C12760" s="3" t="s">
        <v>2807</v>
      </c>
      <c r="D12760" s="3">
        <v>175.0</v>
      </c>
      <c r="E12760" s="3">
        <v>6.97</v>
      </c>
      <c r="F12760" s="3">
        <v>4.4</v>
      </c>
      <c r="G12760" s="3">
        <v>23.71</v>
      </c>
    </row>
    <row r="12761">
      <c r="A12761" s="3">
        <v>787791.0</v>
      </c>
      <c r="B12761" s="3" t="s">
        <v>12789</v>
      </c>
      <c r="C12761" s="3" t="s">
        <v>101</v>
      </c>
      <c r="D12761" s="3">
        <v>12.0</v>
      </c>
      <c r="E12761" s="3">
        <v>0.16</v>
      </c>
      <c r="F12761" s="3">
        <v>0.59</v>
      </c>
      <c r="G12761" s="3">
        <v>2.16</v>
      </c>
    </row>
    <row r="12762">
      <c r="A12762" s="3">
        <v>787801.0</v>
      </c>
      <c r="B12762" s="3" t="s">
        <v>12790</v>
      </c>
      <c r="C12762" s="3" t="s">
        <v>101</v>
      </c>
      <c r="D12762" s="3">
        <v>17.0</v>
      </c>
      <c r="E12762" s="3">
        <v>0.24</v>
      </c>
      <c r="F12762" s="3">
        <v>1.52</v>
      </c>
      <c r="G12762" s="3">
        <v>3.22</v>
      </c>
    </row>
    <row r="12763">
      <c r="A12763" s="3">
        <v>787807.0</v>
      </c>
      <c r="B12763" s="3" t="s">
        <v>12791</v>
      </c>
      <c r="C12763" s="3" t="s">
        <v>225</v>
      </c>
      <c r="D12763" s="3">
        <v>40.0</v>
      </c>
      <c r="E12763" s="3">
        <v>0.32</v>
      </c>
      <c r="F12763" s="3">
        <v>1.94</v>
      </c>
      <c r="G12763" s="3">
        <v>9.14</v>
      </c>
    </row>
    <row r="12764">
      <c r="A12764" s="3">
        <v>787810.0</v>
      </c>
      <c r="B12764" s="3" t="s">
        <v>12792</v>
      </c>
      <c r="C12764" s="3" t="s">
        <v>101</v>
      </c>
      <c r="D12764" s="3">
        <v>24.0</v>
      </c>
      <c r="E12764" s="3">
        <v>0.22</v>
      </c>
      <c r="F12764" s="3">
        <v>0.91</v>
      </c>
      <c r="G12764" s="3">
        <v>5.13</v>
      </c>
    </row>
    <row r="12765">
      <c r="A12765" s="3">
        <v>787812.0</v>
      </c>
      <c r="B12765" s="3" t="s">
        <v>12793</v>
      </c>
      <c r="C12765" s="3" t="s">
        <v>101</v>
      </c>
      <c r="D12765" s="3">
        <v>31.0</v>
      </c>
      <c r="E12765" s="3">
        <v>0.3</v>
      </c>
      <c r="F12765" s="3">
        <v>0.99</v>
      </c>
      <c r="G12765" s="3">
        <v>6.03</v>
      </c>
    </row>
    <row r="12766">
      <c r="A12766" s="3">
        <v>787816.0</v>
      </c>
      <c r="B12766" s="3" t="s">
        <v>12794</v>
      </c>
      <c r="C12766" s="3" t="s">
        <v>101</v>
      </c>
      <c r="D12766" s="3">
        <v>38.0</v>
      </c>
      <c r="E12766" s="3">
        <v>0.26</v>
      </c>
      <c r="F12766" s="3">
        <v>2.38</v>
      </c>
      <c r="G12766" s="3">
        <v>8.43</v>
      </c>
    </row>
    <row r="12767">
      <c r="A12767" s="3">
        <v>787823.0</v>
      </c>
      <c r="B12767" s="3" t="s">
        <v>12795</v>
      </c>
      <c r="C12767" s="3" t="s">
        <v>101</v>
      </c>
      <c r="D12767" s="3">
        <v>269.0</v>
      </c>
      <c r="E12767" s="3">
        <v>22.87</v>
      </c>
      <c r="F12767" s="3">
        <v>5.85</v>
      </c>
      <c r="G12767" s="3">
        <v>10.58</v>
      </c>
    </row>
    <row r="12768">
      <c r="A12768" s="3">
        <v>787824.0</v>
      </c>
      <c r="B12768" s="3" t="s">
        <v>12796</v>
      </c>
      <c r="C12768" s="3" t="s">
        <v>101</v>
      </c>
      <c r="D12768" s="3">
        <v>116.0</v>
      </c>
      <c r="E12768" s="3">
        <v>7.86</v>
      </c>
      <c r="F12768" s="3">
        <v>2.14</v>
      </c>
      <c r="G12768" s="3">
        <v>10.9</v>
      </c>
    </row>
    <row r="12769">
      <c r="A12769" s="3">
        <v>787826.0</v>
      </c>
      <c r="B12769" s="3" t="s">
        <v>12797</v>
      </c>
      <c r="C12769" s="3" t="s">
        <v>101</v>
      </c>
      <c r="D12769" s="3">
        <v>109.0</v>
      </c>
      <c r="E12769" s="3">
        <v>7.64</v>
      </c>
      <c r="F12769" s="3">
        <v>1.15</v>
      </c>
      <c r="G12769" s="3">
        <v>10.33</v>
      </c>
    </row>
    <row r="12770">
      <c r="A12770" s="3">
        <v>787827.0</v>
      </c>
      <c r="B12770" s="3" t="s">
        <v>12798</v>
      </c>
      <c r="C12770" s="3" t="s">
        <v>101</v>
      </c>
      <c r="D12770" s="3">
        <v>100.0</v>
      </c>
      <c r="E12770" s="3">
        <v>4.87</v>
      </c>
      <c r="F12770" s="3">
        <v>0.94</v>
      </c>
      <c r="G12770" s="3">
        <v>14.43</v>
      </c>
    </row>
    <row r="12771">
      <c r="A12771" s="3">
        <v>787828.0</v>
      </c>
      <c r="B12771" s="3" t="s">
        <v>12799</v>
      </c>
      <c r="C12771" s="3" t="s">
        <v>101</v>
      </c>
      <c r="D12771" s="3">
        <v>73.0</v>
      </c>
      <c r="E12771" s="3">
        <v>4.64</v>
      </c>
      <c r="F12771" s="3">
        <v>1.05</v>
      </c>
      <c r="G12771" s="3">
        <v>7.63</v>
      </c>
    </row>
    <row r="12772">
      <c r="A12772" s="3">
        <v>787829.0</v>
      </c>
      <c r="B12772" s="3" t="s">
        <v>12800</v>
      </c>
      <c r="C12772" s="3" t="s">
        <v>101</v>
      </c>
      <c r="D12772" s="3">
        <v>44.0</v>
      </c>
      <c r="E12772" s="3">
        <v>1.55</v>
      </c>
      <c r="F12772" s="3">
        <v>1.04</v>
      </c>
      <c r="G12772" s="3">
        <v>7.19</v>
      </c>
    </row>
    <row r="12773">
      <c r="A12773" s="3">
        <v>787830.0</v>
      </c>
      <c r="B12773" s="3" t="s">
        <v>12801</v>
      </c>
      <c r="C12773" s="3" t="s">
        <v>101</v>
      </c>
      <c r="D12773" s="3">
        <v>116.0</v>
      </c>
      <c r="E12773" s="3">
        <v>9.84</v>
      </c>
      <c r="F12773" s="3">
        <v>1.25</v>
      </c>
      <c r="G12773" s="3">
        <v>6.29</v>
      </c>
    </row>
    <row r="12774">
      <c r="A12774" s="3">
        <v>787831.0</v>
      </c>
      <c r="B12774" s="3" t="s">
        <v>12802</v>
      </c>
      <c r="C12774" s="3" t="s">
        <v>101</v>
      </c>
      <c r="D12774" s="3">
        <v>46.0</v>
      </c>
      <c r="E12774" s="3">
        <v>0.72</v>
      </c>
      <c r="F12774" s="3">
        <v>1.27</v>
      </c>
      <c r="G12774" s="3">
        <v>9.61</v>
      </c>
    </row>
    <row r="12775">
      <c r="A12775" s="3">
        <v>787832.0</v>
      </c>
      <c r="B12775" s="3" t="s">
        <v>12803</v>
      </c>
      <c r="C12775" s="3" t="s">
        <v>101</v>
      </c>
      <c r="D12775" s="3">
        <v>41.0</v>
      </c>
      <c r="E12775" s="3">
        <v>0.71</v>
      </c>
      <c r="F12775" s="3">
        <v>0.99</v>
      </c>
      <c r="G12775" s="3">
        <v>8.5</v>
      </c>
    </row>
    <row r="12776">
      <c r="A12776" s="3">
        <v>787833.0</v>
      </c>
      <c r="B12776" s="3" t="s">
        <v>12804</v>
      </c>
      <c r="C12776" s="3" t="s">
        <v>101</v>
      </c>
      <c r="D12776" s="3">
        <v>106.0</v>
      </c>
      <c r="E12776" s="3">
        <v>6.09</v>
      </c>
      <c r="F12776" s="3">
        <v>1.06</v>
      </c>
      <c r="G12776" s="3">
        <v>13.32</v>
      </c>
    </row>
    <row r="12777">
      <c r="A12777" s="3">
        <v>787834.0</v>
      </c>
      <c r="B12777" s="3" t="s">
        <v>12805</v>
      </c>
      <c r="C12777" s="3" t="s">
        <v>101</v>
      </c>
      <c r="D12777" s="3">
        <v>103.0</v>
      </c>
      <c r="E12777" s="3">
        <v>6.59</v>
      </c>
      <c r="F12777" s="3">
        <v>1.06</v>
      </c>
      <c r="G12777" s="3">
        <v>11.06</v>
      </c>
    </row>
    <row r="12778">
      <c r="A12778" s="3">
        <v>787835.0</v>
      </c>
      <c r="B12778" s="3" t="s">
        <v>12806</v>
      </c>
      <c r="C12778" s="3" t="s">
        <v>101</v>
      </c>
      <c r="D12778" s="3">
        <v>203.0</v>
      </c>
      <c r="E12778" s="3">
        <v>15.0</v>
      </c>
      <c r="F12778" s="3">
        <v>2.48</v>
      </c>
      <c r="G12778" s="3">
        <v>15.71</v>
      </c>
    </row>
    <row r="12779">
      <c r="A12779" s="3">
        <v>787836.0</v>
      </c>
      <c r="B12779" s="3" t="s">
        <v>12807</v>
      </c>
      <c r="C12779" s="3" t="s">
        <v>101</v>
      </c>
      <c r="D12779" s="3">
        <v>122.0</v>
      </c>
      <c r="E12779" s="3">
        <v>10.44</v>
      </c>
      <c r="F12779" s="3">
        <v>3.99</v>
      </c>
      <c r="G12779" s="3">
        <v>3.38</v>
      </c>
    </row>
    <row r="12780">
      <c r="A12780" s="3">
        <v>787837.0</v>
      </c>
      <c r="B12780" s="3" t="s">
        <v>12808</v>
      </c>
      <c r="C12780" s="3" t="s">
        <v>101</v>
      </c>
      <c r="D12780" s="3">
        <v>54.0</v>
      </c>
      <c r="E12780" s="3">
        <v>0.09</v>
      </c>
      <c r="F12780" s="3">
        <v>0.48</v>
      </c>
      <c r="G12780" s="3">
        <v>12.56</v>
      </c>
    </row>
    <row r="12781">
      <c r="A12781" s="3">
        <v>787838.0</v>
      </c>
      <c r="B12781" s="3" t="s">
        <v>12809</v>
      </c>
      <c r="C12781" s="3" t="s">
        <v>101</v>
      </c>
      <c r="D12781" s="3">
        <v>63.0</v>
      </c>
      <c r="E12781" s="3">
        <v>5.38</v>
      </c>
      <c r="F12781" s="3">
        <v>1.09</v>
      </c>
      <c r="G12781" s="3">
        <v>2.86</v>
      </c>
    </row>
    <row r="12782">
      <c r="A12782" s="3">
        <v>787839.0</v>
      </c>
      <c r="B12782" s="3" t="s">
        <v>12810</v>
      </c>
      <c r="C12782" s="3" t="s">
        <v>101</v>
      </c>
      <c r="D12782" s="3">
        <v>115.0</v>
      </c>
      <c r="E12782" s="3">
        <v>9.68</v>
      </c>
      <c r="F12782" s="3">
        <v>0.48</v>
      </c>
      <c r="G12782" s="3">
        <v>6.58</v>
      </c>
    </row>
    <row r="12783">
      <c r="A12783" s="3">
        <v>787840.0</v>
      </c>
      <c r="B12783" s="3" t="s">
        <v>12811</v>
      </c>
      <c r="C12783" s="3" t="s">
        <v>101</v>
      </c>
      <c r="D12783" s="3">
        <v>33.0</v>
      </c>
      <c r="E12783" s="3">
        <v>0.08</v>
      </c>
      <c r="F12783" s="3">
        <v>0.52</v>
      </c>
      <c r="G12783" s="3">
        <v>7.22</v>
      </c>
    </row>
    <row r="12784">
      <c r="A12784" s="3">
        <v>787841.0</v>
      </c>
      <c r="B12784" s="3" t="s">
        <v>12812</v>
      </c>
      <c r="C12784" s="3" t="s">
        <v>101</v>
      </c>
      <c r="D12784" s="3">
        <v>21.0</v>
      </c>
      <c r="E12784" s="3">
        <v>0.2</v>
      </c>
      <c r="F12784" s="3">
        <v>1.2</v>
      </c>
      <c r="G12784" s="3">
        <v>4.42</v>
      </c>
    </row>
    <row r="12785">
      <c r="A12785" s="3">
        <v>787842.0</v>
      </c>
      <c r="B12785" s="3" t="s">
        <v>12813</v>
      </c>
      <c r="C12785" s="3" t="s">
        <v>101</v>
      </c>
      <c r="D12785" s="3">
        <v>20.0</v>
      </c>
      <c r="E12785" s="3">
        <v>0.21</v>
      </c>
      <c r="F12785" s="3">
        <v>1.36</v>
      </c>
      <c r="G12785" s="3">
        <v>3.93</v>
      </c>
    </row>
    <row r="12786">
      <c r="A12786" s="3">
        <v>787843.0</v>
      </c>
      <c r="B12786" s="3" t="s">
        <v>12814</v>
      </c>
      <c r="C12786" s="3" t="s">
        <v>101</v>
      </c>
      <c r="D12786" s="3">
        <v>52.0</v>
      </c>
      <c r="E12786" s="3">
        <v>3.4</v>
      </c>
      <c r="F12786" s="3">
        <v>1.4</v>
      </c>
      <c r="G12786" s="3">
        <v>5.36</v>
      </c>
    </row>
    <row r="12787">
      <c r="A12787" s="3">
        <v>787844.0</v>
      </c>
      <c r="B12787" s="3" t="s">
        <v>12815</v>
      </c>
      <c r="C12787" s="3" t="s">
        <v>101</v>
      </c>
      <c r="D12787" s="3">
        <v>88.0</v>
      </c>
      <c r="E12787" s="3">
        <v>5.96</v>
      </c>
      <c r="F12787" s="3">
        <v>4.97</v>
      </c>
      <c r="G12787" s="3">
        <v>4.19</v>
      </c>
    </row>
    <row r="12788">
      <c r="A12788" s="3">
        <v>787845.0</v>
      </c>
      <c r="B12788" s="3" t="s">
        <v>12816</v>
      </c>
      <c r="C12788" s="3" t="s">
        <v>101</v>
      </c>
      <c r="D12788" s="3">
        <v>48.0</v>
      </c>
      <c r="E12788" s="3">
        <v>2.31</v>
      </c>
      <c r="F12788" s="3">
        <v>3.5</v>
      </c>
      <c r="G12788" s="3">
        <v>3.76</v>
      </c>
    </row>
    <row r="12789">
      <c r="A12789" s="3">
        <v>787846.0</v>
      </c>
      <c r="B12789" s="3" t="s">
        <v>12817</v>
      </c>
      <c r="C12789" s="3" t="s">
        <v>101</v>
      </c>
      <c r="D12789" s="3">
        <v>69.0</v>
      </c>
      <c r="E12789" s="3">
        <v>4.29</v>
      </c>
      <c r="F12789" s="3">
        <v>4.29</v>
      </c>
      <c r="G12789" s="3">
        <v>3.65</v>
      </c>
    </row>
    <row r="12790">
      <c r="A12790" s="3">
        <v>787847.0</v>
      </c>
      <c r="B12790" s="3" t="s">
        <v>12818</v>
      </c>
      <c r="C12790" s="3" t="s">
        <v>101</v>
      </c>
      <c r="D12790" s="3">
        <v>81.0</v>
      </c>
      <c r="E12790" s="3">
        <v>6.57</v>
      </c>
      <c r="F12790" s="3">
        <v>2.98</v>
      </c>
      <c r="G12790" s="3">
        <v>2.47</v>
      </c>
    </row>
    <row r="12791">
      <c r="A12791" s="3">
        <v>787848.0</v>
      </c>
      <c r="B12791" s="3" t="s">
        <v>12819</v>
      </c>
      <c r="C12791" s="3" t="s">
        <v>101</v>
      </c>
      <c r="D12791" s="3">
        <v>227.0</v>
      </c>
      <c r="E12791" s="3">
        <v>20.71</v>
      </c>
      <c r="F12791" s="3">
        <v>4.75</v>
      </c>
      <c r="G12791" s="3">
        <v>5.6</v>
      </c>
    </row>
    <row r="12792">
      <c r="A12792" s="3">
        <v>787849.0</v>
      </c>
      <c r="B12792" s="3" t="s">
        <v>12820</v>
      </c>
      <c r="C12792" s="3" t="s">
        <v>101</v>
      </c>
      <c r="D12792" s="3">
        <v>42.0</v>
      </c>
      <c r="E12792" s="3">
        <v>2.16</v>
      </c>
      <c r="F12792" s="3">
        <v>2.61</v>
      </c>
      <c r="G12792" s="3">
        <v>3.77</v>
      </c>
    </row>
    <row r="12793">
      <c r="A12793" s="3">
        <v>787850.0</v>
      </c>
      <c r="B12793" s="3" t="s">
        <v>12821</v>
      </c>
      <c r="C12793" s="3" t="s">
        <v>101</v>
      </c>
      <c r="D12793" s="3">
        <v>81.0</v>
      </c>
      <c r="E12793" s="3">
        <v>4.91</v>
      </c>
      <c r="F12793" s="3">
        <v>7.02</v>
      </c>
      <c r="G12793" s="3">
        <v>2.97</v>
      </c>
    </row>
    <row r="12794">
      <c r="A12794" s="3">
        <v>787851.0</v>
      </c>
      <c r="B12794" s="3" t="s">
        <v>12822</v>
      </c>
      <c r="C12794" s="3" t="s">
        <v>101</v>
      </c>
      <c r="D12794" s="3">
        <v>92.0</v>
      </c>
      <c r="E12794" s="3">
        <v>4.34</v>
      </c>
      <c r="F12794" s="3">
        <v>11.36</v>
      </c>
      <c r="G12794" s="3">
        <v>2.48</v>
      </c>
    </row>
    <row r="12795">
      <c r="A12795" s="3">
        <v>787852.0</v>
      </c>
      <c r="B12795" s="3" t="s">
        <v>12823</v>
      </c>
      <c r="C12795" s="3" t="s">
        <v>101</v>
      </c>
      <c r="D12795" s="3">
        <v>79.0</v>
      </c>
      <c r="E12795" s="3">
        <v>1.97</v>
      </c>
      <c r="F12795" s="3">
        <v>2.79</v>
      </c>
      <c r="G12795" s="3">
        <v>12.7</v>
      </c>
    </row>
    <row r="12796">
      <c r="A12796" s="3">
        <v>787853.0</v>
      </c>
      <c r="B12796" s="3" t="s">
        <v>12824</v>
      </c>
      <c r="C12796" s="3" t="s">
        <v>101</v>
      </c>
      <c r="D12796" s="3">
        <v>65.0</v>
      </c>
      <c r="E12796" s="3">
        <v>0.15</v>
      </c>
      <c r="F12796" s="3">
        <v>2.84</v>
      </c>
      <c r="G12796" s="3">
        <v>13.02</v>
      </c>
    </row>
    <row r="12797">
      <c r="A12797" s="3">
        <v>787854.0</v>
      </c>
      <c r="B12797" s="3" t="s">
        <v>12825</v>
      </c>
      <c r="C12797" s="3" t="s">
        <v>101</v>
      </c>
      <c r="D12797" s="3">
        <v>79.0</v>
      </c>
      <c r="E12797" s="3">
        <v>1.97</v>
      </c>
      <c r="F12797" s="3">
        <v>2.79</v>
      </c>
      <c r="G12797" s="3">
        <v>12.7</v>
      </c>
    </row>
    <row r="12798">
      <c r="A12798" s="3">
        <v>787855.0</v>
      </c>
      <c r="B12798" s="3" t="s">
        <v>12826</v>
      </c>
      <c r="C12798" s="3" t="s">
        <v>101</v>
      </c>
      <c r="D12798" s="3">
        <v>85.0</v>
      </c>
      <c r="E12798" s="3">
        <v>2.57</v>
      </c>
      <c r="F12798" s="3">
        <v>2.78</v>
      </c>
      <c r="G12798" s="3">
        <v>12.7</v>
      </c>
    </row>
    <row r="12799">
      <c r="A12799" s="3">
        <v>787856.0</v>
      </c>
      <c r="B12799" s="3" t="s">
        <v>12827</v>
      </c>
      <c r="C12799" s="3" t="s">
        <v>101</v>
      </c>
      <c r="D12799" s="3">
        <v>81.0</v>
      </c>
      <c r="E12799" s="3">
        <v>2.19</v>
      </c>
      <c r="F12799" s="3">
        <v>2.79</v>
      </c>
      <c r="G12799" s="3">
        <v>12.69</v>
      </c>
    </row>
    <row r="12800">
      <c r="A12800" s="3">
        <v>787857.0</v>
      </c>
      <c r="B12800" s="3" t="s">
        <v>12828</v>
      </c>
      <c r="C12800" s="3" t="s">
        <v>101</v>
      </c>
      <c r="D12800" s="3">
        <v>77.0</v>
      </c>
      <c r="E12800" s="3">
        <v>1.66</v>
      </c>
      <c r="F12800" s="3">
        <v>2.78</v>
      </c>
      <c r="G12800" s="3">
        <v>12.71</v>
      </c>
    </row>
    <row r="12801">
      <c r="A12801" s="3">
        <v>787859.0</v>
      </c>
      <c r="B12801" s="3" t="s">
        <v>12829</v>
      </c>
      <c r="C12801" s="3" t="s">
        <v>101</v>
      </c>
      <c r="D12801" s="3">
        <v>61.0</v>
      </c>
      <c r="E12801" s="3">
        <v>2.46</v>
      </c>
      <c r="F12801" s="3">
        <v>3.02</v>
      </c>
      <c r="G12801" s="3">
        <v>8.89</v>
      </c>
    </row>
    <row r="12802">
      <c r="A12802" s="3">
        <v>787860.0</v>
      </c>
      <c r="B12802" s="3" t="s">
        <v>12830</v>
      </c>
      <c r="C12802" s="3" t="s">
        <v>101</v>
      </c>
      <c r="D12802" s="3">
        <v>69.0</v>
      </c>
      <c r="E12802" s="3">
        <v>2.31</v>
      </c>
      <c r="F12802" s="3">
        <v>2.81</v>
      </c>
      <c r="G12802" s="3">
        <v>11.57</v>
      </c>
    </row>
    <row r="12803">
      <c r="A12803" s="3">
        <v>787861.0</v>
      </c>
      <c r="B12803" s="3" t="s">
        <v>12831</v>
      </c>
      <c r="C12803" s="3" t="s">
        <v>101</v>
      </c>
      <c r="D12803" s="3">
        <v>61.0</v>
      </c>
      <c r="E12803" s="3">
        <v>2.46</v>
      </c>
      <c r="F12803" s="3">
        <v>3.02</v>
      </c>
      <c r="G12803" s="3">
        <v>8.89</v>
      </c>
    </row>
    <row r="12804">
      <c r="A12804" s="3">
        <v>787862.0</v>
      </c>
      <c r="B12804" s="3" t="s">
        <v>12832</v>
      </c>
      <c r="C12804" s="3" t="s">
        <v>101</v>
      </c>
      <c r="D12804" s="3">
        <v>61.0</v>
      </c>
      <c r="E12804" s="3">
        <v>2.46</v>
      </c>
      <c r="F12804" s="3">
        <v>3.02</v>
      </c>
      <c r="G12804" s="3">
        <v>8.89</v>
      </c>
    </row>
    <row r="12805">
      <c r="A12805" s="3">
        <v>787863.0</v>
      </c>
      <c r="B12805" s="3" t="s">
        <v>12833</v>
      </c>
      <c r="C12805" s="3" t="s">
        <v>101</v>
      </c>
      <c r="D12805" s="3">
        <v>45.0</v>
      </c>
      <c r="E12805" s="3">
        <v>0.5</v>
      </c>
      <c r="F12805" s="3">
        <v>3.09</v>
      </c>
      <c r="G12805" s="3">
        <v>9.13</v>
      </c>
    </row>
    <row r="12806">
      <c r="A12806" s="3">
        <v>787864.0</v>
      </c>
      <c r="B12806" s="3" t="s">
        <v>12834</v>
      </c>
      <c r="C12806" s="3" t="s">
        <v>101</v>
      </c>
      <c r="D12806" s="3">
        <v>53.0</v>
      </c>
      <c r="E12806" s="3">
        <v>0.34</v>
      </c>
      <c r="F12806" s="3">
        <v>2.87</v>
      </c>
      <c r="G12806" s="3">
        <v>11.88</v>
      </c>
    </row>
    <row r="12807">
      <c r="A12807" s="3">
        <v>787865.0</v>
      </c>
      <c r="B12807" s="3" t="s">
        <v>12835</v>
      </c>
      <c r="C12807" s="3" t="s">
        <v>101</v>
      </c>
      <c r="D12807" s="3">
        <v>45.0</v>
      </c>
      <c r="E12807" s="3">
        <v>0.5</v>
      </c>
      <c r="F12807" s="3">
        <v>3.09</v>
      </c>
      <c r="G12807" s="3">
        <v>9.13</v>
      </c>
    </row>
    <row r="12808">
      <c r="A12808" s="3">
        <v>787866.0</v>
      </c>
      <c r="B12808" s="3" t="s">
        <v>12836</v>
      </c>
      <c r="C12808" s="3" t="s">
        <v>101</v>
      </c>
      <c r="D12808" s="3">
        <v>45.0</v>
      </c>
      <c r="E12808" s="3">
        <v>0.5</v>
      </c>
      <c r="F12808" s="3">
        <v>3.09</v>
      </c>
      <c r="G12808" s="3">
        <v>9.13</v>
      </c>
    </row>
    <row r="12809">
      <c r="A12809" s="3">
        <v>787867.0</v>
      </c>
      <c r="B12809" s="3" t="s">
        <v>12837</v>
      </c>
      <c r="C12809" s="3" t="s">
        <v>101</v>
      </c>
      <c r="D12809" s="3">
        <v>61.0</v>
      </c>
      <c r="E12809" s="3">
        <v>2.46</v>
      </c>
      <c r="F12809" s="3">
        <v>3.02</v>
      </c>
      <c r="G12809" s="3">
        <v>8.89</v>
      </c>
    </row>
    <row r="12810">
      <c r="A12810" s="3">
        <v>787868.0</v>
      </c>
      <c r="B12810" s="3" t="s">
        <v>12838</v>
      </c>
      <c r="C12810" s="3" t="s">
        <v>101</v>
      </c>
      <c r="D12810" s="3">
        <v>69.0</v>
      </c>
      <c r="E12810" s="3">
        <v>2.31</v>
      </c>
      <c r="F12810" s="3">
        <v>2.81</v>
      </c>
      <c r="G12810" s="3">
        <v>11.57</v>
      </c>
    </row>
    <row r="12811">
      <c r="A12811" s="3">
        <v>787869.0</v>
      </c>
      <c r="B12811" s="3" t="s">
        <v>12839</v>
      </c>
      <c r="C12811" s="3" t="s">
        <v>101</v>
      </c>
      <c r="D12811" s="3">
        <v>61.0</v>
      </c>
      <c r="E12811" s="3">
        <v>2.46</v>
      </c>
      <c r="F12811" s="3">
        <v>3.02</v>
      </c>
      <c r="G12811" s="3">
        <v>8.89</v>
      </c>
    </row>
    <row r="12812">
      <c r="A12812" s="3">
        <v>787870.0</v>
      </c>
      <c r="B12812" s="3" t="s">
        <v>12840</v>
      </c>
      <c r="C12812" s="3" t="s">
        <v>101</v>
      </c>
      <c r="D12812" s="3">
        <v>61.0</v>
      </c>
      <c r="E12812" s="3">
        <v>2.46</v>
      </c>
      <c r="F12812" s="3">
        <v>3.02</v>
      </c>
      <c r="G12812" s="3">
        <v>8.89</v>
      </c>
    </row>
    <row r="12813">
      <c r="A12813" s="3">
        <v>787871.0</v>
      </c>
      <c r="B12813" s="3" t="s">
        <v>12841</v>
      </c>
      <c r="C12813" s="3" t="s">
        <v>101</v>
      </c>
      <c r="D12813" s="3">
        <v>122.0</v>
      </c>
      <c r="E12813" s="3">
        <v>8.57</v>
      </c>
      <c r="F12813" s="3">
        <v>2.65</v>
      </c>
      <c r="G12813" s="3">
        <v>10.96</v>
      </c>
    </row>
    <row r="12814">
      <c r="A12814" s="3">
        <v>787872.0</v>
      </c>
      <c r="B12814" s="3" t="s">
        <v>12842</v>
      </c>
      <c r="C12814" s="3" t="s">
        <v>101</v>
      </c>
      <c r="D12814" s="3">
        <v>67.0</v>
      </c>
      <c r="E12814" s="3">
        <v>3.1</v>
      </c>
      <c r="F12814" s="3">
        <v>3.01</v>
      </c>
      <c r="G12814" s="3">
        <v>8.89</v>
      </c>
    </row>
    <row r="12815">
      <c r="A12815" s="3">
        <v>787873.0</v>
      </c>
      <c r="B12815" s="3" t="s">
        <v>12843</v>
      </c>
      <c r="C12815" s="3" t="s">
        <v>101</v>
      </c>
      <c r="D12815" s="3">
        <v>71.0</v>
      </c>
      <c r="E12815" s="3">
        <v>2.54</v>
      </c>
      <c r="F12815" s="3">
        <v>2.82</v>
      </c>
      <c r="G12815" s="3">
        <v>11.56</v>
      </c>
    </row>
    <row r="12816">
      <c r="A12816" s="3">
        <v>787874.0</v>
      </c>
      <c r="B12816" s="3" t="s">
        <v>12844</v>
      </c>
      <c r="C12816" s="3" t="s">
        <v>101</v>
      </c>
      <c r="D12816" s="3">
        <v>58.0</v>
      </c>
      <c r="E12816" s="3">
        <v>2.13</v>
      </c>
      <c r="F12816" s="3">
        <v>3.01</v>
      </c>
      <c r="G12816" s="3">
        <v>8.9</v>
      </c>
    </row>
    <row r="12817">
      <c r="A12817" s="3">
        <v>787875.0</v>
      </c>
      <c r="B12817" s="3" t="s">
        <v>12845</v>
      </c>
      <c r="C12817" s="3" t="s">
        <v>101</v>
      </c>
      <c r="D12817" s="3">
        <v>74.0</v>
      </c>
      <c r="E12817" s="3">
        <v>2.95</v>
      </c>
      <c r="F12817" s="3">
        <v>2.8</v>
      </c>
      <c r="G12817" s="3">
        <v>11.57</v>
      </c>
    </row>
    <row r="12818">
      <c r="A12818" s="3">
        <v>787876.0</v>
      </c>
      <c r="B12818" s="3" t="s">
        <v>12846</v>
      </c>
      <c r="C12818" s="3" t="s">
        <v>101</v>
      </c>
      <c r="D12818" s="3">
        <v>71.0</v>
      </c>
      <c r="E12818" s="3">
        <v>2.54</v>
      </c>
      <c r="F12818" s="3">
        <v>2.82</v>
      </c>
      <c r="G12818" s="3">
        <v>11.56</v>
      </c>
    </row>
    <row r="12819">
      <c r="A12819" s="3">
        <v>787877.0</v>
      </c>
      <c r="B12819" s="3" t="s">
        <v>12847</v>
      </c>
      <c r="C12819" s="3" t="s">
        <v>101</v>
      </c>
      <c r="D12819" s="3">
        <v>66.0</v>
      </c>
      <c r="E12819" s="3">
        <v>1.97</v>
      </c>
      <c r="F12819" s="3">
        <v>2.8</v>
      </c>
      <c r="G12819" s="3">
        <v>11.58</v>
      </c>
    </row>
    <row r="12820">
      <c r="A12820" s="3">
        <v>787878.0</v>
      </c>
      <c r="B12820" s="3" t="s">
        <v>12848</v>
      </c>
      <c r="C12820" s="3" t="s">
        <v>101</v>
      </c>
      <c r="D12820" s="3">
        <v>67.0</v>
      </c>
      <c r="E12820" s="3">
        <v>3.1</v>
      </c>
      <c r="F12820" s="3">
        <v>3.01</v>
      </c>
      <c r="G12820" s="3">
        <v>8.89</v>
      </c>
    </row>
    <row r="12821">
      <c r="A12821" s="3">
        <v>787879.0</v>
      </c>
      <c r="B12821" s="3" t="s">
        <v>12849</v>
      </c>
      <c r="C12821" s="3" t="s">
        <v>101</v>
      </c>
      <c r="D12821" s="3">
        <v>63.0</v>
      </c>
      <c r="E12821" s="3">
        <v>2.69</v>
      </c>
      <c r="F12821" s="3">
        <v>3.03</v>
      </c>
      <c r="G12821" s="3">
        <v>8.88</v>
      </c>
    </row>
    <row r="12822">
      <c r="A12822" s="3">
        <v>787880.0</v>
      </c>
      <c r="B12822" s="3" t="s">
        <v>12850</v>
      </c>
      <c r="C12822" s="3" t="s">
        <v>101</v>
      </c>
      <c r="D12822" s="3">
        <v>58.0</v>
      </c>
      <c r="E12822" s="3">
        <v>2.13</v>
      </c>
      <c r="F12822" s="3">
        <v>3.01</v>
      </c>
      <c r="G12822" s="3">
        <v>8.9</v>
      </c>
    </row>
    <row r="12823">
      <c r="A12823" s="3">
        <v>787881.0</v>
      </c>
      <c r="B12823" s="3" t="s">
        <v>12851</v>
      </c>
      <c r="C12823" s="3" t="s">
        <v>101</v>
      </c>
      <c r="D12823" s="3">
        <v>67.0</v>
      </c>
      <c r="E12823" s="3">
        <v>3.1</v>
      </c>
      <c r="F12823" s="3">
        <v>3.01</v>
      </c>
      <c r="G12823" s="3">
        <v>8.89</v>
      </c>
    </row>
    <row r="12824">
      <c r="A12824" s="3">
        <v>787882.0</v>
      </c>
      <c r="B12824" s="3" t="s">
        <v>12852</v>
      </c>
      <c r="C12824" s="3" t="s">
        <v>101</v>
      </c>
      <c r="D12824" s="3">
        <v>63.0</v>
      </c>
      <c r="E12824" s="3">
        <v>2.69</v>
      </c>
      <c r="F12824" s="3">
        <v>3.03</v>
      </c>
      <c r="G12824" s="3">
        <v>8.88</v>
      </c>
    </row>
    <row r="12825">
      <c r="A12825" s="3">
        <v>787883.0</v>
      </c>
      <c r="B12825" s="3" t="s">
        <v>12853</v>
      </c>
      <c r="C12825" s="3" t="s">
        <v>101</v>
      </c>
      <c r="D12825" s="3">
        <v>58.0</v>
      </c>
      <c r="E12825" s="3">
        <v>2.13</v>
      </c>
      <c r="F12825" s="3">
        <v>3.01</v>
      </c>
      <c r="G12825" s="3">
        <v>8.9</v>
      </c>
    </row>
    <row r="12826">
      <c r="A12826" s="3">
        <v>787884.0</v>
      </c>
      <c r="B12826" s="3" t="s">
        <v>12854</v>
      </c>
      <c r="C12826" s="3" t="s">
        <v>101</v>
      </c>
      <c r="D12826" s="3">
        <v>34.0</v>
      </c>
      <c r="E12826" s="3">
        <v>2.26</v>
      </c>
      <c r="F12826" s="3">
        <v>2.87</v>
      </c>
      <c r="G12826" s="3">
        <v>1.87</v>
      </c>
    </row>
    <row r="12827">
      <c r="A12827" s="3">
        <v>787885.0</v>
      </c>
      <c r="B12827" s="3" t="s">
        <v>12855</v>
      </c>
      <c r="C12827" s="3" t="s">
        <v>101</v>
      </c>
      <c r="D12827" s="3">
        <v>38.0</v>
      </c>
      <c r="E12827" s="3">
        <v>2.06</v>
      </c>
      <c r="F12827" s="3">
        <v>2.34</v>
      </c>
      <c r="G12827" s="3">
        <v>3.99</v>
      </c>
    </row>
    <row r="12828">
      <c r="A12828" s="3">
        <v>787886.0</v>
      </c>
      <c r="B12828" s="3" t="s">
        <v>12856</v>
      </c>
      <c r="C12828" s="3" t="s">
        <v>101</v>
      </c>
      <c r="D12828" s="3">
        <v>41.0</v>
      </c>
      <c r="E12828" s="3">
        <v>3.13</v>
      </c>
      <c r="F12828" s="3">
        <v>2.84</v>
      </c>
      <c r="G12828" s="3">
        <v>1.85</v>
      </c>
    </row>
    <row r="12829">
      <c r="A12829" s="3">
        <v>787887.0</v>
      </c>
      <c r="B12829" s="3" t="s">
        <v>12857</v>
      </c>
      <c r="C12829" s="3" t="s">
        <v>101</v>
      </c>
      <c r="D12829" s="3">
        <v>31.0</v>
      </c>
      <c r="E12829" s="3">
        <v>2.02</v>
      </c>
      <c r="F12829" s="3">
        <v>2.1</v>
      </c>
      <c r="G12829" s="3">
        <v>2.41</v>
      </c>
    </row>
    <row r="12830">
      <c r="A12830" s="3">
        <v>787888.0</v>
      </c>
      <c r="B12830" s="3" t="s">
        <v>12858</v>
      </c>
      <c r="C12830" s="3" t="s">
        <v>101</v>
      </c>
      <c r="D12830" s="3">
        <v>18.0</v>
      </c>
      <c r="E12830" s="3">
        <v>0.42</v>
      </c>
      <c r="F12830" s="3">
        <v>2.93</v>
      </c>
      <c r="G12830" s="3">
        <v>1.91</v>
      </c>
    </row>
    <row r="12831">
      <c r="A12831" s="3">
        <v>787889.0</v>
      </c>
      <c r="B12831" s="3" t="s">
        <v>12859</v>
      </c>
      <c r="C12831" s="3" t="s">
        <v>101</v>
      </c>
      <c r="D12831" s="3">
        <v>22.0</v>
      </c>
      <c r="E12831" s="3">
        <v>0.22</v>
      </c>
      <c r="F12831" s="3">
        <v>2.39</v>
      </c>
      <c r="G12831" s="3">
        <v>4.09</v>
      </c>
    </row>
    <row r="12832">
      <c r="A12832" s="3">
        <v>787890.0</v>
      </c>
      <c r="B12832" s="3" t="s">
        <v>12860</v>
      </c>
      <c r="C12832" s="3" t="s">
        <v>101</v>
      </c>
      <c r="D12832" s="3">
        <v>18.0</v>
      </c>
      <c r="E12832" s="3">
        <v>0.42</v>
      </c>
      <c r="F12832" s="3">
        <v>2.93</v>
      </c>
      <c r="G12832" s="3">
        <v>1.91</v>
      </c>
    </row>
    <row r="12833">
      <c r="A12833" s="3">
        <v>787891.0</v>
      </c>
      <c r="B12833" s="3" t="s">
        <v>12861</v>
      </c>
      <c r="C12833" s="3" t="s">
        <v>101</v>
      </c>
      <c r="D12833" s="3">
        <v>19.0</v>
      </c>
      <c r="E12833" s="3">
        <v>0.65</v>
      </c>
      <c r="F12833" s="3">
        <v>2.13</v>
      </c>
      <c r="G12833" s="3">
        <v>2.45</v>
      </c>
    </row>
    <row r="12834">
      <c r="A12834" s="3">
        <v>787892.0</v>
      </c>
      <c r="B12834" s="3" t="s">
        <v>12862</v>
      </c>
      <c r="C12834" s="3" t="s">
        <v>101</v>
      </c>
      <c r="D12834" s="3">
        <v>34.0</v>
      </c>
      <c r="E12834" s="3">
        <v>2.26</v>
      </c>
      <c r="F12834" s="3">
        <v>2.87</v>
      </c>
      <c r="G12834" s="3">
        <v>1.87</v>
      </c>
    </row>
    <row r="12835">
      <c r="A12835" s="3">
        <v>787893.0</v>
      </c>
      <c r="B12835" s="3" t="s">
        <v>12863</v>
      </c>
      <c r="C12835" s="3" t="s">
        <v>101</v>
      </c>
      <c r="D12835" s="3">
        <v>38.0</v>
      </c>
      <c r="E12835" s="3">
        <v>2.06</v>
      </c>
      <c r="F12835" s="3">
        <v>2.34</v>
      </c>
      <c r="G12835" s="3">
        <v>3.99</v>
      </c>
    </row>
    <row r="12836">
      <c r="A12836" s="3">
        <v>787894.0</v>
      </c>
      <c r="B12836" s="3" t="s">
        <v>12864</v>
      </c>
      <c r="C12836" s="3" t="s">
        <v>101</v>
      </c>
      <c r="D12836" s="3">
        <v>34.0</v>
      </c>
      <c r="E12836" s="3">
        <v>2.26</v>
      </c>
      <c r="F12836" s="3">
        <v>2.87</v>
      </c>
      <c r="G12836" s="3">
        <v>1.87</v>
      </c>
    </row>
    <row r="12837">
      <c r="A12837" s="3">
        <v>787895.0</v>
      </c>
      <c r="B12837" s="3" t="s">
        <v>12865</v>
      </c>
      <c r="C12837" s="3" t="s">
        <v>101</v>
      </c>
      <c r="D12837" s="3">
        <v>31.0</v>
      </c>
      <c r="E12837" s="3">
        <v>2.02</v>
      </c>
      <c r="F12837" s="3">
        <v>2.1</v>
      </c>
      <c r="G12837" s="3">
        <v>2.41</v>
      </c>
    </row>
    <row r="12838">
      <c r="A12838" s="3">
        <v>787896.0</v>
      </c>
      <c r="B12838" s="3" t="s">
        <v>12866</v>
      </c>
      <c r="C12838" s="3" t="s">
        <v>101</v>
      </c>
      <c r="D12838" s="3">
        <v>39.0</v>
      </c>
      <c r="E12838" s="3">
        <v>2.86</v>
      </c>
      <c r="F12838" s="3">
        <v>2.86</v>
      </c>
      <c r="G12838" s="3">
        <v>1.86</v>
      </c>
    </row>
    <row r="12839">
      <c r="A12839" s="3">
        <v>787897.0</v>
      </c>
      <c r="B12839" s="3" t="s">
        <v>12867</v>
      </c>
      <c r="C12839" s="3" t="s">
        <v>101</v>
      </c>
      <c r="D12839" s="3">
        <v>36.0</v>
      </c>
      <c r="E12839" s="3">
        <v>2.47</v>
      </c>
      <c r="F12839" s="3">
        <v>2.88</v>
      </c>
      <c r="G12839" s="3">
        <v>1.86</v>
      </c>
    </row>
    <row r="12840">
      <c r="A12840" s="3">
        <v>787898.0</v>
      </c>
      <c r="B12840" s="3" t="s">
        <v>12868</v>
      </c>
      <c r="C12840" s="3" t="s">
        <v>101</v>
      </c>
      <c r="D12840" s="3">
        <v>31.0</v>
      </c>
      <c r="E12840" s="3">
        <v>1.94</v>
      </c>
      <c r="F12840" s="3">
        <v>2.86</v>
      </c>
      <c r="G12840" s="3">
        <v>1.88</v>
      </c>
    </row>
    <row r="12841">
      <c r="A12841" s="3">
        <v>787899.0</v>
      </c>
      <c r="B12841" s="3" t="s">
        <v>12869</v>
      </c>
      <c r="C12841" s="3" t="s">
        <v>101</v>
      </c>
      <c r="D12841" s="3">
        <v>43.0</v>
      </c>
      <c r="E12841" s="3">
        <v>2.66</v>
      </c>
      <c r="F12841" s="3">
        <v>2.33</v>
      </c>
      <c r="G12841" s="3">
        <v>3.99</v>
      </c>
    </row>
    <row r="12842">
      <c r="A12842" s="3">
        <v>787900.0</v>
      </c>
      <c r="B12842" s="3" t="s">
        <v>12870</v>
      </c>
      <c r="C12842" s="3" t="s">
        <v>101</v>
      </c>
      <c r="D12842" s="3">
        <v>40.0</v>
      </c>
      <c r="E12842" s="3">
        <v>2.28</v>
      </c>
      <c r="F12842" s="3">
        <v>2.35</v>
      </c>
      <c r="G12842" s="3">
        <v>3.98</v>
      </c>
    </row>
    <row r="12843">
      <c r="A12843" s="3">
        <v>787901.0</v>
      </c>
      <c r="B12843" s="3" t="s">
        <v>12871</v>
      </c>
      <c r="C12843" s="3" t="s">
        <v>101</v>
      </c>
      <c r="D12843" s="3">
        <v>35.0</v>
      </c>
      <c r="E12843" s="3">
        <v>1.75</v>
      </c>
      <c r="F12843" s="3">
        <v>2.33</v>
      </c>
      <c r="G12843" s="3">
        <v>4.0</v>
      </c>
    </row>
    <row r="12844">
      <c r="A12844" s="3">
        <v>787902.0</v>
      </c>
      <c r="B12844" s="3" t="s">
        <v>12872</v>
      </c>
      <c r="C12844" s="3" t="s">
        <v>101</v>
      </c>
      <c r="D12844" s="3">
        <v>39.0</v>
      </c>
      <c r="E12844" s="3">
        <v>2.86</v>
      </c>
      <c r="F12844" s="3">
        <v>2.86</v>
      </c>
      <c r="G12844" s="3">
        <v>1.86</v>
      </c>
    </row>
    <row r="12845">
      <c r="A12845" s="3">
        <v>787903.0</v>
      </c>
      <c r="B12845" s="3" t="s">
        <v>12873</v>
      </c>
      <c r="C12845" s="3" t="s">
        <v>101</v>
      </c>
      <c r="D12845" s="3">
        <v>36.0</v>
      </c>
      <c r="E12845" s="3">
        <v>2.47</v>
      </c>
      <c r="F12845" s="3">
        <v>2.88</v>
      </c>
      <c r="G12845" s="3">
        <v>1.86</v>
      </c>
    </row>
    <row r="12846">
      <c r="A12846" s="3">
        <v>787904.0</v>
      </c>
      <c r="B12846" s="3" t="s">
        <v>12874</v>
      </c>
      <c r="C12846" s="3" t="s">
        <v>101</v>
      </c>
      <c r="D12846" s="3">
        <v>31.0</v>
      </c>
      <c r="E12846" s="3">
        <v>1.94</v>
      </c>
      <c r="F12846" s="3">
        <v>2.86</v>
      </c>
      <c r="G12846" s="3">
        <v>1.88</v>
      </c>
    </row>
    <row r="12847">
      <c r="A12847" s="3">
        <v>787905.0</v>
      </c>
      <c r="B12847" s="3" t="s">
        <v>12875</v>
      </c>
      <c r="C12847" s="3" t="s">
        <v>101</v>
      </c>
      <c r="D12847" s="3">
        <v>35.0</v>
      </c>
      <c r="E12847" s="3">
        <v>2.47</v>
      </c>
      <c r="F12847" s="3">
        <v>2.09</v>
      </c>
      <c r="G12847" s="3">
        <v>2.4</v>
      </c>
    </row>
    <row r="12848">
      <c r="A12848" s="3">
        <v>787906.0</v>
      </c>
      <c r="B12848" s="3" t="s">
        <v>12876</v>
      </c>
      <c r="C12848" s="3" t="s">
        <v>101</v>
      </c>
      <c r="D12848" s="3">
        <v>32.0</v>
      </c>
      <c r="E12848" s="3">
        <v>2.18</v>
      </c>
      <c r="F12848" s="3">
        <v>2.11</v>
      </c>
      <c r="G12848" s="3">
        <v>2.4</v>
      </c>
    </row>
    <row r="12849">
      <c r="A12849" s="3">
        <v>787907.0</v>
      </c>
      <c r="B12849" s="3" t="s">
        <v>12877</v>
      </c>
      <c r="C12849" s="3" t="s">
        <v>101</v>
      </c>
      <c r="D12849" s="3">
        <v>29.0</v>
      </c>
      <c r="E12849" s="3">
        <v>1.79</v>
      </c>
      <c r="F12849" s="3">
        <v>2.09</v>
      </c>
      <c r="G12849" s="3">
        <v>2.42</v>
      </c>
    </row>
    <row r="12850">
      <c r="A12850" s="3">
        <v>787908.0</v>
      </c>
      <c r="B12850" s="3" t="s">
        <v>12878</v>
      </c>
      <c r="C12850" s="3" t="s">
        <v>101</v>
      </c>
      <c r="D12850" s="3">
        <v>36.0</v>
      </c>
      <c r="E12850" s="3">
        <v>0.4</v>
      </c>
      <c r="F12850" s="3">
        <v>3.45</v>
      </c>
      <c r="G12850" s="3">
        <v>6.89</v>
      </c>
    </row>
    <row r="12851">
      <c r="A12851" s="3">
        <v>787909.0</v>
      </c>
      <c r="B12851" s="3" t="s">
        <v>12879</v>
      </c>
      <c r="C12851" s="3" t="s">
        <v>101</v>
      </c>
      <c r="D12851" s="3">
        <v>71.0</v>
      </c>
      <c r="E12851" s="3">
        <v>4.5</v>
      </c>
      <c r="F12851" s="3">
        <v>3.34</v>
      </c>
      <c r="G12851" s="3">
        <v>6.68</v>
      </c>
    </row>
    <row r="12852">
      <c r="A12852" s="3">
        <v>787910.0</v>
      </c>
      <c r="B12852" s="3" t="s">
        <v>12880</v>
      </c>
      <c r="C12852" s="3" t="s">
        <v>101</v>
      </c>
      <c r="D12852" s="3">
        <v>71.0</v>
      </c>
      <c r="E12852" s="3">
        <v>4.5</v>
      </c>
      <c r="F12852" s="3">
        <v>3.34</v>
      </c>
      <c r="G12852" s="3">
        <v>6.68</v>
      </c>
    </row>
    <row r="12853">
      <c r="A12853" s="3">
        <v>787911.0</v>
      </c>
      <c r="B12853" s="3" t="s">
        <v>12881</v>
      </c>
      <c r="C12853" s="3" t="s">
        <v>101</v>
      </c>
      <c r="D12853" s="3">
        <v>117.0</v>
      </c>
      <c r="E12853" s="3">
        <v>2.28</v>
      </c>
      <c r="F12853" s="3">
        <v>5.89</v>
      </c>
      <c r="G12853" s="3">
        <v>18.7</v>
      </c>
    </row>
    <row r="12854">
      <c r="A12854" s="3">
        <v>787912.0</v>
      </c>
      <c r="B12854" s="3" t="s">
        <v>12882</v>
      </c>
      <c r="C12854" s="3" t="s">
        <v>101</v>
      </c>
      <c r="D12854" s="3">
        <v>136.0</v>
      </c>
      <c r="E12854" s="3">
        <v>2.26</v>
      </c>
      <c r="F12854" s="3">
        <v>6.6</v>
      </c>
      <c r="G12854" s="3">
        <v>22.88</v>
      </c>
    </row>
    <row r="12855">
      <c r="A12855" s="3">
        <v>787913.0</v>
      </c>
      <c r="B12855" s="3" t="s">
        <v>12883</v>
      </c>
      <c r="C12855" s="3" t="s">
        <v>101</v>
      </c>
      <c r="D12855" s="3">
        <v>117.0</v>
      </c>
      <c r="E12855" s="3">
        <v>2.28</v>
      </c>
      <c r="F12855" s="3">
        <v>5.89</v>
      </c>
      <c r="G12855" s="3">
        <v>18.7</v>
      </c>
    </row>
    <row r="12856">
      <c r="A12856" s="3">
        <v>787914.0</v>
      </c>
      <c r="B12856" s="3" t="s">
        <v>12884</v>
      </c>
      <c r="C12856" s="3" t="s">
        <v>101</v>
      </c>
      <c r="D12856" s="3">
        <v>117.0</v>
      </c>
      <c r="E12856" s="3">
        <v>2.28</v>
      </c>
      <c r="F12856" s="3">
        <v>5.89</v>
      </c>
      <c r="G12856" s="3">
        <v>18.7</v>
      </c>
    </row>
    <row r="12857">
      <c r="A12857" s="3">
        <v>787915.0</v>
      </c>
      <c r="B12857" s="3" t="s">
        <v>12885</v>
      </c>
      <c r="C12857" s="3" t="s">
        <v>101</v>
      </c>
      <c r="D12857" s="3">
        <v>102.0</v>
      </c>
      <c r="E12857" s="3">
        <v>0.34</v>
      </c>
      <c r="F12857" s="3">
        <v>6.04</v>
      </c>
      <c r="G12857" s="3">
        <v>19.21</v>
      </c>
    </row>
    <row r="12858">
      <c r="A12858" s="3">
        <v>787916.0</v>
      </c>
      <c r="B12858" s="3" t="s">
        <v>12886</v>
      </c>
      <c r="C12858" s="3" t="s">
        <v>101</v>
      </c>
      <c r="D12858" s="3">
        <v>122.0</v>
      </c>
      <c r="E12858" s="3">
        <v>0.32</v>
      </c>
      <c r="F12858" s="3">
        <v>6.77</v>
      </c>
      <c r="G12858" s="3">
        <v>23.5</v>
      </c>
    </row>
    <row r="12859">
      <c r="A12859" s="3">
        <v>787917.0</v>
      </c>
      <c r="B12859" s="3" t="s">
        <v>12887</v>
      </c>
      <c r="C12859" s="3" t="s">
        <v>101</v>
      </c>
      <c r="D12859" s="3">
        <v>102.0</v>
      </c>
      <c r="E12859" s="3">
        <v>0.34</v>
      </c>
      <c r="F12859" s="3">
        <v>6.04</v>
      </c>
      <c r="G12859" s="3">
        <v>19.21</v>
      </c>
    </row>
    <row r="12860">
      <c r="A12860" s="3">
        <v>787918.0</v>
      </c>
      <c r="B12860" s="3" t="s">
        <v>12888</v>
      </c>
      <c r="C12860" s="3" t="s">
        <v>101</v>
      </c>
      <c r="D12860" s="3">
        <v>102.0</v>
      </c>
      <c r="E12860" s="3">
        <v>0.34</v>
      </c>
      <c r="F12860" s="3">
        <v>6.04</v>
      </c>
      <c r="G12860" s="3">
        <v>19.21</v>
      </c>
    </row>
    <row r="12861">
      <c r="A12861" s="3">
        <v>787919.0</v>
      </c>
      <c r="B12861" s="3" t="s">
        <v>12889</v>
      </c>
      <c r="C12861" s="3" t="s">
        <v>101</v>
      </c>
      <c r="D12861" s="3">
        <v>117.0</v>
      </c>
      <c r="E12861" s="3">
        <v>2.28</v>
      </c>
      <c r="F12861" s="3">
        <v>5.89</v>
      </c>
      <c r="G12861" s="3">
        <v>18.7</v>
      </c>
    </row>
    <row r="12862">
      <c r="A12862" s="3">
        <v>787920.0</v>
      </c>
      <c r="B12862" s="3" t="s">
        <v>12890</v>
      </c>
      <c r="C12862" s="3" t="s">
        <v>101</v>
      </c>
      <c r="D12862" s="3">
        <v>136.0</v>
      </c>
      <c r="E12862" s="3">
        <v>2.26</v>
      </c>
      <c r="F12862" s="3">
        <v>6.6</v>
      </c>
      <c r="G12862" s="3">
        <v>22.88</v>
      </c>
    </row>
    <row r="12863">
      <c r="A12863" s="3">
        <v>787921.0</v>
      </c>
      <c r="B12863" s="3" t="s">
        <v>12891</v>
      </c>
      <c r="C12863" s="3" t="s">
        <v>101</v>
      </c>
      <c r="D12863" s="3">
        <v>117.0</v>
      </c>
      <c r="E12863" s="3">
        <v>2.28</v>
      </c>
      <c r="F12863" s="3">
        <v>5.89</v>
      </c>
      <c r="G12863" s="3">
        <v>18.7</v>
      </c>
    </row>
    <row r="12864">
      <c r="A12864" s="3">
        <v>787922.0</v>
      </c>
      <c r="B12864" s="3" t="s">
        <v>12892</v>
      </c>
      <c r="C12864" s="3" t="s">
        <v>101</v>
      </c>
      <c r="D12864" s="3">
        <v>136.0</v>
      </c>
      <c r="E12864" s="3">
        <v>2.26</v>
      </c>
      <c r="F12864" s="3">
        <v>6.6</v>
      </c>
      <c r="G12864" s="3">
        <v>22.88</v>
      </c>
    </row>
    <row r="12865">
      <c r="A12865" s="3">
        <v>787923.0</v>
      </c>
      <c r="B12865" s="3" t="s">
        <v>12893</v>
      </c>
      <c r="C12865" s="3" t="s">
        <v>101</v>
      </c>
      <c r="D12865" s="3">
        <v>123.0</v>
      </c>
      <c r="E12865" s="3">
        <v>2.92</v>
      </c>
      <c r="F12865" s="3">
        <v>5.88</v>
      </c>
      <c r="G12865" s="3">
        <v>18.71</v>
      </c>
    </row>
    <row r="12866">
      <c r="A12866" s="3">
        <v>787924.0</v>
      </c>
      <c r="B12866" s="3" t="s">
        <v>12894</v>
      </c>
      <c r="C12866" s="3" t="s">
        <v>101</v>
      </c>
      <c r="D12866" s="3">
        <v>119.0</v>
      </c>
      <c r="E12866" s="3">
        <v>2.51</v>
      </c>
      <c r="F12866" s="3">
        <v>5.9</v>
      </c>
      <c r="G12866" s="3">
        <v>18.69</v>
      </c>
    </row>
    <row r="12867">
      <c r="A12867" s="3">
        <v>787925.0</v>
      </c>
      <c r="B12867" s="3" t="s">
        <v>12895</v>
      </c>
      <c r="C12867" s="3" t="s">
        <v>101</v>
      </c>
      <c r="D12867" s="3">
        <v>114.0</v>
      </c>
      <c r="E12867" s="3">
        <v>1.95</v>
      </c>
      <c r="F12867" s="3">
        <v>5.88</v>
      </c>
      <c r="G12867" s="3">
        <v>18.71</v>
      </c>
    </row>
    <row r="12868">
      <c r="A12868" s="3">
        <v>787926.0</v>
      </c>
      <c r="B12868" s="3" t="s">
        <v>12896</v>
      </c>
      <c r="C12868" s="3" t="s">
        <v>101</v>
      </c>
      <c r="D12868" s="3">
        <v>142.0</v>
      </c>
      <c r="E12868" s="3">
        <v>2.9</v>
      </c>
      <c r="F12868" s="3">
        <v>6.6</v>
      </c>
      <c r="G12868" s="3">
        <v>22.89</v>
      </c>
    </row>
    <row r="12869">
      <c r="A12869" s="3">
        <v>787927.0</v>
      </c>
      <c r="B12869" s="3" t="s">
        <v>12897</v>
      </c>
      <c r="C12869" s="3" t="s">
        <v>101</v>
      </c>
      <c r="D12869" s="3">
        <v>138.0</v>
      </c>
      <c r="E12869" s="3">
        <v>2.49</v>
      </c>
      <c r="F12869" s="3">
        <v>6.61</v>
      </c>
      <c r="G12869" s="3">
        <v>22.87</v>
      </c>
    </row>
    <row r="12870">
      <c r="A12870" s="3">
        <v>787928.0</v>
      </c>
      <c r="B12870" s="3" t="s">
        <v>12898</v>
      </c>
      <c r="C12870" s="3" t="s">
        <v>101</v>
      </c>
      <c r="D12870" s="3">
        <v>133.0</v>
      </c>
      <c r="E12870" s="3">
        <v>1.93</v>
      </c>
      <c r="F12870" s="3">
        <v>6.59</v>
      </c>
      <c r="G12870" s="3">
        <v>22.89</v>
      </c>
    </row>
    <row r="12871">
      <c r="A12871" s="3">
        <v>787929.0</v>
      </c>
      <c r="B12871" s="3" t="s">
        <v>12899</v>
      </c>
      <c r="C12871" s="3" t="s">
        <v>101</v>
      </c>
      <c r="D12871" s="3">
        <v>123.0</v>
      </c>
      <c r="E12871" s="3">
        <v>2.92</v>
      </c>
      <c r="F12871" s="3">
        <v>5.88</v>
      </c>
      <c r="G12871" s="3">
        <v>18.71</v>
      </c>
    </row>
    <row r="12872">
      <c r="A12872" s="3">
        <v>787930.0</v>
      </c>
      <c r="B12872" s="3" t="s">
        <v>12900</v>
      </c>
      <c r="C12872" s="3" t="s">
        <v>101</v>
      </c>
      <c r="D12872" s="3">
        <v>119.0</v>
      </c>
      <c r="E12872" s="3">
        <v>2.51</v>
      </c>
      <c r="F12872" s="3">
        <v>5.9</v>
      </c>
      <c r="G12872" s="3">
        <v>18.69</v>
      </c>
    </row>
    <row r="12873">
      <c r="A12873" s="3">
        <v>787931.0</v>
      </c>
      <c r="B12873" s="3" t="s">
        <v>12901</v>
      </c>
      <c r="C12873" s="3" t="s">
        <v>101</v>
      </c>
      <c r="D12873" s="3">
        <v>114.0</v>
      </c>
      <c r="E12873" s="3">
        <v>1.95</v>
      </c>
      <c r="F12873" s="3">
        <v>5.88</v>
      </c>
      <c r="G12873" s="3">
        <v>18.71</v>
      </c>
    </row>
    <row r="12874">
      <c r="A12874" s="3">
        <v>787932.0</v>
      </c>
      <c r="B12874" s="3" t="s">
        <v>12902</v>
      </c>
      <c r="C12874" s="3" t="s">
        <v>101</v>
      </c>
      <c r="D12874" s="3">
        <v>123.0</v>
      </c>
      <c r="E12874" s="3">
        <v>2.92</v>
      </c>
      <c r="F12874" s="3">
        <v>5.88</v>
      </c>
      <c r="G12874" s="3">
        <v>18.71</v>
      </c>
    </row>
    <row r="12875">
      <c r="A12875" s="3">
        <v>787933.0</v>
      </c>
      <c r="B12875" s="3" t="s">
        <v>12903</v>
      </c>
      <c r="C12875" s="3" t="s">
        <v>101</v>
      </c>
      <c r="D12875" s="3">
        <v>119.0</v>
      </c>
      <c r="E12875" s="3">
        <v>2.51</v>
      </c>
      <c r="F12875" s="3">
        <v>5.9</v>
      </c>
      <c r="G12875" s="3">
        <v>18.69</v>
      </c>
    </row>
    <row r="12876">
      <c r="A12876" s="3">
        <v>787934.0</v>
      </c>
      <c r="B12876" s="3" t="s">
        <v>12904</v>
      </c>
      <c r="C12876" s="3" t="s">
        <v>101</v>
      </c>
      <c r="D12876" s="3">
        <v>114.0</v>
      </c>
      <c r="E12876" s="3">
        <v>1.95</v>
      </c>
      <c r="F12876" s="3">
        <v>5.88</v>
      </c>
      <c r="G12876" s="3">
        <v>18.71</v>
      </c>
    </row>
    <row r="12877">
      <c r="A12877" s="3">
        <v>787935.0</v>
      </c>
      <c r="B12877" s="3" t="s">
        <v>12905</v>
      </c>
      <c r="C12877" s="3" t="s">
        <v>101</v>
      </c>
      <c r="D12877" s="3">
        <v>56.0</v>
      </c>
      <c r="E12877" s="3">
        <v>3.4</v>
      </c>
      <c r="F12877" s="3">
        <v>1.43</v>
      </c>
      <c r="G12877" s="3">
        <v>6.2</v>
      </c>
    </row>
    <row r="12878">
      <c r="A12878" s="3">
        <v>787936.0</v>
      </c>
      <c r="B12878" s="3" t="s">
        <v>12906</v>
      </c>
      <c r="C12878" s="3" t="s">
        <v>101</v>
      </c>
      <c r="D12878" s="3">
        <v>51.0</v>
      </c>
      <c r="E12878" s="3">
        <v>2.89</v>
      </c>
      <c r="F12878" s="3">
        <v>1.46</v>
      </c>
      <c r="G12878" s="3">
        <v>6.19</v>
      </c>
    </row>
    <row r="12879">
      <c r="A12879" s="3">
        <v>787937.0</v>
      </c>
      <c r="B12879" s="3" t="s">
        <v>12907</v>
      </c>
      <c r="C12879" s="3" t="s">
        <v>101</v>
      </c>
      <c r="D12879" s="3">
        <v>45.0</v>
      </c>
      <c r="E12879" s="3">
        <v>2.19</v>
      </c>
      <c r="F12879" s="3">
        <v>1.44</v>
      </c>
      <c r="G12879" s="3">
        <v>6.22</v>
      </c>
    </row>
    <row r="12880">
      <c r="A12880" s="3">
        <v>787938.0</v>
      </c>
      <c r="B12880" s="3" t="s">
        <v>12908</v>
      </c>
      <c r="C12880" s="3" t="s">
        <v>101</v>
      </c>
      <c r="D12880" s="3">
        <v>64.0</v>
      </c>
      <c r="E12880" s="3">
        <v>3.75</v>
      </c>
      <c r="F12880" s="3">
        <v>1.81</v>
      </c>
      <c r="G12880" s="3">
        <v>7.54</v>
      </c>
    </row>
    <row r="12881">
      <c r="A12881" s="3">
        <v>787939.0</v>
      </c>
      <c r="B12881" s="3" t="s">
        <v>12909</v>
      </c>
      <c r="C12881" s="3" t="s">
        <v>101</v>
      </c>
      <c r="D12881" s="3">
        <v>59.0</v>
      </c>
      <c r="E12881" s="3">
        <v>3.2</v>
      </c>
      <c r="F12881" s="3">
        <v>1.84</v>
      </c>
      <c r="G12881" s="3">
        <v>7.54</v>
      </c>
    </row>
    <row r="12882">
      <c r="A12882" s="3">
        <v>787940.0</v>
      </c>
      <c r="B12882" s="3" t="s">
        <v>12910</v>
      </c>
      <c r="C12882" s="3" t="s">
        <v>101</v>
      </c>
      <c r="D12882" s="3">
        <v>53.0</v>
      </c>
      <c r="E12882" s="3">
        <v>2.45</v>
      </c>
      <c r="F12882" s="3">
        <v>1.81</v>
      </c>
      <c r="G12882" s="3">
        <v>7.56</v>
      </c>
    </row>
    <row r="12883">
      <c r="A12883" s="3">
        <v>787941.0</v>
      </c>
      <c r="B12883" s="3" t="s">
        <v>12911</v>
      </c>
      <c r="C12883" s="3" t="s">
        <v>101</v>
      </c>
      <c r="D12883" s="3">
        <v>56.0</v>
      </c>
      <c r="E12883" s="3">
        <v>3.4</v>
      </c>
      <c r="F12883" s="3">
        <v>1.43</v>
      </c>
      <c r="G12883" s="3">
        <v>6.2</v>
      </c>
    </row>
    <row r="12884">
      <c r="A12884" s="3">
        <v>787942.0</v>
      </c>
      <c r="B12884" s="3" t="s">
        <v>12912</v>
      </c>
      <c r="C12884" s="3" t="s">
        <v>101</v>
      </c>
      <c r="D12884" s="3">
        <v>51.0</v>
      </c>
      <c r="E12884" s="3">
        <v>2.89</v>
      </c>
      <c r="F12884" s="3">
        <v>1.46</v>
      </c>
      <c r="G12884" s="3">
        <v>6.19</v>
      </c>
    </row>
    <row r="12885">
      <c r="A12885" s="3">
        <v>787943.0</v>
      </c>
      <c r="B12885" s="3" t="s">
        <v>12913</v>
      </c>
      <c r="C12885" s="3" t="s">
        <v>101</v>
      </c>
      <c r="D12885" s="3">
        <v>45.0</v>
      </c>
      <c r="E12885" s="3">
        <v>2.19</v>
      </c>
      <c r="F12885" s="3">
        <v>1.44</v>
      </c>
      <c r="G12885" s="3">
        <v>6.22</v>
      </c>
    </row>
    <row r="12886">
      <c r="A12886" s="3">
        <v>787944.0</v>
      </c>
      <c r="B12886" s="3" t="s">
        <v>12914</v>
      </c>
      <c r="C12886" s="3" t="s">
        <v>101</v>
      </c>
      <c r="D12886" s="3">
        <v>46.0</v>
      </c>
      <c r="E12886" s="3">
        <v>3.27</v>
      </c>
      <c r="F12886" s="3">
        <v>1.02</v>
      </c>
      <c r="G12886" s="3">
        <v>4.06</v>
      </c>
    </row>
    <row r="12887">
      <c r="A12887" s="3">
        <v>787945.0</v>
      </c>
      <c r="B12887" s="3" t="s">
        <v>12915</v>
      </c>
      <c r="C12887" s="3" t="s">
        <v>101</v>
      </c>
      <c r="D12887" s="3">
        <v>42.0</v>
      </c>
      <c r="E12887" s="3">
        <v>2.82</v>
      </c>
      <c r="F12887" s="3">
        <v>1.04</v>
      </c>
      <c r="G12887" s="3">
        <v>4.06</v>
      </c>
    </row>
    <row r="12888">
      <c r="A12888" s="3">
        <v>787946.0</v>
      </c>
      <c r="B12888" s="3" t="s">
        <v>12916</v>
      </c>
      <c r="C12888" s="3" t="s">
        <v>101</v>
      </c>
      <c r="D12888" s="3">
        <v>36.0</v>
      </c>
      <c r="E12888" s="3">
        <v>2.2</v>
      </c>
      <c r="F12888" s="3">
        <v>1.02</v>
      </c>
      <c r="G12888" s="3">
        <v>4.08</v>
      </c>
    </row>
    <row r="12889">
      <c r="A12889" s="3">
        <v>787947.0</v>
      </c>
      <c r="B12889" s="3" t="s">
        <v>12917</v>
      </c>
      <c r="C12889" s="3" t="s">
        <v>101</v>
      </c>
      <c r="D12889" s="3">
        <v>48.0</v>
      </c>
      <c r="E12889" s="3">
        <v>2.6</v>
      </c>
      <c r="F12889" s="3">
        <v>1.45</v>
      </c>
      <c r="G12889" s="3">
        <v>6.2</v>
      </c>
    </row>
    <row r="12890">
      <c r="A12890" s="3">
        <v>787948.0</v>
      </c>
      <c r="B12890" s="3" t="s">
        <v>12918</v>
      </c>
      <c r="C12890" s="3" t="s">
        <v>101</v>
      </c>
      <c r="D12890" s="3">
        <v>57.0</v>
      </c>
      <c r="E12890" s="3">
        <v>2.89</v>
      </c>
      <c r="F12890" s="3">
        <v>1.83</v>
      </c>
      <c r="G12890" s="3">
        <v>7.55</v>
      </c>
    </row>
    <row r="12891">
      <c r="A12891" s="3">
        <v>787949.0</v>
      </c>
      <c r="B12891" s="3" t="s">
        <v>12919</v>
      </c>
      <c r="C12891" s="3" t="s">
        <v>101</v>
      </c>
      <c r="D12891" s="3">
        <v>48.0</v>
      </c>
      <c r="E12891" s="3">
        <v>2.6</v>
      </c>
      <c r="F12891" s="3">
        <v>1.45</v>
      </c>
      <c r="G12891" s="3">
        <v>6.2</v>
      </c>
    </row>
    <row r="12892">
      <c r="A12892" s="3">
        <v>787950.0</v>
      </c>
      <c r="B12892" s="3" t="s">
        <v>12920</v>
      </c>
      <c r="C12892" s="3" t="s">
        <v>101</v>
      </c>
      <c r="D12892" s="3">
        <v>40.0</v>
      </c>
      <c r="E12892" s="3">
        <v>2.57</v>
      </c>
      <c r="F12892" s="3">
        <v>1.03</v>
      </c>
      <c r="G12892" s="3">
        <v>4.07</v>
      </c>
    </row>
    <row r="12893">
      <c r="A12893" s="3">
        <v>787951.0</v>
      </c>
      <c r="B12893" s="3" t="s">
        <v>12921</v>
      </c>
      <c r="C12893" s="3" t="s">
        <v>101</v>
      </c>
      <c r="D12893" s="3">
        <v>28.0</v>
      </c>
      <c r="E12893" s="3">
        <v>0.17</v>
      </c>
      <c r="F12893" s="3">
        <v>1.48</v>
      </c>
      <c r="G12893" s="3">
        <v>6.4</v>
      </c>
    </row>
    <row r="12894">
      <c r="A12894" s="3">
        <v>787952.0</v>
      </c>
      <c r="B12894" s="3" t="s">
        <v>12922</v>
      </c>
      <c r="C12894" s="3" t="s">
        <v>101</v>
      </c>
      <c r="D12894" s="3">
        <v>35.0</v>
      </c>
      <c r="E12894" s="3">
        <v>0.28</v>
      </c>
      <c r="F12894" s="3">
        <v>1.88</v>
      </c>
      <c r="G12894" s="3">
        <v>7.82</v>
      </c>
    </row>
    <row r="12895">
      <c r="A12895" s="3">
        <v>787953.0</v>
      </c>
      <c r="B12895" s="3" t="s">
        <v>12923</v>
      </c>
      <c r="C12895" s="3" t="s">
        <v>101</v>
      </c>
      <c r="D12895" s="3">
        <v>28.0</v>
      </c>
      <c r="E12895" s="3">
        <v>0.17</v>
      </c>
      <c r="F12895" s="3">
        <v>1.48</v>
      </c>
      <c r="G12895" s="3">
        <v>6.4</v>
      </c>
    </row>
    <row r="12896">
      <c r="A12896" s="3">
        <v>787954.0</v>
      </c>
      <c r="B12896" s="3" t="s">
        <v>12924</v>
      </c>
      <c r="C12896" s="3" t="s">
        <v>101</v>
      </c>
      <c r="D12896" s="3">
        <v>21.0</v>
      </c>
      <c r="E12896" s="3">
        <v>0.41</v>
      </c>
      <c r="F12896" s="3">
        <v>1.05</v>
      </c>
      <c r="G12896" s="3">
        <v>4.18</v>
      </c>
    </row>
    <row r="12897">
      <c r="A12897" s="3">
        <v>787955.0</v>
      </c>
      <c r="B12897" s="3" t="s">
        <v>12925</v>
      </c>
      <c r="C12897" s="3" t="s">
        <v>101</v>
      </c>
      <c r="D12897" s="3">
        <v>48.0</v>
      </c>
      <c r="E12897" s="3">
        <v>2.6</v>
      </c>
      <c r="F12897" s="3">
        <v>1.45</v>
      </c>
      <c r="G12897" s="3">
        <v>6.2</v>
      </c>
    </row>
    <row r="12898">
      <c r="A12898" s="3">
        <v>787956.0</v>
      </c>
      <c r="B12898" s="3" t="s">
        <v>12926</v>
      </c>
      <c r="C12898" s="3" t="s">
        <v>101</v>
      </c>
      <c r="D12898" s="3">
        <v>57.0</v>
      </c>
      <c r="E12898" s="3">
        <v>2.89</v>
      </c>
      <c r="F12898" s="3">
        <v>1.83</v>
      </c>
      <c r="G12898" s="3">
        <v>7.55</v>
      </c>
    </row>
    <row r="12899">
      <c r="A12899" s="3">
        <v>787957.0</v>
      </c>
      <c r="B12899" s="3" t="s">
        <v>12927</v>
      </c>
      <c r="C12899" s="3" t="s">
        <v>101</v>
      </c>
      <c r="D12899" s="3">
        <v>48.0</v>
      </c>
      <c r="E12899" s="3">
        <v>2.6</v>
      </c>
      <c r="F12899" s="3">
        <v>1.45</v>
      </c>
      <c r="G12899" s="3">
        <v>6.2</v>
      </c>
    </row>
    <row r="12900">
      <c r="A12900" s="3">
        <v>787958.0</v>
      </c>
      <c r="B12900" s="3" t="s">
        <v>12928</v>
      </c>
      <c r="C12900" s="3" t="s">
        <v>101</v>
      </c>
      <c r="D12900" s="3">
        <v>40.0</v>
      </c>
      <c r="E12900" s="3">
        <v>2.57</v>
      </c>
      <c r="F12900" s="3">
        <v>1.03</v>
      </c>
      <c r="G12900" s="3">
        <v>4.07</v>
      </c>
    </row>
    <row r="12901">
      <c r="A12901" s="3">
        <v>787959.0</v>
      </c>
      <c r="B12901" s="3" t="s">
        <v>12929</v>
      </c>
      <c r="C12901" s="3" t="s">
        <v>101</v>
      </c>
      <c r="D12901" s="3">
        <v>48.0</v>
      </c>
      <c r="E12901" s="3">
        <v>2.6</v>
      </c>
      <c r="F12901" s="3">
        <v>1.45</v>
      </c>
      <c r="G12901" s="3">
        <v>6.2</v>
      </c>
    </row>
    <row r="12902">
      <c r="A12902" s="3">
        <v>787960.0</v>
      </c>
      <c r="B12902" s="3" t="s">
        <v>12930</v>
      </c>
      <c r="C12902" s="3" t="s">
        <v>101</v>
      </c>
      <c r="D12902" s="3">
        <v>57.0</v>
      </c>
      <c r="E12902" s="3">
        <v>2.89</v>
      </c>
      <c r="F12902" s="3">
        <v>1.83</v>
      </c>
      <c r="G12902" s="3">
        <v>7.55</v>
      </c>
    </row>
    <row r="12903">
      <c r="A12903" s="3">
        <v>787961.0</v>
      </c>
      <c r="B12903" s="3" t="s">
        <v>12931</v>
      </c>
      <c r="C12903" s="3" t="s">
        <v>101</v>
      </c>
      <c r="D12903" s="3">
        <v>48.0</v>
      </c>
      <c r="E12903" s="3">
        <v>2.6</v>
      </c>
      <c r="F12903" s="3">
        <v>1.45</v>
      </c>
      <c r="G12903" s="3">
        <v>6.2</v>
      </c>
    </row>
    <row r="12904">
      <c r="A12904" s="3">
        <v>787962.0</v>
      </c>
      <c r="B12904" s="3" t="s">
        <v>12932</v>
      </c>
      <c r="C12904" s="3" t="s">
        <v>101</v>
      </c>
      <c r="D12904" s="3">
        <v>40.0</v>
      </c>
      <c r="E12904" s="3">
        <v>2.57</v>
      </c>
      <c r="F12904" s="3">
        <v>1.03</v>
      </c>
      <c r="G12904" s="3">
        <v>4.07</v>
      </c>
    </row>
    <row r="12905">
      <c r="A12905" s="3">
        <v>787963.0</v>
      </c>
      <c r="B12905" s="3" t="s">
        <v>12933</v>
      </c>
      <c r="C12905" s="3" t="s">
        <v>101</v>
      </c>
      <c r="D12905" s="3">
        <v>28.0</v>
      </c>
      <c r="E12905" s="3">
        <v>0.17</v>
      </c>
      <c r="F12905" s="3">
        <v>1.48</v>
      </c>
      <c r="G12905" s="3">
        <v>6.4</v>
      </c>
    </row>
    <row r="12906">
      <c r="A12906" s="3">
        <v>787964.0</v>
      </c>
      <c r="B12906" s="3" t="s">
        <v>12934</v>
      </c>
      <c r="C12906" s="3" t="s">
        <v>101</v>
      </c>
      <c r="D12906" s="3">
        <v>35.0</v>
      </c>
      <c r="E12906" s="3">
        <v>0.28</v>
      </c>
      <c r="F12906" s="3">
        <v>1.88</v>
      </c>
      <c r="G12906" s="3">
        <v>7.82</v>
      </c>
    </row>
    <row r="12907">
      <c r="A12907" s="3">
        <v>787965.0</v>
      </c>
      <c r="B12907" s="3" t="s">
        <v>12935</v>
      </c>
      <c r="C12907" s="3" t="s">
        <v>101</v>
      </c>
      <c r="D12907" s="3">
        <v>28.0</v>
      </c>
      <c r="E12907" s="3">
        <v>0.17</v>
      </c>
      <c r="F12907" s="3">
        <v>1.48</v>
      </c>
      <c r="G12907" s="3">
        <v>6.4</v>
      </c>
    </row>
    <row r="12908">
      <c r="A12908" s="3">
        <v>787966.0</v>
      </c>
      <c r="B12908" s="3" t="s">
        <v>12936</v>
      </c>
      <c r="C12908" s="3" t="s">
        <v>101</v>
      </c>
      <c r="D12908" s="3">
        <v>21.0</v>
      </c>
      <c r="E12908" s="3">
        <v>0.41</v>
      </c>
      <c r="F12908" s="3">
        <v>1.05</v>
      </c>
      <c r="G12908" s="3">
        <v>4.18</v>
      </c>
    </row>
    <row r="12909">
      <c r="A12909" s="3">
        <v>787967.0</v>
      </c>
      <c r="B12909" s="3" t="s">
        <v>12937</v>
      </c>
      <c r="C12909" s="3" t="s">
        <v>101</v>
      </c>
      <c r="D12909" s="3">
        <v>48.0</v>
      </c>
      <c r="E12909" s="3">
        <v>2.6</v>
      </c>
      <c r="F12909" s="3">
        <v>1.45</v>
      </c>
      <c r="G12909" s="3">
        <v>6.2</v>
      </c>
    </row>
    <row r="12910">
      <c r="A12910" s="3">
        <v>787968.0</v>
      </c>
      <c r="B12910" s="3" t="s">
        <v>12938</v>
      </c>
      <c r="C12910" s="3" t="s">
        <v>101</v>
      </c>
      <c r="D12910" s="3">
        <v>57.0</v>
      </c>
      <c r="E12910" s="3">
        <v>2.89</v>
      </c>
      <c r="F12910" s="3">
        <v>1.83</v>
      </c>
      <c r="G12910" s="3">
        <v>7.55</v>
      </c>
    </row>
    <row r="12911">
      <c r="A12911" s="3">
        <v>787969.0</v>
      </c>
      <c r="B12911" s="3" t="s">
        <v>12939</v>
      </c>
      <c r="C12911" s="3" t="s">
        <v>101</v>
      </c>
      <c r="D12911" s="3">
        <v>48.0</v>
      </c>
      <c r="E12911" s="3">
        <v>2.6</v>
      </c>
      <c r="F12911" s="3">
        <v>1.45</v>
      </c>
      <c r="G12911" s="3">
        <v>6.2</v>
      </c>
    </row>
    <row r="12912">
      <c r="A12912" s="3">
        <v>787970.0</v>
      </c>
      <c r="B12912" s="3" t="s">
        <v>12940</v>
      </c>
      <c r="C12912" s="3" t="s">
        <v>101</v>
      </c>
      <c r="D12912" s="3">
        <v>40.0</v>
      </c>
      <c r="E12912" s="3">
        <v>2.57</v>
      </c>
      <c r="F12912" s="3">
        <v>1.03</v>
      </c>
      <c r="G12912" s="3">
        <v>4.07</v>
      </c>
    </row>
    <row r="12913">
      <c r="A12913" s="3">
        <v>787971.0</v>
      </c>
      <c r="B12913" s="3" t="s">
        <v>12941</v>
      </c>
      <c r="C12913" s="3" t="s">
        <v>101</v>
      </c>
      <c r="D12913" s="3">
        <v>56.0</v>
      </c>
      <c r="E12913" s="3">
        <v>3.4</v>
      </c>
      <c r="F12913" s="3">
        <v>1.43</v>
      </c>
      <c r="G12913" s="3">
        <v>6.2</v>
      </c>
    </row>
    <row r="12914">
      <c r="A12914" s="3">
        <v>787972.0</v>
      </c>
      <c r="B12914" s="3" t="s">
        <v>12942</v>
      </c>
      <c r="C12914" s="3" t="s">
        <v>101</v>
      </c>
      <c r="D12914" s="3">
        <v>51.0</v>
      </c>
      <c r="E12914" s="3">
        <v>2.89</v>
      </c>
      <c r="F12914" s="3">
        <v>1.46</v>
      </c>
      <c r="G12914" s="3">
        <v>6.19</v>
      </c>
    </row>
    <row r="12915">
      <c r="A12915" s="3">
        <v>787973.0</v>
      </c>
      <c r="B12915" s="3" t="s">
        <v>12943</v>
      </c>
      <c r="C12915" s="3" t="s">
        <v>101</v>
      </c>
      <c r="D12915" s="3">
        <v>45.0</v>
      </c>
      <c r="E12915" s="3">
        <v>2.19</v>
      </c>
      <c r="F12915" s="3">
        <v>1.44</v>
      </c>
      <c r="G12915" s="3">
        <v>6.22</v>
      </c>
    </row>
    <row r="12916">
      <c r="A12916" s="3">
        <v>787974.0</v>
      </c>
      <c r="B12916" s="3" t="s">
        <v>12944</v>
      </c>
      <c r="C12916" s="3" t="s">
        <v>101</v>
      </c>
      <c r="D12916" s="3">
        <v>64.0</v>
      </c>
      <c r="E12916" s="3">
        <v>3.75</v>
      </c>
      <c r="F12916" s="3">
        <v>1.81</v>
      </c>
      <c r="G12916" s="3">
        <v>7.54</v>
      </c>
    </row>
    <row r="12917">
      <c r="A12917" s="3">
        <v>787975.0</v>
      </c>
      <c r="B12917" s="3" t="s">
        <v>12945</v>
      </c>
      <c r="C12917" s="3" t="s">
        <v>101</v>
      </c>
      <c r="D12917" s="3">
        <v>59.0</v>
      </c>
      <c r="E12917" s="3">
        <v>3.2</v>
      </c>
      <c r="F12917" s="3">
        <v>1.84</v>
      </c>
      <c r="G12917" s="3">
        <v>7.54</v>
      </c>
    </row>
    <row r="12918">
      <c r="A12918" s="3">
        <v>787976.0</v>
      </c>
      <c r="B12918" s="3" t="s">
        <v>12946</v>
      </c>
      <c r="C12918" s="3" t="s">
        <v>101</v>
      </c>
      <c r="D12918" s="3">
        <v>53.0</v>
      </c>
      <c r="E12918" s="3">
        <v>2.45</v>
      </c>
      <c r="F12918" s="3">
        <v>1.81</v>
      </c>
      <c r="G12918" s="3">
        <v>7.56</v>
      </c>
    </row>
    <row r="12919">
      <c r="A12919" s="3">
        <v>787977.0</v>
      </c>
      <c r="B12919" s="3" t="s">
        <v>12947</v>
      </c>
      <c r="C12919" s="3" t="s">
        <v>101</v>
      </c>
      <c r="D12919" s="3">
        <v>56.0</v>
      </c>
      <c r="E12919" s="3">
        <v>3.4</v>
      </c>
      <c r="F12919" s="3">
        <v>1.43</v>
      </c>
      <c r="G12919" s="3">
        <v>6.2</v>
      </c>
    </row>
    <row r="12920">
      <c r="A12920" s="3">
        <v>787978.0</v>
      </c>
      <c r="B12920" s="3" t="s">
        <v>12948</v>
      </c>
      <c r="C12920" s="3" t="s">
        <v>101</v>
      </c>
      <c r="D12920" s="3">
        <v>51.0</v>
      </c>
      <c r="E12920" s="3">
        <v>2.89</v>
      </c>
      <c r="F12920" s="3">
        <v>1.46</v>
      </c>
      <c r="G12920" s="3">
        <v>6.19</v>
      </c>
    </row>
    <row r="12921">
      <c r="A12921" s="3">
        <v>787979.0</v>
      </c>
      <c r="B12921" s="3" t="s">
        <v>12949</v>
      </c>
      <c r="C12921" s="3" t="s">
        <v>101</v>
      </c>
      <c r="D12921" s="3">
        <v>45.0</v>
      </c>
      <c r="E12921" s="3">
        <v>2.19</v>
      </c>
      <c r="F12921" s="3">
        <v>1.44</v>
      </c>
      <c r="G12921" s="3">
        <v>6.22</v>
      </c>
    </row>
    <row r="12922">
      <c r="A12922" s="3">
        <v>787980.0</v>
      </c>
      <c r="B12922" s="3" t="s">
        <v>12950</v>
      </c>
      <c r="C12922" s="3" t="s">
        <v>101</v>
      </c>
      <c r="D12922" s="3">
        <v>46.0</v>
      </c>
      <c r="E12922" s="3">
        <v>3.27</v>
      </c>
      <c r="F12922" s="3">
        <v>1.02</v>
      </c>
      <c r="G12922" s="3">
        <v>4.06</v>
      </c>
    </row>
    <row r="12923">
      <c r="A12923" s="3">
        <v>787981.0</v>
      </c>
      <c r="B12923" s="3" t="s">
        <v>12951</v>
      </c>
      <c r="C12923" s="3" t="s">
        <v>101</v>
      </c>
      <c r="D12923" s="3">
        <v>42.0</v>
      </c>
      <c r="E12923" s="3">
        <v>2.82</v>
      </c>
      <c r="F12923" s="3">
        <v>1.04</v>
      </c>
      <c r="G12923" s="3">
        <v>4.06</v>
      </c>
    </row>
    <row r="12924">
      <c r="A12924" s="3">
        <v>787982.0</v>
      </c>
      <c r="B12924" s="3" t="s">
        <v>12952</v>
      </c>
      <c r="C12924" s="3" t="s">
        <v>101</v>
      </c>
      <c r="D12924" s="3">
        <v>36.0</v>
      </c>
      <c r="E12924" s="3">
        <v>2.2</v>
      </c>
      <c r="F12924" s="3">
        <v>1.02</v>
      </c>
      <c r="G12924" s="3">
        <v>4.08</v>
      </c>
    </row>
    <row r="12925">
      <c r="A12925" s="3">
        <v>787983.0</v>
      </c>
      <c r="B12925" s="3" t="s">
        <v>12953</v>
      </c>
      <c r="C12925" s="3" t="s">
        <v>101</v>
      </c>
      <c r="D12925" s="3">
        <v>41.0</v>
      </c>
      <c r="E12925" s="3">
        <v>2.62</v>
      </c>
      <c r="F12925" s="3">
        <v>1.1</v>
      </c>
      <c r="G12925" s="3">
        <v>4.2</v>
      </c>
    </row>
    <row r="12926">
      <c r="A12926" s="3">
        <v>787985.0</v>
      </c>
      <c r="B12926" s="3" t="s">
        <v>12954</v>
      </c>
      <c r="C12926" s="3" t="s">
        <v>101</v>
      </c>
      <c r="D12926" s="3">
        <v>41.0</v>
      </c>
      <c r="E12926" s="3">
        <v>2.62</v>
      </c>
      <c r="F12926" s="3">
        <v>1.1</v>
      </c>
      <c r="G12926" s="3">
        <v>4.2</v>
      </c>
    </row>
    <row r="12927">
      <c r="A12927" s="3">
        <v>787986.0</v>
      </c>
      <c r="B12927" s="3" t="s">
        <v>12955</v>
      </c>
      <c r="C12927" s="3" t="s">
        <v>101</v>
      </c>
      <c r="D12927" s="3">
        <v>47.0</v>
      </c>
      <c r="E12927" s="3">
        <v>3.33</v>
      </c>
      <c r="F12927" s="3">
        <v>1.09</v>
      </c>
      <c r="G12927" s="3">
        <v>4.2</v>
      </c>
    </row>
    <row r="12928">
      <c r="A12928" s="3">
        <v>787987.0</v>
      </c>
      <c r="B12928" s="3" t="s">
        <v>12956</v>
      </c>
      <c r="C12928" s="3" t="s">
        <v>101</v>
      </c>
      <c r="D12928" s="3">
        <v>43.0</v>
      </c>
      <c r="E12928" s="3">
        <v>2.88</v>
      </c>
      <c r="F12928" s="3">
        <v>1.11</v>
      </c>
      <c r="G12928" s="3">
        <v>4.19</v>
      </c>
    </row>
    <row r="12929">
      <c r="A12929" s="3">
        <v>787988.0</v>
      </c>
      <c r="B12929" s="3" t="s">
        <v>12957</v>
      </c>
      <c r="C12929" s="3" t="s">
        <v>101</v>
      </c>
      <c r="D12929" s="3">
        <v>37.0</v>
      </c>
      <c r="E12929" s="3">
        <v>2.26</v>
      </c>
      <c r="F12929" s="3">
        <v>1.09</v>
      </c>
      <c r="G12929" s="3">
        <v>4.22</v>
      </c>
    </row>
    <row r="12930">
      <c r="A12930" s="3">
        <v>787989.0</v>
      </c>
      <c r="B12930" s="3" t="s">
        <v>12958</v>
      </c>
      <c r="C12930" s="3" t="s">
        <v>101</v>
      </c>
      <c r="D12930" s="3">
        <v>48.0</v>
      </c>
      <c r="E12930" s="3">
        <v>2.6</v>
      </c>
      <c r="F12930" s="3">
        <v>1.45</v>
      </c>
      <c r="G12930" s="3">
        <v>6.2</v>
      </c>
    </row>
    <row r="12931">
      <c r="A12931" s="3">
        <v>787990.0</v>
      </c>
      <c r="B12931" s="3" t="s">
        <v>12959</v>
      </c>
      <c r="C12931" s="3" t="s">
        <v>101</v>
      </c>
      <c r="D12931" s="3">
        <v>57.0</v>
      </c>
      <c r="E12931" s="3">
        <v>2.89</v>
      </c>
      <c r="F12931" s="3">
        <v>1.83</v>
      </c>
      <c r="G12931" s="3">
        <v>7.55</v>
      </c>
    </row>
    <row r="12932">
      <c r="A12932" s="3">
        <v>787991.0</v>
      </c>
      <c r="B12932" s="3" t="s">
        <v>12960</v>
      </c>
      <c r="C12932" s="3" t="s">
        <v>101</v>
      </c>
      <c r="D12932" s="3">
        <v>48.0</v>
      </c>
      <c r="E12932" s="3">
        <v>2.6</v>
      </c>
      <c r="F12932" s="3">
        <v>1.45</v>
      </c>
      <c r="G12932" s="3">
        <v>6.2</v>
      </c>
    </row>
    <row r="12933">
      <c r="A12933" s="3">
        <v>787992.0</v>
      </c>
      <c r="B12933" s="3" t="s">
        <v>12961</v>
      </c>
      <c r="C12933" s="3" t="s">
        <v>101</v>
      </c>
      <c r="D12933" s="3">
        <v>39.0</v>
      </c>
      <c r="E12933" s="3">
        <v>2.27</v>
      </c>
      <c r="F12933" s="3">
        <v>1.13</v>
      </c>
      <c r="G12933" s="3">
        <v>4.36</v>
      </c>
    </row>
    <row r="12934">
      <c r="A12934" s="3">
        <v>787993.0</v>
      </c>
      <c r="B12934" s="3" t="s">
        <v>12962</v>
      </c>
      <c r="C12934" s="3" t="s">
        <v>101</v>
      </c>
      <c r="D12934" s="3">
        <v>48.0</v>
      </c>
      <c r="E12934" s="3">
        <v>2.6</v>
      </c>
      <c r="F12934" s="3">
        <v>1.45</v>
      </c>
      <c r="G12934" s="3">
        <v>6.2</v>
      </c>
    </row>
    <row r="12935">
      <c r="A12935" s="3">
        <v>787994.0</v>
      </c>
      <c r="B12935" s="3" t="s">
        <v>12963</v>
      </c>
      <c r="C12935" s="3" t="s">
        <v>101</v>
      </c>
      <c r="D12935" s="3">
        <v>35.0</v>
      </c>
      <c r="E12935" s="3">
        <v>0.28</v>
      </c>
      <c r="F12935" s="3">
        <v>1.88</v>
      </c>
      <c r="G12935" s="3">
        <v>7.82</v>
      </c>
    </row>
    <row r="12936">
      <c r="A12936" s="3">
        <v>787995.0</v>
      </c>
      <c r="B12936" s="3" t="s">
        <v>12964</v>
      </c>
      <c r="C12936" s="3" t="s">
        <v>101</v>
      </c>
      <c r="D12936" s="3">
        <v>28.0</v>
      </c>
      <c r="E12936" s="3">
        <v>0.17</v>
      </c>
      <c r="F12936" s="3">
        <v>1.48</v>
      </c>
      <c r="G12936" s="3">
        <v>6.4</v>
      </c>
    </row>
    <row r="12937">
      <c r="A12937" s="3">
        <v>787996.0</v>
      </c>
      <c r="B12937" s="3" t="s">
        <v>12965</v>
      </c>
      <c r="C12937" s="3" t="s">
        <v>101</v>
      </c>
      <c r="D12937" s="3">
        <v>20.0</v>
      </c>
      <c r="E12937" s="3">
        <v>0.1</v>
      </c>
      <c r="F12937" s="3">
        <v>1.15</v>
      </c>
      <c r="G12937" s="3">
        <v>4.49</v>
      </c>
    </row>
    <row r="12938">
      <c r="A12938" s="3">
        <v>787997.0</v>
      </c>
      <c r="B12938" s="3" t="s">
        <v>12966</v>
      </c>
      <c r="C12938" s="3" t="s">
        <v>101</v>
      </c>
      <c r="D12938" s="3">
        <v>48.0</v>
      </c>
      <c r="E12938" s="3">
        <v>2.6</v>
      </c>
      <c r="F12938" s="3">
        <v>1.45</v>
      </c>
      <c r="G12938" s="3">
        <v>6.2</v>
      </c>
    </row>
    <row r="12939">
      <c r="A12939" s="3">
        <v>787998.0</v>
      </c>
      <c r="B12939" s="3" t="s">
        <v>12967</v>
      </c>
      <c r="C12939" s="3" t="s">
        <v>101</v>
      </c>
      <c r="D12939" s="3">
        <v>57.0</v>
      </c>
      <c r="E12939" s="3">
        <v>2.89</v>
      </c>
      <c r="F12939" s="3">
        <v>1.83</v>
      </c>
      <c r="G12939" s="3">
        <v>7.55</v>
      </c>
    </row>
    <row r="12940">
      <c r="A12940" s="3">
        <v>787999.0</v>
      </c>
      <c r="B12940" s="3" t="s">
        <v>12968</v>
      </c>
      <c r="C12940" s="3" t="s">
        <v>101</v>
      </c>
      <c r="D12940" s="3">
        <v>48.0</v>
      </c>
      <c r="E12940" s="3">
        <v>2.6</v>
      </c>
      <c r="F12940" s="3">
        <v>1.45</v>
      </c>
      <c r="G12940" s="3">
        <v>6.2</v>
      </c>
    </row>
    <row r="12941">
      <c r="A12941" s="3">
        <v>788000.0</v>
      </c>
      <c r="B12941" s="3" t="s">
        <v>12969</v>
      </c>
      <c r="C12941" s="3" t="s">
        <v>101</v>
      </c>
      <c r="D12941" s="3">
        <v>39.0</v>
      </c>
      <c r="E12941" s="3">
        <v>2.27</v>
      </c>
      <c r="F12941" s="3">
        <v>1.13</v>
      </c>
      <c r="G12941" s="3">
        <v>4.36</v>
      </c>
    </row>
    <row r="12942">
      <c r="A12942" s="3">
        <v>788001.0</v>
      </c>
      <c r="B12942" s="3" t="s">
        <v>12970</v>
      </c>
      <c r="C12942" s="3" t="s">
        <v>101</v>
      </c>
      <c r="D12942" s="3">
        <v>56.0</v>
      </c>
      <c r="E12942" s="3">
        <v>3.4</v>
      </c>
      <c r="F12942" s="3">
        <v>1.43</v>
      </c>
      <c r="G12942" s="3">
        <v>6.2</v>
      </c>
    </row>
    <row r="12943">
      <c r="A12943" s="3">
        <v>788002.0</v>
      </c>
      <c r="B12943" s="3" t="s">
        <v>12971</v>
      </c>
      <c r="C12943" s="3" t="s">
        <v>101</v>
      </c>
      <c r="D12943" s="3">
        <v>51.0</v>
      </c>
      <c r="E12943" s="3">
        <v>2.89</v>
      </c>
      <c r="F12943" s="3">
        <v>1.46</v>
      </c>
      <c r="G12943" s="3">
        <v>6.19</v>
      </c>
    </row>
    <row r="12944">
      <c r="A12944" s="3">
        <v>788003.0</v>
      </c>
      <c r="B12944" s="3" t="s">
        <v>12972</v>
      </c>
      <c r="C12944" s="3" t="s">
        <v>101</v>
      </c>
      <c r="D12944" s="3">
        <v>45.0</v>
      </c>
      <c r="E12944" s="3">
        <v>2.19</v>
      </c>
      <c r="F12944" s="3">
        <v>1.44</v>
      </c>
      <c r="G12944" s="3">
        <v>6.22</v>
      </c>
    </row>
    <row r="12945">
      <c r="A12945" s="3">
        <v>788004.0</v>
      </c>
      <c r="B12945" s="3" t="s">
        <v>12973</v>
      </c>
      <c r="C12945" s="3" t="s">
        <v>101</v>
      </c>
      <c r="D12945" s="3">
        <v>64.0</v>
      </c>
      <c r="E12945" s="3">
        <v>3.75</v>
      </c>
      <c r="F12945" s="3">
        <v>1.81</v>
      </c>
      <c r="G12945" s="3">
        <v>7.54</v>
      </c>
    </row>
    <row r="12946">
      <c r="A12946" s="3">
        <v>788005.0</v>
      </c>
      <c r="B12946" s="3" t="s">
        <v>12974</v>
      </c>
      <c r="C12946" s="3" t="s">
        <v>101</v>
      </c>
      <c r="D12946" s="3">
        <v>59.0</v>
      </c>
      <c r="E12946" s="3">
        <v>3.2</v>
      </c>
      <c r="F12946" s="3">
        <v>1.84</v>
      </c>
      <c r="G12946" s="3">
        <v>7.54</v>
      </c>
    </row>
    <row r="12947">
      <c r="A12947" s="3">
        <v>788006.0</v>
      </c>
      <c r="B12947" s="3" t="s">
        <v>12975</v>
      </c>
      <c r="C12947" s="3" t="s">
        <v>101</v>
      </c>
      <c r="D12947" s="3">
        <v>53.0</v>
      </c>
      <c r="E12947" s="3">
        <v>2.45</v>
      </c>
      <c r="F12947" s="3">
        <v>1.81</v>
      </c>
      <c r="G12947" s="3">
        <v>7.56</v>
      </c>
    </row>
    <row r="12948">
      <c r="A12948" s="3">
        <v>788007.0</v>
      </c>
      <c r="B12948" s="3" t="s">
        <v>12976</v>
      </c>
      <c r="C12948" s="3" t="s">
        <v>101</v>
      </c>
      <c r="D12948" s="3">
        <v>56.0</v>
      </c>
      <c r="E12948" s="3">
        <v>3.4</v>
      </c>
      <c r="F12948" s="3">
        <v>1.43</v>
      </c>
      <c r="G12948" s="3">
        <v>6.2</v>
      </c>
    </row>
    <row r="12949">
      <c r="A12949" s="3">
        <v>788008.0</v>
      </c>
      <c r="B12949" s="3" t="s">
        <v>12977</v>
      </c>
      <c r="C12949" s="3" t="s">
        <v>101</v>
      </c>
      <c r="D12949" s="3">
        <v>51.0</v>
      </c>
      <c r="E12949" s="3">
        <v>2.89</v>
      </c>
      <c r="F12949" s="3">
        <v>1.46</v>
      </c>
      <c r="G12949" s="3">
        <v>6.19</v>
      </c>
    </row>
    <row r="12950">
      <c r="A12950" s="3">
        <v>788009.0</v>
      </c>
      <c r="B12950" s="3" t="s">
        <v>12978</v>
      </c>
      <c r="C12950" s="3" t="s">
        <v>101</v>
      </c>
      <c r="D12950" s="3">
        <v>45.0</v>
      </c>
      <c r="E12950" s="3">
        <v>2.19</v>
      </c>
      <c r="F12950" s="3">
        <v>1.44</v>
      </c>
      <c r="G12950" s="3">
        <v>6.22</v>
      </c>
    </row>
    <row r="12951">
      <c r="A12951" s="3">
        <v>788010.0</v>
      </c>
      <c r="B12951" s="3" t="s">
        <v>12979</v>
      </c>
      <c r="C12951" s="3" t="s">
        <v>101</v>
      </c>
      <c r="D12951" s="3">
        <v>45.0</v>
      </c>
      <c r="E12951" s="3">
        <v>2.97</v>
      </c>
      <c r="F12951" s="3">
        <v>1.11</v>
      </c>
      <c r="G12951" s="3">
        <v>4.36</v>
      </c>
    </row>
    <row r="12952">
      <c r="A12952" s="3">
        <v>788011.0</v>
      </c>
      <c r="B12952" s="3" t="s">
        <v>12980</v>
      </c>
      <c r="C12952" s="3" t="s">
        <v>101</v>
      </c>
      <c r="D12952" s="3">
        <v>41.0</v>
      </c>
      <c r="E12952" s="3">
        <v>2.52</v>
      </c>
      <c r="F12952" s="3">
        <v>1.14</v>
      </c>
      <c r="G12952" s="3">
        <v>4.36</v>
      </c>
    </row>
    <row r="12953">
      <c r="A12953" s="3">
        <v>788012.0</v>
      </c>
      <c r="B12953" s="3" t="s">
        <v>12981</v>
      </c>
      <c r="C12953" s="3" t="s">
        <v>101</v>
      </c>
      <c r="D12953" s="3">
        <v>35.0</v>
      </c>
      <c r="E12953" s="3">
        <v>1.9</v>
      </c>
      <c r="F12953" s="3">
        <v>1.12</v>
      </c>
      <c r="G12953" s="3">
        <v>4.38</v>
      </c>
    </row>
    <row r="12954">
      <c r="A12954" s="3">
        <v>788013.0</v>
      </c>
      <c r="B12954" s="3" t="s">
        <v>12982</v>
      </c>
      <c r="C12954" s="3" t="s">
        <v>101</v>
      </c>
      <c r="D12954" s="3">
        <v>80.0</v>
      </c>
      <c r="E12954" s="3">
        <v>5.84</v>
      </c>
      <c r="F12954" s="3">
        <v>4.57</v>
      </c>
      <c r="G12954" s="3">
        <v>4.95</v>
      </c>
    </row>
    <row r="12955">
      <c r="A12955" s="3">
        <v>788014.0</v>
      </c>
      <c r="B12955" s="3" t="s">
        <v>12983</v>
      </c>
      <c r="C12955" s="3" t="s">
        <v>101</v>
      </c>
      <c r="D12955" s="3">
        <v>80.0</v>
      </c>
      <c r="E12955" s="3">
        <v>5.84</v>
      </c>
      <c r="F12955" s="3">
        <v>4.57</v>
      </c>
      <c r="G12955" s="3">
        <v>4.95</v>
      </c>
    </row>
    <row r="12956">
      <c r="A12956" s="3">
        <v>788017.0</v>
      </c>
      <c r="B12956" s="3" t="s">
        <v>12984</v>
      </c>
      <c r="C12956" s="3" t="s">
        <v>101</v>
      </c>
      <c r="D12956" s="3">
        <v>80.0</v>
      </c>
      <c r="E12956" s="3">
        <v>5.84</v>
      </c>
      <c r="F12956" s="3">
        <v>4.57</v>
      </c>
      <c r="G12956" s="3">
        <v>4.95</v>
      </c>
    </row>
    <row r="12957">
      <c r="A12957" s="3">
        <v>788018.0</v>
      </c>
      <c r="B12957" s="3" t="s">
        <v>12985</v>
      </c>
      <c r="C12957" s="3" t="s">
        <v>101</v>
      </c>
      <c r="D12957" s="3">
        <v>80.0</v>
      </c>
      <c r="E12957" s="3">
        <v>5.84</v>
      </c>
      <c r="F12957" s="3">
        <v>4.57</v>
      </c>
      <c r="G12957" s="3">
        <v>4.95</v>
      </c>
    </row>
    <row r="12958">
      <c r="A12958" s="3">
        <v>788019.0</v>
      </c>
      <c r="B12958" s="3" t="s">
        <v>12986</v>
      </c>
      <c r="C12958" s="3" t="s">
        <v>101</v>
      </c>
      <c r="D12958" s="3">
        <v>60.0</v>
      </c>
      <c r="E12958" s="3">
        <v>2.13</v>
      </c>
      <c r="F12958" s="3">
        <v>1.64</v>
      </c>
      <c r="G12958" s="3">
        <v>9.65</v>
      </c>
    </row>
    <row r="12959">
      <c r="A12959" s="3">
        <v>788020.0</v>
      </c>
      <c r="B12959" s="3" t="s">
        <v>12987</v>
      </c>
      <c r="C12959" s="3" t="s">
        <v>101</v>
      </c>
      <c r="D12959" s="3">
        <v>60.0</v>
      </c>
      <c r="E12959" s="3">
        <v>2.13</v>
      </c>
      <c r="F12959" s="3">
        <v>1.64</v>
      </c>
      <c r="G12959" s="3">
        <v>9.65</v>
      </c>
    </row>
    <row r="12960">
      <c r="A12960" s="3">
        <v>788021.0</v>
      </c>
      <c r="B12960" s="3" t="s">
        <v>12988</v>
      </c>
      <c r="C12960" s="3" t="s">
        <v>101</v>
      </c>
      <c r="D12960" s="3">
        <v>60.0</v>
      </c>
      <c r="E12960" s="3">
        <v>2.13</v>
      </c>
      <c r="F12960" s="3">
        <v>1.64</v>
      </c>
      <c r="G12960" s="3">
        <v>9.65</v>
      </c>
    </row>
    <row r="12961">
      <c r="A12961" s="3">
        <v>788022.0</v>
      </c>
      <c r="B12961" s="3" t="s">
        <v>12989</v>
      </c>
      <c r="C12961" s="3" t="s">
        <v>101</v>
      </c>
      <c r="D12961" s="3">
        <v>47.0</v>
      </c>
      <c r="E12961" s="3">
        <v>2.09</v>
      </c>
      <c r="F12961" s="3">
        <v>0.9</v>
      </c>
      <c r="G12961" s="3">
        <v>6.98</v>
      </c>
    </row>
    <row r="12962">
      <c r="A12962" s="3">
        <v>788023.0</v>
      </c>
      <c r="B12962" s="3" t="s">
        <v>12990</v>
      </c>
      <c r="C12962" s="3" t="s">
        <v>101</v>
      </c>
      <c r="D12962" s="3">
        <v>44.0</v>
      </c>
      <c r="E12962" s="3">
        <v>0.18</v>
      </c>
      <c r="F12962" s="3">
        <v>1.67</v>
      </c>
      <c r="G12962" s="3">
        <v>9.9</v>
      </c>
    </row>
    <row r="12963">
      <c r="A12963" s="3">
        <v>788024.0</v>
      </c>
      <c r="B12963" s="3" t="s">
        <v>12991</v>
      </c>
      <c r="C12963" s="3" t="s">
        <v>101</v>
      </c>
      <c r="D12963" s="3">
        <v>44.0</v>
      </c>
      <c r="E12963" s="3">
        <v>0.18</v>
      </c>
      <c r="F12963" s="3">
        <v>1.67</v>
      </c>
      <c r="G12963" s="3">
        <v>9.9</v>
      </c>
    </row>
    <row r="12964">
      <c r="A12964" s="3">
        <v>788025.0</v>
      </c>
      <c r="B12964" s="3" t="s">
        <v>12992</v>
      </c>
      <c r="C12964" s="3" t="s">
        <v>101</v>
      </c>
      <c r="D12964" s="3">
        <v>44.0</v>
      </c>
      <c r="E12964" s="3">
        <v>0.18</v>
      </c>
      <c r="F12964" s="3">
        <v>1.67</v>
      </c>
      <c r="G12964" s="3">
        <v>9.9</v>
      </c>
    </row>
    <row r="12965">
      <c r="A12965" s="3">
        <v>788026.0</v>
      </c>
      <c r="B12965" s="3" t="s">
        <v>12993</v>
      </c>
      <c r="C12965" s="3" t="s">
        <v>101</v>
      </c>
      <c r="D12965" s="3">
        <v>31.0</v>
      </c>
      <c r="E12965" s="3">
        <v>0.14</v>
      </c>
      <c r="F12965" s="3">
        <v>0.9</v>
      </c>
      <c r="G12965" s="3">
        <v>7.17</v>
      </c>
    </row>
    <row r="12966">
      <c r="A12966" s="3">
        <v>788027.0</v>
      </c>
      <c r="B12966" s="3" t="s">
        <v>12994</v>
      </c>
      <c r="C12966" s="3" t="s">
        <v>101</v>
      </c>
      <c r="D12966" s="3">
        <v>60.0</v>
      </c>
      <c r="E12966" s="3">
        <v>2.13</v>
      </c>
      <c r="F12966" s="3">
        <v>1.64</v>
      </c>
      <c r="G12966" s="3">
        <v>9.65</v>
      </c>
    </row>
    <row r="12967">
      <c r="A12967" s="3">
        <v>788028.0</v>
      </c>
      <c r="B12967" s="3" t="s">
        <v>12995</v>
      </c>
      <c r="C12967" s="3" t="s">
        <v>101</v>
      </c>
      <c r="D12967" s="3">
        <v>60.0</v>
      </c>
      <c r="E12967" s="3">
        <v>2.13</v>
      </c>
      <c r="F12967" s="3">
        <v>1.64</v>
      </c>
      <c r="G12967" s="3">
        <v>9.65</v>
      </c>
    </row>
    <row r="12968">
      <c r="A12968" s="3">
        <v>788029.0</v>
      </c>
      <c r="B12968" s="3" t="s">
        <v>12996</v>
      </c>
      <c r="C12968" s="3" t="s">
        <v>101</v>
      </c>
      <c r="D12968" s="3">
        <v>60.0</v>
      </c>
      <c r="E12968" s="3">
        <v>2.13</v>
      </c>
      <c r="F12968" s="3">
        <v>1.64</v>
      </c>
      <c r="G12968" s="3">
        <v>9.65</v>
      </c>
    </row>
    <row r="12969">
      <c r="A12969" s="3">
        <v>788030.0</v>
      </c>
      <c r="B12969" s="3" t="s">
        <v>12997</v>
      </c>
      <c r="C12969" s="3" t="s">
        <v>101</v>
      </c>
      <c r="D12969" s="3">
        <v>47.0</v>
      </c>
      <c r="E12969" s="3">
        <v>2.09</v>
      </c>
      <c r="F12969" s="3">
        <v>0.9</v>
      </c>
      <c r="G12969" s="3">
        <v>6.98</v>
      </c>
    </row>
    <row r="12970">
      <c r="A12970" s="3">
        <v>788031.0</v>
      </c>
      <c r="B12970" s="3" t="s">
        <v>12998</v>
      </c>
      <c r="C12970" s="3" t="s">
        <v>101</v>
      </c>
      <c r="D12970" s="3">
        <v>60.0</v>
      </c>
      <c r="E12970" s="3">
        <v>2.18</v>
      </c>
      <c r="F12970" s="3">
        <v>1.21</v>
      </c>
      <c r="G12970" s="3">
        <v>9.78</v>
      </c>
    </row>
    <row r="12971">
      <c r="A12971" s="3">
        <v>788032.0</v>
      </c>
      <c r="B12971" s="3" t="s">
        <v>12999</v>
      </c>
      <c r="C12971" s="3" t="s">
        <v>101</v>
      </c>
      <c r="D12971" s="3">
        <v>42.0</v>
      </c>
      <c r="E12971" s="3">
        <v>0.11</v>
      </c>
      <c r="F12971" s="3">
        <v>1.21</v>
      </c>
      <c r="G12971" s="3">
        <v>9.96</v>
      </c>
    </row>
    <row r="12972">
      <c r="A12972" s="3">
        <v>788033.0</v>
      </c>
      <c r="B12972" s="3" t="s">
        <v>13000</v>
      </c>
      <c r="C12972" s="3" t="s">
        <v>101</v>
      </c>
      <c r="D12972" s="3">
        <v>66.0</v>
      </c>
      <c r="E12972" s="3">
        <v>2.85</v>
      </c>
      <c r="F12972" s="3">
        <v>1.19</v>
      </c>
      <c r="G12972" s="3">
        <v>9.77</v>
      </c>
    </row>
    <row r="12973">
      <c r="A12973" s="3">
        <v>788034.0</v>
      </c>
      <c r="B12973" s="3" t="s">
        <v>13001</v>
      </c>
      <c r="C12973" s="3" t="s">
        <v>101</v>
      </c>
      <c r="D12973" s="3">
        <v>62.0</v>
      </c>
      <c r="E12973" s="3">
        <v>2.42</v>
      </c>
      <c r="F12973" s="3">
        <v>1.21</v>
      </c>
      <c r="G12973" s="3">
        <v>9.77</v>
      </c>
    </row>
    <row r="12974">
      <c r="A12974" s="3">
        <v>788035.0</v>
      </c>
      <c r="B12974" s="3" t="s">
        <v>13002</v>
      </c>
      <c r="C12974" s="3" t="s">
        <v>101</v>
      </c>
      <c r="D12974" s="3">
        <v>57.0</v>
      </c>
      <c r="E12974" s="3">
        <v>1.83</v>
      </c>
      <c r="F12974" s="3">
        <v>1.19</v>
      </c>
      <c r="G12974" s="3">
        <v>9.79</v>
      </c>
    </row>
    <row r="12975">
      <c r="A12975" s="3">
        <v>788036.0</v>
      </c>
      <c r="B12975" s="3" t="s">
        <v>13003</v>
      </c>
      <c r="C12975" s="3" t="s">
        <v>101</v>
      </c>
      <c r="D12975" s="3">
        <v>60.0</v>
      </c>
      <c r="E12975" s="3">
        <v>2.18</v>
      </c>
      <c r="F12975" s="3">
        <v>1.21</v>
      </c>
      <c r="G12975" s="3">
        <v>9.78</v>
      </c>
    </row>
    <row r="12976">
      <c r="A12976" s="3">
        <v>788037.0</v>
      </c>
      <c r="B12976" s="3" t="s">
        <v>13004</v>
      </c>
      <c r="C12976" s="3" t="s">
        <v>101</v>
      </c>
      <c r="D12976" s="3">
        <v>66.0</v>
      </c>
      <c r="E12976" s="3">
        <v>2.76</v>
      </c>
      <c r="F12976" s="3">
        <v>1.63</v>
      </c>
      <c r="G12976" s="3">
        <v>9.65</v>
      </c>
    </row>
    <row r="12977">
      <c r="A12977" s="3">
        <v>788038.0</v>
      </c>
      <c r="B12977" s="3" t="s">
        <v>13005</v>
      </c>
      <c r="C12977" s="3" t="s">
        <v>101</v>
      </c>
      <c r="D12977" s="3">
        <v>62.0</v>
      </c>
      <c r="E12977" s="3">
        <v>2.36</v>
      </c>
      <c r="F12977" s="3">
        <v>1.65</v>
      </c>
      <c r="G12977" s="3">
        <v>9.64</v>
      </c>
    </row>
    <row r="12978">
      <c r="A12978" s="3">
        <v>788039.0</v>
      </c>
      <c r="B12978" s="3" t="s">
        <v>13006</v>
      </c>
      <c r="C12978" s="3" t="s">
        <v>101</v>
      </c>
      <c r="D12978" s="3">
        <v>57.0</v>
      </c>
      <c r="E12978" s="3">
        <v>1.8</v>
      </c>
      <c r="F12978" s="3">
        <v>1.63</v>
      </c>
      <c r="G12978" s="3">
        <v>9.66</v>
      </c>
    </row>
    <row r="12979">
      <c r="A12979" s="3">
        <v>788040.0</v>
      </c>
      <c r="B12979" s="3" t="s">
        <v>13007</v>
      </c>
      <c r="C12979" s="3" t="s">
        <v>101</v>
      </c>
      <c r="D12979" s="3">
        <v>66.0</v>
      </c>
      <c r="E12979" s="3">
        <v>2.76</v>
      </c>
      <c r="F12979" s="3">
        <v>1.63</v>
      </c>
      <c r="G12979" s="3">
        <v>9.65</v>
      </c>
    </row>
    <row r="12980">
      <c r="A12980" s="3">
        <v>788041.0</v>
      </c>
      <c r="B12980" s="3" t="s">
        <v>13008</v>
      </c>
      <c r="C12980" s="3" t="s">
        <v>101</v>
      </c>
      <c r="D12980" s="3">
        <v>62.0</v>
      </c>
      <c r="E12980" s="3">
        <v>2.36</v>
      </c>
      <c r="F12980" s="3">
        <v>1.65</v>
      </c>
      <c r="G12980" s="3">
        <v>9.64</v>
      </c>
    </row>
    <row r="12981">
      <c r="A12981" s="3">
        <v>788042.0</v>
      </c>
      <c r="B12981" s="3" t="s">
        <v>13009</v>
      </c>
      <c r="C12981" s="3" t="s">
        <v>101</v>
      </c>
      <c r="D12981" s="3">
        <v>57.0</v>
      </c>
      <c r="E12981" s="3">
        <v>1.8</v>
      </c>
      <c r="F12981" s="3">
        <v>1.63</v>
      </c>
      <c r="G12981" s="3">
        <v>9.66</v>
      </c>
    </row>
    <row r="12982">
      <c r="A12982" s="3">
        <v>788043.0</v>
      </c>
      <c r="B12982" s="3" t="s">
        <v>13010</v>
      </c>
      <c r="C12982" s="3" t="s">
        <v>101</v>
      </c>
      <c r="D12982" s="3">
        <v>66.0</v>
      </c>
      <c r="E12982" s="3">
        <v>2.76</v>
      </c>
      <c r="F12982" s="3">
        <v>1.63</v>
      </c>
      <c r="G12982" s="3">
        <v>9.65</v>
      </c>
    </row>
    <row r="12983">
      <c r="A12983" s="3">
        <v>788044.0</v>
      </c>
      <c r="B12983" s="3" t="s">
        <v>13011</v>
      </c>
      <c r="C12983" s="3" t="s">
        <v>101</v>
      </c>
      <c r="D12983" s="3">
        <v>62.0</v>
      </c>
      <c r="E12983" s="3">
        <v>2.36</v>
      </c>
      <c r="F12983" s="3">
        <v>1.65</v>
      </c>
      <c r="G12983" s="3">
        <v>9.64</v>
      </c>
    </row>
    <row r="12984">
      <c r="A12984" s="3">
        <v>788045.0</v>
      </c>
      <c r="B12984" s="3" t="s">
        <v>13012</v>
      </c>
      <c r="C12984" s="3" t="s">
        <v>101</v>
      </c>
      <c r="D12984" s="3">
        <v>57.0</v>
      </c>
      <c r="E12984" s="3">
        <v>1.8</v>
      </c>
      <c r="F12984" s="3">
        <v>1.63</v>
      </c>
      <c r="G12984" s="3">
        <v>9.66</v>
      </c>
    </row>
    <row r="12985">
      <c r="A12985" s="3">
        <v>788046.0</v>
      </c>
      <c r="B12985" s="3" t="s">
        <v>13013</v>
      </c>
      <c r="C12985" s="3" t="s">
        <v>101</v>
      </c>
      <c r="D12985" s="3">
        <v>53.0</v>
      </c>
      <c r="E12985" s="3">
        <v>2.72</v>
      </c>
      <c r="F12985" s="3">
        <v>0.88</v>
      </c>
      <c r="G12985" s="3">
        <v>6.98</v>
      </c>
    </row>
    <row r="12986">
      <c r="A12986" s="3">
        <v>788047.0</v>
      </c>
      <c r="B12986" s="3" t="s">
        <v>13014</v>
      </c>
      <c r="C12986" s="3" t="s">
        <v>101</v>
      </c>
      <c r="D12986" s="3">
        <v>49.0</v>
      </c>
      <c r="E12986" s="3">
        <v>2.32</v>
      </c>
      <c r="F12986" s="3">
        <v>0.9</v>
      </c>
      <c r="G12986" s="3">
        <v>6.98</v>
      </c>
    </row>
    <row r="12987">
      <c r="A12987" s="3">
        <v>788048.0</v>
      </c>
      <c r="B12987" s="3" t="s">
        <v>13015</v>
      </c>
      <c r="C12987" s="3" t="s">
        <v>101</v>
      </c>
      <c r="D12987" s="3">
        <v>44.0</v>
      </c>
      <c r="E12987" s="3">
        <v>1.76</v>
      </c>
      <c r="F12987" s="3">
        <v>0.88</v>
      </c>
      <c r="G12987" s="3">
        <v>7.0</v>
      </c>
    </row>
    <row r="12988">
      <c r="A12988" s="3">
        <v>788049.0</v>
      </c>
      <c r="B12988" s="3" t="s">
        <v>13016</v>
      </c>
      <c r="C12988" s="3" t="s">
        <v>101</v>
      </c>
      <c r="D12988" s="3">
        <v>49.0</v>
      </c>
      <c r="E12988" s="3">
        <v>3.68</v>
      </c>
      <c r="F12988" s="3">
        <v>0.8</v>
      </c>
      <c r="G12988" s="3">
        <v>4.14</v>
      </c>
    </row>
    <row r="12989">
      <c r="A12989" s="3">
        <v>788050.0</v>
      </c>
      <c r="B12989" s="3" t="s">
        <v>13017</v>
      </c>
      <c r="C12989" s="3" t="s">
        <v>101</v>
      </c>
      <c r="D12989" s="3">
        <v>19.0</v>
      </c>
      <c r="E12989" s="3">
        <v>0.18</v>
      </c>
      <c r="F12989" s="3">
        <v>0.83</v>
      </c>
      <c r="G12989" s="3">
        <v>4.28</v>
      </c>
    </row>
    <row r="12990">
      <c r="A12990" s="3">
        <v>788051.0</v>
      </c>
      <c r="B12990" s="3" t="s">
        <v>13018</v>
      </c>
      <c r="C12990" s="3" t="s">
        <v>101</v>
      </c>
      <c r="D12990" s="3">
        <v>49.0</v>
      </c>
      <c r="E12990" s="3">
        <v>3.68</v>
      </c>
      <c r="F12990" s="3">
        <v>0.8</v>
      </c>
      <c r="G12990" s="3">
        <v>4.14</v>
      </c>
    </row>
    <row r="12991">
      <c r="A12991" s="3">
        <v>788052.0</v>
      </c>
      <c r="B12991" s="3" t="s">
        <v>13019</v>
      </c>
      <c r="C12991" s="3" t="s">
        <v>101</v>
      </c>
      <c r="D12991" s="3">
        <v>131.0</v>
      </c>
      <c r="E12991" s="3">
        <v>2.7</v>
      </c>
      <c r="F12991" s="3">
        <v>1.15</v>
      </c>
      <c r="G12991" s="3">
        <v>28.72</v>
      </c>
    </row>
    <row r="12992">
      <c r="A12992" s="3">
        <v>788053.0</v>
      </c>
      <c r="B12992" s="3" t="s">
        <v>13020</v>
      </c>
      <c r="C12992" s="3" t="s">
        <v>101</v>
      </c>
      <c r="D12992" s="3">
        <v>114.0</v>
      </c>
      <c r="E12992" s="3">
        <v>0.26</v>
      </c>
      <c r="F12992" s="3">
        <v>1.18</v>
      </c>
      <c r="G12992" s="3">
        <v>30.02</v>
      </c>
    </row>
    <row r="12993">
      <c r="A12993" s="3">
        <v>788054.0</v>
      </c>
      <c r="B12993" s="3" t="s">
        <v>13021</v>
      </c>
      <c r="C12993" s="3" t="s">
        <v>101</v>
      </c>
      <c r="D12993" s="3">
        <v>131.0</v>
      </c>
      <c r="E12993" s="3">
        <v>2.7</v>
      </c>
      <c r="F12993" s="3">
        <v>1.15</v>
      </c>
      <c r="G12993" s="3">
        <v>28.72</v>
      </c>
    </row>
    <row r="12994">
      <c r="A12994" s="3">
        <v>788055.0</v>
      </c>
      <c r="B12994" s="3" t="s">
        <v>13022</v>
      </c>
      <c r="C12994" s="3" t="s">
        <v>101</v>
      </c>
      <c r="D12994" s="3">
        <v>158.0</v>
      </c>
      <c r="E12994" s="3">
        <v>4.13</v>
      </c>
      <c r="F12994" s="3">
        <v>1.29</v>
      </c>
      <c r="G12994" s="3">
        <v>32.66</v>
      </c>
    </row>
    <row r="12995">
      <c r="A12995" s="3">
        <v>788056.0</v>
      </c>
      <c r="B12995" s="3" t="s">
        <v>13023</v>
      </c>
      <c r="C12995" s="3" t="s">
        <v>101</v>
      </c>
      <c r="D12995" s="3">
        <v>59.0</v>
      </c>
      <c r="E12995" s="3">
        <v>3.55</v>
      </c>
      <c r="F12995" s="3">
        <v>2.91</v>
      </c>
      <c r="G12995" s="3">
        <v>5.98</v>
      </c>
    </row>
    <row r="12996">
      <c r="A12996" s="3">
        <v>788057.0</v>
      </c>
      <c r="B12996" s="3" t="s">
        <v>13024</v>
      </c>
      <c r="C12996" s="3" t="s">
        <v>101</v>
      </c>
      <c r="D12996" s="3">
        <v>32.0</v>
      </c>
      <c r="E12996" s="3">
        <v>0.31</v>
      </c>
      <c r="F12996" s="3">
        <v>3.02</v>
      </c>
      <c r="G12996" s="3">
        <v>6.24</v>
      </c>
    </row>
    <row r="12997">
      <c r="A12997" s="3">
        <v>788058.0</v>
      </c>
      <c r="B12997" s="3" t="s">
        <v>13025</v>
      </c>
      <c r="C12997" s="3" t="s">
        <v>101</v>
      </c>
      <c r="D12997" s="3">
        <v>51.0</v>
      </c>
      <c r="E12997" s="3">
        <v>2.54</v>
      </c>
      <c r="F12997" s="3">
        <v>2.95</v>
      </c>
      <c r="G12997" s="3">
        <v>6.06</v>
      </c>
    </row>
    <row r="12998">
      <c r="A12998" s="3">
        <v>788059.0</v>
      </c>
      <c r="B12998" s="3" t="s">
        <v>13026</v>
      </c>
      <c r="C12998" s="3" t="s">
        <v>101</v>
      </c>
      <c r="D12998" s="3">
        <v>58.0</v>
      </c>
      <c r="E12998" s="3">
        <v>3.38</v>
      </c>
      <c r="F12998" s="3">
        <v>2.93</v>
      </c>
      <c r="G12998" s="3">
        <v>6.05</v>
      </c>
    </row>
    <row r="12999">
      <c r="A12999" s="3">
        <v>788060.0</v>
      </c>
      <c r="B12999" s="3" t="s">
        <v>13027</v>
      </c>
      <c r="C12999" s="3" t="s">
        <v>101</v>
      </c>
      <c r="D12999" s="3">
        <v>53.0</v>
      </c>
      <c r="E12999" s="3">
        <v>2.8</v>
      </c>
      <c r="F12999" s="3">
        <v>2.96</v>
      </c>
      <c r="G12999" s="3">
        <v>6.05</v>
      </c>
    </row>
    <row r="13000">
      <c r="A13000" s="3">
        <v>788061.0</v>
      </c>
      <c r="B13000" s="3" t="s">
        <v>13028</v>
      </c>
      <c r="C13000" s="3" t="s">
        <v>101</v>
      </c>
      <c r="D13000" s="3">
        <v>47.0</v>
      </c>
      <c r="E13000" s="3">
        <v>2.14</v>
      </c>
      <c r="F13000" s="3">
        <v>2.93</v>
      </c>
      <c r="G13000" s="3">
        <v>6.08</v>
      </c>
    </row>
    <row r="13001">
      <c r="A13001" s="3">
        <v>788062.0</v>
      </c>
      <c r="B13001" s="3" t="s">
        <v>13029</v>
      </c>
      <c r="C13001" s="3" t="s">
        <v>101</v>
      </c>
      <c r="D13001" s="3">
        <v>59.0</v>
      </c>
      <c r="E13001" s="3">
        <v>2.51</v>
      </c>
      <c r="F13001" s="3">
        <v>3.53</v>
      </c>
      <c r="G13001" s="3">
        <v>8.04</v>
      </c>
    </row>
    <row r="13002">
      <c r="A13002" s="3">
        <v>788063.0</v>
      </c>
      <c r="B13002" s="3" t="s">
        <v>13030</v>
      </c>
      <c r="C13002" s="3" t="s">
        <v>101</v>
      </c>
      <c r="D13002" s="3">
        <v>54.0</v>
      </c>
      <c r="E13002" s="3">
        <v>2.6</v>
      </c>
      <c r="F13002" s="3">
        <v>2.48</v>
      </c>
      <c r="G13002" s="3">
        <v>6.86</v>
      </c>
    </row>
    <row r="13003">
      <c r="A13003" s="3">
        <v>788064.0</v>
      </c>
      <c r="B13003" s="3" t="s">
        <v>13031</v>
      </c>
      <c r="C13003" s="3" t="s">
        <v>101</v>
      </c>
      <c r="D13003" s="3">
        <v>59.0</v>
      </c>
      <c r="E13003" s="3">
        <v>2.51</v>
      </c>
      <c r="F13003" s="3">
        <v>3.53</v>
      </c>
      <c r="G13003" s="3">
        <v>8.04</v>
      </c>
    </row>
    <row r="13004">
      <c r="A13004" s="3">
        <v>788065.0</v>
      </c>
      <c r="B13004" s="3" t="s">
        <v>13032</v>
      </c>
      <c r="C13004" s="3" t="s">
        <v>101</v>
      </c>
      <c r="D13004" s="3">
        <v>42.0</v>
      </c>
      <c r="E13004" s="3">
        <v>0.39</v>
      </c>
      <c r="F13004" s="3">
        <v>3.62</v>
      </c>
      <c r="G13004" s="3">
        <v>8.27</v>
      </c>
    </row>
    <row r="13005">
      <c r="A13005" s="3">
        <v>788066.0</v>
      </c>
      <c r="B13005" s="3" t="s">
        <v>13033</v>
      </c>
      <c r="C13005" s="3" t="s">
        <v>101</v>
      </c>
      <c r="D13005" s="3">
        <v>36.0</v>
      </c>
      <c r="E13005" s="3">
        <v>0.5</v>
      </c>
      <c r="F13005" s="3">
        <v>2.53</v>
      </c>
      <c r="G13005" s="3">
        <v>7.06</v>
      </c>
    </row>
    <row r="13006">
      <c r="A13006" s="3">
        <v>788067.0</v>
      </c>
      <c r="B13006" s="3" t="s">
        <v>13034</v>
      </c>
      <c r="C13006" s="3" t="s">
        <v>101</v>
      </c>
      <c r="D13006" s="3">
        <v>42.0</v>
      </c>
      <c r="E13006" s="3">
        <v>0.39</v>
      </c>
      <c r="F13006" s="3">
        <v>3.62</v>
      </c>
      <c r="G13006" s="3">
        <v>8.27</v>
      </c>
    </row>
    <row r="13007">
      <c r="A13007" s="3">
        <v>788068.0</v>
      </c>
      <c r="B13007" s="3" t="s">
        <v>13035</v>
      </c>
      <c r="C13007" s="3" t="s">
        <v>101</v>
      </c>
      <c r="D13007" s="3">
        <v>59.0</v>
      </c>
      <c r="E13007" s="3">
        <v>2.51</v>
      </c>
      <c r="F13007" s="3">
        <v>3.53</v>
      </c>
      <c r="G13007" s="3">
        <v>8.04</v>
      </c>
    </row>
    <row r="13008">
      <c r="A13008" s="3">
        <v>788069.0</v>
      </c>
      <c r="B13008" s="3" t="s">
        <v>13036</v>
      </c>
      <c r="C13008" s="3" t="s">
        <v>101</v>
      </c>
      <c r="D13008" s="3">
        <v>54.0</v>
      </c>
      <c r="E13008" s="3">
        <v>2.6</v>
      </c>
      <c r="F13008" s="3">
        <v>2.48</v>
      </c>
      <c r="G13008" s="3">
        <v>6.86</v>
      </c>
    </row>
    <row r="13009">
      <c r="A13009" s="3">
        <v>788070.0</v>
      </c>
      <c r="B13009" s="3" t="s">
        <v>13037</v>
      </c>
      <c r="C13009" s="3" t="s">
        <v>101</v>
      </c>
      <c r="D13009" s="3">
        <v>59.0</v>
      </c>
      <c r="E13009" s="3">
        <v>2.51</v>
      </c>
      <c r="F13009" s="3">
        <v>3.53</v>
      </c>
      <c r="G13009" s="3">
        <v>8.04</v>
      </c>
    </row>
    <row r="13010">
      <c r="A13010" s="3">
        <v>788071.0</v>
      </c>
      <c r="B13010" s="3" t="s">
        <v>13038</v>
      </c>
      <c r="C13010" s="3" t="s">
        <v>101</v>
      </c>
      <c r="D13010" s="3">
        <v>66.0</v>
      </c>
      <c r="E13010" s="3">
        <v>3.21</v>
      </c>
      <c r="F13010" s="3">
        <v>3.51</v>
      </c>
      <c r="G13010" s="3">
        <v>8.03</v>
      </c>
    </row>
    <row r="13011">
      <c r="A13011" s="3">
        <v>788072.0</v>
      </c>
      <c r="B13011" s="3" t="s">
        <v>13039</v>
      </c>
      <c r="C13011" s="3" t="s">
        <v>101</v>
      </c>
      <c r="D13011" s="3">
        <v>62.0</v>
      </c>
      <c r="E13011" s="3">
        <v>2.76</v>
      </c>
      <c r="F13011" s="3">
        <v>3.54</v>
      </c>
      <c r="G13011" s="3">
        <v>8.02</v>
      </c>
    </row>
    <row r="13012">
      <c r="A13012" s="3">
        <v>788073.0</v>
      </c>
      <c r="B13012" s="3" t="s">
        <v>13040</v>
      </c>
      <c r="C13012" s="3" t="s">
        <v>101</v>
      </c>
      <c r="D13012" s="3">
        <v>56.0</v>
      </c>
      <c r="E13012" s="3">
        <v>2.15</v>
      </c>
      <c r="F13012" s="3">
        <v>3.51</v>
      </c>
      <c r="G13012" s="3">
        <v>8.05</v>
      </c>
    </row>
    <row r="13013">
      <c r="A13013" s="3">
        <v>788074.0</v>
      </c>
      <c r="B13013" s="3" t="s">
        <v>13041</v>
      </c>
      <c r="C13013" s="3" t="s">
        <v>101</v>
      </c>
      <c r="D13013" s="3">
        <v>60.0</v>
      </c>
      <c r="E13013" s="3">
        <v>3.29</v>
      </c>
      <c r="F13013" s="3">
        <v>2.46</v>
      </c>
      <c r="G13013" s="3">
        <v>6.86</v>
      </c>
    </row>
    <row r="13014">
      <c r="A13014" s="3">
        <v>788075.0</v>
      </c>
      <c r="B13014" s="3" t="s">
        <v>13042</v>
      </c>
      <c r="C13014" s="3" t="s">
        <v>101</v>
      </c>
      <c r="D13014" s="3">
        <v>56.0</v>
      </c>
      <c r="E13014" s="3">
        <v>2.85</v>
      </c>
      <c r="F13014" s="3">
        <v>2.48</v>
      </c>
      <c r="G13014" s="3">
        <v>6.85</v>
      </c>
    </row>
    <row r="13015">
      <c r="A13015" s="3">
        <v>788076.0</v>
      </c>
      <c r="B13015" s="3" t="s">
        <v>13043</v>
      </c>
      <c r="C13015" s="3" t="s">
        <v>101</v>
      </c>
      <c r="D13015" s="3">
        <v>50.0</v>
      </c>
      <c r="E13015" s="3">
        <v>2.25</v>
      </c>
      <c r="F13015" s="3">
        <v>2.46</v>
      </c>
      <c r="G13015" s="3">
        <v>6.87</v>
      </c>
    </row>
    <row r="13016">
      <c r="A13016" s="3">
        <v>788077.0</v>
      </c>
      <c r="B13016" s="3" t="s">
        <v>13044</v>
      </c>
      <c r="C13016" s="3" t="s">
        <v>101</v>
      </c>
      <c r="D13016" s="3">
        <v>66.0</v>
      </c>
      <c r="E13016" s="3">
        <v>3.21</v>
      </c>
      <c r="F13016" s="3">
        <v>3.51</v>
      </c>
      <c r="G13016" s="3">
        <v>8.03</v>
      </c>
    </row>
    <row r="13017">
      <c r="A13017" s="3">
        <v>788078.0</v>
      </c>
      <c r="B13017" s="3" t="s">
        <v>13045</v>
      </c>
      <c r="C13017" s="3" t="s">
        <v>101</v>
      </c>
      <c r="D13017" s="3">
        <v>62.0</v>
      </c>
      <c r="E13017" s="3">
        <v>2.76</v>
      </c>
      <c r="F13017" s="3">
        <v>3.54</v>
      </c>
      <c r="G13017" s="3">
        <v>8.02</v>
      </c>
    </row>
    <row r="13018">
      <c r="A13018" s="3">
        <v>788079.0</v>
      </c>
      <c r="B13018" s="3" t="s">
        <v>13046</v>
      </c>
      <c r="C13018" s="3" t="s">
        <v>101</v>
      </c>
      <c r="D13018" s="3">
        <v>56.0</v>
      </c>
      <c r="E13018" s="3">
        <v>2.15</v>
      </c>
      <c r="F13018" s="3">
        <v>3.51</v>
      </c>
      <c r="G13018" s="3">
        <v>8.05</v>
      </c>
    </row>
    <row r="13019">
      <c r="A13019" s="3">
        <v>788080.0</v>
      </c>
      <c r="B13019" s="3" t="s">
        <v>13047</v>
      </c>
      <c r="C13019" s="3" t="s">
        <v>101</v>
      </c>
      <c r="D13019" s="3">
        <v>115.0</v>
      </c>
      <c r="E13019" s="3">
        <v>3.61</v>
      </c>
      <c r="F13019" s="3">
        <v>2.0</v>
      </c>
      <c r="G13019" s="3">
        <v>20.25</v>
      </c>
    </row>
    <row r="13020">
      <c r="A13020" s="3">
        <v>788081.0</v>
      </c>
      <c r="B13020" s="3" t="s">
        <v>13048</v>
      </c>
      <c r="C13020" s="3" t="s">
        <v>101</v>
      </c>
      <c r="D13020" s="3">
        <v>87.0</v>
      </c>
      <c r="E13020" s="3">
        <v>0.14</v>
      </c>
      <c r="F13020" s="3">
        <v>2.07</v>
      </c>
      <c r="G13020" s="3">
        <v>20.98</v>
      </c>
    </row>
    <row r="13021">
      <c r="A13021" s="3">
        <v>788082.0</v>
      </c>
      <c r="B13021" s="3" t="s">
        <v>13049</v>
      </c>
      <c r="C13021" s="3" t="s">
        <v>101</v>
      </c>
      <c r="D13021" s="3">
        <v>115.0</v>
      </c>
      <c r="E13021" s="3">
        <v>3.61</v>
      </c>
      <c r="F13021" s="3">
        <v>2.0</v>
      </c>
      <c r="G13021" s="3">
        <v>20.25</v>
      </c>
    </row>
    <row r="13022">
      <c r="A13022" s="3">
        <v>788083.0</v>
      </c>
      <c r="B13022" s="3" t="s">
        <v>13050</v>
      </c>
      <c r="C13022" s="3" t="s">
        <v>101</v>
      </c>
      <c r="D13022" s="3">
        <v>35.0</v>
      </c>
      <c r="E13022" s="3">
        <v>2.74</v>
      </c>
      <c r="F13022" s="3">
        <v>1.51</v>
      </c>
      <c r="G13022" s="3">
        <v>1.72</v>
      </c>
    </row>
    <row r="13023">
      <c r="A13023" s="3">
        <v>788084.0</v>
      </c>
      <c r="B13023" s="3" t="s">
        <v>13051</v>
      </c>
      <c r="C13023" s="3" t="s">
        <v>101</v>
      </c>
      <c r="D13023" s="3">
        <v>12.0</v>
      </c>
      <c r="E13023" s="3">
        <v>0.16</v>
      </c>
      <c r="F13023" s="3">
        <v>1.55</v>
      </c>
      <c r="G13023" s="3">
        <v>1.77</v>
      </c>
    </row>
    <row r="13024">
      <c r="A13024" s="3">
        <v>788085.0</v>
      </c>
      <c r="B13024" s="3" t="s">
        <v>13052</v>
      </c>
      <c r="C13024" s="3" t="s">
        <v>101</v>
      </c>
      <c r="D13024" s="3">
        <v>35.0</v>
      </c>
      <c r="E13024" s="3">
        <v>2.74</v>
      </c>
      <c r="F13024" s="3">
        <v>1.51</v>
      </c>
      <c r="G13024" s="3">
        <v>1.72</v>
      </c>
    </row>
    <row r="13025">
      <c r="A13025" s="3">
        <v>788086.0</v>
      </c>
      <c r="B13025" s="3" t="s">
        <v>13053</v>
      </c>
      <c r="C13025" s="3" t="s">
        <v>101</v>
      </c>
      <c r="D13025" s="3">
        <v>35.0</v>
      </c>
      <c r="E13025" s="3">
        <v>2.74</v>
      </c>
      <c r="F13025" s="3">
        <v>1.51</v>
      </c>
      <c r="G13025" s="3">
        <v>1.72</v>
      </c>
    </row>
    <row r="13026">
      <c r="A13026" s="3">
        <v>788087.0</v>
      </c>
      <c r="B13026" s="3" t="s">
        <v>13054</v>
      </c>
      <c r="C13026" s="3" t="s">
        <v>101</v>
      </c>
      <c r="D13026" s="3">
        <v>31.0</v>
      </c>
      <c r="E13026" s="3">
        <v>2.34</v>
      </c>
      <c r="F13026" s="3">
        <v>1.53</v>
      </c>
      <c r="G13026" s="3">
        <v>1.72</v>
      </c>
    </row>
    <row r="13027">
      <c r="A13027" s="3">
        <v>788088.0</v>
      </c>
      <c r="B13027" s="3" t="s">
        <v>13055</v>
      </c>
      <c r="C13027" s="3" t="s">
        <v>101</v>
      </c>
      <c r="D13027" s="3">
        <v>26.0</v>
      </c>
      <c r="E13027" s="3">
        <v>1.78</v>
      </c>
      <c r="F13027" s="3">
        <v>1.51</v>
      </c>
      <c r="G13027" s="3">
        <v>1.74</v>
      </c>
    </row>
    <row r="13028">
      <c r="A13028" s="3">
        <v>788089.0</v>
      </c>
      <c r="B13028" s="3" t="s">
        <v>13056</v>
      </c>
      <c r="C13028" s="3" t="s">
        <v>101</v>
      </c>
      <c r="D13028" s="3">
        <v>42.0</v>
      </c>
      <c r="E13028" s="3">
        <v>2.26</v>
      </c>
      <c r="F13028" s="3">
        <v>1.24</v>
      </c>
      <c r="G13028" s="3">
        <v>5.32</v>
      </c>
    </row>
    <row r="13029">
      <c r="A13029" s="3">
        <v>788090.0</v>
      </c>
      <c r="B13029" s="3" t="s">
        <v>13057</v>
      </c>
      <c r="C13029" s="3" t="s">
        <v>101</v>
      </c>
      <c r="D13029" s="3">
        <v>23.0</v>
      </c>
      <c r="E13029" s="3">
        <v>0.06</v>
      </c>
      <c r="F13029" s="3">
        <v>1.26</v>
      </c>
      <c r="G13029" s="3">
        <v>5.47</v>
      </c>
    </row>
    <row r="13030">
      <c r="A13030" s="3">
        <v>788091.0</v>
      </c>
      <c r="B13030" s="3" t="s">
        <v>13058</v>
      </c>
      <c r="C13030" s="3" t="s">
        <v>101</v>
      </c>
      <c r="D13030" s="3">
        <v>42.0</v>
      </c>
      <c r="E13030" s="3">
        <v>2.26</v>
      </c>
      <c r="F13030" s="3">
        <v>1.24</v>
      </c>
      <c r="G13030" s="3">
        <v>5.32</v>
      </c>
    </row>
    <row r="13031">
      <c r="A13031" s="3">
        <v>788092.0</v>
      </c>
      <c r="B13031" s="3" t="s">
        <v>13059</v>
      </c>
      <c r="C13031" s="3" t="s">
        <v>101</v>
      </c>
      <c r="D13031" s="3">
        <v>48.0</v>
      </c>
      <c r="E13031" s="3">
        <v>2.98</v>
      </c>
      <c r="F13031" s="3">
        <v>1.23</v>
      </c>
      <c r="G13031" s="3">
        <v>5.31</v>
      </c>
    </row>
    <row r="13032">
      <c r="A13032" s="3">
        <v>788093.0</v>
      </c>
      <c r="B13032" s="3" t="s">
        <v>13060</v>
      </c>
      <c r="C13032" s="3" t="s">
        <v>101</v>
      </c>
      <c r="D13032" s="3">
        <v>44.0</v>
      </c>
      <c r="E13032" s="3">
        <v>2.52</v>
      </c>
      <c r="F13032" s="3">
        <v>1.25</v>
      </c>
      <c r="G13032" s="3">
        <v>5.31</v>
      </c>
    </row>
    <row r="13033">
      <c r="A13033" s="3">
        <v>788094.0</v>
      </c>
      <c r="B13033" s="3" t="s">
        <v>13061</v>
      </c>
      <c r="C13033" s="3" t="s">
        <v>101</v>
      </c>
      <c r="D13033" s="3">
        <v>38.0</v>
      </c>
      <c r="E13033" s="3">
        <v>1.89</v>
      </c>
      <c r="F13033" s="3">
        <v>1.23</v>
      </c>
      <c r="G13033" s="3">
        <v>5.33</v>
      </c>
    </row>
    <row r="13034">
      <c r="A13034" s="3">
        <v>788095.0</v>
      </c>
      <c r="B13034" s="3" t="s">
        <v>13062</v>
      </c>
      <c r="C13034" s="3" t="s">
        <v>101</v>
      </c>
      <c r="D13034" s="3">
        <v>47.0</v>
      </c>
      <c r="E13034" s="3">
        <v>2.29</v>
      </c>
      <c r="F13034" s="3">
        <v>1.47</v>
      </c>
      <c r="G13034" s="3">
        <v>6.7</v>
      </c>
    </row>
    <row r="13035">
      <c r="A13035" s="3">
        <v>788096.0</v>
      </c>
      <c r="B13035" s="3" t="s">
        <v>13063</v>
      </c>
      <c r="C13035" s="3" t="s">
        <v>101</v>
      </c>
      <c r="D13035" s="3">
        <v>29.0</v>
      </c>
      <c r="E13035" s="3">
        <v>0.09</v>
      </c>
      <c r="F13035" s="3">
        <v>1.5</v>
      </c>
      <c r="G13035" s="3">
        <v>6.89</v>
      </c>
    </row>
    <row r="13036">
      <c r="A13036" s="3">
        <v>788097.0</v>
      </c>
      <c r="B13036" s="3" t="s">
        <v>13064</v>
      </c>
      <c r="C13036" s="3" t="s">
        <v>101</v>
      </c>
      <c r="D13036" s="3">
        <v>47.0</v>
      </c>
      <c r="E13036" s="3">
        <v>2.29</v>
      </c>
      <c r="F13036" s="3">
        <v>1.47</v>
      </c>
      <c r="G13036" s="3">
        <v>6.7</v>
      </c>
    </row>
    <row r="13037">
      <c r="A13037" s="3">
        <v>788098.0</v>
      </c>
      <c r="B13037" s="3" t="s">
        <v>13065</v>
      </c>
      <c r="C13037" s="3" t="s">
        <v>101</v>
      </c>
      <c r="D13037" s="3">
        <v>54.0</v>
      </c>
      <c r="E13037" s="3">
        <v>3.01</v>
      </c>
      <c r="F13037" s="3">
        <v>1.46</v>
      </c>
      <c r="G13037" s="3">
        <v>6.69</v>
      </c>
    </row>
    <row r="13038">
      <c r="A13038" s="3">
        <v>788099.0</v>
      </c>
      <c r="B13038" s="3" t="s">
        <v>13066</v>
      </c>
      <c r="C13038" s="3" t="s">
        <v>101</v>
      </c>
      <c r="D13038" s="3">
        <v>50.0</v>
      </c>
      <c r="E13038" s="3">
        <v>2.55</v>
      </c>
      <c r="F13038" s="3">
        <v>1.48</v>
      </c>
      <c r="G13038" s="3">
        <v>6.69</v>
      </c>
    </row>
    <row r="13039">
      <c r="A13039" s="3">
        <v>788100.0</v>
      </c>
      <c r="B13039" s="3" t="s">
        <v>13067</v>
      </c>
      <c r="C13039" s="3" t="s">
        <v>101</v>
      </c>
      <c r="D13039" s="3">
        <v>44.0</v>
      </c>
      <c r="E13039" s="3">
        <v>1.92</v>
      </c>
      <c r="F13039" s="3">
        <v>1.46</v>
      </c>
      <c r="G13039" s="3">
        <v>6.71</v>
      </c>
    </row>
    <row r="13040">
      <c r="A13040" s="3">
        <v>788101.0</v>
      </c>
      <c r="B13040" s="3" t="s">
        <v>13068</v>
      </c>
      <c r="C13040" s="3" t="s">
        <v>101</v>
      </c>
      <c r="D13040" s="3">
        <v>48.0</v>
      </c>
      <c r="E13040" s="3">
        <v>2.43</v>
      </c>
      <c r="F13040" s="3">
        <v>2.03</v>
      </c>
      <c r="G13040" s="3">
        <v>6.13</v>
      </c>
    </row>
    <row r="13041">
      <c r="A13041" s="3">
        <v>788102.0</v>
      </c>
      <c r="B13041" s="3" t="s">
        <v>13069</v>
      </c>
      <c r="C13041" s="3" t="s">
        <v>101</v>
      </c>
      <c r="D13041" s="3">
        <v>28.0</v>
      </c>
      <c r="E13041" s="3">
        <v>0.1</v>
      </c>
      <c r="F13041" s="3">
        <v>2.07</v>
      </c>
      <c r="G13041" s="3">
        <v>6.32</v>
      </c>
    </row>
    <row r="13042">
      <c r="A13042" s="3">
        <v>788103.0</v>
      </c>
      <c r="B13042" s="3" t="s">
        <v>13070</v>
      </c>
      <c r="C13042" s="3" t="s">
        <v>101</v>
      </c>
      <c r="D13042" s="3">
        <v>48.0</v>
      </c>
      <c r="E13042" s="3">
        <v>2.43</v>
      </c>
      <c r="F13042" s="3">
        <v>2.03</v>
      </c>
      <c r="G13042" s="3">
        <v>6.13</v>
      </c>
    </row>
    <row r="13043">
      <c r="A13043" s="3">
        <v>788104.0</v>
      </c>
      <c r="B13043" s="3" t="s">
        <v>13071</v>
      </c>
      <c r="C13043" s="3" t="s">
        <v>101</v>
      </c>
      <c r="D13043" s="3">
        <v>56.0</v>
      </c>
      <c r="E13043" s="3">
        <v>3.31</v>
      </c>
      <c r="F13043" s="3">
        <v>2.01</v>
      </c>
      <c r="G13043" s="3">
        <v>6.12</v>
      </c>
    </row>
    <row r="13044">
      <c r="A13044" s="3">
        <v>788105.0</v>
      </c>
      <c r="B13044" s="3" t="s">
        <v>13072</v>
      </c>
      <c r="C13044" s="3" t="s">
        <v>101</v>
      </c>
      <c r="D13044" s="3">
        <v>50.0</v>
      </c>
      <c r="E13044" s="3">
        <v>2.7</v>
      </c>
      <c r="F13044" s="3">
        <v>2.03</v>
      </c>
      <c r="G13044" s="3">
        <v>6.12</v>
      </c>
    </row>
    <row r="13045">
      <c r="A13045" s="3">
        <v>788106.0</v>
      </c>
      <c r="B13045" s="3" t="s">
        <v>13073</v>
      </c>
      <c r="C13045" s="3" t="s">
        <v>101</v>
      </c>
      <c r="D13045" s="3">
        <v>44.0</v>
      </c>
      <c r="E13045" s="3">
        <v>2.02</v>
      </c>
      <c r="F13045" s="3">
        <v>2.01</v>
      </c>
      <c r="G13045" s="3">
        <v>6.15</v>
      </c>
    </row>
    <row r="13046">
      <c r="A13046" s="3">
        <v>788107.0</v>
      </c>
      <c r="B13046" s="3" t="s">
        <v>13074</v>
      </c>
      <c r="C13046" s="3" t="s">
        <v>101</v>
      </c>
      <c r="D13046" s="3">
        <v>34.0</v>
      </c>
      <c r="E13046" s="3">
        <v>2.27</v>
      </c>
      <c r="F13046" s="3">
        <v>1.32</v>
      </c>
      <c r="G13046" s="3">
        <v>3.17</v>
      </c>
    </row>
    <row r="13047">
      <c r="A13047" s="3">
        <v>788108.0</v>
      </c>
      <c r="B13047" s="3" t="s">
        <v>13075</v>
      </c>
      <c r="C13047" s="3" t="s">
        <v>101</v>
      </c>
      <c r="D13047" s="3">
        <v>15.0</v>
      </c>
      <c r="E13047" s="3">
        <v>0.05</v>
      </c>
      <c r="F13047" s="3">
        <v>1.34</v>
      </c>
      <c r="G13047" s="3">
        <v>3.26</v>
      </c>
    </row>
    <row r="13048">
      <c r="A13048" s="3">
        <v>788109.0</v>
      </c>
      <c r="B13048" s="3" t="s">
        <v>13076</v>
      </c>
      <c r="C13048" s="3" t="s">
        <v>101</v>
      </c>
      <c r="D13048" s="3">
        <v>34.0</v>
      </c>
      <c r="E13048" s="3">
        <v>2.27</v>
      </c>
      <c r="F13048" s="3">
        <v>1.32</v>
      </c>
      <c r="G13048" s="3">
        <v>3.17</v>
      </c>
    </row>
    <row r="13049">
      <c r="A13049" s="3">
        <v>788110.0</v>
      </c>
      <c r="B13049" s="3" t="s">
        <v>13077</v>
      </c>
      <c r="C13049" s="3" t="s">
        <v>101</v>
      </c>
      <c r="D13049" s="3">
        <v>40.0</v>
      </c>
      <c r="E13049" s="3">
        <v>2.99</v>
      </c>
      <c r="F13049" s="3">
        <v>1.3</v>
      </c>
      <c r="G13049" s="3">
        <v>3.16</v>
      </c>
    </row>
    <row r="13050">
      <c r="A13050" s="3">
        <v>788111.0</v>
      </c>
      <c r="B13050" s="3" t="s">
        <v>13078</v>
      </c>
      <c r="C13050" s="3" t="s">
        <v>101</v>
      </c>
      <c r="D13050" s="3">
        <v>36.0</v>
      </c>
      <c r="E13050" s="3">
        <v>2.53</v>
      </c>
      <c r="F13050" s="3">
        <v>1.33</v>
      </c>
      <c r="G13050" s="3">
        <v>3.16</v>
      </c>
    </row>
    <row r="13051">
      <c r="A13051" s="3">
        <v>788112.0</v>
      </c>
      <c r="B13051" s="3" t="s">
        <v>13079</v>
      </c>
      <c r="C13051" s="3" t="s">
        <v>101</v>
      </c>
      <c r="D13051" s="3">
        <v>31.0</v>
      </c>
      <c r="E13051" s="3">
        <v>1.89</v>
      </c>
      <c r="F13051" s="3">
        <v>1.3</v>
      </c>
      <c r="G13051" s="3">
        <v>3.18</v>
      </c>
    </row>
    <row r="13052">
      <c r="A13052" s="3">
        <v>788113.0</v>
      </c>
      <c r="B13052" s="3" t="s">
        <v>13080</v>
      </c>
      <c r="C13052" s="3" t="s">
        <v>101</v>
      </c>
      <c r="D13052" s="3">
        <v>35.0</v>
      </c>
      <c r="E13052" s="3">
        <v>2.06</v>
      </c>
      <c r="F13052" s="3">
        <v>1.58</v>
      </c>
      <c r="G13052" s="3">
        <v>3.64</v>
      </c>
    </row>
    <row r="13053">
      <c r="A13053" s="3">
        <v>788114.0</v>
      </c>
      <c r="B13053" s="3" t="s">
        <v>13081</v>
      </c>
      <c r="C13053" s="3" t="s">
        <v>101</v>
      </c>
      <c r="D13053" s="3">
        <v>45.0</v>
      </c>
      <c r="E13053" s="3">
        <v>3.08</v>
      </c>
      <c r="F13053" s="3">
        <v>1.78</v>
      </c>
      <c r="G13053" s="3">
        <v>3.94</v>
      </c>
    </row>
    <row r="13054">
      <c r="A13054" s="3">
        <v>788115.0</v>
      </c>
      <c r="B13054" s="3" t="s">
        <v>13082</v>
      </c>
      <c r="C13054" s="3" t="s">
        <v>101</v>
      </c>
      <c r="D13054" s="3">
        <v>35.0</v>
      </c>
      <c r="E13054" s="3">
        <v>2.06</v>
      </c>
      <c r="F13054" s="3">
        <v>1.58</v>
      </c>
      <c r="G13054" s="3">
        <v>3.64</v>
      </c>
    </row>
    <row r="13055">
      <c r="A13055" s="3">
        <v>788116.0</v>
      </c>
      <c r="B13055" s="3" t="s">
        <v>13083</v>
      </c>
      <c r="C13055" s="3" t="s">
        <v>101</v>
      </c>
      <c r="D13055" s="3">
        <v>35.0</v>
      </c>
      <c r="E13055" s="3">
        <v>2.06</v>
      </c>
      <c r="F13055" s="3">
        <v>1.58</v>
      </c>
      <c r="G13055" s="3">
        <v>3.64</v>
      </c>
    </row>
    <row r="13056">
      <c r="A13056" s="3">
        <v>788117.0</v>
      </c>
      <c r="B13056" s="3" t="s">
        <v>13084</v>
      </c>
      <c r="C13056" s="3" t="s">
        <v>101</v>
      </c>
      <c r="D13056" s="3">
        <v>19.0</v>
      </c>
      <c r="E13056" s="3">
        <v>0.22</v>
      </c>
      <c r="F13056" s="3">
        <v>1.6</v>
      </c>
      <c r="G13056" s="3">
        <v>3.73</v>
      </c>
    </row>
    <row r="13057">
      <c r="A13057" s="3">
        <v>788118.0</v>
      </c>
      <c r="B13057" s="3" t="s">
        <v>13085</v>
      </c>
      <c r="C13057" s="3" t="s">
        <v>101</v>
      </c>
      <c r="D13057" s="3">
        <v>23.0</v>
      </c>
      <c r="E13057" s="3">
        <v>0.45</v>
      </c>
      <c r="F13057" s="3">
        <v>1.82</v>
      </c>
      <c r="G13057" s="3">
        <v>4.08</v>
      </c>
    </row>
    <row r="13058">
      <c r="A13058" s="3">
        <v>788119.0</v>
      </c>
      <c r="B13058" s="3" t="s">
        <v>13086</v>
      </c>
      <c r="C13058" s="3" t="s">
        <v>101</v>
      </c>
      <c r="D13058" s="3">
        <v>19.0</v>
      </c>
      <c r="E13058" s="3">
        <v>0.22</v>
      </c>
      <c r="F13058" s="3">
        <v>1.6</v>
      </c>
      <c r="G13058" s="3">
        <v>3.73</v>
      </c>
    </row>
    <row r="13059">
      <c r="A13059" s="3">
        <v>788120.0</v>
      </c>
      <c r="B13059" s="3" t="s">
        <v>13087</v>
      </c>
      <c r="C13059" s="3" t="s">
        <v>101</v>
      </c>
      <c r="D13059" s="3">
        <v>19.0</v>
      </c>
      <c r="E13059" s="3">
        <v>0.22</v>
      </c>
      <c r="F13059" s="3">
        <v>1.6</v>
      </c>
      <c r="G13059" s="3">
        <v>3.73</v>
      </c>
    </row>
    <row r="13060">
      <c r="A13060" s="3">
        <v>788121.0</v>
      </c>
      <c r="B13060" s="3" t="s">
        <v>13088</v>
      </c>
      <c r="C13060" s="3" t="s">
        <v>101</v>
      </c>
      <c r="D13060" s="3">
        <v>35.0</v>
      </c>
      <c r="E13060" s="3">
        <v>2.06</v>
      </c>
      <c r="F13060" s="3">
        <v>1.58</v>
      </c>
      <c r="G13060" s="3">
        <v>3.64</v>
      </c>
    </row>
    <row r="13061">
      <c r="A13061" s="3">
        <v>788122.0</v>
      </c>
      <c r="B13061" s="3" t="s">
        <v>13089</v>
      </c>
      <c r="C13061" s="3" t="s">
        <v>101</v>
      </c>
      <c r="D13061" s="3">
        <v>45.0</v>
      </c>
      <c r="E13061" s="3">
        <v>3.08</v>
      </c>
      <c r="F13061" s="3">
        <v>1.78</v>
      </c>
      <c r="G13061" s="3">
        <v>3.94</v>
      </c>
    </row>
    <row r="13062">
      <c r="A13062" s="3">
        <v>788123.0</v>
      </c>
      <c r="B13062" s="3" t="s">
        <v>13090</v>
      </c>
      <c r="C13062" s="3" t="s">
        <v>101</v>
      </c>
      <c r="D13062" s="3">
        <v>35.0</v>
      </c>
      <c r="E13062" s="3">
        <v>2.06</v>
      </c>
      <c r="F13062" s="3">
        <v>1.58</v>
      </c>
      <c r="G13062" s="3">
        <v>3.64</v>
      </c>
    </row>
    <row r="13063">
      <c r="A13063" s="3">
        <v>788124.0</v>
      </c>
      <c r="B13063" s="3" t="s">
        <v>13091</v>
      </c>
      <c r="C13063" s="3" t="s">
        <v>101</v>
      </c>
      <c r="D13063" s="3">
        <v>45.0</v>
      </c>
      <c r="E13063" s="3">
        <v>3.08</v>
      </c>
      <c r="F13063" s="3">
        <v>1.78</v>
      </c>
      <c r="G13063" s="3">
        <v>3.94</v>
      </c>
    </row>
    <row r="13064">
      <c r="A13064" s="3">
        <v>788125.0</v>
      </c>
      <c r="B13064" s="3" t="s">
        <v>13092</v>
      </c>
      <c r="C13064" s="3" t="s">
        <v>101</v>
      </c>
      <c r="D13064" s="3">
        <v>40.0</v>
      </c>
      <c r="E13064" s="3">
        <v>2.66</v>
      </c>
      <c r="F13064" s="3">
        <v>1.56</v>
      </c>
      <c r="G13064" s="3">
        <v>3.64</v>
      </c>
    </row>
    <row r="13065">
      <c r="A13065" s="3">
        <v>788126.0</v>
      </c>
      <c r="B13065" s="3" t="s">
        <v>13093</v>
      </c>
      <c r="C13065" s="3" t="s">
        <v>101</v>
      </c>
      <c r="D13065" s="3">
        <v>37.0</v>
      </c>
      <c r="E13065" s="3">
        <v>2.28</v>
      </c>
      <c r="F13065" s="3">
        <v>1.58</v>
      </c>
      <c r="G13065" s="3">
        <v>3.64</v>
      </c>
    </row>
    <row r="13066">
      <c r="A13066" s="3">
        <v>788127.0</v>
      </c>
      <c r="B13066" s="3" t="s">
        <v>13094</v>
      </c>
      <c r="C13066" s="3" t="s">
        <v>101</v>
      </c>
      <c r="D13066" s="3">
        <v>32.0</v>
      </c>
      <c r="E13066" s="3">
        <v>1.75</v>
      </c>
      <c r="F13066" s="3">
        <v>1.56</v>
      </c>
      <c r="G13066" s="3">
        <v>3.66</v>
      </c>
    </row>
    <row r="13067">
      <c r="A13067" s="3">
        <v>788128.0</v>
      </c>
      <c r="B13067" s="3" t="s">
        <v>13095</v>
      </c>
      <c r="C13067" s="3" t="s">
        <v>101</v>
      </c>
      <c r="D13067" s="3">
        <v>53.0</v>
      </c>
      <c r="E13067" s="3">
        <v>3.94</v>
      </c>
      <c r="F13067" s="3">
        <v>1.76</v>
      </c>
      <c r="G13067" s="3">
        <v>3.93</v>
      </c>
    </row>
    <row r="13068">
      <c r="A13068" s="3">
        <v>788129.0</v>
      </c>
      <c r="B13068" s="3" t="s">
        <v>13096</v>
      </c>
      <c r="C13068" s="3" t="s">
        <v>101</v>
      </c>
      <c r="D13068" s="3">
        <v>48.0</v>
      </c>
      <c r="E13068" s="3">
        <v>3.39</v>
      </c>
      <c r="F13068" s="3">
        <v>1.79</v>
      </c>
      <c r="G13068" s="3">
        <v>3.93</v>
      </c>
    </row>
    <row r="13069">
      <c r="A13069" s="3">
        <v>788130.0</v>
      </c>
      <c r="B13069" s="3" t="s">
        <v>13097</v>
      </c>
      <c r="C13069" s="3" t="s">
        <v>101</v>
      </c>
      <c r="D13069" s="3">
        <v>42.0</v>
      </c>
      <c r="E13069" s="3">
        <v>2.63</v>
      </c>
      <c r="F13069" s="3">
        <v>1.76</v>
      </c>
      <c r="G13069" s="3">
        <v>3.96</v>
      </c>
    </row>
    <row r="13070">
      <c r="A13070" s="3">
        <v>788131.0</v>
      </c>
      <c r="B13070" s="3" t="s">
        <v>13098</v>
      </c>
      <c r="C13070" s="3" t="s">
        <v>101</v>
      </c>
      <c r="D13070" s="3">
        <v>40.0</v>
      </c>
      <c r="E13070" s="3">
        <v>2.66</v>
      </c>
      <c r="F13070" s="3">
        <v>1.56</v>
      </c>
      <c r="G13070" s="3">
        <v>3.64</v>
      </c>
    </row>
    <row r="13071">
      <c r="A13071" s="3">
        <v>788132.0</v>
      </c>
      <c r="B13071" s="3" t="s">
        <v>13099</v>
      </c>
      <c r="C13071" s="3" t="s">
        <v>101</v>
      </c>
      <c r="D13071" s="3">
        <v>37.0</v>
      </c>
      <c r="E13071" s="3">
        <v>2.28</v>
      </c>
      <c r="F13071" s="3">
        <v>1.58</v>
      </c>
      <c r="G13071" s="3">
        <v>3.64</v>
      </c>
    </row>
    <row r="13072">
      <c r="A13072" s="3">
        <v>788133.0</v>
      </c>
      <c r="B13072" s="3" t="s">
        <v>13100</v>
      </c>
      <c r="C13072" s="3" t="s">
        <v>101</v>
      </c>
      <c r="D13072" s="3">
        <v>32.0</v>
      </c>
      <c r="E13072" s="3">
        <v>1.75</v>
      </c>
      <c r="F13072" s="3">
        <v>1.56</v>
      </c>
      <c r="G13072" s="3">
        <v>3.66</v>
      </c>
    </row>
    <row r="13073">
      <c r="A13073" s="3">
        <v>788134.0</v>
      </c>
      <c r="B13073" s="3" t="s">
        <v>13101</v>
      </c>
      <c r="C13073" s="3" t="s">
        <v>101</v>
      </c>
      <c r="D13073" s="3">
        <v>40.0</v>
      </c>
      <c r="E13073" s="3">
        <v>2.66</v>
      </c>
      <c r="F13073" s="3">
        <v>1.56</v>
      </c>
      <c r="G13073" s="3">
        <v>3.64</v>
      </c>
    </row>
    <row r="13074">
      <c r="A13074" s="3">
        <v>788135.0</v>
      </c>
      <c r="B13074" s="3" t="s">
        <v>13102</v>
      </c>
      <c r="C13074" s="3" t="s">
        <v>101</v>
      </c>
      <c r="D13074" s="3">
        <v>37.0</v>
      </c>
      <c r="E13074" s="3">
        <v>2.28</v>
      </c>
      <c r="F13074" s="3">
        <v>1.58</v>
      </c>
      <c r="G13074" s="3">
        <v>3.64</v>
      </c>
    </row>
    <row r="13075">
      <c r="A13075" s="3">
        <v>788136.0</v>
      </c>
      <c r="B13075" s="3" t="s">
        <v>13103</v>
      </c>
      <c r="C13075" s="3" t="s">
        <v>101</v>
      </c>
      <c r="D13075" s="3">
        <v>32.0</v>
      </c>
      <c r="E13075" s="3">
        <v>1.75</v>
      </c>
      <c r="F13075" s="3">
        <v>1.56</v>
      </c>
      <c r="G13075" s="3">
        <v>3.66</v>
      </c>
    </row>
    <row r="13076">
      <c r="A13076" s="3">
        <v>788137.0</v>
      </c>
      <c r="B13076" s="3" t="s">
        <v>13104</v>
      </c>
      <c r="C13076" s="3" t="s">
        <v>101</v>
      </c>
      <c r="D13076" s="3">
        <v>37.0</v>
      </c>
      <c r="E13076" s="3">
        <v>2.36</v>
      </c>
      <c r="F13076" s="3">
        <v>0.82</v>
      </c>
      <c r="G13076" s="3">
        <v>3.86</v>
      </c>
    </row>
    <row r="13077">
      <c r="A13077" s="3">
        <v>788138.0</v>
      </c>
      <c r="B13077" s="3" t="s">
        <v>13105</v>
      </c>
      <c r="C13077" s="3" t="s">
        <v>101</v>
      </c>
      <c r="D13077" s="3">
        <v>18.0</v>
      </c>
      <c r="E13077" s="3">
        <v>0.16</v>
      </c>
      <c r="F13077" s="3">
        <v>0.82</v>
      </c>
      <c r="G13077" s="3">
        <v>3.97</v>
      </c>
    </row>
    <row r="13078">
      <c r="A13078" s="3">
        <v>788139.0</v>
      </c>
      <c r="B13078" s="3" t="s">
        <v>13106</v>
      </c>
      <c r="C13078" s="3" t="s">
        <v>101</v>
      </c>
      <c r="D13078" s="3">
        <v>37.0</v>
      </c>
      <c r="E13078" s="3">
        <v>2.36</v>
      </c>
      <c r="F13078" s="3">
        <v>0.82</v>
      </c>
      <c r="G13078" s="3">
        <v>3.86</v>
      </c>
    </row>
    <row r="13079">
      <c r="A13079" s="3">
        <v>788140.0</v>
      </c>
      <c r="B13079" s="3" t="s">
        <v>13107</v>
      </c>
      <c r="C13079" s="3" t="s">
        <v>101</v>
      </c>
      <c r="D13079" s="3">
        <v>43.0</v>
      </c>
      <c r="E13079" s="3">
        <v>3.07</v>
      </c>
      <c r="F13079" s="3">
        <v>0.8</v>
      </c>
      <c r="G13079" s="3">
        <v>3.86</v>
      </c>
    </row>
    <row r="13080">
      <c r="A13080" s="3">
        <v>788141.0</v>
      </c>
      <c r="B13080" s="3" t="s">
        <v>13108</v>
      </c>
      <c r="C13080" s="3" t="s">
        <v>101</v>
      </c>
      <c r="D13080" s="3">
        <v>39.0</v>
      </c>
      <c r="E13080" s="3">
        <v>2.62</v>
      </c>
      <c r="F13080" s="3">
        <v>0.82</v>
      </c>
      <c r="G13080" s="3">
        <v>3.86</v>
      </c>
    </row>
    <row r="13081">
      <c r="A13081" s="3">
        <v>788142.0</v>
      </c>
      <c r="B13081" s="3" t="s">
        <v>13109</v>
      </c>
      <c r="C13081" s="3" t="s">
        <v>101</v>
      </c>
      <c r="D13081" s="3">
        <v>34.0</v>
      </c>
      <c r="E13081" s="3">
        <v>1.99</v>
      </c>
      <c r="F13081" s="3">
        <v>0.8</v>
      </c>
      <c r="G13081" s="3">
        <v>3.88</v>
      </c>
    </row>
    <row r="13082">
      <c r="A13082" s="3">
        <v>788143.0</v>
      </c>
      <c r="B13082" s="3" t="s">
        <v>13110</v>
      </c>
      <c r="C13082" s="3" t="s">
        <v>101</v>
      </c>
      <c r="D13082" s="3">
        <v>79.0</v>
      </c>
      <c r="E13082" s="3">
        <v>3.86</v>
      </c>
      <c r="F13082" s="3">
        <v>1.92</v>
      </c>
      <c r="G13082" s="3">
        <v>11.18</v>
      </c>
    </row>
    <row r="13083">
      <c r="A13083" s="3">
        <v>788144.0</v>
      </c>
      <c r="B13083" s="3" t="s">
        <v>13111</v>
      </c>
      <c r="C13083" s="3" t="s">
        <v>101</v>
      </c>
      <c r="D13083" s="3">
        <v>49.0</v>
      </c>
      <c r="E13083" s="3">
        <v>0.32</v>
      </c>
      <c r="F13083" s="3">
        <v>1.96</v>
      </c>
      <c r="G13083" s="3">
        <v>11.52</v>
      </c>
    </row>
    <row r="13084">
      <c r="A13084" s="3">
        <v>788145.0</v>
      </c>
      <c r="B13084" s="3" t="s">
        <v>13112</v>
      </c>
      <c r="C13084" s="3" t="s">
        <v>101</v>
      </c>
      <c r="D13084" s="3">
        <v>79.0</v>
      </c>
      <c r="E13084" s="3">
        <v>3.86</v>
      </c>
      <c r="F13084" s="3">
        <v>1.92</v>
      </c>
      <c r="G13084" s="3">
        <v>11.18</v>
      </c>
    </row>
    <row r="13085">
      <c r="A13085" s="3">
        <v>788146.0</v>
      </c>
      <c r="B13085" s="3" t="s">
        <v>13113</v>
      </c>
      <c r="C13085" s="3" t="s">
        <v>101</v>
      </c>
      <c r="D13085" s="3">
        <v>91.0</v>
      </c>
      <c r="E13085" s="3">
        <v>5.2</v>
      </c>
      <c r="F13085" s="3">
        <v>1.9</v>
      </c>
      <c r="G13085" s="3">
        <v>11.16</v>
      </c>
    </row>
    <row r="13086">
      <c r="A13086" s="3">
        <v>788147.0</v>
      </c>
      <c r="B13086" s="3" t="s">
        <v>13114</v>
      </c>
      <c r="C13086" s="3" t="s">
        <v>101</v>
      </c>
      <c r="D13086" s="3">
        <v>82.0</v>
      </c>
      <c r="E13086" s="3">
        <v>4.28</v>
      </c>
      <c r="F13086" s="3">
        <v>1.94</v>
      </c>
      <c r="G13086" s="3">
        <v>11.17</v>
      </c>
    </row>
    <row r="13087">
      <c r="A13087" s="3">
        <v>788148.0</v>
      </c>
      <c r="B13087" s="3" t="s">
        <v>13115</v>
      </c>
      <c r="C13087" s="3" t="s">
        <v>101</v>
      </c>
      <c r="D13087" s="3">
        <v>73.0</v>
      </c>
      <c r="E13087" s="3">
        <v>3.23</v>
      </c>
      <c r="F13087" s="3">
        <v>1.9</v>
      </c>
      <c r="G13087" s="3">
        <v>11.2</v>
      </c>
    </row>
    <row r="13088">
      <c r="A13088" s="3">
        <v>788149.0</v>
      </c>
      <c r="B13088" s="3" t="s">
        <v>13116</v>
      </c>
      <c r="C13088" s="3" t="s">
        <v>101</v>
      </c>
      <c r="D13088" s="3">
        <v>42.0</v>
      </c>
      <c r="E13088" s="3">
        <v>2.54</v>
      </c>
      <c r="F13088" s="3">
        <v>0.62</v>
      </c>
      <c r="G13088" s="3">
        <v>4.92</v>
      </c>
    </row>
    <row r="13089">
      <c r="A13089" s="3">
        <v>788150.0</v>
      </c>
      <c r="B13089" s="3" t="s">
        <v>13117</v>
      </c>
      <c r="C13089" s="3" t="s">
        <v>101</v>
      </c>
      <c r="D13089" s="3">
        <v>24.0</v>
      </c>
      <c r="E13089" s="3">
        <v>0.48</v>
      </c>
      <c r="F13089" s="3">
        <v>0.62</v>
      </c>
      <c r="G13089" s="3">
        <v>5.06</v>
      </c>
    </row>
    <row r="13090">
      <c r="A13090" s="3">
        <v>788151.0</v>
      </c>
      <c r="B13090" s="3" t="s">
        <v>13118</v>
      </c>
      <c r="C13090" s="3" t="s">
        <v>101</v>
      </c>
      <c r="D13090" s="3">
        <v>42.0</v>
      </c>
      <c r="E13090" s="3">
        <v>2.54</v>
      </c>
      <c r="F13090" s="3">
        <v>0.62</v>
      </c>
      <c r="G13090" s="3">
        <v>4.92</v>
      </c>
    </row>
    <row r="13091">
      <c r="A13091" s="3">
        <v>788152.0</v>
      </c>
      <c r="B13091" s="3" t="s">
        <v>13119</v>
      </c>
      <c r="C13091" s="3" t="s">
        <v>101</v>
      </c>
      <c r="D13091" s="3">
        <v>96.0</v>
      </c>
      <c r="E13091" s="3">
        <v>2.67</v>
      </c>
      <c r="F13091" s="3">
        <v>2.48</v>
      </c>
      <c r="G13091" s="3">
        <v>18.66</v>
      </c>
    </row>
    <row r="13092">
      <c r="A13092" s="3">
        <v>788154.0</v>
      </c>
      <c r="B13092" s="3" t="s">
        <v>13120</v>
      </c>
      <c r="C13092" s="3" t="s">
        <v>101</v>
      </c>
      <c r="D13092" s="3">
        <v>96.0</v>
      </c>
      <c r="E13092" s="3">
        <v>2.67</v>
      </c>
      <c r="F13092" s="3">
        <v>2.48</v>
      </c>
      <c r="G13092" s="3">
        <v>18.66</v>
      </c>
    </row>
    <row r="13093">
      <c r="A13093" s="3">
        <v>788155.0</v>
      </c>
      <c r="B13093" s="3" t="s">
        <v>13121</v>
      </c>
      <c r="C13093" s="3" t="s">
        <v>101</v>
      </c>
      <c r="D13093" s="3">
        <v>83.0</v>
      </c>
      <c r="E13093" s="3">
        <v>3.21</v>
      </c>
      <c r="F13093" s="3">
        <v>2.24</v>
      </c>
      <c r="G13093" s="3">
        <v>13.92</v>
      </c>
    </row>
    <row r="13094">
      <c r="A13094" s="3">
        <v>788159.0</v>
      </c>
      <c r="B13094" s="3" t="s">
        <v>13122</v>
      </c>
      <c r="C13094" s="3" t="s">
        <v>101</v>
      </c>
      <c r="D13094" s="3">
        <v>67.0</v>
      </c>
      <c r="E13094" s="3">
        <v>1.22</v>
      </c>
      <c r="F13094" s="3">
        <v>2.28</v>
      </c>
      <c r="G13094" s="3">
        <v>14.3</v>
      </c>
    </row>
    <row r="13095">
      <c r="A13095" s="3">
        <v>788160.0</v>
      </c>
      <c r="B13095" s="3" t="s">
        <v>13123</v>
      </c>
      <c r="C13095" s="3" t="s">
        <v>101</v>
      </c>
      <c r="D13095" s="3">
        <v>96.0</v>
      </c>
      <c r="E13095" s="3">
        <v>2.67</v>
      </c>
      <c r="F13095" s="3">
        <v>2.48</v>
      </c>
      <c r="G13095" s="3">
        <v>18.66</v>
      </c>
    </row>
    <row r="13096">
      <c r="A13096" s="3">
        <v>788162.0</v>
      </c>
      <c r="B13096" s="3" t="s">
        <v>13124</v>
      </c>
      <c r="C13096" s="3" t="s">
        <v>101</v>
      </c>
      <c r="D13096" s="3">
        <v>96.0</v>
      </c>
      <c r="E13096" s="3">
        <v>2.67</v>
      </c>
      <c r="F13096" s="3">
        <v>2.48</v>
      </c>
      <c r="G13096" s="3">
        <v>18.66</v>
      </c>
    </row>
    <row r="13097">
      <c r="A13097" s="3">
        <v>788163.0</v>
      </c>
      <c r="B13097" s="3" t="s">
        <v>13125</v>
      </c>
      <c r="C13097" s="3" t="s">
        <v>101</v>
      </c>
      <c r="D13097" s="3">
        <v>83.0</v>
      </c>
      <c r="E13097" s="3">
        <v>3.21</v>
      </c>
      <c r="F13097" s="3">
        <v>2.24</v>
      </c>
      <c r="G13097" s="3">
        <v>13.92</v>
      </c>
    </row>
    <row r="13098">
      <c r="A13098" s="3">
        <v>788164.0</v>
      </c>
      <c r="B13098" s="3" t="s">
        <v>13126</v>
      </c>
      <c r="C13098" s="3" t="s">
        <v>101</v>
      </c>
      <c r="D13098" s="3">
        <v>102.0</v>
      </c>
      <c r="E13098" s="3">
        <v>3.33</v>
      </c>
      <c r="F13098" s="3">
        <v>2.47</v>
      </c>
      <c r="G13098" s="3">
        <v>18.67</v>
      </c>
    </row>
    <row r="13099">
      <c r="A13099" s="3">
        <v>788165.0</v>
      </c>
      <c r="B13099" s="3" t="s">
        <v>13127</v>
      </c>
      <c r="C13099" s="3" t="s">
        <v>101</v>
      </c>
      <c r="D13099" s="3">
        <v>98.0</v>
      </c>
      <c r="E13099" s="3">
        <v>2.91</v>
      </c>
      <c r="F13099" s="3">
        <v>2.49</v>
      </c>
      <c r="G13099" s="3">
        <v>18.65</v>
      </c>
    </row>
    <row r="13100">
      <c r="A13100" s="3">
        <v>788166.0</v>
      </c>
      <c r="B13100" s="3" t="s">
        <v>13128</v>
      </c>
      <c r="C13100" s="3" t="s">
        <v>101</v>
      </c>
      <c r="D13100" s="3">
        <v>93.0</v>
      </c>
      <c r="E13100" s="3">
        <v>2.33</v>
      </c>
      <c r="F13100" s="3">
        <v>2.47</v>
      </c>
      <c r="G13100" s="3">
        <v>18.67</v>
      </c>
    </row>
    <row r="13101">
      <c r="A13101" s="3">
        <v>788167.0</v>
      </c>
      <c r="B13101" s="3" t="s">
        <v>13129</v>
      </c>
      <c r="C13101" s="3" t="s">
        <v>101</v>
      </c>
      <c r="D13101" s="3">
        <v>117.0</v>
      </c>
      <c r="E13101" s="3">
        <v>4.13</v>
      </c>
      <c r="F13101" s="3">
        <v>3.3</v>
      </c>
      <c r="G13101" s="3">
        <v>20.29</v>
      </c>
    </row>
    <row r="13102">
      <c r="A13102" s="3">
        <v>788170.0</v>
      </c>
      <c r="B13102" s="3" t="s">
        <v>13130</v>
      </c>
      <c r="C13102" s="3" t="s">
        <v>101</v>
      </c>
      <c r="D13102" s="3">
        <v>102.0</v>
      </c>
      <c r="E13102" s="3">
        <v>3.33</v>
      </c>
      <c r="F13102" s="3">
        <v>2.47</v>
      </c>
      <c r="G13102" s="3">
        <v>18.67</v>
      </c>
    </row>
    <row r="13103">
      <c r="A13103" s="3">
        <v>788171.0</v>
      </c>
      <c r="B13103" s="3" t="s">
        <v>13131</v>
      </c>
      <c r="C13103" s="3" t="s">
        <v>101</v>
      </c>
      <c r="D13103" s="3">
        <v>98.0</v>
      </c>
      <c r="E13103" s="3">
        <v>2.91</v>
      </c>
      <c r="F13103" s="3">
        <v>2.49</v>
      </c>
      <c r="G13103" s="3">
        <v>18.65</v>
      </c>
    </row>
    <row r="13104">
      <c r="A13104" s="3">
        <v>788172.0</v>
      </c>
      <c r="B13104" s="3" t="s">
        <v>13132</v>
      </c>
      <c r="C13104" s="3" t="s">
        <v>101</v>
      </c>
      <c r="D13104" s="3">
        <v>93.0</v>
      </c>
      <c r="E13104" s="3">
        <v>2.33</v>
      </c>
      <c r="F13104" s="3">
        <v>2.47</v>
      </c>
      <c r="G13104" s="3">
        <v>18.67</v>
      </c>
    </row>
    <row r="13105">
      <c r="A13105" s="3">
        <v>788173.0</v>
      </c>
      <c r="B13105" s="3" t="s">
        <v>13133</v>
      </c>
      <c r="C13105" s="3" t="s">
        <v>101</v>
      </c>
      <c r="D13105" s="3">
        <v>89.0</v>
      </c>
      <c r="E13105" s="3">
        <v>3.87</v>
      </c>
      <c r="F13105" s="3">
        <v>2.22</v>
      </c>
      <c r="G13105" s="3">
        <v>13.92</v>
      </c>
    </row>
    <row r="13106">
      <c r="A13106" s="3">
        <v>788174.0</v>
      </c>
      <c r="B13106" s="3" t="s">
        <v>13134</v>
      </c>
      <c r="C13106" s="3" t="s">
        <v>101</v>
      </c>
      <c r="D13106" s="3">
        <v>85.0</v>
      </c>
      <c r="E13106" s="3">
        <v>3.45</v>
      </c>
      <c r="F13106" s="3">
        <v>2.24</v>
      </c>
      <c r="G13106" s="3">
        <v>13.91</v>
      </c>
    </row>
    <row r="13107">
      <c r="A13107" s="3">
        <v>788175.0</v>
      </c>
      <c r="B13107" s="3" t="s">
        <v>13135</v>
      </c>
      <c r="C13107" s="3" t="s">
        <v>101</v>
      </c>
      <c r="D13107" s="3">
        <v>80.0</v>
      </c>
      <c r="E13107" s="3">
        <v>2.87</v>
      </c>
      <c r="F13107" s="3">
        <v>2.22</v>
      </c>
      <c r="G13107" s="3">
        <v>13.93</v>
      </c>
    </row>
    <row r="13108">
      <c r="A13108" s="3">
        <v>788176.0</v>
      </c>
      <c r="B13108" s="3" t="s">
        <v>13136</v>
      </c>
      <c r="C13108" s="3" t="s">
        <v>101</v>
      </c>
      <c r="D13108" s="3">
        <v>72.0</v>
      </c>
      <c r="E13108" s="3">
        <v>0.42</v>
      </c>
      <c r="F13108" s="3">
        <v>1.73</v>
      </c>
      <c r="G13108" s="3">
        <v>18.06</v>
      </c>
    </row>
    <row r="13109">
      <c r="A13109" s="3">
        <v>788177.0</v>
      </c>
      <c r="B13109" s="3" t="s">
        <v>13137</v>
      </c>
      <c r="C13109" s="3" t="s">
        <v>101</v>
      </c>
      <c r="D13109" s="3">
        <v>72.0</v>
      </c>
      <c r="E13109" s="3">
        <v>0.42</v>
      </c>
      <c r="F13109" s="3">
        <v>1.74</v>
      </c>
      <c r="G13109" s="3">
        <v>18.1</v>
      </c>
    </row>
    <row r="13110">
      <c r="A13110" s="3">
        <v>788178.0</v>
      </c>
      <c r="B13110" s="3" t="s">
        <v>13138</v>
      </c>
      <c r="C13110" s="3" t="s">
        <v>101</v>
      </c>
      <c r="D13110" s="3">
        <v>109.0</v>
      </c>
      <c r="E13110" s="3">
        <v>5.46</v>
      </c>
      <c r="F13110" s="3">
        <v>2.14</v>
      </c>
      <c r="G13110" s="3">
        <v>15.32</v>
      </c>
    </row>
    <row r="13111">
      <c r="A13111" s="3">
        <v>788179.0</v>
      </c>
      <c r="B13111" s="3" t="s">
        <v>13139</v>
      </c>
      <c r="C13111" s="3" t="s">
        <v>101</v>
      </c>
      <c r="D13111" s="3">
        <v>96.0</v>
      </c>
      <c r="E13111" s="3">
        <v>2.67</v>
      </c>
      <c r="F13111" s="3">
        <v>2.48</v>
      </c>
      <c r="G13111" s="3">
        <v>18.66</v>
      </c>
    </row>
    <row r="13112">
      <c r="A13112" s="3">
        <v>788181.0</v>
      </c>
      <c r="B13112" s="3" t="s">
        <v>13140</v>
      </c>
      <c r="C13112" s="3" t="s">
        <v>101</v>
      </c>
      <c r="D13112" s="3">
        <v>96.0</v>
      </c>
      <c r="E13112" s="3">
        <v>2.67</v>
      </c>
      <c r="F13112" s="3">
        <v>2.48</v>
      </c>
      <c r="G13112" s="3">
        <v>18.66</v>
      </c>
    </row>
    <row r="13113">
      <c r="A13113" s="3">
        <v>788182.0</v>
      </c>
      <c r="B13113" s="3" t="s">
        <v>13141</v>
      </c>
      <c r="C13113" s="3" t="s">
        <v>101</v>
      </c>
      <c r="D13113" s="3">
        <v>83.0</v>
      </c>
      <c r="E13113" s="3">
        <v>3.21</v>
      </c>
      <c r="F13113" s="3">
        <v>2.24</v>
      </c>
      <c r="G13113" s="3">
        <v>13.92</v>
      </c>
    </row>
    <row r="13114">
      <c r="A13114" s="3">
        <v>788186.0</v>
      </c>
      <c r="B13114" s="3" t="s">
        <v>13142</v>
      </c>
      <c r="C13114" s="3" t="s">
        <v>101</v>
      </c>
      <c r="D13114" s="3">
        <v>67.0</v>
      </c>
      <c r="E13114" s="3">
        <v>1.22</v>
      </c>
      <c r="F13114" s="3">
        <v>2.28</v>
      </c>
      <c r="G13114" s="3">
        <v>14.3</v>
      </c>
    </row>
    <row r="13115">
      <c r="A13115" s="3">
        <v>788187.0</v>
      </c>
      <c r="B13115" s="3" t="s">
        <v>13143</v>
      </c>
      <c r="C13115" s="3" t="s">
        <v>101</v>
      </c>
      <c r="D13115" s="3">
        <v>96.0</v>
      </c>
      <c r="E13115" s="3">
        <v>2.67</v>
      </c>
      <c r="F13115" s="3">
        <v>2.48</v>
      </c>
      <c r="G13115" s="3">
        <v>18.66</v>
      </c>
    </row>
    <row r="13116">
      <c r="A13116" s="3">
        <v>788189.0</v>
      </c>
      <c r="B13116" s="3" t="s">
        <v>13144</v>
      </c>
      <c r="C13116" s="3" t="s">
        <v>101</v>
      </c>
      <c r="D13116" s="3">
        <v>96.0</v>
      </c>
      <c r="E13116" s="3">
        <v>2.67</v>
      </c>
      <c r="F13116" s="3">
        <v>2.48</v>
      </c>
      <c r="G13116" s="3">
        <v>18.66</v>
      </c>
    </row>
    <row r="13117">
      <c r="A13117" s="3">
        <v>788190.0</v>
      </c>
      <c r="B13117" s="3" t="s">
        <v>13145</v>
      </c>
      <c r="C13117" s="3" t="s">
        <v>101</v>
      </c>
      <c r="D13117" s="3">
        <v>83.0</v>
      </c>
      <c r="E13117" s="3">
        <v>3.21</v>
      </c>
      <c r="F13117" s="3">
        <v>2.24</v>
      </c>
      <c r="G13117" s="3">
        <v>13.92</v>
      </c>
    </row>
    <row r="13118">
      <c r="A13118" s="3">
        <v>788191.0</v>
      </c>
      <c r="B13118" s="3" t="s">
        <v>13146</v>
      </c>
      <c r="C13118" s="3" t="s">
        <v>101</v>
      </c>
      <c r="D13118" s="3">
        <v>102.0</v>
      </c>
      <c r="E13118" s="3">
        <v>3.33</v>
      </c>
      <c r="F13118" s="3">
        <v>2.47</v>
      </c>
      <c r="G13118" s="3">
        <v>18.67</v>
      </c>
    </row>
    <row r="13119">
      <c r="A13119" s="3">
        <v>788192.0</v>
      </c>
      <c r="B13119" s="3" t="s">
        <v>13147</v>
      </c>
      <c r="C13119" s="3" t="s">
        <v>101</v>
      </c>
      <c r="D13119" s="3">
        <v>98.0</v>
      </c>
      <c r="E13119" s="3">
        <v>2.91</v>
      </c>
      <c r="F13119" s="3">
        <v>2.49</v>
      </c>
      <c r="G13119" s="3">
        <v>18.65</v>
      </c>
    </row>
    <row r="13120">
      <c r="A13120" s="3">
        <v>788193.0</v>
      </c>
      <c r="B13120" s="3" t="s">
        <v>13148</v>
      </c>
      <c r="C13120" s="3" t="s">
        <v>101</v>
      </c>
      <c r="D13120" s="3">
        <v>93.0</v>
      </c>
      <c r="E13120" s="3">
        <v>2.33</v>
      </c>
      <c r="F13120" s="3">
        <v>2.47</v>
      </c>
      <c r="G13120" s="3">
        <v>18.67</v>
      </c>
    </row>
    <row r="13121">
      <c r="A13121" s="3">
        <v>788194.0</v>
      </c>
      <c r="B13121" s="3" t="s">
        <v>13149</v>
      </c>
      <c r="C13121" s="3" t="s">
        <v>101</v>
      </c>
      <c r="D13121" s="3">
        <v>117.0</v>
      </c>
      <c r="E13121" s="3">
        <v>4.13</v>
      </c>
      <c r="F13121" s="3">
        <v>3.3</v>
      </c>
      <c r="G13121" s="3">
        <v>20.29</v>
      </c>
    </row>
    <row r="13122">
      <c r="A13122" s="3">
        <v>788197.0</v>
      </c>
      <c r="B13122" s="3" t="s">
        <v>13150</v>
      </c>
      <c r="C13122" s="3" t="s">
        <v>101</v>
      </c>
      <c r="D13122" s="3">
        <v>102.0</v>
      </c>
      <c r="E13122" s="3">
        <v>3.33</v>
      </c>
      <c r="F13122" s="3">
        <v>2.47</v>
      </c>
      <c r="G13122" s="3">
        <v>18.67</v>
      </c>
    </row>
    <row r="13123">
      <c r="A13123" s="3">
        <v>788198.0</v>
      </c>
      <c r="B13123" s="3" t="s">
        <v>13151</v>
      </c>
      <c r="C13123" s="3" t="s">
        <v>101</v>
      </c>
      <c r="D13123" s="3">
        <v>98.0</v>
      </c>
      <c r="E13123" s="3">
        <v>2.91</v>
      </c>
      <c r="F13123" s="3">
        <v>2.49</v>
      </c>
      <c r="G13123" s="3">
        <v>18.65</v>
      </c>
    </row>
    <row r="13124">
      <c r="A13124" s="3">
        <v>788199.0</v>
      </c>
      <c r="B13124" s="3" t="s">
        <v>13152</v>
      </c>
      <c r="C13124" s="3" t="s">
        <v>101</v>
      </c>
      <c r="D13124" s="3">
        <v>93.0</v>
      </c>
      <c r="E13124" s="3">
        <v>2.33</v>
      </c>
      <c r="F13124" s="3">
        <v>2.47</v>
      </c>
      <c r="G13124" s="3">
        <v>18.67</v>
      </c>
    </row>
    <row r="13125">
      <c r="A13125" s="3">
        <v>788200.0</v>
      </c>
      <c r="B13125" s="3" t="s">
        <v>13153</v>
      </c>
      <c r="C13125" s="3" t="s">
        <v>101</v>
      </c>
      <c r="D13125" s="3">
        <v>89.0</v>
      </c>
      <c r="E13125" s="3">
        <v>3.87</v>
      </c>
      <c r="F13125" s="3">
        <v>2.22</v>
      </c>
      <c r="G13125" s="3">
        <v>13.92</v>
      </c>
    </row>
    <row r="13126">
      <c r="A13126" s="3">
        <v>788201.0</v>
      </c>
      <c r="B13126" s="3" t="s">
        <v>13154</v>
      </c>
      <c r="C13126" s="3" t="s">
        <v>101</v>
      </c>
      <c r="D13126" s="3">
        <v>85.0</v>
      </c>
      <c r="E13126" s="3">
        <v>3.45</v>
      </c>
      <c r="F13126" s="3">
        <v>2.24</v>
      </c>
      <c r="G13126" s="3">
        <v>13.91</v>
      </c>
    </row>
    <row r="13127">
      <c r="A13127" s="3">
        <v>788202.0</v>
      </c>
      <c r="B13127" s="3" t="s">
        <v>13155</v>
      </c>
      <c r="C13127" s="3" t="s">
        <v>101</v>
      </c>
      <c r="D13127" s="3">
        <v>80.0</v>
      </c>
      <c r="E13127" s="3">
        <v>2.87</v>
      </c>
      <c r="F13127" s="3">
        <v>2.22</v>
      </c>
      <c r="G13127" s="3">
        <v>13.93</v>
      </c>
    </row>
    <row r="13128">
      <c r="A13128" s="3">
        <v>788203.0</v>
      </c>
      <c r="B13128" s="3" t="s">
        <v>13156</v>
      </c>
      <c r="C13128" s="3" t="s">
        <v>101</v>
      </c>
      <c r="D13128" s="3">
        <v>72.0</v>
      </c>
      <c r="E13128" s="3">
        <v>0.42</v>
      </c>
      <c r="F13128" s="3">
        <v>1.73</v>
      </c>
      <c r="G13128" s="3">
        <v>18.06</v>
      </c>
    </row>
    <row r="13129">
      <c r="A13129" s="3">
        <v>788204.0</v>
      </c>
      <c r="B13129" s="3" t="s">
        <v>13157</v>
      </c>
      <c r="C13129" s="3" t="s">
        <v>101</v>
      </c>
      <c r="D13129" s="3">
        <v>72.0</v>
      </c>
      <c r="E13129" s="3">
        <v>0.42</v>
      </c>
      <c r="F13129" s="3">
        <v>1.74</v>
      </c>
      <c r="G13129" s="3">
        <v>18.1</v>
      </c>
    </row>
    <row r="13130">
      <c r="A13130" s="3">
        <v>788205.0</v>
      </c>
      <c r="B13130" s="3" t="s">
        <v>13158</v>
      </c>
      <c r="C13130" s="3" t="s">
        <v>101</v>
      </c>
      <c r="D13130" s="3">
        <v>96.0</v>
      </c>
      <c r="E13130" s="3">
        <v>2.55</v>
      </c>
      <c r="F13130" s="3">
        <v>2.58</v>
      </c>
      <c r="G13130" s="3">
        <v>18.78</v>
      </c>
    </row>
    <row r="13131">
      <c r="A13131" s="3">
        <v>788207.0</v>
      </c>
      <c r="B13131" s="3" t="s">
        <v>13159</v>
      </c>
      <c r="C13131" s="3" t="s">
        <v>101</v>
      </c>
      <c r="D13131" s="3">
        <v>96.0</v>
      </c>
      <c r="E13131" s="3">
        <v>2.55</v>
      </c>
      <c r="F13131" s="3">
        <v>2.58</v>
      </c>
      <c r="G13131" s="3">
        <v>18.78</v>
      </c>
    </row>
    <row r="13132">
      <c r="A13132" s="3">
        <v>788208.0</v>
      </c>
      <c r="B13132" s="3" t="s">
        <v>13160</v>
      </c>
      <c r="C13132" s="3" t="s">
        <v>101</v>
      </c>
      <c r="D13132" s="3">
        <v>85.0</v>
      </c>
      <c r="E13132" s="3">
        <v>3.28</v>
      </c>
      <c r="F13132" s="3">
        <v>2.25</v>
      </c>
      <c r="G13132" s="3">
        <v>14.26</v>
      </c>
    </row>
    <row r="13133">
      <c r="A13133" s="3">
        <v>788212.0</v>
      </c>
      <c r="B13133" s="3" t="s">
        <v>13161</v>
      </c>
      <c r="C13133" s="3" t="s">
        <v>101</v>
      </c>
      <c r="D13133" s="3">
        <v>69.0</v>
      </c>
      <c r="E13133" s="3">
        <v>1.29</v>
      </c>
      <c r="F13133" s="3">
        <v>2.3</v>
      </c>
      <c r="G13133" s="3">
        <v>14.66</v>
      </c>
    </row>
    <row r="13134">
      <c r="A13134" s="3">
        <v>788213.0</v>
      </c>
      <c r="B13134" s="3" t="s">
        <v>13162</v>
      </c>
      <c r="C13134" s="3" t="s">
        <v>101</v>
      </c>
      <c r="D13134" s="3">
        <v>102.0</v>
      </c>
      <c r="E13134" s="3">
        <v>3.33</v>
      </c>
      <c r="F13134" s="3">
        <v>2.47</v>
      </c>
      <c r="G13134" s="3">
        <v>18.67</v>
      </c>
    </row>
    <row r="13135">
      <c r="A13135" s="3">
        <v>788214.0</v>
      </c>
      <c r="B13135" s="3" t="s">
        <v>13163</v>
      </c>
      <c r="C13135" s="3" t="s">
        <v>101</v>
      </c>
      <c r="D13135" s="3">
        <v>98.0</v>
      </c>
      <c r="E13135" s="3">
        <v>2.91</v>
      </c>
      <c r="F13135" s="3">
        <v>2.49</v>
      </c>
      <c r="G13135" s="3">
        <v>18.65</v>
      </c>
    </row>
    <row r="13136">
      <c r="A13136" s="3">
        <v>788215.0</v>
      </c>
      <c r="B13136" s="3" t="s">
        <v>13164</v>
      </c>
      <c r="C13136" s="3" t="s">
        <v>101</v>
      </c>
      <c r="D13136" s="3">
        <v>93.0</v>
      </c>
      <c r="E13136" s="3">
        <v>2.21</v>
      </c>
      <c r="F13136" s="3">
        <v>2.56</v>
      </c>
      <c r="G13136" s="3">
        <v>18.79</v>
      </c>
    </row>
    <row r="13137">
      <c r="A13137" s="3">
        <v>788219.0</v>
      </c>
      <c r="B13137" s="3" t="s">
        <v>13165</v>
      </c>
      <c r="C13137" s="3" t="s">
        <v>101</v>
      </c>
      <c r="D13137" s="3">
        <v>96.0</v>
      </c>
      <c r="E13137" s="3">
        <v>2.55</v>
      </c>
      <c r="F13137" s="3">
        <v>2.58</v>
      </c>
      <c r="G13137" s="3">
        <v>18.78</v>
      </c>
    </row>
    <row r="13138">
      <c r="A13138" s="3">
        <v>788221.0</v>
      </c>
      <c r="B13138" s="3" t="s">
        <v>13166</v>
      </c>
      <c r="C13138" s="3" t="s">
        <v>101</v>
      </c>
      <c r="D13138" s="3">
        <v>96.0</v>
      </c>
      <c r="E13138" s="3">
        <v>2.55</v>
      </c>
      <c r="F13138" s="3">
        <v>2.58</v>
      </c>
      <c r="G13138" s="3">
        <v>18.78</v>
      </c>
    </row>
    <row r="13139">
      <c r="A13139" s="3">
        <v>788222.0</v>
      </c>
      <c r="B13139" s="3" t="s">
        <v>13167</v>
      </c>
      <c r="C13139" s="3" t="s">
        <v>101</v>
      </c>
      <c r="D13139" s="3">
        <v>85.0</v>
      </c>
      <c r="E13139" s="3">
        <v>3.28</v>
      </c>
      <c r="F13139" s="3">
        <v>2.25</v>
      </c>
      <c r="G13139" s="3">
        <v>14.26</v>
      </c>
    </row>
    <row r="13140">
      <c r="A13140" s="3">
        <v>788223.0</v>
      </c>
      <c r="B13140" s="3" t="s">
        <v>13168</v>
      </c>
      <c r="C13140" s="3" t="s">
        <v>101</v>
      </c>
      <c r="D13140" s="3">
        <v>102.0</v>
      </c>
      <c r="E13140" s="3">
        <v>3.21</v>
      </c>
      <c r="F13140" s="3">
        <v>2.56</v>
      </c>
      <c r="G13140" s="3">
        <v>18.8</v>
      </c>
    </row>
    <row r="13141">
      <c r="A13141" s="3">
        <v>788224.0</v>
      </c>
      <c r="B13141" s="3" t="s">
        <v>13169</v>
      </c>
      <c r="C13141" s="3" t="s">
        <v>101</v>
      </c>
      <c r="D13141" s="3">
        <v>98.0</v>
      </c>
      <c r="E13141" s="3">
        <v>2.79</v>
      </c>
      <c r="F13141" s="3">
        <v>2.58</v>
      </c>
      <c r="G13141" s="3">
        <v>18.78</v>
      </c>
    </row>
    <row r="13142">
      <c r="A13142" s="3">
        <v>788225.0</v>
      </c>
      <c r="B13142" s="3" t="s">
        <v>13170</v>
      </c>
      <c r="C13142" s="3" t="s">
        <v>101</v>
      </c>
      <c r="D13142" s="3">
        <v>93.0</v>
      </c>
      <c r="E13142" s="3">
        <v>2.21</v>
      </c>
      <c r="F13142" s="3">
        <v>2.56</v>
      </c>
      <c r="G13142" s="3">
        <v>18.79</v>
      </c>
    </row>
    <row r="13143">
      <c r="A13143" s="3">
        <v>788226.0</v>
      </c>
      <c r="B13143" s="3" t="s">
        <v>13171</v>
      </c>
      <c r="C13143" s="3" t="s">
        <v>101</v>
      </c>
      <c r="D13143" s="3">
        <v>91.0</v>
      </c>
      <c r="E13143" s="3">
        <v>3.95</v>
      </c>
      <c r="F13143" s="3">
        <v>2.24</v>
      </c>
      <c r="G13143" s="3">
        <v>14.27</v>
      </c>
    </row>
    <row r="13144">
      <c r="A13144" s="3">
        <v>788227.0</v>
      </c>
      <c r="B13144" s="3" t="s">
        <v>13172</v>
      </c>
      <c r="C13144" s="3" t="s">
        <v>101</v>
      </c>
      <c r="D13144" s="3">
        <v>87.0</v>
      </c>
      <c r="E13144" s="3">
        <v>3.52</v>
      </c>
      <c r="F13144" s="3">
        <v>2.26</v>
      </c>
      <c r="G13144" s="3">
        <v>14.26</v>
      </c>
    </row>
    <row r="13145">
      <c r="A13145" s="3">
        <v>788228.0</v>
      </c>
      <c r="B13145" s="3" t="s">
        <v>13173</v>
      </c>
      <c r="C13145" s="3" t="s">
        <v>101</v>
      </c>
      <c r="D13145" s="3">
        <v>82.0</v>
      </c>
      <c r="E13145" s="3">
        <v>2.94</v>
      </c>
      <c r="F13145" s="3">
        <v>2.24</v>
      </c>
      <c r="G13145" s="3">
        <v>14.28</v>
      </c>
    </row>
    <row r="13146">
      <c r="A13146" s="3">
        <v>788229.0</v>
      </c>
      <c r="B13146" s="3" t="s">
        <v>13174</v>
      </c>
      <c r="C13146" s="3" t="s">
        <v>101</v>
      </c>
      <c r="D13146" s="3">
        <v>82.0</v>
      </c>
      <c r="E13146" s="3">
        <v>1.72</v>
      </c>
      <c r="F13146" s="3">
        <v>1.71</v>
      </c>
      <c r="G13146" s="3">
        <v>17.74</v>
      </c>
    </row>
    <row r="13147">
      <c r="A13147" s="3">
        <v>788230.0</v>
      </c>
      <c r="B13147" s="3" t="s">
        <v>13175</v>
      </c>
      <c r="C13147" s="3" t="s">
        <v>101</v>
      </c>
      <c r="D13147" s="3">
        <v>82.0</v>
      </c>
      <c r="E13147" s="3">
        <v>1.73</v>
      </c>
      <c r="F13147" s="3">
        <v>1.72</v>
      </c>
      <c r="G13147" s="3">
        <v>17.78</v>
      </c>
    </row>
    <row r="13148">
      <c r="A13148" s="3">
        <v>788234.0</v>
      </c>
      <c r="B13148" s="3" t="s">
        <v>13176</v>
      </c>
      <c r="C13148" s="3" t="s">
        <v>101</v>
      </c>
      <c r="D13148" s="3">
        <v>87.0</v>
      </c>
      <c r="E13148" s="3">
        <v>3.36</v>
      </c>
      <c r="F13148" s="3">
        <v>2.27</v>
      </c>
      <c r="G13148" s="3">
        <v>14.61</v>
      </c>
    </row>
    <row r="13149">
      <c r="A13149" s="3">
        <v>788238.0</v>
      </c>
      <c r="B13149" s="3" t="s">
        <v>13177</v>
      </c>
      <c r="C13149" s="3" t="s">
        <v>101</v>
      </c>
      <c r="D13149" s="3">
        <v>71.0</v>
      </c>
      <c r="E13149" s="3">
        <v>1.37</v>
      </c>
      <c r="F13149" s="3">
        <v>2.31</v>
      </c>
      <c r="G13149" s="3">
        <v>15.02</v>
      </c>
    </row>
    <row r="13150">
      <c r="A13150" s="3">
        <v>788242.0</v>
      </c>
      <c r="B13150" s="3" t="s">
        <v>13178</v>
      </c>
      <c r="C13150" s="3" t="s">
        <v>101</v>
      </c>
      <c r="D13150" s="3">
        <v>87.0</v>
      </c>
      <c r="E13150" s="3">
        <v>3.36</v>
      </c>
      <c r="F13150" s="3">
        <v>2.27</v>
      </c>
      <c r="G13150" s="3">
        <v>14.61</v>
      </c>
    </row>
    <row r="13151">
      <c r="A13151" s="3">
        <v>788243.0</v>
      </c>
      <c r="B13151" s="3" t="s">
        <v>13179</v>
      </c>
      <c r="C13151" s="3" t="s">
        <v>101</v>
      </c>
      <c r="D13151" s="3">
        <v>101.0</v>
      </c>
      <c r="E13151" s="3">
        <v>3.1</v>
      </c>
      <c r="F13151" s="3">
        <v>2.66</v>
      </c>
      <c r="G13151" s="3">
        <v>18.92</v>
      </c>
    </row>
    <row r="13152">
      <c r="A13152" s="3">
        <v>788244.0</v>
      </c>
      <c r="B13152" s="3" t="s">
        <v>13180</v>
      </c>
      <c r="C13152" s="3" t="s">
        <v>101</v>
      </c>
      <c r="D13152" s="3">
        <v>97.0</v>
      </c>
      <c r="E13152" s="3">
        <v>2.68</v>
      </c>
      <c r="F13152" s="3">
        <v>2.68</v>
      </c>
      <c r="G13152" s="3">
        <v>18.9</v>
      </c>
    </row>
    <row r="13153">
      <c r="A13153" s="3">
        <v>788249.0</v>
      </c>
      <c r="B13153" s="3" t="s">
        <v>13181</v>
      </c>
      <c r="C13153" s="3" t="s">
        <v>101</v>
      </c>
      <c r="D13153" s="3">
        <v>101.0</v>
      </c>
      <c r="E13153" s="3">
        <v>3.1</v>
      </c>
      <c r="F13153" s="3">
        <v>2.66</v>
      </c>
      <c r="G13153" s="3">
        <v>18.92</v>
      </c>
    </row>
    <row r="13154">
      <c r="A13154" s="3">
        <v>788250.0</v>
      </c>
      <c r="B13154" s="3" t="s">
        <v>13182</v>
      </c>
      <c r="C13154" s="3" t="s">
        <v>101</v>
      </c>
      <c r="D13154" s="3">
        <v>97.0</v>
      </c>
      <c r="E13154" s="3">
        <v>2.68</v>
      </c>
      <c r="F13154" s="3">
        <v>2.68</v>
      </c>
      <c r="G13154" s="3">
        <v>18.9</v>
      </c>
    </row>
    <row r="13155">
      <c r="A13155" s="3">
        <v>788252.0</v>
      </c>
      <c r="B13155" s="3" t="s">
        <v>13183</v>
      </c>
      <c r="C13155" s="3" t="s">
        <v>101</v>
      </c>
      <c r="D13155" s="3">
        <v>93.0</v>
      </c>
      <c r="E13155" s="3">
        <v>4.02</v>
      </c>
      <c r="F13155" s="3">
        <v>2.25</v>
      </c>
      <c r="G13155" s="3">
        <v>14.62</v>
      </c>
    </row>
    <row r="13156">
      <c r="A13156" s="3">
        <v>788253.0</v>
      </c>
      <c r="B13156" s="3" t="s">
        <v>13184</v>
      </c>
      <c r="C13156" s="3" t="s">
        <v>101</v>
      </c>
      <c r="D13156" s="3">
        <v>89.0</v>
      </c>
      <c r="E13156" s="3">
        <v>3.6</v>
      </c>
      <c r="F13156" s="3">
        <v>2.27</v>
      </c>
      <c r="G13156" s="3">
        <v>14.6</v>
      </c>
    </row>
    <row r="13157">
      <c r="A13157" s="3">
        <v>788254.0</v>
      </c>
      <c r="B13157" s="3" t="s">
        <v>13185</v>
      </c>
      <c r="C13157" s="3" t="s">
        <v>101</v>
      </c>
      <c r="D13157" s="3">
        <v>84.0</v>
      </c>
      <c r="E13157" s="3">
        <v>3.02</v>
      </c>
      <c r="F13157" s="3">
        <v>2.25</v>
      </c>
      <c r="G13157" s="3">
        <v>14.62</v>
      </c>
    </row>
    <row r="13158">
      <c r="A13158" s="3">
        <v>788255.0</v>
      </c>
      <c r="B13158" s="3" t="s">
        <v>13186</v>
      </c>
      <c r="C13158" s="3" t="s">
        <v>101</v>
      </c>
      <c r="D13158" s="3">
        <v>74.0</v>
      </c>
      <c r="E13158" s="3">
        <v>0.42</v>
      </c>
      <c r="F13158" s="3">
        <v>1.73</v>
      </c>
      <c r="G13158" s="3">
        <v>18.55</v>
      </c>
    </row>
    <row r="13159">
      <c r="A13159" s="3">
        <v>788256.0</v>
      </c>
      <c r="B13159" s="3" t="s">
        <v>13187</v>
      </c>
      <c r="C13159" s="3" t="s">
        <v>101</v>
      </c>
      <c r="D13159" s="3">
        <v>74.0</v>
      </c>
      <c r="E13159" s="3">
        <v>0.42</v>
      </c>
      <c r="F13159" s="3">
        <v>1.74</v>
      </c>
      <c r="G13159" s="3">
        <v>18.59</v>
      </c>
    </row>
    <row r="13160">
      <c r="A13160" s="3">
        <v>788257.0</v>
      </c>
      <c r="B13160" s="3" t="s">
        <v>13188</v>
      </c>
      <c r="C13160" s="3" t="s">
        <v>101</v>
      </c>
      <c r="D13160" s="3">
        <v>113.0</v>
      </c>
      <c r="E13160" s="3">
        <v>4.01</v>
      </c>
      <c r="F13160" s="3">
        <v>2.81</v>
      </c>
      <c r="G13160" s="3">
        <v>19.84</v>
      </c>
    </row>
    <row r="13161">
      <c r="A13161" s="3">
        <v>788259.0</v>
      </c>
      <c r="B13161" s="3" t="s">
        <v>13189</v>
      </c>
      <c r="C13161" s="3" t="s">
        <v>101</v>
      </c>
      <c r="D13161" s="3">
        <v>113.0</v>
      </c>
      <c r="E13161" s="3">
        <v>4.01</v>
      </c>
      <c r="F13161" s="3">
        <v>2.81</v>
      </c>
      <c r="G13161" s="3">
        <v>19.84</v>
      </c>
    </row>
    <row r="13162">
      <c r="A13162" s="3">
        <v>788260.0</v>
      </c>
      <c r="B13162" s="3" t="s">
        <v>13190</v>
      </c>
      <c r="C13162" s="3" t="s">
        <v>101</v>
      </c>
      <c r="D13162" s="3">
        <v>121.0</v>
      </c>
      <c r="E13162" s="3">
        <v>4.95</v>
      </c>
      <c r="F13162" s="3">
        <v>2.79</v>
      </c>
      <c r="G13162" s="3">
        <v>19.85</v>
      </c>
    </row>
    <row r="13163">
      <c r="A13163" s="3">
        <v>788261.0</v>
      </c>
      <c r="B13163" s="3" t="s">
        <v>13191</v>
      </c>
      <c r="C13163" s="3" t="s">
        <v>101</v>
      </c>
      <c r="D13163" s="3">
        <v>116.0</v>
      </c>
      <c r="E13163" s="3">
        <v>4.35</v>
      </c>
      <c r="F13163" s="3">
        <v>2.82</v>
      </c>
      <c r="G13163" s="3">
        <v>19.83</v>
      </c>
    </row>
    <row r="13164">
      <c r="A13164" s="3">
        <v>788262.0</v>
      </c>
      <c r="B13164" s="3" t="s">
        <v>13192</v>
      </c>
      <c r="C13164" s="3" t="s">
        <v>101</v>
      </c>
      <c r="D13164" s="3">
        <v>109.0</v>
      </c>
      <c r="E13164" s="3">
        <v>3.52</v>
      </c>
      <c r="F13164" s="3">
        <v>2.8</v>
      </c>
      <c r="G13164" s="3">
        <v>19.86</v>
      </c>
    </row>
    <row r="13165">
      <c r="A13165" s="3">
        <v>788263.0</v>
      </c>
      <c r="B13165" s="3" t="s">
        <v>13193</v>
      </c>
      <c r="C13165" s="3" t="s">
        <v>101</v>
      </c>
      <c r="D13165" s="3">
        <v>42.0</v>
      </c>
      <c r="E13165" s="3">
        <v>2.89</v>
      </c>
      <c r="F13165" s="3">
        <v>0.8</v>
      </c>
      <c r="G13165" s="3">
        <v>4.33</v>
      </c>
    </row>
    <row r="13166">
      <c r="A13166" s="3">
        <v>788264.0</v>
      </c>
      <c r="B13166" s="3" t="s">
        <v>13194</v>
      </c>
      <c r="C13166" s="3" t="s">
        <v>101</v>
      </c>
      <c r="D13166" s="3">
        <v>18.0</v>
      </c>
      <c r="E13166" s="3">
        <v>0.14</v>
      </c>
      <c r="F13166" s="3">
        <v>0.8</v>
      </c>
      <c r="G13166" s="3">
        <v>4.46</v>
      </c>
    </row>
    <row r="13167">
      <c r="A13167" s="3">
        <v>788265.0</v>
      </c>
      <c r="B13167" s="3" t="s">
        <v>13195</v>
      </c>
      <c r="C13167" s="3" t="s">
        <v>101</v>
      </c>
      <c r="D13167" s="3">
        <v>42.0</v>
      </c>
      <c r="E13167" s="3">
        <v>2.89</v>
      </c>
      <c r="F13167" s="3">
        <v>0.8</v>
      </c>
      <c r="G13167" s="3">
        <v>4.33</v>
      </c>
    </row>
    <row r="13168">
      <c r="A13168" s="3">
        <v>788266.0</v>
      </c>
      <c r="B13168" s="3" t="s">
        <v>13196</v>
      </c>
      <c r="C13168" s="3" t="s">
        <v>101</v>
      </c>
      <c r="D13168" s="3">
        <v>52.0</v>
      </c>
      <c r="E13168" s="3">
        <v>3.94</v>
      </c>
      <c r="F13168" s="3">
        <v>0.77</v>
      </c>
      <c r="G13168" s="3">
        <v>4.32</v>
      </c>
    </row>
    <row r="13169">
      <c r="A13169" s="3">
        <v>788267.0</v>
      </c>
      <c r="B13169" s="3" t="s">
        <v>13197</v>
      </c>
      <c r="C13169" s="3" t="s">
        <v>101</v>
      </c>
      <c r="D13169" s="3">
        <v>45.0</v>
      </c>
      <c r="E13169" s="3">
        <v>3.22</v>
      </c>
      <c r="F13169" s="3">
        <v>0.8</v>
      </c>
      <c r="G13169" s="3">
        <v>4.32</v>
      </c>
    </row>
    <row r="13170">
      <c r="A13170" s="3">
        <v>788268.0</v>
      </c>
      <c r="B13170" s="3" t="s">
        <v>13198</v>
      </c>
      <c r="C13170" s="3" t="s">
        <v>101</v>
      </c>
      <c r="D13170" s="3">
        <v>38.0</v>
      </c>
      <c r="E13170" s="3">
        <v>2.41</v>
      </c>
      <c r="F13170" s="3">
        <v>0.78</v>
      </c>
      <c r="G13170" s="3">
        <v>4.35</v>
      </c>
    </row>
    <row r="13171">
      <c r="A13171" s="3">
        <v>788269.0</v>
      </c>
      <c r="B13171" s="3" t="s">
        <v>13199</v>
      </c>
      <c r="C13171" s="3" t="s">
        <v>101</v>
      </c>
      <c r="D13171" s="3">
        <v>63.0</v>
      </c>
      <c r="E13171" s="3">
        <v>3.59</v>
      </c>
      <c r="F13171" s="3">
        <v>0.81</v>
      </c>
      <c r="G13171" s="3">
        <v>8.26</v>
      </c>
    </row>
    <row r="13172">
      <c r="A13172" s="3">
        <v>788270.0</v>
      </c>
      <c r="B13172" s="3" t="s">
        <v>13200</v>
      </c>
      <c r="C13172" s="3" t="s">
        <v>101</v>
      </c>
      <c r="D13172" s="3">
        <v>35.0</v>
      </c>
      <c r="E13172" s="3">
        <v>0.23</v>
      </c>
      <c r="F13172" s="3">
        <v>0.82</v>
      </c>
      <c r="G13172" s="3">
        <v>8.64</v>
      </c>
    </row>
    <row r="13173">
      <c r="A13173" s="3">
        <v>788271.0</v>
      </c>
      <c r="B13173" s="3" t="s">
        <v>13201</v>
      </c>
      <c r="C13173" s="3" t="s">
        <v>101</v>
      </c>
      <c r="D13173" s="3">
        <v>63.0</v>
      </c>
      <c r="E13173" s="3">
        <v>3.59</v>
      </c>
      <c r="F13173" s="3">
        <v>0.81</v>
      </c>
      <c r="G13173" s="3">
        <v>8.26</v>
      </c>
    </row>
    <row r="13174">
      <c r="A13174" s="3">
        <v>788272.0</v>
      </c>
      <c r="B13174" s="3" t="s">
        <v>13202</v>
      </c>
      <c r="C13174" s="3" t="s">
        <v>101</v>
      </c>
      <c r="D13174" s="3">
        <v>73.0</v>
      </c>
      <c r="E13174" s="3">
        <v>4.69</v>
      </c>
      <c r="F13174" s="3">
        <v>0.78</v>
      </c>
      <c r="G13174" s="3">
        <v>8.25</v>
      </c>
    </row>
    <row r="13175">
      <c r="A13175" s="3">
        <v>788273.0</v>
      </c>
      <c r="B13175" s="3" t="s">
        <v>13203</v>
      </c>
      <c r="C13175" s="3" t="s">
        <v>101</v>
      </c>
      <c r="D13175" s="3">
        <v>66.0</v>
      </c>
      <c r="E13175" s="3">
        <v>3.99</v>
      </c>
      <c r="F13175" s="3">
        <v>0.82</v>
      </c>
      <c r="G13175" s="3">
        <v>8.24</v>
      </c>
    </row>
    <row r="13176">
      <c r="A13176" s="3">
        <v>788274.0</v>
      </c>
      <c r="B13176" s="3" t="s">
        <v>13204</v>
      </c>
      <c r="C13176" s="3" t="s">
        <v>101</v>
      </c>
      <c r="D13176" s="3">
        <v>58.0</v>
      </c>
      <c r="E13176" s="3">
        <v>3.02</v>
      </c>
      <c r="F13176" s="3">
        <v>0.79</v>
      </c>
      <c r="G13176" s="3">
        <v>8.28</v>
      </c>
    </row>
    <row r="13177">
      <c r="A13177" s="3">
        <v>788275.0</v>
      </c>
      <c r="B13177" s="3" t="s">
        <v>13205</v>
      </c>
      <c r="C13177" s="3" t="s">
        <v>101</v>
      </c>
      <c r="D13177" s="3">
        <v>36.0</v>
      </c>
      <c r="E13177" s="3">
        <v>2.53</v>
      </c>
      <c r="F13177" s="3">
        <v>1.06</v>
      </c>
      <c r="G13177" s="3">
        <v>3.18</v>
      </c>
    </row>
    <row r="13178">
      <c r="A13178" s="3">
        <v>788276.0</v>
      </c>
      <c r="B13178" s="3" t="s">
        <v>13206</v>
      </c>
      <c r="C13178" s="3" t="s">
        <v>101</v>
      </c>
      <c r="D13178" s="3">
        <v>15.0</v>
      </c>
      <c r="E13178" s="3">
        <v>0.08</v>
      </c>
      <c r="F13178" s="3">
        <v>1.08</v>
      </c>
      <c r="G13178" s="3">
        <v>3.28</v>
      </c>
    </row>
    <row r="13179">
      <c r="A13179" s="3">
        <v>788277.0</v>
      </c>
      <c r="B13179" s="3" t="s">
        <v>13207</v>
      </c>
      <c r="C13179" s="3" t="s">
        <v>101</v>
      </c>
      <c r="D13179" s="3">
        <v>36.0</v>
      </c>
      <c r="E13179" s="3">
        <v>2.53</v>
      </c>
      <c r="F13179" s="3">
        <v>1.06</v>
      </c>
      <c r="G13179" s="3">
        <v>3.18</v>
      </c>
    </row>
    <row r="13180">
      <c r="A13180" s="3">
        <v>788278.0</v>
      </c>
      <c r="B13180" s="3" t="s">
        <v>13208</v>
      </c>
      <c r="C13180" s="3" t="s">
        <v>225</v>
      </c>
      <c r="D13180" s="3">
        <v>148.0</v>
      </c>
      <c r="E13180" s="3">
        <v>0.5</v>
      </c>
      <c r="F13180" s="3">
        <v>6.32</v>
      </c>
      <c r="G13180" s="3">
        <v>32.86</v>
      </c>
    </row>
    <row r="13181">
      <c r="A13181" s="3">
        <v>788279.0</v>
      </c>
      <c r="B13181" s="3" t="s">
        <v>13209</v>
      </c>
      <c r="C13181" s="3" t="s">
        <v>222</v>
      </c>
      <c r="D13181" s="3">
        <v>87.0</v>
      </c>
      <c r="E13181" s="3">
        <v>2.86</v>
      </c>
      <c r="F13181" s="3">
        <v>1.45</v>
      </c>
      <c r="G13181" s="3">
        <v>13.79</v>
      </c>
    </row>
    <row r="13182">
      <c r="A13182" s="3">
        <v>788280.0</v>
      </c>
      <c r="B13182" s="3" t="s">
        <v>13210</v>
      </c>
      <c r="C13182" s="3" t="s">
        <v>222</v>
      </c>
      <c r="D13182" s="3">
        <v>72.0</v>
      </c>
      <c r="E13182" s="3">
        <v>0.88</v>
      </c>
      <c r="F13182" s="3">
        <v>1.47</v>
      </c>
      <c r="G13182" s="3">
        <v>14.17</v>
      </c>
    </row>
    <row r="13183">
      <c r="A13183" s="3">
        <v>788281.0</v>
      </c>
      <c r="B13183" s="3" t="s">
        <v>13211</v>
      </c>
      <c r="C13183" s="3" t="s">
        <v>222</v>
      </c>
      <c r="D13183" s="3">
        <v>87.0</v>
      </c>
      <c r="E13183" s="3">
        <v>2.86</v>
      </c>
      <c r="F13183" s="3">
        <v>1.45</v>
      </c>
      <c r="G13183" s="3">
        <v>13.79</v>
      </c>
    </row>
    <row r="13184">
      <c r="A13184" s="3">
        <v>788282.0</v>
      </c>
      <c r="B13184" s="3" t="s">
        <v>13212</v>
      </c>
      <c r="C13184" s="3" t="s">
        <v>101</v>
      </c>
      <c r="D13184" s="3">
        <v>46.0</v>
      </c>
      <c r="E13184" s="3">
        <v>2.12</v>
      </c>
      <c r="F13184" s="3">
        <v>1.76</v>
      </c>
      <c r="G13184" s="3">
        <v>6.48</v>
      </c>
    </row>
    <row r="13185">
      <c r="A13185" s="3">
        <v>788283.0</v>
      </c>
      <c r="B13185" s="3" t="s">
        <v>13213</v>
      </c>
      <c r="C13185" s="3" t="s">
        <v>101</v>
      </c>
      <c r="D13185" s="3">
        <v>29.0</v>
      </c>
      <c r="E13185" s="3">
        <v>0.11</v>
      </c>
      <c r="F13185" s="3">
        <v>1.79</v>
      </c>
      <c r="G13185" s="3">
        <v>6.65</v>
      </c>
    </row>
    <row r="13186">
      <c r="A13186" s="3">
        <v>788284.0</v>
      </c>
      <c r="B13186" s="3" t="s">
        <v>13214</v>
      </c>
      <c r="C13186" s="3" t="s">
        <v>101</v>
      </c>
      <c r="D13186" s="3">
        <v>46.0</v>
      </c>
      <c r="E13186" s="3">
        <v>2.12</v>
      </c>
      <c r="F13186" s="3">
        <v>1.76</v>
      </c>
      <c r="G13186" s="3">
        <v>6.48</v>
      </c>
    </row>
    <row r="13187">
      <c r="A13187" s="3">
        <v>788285.0</v>
      </c>
      <c r="B13187" s="3" t="s">
        <v>13215</v>
      </c>
      <c r="C13187" s="3" t="s">
        <v>101</v>
      </c>
      <c r="D13187" s="3">
        <v>83.0</v>
      </c>
      <c r="E13187" s="3">
        <v>2.66</v>
      </c>
      <c r="F13187" s="3">
        <v>1.54</v>
      </c>
      <c r="G13187" s="3">
        <v>14.36</v>
      </c>
    </row>
    <row r="13188">
      <c r="A13188" s="3">
        <v>788286.0</v>
      </c>
      <c r="B13188" s="3" t="s">
        <v>13216</v>
      </c>
      <c r="C13188" s="3" t="s">
        <v>101</v>
      </c>
      <c r="D13188" s="3">
        <v>95.0</v>
      </c>
      <c r="E13188" s="3">
        <v>3.68</v>
      </c>
      <c r="F13188" s="3">
        <v>1.51</v>
      </c>
      <c r="G13188" s="3">
        <v>15.31</v>
      </c>
    </row>
    <row r="13189">
      <c r="A13189" s="3">
        <v>788287.0</v>
      </c>
      <c r="B13189" s="3" t="s">
        <v>13217</v>
      </c>
      <c r="C13189" s="3" t="s">
        <v>101</v>
      </c>
      <c r="D13189" s="3">
        <v>65.0</v>
      </c>
      <c r="E13189" s="3">
        <v>0.07</v>
      </c>
      <c r="F13189" s="3">
        <v>1.57</v>
      </c>
      <c r="G13189" s="3">
        <v>15.89</v>
      </c>
    </row>
    <row r="13190">
      <c r="A13190" s="3">
        <v>788288.0</v>
      </c>
      <c r="B13190" s="3" t="s">
        <v>13218</v>
      </c>
      <c r="C13190" s="3" t="s">
        <v>101</v>
      </c>
      <c r="D13190" s="3">
        <v>122.0</v>
      </c>
      <c r="E13190" s="3">
        <v>6.99</v>
      </c>
      <c r="F13190" s="3">
        <v>1.45</v>
      </c>
      <c r="G13190" s="3">
        <v>14.66</v>
      </c>
    </row>
    <row r="13191">
      <c r="A13191" s="3">
        <v>788289.0</v>
      </c>
      <c r="B13191" s="3" t="s">
        <v>13219</v>
      </c>
      <c r="C13191" s="3" t="s">
        <v>101</v>
      </c>
      <c r="D13191" s="3">
        <v>46.0</v>
      </c>
      <c r="E13191" s="3">
        <v>2.58</v>
      </c>
      <c r="F13191" s="3">
        <v>2.11</v>
      </c>
      <c r="G13191" s="3">
        <v>5.11</v>
      </c>
    </row>
    <row r="13192">
      <c r="A13192" s="3">
        <v>788290.0</v>
      </c>
      <c r="B13192" s="3" t="s">
        <v>13220</v>
      </c>
      <c r="C13192" s="3" t="s">
        <v>101</v>
      </c>
      <c r="D13192" s="3">
        <v>46.0</v>
      </c>
      <c r="E13192" s="3">
        <v>2.58</v>
      </c>
      <c r="F13192" s="3">
        <v>2.11</v>
      </c>
      <c r="G13192" s="3">
        <v>5.11</v>
      </c>
    </row>
    <row r="13193">
      <c r="A13193" s="3">
        <v>788291.0</v>
      </c>
      <c r="B13193" s="3" t="s">
        <v>13221</v>
      </c>
      <c r="C13193" s="3" t="s">
        <v>101</v>
      </c>
      <c r="D13193" s="3">
        <v>46.0</v>
      </c>
      <c r="E13193" s="3">
        <v>2.58</v>
      </c>
      <c r="F13193" s="3">
        <v>2.11</v>
      </c>
      <c r="G13193" s="3">
        <v>5.11</v>
      </c>
    </row>
    <row r="13194">
      <c r="A13194" s="3">
        <v>788292.0</v>
      </c>
      <c r="B13194" s="3" t="s">
        <v>13222</v>
      </c>
      <c r="C13194" s="3" t="s">
        <v>101</v>
      </c>
      <c r="D13194" s="3">
        <v>49.0</v>
      </c>
      <c r="E13194" s="3">
        <v>3.09</v>
      </c>
      <c r="F13194" s="3">
        <v>1.81</v>
      </c>
      <c r="G13194" s="3">
        <v>4.92</v>
      </c>
    </row>
    <row r="13195">
      <c r="A13195" s="3">
        <v>788293.0</v>
      </c>
      <c r="B13195" s="3" t="s">
        <v>13223</v>
      </c>
      <c r="C13195" s="3" t="s">
        <v>101</v>
      </c>
      <c r="D13195" s="3">
        <v>28.0</v>
      </c>
      <c r="E13195" s="3">
        <v>0.47</v>
      </c>
      <c r="F13195" s="3">
        <v>2.16</v>
      </c>
      <c r="G13195" s="3">
        <v>5.26</v>
      </c>
    </row>
    <row r="13196">
      <c r="A13196" s="3">
        <v>788294.0</v>
      </c>
      <c r="B13196" s="3" t="s">
        <v>13224</v>
      </c>
      <c r="C13196" s="3" t="s">
        <v>101</v>
      </c>
      <c r="D13196" s="3">
        <v>28.0</v>
      </c>
      <c r="E13196" s="3">
        <v>0.47</v>
      </c>
      <c r="F13196" s="3">
        <v>2.16</v>
      </c>
      <c r="G13196" s="3">
        <v>5.26</v>
      </c>
    </row>
    <row r="13197">
      <c r="A13197" s="3">
        <v>788295.0</v>
      </c>
      <c r="B13197" s="3" t="s">
        <v>13225</v>
      </c>
      <c r="C13197" s="3" t="s">
        <v>101</v>
      </c>
      <c r="D13197" s="3">
        <v>28.0</v>
      </c>
      <c r="E13197" s="3">
        <v>0.47</v>
      </c>
      <c r="F13197" s="3">
        <v>2.16</v>
      </c>
      <c r="G13197" s="3">
        <v>5.26</v>
      </c>
    </row>
    <row r="13198">
      <c r="A13198" s="3">
        <v>788296.0</v>
      </c>
      <c r="B13198" s="3" t="s">
        <v>13226</v>
      </c>
      <c r="C13198" s="3" t="s">
        <v>101</v>
      </c>
      <c r="D13198" s="3">
        <v>25.0</v>
      </c>
      <c r="E13198" s="3">
        <v>0.29</v>
      </c>
      <c r="F13198" s="3">
        <v>1.86</v>
      </c>
      <c r="G13198" s="3">
        <v>5.06</v>
      </c>
    </row>
    <row r="13199">
      <c r="A13199" s="3">
        <v>788297.0</v>
      </c>
      <c r="B13199" s="3" t="s">
        <v>13227</v>
      </c>
      <c r="C13199" s="3" t="s">
        <v>101</v>
      </c>
      <c r="D13199" s="3">
        <v>46.0</v>
      </c>
      <c r="E13199" s="3">
        <v>2.58</v>
      </c>
      <c r="F13199" s="3">
        <v>2.11</v>
      </c>
      <c r="G13199" s="3">
        <v>5.11</v>
      </c>
    </row>
    <row r="13200">
      <c r="A13200" s="3">
        <v>788298.0</v>
      </c>
      <c r="B13200" s="3" t="s">
        <v>13228</v>
      </c>
      <c r="C13200" s="3" t="s">
        <v>101</v>
      </c>
      <c r="D13200" s="3">
        <v>46.0</v>
      </c>
      <c r="E13200" s="3">
        <v>2.58</v>
      </c>
      <c r="F13200" s="3">
        <v>2.11</v>
      </c>
      <c r="G13200" s="3">
        <v>5.11</v>
      </c>
    </row>
    <row r="13201">
      <c r="A13201" s="3">
        <v>788299.0</v>
      </c>
      <c r="B13201" s="3" t="s">
        <v>13229</v>
      </c>
      <c r="C13201" s="3" t="s">
        <v>101</v>
      </c>
      <c r="D13201" s="3">
        <v>46.0</v>
      </c>
      <c r="E13201" s="3">
        <v>2.58</v>
      </c>
      <c r="F13201" s="3">
        <v>2.11</v>
      </c>
      <c r="G13201" s="3">
        <v>5.11</v>
      </c>
    </row>
    <row r="13202">
      <c r="A13202" s="3">
        <v>788300.0</v>
      </c>
      <c r="B13202" s="3" t="s">
        <v>13230</v>
      </c>
      <c r="C13202" s="3" t="s">
        <v>101</v>
      </c>
      <c r="D13202" s="3">
        <v>49.0</v>
      </c>
      <c r="E13202" s="3">
        <v>3.09</v>
      </c>
      <c r="F13202" s="3">
        <v>1.81</v>
      </c>
      <c r="G13202" s="3">
        <v>4.92</v>
      </c>
    </row>
    <row r="13203">
      <c r="A13203" s="3">
        <v>788301.0</v>
      </c>
      <c r="B13203" s="3" t="s">
        <v>13231</v>
      </c>
      <c r="C13203" s="3" t="s">
        <v>101</v>
      </c>
      <c r="D13203" s="3">
        <v>52.0</v>
      </c>
      <c r="E13203" s="3">
        <v>3.27</v>
      </c>
      <c r="F13203" s="3">
        <v>2.1</v>
      </c>
      <c r="G13203" s="3">
        <v>5.11</v>
      </c>
    </row>
    <row r="13204">
      <c r="A13204" s="3">
        <v>788302.0</v>
      </c>
      <c r="B13204" s="3" t="s">
        <v>13232</v>
      </c>
      <c r="C13204" s="3" t="s">
        <v>101</v>
      </c>
      <c r="D13204" s="3">
        <v>48.0</v>
      </c>
      <c r="E13204" s="3">
        <v>2.82</v>
      </c>
      <c r="F13204" s="3">
        <v>2.12</v>
      </c>
      <c r="G13204" s="3">
        <v>5.1</v>
      </c>
    </row>
    <row r="13205">
      <c r="A13205" s="3">
        <v>788303.0</v>
      </c>
      <c r="B13205" s="3" t="s">
        <v>13233</v>
      </c>
      <c r="C13205" s="3" t="s">
        <v>101</v>
      </c>
      <c r="D13205" s="3">
        <v>43.0</v>
      </c>
      <c r="E13205" s="3">
        <v>2.22</v>
      </c>
      <c r="F13205" s="3">
        <v>2.1</v>
      </c>
      <c r="G13205" s="3">
        <v>5.13</v>
      </c>
    </row>
    <row r="13206">
      <c r="A13206" s="3">
        <v>788304.0</v>
      </c>
      <c r="B13206" s="3" t="s">
        <v>13234</v>
      </c>
      <c r="C13206" s="3" t="s">
        <v>101</v>
      </c>
      <c r="D13206" s="3">
        <v>52.0</v>
      </c>
      <c r="E13206" s="3">
        <v>3.27</v>
      </c>
      <c r="F13206" s="3">
        <v>2.1</v>
      </c>
      <c r="G13206" s="3">
        <v>5.11</v>
      </c>
    </row>
    <row r="13207">
      <c r="A13207" s="3">
        <v>788305.0</v>
      </c>
      <c r="B13207" s="3" t="s">
        <v>13235</v>
      </c>
      <c r="C13207" s="3" t="s">
        <v>101</v>
      </c>
      <c r="D13207" s="3">
        <v>48.0</v>
      </c>
      <c r="E13207" s="3">
        <v>2.82</v>
      </c>
      <c r="F13207" s="3">
        <v>2.12</v>
      </c>
      <c r="G13207" s="3">
        <v>5.1</v>
      </c>
    </row>
    <row r="13208">
      <c r="A13208" s="3">
        <v>788306.0</v>
      </c>
      <c r="B13208" s="3" t="s">
        <v>13236</v>
      </c>
      <c r="C13208" s="3" t="s">
        <v>101</v>
      </c>
      <c r="D13208" s="3">
        <v>43.0</v>
      </c>
      <c r="E13208" s="3">
        <v>2.22</v>
      </c>
      <c r="F13208" s="3">
        <v>2.1</v>
      </c>
      <c r="G13208" s="3">
        <v>5.13</v>
      </c>
    </row>
    <row r="13209">
      <c r="A13209" s="3">
        <v>788307.0</v>
      </c>
      <c r="B13209" s="3" t="s">
        <v>13237</v>
      </c>
      <c r="C13209" s="3" t="s">
        <v>101</v>
      </c>
      <c r="D13209" s="3">
        <v>52.0</v>
      </c>
      <c r="E13209" s="3">
        <v>3.27</v>
      </c>
      <c r="F13209" s="3">
        <v>2.1</v>
      </c>
      <c r="G13209" s="3">
        <v>5.11</v>
      </c>
    </row>
    <row r="13210">
      <c r="A13210" s="3">
        <v>788308.0</v>
      </c>
      <c r="B13210" s="3" t="s">
        <v>13238</v>
      </c>
      <c r="C13210" s="3" t="s">
        <v>101</v>
      </c>
      <c r="D13210" s="3">
        <v>48.0</v>
      </c>
      <c r="E13210" s="3">
        <v>2.82</v>
      </c>
      <c r="F13210" s="3">
        <v>2.12</v>
      </c>
      <c r="G13210" s="3">
        <v>5.1</v>
      </c>
    </row>
    <row r="13211">
      <c r="A13211" s="3">
        <v>788309.0</v>
      </c>
      <c r="B13211" s="3" t="s">
        <v>13239</v>
      </c>
      <c r="C13211" s="3" t="s">
        <v>101</v>
      </c>
      <c r="D13211" s="3">
        <v>43.0</v>
      </c>
      <c r="E13211" s="3">
        <v>2.22</v>
      </c>
      <c r="F13211" s="3">
        <v>2.1</v>
      </c>
      <c r="G13211" s="3">
        <v>5.13</v>
      </c>
    </row>
    <row r="13212">
      <c r="A13212" s="3">
        <v>788310.0</v>
      </c>
      <c r="B13212" s="3" t="s">
        <v>13240</v>
      </c>
      <c r="C13212" s="3" t="s">
        <v>101</v>
      </c>
      <c r="D13212" s="3">
        <v>49.0</v>
      </c>
      <c r="E13212" s="3">
        <v>3.09</v>
      </c>
      <c r="F13212" s="3">
        <v>1.81</v>
      </c>
      <c r="G13212" s="3">
        <v>4.92</v>
      </c>
    </row>
    <row r="13213">
      <c r="A13213" s="3">
        <v>788311.0</v>
      </c>
      <c r="B13213" s="3" t="s">
        <v>13241</v>
      </c>
      <c r="C13213" s="3" t="s">
        <v>101</v>
      </c>
      <c r="D13213" s="3">
        <v>45.0</v>
      </c>
      <c r="E13213" s="3">
        <v>2.65</v>
      </c>
      <c r="F13213" s="3">
        <v>1.83</v>
      </c>
      <c r="G13213" s="3">
        <v>4.91</v>
      </c>
    </row>
    <row r="13214">
      <c r="A13214" s="3">
        <v>788312.0</v>
      </c>
      <c r="B13214" s="3" t="s">
        <v>13242</v>
      </c>
      <c r="C13214" s="3" t="s">
        <v>101</v>
      </c>
      <c r="D13214" s="3">
        <v>40.0</v>
      </c>
      <c r="E13214" s="3">
        <v>2.04</v>
      </c>
      <c r="F13214" s="3">
        <v>1.81</v>
      </c>
      <c r="G13214" s="3">
        <v>4.93</v>
      </c>
    </row>
    <row r="13215">
      <c r="A13215" s="3">
        <v>788313.0</v>
      </c>
      <c r="B13215" s="3" t="s">
        <v>13243</v>
      </c>
      <c r="C13215" s="3" t="s">
        <v>101</v>
      </c>
      <c r="D13215" s="3">
        <v>56.0</v>
      </c>
      <c r="E13215" s="3">
        <v>0.22</v>
      </c>
      <c r="F13215" s="3">
        <v>1.55</v>
      </c>
      <c r="G13215" s="3">
        <v>14.29</v>
      </c>
    </row>
    <row r="13216">
      <c r="A13216" s="3">
        <v>788314.0</v>
      </c>
      <c r="B13216" s="3" t="s">
        <v>13244</v>
      </c>
      <c r="C13216" s="3" t="s">
        <v>101</v>
      </c>
      <c r="D13216" s="3">
        <v>44.0</v>
      </c>
      <c r="E13216" s="3">
        <v>2.04</v>
      </c>
      <c r="F13216" s="3">
        <v>1.6</v>
      </c>
      <c r="G13216" s="3">
        <v>6.23</v>
      </c>
    </row>
    <row r="13217">
      <c r="A13217" s="3">
        <v>788315.0</v>
      </c>
      <c r="B13217" s="3" t="s">
        <v>13245</v>
      </c>
      <c r="C13217" s="3" t="s">
        <v>101</v>
      </c>
      <c r="D13217" s="3">
        <v>40.0</v>
      </c>
      <c r="E13217" s="3">
        <v>2.27</v>
      </c>
      <c r="F13217" s="3">
        <v>1.82</v>
      </c>
      <c r="G13217" s="3">
        <v>4.36</v>
      </c>
    </row>
    <row r="13218">
      <c r="A13218" s="3">
        <v>788316.0</v>
      </c>
      <c r="B13218" s="3" t="s">
        <v>13246</v>
      </c>
      <c r="C13218" s="3" t="s">
        <v>101</v>
      </c>
      <c r="D13218" s="3">
        <v>44.0</v>
      </c>
      <c r="E13218" s="3">
        <v>2.04</v>
      </c>
      <c r="F13218" s="3">
        <v>1.6</v>
      </c>
      <c r="G13218" s="3">
        <v>6.23</v>
      </c>
    </row>
    <row r="13219">
      <c r="A13219" s="3">
        <v>788317.0</v>
      </c>
      <c r="B13219" s="3" t="s">
        <v>13247</v>
      </c>
      <c r="C13219" s="3" t="s">
        <v>101</v>
      </c>
      <c r="D13219" s="3">
        <v>40.0</v>
      </c>
      <c r="E13219" s="3">
        <v>2.27</v>
      </c>
      <c r="F13219" s="3">
        <v>1.82</v>
      </c>
      <c r="G13219" s="3">
        <v>4.36</v>
      </c>
    </row>
    <row r="13220">
      <c r="A13220" s="3">
        <v>788318.0</v>
      </c>
      <c r="B13220" s="3" t="s">
        <v>13248</v>
      </c>
      <c r="C13220" s="3" t="s">
        <v>101</v>
      </c>
      <c r="D13220" s="3">
        <v>29.0</v>
      </c>
      <c r="E13220" s="3">
        <v>0.24</v>
      </c>
      <c r="F13220" s="3">
        <v>1.62</v>
      </c>
      <c r="G13220" s="3">
        <v>6.38</v>
      </c>
    </row>
    <row r="13221">
      <c r="A13221" s="3">
        <v>788319.0</v>
      </c>
      <c r="B13221" s="3" t="s">
        <v>13249</v>
      </c>
      <c r="C13221" s="3" t="s">
        <v>101</v>
      </c>
      <c r="D13221" s="3">
        <v>22.0</v>
      </c>
      <c r="E13221" s="3">
        <v>0.21</v>
      </c>
      <c r="F13221" s="3">
        <v>1.86</v>
      </c>
      <c r="G13221" s="3">
        <v>4.48</v>
      </c>
    </row>
    <row r="13222">
      <c r="A13222" s="3">
        <v>788320.0</v>
      </c>
      <c r="B13222" s="3" t="s">
        <v>13250</v>
      </c>
      <c r="C13222" s="3" t="s">
        <v>101</v>
      </c>
      <c r="D13222" s="3">
        <v>29.0</v>
      </c>
      <c r="E13222" s="3">
        <v>0.24</v>
      </c>
      <c r="F13222" s="3">
        <v>1.62</v>
      </c>
      <c r="G13222" s="3">
        <v>6.38</v>
      </c>
    </row>
    <row r="13223">
      <c r="A13223" s="3">
        <v>788321.0</v>
      </c>
      <c r="B13223" s="3" t="s">
        <v>13251</v>
      </c>
      <c r="C13223" s="3" t="s">
        <v>101</v>
      </c>
      <c r="D13223" s="3">
        <v>22.0</v>
      </c>
      <c r="E13223" s="3">
        <v>0.21</v>
      </c>
      <c r="F13223" s="3">
        <v>1.86</v>
      </c>
      <c r="G13223" s="3">
        <v>4.48</v>
      </c>
    </row>
    <row r="13224">
      <c r="A13224" s="3">
        <v>788322.0</v>
      </c>
      <c r="B13224" s="3" t="s">
        <v>13252</v>
      </c>
      <c r="C13224" s="3" t="s">
        <v>101</v>
      </c>
      <c r="D13224" s="3">
        <v>44.0</v>
      </c>
      <c r="E13224" s="3">
        <v>2.04</v>
      </c>
      <c r="F13224" s="3">
        <v>1.6</v>
      </c>
      <c r="G13224" s="3">
        <v>6.23</v>
      </c>
    </row>
    <row r="13225">
      <c r="A13225" s="3">
        <v>788323.0</v>
      </c>
      <c r="B13225" s="3" t="s">
        <v>13253</v>
      </c>
      <c r="C13225" s="3" t="s">
        <v>101</v>
      </c>
      <c r="D13225" s="3">
        <v>40.0</v>
      </c>
      <c r="E13225" s="3">
        <v>2.27</v>
      </c>
      <c r="F13225" s="3">
        <v>1.82</v>
      </c>
      <c r="G13225" s="3">
        <v>4.36</v>
      </c>
    </row>
    <row r="13226">
      <c r="A13226" s="3">
        <v>788324.0</v>
      </c>
      <c r="B13226" s="3" t="s">
        <v>13254</v>
      </c>
      <c r="C13226" s="3" t="s">
        <v>101</v>
      </c>
      <c r="D13226" s="3">
        <v>44.0</v>
      </c>
      <c r="E13226" s="3">
        <v>2.04</v>
      </c>
      <c r="F13226" s="3">
        <v>1.6</v>
      </c>
      <c r="G13226" s="3">
        <v>6.23</v>
      </c>
    </row>
    <row r="13227">
      <c r="A13227" s="3">
        <v>788325.0</v>
      </c>
      <c r="B13227" s="3" t="s">
        <v>13255</v>
      </c>
      <c r="C13227" s="3" t="s">
        <v>101</v>
      </c>
      <c r="D13227" s="3">
        <v>40.0</v>
      </c>
      <c r="E13227" s="3">
        <v>2.27</v>
      </c>
      <c r="F13227" s="3">
        <v>1.82</v>
      </c>
      <c r="G13227" s="3">
        <v>4.36</v>
      </c>
    </row>
    <row r="13228">
      <c r="A13228" s="3">
        <v>788326.0</v>
      </c>
      <c r="B13228" s="3" t="s">
        <v>13256</v>
      </c>
      <c r="C13228" s="3" t="s">
        <v>101</v>
      </c>
      <c r="D13228" s="3">
        <v>49.0</v>
      </c>
      <c r="E13228" s="3">
        <v>2.63</v>
      </c>
      <c r="F13228" s="3">
        <v>1.58</v>
      </c>
      <c r="G13228" s="3">
        <v>6.22</v>
      </c>
    </row>
    <row r="13229">
      <c r="A13229" s="3">
        <v>788327.0</v>
      </c>
      <c r="B13229" s="3" t="s">
        <v>13257</v>
      </c>
      <c r="C13229" s="3" t="s">
        <v>101</v>
      </c>
      <c r="D13229" s="3">
        <v>46.0</v>
      </c>
      <c r="E13229" s="3">
        <v>2.25</v>
      </c>
      <c r="F13229" s="3">
        <v>1.6</v>
      </c>
      <c r="G13229" s="3">
        <v>6.22</v>
      </c>
    </row>
    <row r="13230">
      <c r="A13230" s="3">
        <v>788328.0</v>
      </c>
      <c r="B13230" s="3" t="s">
        <v>13258</v>
      </c>
      <c r="C13230" s="3" t="s">
        <v>101</v>
      </c>
      <c r="D13230" s="3">
        <v>42.0</v>
      </c>
      <c r="E13230" s="3">
        <v>1.74</v>
      </c>
      <c r="F13230" s="3">
        <v>1.58</v>
      </c>
      <c r="G13230" s="3">
        <v>6.24</v>
      </c>
    </row>
    <row r="13231">
      <c r="A13231" s="3">
        <v>788329.0</v>
      </c>
      <c r="B13231" s="3" t="s">
        <v>13259</v>
      </c>
      <c r="C13231" s="3" t="s">
        <v>101</v>
      </c>
      <c r="D13231" s="3">
        <v>46.0</v>
      </c>
      <c r="E13231" s="3">
        <v>2.95</v>
      </c>
      <c r="F13231" s="3">
        <v>1.81</v>
      </c>
      <c r="G13231" s="3">
        <v>4.36</v>
      </c>
    </row>
    <row r="13232">
      <c r="A13232" s="3">
        <v>788330.0</v>
      </c>
      <c r="B13232" s="3" t="s">
        <v>13260</v>
      </c>
      <c r="C13232" s="3" t="s">
        <v>101</v>
      </c>
      <c r="D13232" s="3">
        <v>42.0</v>
      </c>
      <c r="E13232" s="3">
        <v>2.52</v>
      </c>
      <c r="F13232" s="3">
        <v>1.83</v>
      </c>
      <c r="G13232" s="3">
        <v>4.36</v>
      </c>
    </row>
    <row r="13233">
      <c r="A13233" s="3">
        <v>788331.0</v>
      </c>
      <c r="B13233" s="3" t="s">
        <v>13261</v>
      </c>
      <c r="C13233" s="3" t="s">
        <v>101</v>
      </c>
      <c r="D13233" s="3">
        <v>37.0</v>
      </c>
      <c r="E13233" s="3">
        <v>1.92</v>
      </c>
      <c r="F13233" s="3">
        <v>1.81</v>
      </c>
      <c r="G13233" s="3">
        <v>4.38</v>
      </c>
    </row>
    <row r="13234">
      <c r="A13234" s="3">
        <v>788332.0</v>
      </c>
      <c r="B13234" s="3" t="s">
        <v>13262</v>
      </c>
      <c r="C13234" s="3" t="s">
        <v>101</v>
      </c>
      <c r="D13234" s="3">
        <v>49.0</v>
      </c>
      <c r="E13234" s="3">
        <v>2.63</v>
      </c>
      <c r="F13234" s="3">
        <v>1.58</v>
      </c>
      <c r="G13234" s="3">
        <v>6.22</v>
      </c>
    </row>
    <row r="13235">
      <c r="A13235" s="3">
        <v>788333.0</v>
      </c>
      <c r="B13235" s="3" t="s">
        <v>13263</v>
      </c>
      <c r="C13235" s="3" t="s">
        <v>101</v>
      </c>
      <c r="D13235" s="3">
        <v>46.0</v>
      </c>
      <c r="E13235" s="3">
        <v>2.25</v>
      </c>
      <c r="F13235" s="3">
        <v>1.6</v>
      </c>
      <c r="G13235" s="3">
        <v>6.22</v>
      </c>
    </row>
    <row r="13236">
      <c r="A13236" s="3">
        <v>788334.0</v>
      </c>
      <c r="B13236" s="3" t="s">
        <v>13264</v>
      </c>
      <c r="C13236" s="3" t="s">
        <v>101</v>
      </c>
      <c r="D13236" s="3">
        <v>42.0</v>
      </c>
      <c r="E13236" s="3">
        <v>1.74</v>
      </c>
      <c r="F13236" s="3">
        <v>1.58</v>
      </c>
      <c r="G13236" s="3">
        <v>6.24</v>
      </c>
    </row>
    <row r="13237">
      <c r="A13237" s="3">
        <v>788335.0</v>
      </c>
      <c r="B13237" s="3" t="s">
        <v>13265</v>
      </c>
      <c r="C13237" s="3" t="s">
        <v>101</v>
      </c>
      <c r="D13237" s="3">
        <v>46.0</v>
      </c>
      <c r="E13237" s="3">
        <v>2.95</v>
      </c>
      <c r="F13237" s="3">
        <v>1.81</v>
      </c>
      <c r="G13237" s="3">
        <v>4.36</v>
      </c>
    </row>
    <row r="13238">
      <c r="A13238" s="3">
        <v>788336.0</v>
      </c>
      <c r="B13238" s="3" t="s">
        <v>13266</v>
      </c>
      <c r="C13238" s="3" t="s">
        <v>101</v>
      </c>
      <c r="D13238" s="3">
        <v>42.0</v>
      </c>
      <c r="E13238" s="3">
        <v>2.52</v>
      </c>
      <c r="F13238" s="3">
        <v>1.83</v>
      </c>
      <c r="G13238" s="3">
        <v>4.36</v>
      </c>
    </row>
    <row r="13239">
      <c r="A13239" s="3">
        <v>788337.0</v>
      </c>
      <c r="B13239" s="3" t="s">
        <v>13267</v>
      </c>
      <c r="C13239" s="3" t="s">
        <v>101</v>
      </c>
      <c r="D13239" s="3">
        <v>37.0</v>
      </c>
      <c r="E13239" s="3">
        <v>1.92</v>
      </c>
      <c r="F13239" s="3">
        <v>1.81</v>
      </c>
      <c r="G13239" s="3">
        <v>4.38</v>
      </c>
    </row>
    <row r="13240">
      <c r="A13240" s="3">
        <v>788338.0</v>
      </c>
      <c r="B13240" s="3" t="s">
        <v>13268</v>
      </c>
      <c r="C13240" s="3" t="s">
        <v>101</v>
      </c>
      <c r="D13240" s="3">
        <v>50.0</v>
      </c>
      <c r="E13240" s="3">
        <v>3.54</v>
      </c>
      <c r="F13240" s="3">
        <v>1.32</v>
      </c>
      <c r="G13240" s="3">
        <v>4.29</v>
      </c>
    </row>
    <row r="13241">
      <c r="A13241" s="3">
        <v>788339.0</v>
      </c>
      <c r="B13241" s="3" t="s">
        <v>13269</v>
      </c>
      <c r="C13241" s="3" t="s">
        <v>101</v>
      </c>
      <c r="D13241" s="3">
        <v>14.0</v>
      </c>
      <c r="E13241" s="3">
        <v>0.14</v>
      </c>
      <c r="F13241" s="3">
        <v>0.9</v>
      </c>
      <c r="G13241" s="3">
        <v>2.95</v>
      </c>
    </row>
    <row r="13242">
      <c r="A13242" s="3">
        <v>788340.0</v>
      </c>
      <c r="B13242" s="3" t="s">
        <v>13270</v>
      </c>
      <c r="C13242" s="3" t="s">
        <v>101</v>
      </c>
      <c r="D13242" s="3">
        <v>50.0</v>
      </c>
      <c r="E13242" s="3">
        <v>3.54</v>
      </c>
      <c r="F13242" s="3">
        <v>1.32</v>
      </c>
      <c r="G13242" s="3">
        <v>4.29</v>
      </c>
    </row>
    <row r="13243">
      <c r="A13243" s="3">
        <v>788341.0</v>
      </c>
      <c r="B13243" s="3" t="s">
        <v>13271</v>
      </c>
      <c r="C13243" s="3" t="s">
        <v>101</v>
      </c>
      <c r="D13243" s="3">
        <v>46.0</v>
      </c>
      <c r="E13243" s="3">
        <v>2.95</v>
      </c>
      <c r="F13243" s="3">
        <v>1.81</v>
      </c>
      <c r="G13243" s="3">
        <v>4.36</v>
      </c>
    </row>
    <row r="13244">
      <c r="A13244" s="3">
        <v>788342.0</v>
      </c>
      <c r="B13244" s="3" t="s">
        <v>13272</v>
      </c>
      <c r="C13244" s="3" t="s">
        <v>101</v>
      </c>
      <c r="D13244" s="3">
        <v>22.0</v>
      </c>
      <c r="E13244" s="3">
        <v>0.21</v>
      </c>
      <c r="F13244" s="3">
        <v>1.86</v>
      </c>
      <c r="G13244" s="3">
        <v>4.48</v>
      </c>
    </row>
    <row r="13245">
      <c r="A13245" s="3">
        <v>788343.0</v>
      </c>
      <c r="B13245" s="3" t="s">
        <v>13273</v>
      </c>
      <c r="C13245" s="3" t="s">
        <v>101</v>
      </c>
      <c r="D13245" s="3">
        <v>46.0</v>
      </c>
      <c r="E13245" s="3">
        <v>2.95</v>
      </c>
      <c r="F13245" s="3">
        <v>1.81</v>
      </c>
      <c r="G13245" s="3">
        <v>4.36</v>
      </c>
    </row>
    <row r="13246">
      <c r="A13246" s="3">
        <v>788344.0</v>
      </c>
      <c r="B13246" s="3" t="s">
        <v>13274</v>
      </c>
      <c r="C13246" s="3" t="s">
        <v>101</v>
      </c>
      <c r="D13246" s="3">
        <v>40.0</v>
      </c>
      <c r="E13246" s="3">
        <v>1.5</v>
      </c>
      <c r="F13246" s="3">
        <v>0.76</v>
      </c>
      <c r="G13246" s="3">
        <v>6.44</v>
      </c>
    </row>
    <row r="13247">
      <c r="A13247" s="3">
        <v>788345.0</v>
      </c>
      <c r="B13247" s="3" t="s">
        <v>13275</v>
      </c>
      <c r="C13247" s="3" t="s">
        <v>101</v>
      </c>
      <c r="D13247" s="3">
        <v>57.0</v>
      </c>
      <c r="E13247" s="3">
        <v>1.78</v>
      </c>
      <c r="F13247" s="3">
        <v>1.34</v>
      </c>
      <c r="G13247" s="3">
        <v>9.89</v>
      </c>
    </row>
    <row r="13248">
      <c r="A13248" s="3">
        <v>788346.0</v>
      </c>
      <c r="B13248" s="3" t="s">
        <v>13276</v>
      </c>
      <c r="C13248" s="3" t="s">
        <v>101</v>
      </c>
      <c r="D13248" s="3">
        <v>40.0</v>
      </c>
      <c r="E13248" s="3">
        <v>1.5</v>
      </c>
      <c r="F13248" s="3">
        <v>0.76</v>
      </c>
      <c r="G13248" s="3">
        <v>6.44</v>
      </c>
    </row>
    <row r="13249">
      <c r="A13249" s="3">
        <v>788347.0</v>
      </c>
      <c r="B13249" s="3" t="s">
        <v>13277</v>
      </c>
      <c r="C13249" s="3" t="s">
        <v>101</v>
      </c>
      <c r="D13249" s="3">
        <v>28.0</v>
      </c>
      <c r="E13249" s="3">
        <v>0.1</v>
      </c>
      <c r="F13249" s="3">
        <v>0.77</v>
      </c>
      <c r="G13249" s="3">
        <v>6.56</v>
      </c>
    </row>
    <row r="13250">
      <c r="A13250" s="3">
        <v>788348.0</v>
      </c>
      <c r="B13250" s="3" t="s">
        <v>13278</v>
      </c>
      <c r="C13250" s="3" t="s">
        <v>101</v>
      </c>
      <c r="D13250" s="3">
        <v>44.0</v>
      </c>
      <c r="E13250" s="3">
        <v>0.19</v>
      </c>
      <c r="F13250" s="3">
        <v>1.35</v>
      </c>
      <c r="G13250" s="3">
        <v>10.1</v>
      </c>
    </row>
    <row r="13251">
      <c r="A13251" s="3">
        <v>788349.0</v>
      </c>
      <c r="B13251" s="3" t="s">
        <v>13279</v>
      </c>
      <c r="C13251" s="3" t="s">
        <v>101</v>
      </c>
      <c r="D13251" s="3">
        <v>28.0</v>
      </c>
      <c r="E13251" s="3">
        <v>0.1</v>
      </c>
      <c r="F13251" s="3">
        <v>0.77</v>
      </c>
      <c r="G13251" s="3">
        <v>6.58</v>
      </c>
    </row>
    <row r="13252">
      <c r="A13252" s="3">
        <v>788350.0</v>
      </c>
      <c r="B13252" s="3" t="s">
        <v>13280</v>
      </c>
      <c r="C13252" s="3" t="s">
        <v>101</v>
      </c>
      <c r="D13252" s="3">
        <v>44.0</v>
      </c>
      <c r="E13252" s="3">
        <v>1.95</v>
      </c>
      <c r="F13252" s="3">
        <v>0.75</v>
      </c>
      <c r="G13252" s="3">
        <v>6.44</v>
      </c>
    </row>
    <row r="13253">
      <c r="A13253" s="3">
        <v>788351.0</v>
      </c>
      <c r="B13253" s="3" t="s">
        <v>13281</v>
      </c>
      <c r="C13253" s="3" t="s">
        <v>101</v>
      </c>
      <c r="D13253" s="3">
        <v>41.0</v>
      </c>
      <c r="E13253" s="3">
        <v>1.66</v>
      </c>
      <c r="F13253" s="3">
        <v>0.77</v>
      </c>
      <c r="G13253" s="3">
        <v>6.44</v>
      </c>
    </row>
    <row r="13254">
      <c r="A13254" s="3">
        <v>788352.0</v>
      </c>
      <c r="B13254" s="3" t="s">
        <v>13282</v>
      </c>
      <c r="C13254" s="3" t="s">
        <v>101</v>
      </c>
      <c r="D13254" s="3">
        <v>38.0</v>
      </c>
      <c r="E13254" s="3">
        <v>1.26</v>
      </c>
      <c r="F13254" s="3">
        <v>0.76</v>
      </c>
      <c r="G13254" s="3">
        <v>6.45</v>
      </c>
    </row>
    <row r="13255">
      <c r="A13255" s="3">
        <v>788353.0</v>
      </c>
      <c r="B13255" s="3" t="s">
        <v>13283</v>
      </c>
      <c r="C13255" s="3" t="s">
        <v>101</v>
      </c>
      <c r="D13255" s="3">
        <v>62.0</v>
      </c>
      <c r="E13255" s="3">
        <v>2.29</v>
      </c>
      <c r="F13255" s="3">
        <v>1.32</v>
      </c>
      <c r="G13255" s="3">
        <v>9.89</v>
      </c>
    </row>
    <row r="13256">
      <c r="A13256" s="3">
        <v>788354.0</v>
      </c>
      <c r="B13256" s="3" t="s">
        <v>13284</v>
      </c>
      <c r="C13256" s="3" t="s">
        <v>101</v>
      </c>
      <c r="D13256" s="3">
        <v>59.0</v>
      </c>
      <c r="E13256" s="3">
        <v>1.96</v>
      </c>
      <c r="F13256" s="3">
        <v>1.34</v>
      </c>
      <c r="G13256" s="3">
        <v>9.88</v>
      </c>
    </row>
    <row r="13257">
      <c r="A13257" s="3">
        <v>788355.0</v>
      </c>
      <c r="B13257" s="3" t="s">
        <v>13285</v>
      </c>
      <c r="C13257" s="3" t="s">
        <v>101</v>
      </c>
      <c r="D13257" s="3">
        <v>55.0</v>
      </c>
      <c r="E13257" s="3">
        <v>1.51</v>
      </c>
      <c r="F13257" s="3">
        <v>1.33</v>
      </c>
      <c r="G13257" s="3">
        <v>9.9</v>
      </c>
    </row>
    <row r="13258">
      <c r="A13258" s="3">
        <v>788356.0</v>
      </c>
      <c r="B13258" s="3" t="s">
        <v>13286</v>
      </c>
      <c r="C13258" s="3" t="s">
        <v>101</v>
      </c>
      <c r="D13258" s="3">
        <v>40.0</v>
      </c>
      <c r="E13258" s="3">
        <v>1.5</v>
      </c>
      <c r="F13258" s="3">
        <v>0.76</v>
      </c>
      <c r="G13258" s="3">
        <v>6.44</v>
      </c>
    </row>
    <row r="13259">
      <c r="A13259" s="3">
        <v>788357.0</v>
      </c>
      <c r="B13259" s="3" t="s">
        <v>13287</v>
      </c>
      <c r="C13259" s="3" t="s">
        <v>101</v>
      </c>
      <c r="D13259" s="3">
        <v>57.0</v>
      </c>
      <c r="E13259" s="3">
        <v>1.78</v>
      </c>
      <c r="F13259" s="3">
        <v>1.34</v>
      </c>
      <c r="G13259" s="3">
        <v>9.89</v>
      </c>
    </row>
    <row r="13260">
      <c r="A13260" s="3">
        <v>788358.0</v>
      </c>
      <c r="B13260" s="3" t="s">
        <v>13288</v>
      </c>
      <c r="C13260" s="3" t="s">
        <v>101</v>
      </c>
      <c r="D13260" s="3">
        <v>40.0</v>
      </c>
      <c r="E13260" s="3">
        <v>1.5</v>
      </c>
      <c r="F13260" s="3">
        <v>0.76</v>
      </c>
      <c r="G13260" s="3">
        <v>6.44</v>
      </c>
    </row>
    <row r="13261">
      <c r="A13261" s="3">
        <v>788359.0</v>
      </c>
      <c r="B13261" s="3" t="s">
        <v>13289</v>
      </c>
      <c r="C13261" s="3" t="s">
        <v>101</v>
      </c>
      <c r="D13261" s="3">
        <v>46.0</v>
      </c>
      <c r="E13261" s="3">
        <v>2.2</v>
      </c>
      <c r="F13261" s="3">
        <v>0.75</v>
      </c>
      <c r="G13261" s="3">
        <v>6.42</v>
      </c>
    </row>
    <row r="13262">
      <c r="A13262" s="3">
        <v>788360.0</v>
      </c>
      <c r="B13262" s="3" t="s">
        <v>13290</v>
      </c>
      <c r="C13262" s="3" t="s">
        <v>101</v>
      </c>
      <c r="D13262" s="3">
        <v>43.0</v>
      </c>
      <c r="E13262" s="3">
        <v>1.88</v>
      </c>
      <c r="F13262" s="3">
        <v>0.77</v>
      </c>
      <c r="G13262" s="3">
        <v>6.42</v>
      </c>
    </row>
    <row r="13263">
      <c r="A13263" s="3">
        <v>788361.0</v>
      </c>
      <c r="B13263" s="3" t="s">
        <v>13291</v>
      </c>
      <c r="C13263" s="3" t="s">
        <v>101</v>
      </c>
      <c r="D13263" s="3">
        <v>39.0</v>
      </c>
      <c r="E13263" s="3">
        <v>1.42</v>
      </c>
      <c r="F13263" s="3">
        <v>0.75</v>
      </c>
      <c r="G13263" s="3">
        <v>6.43</v>
      </c>
    </row>
    <row r="13264">
      <c r="A13264" s="3">
        <v>788362.0</v>
      </c>
      <c r="B13264" s="3" t="s">
        <v>13292</v>
      </c>
      <c r="C13264" s="3" t="s">
        <v>101</v>
      </c>
      <c r="D13264" s="3">
        <v>28.0</v>
      </c>
      <c r="E13264" s="3">
        <v>0.05</v>
      </c>
      <c r="F13264" s="3">
        <v>0.71</v>
      </c>
      <c r="G13264" s="3">
        <v>6.67</v>
      </c>
    </row>
    <row r="13265">
      <c r="A13265" s="3">
        <v>788363.0</v>
      </c>
      <c r="B13265" s="3" t="s">
        <v>13293</v>
      </c>
      <c r="C13265" s="3" t="s">
        <v>101</v>
      </c>
      <c r="D13265" s="3">
        <v>44.0</v>
      </c>
      <c r="E13265" s="3">
        <v>0.19</v>
      </c>
      <c r="F13265" s="3">
        <v>1.35</v>
      </c>
      <c r="G13265" s="3">
        <v>10.1</v>
      </c>
    </row>
    <row r="13266">
      <c r="A13266" s="3">
        <v>788364.0</v>
      </c>
      <c r="B13266" s="3" t="s">
        <v>13294</v>
      </c>
      <c r="C13266" s="3" t="s">
        <v>101</v>
      </c>
      <c r="D13266" s="3">
        <v>28.0</v>
      </c>
      <c r="E13266" s="3">
        <v>0.05</v>
      </c>
      <c r="F13266" s="3">
        <v>0.71</v>
      </c>
      <c r="G13266" s="3">
        <v>6.67</v>
      </c>
    </row>
    <row r="13267">
      <c r="A13267" s="3">
        <v>788365.0</v>
      </c>
      <c r="B13267" s="3" t="s">
        <v>13295</v>
      </c>
      <c r="C13267" s="3" t="s">
        <v>101</v>
      </c>
      <c r="D13267" s="3">
        <v>44.0</v>
      </c>
      <c r="E13267" s="3">
        <v>0.19</v>
      </c>
      <c r="F13267" s="3">
        <v>1.35</v>
      </c>
      <c r="G13267" s="3">
        <v>10.1</v>
      </c>
    </row>
    <row r="13268">
      <c r="A13268" s="3">
        <v>788366.0</v>
      </c>
      <c r="B13268" s="3" t="s">
        <v>13296</v>
      </c>
      <c r="C13268" s="3" t="s">
        <v>101</v>
      </c>
      <c r="D13268" s="3">
        <v>53.0</v>
      </c>
      <c r="E13268" s="3">
        <v>2.55</v>
      </c>
      <c r="F13268" s="3">
        <v>1.88</v>
      </c>
      <c r="G13268" s="3">
        <v>7.46</v>
      </c>
    </row>
    <row r="13269">
      <c r="A13269" s="3">
        <v>788367.0</v>
      </c>
      <c r="B13269" s="3" t="s">
        <v>13297</v>
      </c>
      <c r="C13269" s="3" t="s">
        <v>101</v>
      </c>
      <c r="D13269" s="3">
        <v>53.0</v>
      </c>
      <c r="E13269" s="3">
        <v>2.55</v>
      </c>
      <c r="F13269" s="3">
        <v>1.88</v>
      </c>
      <c r="G13269" s="3">
        <v>7.46</v>
      </c>
    </row>
    <row r="13270">
      <c r="A13270" s="3">
        <v>788368.0</v>
      </c>
      <c r="B13270" s="3" t="s">
        <v>13298</v>
      </c>
      <c r="C13270" s="3" t="s">
        <v>101</v>
      </c>
      <c r="D13270" s="3">
        <v>33.0</v>
      </c>
      <c r="E13270" s="3">
        <v>0.2</v>
      </c>
      <c r="F13270" s="3">
        <v>1.92</v>
      </c>
      <c r="G13270" s="3">
        <v>7.68</v>
      </c>
    </row>
    <row r="13271">
      <c r="A13271" s="3">
        <v>788369.0</v>
      </c>
      <c r="B13271" s="3" t="s">
        <v>13299</v>
      </c>
      <c r="C13271" s="3" t="s">
        <v>101</v>
      </c>
      <c r="D13271" s="3">
        <v>33.0</v>
      </c>
      <c r="E13271" s="3">
        <v>0.2</v>
      </c>
      <c r="F13271" s="3">
        <v>1.91</v>
      </c>
      <c r="G13271" s="3">
        <v>7.65</v>
      </c>
    </row>
    <row r="13272">
      <c r="A13272" s="3">
        <v>788370.0</v>
      </c>
      <c r="B13272" s="3" t="s">
        <v>13300</v>
      </c>
      <c r="C13272" s="3" t="s">
        <v>101</v>
      </c>
      <c r="D13272" s="3">
        <v>53.0</v>
      </c>
      <c r="E13272" s="3">
        <v>2.55</v>
      </c>
      <c r="F13272" s="3">
        <v>1.88</v>
      </c>
      <c r="G13272" s="3">
        <v>7.46</v>
      </c>
    </row>
    <row r="13273">
      <c r="A13273" s="3">
        <v>788371.0</v>
      </c>
      <c r="B13273" s="3" t="s">
        <v>13301</v>
      </c>
      <c r="C13273" s="3" t="s">
        <v>101</v>
      </c>
      <c r="D13273" s="3">
        <v>50.0</v>
      </c>
      <c r="E13273" s="3">
        <v>2.13</v>
      </c>
      <c r="F13273" s="3">
        <v>1.86</v>
      </c>
      <c r="G13273" s="3">
        <v>7.47</v>
      </c>
    </row>
    <row r="13274">
      <c r="A13274" s="3">
        <v>788372.0</v>
      </c>
      <c r="B13274" s="3" t="s">
        <v>13302</v>
      </c>
      <c r="C13274" s="3" t="s">
        <v>101</v>
      </c>
      <c r="D13274" s="3">
        <v>114.0</v>
      </c>
      <c r="E13274" s="3">
        <v>0.2</v>
      </c>
      <c r="F13274" s="3">
        <v>2.68</v>
      </c>
      <c r="G13274" s="3">
        <v>25.46</v>
      </c>
    </row>
    <row r="13275">
      <c r="A13275" s="3">
        <v>788373.0</v>
      </c>
      <c r="B13275" s="3" t="s">
        <v>13303</v>
      </c>
      <c r="C13275" s="3" t="s">
        <v>101</v>
      </c>
      <c r="D13275" s="3">
        <v>87.0</v>
      </c>
      <c r="E13275" s="3">
        <v>2.41</v>
      </c>
      <c r="F13275" s="3">
        <v>1.29</v>
      </c>
      <c r="G13275" s="3">
        <v>16.42</v>
      </c>
    </row>
    <row r="13276">
      <c r="A13276" s="3">
        <v>788374.0</v>
      </c>
      <c r="B13276" s="3" t="s">
        <v>13304</v>
      </c>
      <c r="C13276" s="3" t="s">
        <v>101</v>
      </c>
      <c r="D13276" s="3">
        <v>71.0</v>
      </c>
      <c r="E13276" s="3">
        <v>0.3</v>
      </c>
      <c r="F13276" s="3">
        <v>1.31</v>
      </c>
      <c r="G13276" s="3">
        <v>16.9</v>
      </c>
    </row>
    <row r="13277">
      <c r="A13277" s="3">
        <v>788375.0</v>
      </c>
      <c r="B13277" s="3" t="s">
        <v>13305</v>
      </c>
      <c r="C13277" s="3" t="s">
        <v>101</v>
      </c>
      <c r="D13277" s="3">
        <v>87.0</v>
      </c>
      <c r="E13277" s="3">
        <v>2.41</v>
      </c>
      <c r="F13277" s="3">
        <v>1.29</v>
      </c>
      <c r="G13277" s="3">
        <v>16.42</v>
      </c>
    </row>
    <row r="13278">
      <c r="A13278" s="3">
        <v>788376.0</v>
      </c>
      <c r="B13278" s="3" t="s">
        <v>13306</v>
      </c>
      <c r="C13278" s="3" t="s">
        <v>101</v>
      </c>
      <c r="D13278" s="3">
        <v>93.0</v>
      </c>
      <c r="E13278" s="3">
        <v>3.1</v>
      </c>
      <c r="F13278" s="3">
        <v>1.27</v>
      </c>
      <c r="G13278" s="3">
        <v>16.43</v>
      </c>
    </row>
    <row r="13279">
      <c r="A13279" s="3">
        <v>788377.0</v>
      </c>
      <c r="B13279" s="3" t="s">
        <v>13307</v>
      </c>
      <c r="C13279" s="3" t="s">
        <v>101</v>
      </c>
      <c r="D13279" s="3">
        <v>89.0</v>
      </c>
      <c r="E13279" s="3">
        <v>2.66</v>
      </c>
      <c r="F13279" s="3">
        <v>1.3</v>
      </c>
      <c r="G13279" s="3">
        <v>16.41</v>
      </c>
    </row>
    <row r="13280">
      <c r="A13280" s="3">
        <v>788378.0</v>
      </c>
      <c r="B13280" s="3" t="s">
        <v>13308</v>
      </c>
      <c r="C13280" s="3" t="s">
        <v>101</v>
      </c>
      <c r="D13280" s="3">
        <v>84.0</v>
      </c>
      <c r="E13280" s="3">
        <v>2.05</v>
      </c>
      <c r="F13280" s="3">
        <v>1.28</v>
      </c>
      <c r="G13280" s="3">
        <v>16.43</v>
      </c>
    </row>
    <row r="13281">
      <c r="A13281" s="3">
        <v>788379.0</v>
      </c>
      <c r="B13281" s="3" t="s">
        <v>13309</v>
      </c>
      <c r="C13281" s="3" t="s">
        <v>101</v>
      </c>
      <c r="D13281" s="3">
        <v>145.0</v>
      </c>
      <c r="E13281" s="3">
        <v>2.59</v>
      </c>
      <c r="F13281" s="3">
        <v>8.23</v>
      </c>
      <c r="G13281" s="3">
        <v>23.0</v>
      </c>
    </row>
    <row r="13282">
      <c r="A13282" s="3">
        <v>788380.0</v>
      </c>
      <c r="B13282" s="3" t="s">
        <v>13310</v>
      </c>
      <c r="C13282" s="3" t="s">
        <v>101</v>
      </c>
      <c r="D13282" s="3">
        <v>145.0</v>
      </c>
      <c r="E13282" s="3">
        <v>2.59</v>
      </c>
      <c r="F13282" s="3">
        <v>8.23</v>
      </c>
      <c r="G13282" s="3">
        <v>23.0</v>
      </c>
    </row>
    <row r="13283">
      <c r="A13283" s="3">
        <v>788381.0</v>
      </c>
      <c r="B13283" s="3" t="s">
        <v>13311</v>
      </c>
      <c r="C13283" s="3" t="s">
        <v>101</v>
      </c>
      <c r="D13283" s="3">
        <v>145.0</v>
      </c>
      <c r="E13283" s="3">
        <v>2.59</v>
      </c>
      <c r="F13283" s="3">
        <v>8.23</v>
      </c>
      <c r="G13283" s="3">
        <v>23.0</v>
      </c>
    </row>
    <row r="13284">
      <c r="A13284" s="3">
        <v>788382.0</v>
      </c>
      <c r="B13284" s="3" t="s">
        <v>13312</v>
      </c>
      <c r="C13284" s="3" t="s">
        <v>101</v>
      </c>
      <c r="D13284" s="3">
        <v>144.0</v>
      </c>
      <c r="E13284" s="3">
        <v>2.58</v>
      </c>
      <c r="F13284" s="3">
        <v>8.2</v>
      </c>
      <c r="G13284" s="3">
        <v>22.91</v>
      </c>
    </row>
    <row r="13285">
      <c r="A13285" s="3">
        <v>788383.0</v>
      </c>
      <c r="B13285" s="3" t="s">
        <v>13313</v>
      </c>
      <c r="C13285" s="3" t="s">
        <v>101</v>
      </c>
      <c r="D13285" s="3">
        <v>131.0</v>
      </c>
      <c r="E13285" s="3">
        <v>0.66</v>
      </c>
      <c r="F13285" s="3">
        <v>8.44</v>
      </c>
      <c r="G13285" s="3">
        <v>23.62</v>
      </c>
    </row>
    <row r="13286">
      <c r="A13286" s="3">
        <v>788384.0</v>
      </c>
      <c r="B13286" s="3" t="s">
        <v>13314</v>
      </c>
      <c r="C13286" s="3" t="s">
        <v>101</v>
      </c>
      <c r="D13286" s="3">
        <v>96.0</v>
      </c>
      <c r="E13286" s="3">
        <v>0.38</v>
      </c>
      <c r="F13286" s="3">
        <v>3.15</v>
      </c>
      <c r="G13286" s="3">
        <v>20.2</v>
      </c>
    </row>
    <row r="13287">
      <c r="A13287" s="3">
        <v>788385.0</v>
      </c>
      <c r="B13287" s="3" t="s">
        <v>13315</v>
      </c>
      <c r="C13287" s="3" t="s">
        <v>101</v>
      </c>
      <c r="D13287" s="3">
        <v>131.0</v>
      </c>
      <c r="E13287" s="3">
        <v>0.66</v>
      </c>
      <c r="F13287" s="3">
        <v>8.44</v>
      </c>
      <c r="G13287" s="3">
        <v>23.62</v>
      </c>
    </row>
    <row r="13288">
      <c r="A13288" s="3">
        <v>788386.0</v>
      </c>
      <c r="B13288" s="3" t="s">
        <v>13316</v>
      </c>
      <c r="C13288" s="3" t="s">
        <v>101</v>
      </c>
      <c r="D13288" s="3">
        <v>131.0</v>
      </c>
      <c r="E13288" s="3">
        <v>0.65</v>
      </c>
      <c r="F13288" s="3">
        <v>8.41</v>
      </c>
      <c r="G13288" s="3">
        <v>23.53</v>
      </c>
    </row>
    <row r="13289">
      <c r="A13289" s="3">
        <v>788387.0</v>
      </c>
      <c r="B13289" s="3" t="s">
        <v>13317</v>
      </c>
      <c r="C13289" s="3" t="s">
        <v>101</v>
      </c>
      <c r="D13289" s="3">
        <v>145.0</v>
      </c>
      <c r="E13289" s="3">
        <v>2.59</v>
      </c>
      <c r="F13289" s="3">
        <v>8.23</v>
      </c>
      <c r="G13289" s="3">
        <v>23.0</v>
      </c>
    </row>
    <row r="13290">
      <c r="A13290" s="3">
        <v>788388.0</v>
      </c>
      <c r="B13290" s="3" t="s">
        <v>13318</v>
      </c>
      <c r="C13290" s="3" t="s">
        <v>101</v>
      </c>
      <c r="D13290" s="3">
        <v>112.0</v>
      </c>
      <c r="E13290" s="3">
        <v>2.38</v>
      </c>
      <c r="F13290" s="3">
        <v>3.08</v>
      </c>
      <c r="G13290" s="3">
        <v>19.65</v>
      </c>
    </row>
    <row r="13291">
      <c r="A13291" s="3">
        <v>788389.0</v>
      </c>
      <c r="B13291" s="3" t="s">
        <v>13319</v>
      </c>
      <c r="C13291" s="3" t="s">
        <v>101</v>
      </c>
      <c r="D13291" s="3">
        <v>145.0</v>
      </c>
      <c r="E13291" s="3">
        <v>2.59</v>
      </c>
      <c r="F13291" s="3">
        <v>8.23</v>
      </c>
      <c r="G13291" s="3">
        <v>23.0</v>
      </c>
    </row>
    <row r="13292">
      <c r="A13292" s="3">
        <v>788390.0</v>
      </c>
      <c r="B13292" s="3" t="s">
        <v>13320</v>
      </c>
      <c r="C13292" s="3" t="s">
        <v>101</v>
      </c>
      <c r="D13292" s="3">
        <v>144.0</v>
      </c>
      <c r="E13292" s="3">
        <v>2.58</v>
      </c>
      <c r="F13292" s="3">
        <v>8.2</v>
      </c>
      <c r="G13292" s="3">
        <v>22.91</v>
      </c>
    </row>
    <row r="13293">
      <c r="A13293" s="3">
        <v>788391.0</v>
      </c>
      <c r="B13293" s="3" t="s">
        <v>13321</v>
      </c>
      <c r="C13293" s="3" t="s">
        <v>101</v>
      </c>
      <c r="D13293" s="3">
        <v>151.0</v>
      </c>
      <c r="E13293" s="3">
        <v>3.23</v>
      </c>
      <c r="F13293" s="3">
        <v>8.22</v>
      </c>
      <c r="G13293" s="3">
        <v>23.01</v>
      </c>
    </row>
    <row r="13294">
      <c r="A13294" s="3">
        <v>788392.0</v>
      </c>
      <c r="B13294" s="3" t="s">
        <v>13322</v>
      </c>
      <c r="C13294" s="3" t="s">
        <v>101</v>
      </c>
      <c r="D13294" s="3">
        <v>147.0</v>
      </c>
      <c r="E13294" s="3">
        <v>2.82</v>
      </c>
      <c r="F13294" s="3">
        <v>8.24</v>
      </c>
      <c r="G13294" s="3">
        <v>22.99</v>
      </c>
    </row>
    <row r="13295">
      <c r="A13295" s="3">
        <v>788393.0</v>
      </c>
      <c r="B13295" s="3" t="s">
        <v>13323</v>
      </c>
      <c r="C13295" s="3" t="s">
        <v>101</v>
      </c>
      <c r="D13295" s="3">
        <v>142.0</v>
      </c>
      <c r="E13295" s="3">
        <v>2.26</v>
      </c>
      <c r="F13295" s="3">
        <v>8.22</v>
      </c>
      <c r="G13295" s="3">
        <v>23.0</v>
      </c>
    </row>
    <row r="13296">
      <c r="A13296" s="3">
        <v>788394.0</v>
      </c>
      <c r="B13296" s="3" t="s">
        <v>13324</v>
      </c>
      <c r="C13296" s="3" t="s">
        <v>101</v>
      </c>
      <c r="D13296" s="3">
        <v>117.0</v>
      </c>
      <c r="E13296" s="3">
        <v>3.03</v>
      </c>
      <c r="F13296" s="3">
        <v>3.07</v>
      </c>
      <c r="G13296" s="3">
        <v>19.66</v>
      </c>
    </row>
    <row r="13297">
      <c r="A13297" s="3">
        <v>788395.0</v>
      </c>
      <c r="B13297" s="3" t="s">
        <v>13325</v>
      </c>
      <c r="C13297" s="3" t="s">
        <v>101</v>
      </c>
      <c r="D13297" s="3">
        <v>114.0</v>
      </c>
      <c r="E13297" s="3">
        <v>2.61</v>
      </c>
      <c r="F13297" s="3">
        <v>3.09</v>
      </c>
      <c r="G13297" s="3">
        <v>19.64</v>
      </c>
    </row>
    <row r="13298">
      <c r="A13298" s="3">
        <v>788396.0</v>
      </c>
      <c r="B13298" s="3" t="s">
        <v>13326</v>
      </c>
      <c r="C13298" s="3" t="s">
        <v>101</v>
      </c>
      <c r="D13298" s="3">
        <v>109.0</v>
      </c>
      <c r="E13298" s="3">
        <v>2.04</v>
      </c>
      <c r="F13298" s="3">
        <v>3.07</v>
      </c>
      <c r="G13298" s="3">
        <v>19.66</v>
      </c>
    </row>
    <row r="13299">
      <c r="A13299" s="3">
        <v>788397.0</v>
      </c>
      <c r="B13299" s="3" t="s">
        <v>13327</v>
      </c>
      <c r="C13299" s="3" t="s">
        <v>101</v>
      </c>
      <c r="D13299" s="3">
        <v>151.0</v>
      </c>
      <c r="E13299" s="3">
        <v>3.23</v>
      </c>
      <c r="F13299" s="3">
        <v>8.22</v>
      </c>
      <c r="G13299" s="3">
        <v>23.01</v>
      </c>
    </row>
    <row r="13300">
      <c r="A13300" s="3">
        <v>788398.0</v>
      </c>
      <c r="B13300" s="3" t="s">
        <v>13328</v>
      </c>
      <c r="C13300" s="3" t="s">
        <v>101</v>
      </c>
      <c r="D13300" s="3">
        <v>147.0</v>
      </c>
      <c r="E13300" s="3">
        <v>2.82</v>
      </c>
      <c r="F13300" s="3">
        <v>8.24</v>
      </c>
      <c r="G13300" s="3">
        <v>22.99</v>
      </c>
    </row>
    <row r="13301">
      <c r="A13301" s="3">
        <v>788399.0</v>
      </c>
      <c r="B13301" s="3" t="s">
        <v>13329</v>
      </c>
      <c r="C13301" s="3" t="s">
        <v>101</v>
      </c>
      <c r="D13301" s="3">
        <v>133.0</v>
      </c>
      <c r="E13301" s="3">
        <v>0.93</v>
      </c>
      <c r="F13301" s="3">
        <v>8.4</v>
      </c>
      <c r="G13301" s="3">
        <v>23.52</v>
      </c>
    </row>
    <row r="13302">
      <c r="A13302" s="3">
        <v>788400.0</v>
      </c>
      <c r="B13302" s="3" t="s">
        <v>13330</v>
      </c>
      <c r="C13302" s="3" t="s">
        <v>101</v>
      </c>
      <c r="D13302" s="3">
        <v>150.0</v>
      </c>
      <c r="E13302" s="3">
        <v>3.22</v>
      </c>
      <c r="F13302" s="3">
        <v>8.19</v>
      </c>
      <c r="G13302" s="3">
        <v>22.92</v>
      </c>
    </row>
    <row r="13303">
      <c r="A13303" s="3">
        <v>788401.0</v>
      </c>
      <c r="B13303" s="3" t="s">
        <v>13331</v>
      </c>
      <c r="C13303" s="3" t="s">
        <v>101</v>
      </c>
      <c r="D13303" s="3">
        <v>146.0</v>
      </c>
      <c r="E13303" s="3">
        <v>2.81</v>
      </c>
      <c r="F13303" s="3">
        <v>8.21</v>
      </c>
      <c r="G13303" s="3">
        <v>22.9</v>
      </c>
    </row>
    <row r="13304">
      <c r="A13304" s="3">
        <v>788402.0</v>
      </c>
      <c r="B13304" s="3" t="s">
        <v>13332</v>
      </c>
      <c r="C13304" s="3" t="s">
        <v>101</v>
      </c>
      <c r="D13304" s="3">
        <v>142.0</v>
      </c>
      <c r="E13304" s="3">
        <v>2.25</v>
      </c>
      <c r="F13304" s="3">
        <v>8.19</v>
      </c>
      <c r="G13304" s="3">
        <v>22.92</v>
      </c>
    </row>
    <row r="13305">
      <c r="A13305" s="3">
        <v>788403.0</v>
      </c>
      <c r="B13305" s="3" t="s">
        <v>13333</v>
      </c>
      <c r="C13305" s="3" t="s">
        <v>101</v>
      </c>
      <c r="D13305" s="3">
        <v>94.0</v>
      </c>
      <c r="E13305" s="3">
        <v>2.33</v>
      </c>
      <c r="F13305" s="3">
        <v>4.99</v>
      </c>
      <c r="G13305" s="3">
        <v>13.78</v>
      </c>
    </row>
    <row r="13306">
      <c r="A13306" s="3">
        <v>788404.0</v>
      </c>
      <c r="B13306" s="3" t="s">
        <v>13334</v>
      </c>
      <c r="C13306" s="3" t="s">
        <v>101</v>
      </c>
      <c r="D13306" s="3">
        <v>99.0</v>
      </c>
      <c r="E13306" s="3">
        <v>2.28</v>
      </c>
      <c r="F13306" s="3">
        <v>5.19</v>
      </c>
      <c r="G13306" s="3">
        <v>15.1</v>
      </c>
    </row>
    <row r="13307">
      <c r="A13307" s="3">
        <v>788405.0</v>
      </c>
      <c r="B13307" s="3" t="s">
        <v>13335</v>
      </c>
      <c r="C13307" s="3" t="s">
        <v>101</v>
      </c>
      <c r="D13307" s="3">
        <v>94.0</v>
      </c>
      <c r="E13307" s="3">
        <v>2.33</v>
      </c>
      <c r="F13307" s="3">
        <v>4.99</v>
      </c>
      <c r="G13307" s="3">
        <v>13.78</v>
      </c>
    </row>
    <row r="13308">
      <c r="A13308" s="3">
        <v>788406.0</v>
      </c>
      <c r="B13308" s="3" t="s">
        <v>13336</v>
      </c>
      <c r="C13308" s="3" t="s">
        <v>101</v>
      </c>
      <c r="D13308" s="3">
        <v>83.0</v>
      </c>
      <c r="E13308" s="3">
        <v>2.74</v>
      </c>
      <c r="F13308" s="3">
        <v>4.36</v>
      </c>
      <c r="G13308" s="3">
        <v>11.04</v>
      </c>
    </row>
    <row r="13309">
      <c r="A13309" s="3">
        <v>788407.0</v>
      </c>
      <c r="B13309" s="3" t="s">
        <v>13337</v>
      </c>
      <c r="C13309" s="3" t="s">
        <v>101</v>
      </c>
      <c r="D13309" s="3">
        <v>78.0</v>
      </c>
      <c r="E13309" s="3">
        <v>0.27</v>
      </c>
      <c r="F13309" s="3">
        <v>5.12</v>
      </c>
      <c r="G13309" s="3">
        <v>14.17</v>
      </c>
    </row>
    <row r="13310">
      <c r="A13310" s="3">
        <v>788408.0</v>
      </c>
      <c r="B13310" s="3" t="s">
        <v>13338</v>
      </c>
      <c r="C13310" s="3" t="s">
        <v>101</v>
      </c>
      <c r="D13310" s="3">
        <v>83.0</v>
      </c>
      <c r="E13310" s="3">
        <v>0.22</v>
      </c>
      <c r="F13310" s="3">
        <v>5.33</v>
      </c>
      <c r="G13310" s="3">
        <v>15.53</v>
      </c>
    </row>
    <row r="13311">
      <c r="A13311" s="3">
        <v>788409.0</v>
      </c>
      <c r="B13311" s="3" t="s">
        <v>13339</v>
      </c>
      <c r="C13311" s="3" t="s">
        <v>101</v>
      </c>
      <c r="D13311" s="3">
        <v>78.0</v>
      </c>
      <c r="E13311" s="3">
        <v>0.27</v>
      </c>
      <c r="F13311" s="3">
        <v>5.12</v>
      </c>
      <c r="G13311" s="3">
        <v>14.17</v>
      </c>
    </row>
    <row r="13312">
      <c r="A13312" s="3">
        <v>788410.0</v>
      </c>
      <c r="B13312" s="3" t="s">
        <v>13340</v>
      </c>
      <c r="C13312" s="3" t="s">
        <v>101</v>
      </c>
      <c r="D13312" s="3">
        <v>68.0</v>
      </c>
      <c r="E13312" s="3">
        <v>0.8</v>
      </c>
      <c r="F13312" s="3">
        <v>4.46</v>
      </c>
      <c r="G13312" s="3">
        <v>11.33</v>
      </c>
    </row>
    <row r="13313">
      <c r="A13313" s="3">
        <v>788411.0</v>
      </c>
      <c r="B13313" s="3" t="s">
        <v>13341</v>
      </c>
      <c r="C13313" s="3" t="s">
        <v>101</v>
      </c>
      <c r="D13313" s="3">
        <v>94.0</v>
      </c>
      <c r="E13313" s="3">
        <v>2.33</v>
      </c>
      <c r="F13313" s="3">
        <v>4.99</v>
      </c>
      <c r="G13313" s="3">
        <v>13.78</v>
      </c>
    </row>
    <row r="13314">
      <c r="A13314" s="3">
        <v>788412.0</v>
      </c>
      <c r="B13314" s="3" t="s">
        <v>13342</v>
      </c>
      <c r="C13314" s="3" t="s">
        <v>101</v>
      </c>
      <c r="D13314" s="3">
        <v>99.0</v>
      </c>
      <c r="E13314" s="3">
        <v>2.28</v>
      </c>
      <c r="F13314" s="3">
        <v>5.19</v>
      </c>
      <c r="G13314" s="3">
        <v>15.1</v>
      </c>
    </row>
    <row r="13315">
      <c r="A13315" s="3">
        <v>788413.0</v>
      </c>
      <c r="B13315" s="3" t="s">
        <v>13343</v>
      </c>
      <c r="C13315" s="3" t="s">
        <v>101</v>
      </c>
      <c r="D13315" s="3">
        <v>94.0</v>
      </c>
      <c r="E13315" s="3">
        <v>2.33</v>
      </c>
      <c r="F13315" s="3">
        <v>4.99</v>
      </c>
      <c r="G13315" s="3">
        <v>13.78</v>
      </c>
    </row>
    <row r="13316">
      <c r="A13316" s="3">
        <v>788414.0</v>
      </c>
      <c r="B13316" s="3" t="s">
        <v>13344</v>
      </c>
      <c r="C13316" s="3" t="s">
        <v>101</v>
      </c>
      <c r="D13316" s="3">
        <v>83.0</v>
      </c>
      <c r="E13316" s="3">
        <v>2.74</v>
      </c>
      <c r="F13316" s="3">
        <v>4.36</v>
      </c>
      <c r="G13316" s="3">
        <v>11.04</v>
      </c>
    </row>
    <row r="13317">
      <c r="A13317" s="3">
        <v>788415.0</v>
      </c>
      <c r="B13317" s="3" t="s">
        <v>13345</v>
      </c>
      <c r="C13317" s="3" t="s">
        <v>101</v>
      </c>
      <c r="D13317" s="3">
        <v>100.0</v>
      </c>
      <c r="E13317" s="3">
        <v>3.0</v>
      </c>
      <c r="F13317" s="3">
        <v>4.98</v>
      </c>
      <c r="G13317" s="3">
        <v>13.78</v>
      </c>
    </row>
    <row r="13318">
      <c r="A13318" s="3">
        <v>788416.0</v>
      </c>
      <c r="B13318" s="3" t="s">
        <v>13346</v>
      </c>
      <c r="C13318" s="3" t="s">
        <v>101</v>
      </c>
      <c r="D13318" s="3">
        <v>96.0</v>
      </c>
      <c r="E13318" s="3">
        <v>2.58</v>
      </c>
      <c r="F13318" s="3">
        <v>5.0</v>
      </c>
      <c r="G13318" s="3">
        <v>13.77</v>
      </c>
    </row>
    <row r="13319">
      <c r="A13319" s="3">
        <v>788417.0</v>
      </c>
      <c r="B13319" s="3" t="s">
        <v>13347</v>
      </c>
      <c r="C13319" s="3" t="s">
        <v>101</v>
      </c>
      <c r="D13319" s="3">
        <v>91.0</v>
      </c>
      <c r="E13319" s="3">
        <v>1.98</v>
      </c>
      <c r="F13319" s="3">
        <v>4.98</v>
      </c>
      <c r="G13319" s="3">
        <v>13.79</v>
      </c>
    </row>
    <row r="13320">
      <c r="A13320" s="3">
        <v>788418.0</v>
      </c>
      <c r="B13320" s="3" t="s">
        <v>13348</v>
      </c>
      <c r="C13320" s="3" t="s">
        <v>101</v>
      </c>
      <c r="D13320" s="3">
        <v>105.0</v>
      </c>
      <c r="E13320" s="3">
        <v>2.96</v>
      </c>
      <c r="F13320" s="3">
        <v>5.18</v>
      </c>
      <c r="G13320" s="3">
        <v>15.11</v>
      </c>
    </row>
    <row r="13321">
      <c r="A13321" s="3">
        <v>788419.0</v>
      </c>
      <c r="B13321" s="3" t="s">
        <v>13349</v>
      </c>
      <c r="C13321" s="3" t="s">
        <v>101</v>
      </c>
      <c r="D13321" s="3">
        <v>102.0</v>
      </c>
      <c r="E13321" s="3">
        <v>2.53</v>
      </c>
      <c r="F13321" s="3">
        <v>5.2</v>
      </c>
      <c r="G13321" s="3">
        <v>15.09</v>
      </c>
    </row>
    <row r="13322">
      <c r="A13322" s="3">
        <v>788420.0</v>
      </c>
      <c r="B13322" s="3" t="s">
        <v>13350</v>
      </c>
      <c r="C13322" s="3" t="s">
        <v>101</v>
      </c>
      <c r="D13322" s="3">
        <v>96.0</v>
      </c>
      <c r="E13322" s="3">
        <v>1.93</v>
      </c>
      <c r="F13322" s="3">
        <v>5.18</v>
      </c>
      <c r="G13322" s="3">
        <v>15.11</v>
      </c>
    </row>
    <row r="13323">
      <c r="A13323" s="3">
        <v>788421.0</v>
      </c>
      <c r="B13323" s="3" t="s">
        <v>13351</v>
      </c>
      <c r="C13323" s="3" t="s">
        <v>101</v>
      </c>
      <c r="D13323" s="3">
        <v>100.0</v>
      </c>
      <c r="E13323" s="3">
        <v>3.0</v>
      </c>
      <c r="F13323" s="3">
        <v>4.98</v>
      </c>
      <c r="G13323" s="3">
        <v>13.78</v>
      </c>
    </row>
    <row r="13324">
      <c r="A13324" s="3">
        <v>788422.0</v>
      </c>
      <c r="B13324" s="3" t="s">
        <v>13352</v>
      </c>
      <c r="C13324" s="3" t="s">
        <v>101</v>
      </c>
      <c r="D13324" s="3">
        <v>96.0</v>
      </c>
      <c r="E13324" s="3">
        <v>2.58</v>
      </c>
      <c r="F13324" s="3">
        <v>5.0</v>
      </c>
      <c r="G13324" s="3">
        <v>13.77</v>
      </c>
    </row>
    <row r="13325">
      <c r="A13325" s="3">
        <v>788423.0</v>
      </c>
      <c r="B13325" s="3" t="s">
        <v>13353</v>
      </c>
      <c r="C13325" s="3" t="s">
        <v>101</v>
      </c>
      <c r="D13325" s="3">
        <v>91.0</v>
      </c>
      <c r="E13325" s="3">
        <v>1.98</v>
      </c>
      <c r="F13325" s="3">
        <v>4.98</v>
      </c>
      <c r="G13325" s="3">
        <v>13.79</v>
      </c>
    </row>
    <row r="13326">
      <c r="A13326" s="3">
        <v>788424.0</v>
      </c>
      <c r="B13326" s="3" t="s">
        <v>13354</v>
      </c>
      <c r="C13326" s="3" t="s">
        <v>101</v>
      </c>
      <c r="D13326" s="3">
        <v>89.0</v>
      </c>
      <c r="E13326" s="3">
        <v>3.37</v>
      </c>
      <c r="F13326" s="3">
        <v>4.34</v>
      </c>
      <c r="G13326" s="3">
        <v>11.04</v>
      </c>
    </row>
    <row r="13327">
      <c r="A13327" s="3">
        <v>788425.0</v>
      </c>
      <c r="B13327" s="3" t="s">
        <v>13355</v>
      </c>
      <c r="C13327" s="3" t="s">
        <v>101</v>
      </c>
      <c r="D13327" s="3">
        <v>85.0</v>
      </c>
      <c r="E13327" s="3">
        <v>2.97</v>
      </c>
      <c r="F13327" s="3">
        <v>4.36</v>
      </c>
      <c r="G13327" s="3">
        <v>11.03</v>
      </c>
    </row>
    <row r="13328">
      <c r="A13328" s="3">
        <v>788426.0</v>
      </c>
      <c r="B13328" s="3" t="s">
        <v>13356</v>
      </c>
      <c r="C13328" s="3" t="s">
        <v>101</v>
      </c>
      <c r="D13328" s="3">
        <v>81.0</v>
      </c>
      <c r="E13328" s="3">
        <v>2.4</v>
      </c>
      <c r="F13328" s="3">
        <v>4.34</v>
      </c>
      <c r="G13328" s="3">
        <v>11.05</v>
      </c>
    </row>
    <row r="13329">
      <c r="A13329" s="3">
        <v>788427.0</v>
      </c>
      <c r="B13329" s="3" t="s">
        <v>13357</v>
      </c>
      <c r="C13329" s="3" t="s">
        <v>101</v>
      </c>
      <c r="D13329" s="3">
        <v>100.0</v>
      </c>
      <c r="E13329" s="3">
        <v>2.58</v>
      </c>
      <c r="F13329" s="3">
        <v>4.91</v>
      </c>
      <c r="G13329" s="3">
        <v>14.96</v>
      </c>
    </row>
    <row r="13330">
      <c r="A13330" s="3">
        <v>788428.0</v>
      </c>
      <c r="B13330" s="3" t="s">
        <v>13358</v>
      </c>
      <c r="C13330" s="3" t="s">
        <v>101</v>
      </c>
      <c r="D13330" s="3">
        <v>83.0</v>
      </c>
      <c r="E13330" s="3">
        <v>0.47</v>
      </c>
      <c r="F13330" s="3">
        <v>4.98</v>
      </c>
      <c r="G13330" s="3">
        <v>15.23</v>
      </c>
    </row>
    <row r="13331">
      <c r="A13331" s="3">
        <v>788429.0</v>
      </c>
      <c r="B13331" s="3" t="s">
        <v>13359</v>
      </c>
      <c r="C13331" s="3" t="s">
        <v>101</v>
      </c>
      <c r="D13331" s="3">
        <v>100.0</v>
      </c>
      <c r="E13331" s="3">
        <v>2.58</v>
      </c>
      <c r="F13331" s="3">
        <v>4.91</v>
      </c>
      <c r="G13331" s="3">
        <v>14.96</v>
      </c>
    </row>
    <row r="13332">
      <c r="A13332" s="3">
        <v>788430.0</v>
      </c>
      <c r="B13332" s="3" t="s">
        <v>13360</v>
      </c>
      <c r="C13332" s="3" t="s">
        <v>101</v>
      </c>
      <c r="D13332" s="3">
        <v>106.0</v>
      </c>
      <c r="E13332" s="3">
        <v>3.27</v>
      </c>
      <c r="F13332" s="3">
        <v>4.89</v>
      </c>
      <c r="G13332" s="3">
        <v>14.96</v>
      </c>
    </row>
    <row r="13333">
      <c r="A13333" s="3">
        <v>788431.0</v>
      </c>
      <c r="B13333" s="3" t="s">
        <v>13361</v>
      </c>
      <c r="C13333" s="3" t="s">
        <v>101</v>
      </c>
      <c r="D13333" s="3">
        <v>102.0</v>
      </c>
      <c r="E13333" s="3">
        <v>2.83</v>
      </c>
      <c r="F13333" s="3">
        <v>4.92</v>
      </c>
      <c r="G13333" s="3">
        <v>14.95</v>
      </c>
    </row>
    <row r="13334">
      <c r="A13334" s="3">
        <v>788432.0</v>
      </c>
      <c r="B13334" s="3" t="s">
        <v>13362</v>
      </c>
      <c r="C13334" s="3" t="s">
        <v>101</v>
      </c>
      <c r="D13334" s="3">
        <v>97.0</v>
      </c>
      <c r="E13334" s="3">
        <v>2.22</v>
      </c>
      <c r="F13334" s="3">
        <v>4.89</v>
      </c>
      <c r="G13334" s="3">
        <v>14.97</v>
      </c>
    </row>
    <row r="13335">
      <c r="A13335" s="3">
        <v>788433.0</v>
      </c>
      <c r="B13335" s="3" t="s">
        <v>13363</v>
      </c>
      <c r="C13335" s="3" t="s">
        <v>101</v>
      </c>
      <c r="D13335" s="3">
        <v>110.0</v>
      </c>
      <c r="E13335" s="3">
        <v>1.35</v>
      </c>
      <c r="F13335" s="3">
        <v>5.92</v>
      </c>
      <c r="G13335" s="3">
        <v>19.36</v>
      </c>
    </row>
    <row r="13336">
      <c r="A13336" s="3">
        <v>788434.0</v>
      </c>
      <c r="B13336" s="3" t="s">
        <v>13364</v>
      </c>
      <c r="C13336" s="3" t="s">
        <v>101</v>
      </c>
      <c r="D13336" s="3">
        <v>110.0</v>
      </c>
      <c r="E13336" s="3">
        <v>1.35</v>
      </c>
      <c r="F13336" s="3">
        <v>5.92</v>
      </c>
      <c r="G13336" s="3">
        <v>19.36</v>
      </c>
    </row>
    <row r="13337">
      <c r="A13337" s="3">
        <v>788435.0</v>
      </c>
      <c r="B13337" s="3" t="s">
        <v>13365</v>
      </c>
      <c r="C13337" s="3" t="s">
        <v>101</v>
      </c>
      <c r="D13337" s="3">
        <v>110.0</v>
      </c>
      <c r="E13337" s="3">
        <v>1.35</v>
      </c>
      <c r="F13337" s="3">
        <v>5.92</v>
      </c>
      <c r="G13337" s="3">
        <v>19.36</v>
      </c>
    </row>
    <row r="13338">
      <c r="A13338" s="3">
        <v>788436.0</v>
      </c>
      <c r="B13338" s="3" t="s">
        <v>13366</v>
      </c>
      <c r="C13338" s="3" t="s">
        <v>101</v>
      </c>
      <c r="D13338" s="3">
        <v>126.0</v>
      </c>
      <c r="E13338" s="3">
        <v>3.47</v>
      </c>
      <c r="F13338" s="3">
        <v>5.76</v>
      </c>
      <c r="G13338" s="3">
        <v>18.8</v>
      </c>
    </row>
    <row r="13339">
      <c r="A13339" s="3">
        <v>788437.0</v>
      </c>
      <c r="B13339" s="3" t="s">
        <v>13367</v>
      </c>
      <c r="C13339" s="3" t="s">
        <v>101</v>
      </c>
      <c r="D13339" s="3">
        <v>126.0</v>
      </c>
      <c r="E13339" s="3">
        <v>3.47</v>
      </c>
      <c r="F13339" s="3">
        <v>5.76</v>
      </c>
      <c r="G13339" s="3">
        <v>18.8</v>
      </c>
    </row>
    <row r="13340">
      <c r="A13340" s="3">
        <v>788438.0</v>
      </c>
      <c r="B13340" s="3" t="s">
        <v>13368</v>
      </c>
      <c r="C13340" s="3" t="s">
        <v>101</v>
      </c>
      <c r="D13340" s="3">
        <v>126.0</v>
      </c>
      <c r="E13340" s="3">
        <v>3.47</v>
      </c>
      <c r="F13340" s="3">
        <v>5.76</v>
      </c>
      <c r="G13340" s="3">
        <v>18.8</v>
      </c>
    </row>
    <row r="13341">
      <c r="A13341" s="3">
        <v>788439.0</v>
      </c>
      <c r="B13341" s="3" t="s">
        <v>13369</v>
      </c>
      <c r="C13341" s="3" t="s">
        <v>101</v>
      </c>
      <c r="D13341" s="3">
        <v>126.0</v>
      </c>
      <c r="E13341" s="3">
        <v>3.47</v>
      </c>
      <c r="F13341" s="3">
        <v>5.76</v>
      </c>
      <c r="G13341" s="3">
        <v>18.8</v>
      </c>
    </row>
    <row r="13342">
      <c r="A13342" s="3">
        <v>788440.0</v>
      </c>
      <c r="B13342" s="3" t="s">
        <v>13370</v>
      </c>
      <c r="C13342" s="3" t="s">
        <v>101</v>
      </c>
      <c r="D13342" s="3">
        <v>126.0</v>
      </c>
      <c r="E13342" s="3">
        <v>3.47</v>
      </c>
      <c r="F13342" s="3">
        <v>5.76</v>
      </c>
      <c r="G13342" s="3">
        <v>18.8</v>
      </c>
    </row>
    <row r="13343">
      <c r="A13343" s="3">
        <v>788441.0</v>
      </c>
      <c r="B13343" s="3" t="s">
        <v>13371</v>
      </c>
      <c r="C13343" s="3" t="s">
        <v>101</v>
      </c>
      <c r="D13343" s="3">
        <v>126.0</v>
      </c>
      <c r="E13343" s="3">
        <v>3.47</v>
      </c>
      <c r="F13343" s="3">
        <v>5.76</v>
      </c>
      <c r="G13343" s="3">
        <v>18.8</v>
      </c>
    </row>
    <row r="13344">
      <c r="A13344" s="3">
        <v>788442.0</v>
      </c>
      <c r="B13344" s="3" t="s">
        <v>13372</v>
      </c>
      <c r="C13344" s="3" t="s">
        <v>101</v>
      </c>
      <c r="D13344" s="3">
        <v>48.0</v>
      </c>
      <c r="E13344" s="3">
        <v>2.61</v>
      </c>
      <c r="F13344" s="3">
        <v>0.9</v>
      </c>
      <c r="G13344" s="3">
        <v>6.44</v>
      </c>
    </row>
    <row r="13345">
      <c r="A13345" s="3">
        <v>788443.0</v>
      </c>
      <c r="B13345" s="3" t="s">
        <v>13373</v>
      </c>
      <c r="C13345" s="3" t="s">
        <v>101</v>
      </c>
      <c r="D13345" s="3">
        <v>28.0</v>
      </c>
      <c r="E13345" s="3">
        <v>0.2</v>
      </c>
      <c r="F13345" s="3">
        <v>0.91</v>
      </c>
      <c r="G13345" s="3">
        <v>6.65</v>
      </c>
    </row>
    <row r="13346">
      <c r="A13346" s="3">
        <v>788444.0</v>
      </c>
      <c r="B13346" s="3" t="s">
        <v>13374</v>
      </c>
      <c r="C13346" s="3" t="s">
        <v>101</v>
      </c>
      <c r="D13346" s="3">
        <v>48.0</v>
      </c>
      <c r="E13346" s="3">
        <v>2.61</v>
      </c>
      <c r="F13346" s="3">
        <v>0.9</v>
      </c>
      <c r="G13346" s="3">
        <v>6.44</v>
      </c>
    </row>
    <row r="13347">
      <c r="A13347" s="3">
        <v>788445.0</v>
      </c>
      <c r="B13347" s="3" t="s">
        <v>13375</v>
      </c>
      <c r="C13347" s="3" t="s">
        <v>101</v>
      </c>
      <c r="D13347" s="3">
        <v>55.0</v>
      </c>
      <c r="E13347" s="3">
        <v>3.4</v>
      </c>
      <c r="F13347" s="3">
        <v>0.88</v>
      </c>
      <c r="G13347" s="3">
        <v>6.44</v>
      </c>
    </row>
    <row r="13348">
      <c r="A13348" s="3">
        <v>788446.0</v>
      </c>
      <c r="B13348" s="3" t="s">
        <v>13376</v>
      </c>
      <c r="C13348" s="3" t="s">
        <v>101</v>
      </c>
      <c r="D13348" s="3">
        <v>51.0</v>
      </c>
      <c r="E13348" s="3">
        <v>2.9</v>
      </c>
      <c r="F13348" s="3">
        <v>0.91</v>
      </c>
      <c r="G13348" s="3">
        <v>6.43</v>
      </c>
    </row>
    <row r="13349">
      <c r="A13349" s="3">
        <v>788447.0</v>
      </c>
      <c r="B13349" s="3" t="s">
        <v>13377</v>
      </c>
      <c r="C13349" s="3" t="s">
        <v>101</v>
      </c>
      <c r="D13349" s="3">
        <v>45.0</v>
      </c>
      <c r="E13349" s="3">
        <v>2.2</v>
      </c>
      <c r="F13349" s="3">
        <v>0.89</v>
      </c>
      <c r="G13349" s="3">
        <v>6.46</v>
      </c>
    </row>
    <row r="13350">
      <c r="A13350" s="3">
        <v>788448.0</v>
      </c>
      <c r="B13350" s="3" t="s">
        <v>13378</v>
      </c>
      <c r="C13350" s="3" t="s">
        <v>101</v>
      </c>
      <c r="D13350" s="3">
        <v>48.0</v>
      </c>
      <c r="E13350" s="3">
        <v>2.61</v>
      </c>
      <c r="F13350" s="3">
        <v>0.9</v>
      </c>
      <c r="G13350" s="3">
        <v>6.44</v>
      </c>
    </row>
    <row r="13351">
      <c r="A13351" s="3">
        <v>788449.0</v>
      </c>
      <c r="B13351" s="3" t="s">
        <v>13379</v>
      </c>
      <c r="C13351" s="3" t="s">
        <v>101</v>
      </c>
      <c r="D13351" s="3">
        <v>28.0</v>
      </c>
      <c r="E13351" s="3">
        <v>0.2</v>
      </c>
      <c r="F13351" s="3">
        <v>0.91</v>
      </c>
      <c r="G13351" s="3">
        <v>6.65</v>
      </c>
    </row>
    <row r="13352">
      <c r="A13352" s="3">
        <v>788450.0</v>
      </c>
      <c r="B13352" s="3" t="s">
        <v>13380</v>
      </c>
      <c r="C13352" s="3" t="s">
        <v>101</v>
      </c>
      <c r="D13352" s="3">
        <v>48.0</v>
      </c>
      <c r="E13352" s="3">
        <v>2.61</v>
      </c>
      <c r="F13352" s="3">
        <v>0.9</v>
      </c>
      <c r="G13352" s="3">
        <v>6.44</v>
      </c>
    </row>
    <row r="13353">
      <c r="A13353" s="3">
        <v>788451.0</v>
      </c>
      <c r="B13353" s="3" t="s">
        <v>13381</v>
      </c>
      <c r="C13353" s="3" t="s">
        <v>101</v>
      </c>
      <c r="D13353" s="3">
        <v>55.0</v>
      </c>
      <c r="E13353" s="3">
        <v>3.4</v>
      </c>
      <c r="F13353" s="3">
        <v>0.88</v>
      </c>
      <c r="G13353" s="3">
        <v>6.44</v>
      </c>
    </row>
    <row r="13354">
      <c r="A13354" s="3">
        <v>788452.0</v>
      </c>
      <c r="B13354" s="3" t="s">
        <v>13382</v>
      </c>
      <c r="C13354" s="3" t="s">
        <v>101</v>
      </c>
      <c r="D13354" s="3">
        <v>51.0</v>
      </c>
      <c r="E13354" s="3">
        <v>2.9</v>
      </c>
      <c r="F13354" s="3">
        <v>0.91</v>
      </c>
      <c r="G13354" s="3">
        <v>6.43</v>
      </c>
    </row>
    <row r="13355">
      <c r="A13355" s="3">
        <v>788453.0</v>
      </c>
      <c r="B13355" s="3" t="s">
        <v>13383</v>
      </c>
      <c r="C13355" s="3" t="s">
        <v>101</v>
      </c>
      <c r="D13355" s="3">
        <v>45.0</v>
      </c>
      <c r="E13355" s="3">
        <v>2.2</v>
      </c>
      <c r="F13355" s="3">
        <v>0.89</v>
      </c>
      <c r="G13355" s="3">
        <v>6.46</v>
      </c>
    </row>
    <row r="13356">
      <c r="A13356" s="3">
        <v>788454.0</v>
      </c>
      <c r="B13356" s="3" t="s">
        <v>13384</v>
      </c>
      <c r="C13356" s="3" t="s">
        <v>225</v>
      </c>
      <c r="D13356" s="3">
        <v>61.0</v>
      </c>
      <c r="E13356" s="3">
        <v>2.53</v>
      </c>
      <c r="F13356" s="3">
        <v>2.03</v>
      </c>
      <c r="G13356" s="3">
        <v>9.51</v>
      </c>
    </row>
    <row r="13357">
      <c r="A13357" s="3">
        <v>788455.0</v>
      </c>
      <c r="B13357" s="3" t="s">
        <v>13385</v>
      </c>
      <c r="C13357" s="3" t="s">
        <v>225</v>
      </c>
      <c r="D13357" s="3">
        <v>61.0</v>
      </c>
      <c r="E13357" s="3">
        <v>2.53</v>
      </c>
      <c r="F13357" s="3">
        <v>2.03</v>
      </c>
      <c r="G13357" s="3">
        <v>9.51</v>
      </c>
    </row>
    <row r="13358">
      <c r="A13358" s="3">
        <v>788456.0</v>
      </c>
      <c r="B13358" s="3" t="s">
        <v>13386</v>
      </c>
      <c r="C13358" s="3" t="s">
        <v>225</v>
      </c>
      <c r="D13358" s="3">
        <v>61.0</v>
      </c>
      <c r="E13358" s="3">
        <v>2.53</v>
      </c>
      <c r="F13358" s="3">
        <v>2.03</v>
      </c>
      <c r="G13358" s="3">
        <v>9.51</v>
      </c>
    </row>
    <row r="13359">
      <c r="A13359" s="3">
        <v>788457.0</v>
      </c>
      <c r="B13359" s="3" t="s">
        <v>13387</v>
      </c>
      <c r="C13359" s="3" t="s">
        <v>225</v>
      </c>
      <c r="D13359" s="3">
        <v>42.0</v>
      </c>
      <c r="E13359" s="3">
        <v>2.43</v>
      </c>
      <c r="F13359" s="3">
        <v>0.92</v>
      </c>
      <c r="G13359" s="3">
        <v>5.13</v>
      </c>
    </row>
    <row r="13360">
      <c r="A13360" s="3">
        <v>788458.0</v>
      </c>
      <c r="B13360" s="3" t="s">
        <v>13388</v>
      </c>
      <c r="C13360" s="3" t="s">
        <v>225</v>
      </c>
      <c r="D13360" s="3">
        <v>41.0</v>
      </c>
      <c r="E13360" s="3">
        <v>0.21</v>
      </c>
      <c r="F13360" s="3">
        <v>2.07</v>
      </c>
      <c r="G13360" s="3">
        <v>9.8</v>
      </c>
    </row>
    <row r="13361">
      <c r="A13361" s="3">
        <v>788459.0</v>
      </c>
      <c r="B13361" s="3" t="s">
        <v>13389</v>
      </c>
      <c r="C13361" s="3" t="s">
        <v>225</v>
      </c>
      <c r="D13361" s="3">
        <v>41.0</v>
      </c>
      <c r="E13361" s="3">
        <v>0.21</v>
      </c>
      <c r="F13361" s="3">
        <v>2.07</v>
      </c>
      <c r="G13361" s="3">
        <v>9.8</v>
      </c>
    </row>
    <row r="13362">
      <c r="A13362" s="3">
        <v>788460.0</v>
      </c>
      <c r="B13362" s="3" t="s">
        <v>13390</v>
      </c>
      <c r="C13362" s="3" t="s">
        <v>225</v>
      </c>
      <c r="D13362" s="3">
        <v>41.0</v>
      </c>
      <c r="E13362" s="3">
        <v>0.21</v>
      </c>
      <c r="F13362" s="3">
        <v>2.07</v>
      </c>
      <c r="G13362" s="3">
        <v>9.8</v>
      </c>
    </row>
    <row r="13363">
      <c r="A13363" s="3">
        <v>788461.0</v>
      </c>
      <c r="B13363" s="3" t="s">
        <v>13391</v>
      </c>
      <c r="C13363" s="3" t="s">
        <v>225</v>
      </c>
      <c r="D13363" s="3">
        <v>22.0</v>
      </c>
      <c r="E13363" s="3">
        <v>0.1</v>
      </c>
      <c r="F13363" s="3">
        <v>0.93</v>
      </c>
      <c r="G13363" s="3">
        <v>5.28</v>
      </c>
    </row>
    <row r="13364">
      <c r="A13364" s="3">
        <v>788462.0</v>
      </c>
      <c r="B13364" s="3" t="s">
        <v>13392</v>
      </c>
      <c r="C13364" s="3" t="s">
        <v>225</v>
      </c>
      <c r="D13364" s="3">
        <v>61.0</v>
      </c>
      <c r="E13364" s="3">
        <v>2.53</v>
      </c>
      <c r="F13364" s="3">
        <v>2.03</v>
      </c>
      <c r="G13364" s="3">
        <v>9.51</v>
      </c>
    </row>
    <row r="13365">
      <c r="A13365" s="3">
        <v>788463.0</v>
      </c>
      <c r="B13365" s="3" t="s">
        <v>13393</v>
      </c>
      <c r="C13365" s="3" t="s">
        <v>225</v>
      </c>
      <c r="D13365" s="3">
        <v>61.0</v>
      </c>
      <c r="E13365" s="3">
        <v>2.53</v>
      </c>
      <c r="F13365" s="3">
        <v>2.03</v>
      </c>
      <c r="G13365" s="3">
        <v>9.51</v>
      </c>
    </row>
    <row r="13366">
      <c r="A13366" s="3">
        <v>788464.0</v>
      </c>
      <c r="B13366" s="3" t="s">
        <v>13394</v>
      </c>
      <c r="C13366" s="3" t="s">
        <v>225</v>
      </c>
      <c r="D13366" s="3">
        <v>61.0</v>
      </c>
      <c r="E13366" s="3">
        <v>2.53</v>
      </c>
      <c r="F13366" s="3">
        <v>2.03</v>
      </c>
      <c r="G13366" s="3">
        <v>9.51</v>
      </c>
    </row>
    <row r="13367">
      <c r="A13367" s="3">
        <v>788465.0</v>
      </c>
      <c r="B13367" s="3" t="s">
        <v>13395</v>
      </c>
      <c r="C13367" s="3" t="s">
        <v>225</v>
      </c>
      <c r="D13367" s="3">
        <v>42.0</v>
      </c>
      <c r="E13367" s="3">
        <v>2.43</v>
      </c>
      <c r="F13367" s="3">
        <v>0.92</v>
      </c>
      <c r="G13367" s="3">
        <v>5.13</v>
      </c>
    </row>
    <row r="13368">
      <c r="A13368" s="3">
        <v>788466.0</v>
      </c>
      <c r="B13368" s="3" t="s">
        <v>13396</v>
      </c>
      <c r="C13368" s="3" t="s">
        <v>225</v>
      </c>
      <c r="D13368" s="3">
        <v>28.0</v>
      </c>
      <c r="E13368" s="3">
        <v>0.37</v>
      </c>
      <c r="F13368" s="3">
        <v>1.35</v>
      </c>
      <c r="G13368" s="3">
        <v>6.24</v>
      </c>
    </row>
    <row r="13369">
      <c r="A13369" s="3">
        <v>788467.0</v>
      </c>
      <c r="B13369" s="3" t="s">
        <v>13397</v>
      </c>
      <c r="C13369" s="3" t="s">
        <v>101</v>
      </c>
      <c r="D13369" s="3">
        <v>43.0</v>
      </c>
      <c r="E13369" s="3">
        <v>3.19</v>
      </c>
      <c r="F13369" s="3">
        <v>0.65</v>
      </c>
      <c r="G13369" s="3">
        <v>3.31</v>
      </c>
    </row>
    <row r="13370">
      <c r="A13370" s="3">
        <v>788468.0</v>
      </c>
      <c r="B13370" s="3" t="s">
        <v>13398</v>
      </c>
      <c r="C13370" s="3" t="s">
        <v>101</v>
      </c>
      <c r="D13370" s="3">
        <v>17.0</v>
      </c>
      <c r="E13370" s="3">
        <v>0.24</v>
      </c>
      <c r="F13370" s="3">
        <v>0.66</v>
      </c>
      <c r="G13370" s="3">
        <v>3.41</v>
      </c>
    </row>
    <row r="13371">
      <c r="A13371" s="3">
        <v>788469.0</v>
      </c>
      <c r="B13371" s="3" t="s">
        <v>13399</v>
      </c>
      <c r="C13371" s="3" t="s">
        <v>101</v>
      </c>
      <c r="D13371" s="3">
        <v>43.0</v>
      </c>
      <c r="E13371" s="3">
        <v>3.21</v>
      </c>
      <c r="F13371" s="3">
        <v>0.65</v>
      </c>
      <c r="G13371" s="3">
        <v>3.3</v>
      </c>
    </row>
    <row r="13372">
      <c r="A13372" s="3">
        <v>788470.0</v>
      </c>
      <c r="B13372" s="3" t="s">
        <v>13400</v>
      </c>
      <c r="C13372" s="3" t="s">
        <v>101</v>
      </c>
      <c r="D13372" s="3">
        <v>46.0</v>
      </c>
      <c r="E13372" s="3">
        <v>2.13</v>
      </c>
      <c r="F13372" s="3">
        <v>0.92</v>
      </c>
      <c r="G13372" s="3">
        <v>6.63</v>
      </c>
    </row>
    <row r="13373">
      <c r="A13373" s="3">
        <v>788471.0</v>
      </c>
      <c r="B13373" s="3" t="s">
        <v>13401</v>
      </c>
      <c r="C13373" s="3" t="s">
        <v>101</v>
      </c>
      <c r="D13373" s="3">
        <v>30.0</v>
      </c>
      <c r="E13373" s="3">
        <v>0.18</v>
      </c>
      <c r="F13373" s="3">
        <v>0.92</v>
      </c>
      <c r="G13373" s="3">
        <v>6.8</v>
      </c>
    </row>
    <row r="13374">
      <c r="A13374" s="3">
        <v>788472.0</v>
      </c>
      <c r="B13374" s="3" t="s">
        <v>13402</v>
      </c>
      <c r="C13374" s="3" t="s">
        <v>101</v>
      </c>
      <c r="D13374" s="3">
        <v>46.0</v>
      </c>
      <c r="E13374" s="3">
        <v>2.13</v>
      </c>
      <c r="F13374" s="3">
        <v>0.92</v>
      </c>
      <c r="G13374" s="3">
        <v>6.63</v>
      </c>
    </row>
    <row r="13375">
      <c r="A13375" s="3">
        <v>788473.0</v>
      </c>
      <c r="B13375" s="3" t="s">
        <v>13403</v>
      </c>
      <c r="C13375" s="3" t="s">
        <v>101</v>
      </c>
      <c r="D13375" s="3">
        <v>52.0</v>
      </c>
      <c r="E13375" s="3">
        <v>2.76</v>
      </c>
      <c r="F13375" s="3">
        <v>0.9</v>
      </c>
      <c r="G13375" s="3">
        <v>6.62</v>
      </c>
    </row>
    <row r="13376">
      <c r="A13376" s="3">
        <v>788474.0</v>
      </c>
      <c r="B13376" s="3" t="s">
        <v>13404</v>
      </c>
      <c r="C13376" s="3" t="s">
        <v>101</v>
      </c>
      <c r="D13376" s="3">
        <v>48.0</v>
      </c>
      <c r="E13376" s="3">
        <v>2.36</v>
      </c>
      <c r="F13376" s="3">
        <v>0.92</v>
      </c>
      <c r="G13376" s="3">
        <v>6.62</v>
      </c>
    </row>
    <row r="13377">
      <c r="A13377" s="3">
        <v>788475.0</v>
      </c>
      <c r="B13377" s="3" t="s">
        <v>13405</v>
      </c>
      <c r="C13377" s="3" t="s">
        <v>101</v>
      </c>
      <c r="D13377" s="3">
        <v>43.0</v>
      </c>
      <c r="E13377" s="3">
        <v>1.8</v>
      </c>
      <c r="F13377" s="3">
        <v>0.9</v>
      </c>
      <c r="G13377" s="3">
        <v>6.64</v>
      </c>
    </row>
    <row r="13378">
      <c r="A13378" s="3">
        <v>788476.0</v>
      </c>
      <c r="B13378" s="3" t="s">
        <v>13406</v>
      </c>
      <c r="C13378" s="3" t="s">
        <v>101</v>
      </c>
      <c r="D13378" s="3">
        <v>87.0</v>
      </c>
      <c r="E13378" s="3">
        <v>2.6</v>
      </c>
      <c r="F13378" s="3">
        <v>2.64</v>
      </c>
      <c r="G13378" s="3">
        <v>14.75</v>
      </c>
    </row>
    <row r="13379">
      <c r="A13379" s="3">
        <v>788477.0</v>
      </c>
      <c r="B13379" s="3" t="s">
        <v>13407</v>
      </c>
      <c r="C13379" s="3" t="s">
        <v>101</v>
      </c>
      <c r="D13379" s="3">
        <v>68.0</v>
      </c>
      <c r="E13379" s="3">
        <v>0.17</v>
      </c>
      <c r="F13379" s="3">
        <v>2.71</v>
      </c>
      <c r="G13379" s="3">
        <v>15.25</v>
      </c>
    </row>
    <row r="13380">
      <c r="A13380" s="3">
        <v>788478.0</v>
      </c>
      <c r="B13380" s="3" t="s">
        <v>13408</v>
      </c>
      <c r="C13380" s="3" t="s">
        <v>101</v>
      </c>
      <c r="D13380" s="3">
        <v>87.0</v>
      </c>
      <c r="E13380" s="3">
        <v>2.6</v>
      </c>
      <c r="F13380" s="3">
        <v>2.64</v>
      </c>
      <c r="G13380" s="3">
        <v>14.75</v>
      </c>
    </row>
    <row r="13381">
      <c r="A13381" s="3">
        <v>788479.0</v>
      </c>
      <c r="B13381" s="3" t="s">
        <v>13409</v>
      </c>
      <c r="C13381" s="3" t="s">
        <v>257</v>
      </c>
      <c r="D13381" s="3">
        <v>39.0</v>
      </c>
      <c r="E13381" s="3">
        <v>2.48</v>
      </c>
      <c r="F13381" s="3">
        <v>0.9</v>
      </c>
      <c r="G13381" s="3">
        <v>4.15</v>
      </c>
    </row>
    <row r="13382">
      <c r="A13382" s="3">
        <v>788481.0</v>
      </c>
      <c r="B13382" s="3" t="s">
        <v>13410</v>
      </c>
      <c r="C13382" s="3" t="s">
        <v>257</v>
      </c>
      <c r="D13382" s="3">
        <v>31.0</v>
      </c>
      <c r="E13382" s="3">
        <v>1.56</v>
      </c>
      <c r="F13382" s="3">
        <v>0.9</v>
      </c>
      <c r="G13382" s="3">
        <v>4.2</v>
      </c>
    </row>
    <row r="13383">
      <c r="A13383" s="3">
        <v>788482.0</v>
      </c>
      <c r="B13383" s="3" t="s">
        <v>13411</v>
      </c>
      <c r="C13383" s="3" t="s">
        <v>101</v>
      </c>
      <c r="D13383" s="3">
        <v>75.0</v>
      </c>
      <c r="E13383" s="3">
        <v>3.11</v>
      </c>
      <c r="F13383" s="3">
        <v>3.38</v>
      </c>
      <c r="G13383" s="3">
        <v>8.72</v>
      </c>
    </row>
    <row r="13384">
      <c r="A13384" s="3">
        <v>788483.0</v>
      </c>
      <c r="B13384" s="3" t="s">
        <v>13412</v>
      </c>
      <c r="C13384" s="3" t="s">
        <v>101</v>
      </c>
      <c r="D13384" s="3">
        <v>65.0</v>
      </c>
      <c r="E13384" s="3">
        <v>2.97</v>
      </c>
      <c r="F13384" s="3">
        <v>3.16</v>
      </c>
      <c r="G13384" s="3">
        <v>6.81</v>
      </c>
    </row>
    <row r="13385">
      <c r="A13385" s="3">
        <v>788484.0</v>
      </c>
      <c r="B13385" s="3" t="s">
        <v>13413</v>
      </c>
      <c r="C13385" s="3" t="s">
        <v>101</v>
      </c>
      <c r="D13385" s="3">
        <v>75.0</v>
      </c>
      <c r="E13385" s="3">
        <v>3.11</v>
      </c>
      <c r="F13385" s="3">
        <v>3.38</v>
      </c>
      <c r="G13385" s="3">
        <v>8.72</v>
      </c>
    </row>
    <row r="13386">
      <c r="A13386" s="3">
        <v>788485.0</v>
      </c>
      <c r="B13386" s="3" t="s">
        <v>13414</v>
      </c>
      <c r="C13386" s="3" t="s">
        <v>101</v>
      </c>
      <c r="D13386" s="3">
        <v>52.0</v>
      </c>
      <c r="E13386" s="3">
        <v>0.38</v>
      </c>
      <c r="F13386" s="3">
        <v>3.48</v>
      </c>
      <c r="G13386" s="3">
        <v>8.96</v>
      </c>
    </row>
    <row r="13387">
      <c r="A13387" s="3">
        <v>788486.0</v>
      </c>
      <c r="B13387" s="3" t="s">
        <v>13415</v>
      </c>
      <c r="C13387" s="3" t="s">
        <v>101</v>
      </c>
      <c r="D13387" s="3">
        <v>42.0</v>
      </c>
      <c r="E13387" s="3">
        <v>0.23</v>
      </c>
      <c r="F13387" s="3">
        <v>3.25</v>
      </c>
      <c r="G13387" s="3">
        <v>7.01</v>
      </c>
    </row>
    <row r="13388">
      <c r="A13388" s="3">
        <v>788487.0</v>
      </c>
      <c r="B13388" s="3" t="s">
        <v>13416</v>
      </c>
      <c r="C13388" s="3" t="s">
        <v>101</v>
      </c>
      <c r="D13388" s="3">
        <v>52.0</v>
      </c>
      <c r="E13388" s="3">
        <v>0.38</v>
      </c>
      <c r="F13388" s="3">
        <v>3.48</v>
      </c>
      <c r="G13388" s="3">
        <v>8.96</v>
      </c>
    </row>
    <row r="13389">
      <c r="A13389" s="3">
        <v>788488.0</v>
      </c>
      <c r="B13389" s="3" t="s">
        <v>13417</v>
      </c>
      <c r="C13389" s="3" t="s">
        <v>101</v>
      </c>
      <c r="D13389" s="3">
        <v>75.0</v>
      </c>
      <c r="E13389" s="3">
        <v>3.11</v>
      </c>
      <c r="F13389" s="3">
        <v>3.38</v>
      </c>
      <c r="G13389" s="3">
        <v>8.72</v>
      </c>
    </row>
    <row r="13390">
      <c r="A13390" s="3">
        <v>788489.0</v>
      </c>
      <c r="B13390" s="3" t="s">
        <v>13418</v>
      </c>
      <c r="C13390" s="3" t="s">
        <v>101</v>
      </c>
      <c r="D13390" s="3">
        <v>65.0</v>
      </c>
      <c r="E13390" s="3">
        <v>2.97</v>
      </c>
      <c r="F13390" s="3">
        <v>3.16</v>
      </c>
      <c r="G13390" s="3">
        <v>6.81</v>
      </c>
    </row>
    <row r="13391">
      <c r="A13391" s="3">
        <v>788490.0</v>
      </c>
      <c r="B13391" s="3" t="s">
        <v>13419</v>
      </c>
      <c r="C13391" s="3" t="s">
        <v>101</v>
      </c>
      <c r="D13391" s="3">
        <v>75.0</v>
      </c>
      <c r="E13391" s="3">
        <v>3.11</v>
      </c>
      <c r="F13391" s="3">
        <v>3.38</v>
      </c>
      <c r="G13391" s="3">
        <v>8.72</v>
      </c>
    </row>
    <row r="13392">
      <c r="A13392" s="3">
        <v>788491.0</v>
      </c>
      <c r="B13392" s="3" t="s">
        <v>13420</v>
      </c>
      <c r="C13392" s="3" t="s">
        <v>101</v>
      </c>
      <c r="D13392" s="3">
        <v>75.0</v>
      </c>
      <c r="E13392" s="3">
        <v>3.11</v>
      </c>
      <c r="F13392" s="3">
        <v>3.38</v>
      </c>
      <c r="G13392" s="3">
        <v>8.72</v>
      </c>
    </row>
    <row r="13393">
      <c r="A13393" s="3">
        <v>788492.0</v>
      </c>
      <c r="B13393" s="3" t="s">
        <v>13421</v>
      </c>
      <c r="C13393" s="3" t="s">
        <v>101</v>
      </c>
      <c r="D13393" s="3">
        <v>71.0</v>
      </c>
      <c r="E13393" s="3">
        <v>2.68</v>
      </c>
      <c r="F13393" s="3">
        <v>3.4</v>
      </c>
      <c r="G13393" s="3">
        <v>8.71</v>
      </c>
    </row>
    <row r="13394">
      <c r="A13394" s="3">
        <v>788493.0</v>
      </c>
      <c r="B13394" s="3" t="s">
        <v>13422</v>
      </c>
      <c r="C13394" s="3" t="s">
        <v>101</v>
      </c>
      <c r="D13394" s="3">
        <v>66.0</v>
      </c>
      <c r="E13394" s="3">
        <v>2.09</v>
      </c>
      <c r="F13394" s="3">
        <v>3.38</v>
      </c>
      <c r="G13394" s="3">
        <v>8.73</v>
      </c>
    </row>
    <row r="13395">
      <c r="A13395" s="3">
        <v>788494.0</v>
      </c>
      <c r="B13395" s="3" t="s">
        <v>13423</v>
      </c>
      <c r="C13395" s="3" t="s">
        <v>101</v>
      </c>
      <c r="D13395" s="3">
        <v>65.0</v>
      </c>
      <c r="E13395" s="3">
        <v>2.97</v>
      </c>
      <c r="F13395" s="3">
        <v>3.16</v>
      </c>
      <c r="G13395" s="3">
        <v>6.81</v>
      </c>
    </row>
    <row r="13396">
      <c r="A13396" s="3">
        <v>788495.0</v>
      </c>
      <c r="B13396" s="3" t="s">
        <v>13424</v>
      </c>
      <c r="C13396" s="3" t="s">
        <v>101</v>
      </c>
      <c r="D13396" s="3">
        <v>61.0</v>
      </c>
      <c r="E13396" s="3">
        <v>2.54</v>
      </c>
      <c r="F13396" s="3">
        <v>3.18</v>
      </c>
      <c r="G13396" s="3">
        <v>6.81</v>
      </c>
    </row>
    <row r="13397">
      <c r="A13397" s="3">
        <v>788496.0</v>
      </c>
      <c r="B13397" s="3" t="s">
        <v>13425</v>
      </c>
      <c r="C13397" s="3" t="s">
        <v>101</v>
      </c>
      <c r="D13397" s="3">
        <v>56.0</v>
      </c>
      <c r="E13397" s="3">
        <v>1.94</v>
      </c>
      <c r="F13397" s="3">
        <v>3.16</v>
      </c>
      <c r="G13397" s="3">
        <v>6.83</v>
      </c>
    </row>
    <row r="13398">
      <c r="A13398" s="3">
        <v>788497.0</v>
      </c>
      <c r="B13398" s="3" t="s">
        <v>13426</v>
      </c>
      <c r="C13398" s="3" t="s">
        <v>101</v>
      </c>
      <c r="D13398" s="3">
        <v>75.0</v>
      </c>
      <c r="E13398" s="3">
        <v>3.11</v>
      </c>
      <c r="F13398" s="3">
        <v>3.38</v>
      </c>
      <c r="G13398" s="3">
        <v>8.72</v>
      </c>
    </row>
    <row r="13399">
      <c r="A13399" s="3">
        <v>788498.0</v>
      </c>
      <c r="B13399" s="3" t="s">
        <v>13427</v>
      </c>
      <c r="C13399" s="3" t="s">
        <v>101</v>
      </c>
      <c r="D13399" s="3">
        <v>71.0</v>
      </c>
      <c r="E13399" s="3">
        <v>2.68</v>
      </c>
      <c r="F13399" s="3">
        <v>3.4</v>
      </c>
      <c r="G13399" s="3">
        <v>8.71</v>
      </c>
    </row>
    <row r="13400">
      <c r="A13400" s="3">
        <v>788499.0</v>
      </c>
      <c r="B13400" s="3" t="s">
        <v>13428</v>
      </c>
      <c r="C13400" s="3" t="s">
        <v>101</v>
      </c>
      <c r="D13400" s="3">
        <v>66.0</v>
      </c>
      <c r="E13400" s="3">
        <v>2.09</v>
      </c>
      <c r="F13400" s="3">
        <v>3.38</v>
      </c>
      <c r="G13400" s="3">
        <v>8.73</v>
      </c>
    </row>
    <row r="13401">
      <c r="A13401" s="3">
        <v>788501.0</v>
      </c>
      <c r="B13401" s="3" t="s">
        <v>13429</v>
      </c>
      <c r="C13401" s="3" t="s">
        <v>1464</v>
      </c>
      <c r="D13401" s="3">
        <v>43.0</v>
      </c>
      <c r="E13401" s="3">
        <v>0.5</v>
      </c>
      <c r="F13401" s="3">
        <v>4.15</v>
      </c>
      <c r="G13401" s="3">
        <v>7.52</v>
      </c>
    </row>
    <row r="13402">
      <c r="A13402" s="3">
        <v>788502.0</v>
      </c>
      <c r="B13402" s="3" t="s">
        <v>13430</v>
      </c>
      <c r="C13402" s="3" t="s">
        <v>101</v>
      </c>
      <c r="D13402" s="3">
        <v>61.0</v>
      </c>
      <c r="E13402" s="3">
        <v>3.35</v>
      </c>
      <c r="F13402" s="3">
        <v>5.6</v>
      </c>
      <c r="G13402" s="3">
        <v>4.92</v>
      </c>
    </row>
    <row r="13403">
      <c r="A13403" s="3">
        <v>788504.0</v>
      </c>
      <c r="B13403" s="3" t="s">
        <v>13431</v>
      </c>
      <c r="C13403" s="3" t="s">
        <v>101</v>
      </c>
      <c r="D13403" s="3">
        <v>61.0</v>
      </c>
      <c r="E13403" s="3">
        <v>3.35</v>
      </c>
      <c r="F13403" s="3">
        <v>5.6</v>
      </c>
      <c r="G13403" s="3">
        <v>4.92</v>
      </c>
    </row>
    <row r="13404">
      <c r="A13404" s="3">
        <v>788505.0</v>
      </c>
      <c r="B13404" s="3" t="s">
        <v>13432</v>
      </c>
      <c r="C13404" s="3" t="s">
        <v>101</v>
      </c>
      <c r="D13404" s="3">
        <v>61.0</v>
      </c>
      <c r="E13404" s="3">
        <v>3.35</v>
      </c>
      <c r="F13404" s="3">
        <v>5.6</v>
      </c>
      <c r="G13404" s="3">
        <v>4.92</v>
      </c>
    </row>
    <row r="13405">
      <c r="A13405" s="3">
        <v>788506.0</v>
      </c>
      <c r="B13405" s="3" t="s">
        <v>13433</v>
      </c>
      <c r="C13405" s="3" t="s">
        <v>101</v>
      </c>
      <c r="D13405" s="3">
        <v>56.0</v>
      </c>
      <c r="E13405" s="3">
        <v>2.77</v>
      </c>
      <c r="F13405" s="3">
        <v>5.62</v>
      </c>
      <c r="G13405" s="3">
        <v>4.92</v>
      </c>
    </row>
    <row r="13406">
      <c r="A13406" s="3">
        <v>788508.0</v>
      </c>
      <c r="B13406" s="3" t="s">
        <v>13434</v>
      </c>
      <c r="C13406" s="3" t="s">
        <v>101</v>
      </c>
      <c r="D13406" s="3">
        <v>34.0</v>
      </c>
      <c r="E13406" s="3">
        <v>1.76</v>
      </c>
      <c r="F13406" s="3">
        <v>1.19</v>
      </c>
      <c r="G13406" s="3">
        <v>4.36</v>
      </c>
    </row>
    <row r="13407">
      <c r="A13407" s="3">
        <v>788509.0</v>
      </c>
      <c r="B13407" s="3" t="s">
        <v>13435</v>
      </c>
      <c r="C13407" s="3" t="s">
        <v>101</v>
      </c>
      <c r="D13407" s="3">
        <v>36.0</v>
      </c>
      <c r="E13407" s="3">
        <v>2.15</v>
      </c>
      <c r="F13407" s="3">
        <v>0.9</v>
      </c>
      <c r="G13407" s="3">
        <v>4.19</v>
      </c>
    </row>
    <row r="13408">
      <c r="A13408" s="3">
        <v>788510.0</v>
      </c>
      <c r="B13408" s="3" t="s">
        <v>13436</v>
      </c>
      <c r="C13408" s="3" t="s">
        <v>101</v>
      </c>
      <c r="D13408" s="3">
        <v>34.0</v>
      </c>
      <c r="E13408" s="3">
        <v>1.76</v>
      </c>
      <c r="F13408" s="3">
        <v>1.19</v>
      </c>
      <c r="G13408" s="3">
        <v>4.36</v>
      </c>
    </row>
    <row r="13409">
      <c r="A13409" s="3">
        <v>788511.0</v>
      </c>
      <c r="B13409" s="3" t="s">
        <v>13437</v>
      </c>
      <c r="C13409" s="3" t="s">
        <v>101</v>
      </c>
      <c r="D13409" s="3">
        <v>26.0</v>
      </c>
      <c r="E13409" s="3">
        <v>1.62</v>
      </c>
      <c r="F13409" s="3">
        <v>0.61</v>
      </c>
      <c r="G13409" s="3">
        <v>2.89</v>
      </c>
    </row>
    <row r="13410">
      <c r="A13410" s="3">
        <v>788512.0</v>
      </c>
      <c r="B13410" s="3" t="s">
        <v>13438</v>
      </c>
      <c r="C13410" s="3" t="s">
        <v>101</v>
      </c>
      <c r="D13410" s="3">
        <v>21.0</v>
      </c>
      <c r="E13410" s="3">
        <v>0.16</v>
      </c>
      <c r="F13410" s="3">
        <v>1.2</v>
      </c>
      <c r="G13410" s="3">
        <v>4.45</v>
      </c>
    </row>
    <row r="13411">
      <c r="A13411" s="3">
        <v>788513.0</v>
      </c>
      <c r="B13411" s="3" t="s">
        <v>13439</v>
      </c>
      <c r="C13411" s="3" t="s">
        <v>101</v>
      </c>
      <c r="D13411" s="3">
        <v>20.0</v>
      </c>
      <c r="E13411" s="3">
        <v>0.31</v>
      </c>
      <c r="F13411" s="3">
        <v>0.9</v>
      </c>
      <c r="G13411" s="3">
        <v>4.29</v>
      </c>
    </row>
    <row r="13412">
      <c r="A13412" s="3">
        <v>788514.0</v>
      </c>
      <c r="B13412" s="3" t="s">
        <v>13440</v>
      </c>
      <c r="C13412" s="3" t="s">
        <v>101</v>
      </c>
      <c r="D13412" s="3">
        <v>21.0</v>
      </c>
      <c r="E13412" s="3">
        <v>0.16</v>
      </c>
      <c r="F13412" s="3">
        <v>1.2</v>
      </c>
      <c r="G13412" s="3">
        <v>4.45</v>
      </c>
    </row>
    <row r="13413">
      <c r="A13413" s="3">
        <v>788515.0</v>
      </c>
      <c r="B13413" s="3" t="s">
        <v>13441</v>
      </c>
      <c r="C13413" s="3" t="s">
        <v>101</v>
      </c>
      <c r="D13413" s="3">
        <v>13.0</v>
      </c>
      <c r="E13413" s="3">
        <v>0.07</v>
      </c>
      <c r="F13413" s="3">
        <v>0.61</v>
      </c>
      <c r="G13413" s="3">
        <v>2.95</v>
      </c>
    </row>
    <row r="13414">
      <c r="A13414" s="3">
        <v>788516.0</v>
      </c>
      <c r="B13414" s="3" t="s">
        <v>13442</v>
      </c>
      <c r="C13414" s="3" t="s">
        <v>101</v>
      </c>
      <c r="D13414" s="3">
        <v>34.0</v>
      </c>
      <c r="E13414" s="3">
        <v>1.76</v>
      </c>
      <c r="F13414" s="3">
        <v>1.19</v>
      </c>
      <c r="G13414" s="3">
        <v>4.36</v>
      </c>
    </row>
    <row r="13415">
      <c r="A13415" s="3">
        <v>788517.0</v>
      </c>
      <c r="B13415" s="3" t="s">
        <v>13443</v>
      </c>
      <c r="C13415" s="3" t="s">
        <v>101</v>
      </c>
      <c r="D13415" s="3">
        <v>36.0</v>
      </c>
      <c r="E13415" s="3">
        <v>2.15</v>
      </c>
      <c r="F13415" s="3">
        <v>0.9</v>
      </c>
      <c r="G13415" s="3">
        <v>4.19</v>
      </c>
    </row>
    <row r="13416">
      <c r="A13416" s="3">
        <v>788518.0</v>
      </c>
      <c r="B13416" s="3" t="s">
        <v>13444</v>
      </c>
      <c r="C13416" s="3" t="s">
        <v>101</v>
      </c>
      <c r="D13416" s="3">
        <v>34.0</v>
      </c>
      <c r="E13416" s="3">
        <v>1.76</v>
      </c>
      <c r="F13416" s="3">
        <v>1.19</v>
      </c>
      <c r="G13416" s="3">
        <v>4.36</v>
      </c>
    </row>
    <row r="13417">
      <c r="A13417" s="3">
        <v>788519.0</v>
      </c>
      <c r="B13417" s="3" t="s">
        <v>13445</v>
      </c>
      <c r="C13417" s="3" t="s">
        <v>101</v>
      </c>
      <c r="D13417" s="3">
        <v>26.0</v>
      </c>
      <c r="E13417" s="3">
        <v>1.62</v>
      </c>
      <c r="F13417" s="3">
        <v>0.61</v>
      </c>
      <c r="G13417" s="3">
        <v>2.89</v>
      </c>
    </row>
    <row r="13418">
      <c r="A13418" s="3">
        <v>788520.0</v>
      </c>
      <c r="B13418" s="3" t="s">
        <v>13446</v>
      </c>
      <c r="C13418" s="3" t="s">
        <v>101</v>
      </c>
      <c r="D13418" s="3">
        <v>39.0</v>
      </c>
      <c r="E13418" s="3">
        <v>2.28</v>
      </c>
      <c r="F13418" s="3">
        <v>1.18</v>
      </c>
      <c r="G13418" s="3">
        <v>4.36</v>
      </c>
    </row>
    <row r="13419">
      <c r="A13419" s="3">
        <v>788521.0</v>
      </c>
      <c r="B13419" s="3" t="s">
        <v>13447</v>
      </c>
      <c r="C13419" s="3" t="s">
        <v>101</v>
      </c>
      <c r="D13419" s="3">
        <v>36.0</v>
      </c>
      <c r="E13419" s="3">
        <v>1.95</v>
      </c>
      <c r="F13419" s="3">
        <v>1.2</v>
      </c>
      <c r="G13419" s="3">
        <v>4.36</v>
      </c>
    </row>
    <row r="13420">
      <c r="A13420" s="3">
        <v>788522.0</v>
      </c>
      <c r="B13420" s="3" t="s">
        <v>13448</v>
      </c>
      <c r="C13420" s="3" t="s">
        <v>101</v>
      </c>
      <c r="D13420" s="3">
        <v>32.0</v>
      </c>
      <c r="E13420" s="3">
        <v>1.49</v>
      </c>
      <c r="F13420" s="3">
        <v>1.18</v>
      </c>
      <c r="G13420" s="3">
        <v>4.37</v>
      </c>
    </row>
    <row r="13421">
      <c r="A13421" s="3">
        <v>788523.0</v>
      </c>
      <c r="B13421" s="3" t="s">
        <v>13449</v>
      </c>
      <c r="C13421" s="3" t="s">
        <v>101</v>
      </c>
      <c r="D13421" s="3">
        <v>41.0</v>
      </c>
      <c r="E13421" s="3">
        <v>2.75</v>
      </c>
      <c r="F13421" s="3">
        <v>0.88</v>
      </c>
      <c r="G13421" s="3">
        <v>4.18</v>
      </c>
    </row>
    <row r="13422">
      <c r="A13422" s="3">
        <v>788524.0</v>
      </c>
      <c r="B13422" s="3" t="s">
        <v>13450</v>
      </c>
      <c r="C13422" s="3" t="s">
        <v>101</v>
      </c>
      <c r="D13422" s="3">
        <v>38.0</v>
      </c>
      <c r="E13422" s="3">
        <v>2.37</v>
      </c>
      <c r="F13422" s="3">
        <v>0.9</v>
      </c>
      <c r="G13422" s="3">
        <v>4.18</v>
      </c>
    </row>
    <row r="13423">
      <c r="A13423" s="3">
        <v>788525.0</v>
      </c>
      <c r="B13423" s="3" t="s">
        <v>13451</v>
      </c>
      <c r="C13423" s="3" t="s">
        <v>101</v>
      </c>
      <c r="D13423" s="3">
        <v>33.0</v>
      </c>
      <c r="E13423" s="3">
        <v>1.84</v>
      </c>
      <c r="F13423" s="3">
        <v>0.89</v>
      </c>
      <c r="G13423" s="3">
        <v>4.2</v>
      </c>
    </row>
    <row r="13424">
      <c r="A13424" s="3">
        <v>788526.0</v>
      </c>
      <c r="B13424" s="3" t="s">
        <v>13452</v>
      </c>
      <c r="C13424" s="3" t="s">
        <v>101</v>
      </c>
      <c r="D13424" s="3">
        <v>45.0</v>
      </c>
      <c r="E13424" s="3">
        <v>2.49</v>
      </c>
      <c r="F13424" s="3">
        <v>1.24</v>
      </c>
      <c r="G13424" s="3">
        <v>5.38</v>
      </c>
    </row>
    <row r="13425">
      <c r="A13425" s="3">
        <v>788527.0</v>
      </c>
      <c r="B13425" s="3" t="s">
        <v>13453</v>
      </c>
      <c r="C13425" s="3" t="s">
        <v>101</v>
      </c>
      <c r="D13425" s="3">
        <v>41.0</v>
      </c>
      <c r="E13425" s="3">
        <v>2.13</v>
      </c>
      <c r="F13425" s="3">
        <v>1.26</v>
      </c>
      <c r="G13425" s="3">
        <v>5.38</v>
      </c>
    </row>
    <row r="13426">
      <c r="A13426" s="3">
        <v>788528.0</v>
      </c>
      <c r="B13426" s="3" t="s">
        <v>13454</v>
      </c>
      <c r="C13426" s="3" t="s">
        <v>101</v>
      </c>
      <c r="D13426" s="3">
        <v>37.0</v>
      </c>
      <c r="E13426" s="3">
        <v>1.64</v>
      </c>
      <c r="F13426" s="3">
        <v>1.25</v>
      </c>
      <c r="G13426" s="3">
        <v>5.4</v>
      </c>
    </row>
    <row r="13427">
      <c r="A13427" s="3">
        <v>788529.0</v>
      </c>
      <c r="B13427" s="3" t="s">
        <v>13455</v>
      </c>
      <c r="C13427" s="3" t="s">
        <v>101</v>
      </c>
      <c r="D13427" s="3">
        <v>31.0</v>
      </c>
      <c r="E13427" s="3">
        <v>2.12</v>
      </c>
      <c r="F13427" s="3">
        <v>0.6</v>
      </c>
      <c r="G13427" s="3">
        <v>2.89</v>
      </c>
    </row>
    <row r="13428">
      <c r="A13428" s="3">
        <v>788530.0</v>
      </c>
      <c r="B13428" s="3" t="s">
        <v>13456</v>
      </c>
      <c r="C13428" s="3" t="s">
        <v>101</v>
      </c>
      <c r="D13428" s="3">
        <v>28.0</v>
      </c>
      <c r="E13428" s="3">
        <v>1.8</v>
      </c>
      <c r="F13428" s="3">
        <v>0.61</v>
      </c>
      <c r="G13428" s="3">
        <v>2.88</v>
      </c>
    </row>
    <row r="13429">
      <c r="A13429" s="3">
        <v>788531.0</v>
      </c>
      <c r="B13429" s="3" t="s">
        <v>13457</v>
      </c>
      <c r="C13429" s="3" t="s">
        <v>101</v>
      </c>
      <c r="D13429" s="3">
        <v>24.0</v>
      </c>
      <c r="E13429" s="3">
        <v>1.36</v>
      </c>
      <c r="F13429" s="3">
        <v>0.6</v>
      </c>
      <c r="G13429" s="3">
        <v>2.9</v>
      </c>
    </row>
    <row r="13430">
      <c r="A13430" s="3">
        <v>788532.0</v>
      </c>
      <c r="B13430" s="3" t="s">
        <v>13458</v>
      </c>
      <c r="C13430" s="3" t="s">
        <v>101</v>
      </c>
      <c r="D13430" s="3">
        <v>45.0</v>
      </c>
      <c r="E13430" s="3">
        <v>2.4</v>
      </c>
      <c r="F13430" s="3">
        <v>0.66</v>
      </c>
      <c r="G13430" s="3">
        <v>6.27</v>
      </c>
    </row>
    <row r="13431">
      <c r="A13431" s="3">
        <v>788533.0</v>
      </c>
      <c r="B13431" s="3" t="s">
        <v>13459</v>
      </c>
      <c r="C13431" s="3" t="s">
        <v>101</v>
      </c>
      <c r="D13431" s="3">
        <v>45.0</v>
      </c>
      <c r="E13431" s="3">
        <v>2.39</v>
      </c>
      <c r="F13431" s="3">
        <v>0.65</v>
      </c>
      <c r="G13431" s="3">
        <v>6.24</v>
      </c>
    </row>
    <row r="13432">
      <c r="A13432" s="3">
        <v>788534.0</v>
      </c>
      <c r="B13432" s="3" t="s">
        <v>13460</v>
      </c>
      <c r="C13432" s="3" t="s">
        <v>101</v>
      </c>
      <c r="D13432" s="3">
        <v>27.0</v>
      </c>
      <c r="E13432" s="3">
        <v>0.26</v>
      </c>
      <c r="F13432" s="3">
        <v>0.66</v>
      </c>
      <c r="G13432" s="3">
        <v>6.42</v>
      </c>
    </row>
    <row r="13433">
      <c r="A13433" s="3">
        <v>788535.0</v>
      </c>
      <c r="B13433" s="3" t="s">
        <v>13461</v>
      </c>
      <c r="C13433" s="3" t="s">
        <v>101</v>
      </c>
      <c r="D13433" s="3">
        <v>51.0</v>
      </c>
      <c r="E13433" s="3">
        <v>3.08</v>
      </c>
      <c r="F13433" s="3">
        <v>0.64</v>
      </c>
      <c r="G13433" s="3">
        <v>6.24</v>
      </c>
    </row>
    <row r="13434">
      <c r="A13434" s="3">
        <v>788536.0</v>
      </c>
      <c r="B13434" s="3" t="s">
        <v>13462</v>
      </c>
      <c r="C13434" s="3" t="s">
        <v>101</v>
      </c>
      <c r="D13434" s="3">
        <v>47.0</v>
      </c>
      <c r="E13434" s="3">
        <v>2.64</v>
      </c>
      <c r="F13434" s="3">
        <v>0.66</v>
      </c>
      <c r="G13434" s="3">
        <v>6.23</v>
      </c>
    </row>
    <row r="13435">
      <c r="A13435" s="3">
        <v>788537.0</v>
      </c>
      <c r="B13435" s="3" t="s">
        <v>13463</v>
      </c>
      <c r="C13435" s="3" t="s">
        <v>101</v>
      </c>
      <c r="D13435" s="3">
        <v>42.0</v>
      </c>
      <c r="E13435" s="3">
        <v>2.03</v>
      </c>
      <c r="F13435" s="3">
        <v>0.64</v>
      </c>
      <c r="G13435" s="3">
        <v>6.25</v>
      </c>
    </row>
    <row r="13436">
      <c r="A13436" s="3">
        <v>788538.0</v>
      </c>
      <c r="B13436" s="3" t="s">
        <v>13464</v>
      </c>
      <c r="C13436" s="3" t="s">
        <v>101</v>
      </c>
      <c r="D13436" s="3">
        <v>41.0</v>
      </c>
      <c r="E13436" s="3">
        <v>2.35</v>
      </c>
      <c r="F13436" s="3">
        <v>1.49</v>
      </c>
      <c r="G13436" s="3">
        <v>4.21</v>
      </c>
    </row>
    <row r="13437">
      <c r="A13437" s="3">
        <v>788539.0</v>
      </c>
      <c r="B13437" s="3" t="s">
        <v>13465</v>
      </c>
      <c r="C13437" s="3" t="s">
        <v>101</v>
      </c>
      <c r="D13437" s="3">
        <v>40.0</v>
      </c>
      <c r="E13437" s="3">
        <v>2.2</v>
      </c>
      <c r="F13437" s="3">
        <v>0.7</v>
      </c>
      <c r="G13437" s="3">
        <v>4.89</v>
      </c>
    </row>
    <row r="13438">
      <c r="A13438" s="3">
        <v>788540.0</v>
      </c>
      <c r="B13438" s="3" t="s">
        <v>13466</v>
      </c>
      <c r="C13438" s="3" t="s">
        <v>101</v>
      </c>
      <c r="D13438" s="3">
        <v>41.0</v>
      </c>
      <c r="E13438" s="3">
        <v>2.35</v>
      </c>
      <c r="F13438" s="3">
        <v>1.49</v>
      </c>
      <c r="G13438" s="3">
        <v>4.21</v>
      </c>
    </row>
    <row r="13439">
      <c r="A13439" s="3">
        <v>788541.0</v>
      </c>
      <c r="B13439" s="3" t="s">
        <v>13467</v>
      </c>
      <c r="C13439" s="3" t="s">
        <v>101</v>
      </c>
      <c r="D13439" s="3">
        <v>41.0</v>
      </c>
      <c r="E13439" s="3">
        <v>2.35</v>
      </c>
      <c r="F13439" s="3">
        <v>1.49</v>
      </c>
      <c r="G13439" s="3">
        <v>4.21</v>
      </c>
    </row>
    <row r="13440">
      <c r="A13440" s="3">
        <v>788542.0</v>
      </c>
      <c r="B13440" s="3" t="s">
        <v>13468</v>
      </c>
      <c r="C13440" s="3" t="s">
        <v>101</v>
      </c>
      <c r="D13440" s="3">
        <v>23.0</v>
      </c>
      <c r="E13440" s="3">
        <v>0.24</v>
      </c>
      <c r="F13440" s="3">
        <v>1.52</v>
      </c>
      <c r="G13440" s="3">
        <v>4.32</v>
      </c>
    </row>
    <row r="13441">
      <c r="A13441" s="3">
        <v>788543.0</v>
      </c>
      <c r="B13441" s="3" t="s">
        <v>13469</v>
      </c>
      <c r="C13441" s="3" t="s">
        <v>101</v>
      </c>
      <c r="D13441" s="3">
        <v>22.0</v>
      </c>
      <c r="E13441" s="3">
        <v>0.08</v>
      </c>
      <c r="F13441" s="3">
        <v>0.7</v>
      </c>
      <c r="G13441" s="3">
        <v>5.03</v>
      </c>
    </row>
    <row r="13442">
      <c r="A13442" s="3">
        <v>788544.0</v>
      </c>
      <c r="B13442" s="3" t="s">
        <v>13470</v>
      </c>
      <c r="C13442" s="3" t="s">
        <v>101</v>
      </c>
      <c r="D13442" s="3">
        <v>23.0</v>
      </c>
      <c r="E13442" s="3">
        <v>0.24</v>
      </c>
      <c r="F13442" s="3">
        <v>1.52</v>
      </c>
      <c r="G13442" s="3">
        <v>4.32</v>
      </c>
    </row>
    <row r="13443">
      <c r="A13443" s="3">
        <v>788545.0</v>
      </c>
      <c r="B13443" s="3" t="s">
        <v>13471</v>
      </c>
      <c r="C13443" s="3" t="s">
        <v>101</v>
      </c>
      <c r="D13443" s="3">
        <v>22.0</v>
      </c>
      <c r="E13443" s="3">
        <v>0.08</v>
      </c>
      <c r="F13443" s="3">
        <v>0.7</v>
      </c>
      <c r="G13443" s="3">
        <v>5.03</v>
      </c>
    </row>
    <row r="13444">
      <c r="A13444" s="3">
        <v>788546.0</v>
      </c>
      <c r="B13444" s="3" t="s">
        <v>13472</v>
      </c>
      <c r="C13444" s="3" t="s">
        <v>101</v>
      </c>
      <c r="D13444" s="3">
        <v>41.0</v>
      </c>
      <c r="E13444" s="3">
        <v>2.35</v>
      </c>
      <c r="F13444" s="3">
        <v>1.49</v>
      </c>
      <c r="G13444" s="3">
        <v>4.21</v>
      </c>
    </row>
    <row r="13445">
      <c r="A13445" s="3">
        <v>788547.0</v>
      </c>
      <c r="B13445" s="3" t="s">
        <v>13473</v>
      </c>
      <c r="C13445" s="3" t="s">
        <v>101</v>
      </c>
      <c r="D13445" s="3">
        <v>40.0</v>
      </c>
      <c r="E13445" s="3">
        <v>2.2</v>
      </c>
      <c r="F13445" s="3">
        <v>0.7</v>
      </c>
      <c r="G13445" s="3">
        <v>4.89</v>
      </c>
    </row>
    <row r="13446">
      <c r="A13446" s="3">
        <v>788548.0</v>
      </c>
      <c r="B13446" s="3" t="s">
        <v>13474</v>
      </c>
      <c r="C13446" s="3" t="s">
        <v>101</v>
      </c>
      <c r="D13446" s="3">
        <v>41.0</v>
      </c>
      <c r="E13446" s="3">
        <v>2.35</v>
      </c>
      <c r="F13446" s="3">
        <v>1.49</v>
      </c>
      <c r="G13446" s="3">
        <v>4.21</v>
      </c>
    </row>
    <row r="13447">
      <c r="A13447" s="3">
        <v>788549.0</v>
      </c>
      <c r="B13447" s="3" t="s">
        <v>13475</v>
      </c>
      <c r="C13447" s="3" t="s">
        <v>101</v>
      </c>
      <c r="D13447" s="3">
        <v>40.0</v>
      </c>
      <c r="E13447" s="3">
        <v>2.2</v>
      </c>
      <c r="F13447" s="3">
        <v>0.7</v>
      </c>
      <c r="G13447" s="3">
        <v>4.89</v>
      </c>
    </row>
    <row r="13448">
      <c r="A13448" s="3">
        <v>788550.0</v>
      </c>
      <c r="B13448" s="3" t="s">
        <v>13476</v>
      </c>
      <c r="C13448" s="3" t="s">
        <v>101</v>
      </c>
      <c r="D13448" s="3">
        <v>46.0</v>
      </c>
      <c r="E13448" s="3">
        <v>2.82</v>
      </c>
      <c r="F13448" s="3">
        <v>0.69</v>
      </c>
      <c r="G13448" s="3">
        <v>4.89</v>
      </c>
    </row>
    <row r="13449">
      <c r="A13449" s="3">
        <v>788551.0</v>
      </c>
      <c r="B13449" s="3" t="s">
        <v>13477</v>
      </c>
      <c r="C13449" s="3" t="s">
        <v>101</v>
      </c>
      <c r="D13449" s="3">
        <v>42.0</v>
      </c>
      <c r="E13449" s="3">
        <v>2.39</v>
      </c>
      <c r="F13449" s="3">
        <v>0.71</v>
      </c>
      <c r="G13449" s="3">
        <v>4.89</v>
      </c>
    </row>
    <row r="13450">
      <c r="A13450" s="3">
        <v>788552.0</v>
      </c>
      <c r="B13450" s="3" t="s">
        <v>13478</v>
      </c>
      <c r="C13450" s="3" t="s">
        <v>101</v>
      </c>
      <c r="D13450" s="3">
        <v>37.0</v>
      </c>
      <c r="E13450" s="3">
        <v>1.8</v>
      </c>
      <c r="F13450" s="3">
        <v>0.69</v>
      </c>
      <c r="G13450" s="3">
        <v>4.91</v>
      </c>
    </row>
    <row r="13451">
      <c r="A13451" s="3">
        <v>788553.0</v>
      </c>
      <c r="B13451" s="3" t="s">
        <v>13479</v>
      </c>
      <c r="C13451" s="3" t="s">
        <v>101</v>
      </c>
      <c r="D13451" s="3">
        <v>46.0</v>
      </c>
      <c r="E13451" s="3">
        <v>2.89</v>
      </c>
      <c r="F13451" s="3">
        <v>0.69</v>
      </c>
      <c r="G13451" s="3">
        <v>4.89</v>
      </c>
    </row>
    <row r="13452">
      <c r="A13452" s="3">
        <v>788554.0</v>
      </c>
      <c r="B13452" s="3" t="s">
        <v>13480</v>
      </c>
      <c r="C13452" s="3" t="s">
        <v>101</v>
      </c>
      <c r="D13452" s="3">
        <v>42.0</v>
      </c>
      <c r="E13452" s="3">
        <v>2.45</v>
      </c>
      <c r="F13452" s="3">
        <v>0.71</v>
      </c>
      <c r="G13452" s="3">
        <v>4.88</v>
      </c>
    </row>
    <row r="13453">
      <c r="A13453" s="3">
        <v>788555.0</v>
      </c>
      <c r="B13453" s="3" t="s">
        <v>13481</v>
      </c>
      <c r="C13453" s="3" t="s">
        <v>101</v>
      </c>
      <c r="D13453" s="3">
        <v>37.0</v>
      </c>
      <c r="E13453" s="3">
        <v>1.84</v>
      </c>
      <c r="F13453" s="3">
        <v>0.69</v>
      </c>
      <c r="G13453" s="3">
        <v>4.9</v>
      </c>
    </row>
    <row r="13454">
      <c r="A13454" s="3">
        <v>788556.0</v>
      </c>
      <c r="B13454" s="3" t="s">
        <v>13482</v>
      </c>
      <c r="C13454" s="3" t="s">
        <v>101</v>
      </c>
      <c r="D13454" s="3">
        <v>47.0</v>
      </c>
      <c r="E13454" s="3">
        <v>2.98</v>
      </c>
      <c r="F13454" s="3">
        <v>1.48</v>
      </c>
      <c r="G13454" s="3">
        <v>4.2</v>
      </c>
    </row>
    <row r="13455">
      <c r="A13455" s="3">
        <v>788557.0</v>
      </c>
      <c r="B13455" s="3" t="s">
        <v>13483</v>
      </c>
      <c r="C13455" s="3" t="s">
        <v>101</v>
      </c>
      <c r="D13455" s="3">
        <v>43.0</v>
      </c>
      <c r="E13455" s="3">
        <v>2.6</v>
      </c>
      <c r="F13455" s="3">
        <v>1.5</v>
      </c>
      <c r="G13455" s="3">
        <v>4.2</v>
      </c>
    </row>
    <row r="13456">
      <c r="A13456" s="3">
        <v>788558.0</v>
      </c>
      <c r="B13456" s="3" t="s">
        <v>13484</v>
      </c>
      <c r="C13456" s="3" t="s">
        <v>101</v>
      </c>
      <c r="D13456" s="3">
        <v>38.0</v>
      </c>
      <c r="E13456" s="3">
        <v>2.0</v>
      </c>
      <c r="F13456" s="3">
        <v>1.48</v>
      </c>
      <c r="G13456" s="3">
        <v>4.22</v>
      </c>
    </row>
    <row r="13457">
      <c r="A13457" s="3">
        <v>788559.0</v>
      </c>
      <c r="B13457" s="3" t="s">
        <v>13485</v>
      </c>
      <c r="C13457" s="3" t="s">
        <v>101</v>
      </c>
      <c r="D13457" s="3">
        <v>47.0</v>
      </c>
      <c r="E13457" s="3">
        <v>3.04</v>
      </c>
      <c r="F13457" s="3">
        <v>1.48</v>
      </c>
      <c r="G13457" s="3">
        <v>4.2</v>
      </c>
    </row>
    <row r="13458">
      <c r="A13458" s="3">
        <v>788560.0</v>
      </c>
      <c r="B13458" s="3" t="s">
        <v>13486</v>
      </c>
      <c r="C13458" s="3" t="s">
        <v>101</v>
      </c>
      <c r="D13458" s="3">
        <v>43.0</v>
      </c>
      <c r="E13458" s="3">
        <v>2.6</v>
      </c>
      <c r="F13458" s="3">
        <v>1.5</v>
      </c>
      <c r="G13458" s="3">
        <v>4.2</v>
      </c>
    </row>
    <row r="13459">
      <c r="A13459" s="3">
        <v>788561.0</v>
      </c>
      <c r="B13459" s="3" t="s">
        <v>13487</v>
      </c>
      <c r="C13459" s="3" t="s">
        <v>101</v>
      </c>
      <c r="D13459" s="3">
        <v>38.0</v>
      </c>
      <c r="E13459" s="3">
        <v>2.0</v>
      </c>
      <c r="F13459" s="3">
        <v>1.48</v>
      </c>
      <c r="G13459" s="3">
        <v>4.22</v>
      </c>
    </row>
    <row r="13460">
      <c r="A13460" s="3">
        <v>788562.0</v>
      </c>
      <c r="B13460" s="3" t="s">
        <v>13488</v>
      </c>
      <c r="C13460" s="3" t="s">
        <v>101</v>
      </c>
      <c r="D13460" s="3">
        <v>78.0</v>
      </c>
      <c r="E13460" s="3">
        <v>0.09</v>
      </c>
      <c r="F13460" s="3">
        <v>1.38</v>
      </c>
      <c r="G13460" s="3">
        <v>19.22</v>
      </c>
    </row>
    <row r="13461">
      <c r="A13461" s="3">
        <v>788563.0</v>
      </c>
      <c r="B13461" s="3" t="s">
        <v>13489</v>
      </c>
      <c r="C13461" s="3" t="s">
        <v>101</v>
      </c>
      <c r="D13461" s="3">
        <v>14.0</v>
      </c>
      <c r="E13461" s="3">
        <v>0.2</v>
      </c>
      <c r="F13461" s="3">
        <v>0.4</v>
      </c>
      <c r="G13461" s="3">
        <v>3.02</v>
      </c>
    </row>
    <row r="13462">
      <c r="A13462" s="3">
        <v>788566.0</v>
      </c>
      <c r="B13462" s="3" t="s">
        <v>13490</v>
      </c>
      <c r="C13462" s="3" t="s">
        <v>101</v>
      </c>
      <c r="D13462" s="3">
        <v>107.0</v>
      </c>
      <c r="E13462" s="3">
        <v>2.81</v>
      </c>
      <c r="F13462" s="3">
        <v>4.18</v>
      </c>
      <c r="G13462" s="3">
        <v>19.31</v>
      </c>
    </row>
    <row r="13463">
      <c r="A13463" s="3">
        <v>788567.0</v>
      </c>
      <c r="B13463" s="3" t="s">
        <v>13491</v>
      </c>
      <c r="C13463" s="3" t="s">
        <v>101</v>
      </c>
      <c r="D13463" s="3">
        <v>92.0</v>
      </c>
      <c r="E13463" s="3">
        <v>0.88</v>
      </c>
      <c r="F13463" s="3">
        <v>4.28</v>
      </c>
      <c r="G13463" s="3">
        <v>19.83</v>
      </c>
    </row>
    <row r="13464">
      <c r="A13464" s="3">
        <v>788568.0</v>
      </c>
      <c r="B13464" s="3" t="s">
        <v>13492</v>
      </c>
      <c r="C13464" s="3" t="s">
        <v>101</v>
      </c>
      <c r="D13464" s="3">
        <v>107.0</v>
      </c>
      <c r="E13464" s="3">
        <v>2.81</v>
      </c>
      <c r="F13464" s="3">
        <v>4.18</v>
      </c>
      <c r="G13464" s="3">
        <v>19.31</v>
      </c>
    </row>
    <row r="13465">
      <c r="A13465" s="3">
        <v>788569.0</v>
      </c>
      <c r="B13465" s="3" t="s">
        <v>13493</v>
      </c>
      <c r="C13465" s="3" t="s">
        <v>101</v>
      </c>
      <c r="D13465" s="3">
        <v>113.0</v>
      </c>
      <c r="E13465" s="3">
        <v>3.45</v>
      </c>
      <c r="F13465" s="3">
        <v>4.17</v>
      </c>
      <c r="G13465" s="3">
        <v>19.32</v>
      </c>
    </row>
    <row r="13466">
      <c r="A13466" s="3">
        <v>788570.0</v>
      </c>
      <c r="B13466" s="3" t="s">
        <v>13494</v>
      </c>
      <c r="C13466" s="3" t="s">
        <v>101</v>
      </c>
      <c r="D13466" s="3">
        <v>109.0</v>
      </c>
      <c r="E13466" s="3">
        <v>3.04</v>
      </c>
      <c r="F13466" s="3">
        <v>4.19</v>
      </c>
      <c r="G13466" s="3">
        <v>19.3</v>
      </c>
    </row>
    <row r="13467">
      <c r="A13467" s="3">
        <v>788571.0</v>
      </c>
      <c r="B13467" s="3" t="s">
        <v>13495</v>
      </c>
      <c r="C13467" s="3" t="s">
        <v>101</v>
      </c>
      <c r="D13467" s="3">
        <v>104.0</v>
      </c>
      <c r="E13467" s="3">
        <v>2.48</v>
      </c>
      <c r="F13467" s="3">
        <v>4.17</v>
      </c>
      <c r="G13467" s="3">
        <v>19.32</v>
      </c>
    </row>
    <row r="13468">
      <c r="A13468" s="3">
        <v>788572.0</v>
      </c>
      <c r="B13468" s="3" t="s">
        <v>13496</v>
      </c>
      <c r="C13468" s="3" t="s">
        <v>101</v>
      </c>
      <c r="D13468" s="3">
        <v>44.0</v>
      </c>
      <c r="E13468" s="3">
        <v>1.87</v>
      </c>
      <c r="F13468" s="3">
        <v>1.58</v>
      </c>
      <c r="G13468" s="3">
        <v>6.68</v>
      </c>
    </row>
    <row r="13469">
      <c r="A13469" s="3">
        <v>788573.0</v>
      </c>
      <c r="B13469" s="3" t="s">
        <v>13497</v>
      </c>
      <c r="C13469" s="3" t="s">
        <v>101</v>
      </c>
      <c r="D13469" s="3">
        <v>30.0</v>
      </c>
      <c r="E13469" s="3">
        <v>0.29</v>
      </c>
      <c r="F13469" s="3">
        <v>1.61</v>
      </c>
      <c r="G13469" s="3">
        <v>6.82</v>
      </c>
    </row>
    <row r="13470">
      <c r="A13470" s="3">
        <v>788574.0</v>
      </c>
      <c r="B13470" s="3" t="s">
        <v>13498</v>
      </c>
      <c r="C13470" s="3" t="s">
        <v>101</v>
      </c>
      <c r="D13470" s="3">
        <v>44.0</v>
      </c>
      <c r="E13470" s="3">
        <v>1.87</v>
      </c>
      <c r="F13470" s="3">
        <v>1.58</v>
      </c>
      <c r="G13470" s="3">
        <v>6.68</v>
      </c>
    </row>
    <row r="13471">
      <c r="A13471" s="3">
        <v>788575.0</v>
      </c>
      <c r="B13471" s="3" t="s">
        <v>13499</v>
      </c>
      <c r="C13471" s="3" t="s">
        <v>101</v>
      </c>
      <c r="D13471" s="3">
        <v>93.0</v>
      </c>
      <c r="E13471" s="3">
        <v>3.39</v>
      </c>
      <c r="F13471" s="3">
        <v>3.87</v>
      </c>
      <c r="G13471" s="3">
        <v>13.27</v>
      </c>
    </row>
    <row r="13472">
      <c r="A13472" s="3">
        <v>788576.0</v>
      </c>
      <c r="B13472" s="3" t="s">
        <v>13500</v>
      </c>
      <c r="C13472" s="3" t="s">
        <v>101</v>
      </c>
      <c r="D13472" s="3">
        <v>74.0</v>
      </c>
      <c r="E13472" s="3">
        <v>0.98</v>
      </c>
      <c r="F13472" s="3">
        <v>3.98</v>
      </c>
      <c r="G13472" s="3">
        <v>13.72</v>
      </c>
    </row>
    <row r="13473">
      <c r="A13473" s="3">
        <v>788577.0</v>
      </c>
      <c r="B13473" s="3" t="s">
        <v>13501</v>
      </c>
      <c r="C13473" s="3" t="s">
        <v>101</v>
      </c>
      <c r="D13473" s="3">
        <v>93.0</v>
      </c>
      <c r="E13473" s="3">
        <v>3.39</v>
      </c>
      <c r="F13473" s="3">
        <v>3.87</v>
      </c>
      <c r="G13473" s="3">
        <v>13.27</v>
      </c>
    </row>
    <row r="13474">
      <c r="A13474" s="3">
        <v>788578.0</v>
      </c>
      <c r="B13474" s="3" t="s">
        <v>13502</v>
      </c>
      <c r="C13474" s="3" t="s">
        <v>101</v>
      </c>
      <c r="D13474" s="3">
        <v>107.0</v>
      </c>
      <c r="E13474" s="3">
        <v>7.57</v>
      </c>
      <c r="F13474" s="3">
        <v>3.67</v>
      </c>
      <c r="G13474" s="3">
        <v>8.6</v>
      </c>
    </row>
    <row r="13475">
      <c r="A13475" s="3">
        <v>788579.0</v>
      </c>
      <c r="B13475" s="3" t="s">
        <v>13503</v>
      </c>
      <c r="C13475" s="3" t="s">
        <v>101</v>
      </c>
      <c r="D13475" s="3">
        <v>89.0</v>
      </c>
      <c r="E13475" s="3">
        <v>5.36</v>
      </c>
      <c r="F13475" s="3">
        <v>3.78</v>
      </c>
      <c r="G13475" s="3">
        <v>8.87</v>
      </c>
    </row>
    <row r="13476">
      <c r="A13476" s="3">
        <v>788580.0</v>
      </c>
      <c r="B13476" s="3" t="s">
        <v>13504</v>
      </c>
      <c r="C13476" s="3" t="s">
        <v>101</v>
      </c>
      <c r="D13476" s="3">
        <v>107.0</v>
      </c>
      <c r="E13476" s="3">
        <v>7.57</v>
      </c>
      <c r="F13476" s="3">
        <v>3.67</v>
      </c>
      <c r="G13476" s="3">
        <v>8.6</v>
      </c>
    </row>
    <row r="13477">
      <c r="A13477" s="3">
        <v>788581.0</v>
      </c>
      <c r="B13477" s="3" t="s">
        <v>13505</v>
      </c>
      <c r="C13477" s="3" t="s">
        <v>101</v>
      </c>
      <c r="D13477" s="3">
        <v>114.0</v>
      </c>
      <c r="E13477" s="3">
        <v>8.35</v>
      </c>
      <c r="F13477" s="3">
        <v>3.66</v>
      </c>
      <c r="G13477" s="3">
        <v>8.6</v>
      </c>
    </row>
    <row r="13478">
      <c r="A13478" s="3">
        <v>788582.0</v>
      </c>
      <c r="B13478" s="3" t="s">
        <v>13506</v>
      </c>
      <c r="C13478" s="3" t="s">
        <v>101</v>
      </c>
      <c r="D13478" s="3">
        <v>109.0</v>
      </c>
      <c r="E13478" s="3">
        <v>7.85</v>
      </c>
      <c r="F13478" s="3">
        <v>3.68</v>
      </c>
      <c r="G13478" s="3">
        <v>8.59</v>
      </c>
    </row>
    <row r="13479">
      <c r="A13479" s="3">
        <v>788583.0</v>
      </c>
      <c r="B13479" s="3" t="s">
        <v>13507</v>
      </c>
      <c r="C13479" s="3" t="s">
        <v>101</v>
      </c>
      <c r="D13479" s="3">
        <v>103.0</v>
      </c>
      <c r="E13479" s="3">
        <v>7.16</v>
      </c>
      <c r="F13479" s="3">
        <v>3.66</v>
      </c>
      <c r="G13479" s="3">
        <v>8.61</v>
      </c>
    </row>
    <row r="13480">
      <c r="A13480" s="3">
        <v>788584.0</v>
      </c>
      <c r="B13480" s="3" t="s">
        <v>13508</v>
      </c>
      <c r="C13480" s="3" t="s">
        <v>101</v>
      </c>
      <c r="D13480" s="3">
        <v>87.0</v>
      </c>
      <c r="E13480" s="3">
        <v>2.79</v>
      </c>
      <c r="F13480" s="3">
        <v>3.97</v>
      </c>
      <c r="G13480" s="3">
        <v>13.09</v>
      </c>
    </row>
    <row r="13481">
      <c r="A13481" s="3">
        <v>788585.0</v>
      </c>
      <c r="B13481" s="3" t="s">
        <v>13509</v>
      </c>
      <c r="C13481" s="3" t="s">
        <v>101</v>
      </c>
      <c r="D13481" s="3">
        <v>68.0</v>
      </c>
      <c r="E13481" s="3">
        <v>0.39</v>
      </c>
      <c r="F13481" s="3">
        <v>4.09</v>
      </c>
      <c r="G13481" s="3">
        <v>13.52</v>
      </c>
    </row>
    <row r="13482">
      <c r="A13482" s="3">
        <v>788586.0</v>
      </c>
      <c r="B13482" s="3" t="s">
        <v>13510</v>
      </c>
      <c r="C13482" s="3" t="s">
        <v>101</v>
      </c>
      <c r="D13482" s="3">
        <v>87.0</v>
      </c>
      <c r="E13482" s="3">
        <v>2.79</v>
      </c>
      <c r="F13482" s="3">
        <v>3.97</v>
      </c>
      <c r="G13482" s="3">
        <v>13.09</v>
      </c>
    </row>
    <row r="13483">
      <c r="A13483" s="3">
        <v>788587.0</v>
      </c>
      <c r="B13483" s="3" t="s">
        <v>13511</v>
      </c>
      <c r="C13483" s="3" t="s">
        <v>101</v>
      </c>
      <c r="D13483" s="3">
        <v>85.0</v>
      </c>
      <c r="E13483" s="3">
        <v>3.24</v>
      </c>
      <c r="F13483" s="3">
        <v>2.59</v>
      </c>
      <c r="G13483" s="3">
        <v>12.52</v>
      </c>
    </row>
    <row r="13484">
      <c r="A13484" s="3">
        <v>788588.0</v>
      </c>
      <c r="B13484" s="3" t="s">
        <v>13512</v>
      </c>
      <c r="C13484" s="3" t="s">
        <v>101</v>
      </c>
      <c r="D13484" s="3">
        <v>65.0</v>
      </c>
      <c r="E13484" s="3">
        <v>0.81</v>
      </c>
      <c r="F13484" s="3">
        <v>2.66</v>
      </c>
      <c r="G13484" s="3">
        <v>12.95</v>
      </c>
    </row>
    <row r="13485">
      <c r="A13485" s="3">
        <v>788589.0</v>
      </c>
      <c r="B13485" s="3" t="s">
        <v>13513</v>
      </c>
      <c r="C13485" s="3" t="s">
        <v>101</v>
      </c>
      <c r="D13485" s="3">
        <v>85.0</v>
      </c>
      <c r="E13485" s="3">
        <v>3.24</v>
      </c>
      <c r="F13485" s="3">
        <v>2.59</v>
      </c>
      <c r="G13485" s="3">
        <v>12.52</v>
      </c>
    </row>
    <row r="13486">
      <c r="A13486" s="3">
        <v>788590.0</v>
      </c>
      <c r="B13486" s="3" t="s">
        <v>13514</v>
      </c>
      <c r="C13486" s="3" t="s">
        <v>101</v>
      </c>
      <c r="D13486" s="3">
        <v>107.0</v>
      </c>
      <c r="E13486" s="3">
        <v>4.99</v>
      </c>
      <c r="F13486" s="3">
        <v>3.48</v>
      </c>
      <c r="G13486" s="3">
        <v>12.71</v>
      </c>
    </row>
    <row r="13487">
      <c r="A13487" s="3">
        <v>788591.0</v>
      </c>
      <c r="B13487" s="3" t="s">
        <v>13515</v>
      </c>
      <c r="C13487" s="3" t="s">
        <v>101</v>
      </c>
      <c r="D13487" s="3">
        <v>57.0</v>
      </c>
      <c r="E13487" s="3">
        <v>2.5</v>
      </c>
      <c r="F13487" s="3">
        <v>1.65</v>
      </c>
      <c r="G13487" s="3">
        <v>8.38</v>
      </c>
    </row>
    <row r="13488">
      <c r="A13488" s="3">
        <v>788592.0</v>
      </c>
      <c r="B13488" s="3" t="s">
        <v>13516</v>
      </c>
      <c r="C13488" s="3" t="s">
        <v>101</v>
      </c>
      <c r="D13488" s="3">
        <v>38.0</v>
      </c>
      <c r="E13488" s="3">
        <v>0.25</v>
      </c>
      <c r="F13488" s="3">
        <v>1.69</v>
      </c>
      <c r="G13488" s="3">
        <v>8.64</v>
      </c>
    </row>
    <row r="13489">
      <c r="A13489" s="3">
        <v>788593.0</v>
      </c>
      <c r="B13489" s="3" t="s">
        <v>13517</v>
      </c>
      <c r="C13489" s="3" t="s">
        <v>101</v>
      </c>
      <c r="D13489" s="3">
        <v>57.0</v>
      </c>
      <c r="E13489" s="3">
        <v>2.5</v>
      </c>
      <c r="F13489" s="3">
        <v>1.65</v>
      </c>
      <c r="G13489" s="3">
        <v>8.38</v>
      </c>
    </row>
    <row r="13490">
      <c r="A13490" s="3">
        <v>788594.0</v>
      </c>
      <c r="B13490" s="3" t="s">
        <v>13518</v>
      </c>
      <c r="C13490" s="3" t="s">
        <v>101</v>
      </c>
      <c r="D13490" s="3">
        <v>63.0</v>
      </c>
      <c r="E13490" s="3">
        <v>3.23</v>
      </c>
      <c r="F13490" s="3">
        <v>1.64</v>
      </c>
      <c r="G13490" s="3">
        <v>8.38</v>
      </c>
    </row>
    <row r="13491">
      <c r="A13491" s="3">
        <v>788595.0</v>
      </c>
      <c r="B13491" s="3" t="s">
        <v>13519</v>
      </c>
      <c r="C13491" s="3" t="s">
        <v>101</v>
      </c>
      <c r="D13491" s="3">
        <v>59.0</v>
      </c>
      <c r="E13491" s="3">
        <v>2.76</v>
      </c>
      <c r="F13491" s="3">
        <v>1.66</v>
      </c>
      <c r="G13491" s="3">
        <v>8.37</v>
      </c>
    </row>
    <row r="13492">
      <c r="A13492" s="3">
        <v>788596.0</v>
      </c>
      <c r="B13492" s="3" t="s">
        <v>13520</v>
      </c>
      <c r="C13492" s="3" t="s">
        <v>101</v>
      </c>
      <c r="D13492" s="3">
        <v>54.0</v>
      </c>
      <c r="E13492" s="3">
        <v>2.12</v>
      </c>
      <c r="F13492" s="3">
        <v>1.64</v>
      </c>
      <c r="G13492" s="3">
        <v>8.39</v>
      </c>
    </row>
    <row r="13493">
      <c r="A13493" s="3">
        <v>788597.0</v>
      </c>
      <c r="B13493" s="3" t="s">
        <v>13521</v>
      </c>
      <c r="C13493" s="3" t="s">
        <v>101</v>
      </c>
      <c r="D13493" s="3">
        <v>82.0</v>
      </c>
      <c r="E13493" s="3">
        <v>2.52</v>
      </c>
      <c r="F13493" s="3">
        <v>1.74</v>
      </c>
      <c r="G13493" s="3">
        <v>14.05</v>
      </c>
    </row>
    <row r="13494">
      <c r="A13494" s="3">
        <v>788598.0</v>
      </c>
      <c r="B13494" s="3" t="s">
        <v>13522</v>
      </c>
      <c r="C13494" s="3" t="s">
        <v>101</v>
      </c>
      <c r="D13494" s="3">
        <v>63.0</v>
      </c>
      <c r="E13494" s="3">
        <v>0.18</v>
      </c>
      <c r="F13494" s="3">
        <v>1.78</v>
      </c>
      <c r="G13494" s="3">
        <v>14.51</v>
      </c>
    </row>
    <row r="13495">
      <c r="A13495" s="3">
        <v>788599.0</v>
      </c>
      <c r="B13495" s="3" t="s">
        <v>13523</v>
      </c>
      <c r="C13495" s="3" t="s">
        <v>101</v>
      </c>
      <c r="D13495" s="3">
        <v>82.0</v>
      </c>
      <c r="E13495" s="3">
        <v>2.52</v>
      </c>
      <c r="F13495" s="3">
        <v>1.74</v>
      </c>
      <c r="G13495" s="3">
        <v>14.05</v>
      </c>
    </row>
    <row r="13496">
      <c r="A13496" s="3">
        <v>788600.0</v>
      </c>
      <c r="B13496" s="3" t="s">
        <v>13524</v>
      </c>
      <c r="C13496" s="3" t="s">
        <v>101</v>
      </c>
      <c r="D13496" s="3">
        <v>88.0</v>
      </c>
      <c r="E13496" s="3">
        <v>3.28</v>
      </c>
      <c r="F13496" s="3">
        <v>1.72</v>
      </c>
      <c r="G13496" s="3">
        <v>14.06</v>
      </c>
    </row>
    <row r="13497">
      <c r="A13497" s="3">
        <v>788601.0</v>
      </c>
      <c r="B13497" s="3" t="s">
        <v>13525</v>
      </c>
      <c r="C13497" s="3" t="s">
        <v>101</v>
      </c>
      <c r="D13497" s="3">
        <v>84.0</v>
      </c>
      <c r="E13497" s="3">
        <v>2.8</v>
      </c>
      <c r="F13497" s="3">
        <v>1.75</v>
      </c>
      <c r="G13497" s="3">
        <v>14.04</v>
      </c>
    </row>
    <row r="13498">
      <c r="A13498" s="3">
        <v>788602.0</v>
      </c>
      <c r="B13498" s="3" t="s">
        <v>13526</v>
      </c>
      <c r="C13498" s="3" t="s">
        <v>101</v>
      </c>
      <c r="D13498" s="3">
        <v>78.0</v>
      </c>
      <c r="E13498" s="3">
        <v>2.12</v>
      </c>
      <c r="F13498" s="3">
        <v>1.72</v>
      </c>
      <c r="G13498" s="3">
        <v>14.07</v>
      </c>
    </row>
    <row r="13499">
      <c r="A13499" s="3">
        <v>788603.0</v>
      </c>
      <c r="B13499" s="3" t="s">
        <v>13527</v>
      </c>
      <c r="C13499" s="3" t="s">
        <v>101</v>
      </c>
      <c r="D13499" s="3">
        <v>97.0</v>
      </c>
      <c r="E13499" s="3">
        <v>3.28</v>
      </c>
      <c r="F13499" s="3">
        <v>2.79</v>
      </c>
      <c r="G13499" s="3">
        <v>17.27</v>
      </c>
    </row>
    <row r="13500">
      <c r="A13500" s="3">
        <v>788605.0</v>
      </c>
      <c r="B13500" s="3" t="s">
        <v>13528</v>
      </c>
      <c r="C13500" s="3" t="s">
        <v>101</v>
      </c>
      <c r="D13500" s="3">
        <v>97.0</v>
      </c>
      <c r="E13500" s="3">
        <v>3.28</v>
      </c>
      <c r="F13500" s="3">
        <v>2.79</v>
      </c>
      <c r="G13500" s="3">
        <v>17.27</v>
      </c>
    </row>
    <row r="13501">
      <c r="A13501" s="3">
        <v>788606.0</v>
      </c>
      <c r="B13501" s="3" t="s">
        <v>13529</v>
      </c>
      <c r="C13501" s="3" t="s">
        <v>101</v>
      </c>
      <c r="D13501" s="3">
        <v>103.0</v>
      </c>
      <c r="E13501" s="3">
        <v>3.97</v>
      </c>
      <c r="F13501" s="3">
        <v>2.77</v>
      </c>
      <c r="G13501" s="3">
        <v>17.28</v>
      </c>
    </row>
    <row r="13502">
      <c r="A13502" s="3">
        <v>788607.0</v>
      </c>
      <c r="B13502" s="3" t="s">
        <v>13530</v>
      </c>
      <c r="C13502" s="3" t="s">
        <v>101</v>
      </c>
      <c r="D13502" s="3">
        <v>99.0</v>
      </c>
      <c r="E13502" s="3">
        <v>3.53</v>
      </c>
      <c r="F13502" s="3">
        <v>2.79</v>
      </c>
      <c r="G13502" s="3">
        <v>17.26</v>
      </c>
    </row>
    <row r="13503">
      <c r="A13503" s="3">
        <v>788608.0</v>
      </c>
      <c r="B13503" s="3" t="s">
        <v>13531</v>
      </c>
      <c r="C13503" s="3" t="s">
        <v>101</v>
      </c>
      <c r="D13503" s="3">
        <v>94.0</v>
      </c>
      <c r="E13503" s="3">
        <v>2.93</v>
      </c>
      <c r="F13503" s="3">
        <v>2.77</v>
      </c>
      <c r="G13503" s="3">
        <v>17.28</v>
      </c>
    </row>
    <row r="13504">
      <c r="A13504" s="3">
        <v>788609.0</v>
      </c>
      <c r="B13504" s="3" t="s">
        <v>13532</v>
      </c>
      <c r="C13504" s="3" t="s">
        <v>101</v>
      </c>
      <c r="D13504" s="3">
        <v>30.0</v>
      </c>
      <c r="E13504" s="3">
        <v>0.26</v>
      </c>
      <c r="F13504" s="3">
        <v>1.0</v>
      </c>
      <c r="G13504" s="3">
        <v>7.1</v>
      </c>
    </row>
    <row r="13505">
      <c r="A13505" s="3">
        <v>788610.0</v>
      </c>
      <c r="B13505" s="3" t="s">
        <v>13533</v>
      </c>
      <c r="C13505" s="3" t="s">
        <v>101</v>
      </c>
      <c r="D13505" s="3">
        <v>37.0</v>
      </c>
      <c r="E13505" s="3">
        <v>0.19</v>
      </c>
      <c r="F13505" s="3">
        <v>1.18</v>
      </c>
      <c r="G13505" s="3">
        <v>8.74</v>
      </c>
    </row>
    <row r="13506">
      <c r="A13506" s="3">
        <v>788611.0</v>
      </c>
      <c r="B13506" s="3" t="s">
        <v>13534</v>
      </c>
      <c r="C13506" s="3" t="s">
        <v>101</v>
      </c>
      <c r="D13506" s="3">
        <v>54.0</v>
      </c>
      <c r="E13506" s="3">
        <v>2.11</v>
      </c>
      <c r="F13506" s="3">
        <v>1.16</v>
      </c>
      <c r="G13506" s="3">
        <v>8.52</v>
      </c>
    </row>
    <row r="13507">
      <c r="A13507" s="3">
        <v>788612.0</v>
      </c>
      <c r="B13507" s="3" t="s">
        <v>13535</v>
      </c>
      <c r="C13507" s="3" t="s">
        <v>101</v>
      </c>
      <c r="D13507" s="3">
        <v>54.0</v>
      </c>
      <c r="E13507" s="3">
        <v>2.11</v>
      </c>
      <c r="F13507" s="3">
        <v>1.16</v>
      </c>
      <c r="G13507" s="3">
        <v>8.52</v>
      </c>
    </row>
    <row r="13508">
      <c r="A13508" s="3">
        <v>788613.0</v>
      </c>
      <c r="B13508" s="3" t="s">
        <v>13536</v>
      </c>
      <c r="C13508" s="3" t="s">
        <v>101</v>
      </c>
      <c r="D13508" s="3">
        <v>59.0</v>
      </c>
      <c r="E13508" s="3">
        <v>2.73</v>
      </c>
      <c r="F13508" s="3">
        <v>1.15</v>
      </c>
      <c r="G13508" s="3">
        <v>8.52</v>
      </c>
    </row>
    <row r="13509">
      <c r="A13509" s="3">
        <v>788614.0</v>
      </c>
      <c r="B13509" s="3" t="s">
        <v>13537</v>
      </c>
      <c r="C13509" s="3" t="s">
        <v>101</v>
      </c>
      <c r="D13509" s="3">
        <v>55.0</v>
      </c>
      <c r="E13509" s="3">
        <v>2.33</v>
      </c>
      <c r="F13509" s="3">
        <v>1.17</v>
      </c>
      <c r="G13509" s="3">
        <v>8.51</v>
      </c>
    </row>
    <row r="13510">
      <c r="A13510" s="3">
        <v>788615.0</v>
      </c>
      <c r="B13510" s="3" t="s">
        <v>13538</v>
      </c>
      <c r="C13510" s="3" t="s">
        <v>101</v>
      </c>
      <c r="D13510" s="3">
        <v>51.0</v>
      </c>
      <c r="E13510" s="3">
        <v>1.78</v>
      </c>
      <c r="F13510" s="3">
        <v>1.15</v>
      </c>
      <c r="G13510" s="3">
        <v>8.53</v>
      </c>
    </row>
    <row r="13511">
      <c r="A13511" s="3">
        <v>788616.0</v>
      </c>
      <c r="B13511" s="3" t="s">
        <v>13539</v>
      </c>
      <c r="C13511" s="3" t="s">
        <v>101</v>
      </c>
      <c r="D13511" s="3">
        <v>79.0</v>
      </c>
      <c r="E13511" s="3">
        <v>1.97</v>
      </c>
      <c r="F13511" s="3">
        <v>2.79</v>
      </c>
      <c r="G13511" s="3">
        <v>12.7</v>
      </c>
    </row>
    <row r="13512">
      <c r="A13512" s="3">
        <v>788617.0</v>
      </c>
      <c r="B13512" s="3" t="s">
        <v>13540</v>
      </c>
      <c r="C13512" s="3" t="s">
        <v>101</v>
      </c>
      <c r="D13512" s="3">
        <v>79.0</v>
      </c>
      <c r="E13512" s="3">
        <v>1.97</v>
      </c>
      <c r="F13512" s="3">
        <v>2.79</v>
      </c>
      <c r="G13512" s="3">
        <v>12.7</v>
      </c>
    </row>
    <row r="13513">
      <c r="A13513" s="3">
        <v>788618.0</v>
      </c>
      <c r="B13513" s="3" t="s">
        <v>13541</v>
      </c>
      <c r="C13513" s="3" t="s">
        <v>101</v>
      </c>
      <c r="D13513" s="3">
        <v>66.0</v>
      </c>
      <c r="E13513" s="3">
        <v>2.28</v>
      </c>
      <c r="F13513" s="3">
        <v>2.53</v>
      </c>
      <c r="G13513" s="3">
        <v>8.99</v>
      </c>
    </row>
    <row r="13514">
      <c r="A13514" s="3">
        <v>788619.0</v>
      </c>
      <c r="B13514" s="3" t="s">
        <v>13542</v>
      </c>
      <c r="C13514" s="3" t="s">
        <v>101</v>
      </c>
      <c r="D13514" s="3">
        <v>65.0</v>
      </c>
      <c r="E13514" s="3">
        <v>0.15</v>
      </c>
      <c r="F13514" s="3">
        <v>2.84</v>
      </c>
      <c r="G13514" s="3">
        <v>13.02</v>
      </c>
    </row>
    <row r="13515">
      <c r="A13515" s="3">
        <v>788620.0</v>
      </c>
      <c r="B13515" s="3" t="s">
        <v>13543</v>
      </c>
      <c r="C13515" s="3" t="s">
        <v>101</v>
      </c>
      <c r="D13515" s="3">
        <v>65.0</v>
      </c>
      <c r="E13515" s="3">
        <v>0.15</v>
      </c>
      <c r="F13515" s="3">
        <v>2.84</v>
      </c>
      <c r="G13515" s="3">
        <v>13.02</v>
      </c>
    </row>
    <row r="13516">
      <c r="A13516" s="3">
        <v>788621.0</v>
      </c>
      <c r="B13516" s="3" t="s">
        <v>13544</v>
      </c>
      <c r="C13516" s="3" t="s">
        <v>101</v>
      </c>
      <c r="D13516" s="3">
        <v>49.0</v>
      </c>
      <c r="E13516" s="3">
        <v>0.25</v>
      </c>
      <c r="F13516" s="3">
        <v>2.58</v>
      </c>
      <c r="G13516" s="3">
        <v>9.24</v>
      </c>
    </row>
    <row r="13517">
      <c r="A13517" s="3">
        <v>788622.0</v>
      </c>
      <c r="B13517" s="3" t="s">
        <v>13545</v>
      </c>
      <c r="C13517" s="3" t="s">
        <v>101</v>
      </c>
      <c r="D13517" s="3">
        <v>79.0</v>
      </c>
      <c r="E13517" s="3">
        <v>1.97</v>
      </c>
      <c r="F13517" s="3">
        <v>2.79</v>
      </c>
      <c r="G13517" s="3">
        <v>12.7</v>
      </c>
    </row>
    <row r="13518">
      <c r="A13518" s="3">
        <v>788623.0</v>
      </c>
      <c r="B13518" s="3" t="s">
        <v>13546</v>
      </c>
      <c r="C13518" s="3" t="s">
        <v>101</v>
      </c>
      <c r="D13518" s="3">
        <v>79.0</v>
      </c>
      <c r="E13518" s="3">
        <v>1.97</v>
      </c>
      <c r="F13518" s="3">
        <v>2.79</v>
      </c>
      <c r="G13518" s="3">
        <v>12.7</v>
      </c>
    </row>
    <row r="13519">
      <c r="A13519" s="3">
        <v>788624.0</v>
      </c>
      <c r="B13519" s="3" t="s">
        <v>13547</v>
      </c>
      <c r="C13519" s="3" t="s">
        <v>101</v>
      </c>
      <c r="D13519" s="3">
        <v>66.0</v>
      </c>
      <c r="E13519" s="3">
        <v>2.28</v>
      </c>
      <c r="F13519" s="3">
        <v>2.53</v>
      </c>
      <c r="G13519" s="3">
        <v>8.99</v>
      </c>
    </row>
    <row r="13520">
      <c r="A13520" s="3">
        <v>788625.0</v>
      </c>
      <c r="B13520" s="3" t="s">
        <v>13548</v>
      </c>
      <c r="C13520" s="3" t="s">
        <v>101</v>
      </c>
      <c r="D13520" s="3">
        <v>85.0</v>
      </c>
      <c r="E13520" s="3">
        <v>2.57</v>
      </c>
      <c r="F13520" s="3">
        <v>2.78</v>
      </c>
      <c r="G13520" s="3">
        <v>12.7</v>
      </c>
    </row>
    <row r="13521">
      <c r="A13521" s="3">
        <v>788626.0</v>
      </c>
      <c r="B13521" s="3" t="s">
        <v>13549</v>
      </c>
      <c r="C13521" s="3" t="s">
        <v>101</v>
      </c>
      <c r="D13521" s="3">
        <v>81.0</v>
      </c>
      <c r="E13521" s="3">
        <v>2.19</v>
      </c>
      <c r="F13521" s="3">
        <v>2.79</v>
      </c>
      <c r="G13521" s="3">
        <v>12.69</v>
      </c>
    </row>
    <row r="13522">
      <c r="A13522" s="3">
        <v>788627.0</v>
      </c>
      <c r="B13522" s="3" t="s">
        <v>13550</v>
      </c>
      <c r="C13522" s="3" t="s">
        <v>101</v>
      </c>
      <c r="D13522" s="3">
        <v>77.0</v>
      </c>
      <c r="E13522" s="3">
        <v>1.66</v>
      </c>
      <c r="F13522" s="3">
        <v>2.78</v>
      </c>
      <c r="G13522" s="3">
        <v>12.71</v>
      </c>
    </row>
    <row r="13523">
      <c r="A13523" s="3">
        <v>788628.0</v>
      </c>
      <c r="B13523" s="3" t="s">
        <v>13551</v>
      </c>
      <c r="C13523" s="3" t="s">
        <v>101</v>
      </c>
      <c r="D13523" s="3">
        <v>85.0</v>
      </c>
      <c r="E13523" s="3">
        <v>2.57</v>
      </c>
      <c r="F13523" s="3">
        <v>2.78</v>
      </c>
      <c r="G13523" s="3">
        <v>12.7</v>
      </c>
    </row>
    <row r="13524">
      <c r="A13524" s="3">
        <v>788629.0</v>
      </c>
      <c r="B13524" s="3" t="s">
        <v>13552</v>
      </c>
      <c r="C13524" s="3" t="s">
        <v>101</v>
      </c>
      <c r="D13524" s="3">
        <v>81.0</v>
      </c>
      <c r="E13524" s="3">
        <v>2.19</v>
      </c>
      <c r="F13524" s="3">
        <v>2.79</v>
      </c>
      <c r="G13524" s="3">
        <v>12.69</v>
      </c>
    </row>
    <row r="13525">
      <c r="A13525" s="3">
        <v>788630.0</v>
      </c>
      <c r="B13525" s="3" t="s">
        <v>13553</v>
      </c>
      <c r="C13525" s="3" t="s">
        <v>101</v>
      </c>
      <c r="D13525" s="3">
        <v>77.0</v>
      </c>
      <c r="E13525" s="3">
        <v>1.66</v>
      </c>
      <c r="F13525" s="3">
        <v>2.78</v>
      </c>
      <c r="G13525" s="3">
        <v>12.71</v>
      </c>
    </row>
    <row r="13526">
      <c r="A13526" s="3">
        <v>788631.0</v>
      </c>
      <c r="B13526" s="3" t="s">
        <v>13554</v>
      </c>
      <c r="C13526" s="3" t="s">
        <v>101</v>
      </c>
      <c r="D13526" s="3">
        <v>72.0</v>
      </c>
      <c r="E13526" s="3">
        <v>2.95</v>
      </c>
      <c r="F13526" s="3">
        <v>2.51</v>
      </c>
      <c r="G13526" s="3">
        <v>8.99</v>
      </c>
    </row>
    <row r="13527">
      <c r="A13527" s="3">
        <v>788632.0</v>
      </c>
      <c r="B13527" s="3" t="s">
        <v>13555</v>
      </c>
      <c r="C13527" s="3" t="s">
        <v>101</v>
      </c>
      <c r="D13527" s="3">
        <v>68.0</v>
      </c>
      <c r="E13527" s="3">
        <v>2.52</v>
      </c>
      <c r="F13527" s="3">
        <v>2.54</v>
      </c>
      <c r="G13527" s="3">
        <v>8.98</v>
      </c>
    </row>
    <row r="13528">
      <c r="A13528" s="3">
        <v>788633.0</v>
      </c>
      <c r="B13528" s="3" t="s">
        <v>13556</v>
      </c>
      <c r="C13528" s="3" t="s">
        <v>101</v>
      </c>
      <c r="D13528" s="3">
        <v>63.0</v>
      </c>
      <c r="E13528" s="3">
        <v>1.94</v>
      </c>
      <c r="F13528" s="3">
        <v>2.52</v>
      </c>
      <c r="G13528" s="3">
        <v>9.0</v>
      </c>
    </row>
    <row r="13529">
      <c r="A13529" s="3">
        <v>788634.0</v>
      </c>
      <c r="B13529" s="3" t="s">
        <v>13557</v>
      </c>
      <c r="C13529" s="3" t="s">
        <v>101</v>
      </c>
      <c r="D13529" s="3">
        <v>52.0</v>
      </c>
      <c r="E13529" s="3">
        <v>2.03</v>
      </c>
      <c r="F13529" s="3">
        <v>1.38</v>
      </c>
      <c r="G13529" s="3">
        <v>7.13</v>
      </c>
    </row>
    <row r="13530">
      <c r="A13530" s="3">
        <v>788636.0</v>
      </c>
      <c r="B13530" s="3" t="s">
        <v>13558</v>
      </c>
      <c r="C13530" s="3" t="s">
        <v>101</v>
      </c>
      <c r="D13530" s="3">
        <v>52.0</v>
      </c>
      <c r="E13530" s="3">
        <v>2.03</v>
      </c>
      <c r="F13530" s="3">
        <v>1.38</v>
      </c>
      <c r="G13530" s="3">
        <v>7.13</v>
      </c>
    </row>
    <row r="13531">
      <c r="A13531" s="3">
        <v>788637.0</v>
      </c>
      <c r="B13531" s="3" t="s">
        <v>13559</v>
      </c>
      <c r="C13531" s="3" t="s">
        <v>101</v>
      </c>
      <c r="D13531" s="3">
        <v>58.0</v>
      </c>
      <c r="E13531" s="3">
        <v>2.63</v>
      </c>
      <c r="F13531" s="3">
        <v>1.37</v>
      </c>
      <c r="G13531" s="3">
        <v>7.13</v>
      </c>
    </row>
    <row r="13532">
      <c r="A13532" s="3">
        <v>788638.0</v>
      </c>
      <c r="B13532" s="3" t="s">
        <v>13560</v>
      </c>
      <c r="C13532" s="3" t="s">
        <v>101</v>
      </c>
      <c r="D13532" s="3">
        <v>54.0</v>
      </c>
      <c r="E13532" s="3">
        <v>2.25</v>
      </c>
      <c r="F13532" s="3">
        <v>1.39</v>
      </c>
      <c r="G13532" s="3">
        <v>7.13</v>
      </c>
    </row>
    <row r="13533">
      <c r="A13533" s="3">
        <v>788639.0</v>
      </c>
      <c r="B13533" s="3" t="s">
        <v>13561</v>
      </c>
      <c r="C13533" s="3" t="s">
        <v>101</v>
      </c>
      <c r="D13533" s="3">
        <v>50.0</v>
      </c>
      <c r="E13533" s="3">
        <v>1.72</v>
      </c>
      <c r="F13533" s="3">
        <v>1.37</v>
      </c>
      <c r="G13533" s="3">
        <v>7.14</v>
      </c>
    </row>
    <row r="13534">
      <c r="A13534" s="3">
        <v>788640.0</v>
      </c>
      <c r="B13534" s="3" t="s">
        <v>13562</v>
      </c>
      <c r="C13534" s="3" t="s">
        <v>101</v>
      </c>
      <c r="D13534" s="3">
        <v>105.0</v>
      </c>
      <c r="E13534" s="3">
        <v>2.88</v>
      </c>
      <c r="F13534" s="3">
        <v>4.24</v>
      </c>
      <c r="G13534" s="3">
        <v>17.72</v>
      </c>
    </row>
    <row r="13535">
      <c r="A13535" s="3">
        <v>788641.0</v>
      </c>
      <c r="B13535" s="3" t="s">
        <v>13563</v>
      </c>
      <c r="C13535" s="3" t="s">
        <v>101</v>
      </c>
      <c r="D13535" s="3">
        <v>90.0</v>
      </c>
      <c r="E13535" s="3">
        <v>0.86</v>
      </c>
      <c r="F13535" s="3">
        <v>4.35</v>
      </c>
      <c r="G13535" s="3">
        <v>18.23</v>
      </c>
    </row>
    <row r="13536">
      <c r="A13536" s="3">
        <v>788642.0</v>
      </c>
      <c r="B13536" s="3" t="s">
        <v>13564</v>
      </c>
      <c r="C13536" s="3" t="s">
        <v>101</v>
      </c>
      <c r="D13536" s="3">
        <v>105.0</v>
      </c>
      <c r="E13536" s="3">
        <v>2.88</v>
      </c>
      <c r="F13536" s="3">
        <v>4.24</v>
      </c>
      <c r="G13536" s="3">
        <v>17.72</v>
      </c>
    </row>
    <row r="13537">
      <c r="A13537" s="3">
        <v>788643.0</v>
      </c>
      <c r="B13537" s="3" t="s">
        <v>13565</v>
      </c>
      <c r="C13537" s="3" t="s">
        <v>101</v>
      </c>
      <c r="D13537" s="3">
        <v>111.0</v>
      </c>
      <c r="E13537" s="3">
        <v>3.55</v>
      </c>
      <c r="F13537" s="3">
        <v>4.23</v>
      </c>
      <c r="G13537" s="3">
        <v>17.73</v>
      </c>
    </row>
    <row r="13538">
      <c r="A13538" s="3">
        <v>788644.0</v>
      </c>
      <c r="B13538" s="3" t="s">
        <v>13566</v>
      </c>
      <c r="C13538" s="3" t="s">
        <v>101</v>
      </c>
      <c r="D13538" s="3">
        <v>107.0</v>
      </c>
      <c r="E13538" s="3">
        <v>3.12</v>
      </c>
      <c r="F13538" s="3">
        <v>4.25</v>
      </c>
      <c r="G13538" s="3">
        <v>17.71</v>
      </c>
    </row>
    <row r="13539">
      <c r="A13539" s="3">
        <v>788645.0</v>
      </c>
      <c r="B13539" s="3" t="s">
        <v>13567</v>
      </c>
      <c r="C13539" s="3" t="s">
        <v>101</v>
      </c>
      <c r="D13539" s="3">
        <v>102.0</v>
      </c>
      <c r="E13539" s="3">
        <v>2.54</v>
      </c>
      <c r="F13539" s="3">
        <v>4.23</v>
      </c>
      <c r="G13539" s="3">
        <v>17.73</v>
      </c>
    </row>
    <row r="13540">
      <c r="A13540" s="3">
        <v>788646.0</v>
      </c>
      <c r="B13540" s="3" t="s">
        <v>13568</v>
      </c>
      <c r="C13540" s="3" t="s">
        <v>101</v>
      </c>
      <c r="D13540" s="3">
        <v>60.0</v>
      </c>
      <c r="E13540" s="3">
        <v>2.04</v>
      </c>
      <c r="F13540" s="3">
        <v>2.48</v>
      </c>
      <c r="G13540" s="3">
        <v>8.37</v>
      </c>
    </row>
    <row r="13541">
      <c r="A13541" s="3">
        <v>788647.0</v>
      </c>
      <c r="B13541" s="3" t="s">
        <v>13569</v>
      </c>
      <c r="C13541" s="3" t="s">
        <v>101</v>
      </c>
      <c r="D13541" s="3">
        <v>45.0</v>
      </c>
      <c r="E13541" s="3">
        <v>0.2</v>
      </c>
      <c r="F13541" s="3">
        <v>2.53</v>
      </c>
      <c r="G13541" s="3">
        <v>8.58</v>
      </c>
    </row>
    <row r="13542">
      <c r="A13542" s="3">
        <v>788648.0</v>
      </c>
      <c r="B13542" s="3" t="s">
        <v>13570</v>
      </c>
      <c r="C13542" s="3" t="s">
        <v>101</v>
      </c>
      <c r="D13542" s="3">
        <v>60.0</v>
      </c>
      <c r="E13542" s="3">
        <v>2.04</v>
      </c>
      <c r="F13542" s="3">
        <v>2.48</v>
      </c>
      <c r="G13542" s="3">
        <v>8.37</v>
      </c>
    </row>
    <row r="13543">
      <c r="A13543" s="3">
        <v>788649.0</v>
      </c>
      <c r="B13543" s="3" t="s">
        <v>13571</v>
      </c>
      <c r="C13543" s="3" t="s">
        <v>101</v>
      </c>
      <c r="D13543" s="3">
        <v>65.0</v>
      </c>
      <c r="E13543" s="3">
        <v>2.64</v>
      </c>
      <c r="F13543" s="3">
        <v>2.46</v>
      </c>
      <c r="G13543" s="3">
        <v>8.37</v>
      </c>
    </row>
    <row r="13544">
      <c r="A13544" s="3">
        <v>788650.0</v>
      </c>
      <c r="B13544" s="3" t="s">
        <v>13572</v>
      </c>
      <c r="C13544" s="3" t="s">
        <v>101</v>
      </c>
      <c r="D13544" s="3">
        <v>62.0</v>
      </c>
      <c r="E13544" s="3">
        <v>2.26</v>
      </c>
      <c r="F13544" s="3">
        <v>2.48</v>
      </c>
      <c r="G13544" s="3">
        <v>8.36</v>
      </c>
    </row>
    <row r="13545">
      <c r="A13545" s="3">
        <v>788651.0</v>
      </c>
      <c r="B13545" s="3" t="s">
        <v>13573</v>
      </c>
      <c r="C13545" s="3" t="s">
        <v>101</v>
      </c>
      <c r="D13545" s="3">
        <v>57.0</v>
      </c>
      <c r="E13545" s="3">
        <v>1.73</v>
      </c>
      <c r="F13545" s="3">
        <v>2.46</v>
      </c>
      <c r="G13545" s="3">
        <v>8.38</v>
      </c>
    </row>
    <row r="13546">
      <c r="A13546" s="3">
        <v>788652.0</v>
      </c>
      <c r="B13546" s="3" t="s">
        <v>13574</v>
      </c>
      <c r="C13546" s="3" t="s">
        <v>101</v>
      </c>
      <c r="D13546" s="3">
        <v>82.0</v>
      </c>
      <c r="E13546" s="3">
        <v>2.39</v>
      </c>
      <c r="F13546" s="3">
        <v>4.28</v>
      </c>
      <c r="G13546" s="3">
        <v>11.65</v>
      </c>
    </row>
    <row r="13547">
      <c r="A13547" s="3">
        <v>788653.0</v>
      </c>
      <c r="B13547" s="3" t="s">
        <v>13575</v>
      </c>
      <c r="C13547" s="3" t="s">
        <v>101</v>
      </c>
      <c r="D13547" s="3">
        <v>65.0</v>
      </c>
      <c r="E13547" s="3">
        <v>0.32</v>
      </c>
      <c r="F13547" s="3">
        <v>4.39</v>
      </c>
      <c r="G13547" s="3">
        <v>11.98</v>
      </c>
    </row>
    <row r="13548">
      <c r="A13548" s="3">
        <v>788654.0</v>
      </c>
      <c r="B13548" s="3" t="s">
        <v>13576</v>
      </c>
      <c r="C13548" s="3" t="s">
        <v>101</v>
      </c>
      <c r="D13548" s="3">
        <v>82.0</v>
      </c>
      <c r="E13548" s="3">
        <v>2.39</v>
      </c>
      <c r="F13548" s="3">
        <v>4.28</v>
      </c>
      <c r="G13548" s="3">
        <v>11.65</v>
      </c>
    </row>
    <row r="13549">
      <c r="A13549" s="3">
        <v>788655.0</v>
      </c>
      <c r="B13549" s="3" t="s">
        <v>13577</v>
      </c>
      <c r="C13549" s="3" t="s">
        <v>101</v>
      </c>
      <c r="D13549" s="3">
        <v>88.0</v>
      </c>
      <c r="E13549" s="3">
        <v>3.07</v>
      </c>
      <c r="F13549" s="3">
        <v>4.27</v>
      </c>
      <c r="G13549" s="3">
        <v>11.65</v>
      </c>
    </row>
    <row r="13550">
      <c r="A13550" s="3">
        <v>788656.0</v>
      </c>
      <c r="B13550" s="3" t="s">
        <v>13578</v>
      </c>
      <c r="C13550" s="3" t="s">
        <v>101</v>
      </c>
      <c r="D13550" s="3">
        <v>84.0</v>
      </c>
      <c r="E13550" s="3">
        <v>2.64</v>
      </c>
      <c r="F13550" s="3">
        <v>4.29</v>
      </c>
      <c r="G13550" s="3">
        <v>11.64</v>
      </c>
    </row>
    <row r="13551">
      <c r="A13551" s="3">
        <v>788657.0</v>
      </c>
      <c r="B13551" s="3" t="s">
        <v>13579</v>
      </c>
      <c r="C13551" s="3" t="s">
        <v>101</v>
      </c>
      <c r="D13551" s="3">
        <v>79.0</v>
      </c>
      <c r="E13551" s="3">
        <v>2.04</v>
      </c>
      <c r="F13551" s="3">
        <v>4.27</v>
      </c>
      <c r="G13551" s="3">
        <v>11.66</v>
      </c>
    </row>
    <row r="13552">
      <c r="A13552" s="3">
        <v>788658.0</v>
      </c>
      <c r="B13552" s="3" t="s">
        <v>13580</v>
      </c>
      <c r="C13552" s="3" t="s">
        <v>101</v>
      </c>
      <c r="D13552" s="3">
        <v>107.0</v>
      </c>
      <c r="E13552" s="3">
        <v>3.18</v>
      </c>
      <c r="F13552" s="3">
        <v>2.81</v>
      </c>
      <c r="G13552" s="3">
        <v>17.2</v>
      </c>
    </row>
    <row r="13553">
      <c r="A13553" s="3">
        <v>788659.0</v>
      </c>
      <c r="B13553" s="3" t="s">
        <v>13581</v>
      </c>
      <c r="C13553" s="3" t="s">
        <v>101</v>
      </c>
      <c r="D13553" s="3">
        <v>84.0</v>
      </c>
      <c r="E13553" s="3">
        <v>0.36</v>
      </c>
      <c r="F13553" s="3">
        <v>2.89</v>
      </c>
      <c r="G13553" s="3">
        <v>17.7</v>
      </c>
    </row>
    <row r="13554">
      <c r="A13554" s="3">
        <v>788660.0</v>
      </c>
      <c r="B13554" s="3" t="s">
        <v>13582</v>
      </c>
      <c r="C13554" s="3" t="s">
        <v>101</v>
      </c>
      <c r="D13554" s="3">
        <v>100.0</v>
      </c>
      <c r="E13554" s="3">
        <v>2.48</v>
      </c>
      <c r="F13554" s="3">
        <v>2.82</v>
      </c>
      <c r="G13554" s="3">
        <v>17.19</v>
      </c>
    </row>
    <row r="13555">
      <c r="A13555" s="3">
        <v>788661.0</v>
      </c>
      <c r="B13555" s="3" t="s">
        <v>13583</v>
      </c>
      <c r="C13555" s="3" t="s">
        <v>101</v>
      </c>
      <c r="D13555" s="3">
        <v>84.0</v>
      </c>
      <c r="E13555" s="3">
        <v>0.16</v>
      </c>
      <c r="F13555" s="3">
        <v>3.54</v>
      </c>
      <c r="G13555" s="3">
        <v>17.68</v>
      </c>
    </row>
    <row r="13556">
      <c r="A13556" s="3">
        <v>788662.0</v>
      </c>
      <c r="B13556" s="3" t="s">
        <v>13584</v>
      </c>
      <c r="C13556" s="3" t="s">
        <v>101</v>
      </c>
      <c r="D13556" s="3">
        <v>101.0</v>
      </c>
      <c r="E13556" s="3">
        <v>2.25</v>
      </c>
      <c r="F13556" s="3">
        <v>3.45</v>
      </c>
      <c r="G13556" s="3">
        <v>17.18</v>
      </c>
    </row>
    <row r="13557">
      <c r="A13557" s="3">
        <v>788663.0</v>
      </c>
      <c r="B13557" s="3" t="s">
        <v>13585</v>
      </c>
      <c r="C13557" s="3" t="s">
        <v>101</v>
      </c>
      <c r="D13557" s="3">
        <v>101.0</v>
      </c>
      <c r="E13557" s="3">
        <v>2.25</v>
      </c>
      <c r="F13557" s="3">
        <v>3.45</v>
      </c>
      <c r="G13557" s="3">
        <v>17.18</v>
      </c>
    </row>
    <row r="13558">
      <c r="A13558" s="3">
        <v>788664.0</v>
      </c>
      <c r="B13558" s="3" t="s">
        <v>13586</v>
      </c>
      <c r="C13558" s="3" t="s">
        <v>101</v>
      </c>
      <c r="D13558" s="3">
        <v>107.0</v>
      </c>
      <c r="E13558" s="3">
        <v>2.93</v>
      </c>
      <c r="F13558" s="3">
        <v>3.44</v>
      </c>
      <c r="G13558" s="3">
        <v>17.19</v>
      </c>
    </row>
    <row r="13559">
      <c r="A13559" s="3">
        <v>788665.0</v>
      </c>
      <c r="B13559" s="3" t="s">
        <v>13587</v>
      </c>
      <c r="C13559" s="3" t="s">
        <v>101</v>
      </c>
      <c r="D13559" s="3">
        <v>103.0</v>
      </c>
      <c r="E13559" s="3">
        <v>2.5</v>
      </c>
      <c r="F13559" s="3">
        <v>3.46</v>
      </c>
      <c r="G13559" s="3">
        <v>17.17</v>
      </c>
    </row>
    <row r="13560">
      <c r="A13560" s="3">
        <v>788666.0</v>
      </c>
      <c r="B13560" s="3" t="s">
        <v>13588</v>
      </c>
      <c r="C13560" s="3" t="s">
        <v>101</v>
      </c>
      <c r="D13560" s="3">
        <v>98.0</v>
      </c>
      <c r="E13560" s="3">
        <v>1.9</v>
      </c>
      <c r="F13560" s="3">
        <v>3.44</v>
      </c>
      <c r="G13560" s="3">
        <v>17.19</v>
      </c>
    </row>
    <row r="13561">
      <c r="A13561" s="3">
        <v>788667.0</v>
      </c>
      <c r="B13561" s="3" t="s">
        <v>13589</v>
      </c>
      <c r="C13561" s="3" t="s">
        <v>101</v>
      </c>
      <c r="D13561" s="3">
        <v>42.0</v>
      </c>
      <c r="E13561" s="3">
        <v>2.04</v>
      </c>
      <c r="F13561" s="3">
        <v>1.02</v>
      </c>
      <c r="G13561" s="3">
        <v>5.78</v>
      </c>
    </row>
    <row r="13562">
      <c r="A13562" s="3">
        <v>788668.0</v>
      </c>
      <c r="B13562" s="3" t="s">
        <v>13590</v>
      </c>
      <c r="C13562" s="3" t="s">
        <v>101</v>
      </c>
      <c r="D13562" s="3">
        <v>27.0</v>
      </c>
      <c r="E13562" s="3">
        <v>0.28</v>
      </c>
      <c r="F13562" s="3">
        <v>1.03</v>
      </c>
      <c r="G13562" s="3">
        <v>5.91</v>
      </c>
    </row>
    <row r="13563">
      <c r="A13563" s="3">
        <v>788669.0</v>
      </c>
      <c r="B13563" s="3" t="s">
        <v>13591</v>
      </c>
      <c r="C13563" s="3" t="s">
        <v>101</v>
      </c>
      <c r="D13563" s="3">
        <v>42.0</v>
      </c>
      <c r="E13563" s="3">
        <v>2.04</v>
      </c>
      <c r="F13563" s="3">
        <v>1.02</v>
      </c>
      <c r="G13563" s="3">
        <v>5.78</v>
      </c>
    </row>
    <row r="13564">
      <c r="A13564" s="3">
        <v>788670.0</v>
      </c>
      <c r="B13564" s="3" t="s">
        <v>13592</v>
      </c>
      <c r="C13564" s="3" t="s">
        <v>101</v>
      </c>
      <c r="D13564" s="3">
        <v>47.0</v>
      </c>
      <c r="E13564" s="3">
        <v>2.62</v>
      </c>
      <c r="F13564" s="3">
        <v>1.01</v>
      </c>
      <c r="G13564" s="3">
        <v>5.78</v>
      </c>
    </row>
    <row r="13565">
      <c r="A13565" s="3">
        <v>788671.0</v>
      </c>
      <c r="B13565" s="3" t="s">
        <v>13593</v>
      </c>
      <c r="C13565" s="3" t="s">
        <v>101</v>
      </c>
      <c r="D13565" s="3">
        <v>43.0</v>
      </c>
      <c r="E13565" s="3">
        <v>2.25</v>
      </c>
      <c r="F13565" s="3">
        <v>1.03</v>
      </c>
      <c r="G13565" s="3">
        <v>5.77</v>
      </c>
    </row>
    <row r="13566">
      <c r="A13566" s="3">
        <v>788672.0</v>
      </c>
      <c r="B13566" s="3" t="s">
        <v>13594</v>
      </c>
      <c r="C13566" s="3" t="s">
        <v>101</v>
      </c>
      <c r="D13566" s="3">
        <v>39.0</v>
      </c>
      <c r="E13566" s="3">
        <v>1.74</v>
      </c>
      <c r="F13566" s="3">
        <v>1.01</v>
      </c>
      <c r="G13566" s="3">
        <v>5.79</v>
      </c>
    </row>
    <row r="13567">
      <c r="A13567" s="3">
        <v>788673.0</v>
      </c>
      <c r="B13567" s="3" t="s">
        <v>13595</v>
      </c>
      <c r="C13567" s="3" t="s">
        <v>101</v>
      </c>
      <c r="D13567" s="3">
        <v>21.0</v>
      </c>
      <c r="E13567" s="3">
        <v>0.31</v>
      </c>
      <c r="F13567" s="3">
        <v>1.0</v>
      </c>
      <c r="G13567" s="3">
        <v>4.62</v>
      </c>
    </row>
    <row r="13568">
      <c r="A13568" s="3">
        <v>788674.0</v>
      </c>
      <c r="B13568" s="3" t="s">
        <v>13596</v>
      </c>
      <c r="C13568" s="3" t="s">
        <v>101</v>
      </c>
      <c r="D13568" s="3">
        <v>32.0</v>
      </c>
      <c r="E13568" s="3">
        <v>1.57</v>
      </c>
      <c r="F13568" s="3">
        <v>1.0</v>
      </c>
      <c r="G13568" s="3">
        <v>4.55</v>
      </c>
    </row>
    <row r="13569">
      <c r="A13569" s="3">
        <v>788675.0</v>
      </c>
      <c r="B13569" s="3" t="s">
        <v>13597</v>
      </c>
      <c r="C13569" s="3" t="s">
        <v>101</v>
      </c>
      <c r="D13569" s="3">
        <v>32.0</v>
      </c>
      <c r="E13569" s="3">
        <v>1.57</v>
      </c>
      <c r="F13569" s="3">
        <v>1.0</v>
      </c>
      <c r="G13569" s="3">
        <v>4.55</v>
      </c>
    </row>
    <row r="13570">
      <c r="A13570" s="3">
        <v>788676.0</v>
      </c>
      <c r="B13570" s="3" t="s">
        <v>13598</v>
      </c>
      <c r="C13570" s="3" t="s">
        <v>101</v>
      </c>
      <c r="D13570" s="3">
        <v>65.0</v>
      </c>
      <c r="E13570" s="3">
        <v>4.6</v>
      </c>
      <c r="F13570" s="3">
        <v>1.0</v>
      </c>
      <c r="G13570" s="3">
        <v>6.0</v>
      </c>
    </row>
    <row r="13571">
      <c r="A13571" s="3">
        <v>788677.0</v>
      </c>
      <c r="B13571" s="3" t="s">
        <v>13599</v>
      </c>
      <c r="C13571" s="3" t="s">
        <v>101</v>
      </c>
      <c r="D13571" s="3">
        <v>72.0</v>
      </c>
      <c r="E13571" s="3">
        <v>2.56</v>
      </c>
      <c r="F13571" s="3">
        <v>1.05</v>
      </c>
      <c r="G13571" s="3">
        <v>11.72</v>
      </c>
    </row>
    <row r="13572">
      <c r="A13572" s="3">
        <v>788678.0</v>
      </c>
      <c r="B13572" s="3" t="s">
        <v>13600</v>
      </c>
      <c r="C13572" s="3" t="s">
        <v>101</v>
      </c>
      <c r="D13572" s="3">
        <v>72.0</v>
      </c>
      <c r="E13572" s="3">
        <v>2.56</v>
      </c>
      <c r="F13572" s="3">
        <v>1.05</v>
      </c>
      <c r="G13572" s="3">
        <v>11.72</v>
      </c>
    </row>
    <row r="13573">
      <c r="A13573" s="3">
        <v>788679.0</v>
      </c>
      <c r="B13573" s="3" t="s">
        <v>13601</v>
      </c>
      <c r="C13573" s="3" t="s">
        <v>101</v>
      </c>
      <c r="D13573" s="3">
        <v>79.0</v>
      </c>
      <c r="E13573" s="3">
        <v>3.41</v>
      </c>
      <c r="F13573" s="3">
        <v>1.04</v>
      </c>
      <c r="G13573" s="3">
        <v>11.71</v>
      </c>
    </row>
    <row r="13574">
      <c r="A13574" s="3">
        <v>788680.0</v>
      </c>
      <c r="B13574" s="3" t="s">
        <v>13602</v>
      </c>
      <c r="C13574" s="3" t="s">
        <v>101</v>
      </c>
      <c r="D13574" s="3">
        <v>74.0</v>
      </c>
      <c r="E13574" s="3">
        <v>2.83</v>
      </c>
      <c r="F13574" s="3">
        <v>1.06</v>
      </c>
      <c r="G13574" s="3">
        <v>11.71</v>
      </c>
    </row>
    <row r="13575">
      <c r="A13575" s="3">
        <v>788681.0</v>
      </c>
      <c r="B13575" s="3" t="s">
        <v>13603</v>
      </c>
      <c r="C13575" s="3" t="s">
        <v>101</v>
      </c>
      <c r="D13575" s="3">
        <v>68.0</v>
      </c>
      <c r="E13575" s="3">
        <v>2.17</v>
      </c>
      <c r="F13575" s="3">
        <v>1.04</v>
      </c>
      <c r="G13575" s="3">
        <v>11.74</v>
      </c>
    </row>
    <row r="13576">
      <c r="A13576" s="3">
        <v>788682.0</v>
      </c>
      <c r="B13576" s="3" t="s">
        <v>13604</v>
      </c>
      <c r="C13576" s="3" t="s">
        <v>101</v>
      </c>
      <c r="D13576" s="3">
        <v>53.0</v>
      </c>
      <c r="E13576" s="3">
        <v>0.34</v>
      </c>
      <c r="F13576" s="3">
        <v>1.07</v>
      </c>
      <c r="G13576" s="3">
        <v>12.08</v>
      </c>
    </row>
    <row r="13577">
      <c r="A13577" s="3">
        <v>788683.0</v>
      </c>
      <c r="B13577" s="3" t="s">
        <v>13605</v>
      </c>
      <c r="C13577" s="3" t="s">
        <v>101</v>
      </c>
      <c r="D13577" s="3">
        <v>50.0</v>
      </c>
      <c r="E13577" s="3">
        <v>2.61</v>
      </c>
      <c r="F13577" s="3">
        <v>1.44</v>
      </c>
      <c r="G13577" s="3">
        <v>6.44</v>
      </c>
    </row>
    <row r="13578">
      <c r="A13578" s="3">
        <v>788684.0</v>
      </c>
      <c r="B13578" s="3" t="s">
        <v>13606</v>
      </c>
      <c r="C13578" s="3" t="s">
        <v>101</v>
      </c>
      <c r="D13578" s="3">
        <v>31.0</v>
      </c>
      <c r="E13578" s="3">
        <v>0.3</v>
      </c>
      <c r="F13578" s="3">
        <v>1.46</v>
      </c>
      <c r="G13578" s="3">
        <v>6.64</v>
      </c>
    </row>
    <row r="13579">
      <c r="A13579" s="3">
        <v>788685.0</v>
      </c>
      <c r="B13579" s="3" t="s">
        <v>13607</v>
      </c>
      <c r="C13579" s="3" t="s">
        <v>101</v>
      </c>
      <c r="D13579" s="3">
        <v>50.0</v>
      </c>
      <c r="E13579" s="3">
        <v>2.6</v>
      </c>
      <c r="F13579" s="3">
        <v>1.44</v>
      </c>
      <c r="G13579" s="3">
        <v>6.44</v>
      </c>
    </row>
    <row r="13580">
      <c r="A13580" s="3">
        <v>788686.0</v>
      </c>
      <c r="B13580" s="3" t="s">
        <v>13608</v>
      </c>
      <c r="C13580" s="3" t="s">
        <v>101</v>
      </c>
      <c r="D13580" s="3">
        <v>57.0</v>
      </c>
      <c r="E13580" s="3">
        <v>3.35</v>
      </c>
      <c r="F13580" s="3">
        <v>1.42</v>
      </c>
      <c r="G13580" s="3">
        <v>6.44</v>
      </c>
    </row>
    <row r="13581">
      <c r="A13581" s="3">
        <v>788687.0</v>
      </c>
      <c r="B13581" s="3" t="s">
        <v>13609</v>
      </c>
      <c r="C13581" s="3" t="s">
        <v>101</v>
      </c>
      <c r="D13581" s="3">
        <v>52.0</v>
      </c>
      <c r="E13581" s="3">
        <v>2.87</v>
      </c>
      <c r="F13581" s="3">
        <v>1.44</v>
      </c>
      <c r="G13581" s="3">
        <v>6.43</v>
      </c>
    </row>
    <row r="13582">
      <c r="A13582" s="3">
        <v>788688.0</v>
      </c>
      <c r="B13582" s="3" t="s">
        <v>13610</v>
      </c>
      <c r="C13582" s="3" t="s">
        <v>101</v>
      </c>
      <c r="D13582" s="3">
        <v>47.0</v>
      </c>
      <c r="E13582" s="3">
        <v>2.21</v>
      </c>
      <c r="F13582" s="3">
        <v>1.42</v>
      </c>
      <c r="G13582" s="3">
        <v>6.45</v>
      </c>
    </row>
    <row r="13583">
      <c r="A13583" s="3">
        <v>788689.0</v>
      </c>
      <c r="B13583" s="3" t="s">
        <v>13611</v>
      </c>
      <c r="C13583" s="3" t="s">
        <v>101</v>
      </c>
      <c r="D13583" s="3">
        <v>74.0</v>
      </c>
      <c r="E13583" s="3">
        <v>2.42</v>
      </c>
      <c r="F13583" s="3">
        <v>2.53</v>
      </c>
      <c r="G13583" s="3">
        <v>11.98</v>
      </c>
    </row>
    <row r="13584">
      <c r="A13584" s="3">
        <v>788690.0</v>
      </c>
      <c r="B13584" s="3" t="s">
        <v>13612</v>
      </c>
      <c r="C13584" s="3" t="s">
        <v>101</v>
      </c>
      <c r="D13584" s="3">
        <v>57.0</v>
      </c>
      <c r="E13584" s="3">
        <v>0.33</v>
      </c>
      <c r="F13584" s="3">
        <v>2.59</v>
      </c>
      <c r="G13584" s="3">
        <v>12.32</v>
      </c>
    </row>
    <row r="13585">
      <c r="A13585" s="3">
        <v>788691.0</v>
      </c>
      <c r="B13585" s="3" t="s">
        <v>13613</v>
      </c>
      <c r="C13585" s="3" t="s">
        <v>101</v>
      </c>
      <c r="D13585" s="3">
        <v>74.0</v>
      </c>
      <c r="E13585" s="3">
        <v>2.42</v>
      </c>
      <c r="F13585" s="3">
        <v>2.53</v>
      </c>
      <c r="G13585" s="3">
        <v>11.98</v>
      </c>
    </row>
    <row r="13586">
      <c r="A13586" s="3">
        <v>788692.0</v>
      </c>
      <c r="B13586" s="3" t="s">
        <v>13614</v>
      </c>
      <c r="C13586" s="3" t="s">
        <v>101</v>
      </c>
      <c r="D13586" s="3">
        <v>80.0</v>
      </c>
      <c r="E13586" s="3">
        <v>3.1</v>
      </c>
      <c r="F13586" s="3">
        <v>2.52</v>
      </c>
      <c r="G13586" s="3">
        <v>11.98</v>
      </c>
    </row>
    <row r="13587">
      <c r="A13587" s="3">
        <v>788693.0</v>
      </c>
      <c r="B13587" s="3" t="s">
        <v>13615</v>
      </c>
      <c r="C13587" s="3" t="s">
        <v>101</v>
      </c>
      <c r="D13587" s="3">
        <v>76.0</v>
      </c>
      <c r="E13587" s="3">
        <v>2.66</v>
      </c>
      <c r="F13587" s="3">
        <v>2.54</v>
      </c>
      <c r="G13587" s="3">
        <v>11.97</v>
      </c>
    </row>
    <row r="13588">
      <c r="A13588" s="3">
        <v>788694.0</v>
      </c>
      <c r="B13588" s="3" t="s">
        <v>13616</v>
      </c>
      <c r="C13588" s="3" t="s">
        <v>101</v>
      </c>
      <c r="D13588" s="3">
        <v>71.0</v>
      </c>
      <c r="E13588" s="3">
        <v>2.06</v>
      </c>
      <c r="F13588" s="3">
        <v>2.52</v>
      </c>
      <c r="G13588" s="3">
        <v>11.99</v>
      </c>
    </row>
    <row r="13589">
      <c r="A13589" s="3">
        <v>788695.0</v>
      </c>
      <c r="B13589" s="3" t="s">
        <v>13617</v>
      </c>
      <c r="C13589" s="3" t="s">
        <v>101</v>
      </c>
      <c r="D13589" s="3">
        <v>61.0</v>
      </c>
      <c r="E13589" s="3">
        <v>2.43</v>
      </c>
      <c r="F13589" s="3">
        <v>1.88</v>
      </c>
      <c r="G13589" s="3">
        <v>8.81</v>
      </c>
    </row>
    <row r="13590">
      <c r="A13590" s="3">
        <v>788696.0</v>
      </c>
      <c r="B13590" s="3" t="s">
        <v>13618</v>
      </c>
      <c r="C13590" s="3" t="s">
        <v>101</v>
      </c>
      <c r="D13590" s="3">
        <v>43.0</v>
      </c>
      <c r="E13590" s="3">
        <v>0.22</v>
      </c>
      <c r="F13590" s="3">
        <v>1.85</v>
      </c>
      <c r="G13590" s="3">
        <v>9.36</v>
      </c>
    </row>
    <row r="13591">
      <c r="A13591" s="3">
        <v>788697.0</v>
      </c>
      <c r="B13591" s="3" t="s">
        <v>13619</v>
      </c>
      <c r="C13591" s="3" t="s">
        <v>101</v>
      </c>
      <c r="D13591" s="3">
        <v>61.0</v>
      </c>
      <c r="E13591" s="3">
        <v>2.43</v>
      </c>
      <c r="F13591" s="3">
        <v>1.88</v>
      </c>
      <c r="G13591" s="3">
        <v>8.81</v>
      </c>
    </row>
    <row r="13592">
      <c r="A13592" s="3">
        <v>788698.0</v>
      </c>
      <c r="B13592" s="3" t="s">
        <v>13620</v>
      </c>
      <c r="C13592" s="3" t="s">
        <v>101</v>
      </c>
      <c r="D13592" s="3">
        <v>67.0</v>
      </c>
      <c r="E13592" s="3">
        <v>3.14</v>
      </c>
      <c r="F13592" s="3">
        <v>1.86</v>
      </c>
      <c r="G13592" s="3">
        <v>8.81</v>
      </c>
    </row>
    <row r="13593">
      <c r="A13593" s="3">
        <v>788699.0</v>
      </c>
      <c r="B13593" s="3" t="s">
        <v>13621</v>
      </c>
      <c r="C13593" s="3" t="s">
        <v>101</v>
      </c>
      <c r="D13593" s="3">
        <v>63.0</v>
      </c>
      <c r="E13593" s="3">
        <v>2.69</v>
      </c>
      <c r="F13593" s="3">
        <v>1.89</v>
      </c>
      <c r="G13593" s="3">
        <v>8.8</v>
      </c>
    </row>
    <row r="13594">
      <c r="A13594" s="3">
        <v>788700.0</v>
      </c>
      <c r="B13594" s="3" t="s">
        <v>13622</v>
      </c>
      <c r="C13594" s="3" t="s">
        <v>101</v>
      </c>
      <c r="D13594" s="3">
        <v>53.0</v>
      </c>
      <c r="E13594" s="3">
        <v>1.69</v>
      </c>
      <c r="F13594" s="3">
        <v>1.64</v>
      </c>
      <c r="G13594" s="3">
        <v>8.71</v>
      </c>
    </row>
    <row r="13595">
      <c r="A13595" s="3">
        <v>788701.0</v>
      </c>
      <c r="B13595" s="3" t="s">
        <v>13623</v>
      </c>
      <c r="C13595" s="3" t="s">
        <v>101</v>
      </c>
      <c r="D13595" s="3">
        <v>109.0</v>
      </c>
      <c r="E13595" s="3">
        <v>5.33</v>
      </c>
      <c r="F13595" s="3">
        <v>3.71</v>
      </c>
      <c r="G13595" s="3">
        <v>12.69</v>
      </c>
    </row>
    <row r="13596">
      <c r="A13596" s="3">
        <v>788702.0</v>
      </c>
      <c r="B13596" s="3" t="s">
        <v>13624</v>
      </c>
      <c r="C13596" s="3" t="s">
        <v>101</v>
      </c>
      <c r="D13596" s="3">
        <v>89.0</v>
      </c>
      <c r="E13596" s="3">
        <v>1.96</v>
      </c>
      <c r="F13596" s="3">
        <v>5.08</v>
      </c>
      <c r="G13596" s="3">
        <v>15.39</v>
      </c>
    </row>
    <row r="13597">
      <c r="A13597" s="3">
        <v>788703.0</v>
      </c>
      <c r="B13597" s="3" t="s">
        <v>13625</v>
      </c>
      <c r="C13597" s="3" t="s">
        <v>101</v>
      </c>
      <c r="D13597" s="3">
        <v>45.0</v>
      </c>
      <c r="E13597" s="3">
        <v>2.53</v>
      </c>
      <c r="F13597" s="3">
        <v>1.06</v>
      </c>
      <c r="G13597" s="3">
        <v>5.3</v>
      </c>
    </row>
    <row r="13598">
      <c r="A13598" s="3">
        <v>788705.0</v>
      </c>
      <c r="B13598" s="3" t="s">
        <v>13626</v>
      </c>
      <c r="C13598" s="3" t="s">
        <v>101</v>
      </c>
      <c r="D13598" s="3">
        <v>159.0</v>
      </c>
      <c r="E13598" s="3">
        <v>5.81</v>
      </c>
      <c r="F13598" s="3">
        <v>5.31</v>
      </c>
      <c r="G13598" s="3">
        <v>22.33</v>
      </c>
    </row>
    <row r="13599">
      <c r="A13599" s="3">
        <v>788706.0</v>
      </c>
      <c r="B13599" s="3" t="s">
        <v>13627</v>
      </c>
      <c r="C13599" s="3" t="s">
        <v>101</v>
      </c>
      <c r="D13599" s="3">
        <v>66.0</v>
      </c>
      <c r="E13599" s="3">
        <v>4.28</v>
      </c>
      <c r="F13599" s="3">
        <v>4.23</v>
      </c>
      <c r="G13599" s="3">
        <v>3.62</v>
      </c>
    </row>
    <row r="13600">
      <c r="A13600" s="3">
        <v>788707.0</v>
      </c>
      <c r="B13600" s="3" t="s">
        <v>13628</v>
      </c>
      <c r="C13600" s="3" t="s">
        <v>101</v>
      </c>
      <c r="D13600" s="3">
        <v>69.0</v>
      </c>
      <c r="E13600" s="3">
        <v>4.14</v>
      </c>
      <c r="F13600" s="3">
        <v>3.85</v>
      </c>
      <c r="G13600" s="3">
        <v>5.12</v>
      </c>
    </row>
    <row r="13601">
      <c r="A13601" s="3">
        <v>788708.0</v>
      </c>
      <c r="B13601" s="3" t="s">
        <v>13629</v>
      </c>
      <c r="C13601" s="3" t="s">
        <v>101</v>
      </c>
      <c r="D13601" s="3">
        <v>66.0</v>
      </c>
      <c r="E13601" s="3">
        <v>4.28</v>
      </c>
      <c r="F13601" s="3">
        <v>4.22</v>
      </c>
      <c r="G13601" s="3">
        <v>3.62</v>
      </c>
    </row>
    <row r="13602">
      <c r="A13602" s="3">
        <v>788709.0</v>
      </c>
      <c r="B13602" s="3" t="s">
        <v>13630</v>
      </c>
      <c r="C13602" s="3" t="s">
        <v>101</v>
      </c>
      <c r="D13602" s="3">
        <v>58.0</v>
      </c>
      <c r="E13602" s="3">
        <v>3.71</v>
      </c>
      <c r="F13602" s="3">
        <v>3.38</v>
      </c>
      <c r="G13602" s="3">
        <v>3.7</v>
      </c>
    </row>
    <row r="13603">
      <c r="A13603" s="3">
        <v>788710.0</v>
      </c>
      <c r="B13603" s="3" t="s">
        <v>13631</v>
      </c>
      <c r="C13603" s="3" t="s">
        <v>101</v>
      </c>
      <c r="D13603" s="3">
        <v>125.0</v>
      </c>
      <c r="E13603" s="3">
        <v>4.38</v>
      </c>
      <c r="F13603" s="3">
        <v>6.38</v>
      </c>
      <c r="G13603" s="3">
        <v>15.39</v>
      </c>
    </row>
    <row r="13604">
      <c r="A13604" s="3">
        <v>788711.0</v>
      </c>
      <c r="B13604" s="3" t="s">
        <v>13632</v>
      </c>
      <c r="C13604" s="3" t="s">
        <v>101</v>
      </c>
      <c r="D13604" s="3">
        <v>139.0</v>
      </c>
      <c r="E13604" s="3">
        <v>4.36</v>
      </c>
      <c r="F13604" s="3">
        <v>6.87</v>
      </c>
      <c r="G13604" s="3">
        <v>18.3</v>
      </c>
    </row>
    <row r="13605">
      <c r="A13605" s="3">
        <v>788712.0</v>
      </c>
      <c r="B13605" s="3" t="s">
        <v>13633</v>
      </c>
      <c r="C13605" s="3" t="s">
        <v>101</v>
      </c>
      <c r="D13605" s="3">
        <v>125.0</v>
      </c>
      <c r="E13605" s="3">
        <v>4.38</v>
      </c>
      <c r="F13605" s="3">
        <v>6.38</v>
      </c>
      <c r="G13605" s="3">
        <v>15.4</v>
      </c>
    </row>
    <row r="13606">
      <c r="A13606" s="3">
        <v>788713.0</v>
      </c>
      <c r="B13606" s="3" t="s">
        <v>13634</v>
      </c>
      <c r="C13606" s="3" t="s">
        <v>101</v>
      </c>
      <c r="D13606" s="3">
        <v>125.0</v>
      </c>
      <c r="E13606" s="3">
        <v>4.38</v>
      </c>
      <c r="F13606" s="3">
        <v>6.38</v>
      </c>
      <c r="G13606" s="3">
        <v>15.4</v>
      </c>
    </row>
    <row r="13607">
      <c r="A13607" s="3">
        <v>788714.0</v>
      </c>
      <c r="B13607" s="3" t="s">
        <v>13635</v>
      </c>
      <c r="C13607" s="3" t="s">
        <v>101</v>
      </c>
      <c r="D13607" s="3">
        <v>90.0</v>
      </c>
      <c r="E13607" s="3">
        <v>1.98</v>
      </c>
      <c r="F13607" s="3">
        <v>4.37</v>
      </c>
      <c r="G13607" s="3">
        <v>14.06</v>
      </c>
    </row>
    <row r="13608">
      <c r="A13608" s="3">
        <v>788715.0</v>
      </c>
      <c r="B13608" s="3" t="s">
        <v>13636</v>
      </c>
      <c r="C13608" s="3" t="s">
        <v>101</v>
      </c>
      <c r="D13608" s="3">
        <v>102.0</v>
      </c>
      <c r="E13608" s="3">
        <v>1.97</v>
      </c>
      <c r="F13608" s="3">
        <v>4.82</v>
      </c>
      <c r="G13608" s="3">
        <v>16.64</v>
      </c>
    </row>
    <row r="13609">
      <c r="A13609" s="3">
        <v>788716.0</v>
      </c>
      <c r="B13609" s="3" t="s">
        <v>13637</v>
      </c>
      <c r="C13609" s="3" t="s">
        <v>101</v>
      </c>
      <c r="D13609" s="3">
        <v>90.0</v>
      </c>
      <c r="E13609" s="3">
        <v>1.98</v>
      </c>
      <c r="F13609" s="3">
        <v>4.37</v>
      </c>
      <c r="G13609" s="3">
        <v>14.06</v>
      </c>
    </row>
    <row r="13610">
      <c r="A13610" s="3">
        <v>788717.0</v>
      </c>
      <c r="B13610" s="3" t="s">
        <v>13638</v>
      </c>
      <c r="C13610" s="3" t="s">
        <v>101</v>
      </c>
      <c r="D13610" s="3">
        <v>90.0</v>
      </c>
      <c r="E13610" s="3">
        <v>1.98</v>
      </c>
      <c r="F13610" s="3">
        <v>4.37</v>
      </c>
      <c r="G13610" s="3">
        <v>14.06</v>
      </c>
    </row>
    <row r="13611">
      <c r="A13611" s="3">
        <v>788718.0</v>
      </c>
      <c r="B13611" s="3" t="s">
        <v>13639</v>
      </c>
      <c r="C13611" s="3" t="s">
        <v>101</v>
      </c>
      <c r="D13611" s="3">
        <v>82.0</v>
      </c>
      <c r="E13611" s="3">
        <v>4.92</v>
      </c>
      <c r="F13611" s="3">
        <v>3.58</v>
      </c>
      <c r="G13611" s="3">
        <v>6.78</v>
      </c>
    </row>
    <row r="13612">
      <c r="A13612" s="3">
        <v>788719.0</v>
      </c>
      <c r="B13612" s="3" t="s">
        <v>13640</v>
      </c>
      <c r="C13612" s="3" t="s">
        <v>101</v>
      </c>
      <c r="D13612" s="3">
        <v>89.0</v>
      </c>
      <c r="E13612" s="3">
        <v>5.21</v>
      </c>
      <c r="F13612" s="3">
        <v>3.92</v>
      </c>
      <c r="G13612" s="3">
        <v>7.66</v>
      </c>
    </row>
    <row r="13613">
      <c r="A13613" s="3">
        <v>788720.0</v>
      </c>
      <c r="B13613" s="3" t="s">
        <v>13641</v>
      </c>
      <c r="C13613" s="3" t="s">
        <v>101</v>
      </c>
      <c r="D13613" s="3">
        <v>82.0</v>
      </c>
      <c r="E13613" s="3">
        <v>4.92</v>
      </c>
      <c r="F13613" s="3">
        <v>3.58</v>
      </c>
      <c r="G13613" s="3">
        <v>6.78</v>
      </c>
    </row>
    <row r="13614">
      <c r="A13614" s="3">
        <v>788721.0</v>
      </c>
      <c r="B13614" s="3" t="s">
        <v>13642</v>
      </c>
      <c r="C13614" s="3" t="s">
        <v>101</v>
      </c>
      <c r="D13614" s="3">
        <v>74.0</v>
      </c>
      <c r="E13614" s="3">
        <v>4.72</v>
      </c>
      <c r="F13614" s="3">
        <v>3.14</v>
      </c>
      <c r="G13614" s="3">
        <v>5.29</v>
      </c>
    </row>
    <row r="13615">
      <c r="A13615" s="3">
        <v>788722.0</v>
      </c>
      <c r="B13615" s="3" t="s">
        <v>13643</v>
      </c>
      <c r="C13615" s="3" t="s">
        <v>101</v>
      </c>
      <c r="D13615" s="3">
        <v>48.0</v>
      </c>
      <c r="E13615" s="3">
        <v>2.12</v>
      </c>
      <c r="F13615" s="3">
        <v>1.66</v>
      </c>
      <c r="G13615" s="3">
        <v>6.36</v>
      </c>
    </row>
    <row r="13616">
      <c r="A13616" s="3">
        <v>788723.0</v>
      </c>
      <c r="B13616" s="3" t="s">
        <v>13644</v>
      </c>
      <c r="C13616" s="3" t="s">
        <v>101</v>
      </c>
      <c r="D13616" s="3">
        <v>52.0</v>
      </c>
      <c r="E13616" s="3">
        <v>2.26</v>
      </c>
      <c r="F13616" s="3">
        <v>1.87</v>
      </c>
      <c r="G13616" s="3">
        <v>7.1</v>
      </c>
    </row>
    <row r="13617">
      <c r="A13617" s="3">
        <v>788724.0</v>
      </c>
      <c r="B13617" s="3" t="s">
        <v>13645</v>
      </c>
      <c r="C13617" s="3" t="s">
        <v>101</v>
      </c>
      <c r="D13617" s="3">
        <v>48.0</v>
      </c>
      <c r="E13617" s="3">
        <v>2.12</v>
      </c>
      <c r="F13617" s="3">
        <v>1.66</v>
      </c>
      <c r="G13617" s="3">
        <v>6.36</v>
      </c>
    </row>
    <row r="13618">
      <c r="A13618" s="3">
        <v>788725.0</v>
      </c>
      <c r="B13618" s="3" t="s">
        <v>13646</v>
      </c>
      <c r="C13618" s="3" t="s">
        <v>101</v>
      </c>
      <c r="D13618" s="3">
        <v>42.0</v>
      </c>
      <c r="E13618" s="3">
        <v>2.12</v>
      </c>
      <c r="F13618" s="3">
        <v>1.4</v>
      </c>
      <c r="G13618" s="3">
        <v>5.08</v>
      </c>
    </row>
    <row r="13619">
      <c r="A13619" s="3">
        <v>788726.0</v>
      </c>
      <c r="B13619" s="3" t="s">
        <v>13647</v>
      </c>
      <c r="C13619" s="3" t="s">
        <v>1464</v>
      </c>
      <c r="D13619" s="3">
        <v>95.0</v>
      </c>
      <c r="E13619" s="3">
        <v>6.64</v>
      </c>
      <c r="F13619" s="3">
        <v>2.38</v>
      </c>
      <c r="G13619" s="3">
        <v>8.23</v>
      </c>
    </row>
    <row r="13620">
      <c r="A13620" s="3">
        <v>788727.0</v>
      </c>
      <c r="B13620" s="3" t="s">
        <v>13648</v>
      </c>
      <c r="C13620" s="3" t="s">
        <v>101</v>
      </c>
      <c r="D13620" s="3">
        <v>82.0</v>
      </c>
      <c r="E13620" s="3">
        <v>4.92</v>
      </c>
      <c r="F13620" s="3">
        <v>3.58</v>
      </c>
      <c r="G13620" s="3">
        <v>6.78</v>
      </c>
    </row>
    <row r="13621">
      <c r="A13621" s="3">
        <v>788728.0</v>
      </c>
      <c r="B13621" s="3" t="s">
        <v>13649</v>
      </c>
      <c r="C13621" s="3" t="s">
        <v>101</v>
      </c>
      <c r="D13621" s="3">
        <v>89.0</v>
      </c>
      <c r="E13621" s="3">
        <v>5.21</v>
      </c>
      <c r="F13621" s="3">
        <v>3.92</v>
      </c>
      <c r="G13621" s="3">
        <v>7.66</v>
      </c>
    </row>
    <row r="13622">
      <c r="A13622" s="3">
        <v>788729.0</v>
      </c>
      <c r="B13622" s="3" t="s">
        <v>13650</v>
      </c>
      <c r="C13622" s="3" t="s">
        <v>101</v>
      </c>
      <c r="D13622" s="3">
        <v>82.0</v>
      </c>
      <c r="E13622" s="3">
        <v>4.92</v>
      </c>
      <c r="F13622" s="3">
        <v>3.58</v>
      </c>
      <c r="G13622" s="3">
        <v>6.78</v>
      </c>
    </row>
    <row r="13623">
      <c r="A13623" s="3">
        <v>788730.0</v>
      </c>
      <c r="B13623" s="3" t="s">
        <v>13651</v>
      </c>
      <c r="C13623" s="3" t="s">
        <v>101</v>
      </c>
      <c r="D13623" s="3">
        <v>73.0</v>
      </c>
      <c r="E13623" s="3">
        <v>4.51</v>
      </c>
      <c r="F13623" s="3">
        <v>3.2</v>
      </c>
      <c r="G13623" s="3">
        <v>5.49</v>
      </c>
    </row>
    <row r="13624">
      <c r="A13624" s="3">
        <v>788731.0</v>
      </c>
      <c r="B13624" s="3" t="s">
        <v>13652</v>
      </c>
      <c r="C13624" s="3" t="s">
        <v>101</v>
      </c>
      <c r="D13624" s="3">
        <v>78.0</v>
      </c>
      <c r="E13624" s="3">
        <v>0.13</v>
      </c>
      <c r="F13624" s="3">
        <v>1.23</v>
      </c>
      <c r="G13624" s="3">
        <v>18.97</v>
      </c>
    </row>
    <row r="13625">
      <c r="A13625" s="3">
        <v>788732.0</v>
      </c>
      <c r="B13625" s="3" t="s">
        <v>13653</v>
      </c>
      <c r="C13625" s="3" t="s">
        <v>101</v>
      </c>
      <c r="D13625" s="3">
        <v>89.0</v>
      </c>
      <c r="E13625" s="3">
        <v>4.95</v>
      </c>
      <c r="F13625" s="3">
        <v>3.72</v>
      </c>
      <c r="G13625" s="3">
        <v>8.69</v>
      </c>
    </row>
    <row r="13626">
      <c r="A13626" s="3">
        <v>788733.0</v>
      </c>
      <c r="B13626" s="3" t="s">
        <v>13654</v>
      </c>
      <c r="C13626" s="3" t="s">
        <v>101</v>
      </c>
      <c r="D13626" s="3">
        <v>85.0</v>
      </c>
      <c r="E13626" s="3">
        <v>5.0</v>
      </c>
      <c r="F13626" s="3">
        <v>3.12</v>
      </c>
      <c r="G13626" s="3">
        <v>8.01</v>
      </c>
    </row>
    <row r="13627">
      <c r="A13627" s="3">
        <v>788734.0</v>
      </c>
      <c r="B13627" s="3" t="s">
        <v>13655</v>
      </c>
      <c r="C13627" s="3" t="s">
        <v>101</v>
      </c>
      <c r="D13627" s="3">
        <v>89.0</v>
      </c>
      <c r="E13627" s="3">
        <v>4.95</v>
      </c>
      <c r="F13627" s="3">
        <v>3.72</v>
      </c>
      <c r="G13627" s="3">
        <v>8.69</v>
      </c>
    </row>
    <row r="13628">
      <c r="A13628" s="3">
        <v>788735.0</v>
      </c>
      <c r="B13628" s="3" t="s">
        <v>13656</v>
      </c>
      <c r="C13628" s="3" t="s">
        <v>101</v>
      </c>
      <c r="D13628" s="3">
        <v>79.0</v>
      </c>
      <c r="E13628" s="3">
        <v>4.86</v>
      </c>
      <c r="F13628" s="3">
        <v>2.44</v>
      </c>
      <c r="G13628" s="3">
        <v>7.16</v>
      </c>
    </row>
    <row r="13629">
      <c r="A13629" s="3">
        <v>788736.0</v>
      </c>
      <c r="B13629" s="3" t="s">
        <v>13657</v>
      </c>
      <c r="C13629" s="3" t="s">
        <v>101</v>
      </c>
      <c r="D13629" s="3">
        <v>71.0</v>
      </c>
      <c r="E13629" s="3">
        <v>4.48</v>
      </c>
      <c r="F13629" s="3">
        <v>2.52</v>
      </c>
      <c r="G13629" s="3">
        <v>5.96</v>
      </c>
    </row>
    <row r="13630">
      <c r="A13630" s="3">
        <v>788737.0</v>
      </c>
      <c r="B13630" s="3" t="s">
        <v>13658</v>
      </c>
      <c r="C13630" s="3" t="s">
        <v>101</v>
      </c>
      <c r="D13630" s="3">
        <v>85.0</v>
      </c>
      <c r="E13630" s="3">
        <v>5.55</v>
      </c>
      <c r="F13630" s="3">
        <v>2.84</v>
      </c>
      <c r="G13630" s="3">
        <v>6.64</v>
      </c>
    </row>
    <row r="13631">
      <c r="A13631" s="3">
        <v>788738.0</v>
      </c>
      <c r="B13631" s="3" t="s">
        <v>13659</v>
      </c>
      <c r="C13631" s="3" t="s">
        <v>101</v>
      </c>
      <c r="D13631" s="3">
        <v>71.0</v>
      </c>
      <c r="E13631" s="3">
        <v>4.48</v>
      </c>
      <c r="F13631" s="3">
        <v>2.52</v>
      </c>
      <c r="G13631" s="3">
        <v>5.96</v>
      </c>
    </row>
    <row r="13632">
      <c r="A13632" s="3">
        <v>788739.0</v>
      </c>
      <c r="B13632" s="3" t="s">
        <v>13660</v>
      </c>
      <c r="C13632" s="3" t="s">
        <v>101</v>
      </c>
      <c r="D13632" s="3">
        <v>71.0</v>
      </c>
      <c r="E13632" s="3">
        <v>4.48</v>
      </c>
      <c r="F13632" s="3">
        <v>2.52</v>
      </c>
      <c r="G13632" s="3">
        <v>5.96</v>
      </c>
    </row>
    <row r="13633">
      <c r="A13633" s="3">
        <v>788740.0</v>
      </c>
      <c r="B13633" s="3" t="s">
        <v>13661</v>
      </c>
      <c r="C13633" s="3" t="s">
        <v>101</v>
      </c>
      <c r="D13633" s="3">
        <v>216.0</v>
      </c>
      <c r="E13633" s="3">
        <v>16.28</v>
      </c>
      <c r="F13633" s="3">
        <v>3.91</v>
      </c>
      <c r="G13633" s="3">
        <v>14.46</v>
      </c>
    </row>
    <row r="13634">
      <c r="A13634" s="3">
        <v>788741.0</v>
      </c>
      <c r="B13634" s="3" t="s">
        <v>13662</v>
      </c>
      <c r="C13634" s="3" t="s">
        <v>101</v>
      </c>
      <c r="D13634" s="3">
        <v>77.0</v>
      </c>
      <c r="E13634" s="3">
        <v>4.91</v>
      </c>
      <c r="F13634" s="3">
        <v>2.19</v>
      </c>
      <c r="G13634" s="3">
        <v>6.34</v>
      </c>
    </row>
    <row r="13635">
      <c r="A13635" s="3">
        <v>788742.0</v>
      </c>
      <c r="B13635" s="3" t="s">
        <v>13663</v>
      </c>
      <c r="C13635" s="3" t="s">
        <v>1464</v>
      </c>
      <c r="D13635" s="3">
        <v>219.0</v>
      </c>
      <c r="E13635" s="3">
        <v>16.86</v>
      </c>
      <c r="F13635" s="3">
        <v>10.88</v>
      </c>
      <c r="G13635" s="3">
        <v>6.35</v>
      </c>
    </row>
    <row r="13636">
      <c r="A13636" s="3">
        <v>788743.0</v>
      </c>
      <c r="B13636" s="3" t="s">
        <v>13664</v>
      </c>
      <c r="C13636" s="3" t="s">
        <v>1464</v>
      </c>
      <c r="D13636" s="3">
        <v>205.0</v>
      </c>
      <c r="E13636" s="3">
        <v>14.82</v>
      </c>
      <c r="F13636" s="3">
        <v>11.04</v>
      </c>
      <c r="G13636" s="3">
        <v>7.19</v>
      </c>
    </row>
    <row r="13637">
      <c r="A13637" s="3">
        <v>788744.0</v>
      </c>
      <c r="B13637" s="3" t="s">
        <v>13665</v>
      </c>
      <c r="C13637" s="3" t="s">
        <v>1464</v>
      </c>
      <c r="D13637" s="3">
        <v>240.0</v>
      </c>
      <c r="E13637" s="3">
        <v>15.65</v>
      </c>
      <c r="F13637" s="3">
        <v>8.98</v>
      </c>
      <c r="G13637" s="3">
        <v>16.35</v>
      </c>
    </row>
    <row r="13638">
      <c r="A13638" s="3">
        <v>788745.0</v>
      </c>
      <c r="B13638" s="3" t="s">
        <v>13666</v>
      </c>
      <c r="C13638" s="3" t="s">
        <v>101</v>
      </c>
      <c r="D13638" s="3">
        <v>120.0</v>
      </c>
      <c r="E13638" s="3">
        <v>5.09</v>
      </c>
      <c r="F13638" s="3">
        <v>4.84</v>
      </c>
      <c r="G13638" s="3">
        <v>15.84</v>
      </c>
    </row>
    <row r="13639">
      <c r="A13639" s="3">
        <v>788746.0</v>
      </c>
      <c r="B13639" s="3" t="s">
        <v>13667</v>
      </c>
      <c r="C13639" s="3" t="s">
        <v>101</v>
      </c>
      <c r="D13639" s="3">
        <v>394.0</v>
      </c>
      <c r="E13639" s="3">
        <v>22.57</v>
      </c>
      <c r="F13639" s="3">
        <v>8.24</v>
      </c>
      <c r="G13639" s="3">
        <v>40.81</v>
      </c>
    </row>
    <row r="13640">
      <c r="A13640" s="3">
        <v>788747.0</v>
      </c>
      <c r="B13640" s="3" t="s">
        <v>13668</v>
      </c>
      <c r="C13640" s="3" t="s">
        <v>101</v>
      </c>
      <c r="D13640" s="3">
        <v>109.0</v>
      </c>
      <c r="E13640" s="3">
        <v>4.97</v>
      </c>
      <c r="F13640" s="3">
        <v>3.1</v>
      </c>
      <c r="G13640" s="3">
        <v>14.9</v>
      </c>
    </row>
    <row r="13641">
      <c r="A13641" s="3">
        <v>788748.0</v>
      </c>
      <c r="B13641" s="3" t="s">
        <v>13669</v>
      </c>
      <c r="C13641" s="3" t="s">
        <v>101</v>
      </c>
      <c r="D13641" s="3">
        <v>118.0</v>
      </c>
      <c r="E13641" s="3">
        <v>5.44</v>
      </c>
      <c r="F13641" s="3">
        <v>3.59</v>
      </c>
      <c r="G13641" s="3">
        <v>15.85</v>
      </c>
    </row>
    <row r="13642">
      <c r="A13642" s="3">
        <v>788749.0</v>
      </c>
      <c r="B13642" s="3" t="s">
        <v>13670</v>
      </c>
      <c r="C13642" s="3" t="s">
        <v>101</v>
      </c>
      <c r="D13642" s="3">
        <v>109.0</v>
      </c>
      <c r="E13642" s="3">
        <v>4.97</v>
      </c>
      <c r="F13642" s="3">
        <v>3.1</v>
      </c>
      <c r="G13642" s="3">
        <v>14.9</v>
      </c>
    </row>
    <row r="13643">
      <c r="A13643" s="3">
        <v>788750.0</v>
      </c>
      <c r="B13643" s="3" t="s">
        <v>13671</v>
      </c>
      <c r="C13643" s="3" t="s">
        <v>101</v>
      </c>
      <c r="D13643" s="3">
        <v>101.0</v>
      </c>
      <c r="E13643" s="3">
        <v>5.28</v>
      </c>
      <c r="F13643" s="3">
        <v>2.96</v>
      </c>
      <c r="G13643" s="3">
        <v>12.09</v>
      </c>
    </row>
    <row r="13644">
      <c r="A13644" s="3">
        <v>788751.0</v>
      </c>
      <c r="B13644" s="3" t="s">
        <v>13672</v>
      </c>
      <c r="C13644" s="3" t="s">
        <v>101</v>
      </c>
      <c r="D13644" s="3">
        <v>151.0</v>
      </c>
      <c r="E13644" s="3">
        <v>10.94</v>
      </c>
      <c r="F13644" s="3">
        <v>2.43</v>
      </c>
      <c r="G13644" s="3">
        <v>11.92</v>
      </c>
    </row>
    <row r="13645">
      <c r="A13645" s="3">
        <v>788752.0</v>
      </c>
      <c r="B13645" s="3" t="s">
        <v>13673</v>
      </c>
      <c r="C13645" s="3" t="s">
        <v>225</v>
      </c>
      <c r="D13645" s="3">
        <v>167.0</v>
      </c>
      <c r="E13645" s="3">
        <v>13.2</v>
      </c>
      <c r="F13645" s="3">
        <v>4.11</v>
      </c>
      <c r="G13645" s="3">
        <v>11.18</v>
      </c>
    </row>
    <row r="13646">
      <c r="A13646" s="3">
        <v>788753.0</v>
      </c>
      <c r="B13646" s="3" t="s">
        <v>13674</v>
      </c>
      <c r="C13646" s="3" t="s">
        <v>101</v>
      </c>
      <c r="D13646" s="3">
        <v>158.0</v>
      </c>
      <c r="E13646" s="3">
        <v>11.18</v>
      </c>
      <c r="F13646" s="3">
        <v>6.59</v>
      </c>
      <c r="G13646" s="3">
        <v>8.68</v>
      </c>
    </row>
    <row r="13647">
      <c r="A13647" s="3">
        <v>788754.0</v>
      </c>
      <c r="B13647" s="3" t="s">
        <v>13675</v>
      </c>
      <c r="C13647" s="3" t="s">
        <v>101</v>
      </c>
      <c r="D13647" s="3">
        <v>94.0</v>
      </c>
      <c r="E13647" s="3">
        <v>4.75</v>
      </c>
      <c r="F13647" s="3">
        <v>5.98</v>
      </c>
      <c r="G13647" s="3">
        <v>7.98</v>
      </c>
    </row>
    <row r="13648">
      <c r="A13648" s="3">
        <v>788755.0</v>
      </c>
      <c r="B13648" s="3" t="s">
        <v>13676</v>
      </c>
      <c r="C13648" s="3" t="s">
        <v>101</v>
      </c>
      <c r="D13648" s="3">
        <v>80.0</v>
      </c>
      <c r="E13648" s="3">
        <v>4.64</v>
      </c>
      <c r="F13648" s="3">
        <v>2.68</v>
      </c>
      <c r="G13648" s="3">
        <v>7.75</v>
      </c>
    </row>
    <row r="13649">
      <c r="A13649" s="3">
        <v>788756.0</v>
      </c>
      <c r="B13649" s="3" t="s">
        <v>13677</v>
      </c>
      <c r="C13649" s="3" t="s">
        <v>101</v>
      </c>
      <c r="D13649" s="3">
        <v>79.0</v>
      </c>
      <c r="E13649" s="3">
        <v>4.88</v>
      </c>
      <c r="F13649" s="3">
        <v>2.74</v>
      </c>
      <c r="G13649" s="3">
        <v>6.9</v>
      </c>
    </row>
    <row r="13650">
      <c r="A13650" s="3">
        <v>788757.0</v>
      </c>
      <c r="B13650" s="3" t="s">
        <v>13678</v>
      </c>
      <c r="C13650" s="3" t="s">
        <v>101</v>
      </c>
      <c r="D13650" s="3">
        <v>81.0</v>
      </c>
      <c r="E13650" s="3">
        <v>4.98</v>
      </c>
      <c r="F13650" s="3">
        <v>2.91</v>
      </c>
      <c r="G13650" s="3">
        <v>7.01</v>
      </c>
    </row>
    <row r="13651">
      <c r="A13651" s="3">
        <v>788758.0</v>
      </c>
      <c r="B13651" s="3" t="s">
        <v>13679</v>
      </c>
      <c r="C13651" s="3" t="s">
        <v>101</v>
      </c>
      <c r="D13651" s="3">
        <v>81.0</v>
      </c>
      <c r="E13651" s="3">
        <v>4.98</v>
      </c>
      <c r="F13651" s="3">
        <v>2.91</v>
      </c>
      <c r="G13651" s="3">
        <v>7.01</v>
      </c>
    </row>
    <row r="13652">
      <c r="A13652" s="3">
        <v>788759.0</v>
      </c>
      <c r="B13652" s="3" t="s">
        <v>13680</v>
      </c>
      <c r="C13652" s="3" t="s">
        <v>101</v>
      </c>
      <c r="D13652" s="3">
        <v>79.0</v>
      </c>
      <c r="E13652" s="3">
        <v>4.89</v>
      </c>
      <c r="F13652" s="3">
        <v>2.75</v>
      </c>
      <c r="G13652" s="3">
        <v>6.9</v>
      </c>
    </row>
    <row r="13653">
      <c r="A13653" s="3">
        <v>788760.0</v>
      </c>
      <c r="B13653" s="3" t="s">
        <v>13681</v>
      </c>
      <c r="C13653" s="3" t="s">
        <v>101</v>
      </c>
      <c r="D13653" s="3">
        <v>280.0</v>
      </c>
      <c r="E13653" s="3">
        <v>14.98</v>
      </c>
      <c r="F13653" s="3">
        <v>10.76</v>
      </c>
      <c r="G13653" s="3">
        <v>27.11</v>
      </c>
    </row>
    <row r="13654">
      <c r="A13654" s="3">
        <v>788761.0</v>
      </c>
      <c r="B13654" s="3" t="s">
        <v>13682</v>
      </c>
      <c r="C13654" s="3" t="s">
        <v>101</v>
      </c>
      <c r="D13654" s="3">
        <v>122.0</v>
      </c>
      <c r="E13654" s="3">
        <v>5.6</v>
      </c>
      <c r="F13654" s="3">
        <v>3.34</v>
      </c>
      <c r="G13654" s="3">
        <v>14.95</v>
      </c>
    </row>
    <row r="13655">
      <c r="A13655" s="3">
        <v>788762.0</v>
      </c>
      <c r="B13655" s="3" t="s">
        <v>13683</v>
      </c>
      <c r="C13655" s="3" t="s">
        <v>101</v>
      </c>
      <c r="D13655" s="3">
        <v>194.0</v>
      </c>
      <c r="E13655" s="3">
        <v>8.7</v>
      </c>
      <c r="F13655" s="3">
        <v>4.83</v>
      </c>
      <c r="G13655" s="3">
        <v>24.66</v>
      </c>
    </row>
    <row r="13656">
      <c r="A13656" s="3">
        <v>788763.0</v>
      </c>
      <c r="B13656" s="3" t="s">
        <v>13684</v>
      </c>
      <c r="C13656" s="3" t="s">
        <v>101</v>
      </c>
      <c r="D13656" s="3">
        <v>72.0</v>
      </c>
      <c r="E13656" s="3">
        <v>3.99</v>
      </c>
      <c r="F13656" s="3">
        <v>1.88</v>
      </c>
      <c r="G13656" s="3">
        <v>7.61</v>
      </c>
    </row>
    <row r="13657">
      <c r="A13657" s="3">
        <v>788764.0</v>
      </c>
      <c r="B13657" s="3" t="s">
        <v>13685</v>
      </c>
      <c r="C13657" s="3" t="s">
        <v>101</v>
      </c>
      <c r="D13657" s="3">
        <v>82.0</v>
      </c>
      <c r="E13657" s="3">
        <v>4.08</v>
      </c>
      <c r="F13657" s="3">
        <v>2.28</v>
      </c>
      <c r="G13657" s="3">
        <v>9.77</v>
      </c>
    </row>
    <row r="13658">
      <c r="A13658" s="3">
        <v>788766.0</v>
      </c>
      <c r="B13658" s="3" t="s">
        <v>13686</v>
      </c>
      <c r="C13658" s="3" t="s">
        <v>101</v>
      </c>
      <c r="D13658" s="3">
        <v>328.0</v>
      </c>
      <c r="E13658" s="3">
        <v>19.45</v>
      </c>
      <c r="F13658" s="3">
        <v>6.85</v>
      </c>
      <c r="G13658" s="3">
        <v>31.6</v>
      </c>
    </row>
    <row r="13659">
      <c r="A13659" s="3">
        <v>788768.0</v>
      </c>
      <c r="B13659" s="3" t="s">
        <v>13687</v>
      </c>
      <c r="C13659" s="3" t="s">
        <v>101</v>
      </c>
      <c r="D13659" s="3">
        <v>105.0</v>
      </c>
      <c r="E13659" s="3">
        <v>4.89</v>
      </c>
      <c r="F13659" s="3">
        <v>2.44</v>
      </c>
      <c r="G13659" s="3">
        <v>13.5</v>
      </c>
    </row>
    <row r="13660">
      <c r="A13660" s="3">
        <v>788769.0</v>
      </c>
      <c r="B13660" s="3" t="s">
        <v>13688</v>
      </c>
      <c r="C13660" s="3" t="s">
        <v>101</v>
      </c>
      <c r="D13660" s="3">
        <v>179.0</v>
      </c>
      <c r="E13660" s="3">
        <v>14.1</v>
      </c>
      <c r="F13660" s="3">
        <v>3.04</v>
      </c>
      <c r="G13660" s="3">
        <v>10.23</v>
      </c>
    </row>
    <row r="13661">
      <c r="A13661" s="3">
        <v>788770.0</v>
      </c>
      <c r="B13661" s="3" t="s">
        <v>13689</v>
      </c>
      <c r="C13661" s="3" t="s">
        <v>101</v>
      </c>
      <c r="D13661" s="3">
        <v>202.0</v>
      </c>
      <c r="E13661" s="3">
        <v>16.02</v>
      </c>
      <c r="F13661" s="3">
        <v>5.02</v>
      </c>
      <c r="G13661" s="3">
        <v>9.52</v>
      </c>
    </row>
    <row r="13662">
      <c r="A13662" s="3">
        <v>788771.0</v>
      </c>
      <c r="B13662" s="3" t="s">
        <v>13690</v>
      </c>
      <c r="C13662" s="3" t="s">
        <v>101</v>
      </c>
      <c r="D13662" s="3">
        <v>108.0</v>
      </c>
      <c r="E13662" s="3">
        <v>4.81</v>
      </c>
      <c r="F13662" s="3">
        <v>4.57</v>
      </c>
      <c r="G13662" s="3">
        <v>12.01</v>
      </c>
    </row>
    <row r="13663">
      <c r="A13663" s="3">
        <v>788772.0</v>
      </c>
      <c r="B13663" s="3" t="s">
        <v>13691</v>
      </c>
      <c r="C13663" s="3" t="s">
        <v>101</v>
      </c>
      <c r="D13663" s="3">
        <v>111.0</v>
      </c>
      <c r="E13663" s="3">
        <v>4.78</v>
      </c>
      <c r="F13663" s="3">
        <v>4.69</v>
      </c>
      <c r="G13663" s="3">
        <v>12.78</v>
      </c>
    </row>
    <row r="13664">
      <c r="A13664" s="3">
        <v>788773.0</v>
      </c>
      <c r="B13664" s="3" t="s">
        <v>13692</v>
      </c>
      <c r="C13664" s="3" t="s">
        <v>101</v>
      </c>
      <c r="D13664" s="3">
        <v>108.0</v>
      </c>
      <c r="E13664" s="3">
        <v>4.81</v>
      </c>
      <c r="F13664" s="3">
        <v>4.57</v>
      </c>
      <c r="G13664" s="3">
        <v>12.01</v>
      </c>
    </row>
    <row r="13665">
      <c r="A13665" s="3">
        <v>788774.0</v>
      </c>
      <c r="B13665" s="3" t="s">
        <v>13693</v>
      </c>
      <c r="C13665" s="3" t="s">
        <v>101</v>
      </c>
      <c r="D13665" s="3">
        <v>101.0</v>
      </c>
      <c r="E13665" s="3">
        <v>4.96</v>
      </c>
      <c r="F13665" s="3">
        <v>4.2</v>
      </c>
      <c r="G13665" s="3">
        <v>10.43</v>
      </c>
    </row>
    <row r="13666">
      <c r="A13666" s="3">
        <v>788775.0</v>
      </c>
      <c r="B13666" s="3" t="s">
        <v>13694</v>
      </c>
      <c r="C13666" s="3" t="s">
        <v>101</v>
      </c>
      <c r="D13666" s="3">
        <v>75.0</v>
      </c>
      <c r="E13666" s="3">
        <v>2.0</v>
      </c>
      <c r="F13666" s="3">
        <v>3.78</v>
      </c>
      <c r="G13666" s="3">
        <v>10.92</v>
      </c>
    </row>
    <row r="13667">
      <c r="A13667" s="3">
        <v>788776.0</v>
      </c>
      <c r="B13667" s="3" t="s">
        <v>13695</v>
      </c>
      <c r="C13667" s="3" t="s">
        <v>101</v>
      </c>
      <c r="D13667" s="3">
        <v>79.0</v>
      </c>
      <c r="E13667" s="3">
        <v>1.97</v>
      </c>
      <c r="F13667" s="3">
        <v>3.9</v>
      </c>
      <c r="G13667" s="3">
        <v>11.72</v>
      </c>
    </row>
    <row r="13668">
      <c r="A13668" s="3">
        <v>788777.0</v>
      </c>
      <c r="B13668" s="3" t="s">
        <v>13696</v>
      </c>
      <c r="C13668" s="3" t="s">
        <v>101</v>
      </c>
      <c r="D13668" s="3">
        <v>75.0</v>
      </c>
      <c r="E13668" s="3">
        <v>2.0</v>
      </c>
      <c r="F13668" s="3">
        <v>3.78</v>
      </c>
      <c r="G13668" s="3">
        <v>10.92</v>
      </c>
    </row>
    <row r="13669">
      <c r="A13669" s="3">
        <v>788778.0</v>
      </c>
      <c r="B13669" s="3" t="s">
        <v>13697</v>
      </c>
      <c r="C13669" s="3" t="s">
        <v>101</v>
      </c>
      <c r="D13669" s="3">
        <v>69.0</v>
      </c>
      <c r="E13669" s="3">
        <v>2.26</v>
      </c>
      <c r="F13669" s="3">
        <v>3.42</v>
      </c>
      <c r="G13669" s="3">
        <v>9.31</v>
      </c>
    </row>
    <row r="13670">
      <c r="A13670" s="3">
        <v>788779.0</v>
      </c>
      <c r="B13670" s="3" t="s">
        <v>13698</v>
      </c>
      <c r="C13670" s="3" t="s">
        <v>101</v>
      </c>
      <c r="D13670" s="3">
        <v>59.0</v>
      </c>
      <c r="E13670" s="3">
        <v>0.28</v>
      </c>
      <c r="F13670" s="3">
        <v>3.77</v>
      </c>
      <c r="G13670" s="3">
        <v>11.12</v>
      </c>
    </row>
    <row r="13671">
      <c r="A13671" s="3">
        <v>788780.0</v>
      </c>
      <c r="B13671" s="3" t="s">
        <v>13699</v>
      </c>
      <c r="C13671" s="3" t="s">
        <v>101</v>
      </c>
      <c r="D13671" s="3">
        <v>63.0</v>
      </c>
      <c r="E13671" s="3">
        <v>0.25</v>
      </c>
      <c r="F13671" s="3">
        <v>3.9</v>
      </c>
      <c r="G13671" s="3">
        <v>12.01</v>
      </c>
    </row>
    <row r="13672">
      <c r="A13672" s="3">
        <v>788781.0</v>
      </c>
      <c r="B13672" s="3" t="s">
        <v>13700</v>
      </c>
      <c r="C13672" s="3" t="s">
        <v>101</v>
      </c>
      <c r="D13672" s="3">
        <v>59.0</v>
      </c>
      <c r="E13672" s="3">
        <v>0.28</v>
      </c>
      <c r="F13672" s="3">
        <v>3.77</v>
      </c>
      <c r="G13672" s="3">
        <v>11.12</v>
      </c>
    </row>
    <row r="13673">
      <c r="A13673" s="3">
        <v>788782.0</v>
      </c>
      <c r="B13673" s="3" t="s">
        <v>13701</v>
      </c>
      <c r="C13673" s="3" t="s">
        <v>101</v>
      </c>
      <c r="D13673" s="3">
        <v>53.0</v>
      </c>
      <c r="E13673" s="3">
        <v>0.63</v>
      </c>
      <c r="F13673" s="3">
        <v>3.37</v>
      </c>
      <c r="G13673" s="3">
        <v>9.32</v>
      </c>
    </row>
    <row r="13674">
      <c r="A13674" s="3">
        <v>788783.0</v>
      </c>
      <c r="B13674" s="3" t="s">
        <v>13702</v>
      </c>
      <c r="C13674" s="3" t="s">
        <v>101</v>
      </c>
      <c r="D13674" s="3">
        <v>70.0</v>
      </c>
      <c r="E13674" s="3">
        <v>0.86</v>
      </c>
      <c r="F13674" s="3">
        <v>2.85</v>
      </c>
      <c r="G13674" s="3">
        <v>12.68</v>
      </c>
    </row>
    <row r="13675">
      <c r="A13675" s="3">
        <v>788784.0</v>
      </c>
      <c r="B13675" s="3" t="s">
        <v>13703</v>
      </c>
      <c r="C13675" s="3" t="s">
        <v>101</v>
      </c>
      <c r="D13675" s="3">
        <v>178.0</v>
      </c>
      <c r="E13675" s="3">
        <v>13.33</v>
      </c>
      <c r="F13675" s="3">
        <v>2.73</v>
      </c>
      <c r="G13675" s="3">
        <v>12.17</v>
      </c>
    </row>
    <row r="13676">
      <c r="A13676" s="3">
        <v>788785.0</v>
      </c>
      <c r="B13676" s="3" t="s">
        <v>13704</v>
      </c>
      <c r="C13676" s="3" t="s">
        <v>101</v>
      </c>
      <c r="D13676" s="3">
        <v>83.0</v>
      </c>
      <c r="E13676" s="3">
        <v>4.15</v>
      </c>
      <c r="F13676" s="3">
        <v>3.17</v>
      </c>
      <c r="G13676" s="3">
        <v>9.08</v>
      </c>
    </row>
    <row r="13677">
      <c r="A13677" s="3">
        <v>788786.0</v>
      </c>
      <c r="B13677" s="3" t="s">
        <v>13705</v>
      </c>
      <c r="C13677" s="3" t="s">
        <v>101</v>
      </c>
      <c r="D13677" s="3">
        <v>82.0</v>
      </c>
      <c r="E13677" s="3">
        <v>1.64</v>
      </c>
      <c r="F13677" s="3">
        <v>2.12</v>
      </c>
      <c r="G13677" s="3">
        <v>15.0</v>
      </c>
    </row>
    <row r="13678">
      <c r="A13678" s="3">
        <v>788787.0</v>
      </c>
      <c r="B13678" s="3" t="s">
        <v>13706</v>
      </c>
      <c r="C13678" s="3" t="s">
        <v>101</v>
      </c>
      <c r="D13678" s="3">
        <v>91.0</v>
      </c>
      <c r="E13678" s="3">
        <v>4.68</v>
      </c>
      <c r="F13678" s="3">
        <v>3.4</v>
      </c>
      <c r="G13678" s="3">
        <v>9.43</v>
      </c>
    </row>
    <row r="13679">
      <c r="A13679" s="3">
        <v>788788.0</v>
      </c>
      <c r="B13679" s="3" t="s">
        <v>13707</v>
      </c>
      <c r="C13679" s="3" t="s">
        <v>101</v>
      </c>
      <c r="D13679" s="3">
        <v>68.0</v>
      </c>
      <c r="E13679" s="3">
        <v>4.09</v>
      </c>
      <c r="F13679" s="3">
        <v>2.19</v>
      </c>
      <c r="G13679" s="3">
        <v>6.23</v>
      </c>
    </row>
    <row r="13680">
      <c r="A13680" s="3">
        <v>788789.0</v>
      </c>
      <c r="B13680" s="3" t="s">
        <v>13708</v>
      </c>
      <c r="C13680" s="3" t="s">
        <v>101</v>
      </c>
      <c r="D13680" s="3">
        <v>72.0</v>
      </c>
      <c r="E13680" s="3">
        <v>4.53</v>
      </c>
      <c r="F13680" s="3">
        <v>2.11</v>
      </c>
      <c r="G13680" s="3">
        <v>6.29</v>
      </c>
    </row>
    <row r="13681">
      <c r="A13681" s="3">
        <v>788790.0</v>
      </c>
      <c r="B13681" s="3" t="s">
        <v>13709</v>
      </c>
      <c r="C13681" s="3" t="s">
        <v>101</v>
      </c>
      <c r="D13681" s="3">
        <v>68.0</v>
      </c>
      <c r="E13681" s="3">
        <v>4.09</v>
      </c>
      <c r="F13681" s="3">
        <v>2.19</v>
      </c>
      <c r="G13681" s="3">
        <v>6.23</v>
      </c>
    </row>
    <row r="13682">
      <c r="A13682" s="3">
        <v>788791.0</v>
      </c>
      <c r="B13682" s="3" t="s">
        <v>13710</v>
      </c>
      <c r="C13682" s="3" t="s">
        <v>101</v>
      </c>
      <c r="D13682" s="3">
        <v>62.0</v>
      </c>
      <c r="E13682" s="3">
        <v>3.94</v>
      </c>
      <c r="F13682" s="3">
        <v>1.79</v>
      </c>
      <c r="G13682" s="3">
        <v>5.24</v>
      </c>
    </row>
    <row r="13683">
      <c r="A13683" s="3">
        <v>788792.0</v>
      </c>
      <c r="B13683" s="3" t="s">
        <v>13711</v>
      </c>
      <c r="C13683" s="3" t="s">
        <v>7823</v>
      </c>
      <c r="D13683" s="3">
        <v>122.0</v>
      </c>
      <c r="E13683" s="3">
        <v>8.77</v>
      </c>
      <c r="F13683" s="3">
        <v>4.44</v>
      </c>
      <c r="G13683" s="3">
        <v>6.88</v>
      </c>
    </row>
    <row r="13684">
      <c r="A13684" s="3">
        <v>788793.0</v>
      </c>
      <c r="B13684" s="3" t="s">
        <v>13712</v>
      </c>
      <c r="C13684" s="3" t="s">
        <v>101</v>
      </c>
      <c r="D13684" s="3">
        <v>78.0</v>
      </c>
      <c r="E13684" s="3">
        <v>4.86</v>
      </c>
      <c r="F13684" s="3">
        <v>2.55</v>
      </c>
      <c r="G13684" s="3">
        <v>6.48</v>
      </c>
    </row>
    <row r="13685">
      <c r="A13685" s="3">
        <v>788794.0</v>
      </c>
      <c r="B13685" s="3" t="s">
        <v>13713</v>
      </c>
      <c r="C13685" s="3" t="s">
        <v>101</v>
      </c>
      <c r="D13685" s="3">
        <v>77.0</v>
      </c>
      <c r="E13685" s="3">
        <v>4.77</v>
      </c>
      <c r="F13685" s="3">
        <v>2.1</v>
      </c>
      <c r="G13685" s="3">
        <v>6.88</v>
      </c>
    </row>
    <row r="13686">
      <c r="A13686" s="3">
        <v>788795.0</v>
      </c>
      <c r="B13686" s="3" t="s">
        <v>13714</v>
      </c>
      <c r="C13686" s="3" t="s">
        <v>101</v>
      </c>
      <c r="D13686" s="3">
        <v>78.0</v>
      </c>
      <c r="E13686" s="3">
        <v>4.86</v>
      </c>
      <c r="F13686" s="3">
        <v>2.55</v>
      </c>
      <c r="G13686" s="3">
        <v>6.48</v>
      </c>
    </row>
    <row r="13687">
      <c r="A13687" s="3">
        <v>788796.0</v>
      </c>
      <c r="B13687" s="3" t="s">
        <v>13715</v>
      </c>
      <c r="C13687" s="3" t="s">
        <v>101</v>
      </c>
      <c r="D13687" s="3">
        <v>78.0</v>
      </c>
      <c r="E13687" s="3">
        <v>4.77</v>
      </c>
      <c r="F13687" s="3">
        <v>2.1</v>
      </c>
      <c r="G13687" s="3">
        <v>6.89</v>
      </c>
    </row>
    <row r="13688">
      <c r="A13688" s="3">
        <v>788797.0</v>
      </c>
      <c r="B13688" s="3" t="s">
        <v>13716</v>
      </c>
      <c r="C13688" s="3" t="s">
        <v>101</v>
      </c>
      <c r="D13688" s="3">
        <v>141.0</v>
      </c>
      <c r="E13688" s="3">
        <v>4.09</v>
      </c>
      <c r="F13688" s="3">
        <v>2.21</v>
      </c>
      <c r="G13688" s="3">
        <v>25.07</v>
      </c>
    </row>
    <row r="13689">
      <c r="A13689" s="3">
        <v>788798.0</v>
      </c>
      <c r="B13689" s="3" t="s">
        <v>13717</v>
      </c>
      <c r="C13689" s="3" t="s">
        <v>101</v>
      </c>
      <c r="D13689" s="3">
        <v>56.0</v>
      </c>
      <c r="E13689" s="3">
        <v>0.98</v>
      </c>
      <c r="F13689" s="3">
        <v>2.68</v>
      </c>
      <c r="G13689" s="3">
        <v>9.62</v>
      </c>
    </row>
    <row r="13690">
      <c r="A13690" s="3">
        <v>788800.0</v>
      </c>
      <c r="B13690" s="3" t="s">
        <v>13718</v>
      </c>
      <c r="C13690" s="3" t="s">
        <v>1464</v>
      </c>
      <c r="D13690" s="3">
        <v>105.0</v>
      </c>
      <c r="E13690" s="3">
        <v>8.33</v>
      </c>
      <c r="F13690" s="3">
        <v>1.8</v>
      </c>
      <c r="G13690" s="3">
        <v>7.04</v>
      </c>
    </row>
    <row r="13691">
      <c r="A13691" s="3">
        <v>788801.0</v>
      </c>
      <c r="B13691" s="3" t="s">
        <v>13719</v>
      </c>
      <c r="C13691" s="3" t="s">
        <v>1464</v>
      </c>
      <c r="D13691" s="3">
        <v>107.0</v>
      </c>
      <c r="E13691" s="3">
        <v>8.8</v>
      </c>
      <c r="F13691" s="3">
        <v>1.76</v>
      </c>
      <c r="G13691" s="3">
        <v>6.59</v>
      </c>
    </row>
    <row r="13692">
      <c r="A13692" s="3">
        <v>788802.0</v>
      </c>
      <c r="B13692" s="3" t="s">
        <v>13720</v>
      </c>
      <c r="C13692" s="3" t="s">
        <v>101</v>
      </c>
      <c r="D13692" s="3">
        <v>234.0</v>
      </c>
      <c r="E13692" s="3">
        <v>15.63</v>
      </c>
      <c r="F13692" s="3">
        <v>3.7</v>
      </c>
      <c r="G13692" s="3">
        <v>20.26</v>
      </c>
    </row>
    <row r="13693">
      <c r="A13693" s="3">
        <v>788803.0</v>
      </c>
      <c r="B13693" s="3" t="s">
        <v>13721</v>
      </c>
      <c r="C13693" s="3" t="s">
        <v>101</v>
      </c>
      <c r="D13693" s="3">
        <v>28.0</v>
      </c>
      <c r="E13693" s="3">
        <v>0.3</v>
      </c>
      <c r="F13693" s="3">
        <v>1.37</v>
      </c>
      <c r="G13693" s="3">
        <v>6.16</v>
      </c>
    </row>
    <row r="13694">
      <c r="A13694" s="3">
        <v>788804.0</v>
      </c>
      <c r="B13694" s="3" t="s">
        <v>13722</v>
      </c>
      <c r="C13694" s="3" t="s">
        <v>101</v>
      </c>
      <c r="D13694" s="3">
        <v>45.0</v>
      </c>
      <c r="E13694" s="3">
        <v>0.32</v>
      </c>
      <c r="F13694" s="3">
        <v>2.11</v>
      </c>
      <c r="G13694" s="3">
        <v>9.89</v>
      </c>
    </row>
    <row r="13695">
      <c r="A13695" s="3">
        <v>788805.0</v>
      </c>
      <c r="B13695" s="3" t="s">
        <v>13723</v>
      </c>
      <c r="C13695" s="3" t="s">
        <v>101</v>
      </c>
      <c r="D13695" s="3">
        <v>123.0</v>
      </c>
      <c r="E13695" s="3">
        <v>4.68</v>
      </c>
      <c r="F13695" s="3">
        <v>4.92</v>
      </c>
      <c r="G13695" s="3">
        <v>16.25</v>
      </c>
    </row>
    <row r="13696">
      <c r="A13696" s="3">
        <v>788806.0</v>
      </c>
      <c r="B13696" s="3" t="s">
        <v>13724</v>
      </c>
      <c r="C13696" s="3" t="s">
        <v>101</v>
      </c>
      <c r="D13696" s="3">
        <v>91.0</v>
      </c>
      <c r="E13696" s="3">
        <v>5.58</v>
      </c>
      <c r="F13696" s="3">
        <v>4.67</v>
      </c>
      <c r="G13696" s="3">
        <v>6.24</v>
      </c>
    </row>
    <row r="13697">
      <c r="A13697" s="3">
        <v>788807.0</v>
      </c>
      <c r="B13697" s="3" t="s">
        <v>13725</v>
      </c>
      <c r="C13697" s="3" t="s">
        <v>101</v>
      </c>
      <c r="D13697" s="3">
        <v>104.0</v>
      </c>
      <c r="E13697" s="3">
        <v>5.27</v>
      </c>
      <c r="F13697" s="3">
        <v>5.22</v>
      </c>
      <c r="G13697" s="3">
        <v>10.04</v>
      </c>
    </row>
    <row r="13698">
      <c r="A13698" s="3">
        <v>788808.0</v>
      </c>
      <c r="B13698" s="3" t="s">
        <v>13726</v>
      </c>
      <c r="C13698" s="3" t="s">
        <v>101</v>
      </c>
      <c r="D13698" s="3">
        <v>67.0</v>
      </c>
      <c r="E13698" s="3">
        <v>2.85</v>
      </c>
      <c r="F13698" s="3">
        <v>2.16</v>
      </c>
      <c r="G13698" s="3">
        <v>9.06</v>
      </c>
    </row>
    <row r="13699">
      <c r="A13699" s="3">
        <v>788809.0</v>
      </c>
      <c r="B13699" s="3" t="s">
        <v>13727</v>
      </c>
      <c r="C13699" s="3" t="s">
        <v>101</v>
      </c>
      <c r="D13699" s="3">
        <v>73.0</v>
      </c>
      <c r="E13699" s="3">
        <v>4.1</v>
      </c>
      <c r="F13699" s="3">
        <v>2.34</v>
      </c>
      <c r="G13699" s="3">
        <v>7.58</v>
      </c>
    </row>
    <row r="13700">
      <c r="A13700" s="3">
        <v>788810.0</v>
      </c>
      <c r="B13700" s="3" t="s">
        <v>13728</v>
      </c>
      <c r="C13700" s="3" t="s">
        <v>101</v>
      </c>
      <c r="D13700" s="3">
        <v>88.0</v>
      </c>
      <c r="E13700" s="3">
        <v>3.88</v>
      </c>
      <c r="F13700" s="3">
        <v>3.03</v>
      </c>
      <c r="G13700" s="3">
        <v>11.27</v>
      </c>
    </row>
    <row r="13701">
      <c r="A13701" s="3">
        <v>788811.0</v>
      </c>
      <c r="B13701" s="3" t="s">
        <v>13729</v>
      </c>
      <c r="C13701" s="3" t="s">
        <v>101</v>
      </c>
      <c r="D13701" s="3">
        <v>50.0</v>
      </c>
      <c r="E13701" s="3">
        <v>2.61</v>
      </c>
      <c r="F13701" s="3">
        <v>1.44</v>
      </c>
      <c r="G13701" s="3">
        <v>6.46</v>
      </c>
    </row>
    <row r="13702">
      <c r="A13702" s="3">
        <v>788812.0</v>
      </c>
      <c r="B13702" s="3" t="s">
        <v>13730</v>
      </c>
      <c r="C13702" s="3" t="s">
        <v>101</v>
      </c>
      <c r="D13702" s="3">
        <v>76.0</v>
      </c>
      <c r="E13702" s="3">
        <v>2.2</v>
      </c>
      <c r="F13702" s="3">
        <v>2.48</v>
      </c>
      <c r="G13702" s="3">
        <v>12.28</v>
      </c>
    </row>
    <row r="13703">
      <c r="A13703" s="3">
        <v>788813.0</v>
      </c>
      <c r="B13703" s="3" t="s">
        <v>13731</v>
      </c>
      <c r="C13703" s="3" t="s">
        <v>101</v>
      </c>
      <c r="D13703" s="3">
        <v>92.0</v>
      </c>
      <c r="E13703" s="3">
        <v>2.09</v>
      </c>
      <c r="F13703" s="3">
        <v>3.26</v>
      </c>
      <c r="G13703" s="3">
        <v>16.17</v>
      </c>
    </row>
    <row r="13704">
      <c r="A13704" s="3">
        <v>788814.0</v>
      </c>
      <c r="B13704" s="3" t="s">
        <v>13732</v>
      </c>
      <c r="C13704" s="3" t="s">
        <v>101</v>
      </c>
      <c r="D13704" s="3">
        <v>103.0</v>
      </c>
      <c r="E13704" s="3">
        <v>4.18</v>
      </c>
      <c r="F13704" s="3">
        <v>2.76</v>
      </c>
      <c r="G13704" s="3">
        <v>14.47</v>
      </c>
    </row>
    <row r="13705">
      <c r="A13705" s="3">
        <v>788815.0</v>
      </c>
      <c r="B13705" s="3" t="s">
        <v>13733</v>
      </c>
      <c r="C13705" s="3" t="s">
        <v>101</v>
      </c>
      <c r="D13705" s="3">
        <v>93.0</v>
      </c>
      <c r="E13705" s="3">
        <v>2.09</v>
      </c>
      <c r="F13705" s="3">
        <v>3.27</v>
      </c>
      <c r="G13705" s="3">
        <v>16.21</v>
      </c>
    </row>
    <row r="13706">
      <c r="A13706" s="3">
        <v>788816.0</v>
      </c>
      <c r="B13706" s="3" t="s">
        <v>13734</v>
      </c>
      <c r="C13706" s="3" t="s">
        <v>1464</v>
      </c>
      <c r="D13706" s="3">
        <v>117.0</v>
      </c>
      <c r="E13706" s="3">
        <v>4.05</v>
      </c>
      <c r="F13706" s="3">
        <v>2.51</v>
      </c>
      <c r="G13706" s="3">
        <v>17.3</v>
      </c>
    </row>
    <row r="13707">
      <c r="A13707" s="3">
        <v>788817.0</v>
      </c>
      <c r="B13707" s="3" t="s">
        <v>13735</v>
      </c>
      <c r="C13707" s="3" t="s">
        <v>257</v>
      </c>
      <c r="D13707" s="3">
        <v>28.0</v>
      </c>
      <c r="E13707" s="3">
        <v>0.19</v>
      </c>
      <c r="F13707" s="3">
        <v>1.58</v>
      </c>
      <c r="G13707" s="3">
        <v>6.09</v>
      </c>
    </row>
    <row r="13708">
      <c r="A13708" s="3">
        <v>788819.0</v>
      </c>
      <c r="B13708" s="3" t="s">
        <v>13736</v>
      </c>
      <c r="C13708" s="3" t="s">
        <v>257</v>
      </c>
      <c r="D13708" s="3">
        <v>16.0</v>
      </c>
      <c r="E13708" s="3">
        <v>0.15</v>
      </c>
      <c r="F13708" s="3">
        <v>0.61</v>
      </c>
      <c r="G13708" s="3">
        <v>2.69</v>
      </c>
    </row>
    <row r="13709">
      <c r="A13709" s="3">
        <v>788820.0</v>
      </c>
      <c r="B13709" s="3" t="s">
        <v>13737</v>
      </c>
      <c r="C13709" s="3" t="s">
        <v>257</v>
      </c>
      <c r="D13709" s="3">
        <v>84.0</v>
      </c>
      <c r="E13709" s="3">
        <v>0.55</v>
      </c>
      <c r="F13709" s="3">
        <v>1.72</v>
      </c>
      <c r="G13709" s="3">
        <v>19.02</v>
      </c>
    </row>
    <row r="13710">
      <c r="A13710" s="3">
        <v>788821.0</v>
      </c>
      <c r="B13710" s="3" t="s">
        <v>13738</v>
      </c>
      <c r="C13710" s="3" t="s">
        <v>257</v>
      </c>
      <c r="D13710" s="3">
        <v>43.0</v>
      </c>
      <c r="E13710" s="3">
        <v>0.3</v>
      </c>
      <c r="F13710" s="3">
        <v>1.48</v>
      </c>
      <c r="G13710" s="3">
        <v>9.56</v>
      </c>
    </row>
    <row r="13711">
      <c r="A13711" s="3">
        <v>788823.0</v>
      </c>
      <c r="B13711" s="3" t="s">
        <v>13739</v>
      </c>
      <c r="C13711" s="3" t="s">
        <v>257</v>
      </c>
      <c r="D13711" s="3">
        <v>44.0</v>
      </c>
      <c r="E13711" s="3">
        <v>0.11</v>
      </c>
      <c r="F13711" s="3">
        <v>0.81</v>
      </c>
      <c r="G13711" s="3">
        <v>8.6</v>
      </c>
    </row>
    <row r="13712">
      <c r="A13712" s="3">
        <v>788836.0</v>
      </c>
      <c r="B13712" s="3" t="s">
        <v>13740</v>
      </c>
      <c r="C13712" s="3" t="s">
        <v>257</v>
      </c>
      <c r="D13712" s="3">
        <v>21.0</v>
      </c>
      <c r="E13712" s="3">
        <v>0.29</v>
      </c>
      <c r="F13712" s="3">
        <v>2.65</v>
      </c>
      <c r="G13712" s="3">
        <v>2.89</v>
      </c>
    </row>
    <row r="13713">
      <c r="A13713" s="3">
        <v>788838.0</v>
      </c>
      <c r="B13713" s="3" t="s">
        <v>13741</v>
      </c>
      <c r="C13713" s="3" t="s">
        <v>225</v>
      </c>
      <c r="D13713" s="3">
        <v>267.0</v>
      </c>
      <c r="E13713" s="3">
        <v>17.82</v>
      </c>
      <c r="F13713" s="3">
        <v>1.64</v>
      </c>
      <c r="G13713" s="3">
        <v>25.5</v>
      </c>
    </row>
    <row r="13714">
      <c r="A13714" s="3">
        <v>788839.0</v>
      </c>
      <c r="B13714" s="3" t="s">
        <v>13742</v>
      </c>
      <c r="C13714" s="3" t="s">
        <v>257</v>
      </c>
      <c r="D13714" s="3">
        <v>30.0</v>
      </c>
      <c r="E13714" s="3">
        <v>0.16</v>
      </c>
      <c r="F13714" s="3">
        <v>1.66</v>
      </c>
      <c r="G13714" s="3">
        <v>6.49</v>
      </c>
    </row>
    <row r="13715">
      <c r="A13715" s="3">
        <v>788840.0</v>
      </c>
      <c r="B13715" s="3" t="s">
        <v>13743</v>
      </c>
      <c r="C13715" s="3" t="s">
        <v>257</v>
      </c>
      <c r="D13715" s="3">
        <v>124.0</v>
      </c>
      <c r="E13715" s="3">
        <v>12.07</v>
      </c>
      <c r="F13715" s="3">
        <v>0.9</v>
      </c>
      <c r="G13715" s="3">
        <v>5.53</v>
      </c>
    </row>
    <row r="13716">
      <c r="A13716" s="3">
        <v>788842.0</v>
      </c>
      <c r="B13716" s="3" t="s">
        <v>13744</v>
      </c>
      <c r="C13716" s="3" t="s">
        <v>257</v>
      </c>
      <c r="D13716" s="3">
        <v>105.0</v>
      </c>
      <c r="E13716" s="3">
        <v>9.54</v>
      </c>
      <c r="F13716" s="3">
        <v>0.88</v>
      </c>
      <c r="G13716" s="3">
        <v>6.06</v>
      </c>
    </row>
    <row r="13717">
      <c r="A13717" s="3">
        <v>788843.0</v>
      </c>
      <c r="B13717" s="3" t="s">
        <v>13745</v>
      </c>
      <c r="C13717" s="3" t="s">
        <v>257</v>
      </c>
      <c r="D13717" s="3">
        <v>128.0</v>
      </c>
      <c r="E13717" s="3">
        <v>13.22</v>
      </c>
      <c r="F13717" s="3">
        <v>1.04</v>
      </c>
      <c r="G13717" s="3">
        <v>4.02</v>
      </c>
    </row>
    <row r="13718">
      <c r="A13718" s="3">
        <v>788845.0</v>
      </c>
      <c r="B13718" s="3" t="s">
        <v>13746</v>
      </c>
      <c r="C13718" s="3" t="s">
        <v>257</v>
      </c>
      <c r="D13718" s="3">
        <v>40.0</v>
      </c>
      <c r="E13718" s="3">
        <v>0.19</v>
      </c>
      <c r="F13718" s="3">
        <v>0.82</v>
      </c>
      <c r="G13718" s="3">
        <v>9.04</v>
      </c>
    </row>
    <row r="13719">
      <c r="A13719" s="3">
        <v>788850.0</v>
      </c>
      <c r="B13719" s="3" t="s">
        <v>13747</v>
      </c>
      <c r="C13719" s="3" t="s">
        <v>225</v>
      </c>
      <c r="D13719" s="3">
        <v>23.0</v>
      </c>
      <c r="E13719" s="3">
        <v>0.52</v>
      </c>
      <c r="F13719" s="3">
        <v>2.13</v>
      </c>
      <c r="G13719" s="3">
        <v>3.67</v>
      </c>
    </row>
    <row r="13720">
      <c r="A13720" s="3">
        <v>788851.0</v>
      </c>
      <c r="B13720" s="3" t="s">
        <v>13748</v>
      </c>
      <c r="C13720" s="3" t="s">
        <v>257</v>
      </c>
      <c r="D13720" s="3">
        <v>156.0</v>
      </c>
      <c r="E13720" s="3">
        <v>0.2</v>
      </c>
      <c r="F13720" s="3">
        <v>1.36</v>
      </c>
      <c r="G13720" s="3">
        <v>37.58</v>
      </c>
    </row>
    <row r="13721">
      <c r="A13721" s="3">
        <v>788852.0</v>
      </c>
      <c r="B13721" s="3" t="s">
        <v>13749</v>
      </c>
      <c r="C13721" s="3" t="s">
        <v>257</v>
      </c>
      <c r="D13721" s="3">
        <v>35.0</v>
      </c>
      <c r="E13721" s="3">
        <v>0.37</v>
      </c>
      <c r="F13721" s="3">
        <v>1.03</v>
      </c>
      <c r="G13721" s="3">
        <v>6.83</v>
      </c>
    </row>
    <row r="13722">
      <c r="A13722" s="3">
        <v>788853.0</v>
      </c>
      <c r="B13722" s="3" t="s">
        <v>13750</v>
      </c>
      <c r="C13722" s="3" t="s">
        <v>257</v>
      </c>
      <c r="D13722" s="3">
        <v>36.0</v>
      </c>
      <c r="E13722" s="3">
        <v>0.15</v>
      </c>
      <c r="F13722" s="3">
        <v>0.69</v>
      </c>
      <c r="G13722" s="3">
        <v>8.65</v>
      </c>
    </row>
    <row r="13723">
      <c r="A13723" s="3">
        <v>788854.0</v>
      </c>
      <c r="B13723" s="3" t="s">
        <v>13751</v>
      </c>
      <c r="C13723" s="3" t="s">
        <v>257</v>
      </c>
      <c r="D13723" s="3">
        <v>27.0</v>
      </c>
      <c r="E13723" s="3">
        <v>0.2</v>
      </c>
      <c r="F13723" s="3">
        <v>1.03</v>
      </c>
      <c r="G13723" s="3">
        <v>5.61</v>
      </c>
    </row>
    <row r="13724">
      <c r="A13724" s="3">
        <v>788855.0</v>
      </c>
      <c r="B13724" s="3" t="s">
        <v>13752</v>
      </c>
      <c r="C13724" s="3" t="s">
        <v>257</v>
      </c>
      <c r="D13724" s="3">
        <v>43.0</v>
      </c>
      <c r="E13724" s="3">
        <v>0.14</v>
      </c>
      <c r="F13724" s="3">
        <v>0.84</v>
      </c>
      <c r="G13724" s="3">
        <v>9.95</v>
      </c>
    </row>
    <row r="13725">
      <c r="A13725" s="3">
        <v>788856.0</v>
      </c>
      <c r="B13725" s="3" t="s">
        <v>13753</v>
      </c>
      <c r="C13725" s="3" t="s">
        <v>257</v>
      </c>
      <c r="D13725" s="3">
        <v>29.0</v>
      </c>
      <c r="E13725" s="3">
        <v>0.2</v>
      </c>
      <c r="F13725" s="3">
        <v>1.35</v>
      </c>
      <c r="G13725" s="3">
        <v>5.44</v>
      </c>
    </row>
    <row r="13726">
      <c r="A13726" s="3">
        <v>788858.0</v>
      </c>
      <c r="B13726" s="3" t="s">
        <v>13754</v>
      </c>
      <c r="C13726" s="3" t="s">
        <v>257</v>
      </c>
      <c r="D13726" s="3">
        <v>38.0</v>
      </c>
      <c r="E13726" s="3">
        <v>0.32</v>
      </c>
      <c r="F13726" s="3">
        <v>1.05</v>
      </c>
      <c r="G13726" s="3">
        <v>8.26</v>
      </c>
    </row>
    <row r="13727">
      <c r="A13727" s="3">
        <v>788859.0</v>
      </c>
      <c r="B13727" s="3" t="s">
        <v>13755</v>
      </c>
      <c r="C13727" s="3" t="s">
        <v>225</v>
      </c>
      <c r="D13727" s="3">
        <v>58.0</v>
      </c>
      <c r="E13727" s="3">
        <v>1.24</v>
      </c>
      <c r="F13727" s="3">
        <v>2.36</v>
      </c>
      <c r="G13727" s="3">
        <v>10.04</v>
      </c>
    </row>
    <row r="13728">
      <c r="A13728" s="3">
        <v>788860.0</v>
      </c>
      <c r="B13728" s="3" t="s">
        <v>13756</v>
      </c>
      <c r="C13728" s="3" t="s">
        <v>225</v>
      </c>
      <c r="D13728" s="3">
        <v>60.0</v>
      </c>
      <c r="E13728" s="3">
        <v>2.65</v>
      </c>
      <c r="F13728" s="3">
        <v>2.54</v>
      </c>
      <c r="G13728" s="3">
        <v>6.69</v>
      </c>
    </row>
    <row r="13729">
      <c r="A13729" s="3">
        <v>788861.0</v>
      </c>
      <c r="B13729" s="3" t="s">
        <v>13757</v>
      </c>
      <c r="C13729" s="3" t="s">
        <v>225</v>
      </c>
      <c r="D13729" s="3">
        <v>60.0</v>
      </c>
      <c r="E13729" s="3">
        <v>2.65</v>
      </c>
      <c r="F13729" s="3">
        <v>2.54</v>
      </c>
      <c r="G13729" s="3">
        <v>6.69</v>
      </c>
    </row>
    <row r="13730">
      <c r="A13730" s="3">
        <v>788862.0</v>
      </c>
      <c r="B13730" s="3" t="s">
        <v>13758</v>
      </c>
      <c r="C13730" s="3" t="s">
        <v>225</v>
      </c>
      <c r="D13730" s="3">
        <v>35.0</v>
      </c>
      <c r="E13730" s="3">
        <v>1.66</v>
      </c>
      <c r="F13730" s="3">
        <v>0.93</v>
      </c>
      <c r="G13730" s="3">
        <v>4.34</v>
      </c>
    </row>
    <row r="13731">
      <c r="A13731" s="3">
        <v>788863.0</v>
      </c>
      <c r="B13731" s="3" t="s">
        <v>13759</v>
      </c>
      <c r="C13731" s="3" t="s">
        <v>225</v>
      </c>
      <c r="D13731" s="3">
        <v>41.0</v>
      </c>
      <c r="E13731" s="3">
        <v>1.77</v>
      </c>
      <c r="F13731" s="3">
        <v>1.39</v>
      </c>
      <c r="G13731" s="3">
        <v>5.44</v>
      </c>
    </row>
    <row r="13732">
      <c r="A13732" s="3">
        <v>788864.0</v>
      </c>
      <c r="B13732" s="3" t="s">
        <v>13760</v>
      </c>
      <c r="C13732" s="3" t="s">
        <v>225</v>
      </c>
      <c r="D13732" s="3">
        <v>38.0</v>
      </c>
      <c r="E13732" s="3">
        <v>0.85</v>
      </c>
      <c r="F13732" s="3">
        <v>1.81</v>
      </c>
      <c r="G13732" s="3">
        <v>6.26</v>
      </c>
    </row>
    <row r="13733">
      <c r="A13733" s="3">
        <v>788865.0</v>
      </c>
      <c r="B13733" s="3" t="s">
        <v>13761</v>
      </c>
      <c r="C13733" s="3" t="s">
        <v>225</v>
      </c>
      <c r="D13733" s="3">
        <v>46.0</v>
      </c>
      <c r="E13733" s="3">
        <v>1.32</v>
      </c>
      <c r="F13733" s="3">
        <v>4.81</v>
      </c>
      <c r="G13733" s="3">
        <v>3.96</v>
      </c>
    </row>
    <row r="13734">
      <c r="A13734" s="3">
        <v>788866.0</v>
      </c>
      <c r="B13734" s="3" t="s">
        <v>13762</v>
      </c>
      <c r="C13734" s="3" t="s">
        <v>225</v>
      </c>
      <c r="D13734" s="3">
        <v>61.0</v>
      </c>
      <c r="E13734" s="3">
        <v>3.25</v>
      </c>
      <c r="F13734" s="3">
        <v>2.29</v>
      </c>
      <c r="G13734" s="3">
        <v>5.94</v>
      </c>
    </row>
    <row r="13735">
      <c r="A13735" s="3">
        <v>788867.0</v>
      </c>
      <c r="B13735" s="3" t="s">
        <v>13763</v>
      </c>
      <c r="C13735" s="3" t="s">
        <v>225</v>
      </c>
      <c r="D13735" s="3">
        <v>37.0</v>
      </c>
      <c r="E13735" s="3">
        <v>2.26</v>
      </c>
      <c r="F13735" s="3">
        <v>0.67</v>
      </c>
      <c r="G13735" s="3">
        <v>3.57</v>
      </c>
    </row>
    <row r="13736">
      <c r="A13736" s="3">
        <v>788868.0</v>
      </c>
      <c r="B13736" s="3" t="s">
        <v>13764</v>
      </c>
      <c r="C13736" s="3" t="s">
        <v>225</v>
      </c>
      <c r="D13736" s="3">
        <v>42.0</v>
      </c>
      <c r="E13736" s="3">
        <v>1.14</v>
      </c>
      <c r="F13736" s="3">
        <v>2.06</v>
      </c>
      <c r="G13736" s="3">
        <v>6.82</v>
      </c>
    </row>
    <row r="13737">
      <c r="A13737" s="3">
        <v>788869.0</v>
      </c>
      <c r="B13737" s="3" t="s">
        <v>13765</v>
      </c>
      <c r="C13737" s="3" t="s">
        <v>225</v>
      </c>
      <c r="D13737" s="3">
        <v>65.0</v>
      </c>
      <c r="E13737" s="3">
        <v>1.78</v>
      </c>
      <c r="F13737" s="3">
        <v>1.28</v>
      </c>
      <c r="G13737" s="3">
        <v>12.98</v>
      </c>
    </row>
    <row r="13738">
      <c r="A13738" s="3">
        <v>788870.0</v>
      </c>
      <c r="B13738" s="3" t="s">
        <v>13766</v>
      </c>
      <c r="C13738" s="3" t="s">
        <v>225</v>
      </c>
      <c r="D13738" s="3">
        <v>37.0</v>
      </c>
      <c r="E13738" s="3">
        <v>2.35</v>
      </c>
      <c r="F13738" s="3">
        <v>0.86</v>
      </c>
      <c r="G13738" s="3">
        <v>3.84</v>
      </c>
    </row>
    <row r="13739">
      <c r="A13739" s="3">
        <v>788871.0</v>
      </c>
      <c r="B13739" s="3" t="s">
        <v>13767</v>
      </c>
      <c r="C13739" s="3" t="s">
        <v>225</v>
      </c>
      <c r="D13739" s="3">
        <v>69.0</v>
      </c>
      <c r="E13739" s="3">
        <v>3.12</v>
      </c>
      <c r="F13739" s="3">
        <v>2.73</v>
      </c>
      <c r="G13739" s="3">
        <v>7.62</v>
      </c>
    </row>
    <row r="13740">
      <c r="A13740" s="3">
        <v>788873.0</v>
      </c>
      <c r="B13740" s="3" t="s">
        <v>13768</v>
      </c>
      <c r="C13740" s="3" t="s">
        <v>225</v>
      </c>
      <c r="D13740" s="3">
        <v>65.0</v>
      </c>
      <c r="E13740" s="3">
        <v>3.67</v>
      </c>
      <c r="F13740" s="3">
        <v>2.31</v>
      </c>
      <c r="G13740" s="3">
        <v>5.82</v>
      </c>
    </row>
    <row r="13741">
      <c r="A13741" s="3">
        <v>788874.0</v>
      </c>
      <c r="B13741" s="3" t="s">
        <v>13769</v>
      </c>
      <c r="C13741" s="3" t="s">
        <v>225</v>
      </c>
      <c r="D13741" s="3">
        <v>40.0</v>
      </c>
      <c r="E13741" s="3">
        <v>2.68</v>
      </c>
      <c r="F13741" s="3">
        <v>0.68</v>
      </c>
      <c r="G13741" s="3">
        <v>3.44</v>
      </c>
    </row>
    <row r="13742">
      <c r="A13742" s="3">
        <v>788875.0</v>
      </c>
      <c r="B13742" s="3" t="s">
        <v>13770</v>
      </c>
      <c r="C13742" s="3" t="s">
        <v>225</v>
      </c>
      <c r="D13742" s="3">
        <v>34.0</v>
      </c>
      <c r="E13742" s="3">
        <v>1.63</v>
      </c>
      <c r="F13742" s="3">
        <v>1.27</v>
      </c>
      <c r="G13742" s="3">
        <v>3.76</v>
      </c>
    </row>
    <row r="13743">
      <c r="A13743" s="3">
        <v>788877.0</v>
      </c>
      <c r="B13743" s="3" t="s">
        <v>13771</v>
      </c>
      <c r="C13743" s="3" t="s">
        <v>225</v>
      </c>
      <c r="D13743" s="3">
        <v>65.0</v>
      </c>
      <c r="E13743" s="3">
        <v>3.67</v>
      </c>
      <c r="F13743" s="3">
        <v>2.31</v>
      </c>
      <c r="G13743" s="3">
        <v>5.82</v>
      </c>
    </row>
    <row r="13744">
      <c r="A13744" s="3">
        <v>788878.0</v>
      </c>
      <c r="B13744" s="3" t="s">
        <v>13772</v>
      </c>
      <c r="C13744" s="3" t="s">
        <v>225</v>
      </c>
      <c r="D13744" s="3">
        <v>75.0</v>
      </c>
      <c r="E13744" s="3">
        <v>3.44</v>
      </c>
      <c r="F13744" s="3">
        <v>2.44</v>
      </c>
      <c r="G13744" s="3">
        <v>8.4</v>
      </c>
    </row>
    <row r="13745">
      <c r="A13745" s="3">
        <v>788879.0</v>
      </c>
      <c r="B13745" s="3" t="s">
        <v>13773</v>
      </c>
      <c r="C13745" s="3" t="s">
        <v>225</v>
      </c>
      <c r="D13745" s="3">
        <v>26.0</v>
      </c>
      <c r="E13745" s="3">
        <v>0.86</v>
      </c>
      <c r="F13745" s="3">
        <v>0.61</v>
      </c>
      <c r="G13745" s="3">
        <v>4.11</v>
      </c>
    </row>
    <row r="13746">
      <c r="A13746" s="3">
        <v>788880.0</v>
      </c>
      <c r="B13746" s="3" t="s">
        <v>13774</v>
      </c>
      <c r="C13746" s="3" t="s">
        <v>225</v>
      </c>
      <c r="D13746" s="3">
        <v>51.0</v>
      </c>
      <c r="E13746" s="3">
        <v>1.87</v>
      </c>
      <c r="F13746" s="3">
        <v>2.24</v>
      </c>
      <c r="G13746" s="3">
        <v>6.48</v>
      </c>
    </row>
    <row r="13747">
      <c r="A13747" s="3">
        <v>788881.0</v>
      </c>
      <c r="B13747" s="3" t="s">
        <v>13775</v>
      </c>
      <c r="C13747" s="3" t="s">
        <v>225</v>
      </c>
      <c r="D13747" s="3">
        <v>26.0</v>
      </c>
      <c r="E13747" s="3">
        <v>0.86</v>
      </c>
      <c r="F13747" s="3">
        <v>0.61</v>
      </c>
      <c r="G13747" s="3">
        <v>4.11</v>
      </c>
    </row>
    <row r="13748">
      <c r="A13748" s="3">
        <v>788882.0</v>
      </c>
      <c r="B13748" s="3" t="s">
        <v>13776</v>
      </c>
      <c r="C13748" s="3" t="s">
        <v>225</v>
      </c>
      <c r="D13748" s="3">
        <v>69.0</v>
      </c>
      <c r="E13748" s="3">
        <v>3.12</v>
      </c>
      <c r="F13748" s="3">
        <v>2.73</v>
      </c>
      <c r="G13748" s="3">
        <v>7.62</v>
      </c>
    </row>
    <row r="13749">
      <c r="A13749" s="3">
        <v>788883.0</v>
      </c>
      <c r="B13749" s="3" t="s">
        <v>13777</v>
      </c>
      <c r="C13749" s="3" t="s">
        <v>225</v>
      </c>
      <c r="D13749" s="3">
        <v>157.0</v>
      </c>
      <c r="E13749" s="3">
        <v>6.6</v>
      </c>
      <c r="F13749" s="3">
        <v>7.43</v>
      </c>
      <c r="G13749" s="3">
        <v>17.39</v>
      </c>
    </row>
    <row r="13750">
      <c r="A13750" s="3">
        <v>788885.0</v>
      </c>
      <c r="B13750" s="3" t="s">
        <v>13778</v>
      </c>
      <c r="C13750" s="3" t="s">
        <v>225</v>
      </c>
      <c r="D13750" s="3">
        <v>89.0</v>
      </c>
      <c r="E13750" s="3">
        <v>2.14</v>
      </c>
      <c r="F13750" s="3">
        <v>4.94</v>
      </c>
      <c r="G13750" s="3">
        <v>12.69</v>
      </c>
    </row>
    <row r="13751">
      <c r="A13751" s="3">
        <v>788886.0</v>
      </c>
      <c r="B13751" s="3" t="s">
        <v>13779</v>
      </c>
      <c r="C13751" s="3" t="s">
        <v>225</v>
      </c>
      <c r="D13751" s="3">
        <v>86.0</v>
      </c>
      <c r="E13751" s="3">
        <v>3.99</v>
      </c>
      <c r="F13751" s="3">
        <v>3.68</v>
      </c>
      <c r="G13751" s="3">
        <v>9.02</v>
      </c>
    </row>
    <row r="13752">
      <c r="A13752" s="3">
        <v>788887.0</v>
      </c>
      <c r="B13752" s="3" t="s">
        <v>13780</v>
      </c>
      <c r="C13752" s="3" t="s">
        <v>225</v>
      </c>
      <c r="D13752" s="3">
        <v>23.0</v>
      </c>
      <c r="E13752" s="3">
        <v>0.8</v>
      </c>
      <c r="F13752" s="3">
        <v>1.68</v>
      </c>
      <c r="G13752" s="3">
        <v>2.72</v>
      </c>
    </row>
    <row r="13753">
      <c r="A13753" s="3">
        <v>788888.0</v>
      </c>
      <c r="B13753" s="3" t="s">
        <v>13781</v>
      </c>
      <c r="C13753" s="3" t="s">
        <v>225</v>
      </c>
      <c r="D13753" s="3">
        <v>52.0</v>
      </c>
      <c r="E13753" s="3">
        <v>2.53</v>
      </c>
      <c r="F13753" s="3">
        <v>3.1</v>
      </c>
      <c r="G13753" s="3">
        <v>3.96</v>
      </c>
    </row>
    <row r="13754">
      <c r="A13754" s="3">
        <v>788889.0</v>
      </c>
      <c r="B13754" s="3" t="s">
        <v>13782</v>
      </c>
      <c r="C13754" s="3" t="s">
        <v>225</v>
      </c>
      <c r="D13754" s="3">
        <v>35.0</v>
      </c>
      <c r="E13754" s="3">
        <v>1.35</v>
      </c>
      <c r="F13754" s="3">
        <v>3.71</v>
      </c>
      <c r="G13754" s="3">
        <v>2.4</v>
      </c>
    </row>
    <row r="13755">
      <c r="A13755" s="3">
        <v>788892.0</v>
      </c>
      <c r="B13755" s="3" t="s">
        <v>13783</v>
      </c>
      <c r="C13755" s="3" t="s">
        <v>225</v>
      </c>
      <c r="D13755" s="3">
        <v>40.0</v>
      </c>
      <c r="E13755" s="3">
        <v>2.18</v>
      </c>
      <c r="F13755" s="3">
        <v>0.72</v>
      </c>
      <c r="G13755" s="3">
        <v>4.72</v>
      </c>
    </row>
    <row r="13756">
      <c r="A13756" s="3">
        <v>788893.0</v>
      </c>
      <c r="B13756" s="3" t="s">
        <v>13784</v>
      </c>
      <c r="C13756" s="3" t="s">
        <v>225</v>
      </c>
      <c r="D13756" s="3">
        <v>38.0</v>
      </c>
      <c r="E13756" s="3">
        <v>0.87</v>
      </c>
      <c r="F13756" s="3">
        <v>1.82</v>
      </c>
      <c r="G13756" s="3">
        <v>6.24</v>
      </c>
    </row>
    <row r="13757">
      <c r="A13757" s="3">
        <v>788894.0</v>
      </c>
      <c r="B13757" s="3" t="s">
        <v>13785</v>
      </c>
      <c r="C13757" s="3" t="s">
        <v>225</v>
      </c>
      <c r="D13757" s="3">
        <v>47.0</v>
      </c>
      <c r="E13757" s="3">
        <v>1.15</v>
      </c>
      <c r="F13757" s="3">
        <v>2.19</v>
      </c>
      <c r="G13757" s="3">
        <v>7.32</v>
      </c>
    </row>
    <row r="13758">
      <c r="A13758" s="3">
        <v>788896.0</v>
      </c>
      <c r="B13758" s="3" t="s">
        <v>13786</v>
      </c>
      <c r="C13758" s="3" t="s">
        <v>225</v>
      </c>
      <c r="D13758" s="3">
        <v>61.0</v>
      </c>
      <c r="E13758" s="3">
        <v>1.11</v>
      </c>
      <c r="F13758" s="3">
        <v>3.5</v>
      </c>
      <c r="G13758" s="3">
        <v>9.69</v>
      </c>
    </row>
    <row r="13759">
      <c r="A13759" s="3">
        <v>788897.0</v>
      </c>
      <c r="B13759" s="3" t="s">
        <v>13787</v>
      </c>
      <c r="C13759" s="3" t="s">
        <v>225</v>
      </c>
      <c r="D13759" s="3">
        <v>34.0</v>
      </c>
      <c r="E13759" s="3">
        <v>1.03</v>
      </c>
      <c r="F13759" s="3">
        <v>1.74</v>
      </c>
      <c r="G13759" s="3">
        <v>4.6</v>
      </c>
    </row>
    <row r="13760">
      <c r="A13760" s="3">
        <v>788898.0</v>
      </c>
      <c r="B13760" s="3" t="s">
        <v>13788</v>
      </c>
      <c r="C13760" s="3" t="s">
        <v>225</v>
      </c>
      <c r="D13760" s="3">
        <v>32.0</v>
      </c>
      <c r="E13760" s="3">
        <v>0.77</v>
      </c>
      <c r="F13760" s="3">
        <v>2.26</v>
      </c>
      <c r="G13760" s="3">
        <v>4.11</v>
      </c>
    </row>
    <row r="13761">
      <c r="A13761" s="3">
        <v>788899.0</v>
      </c>
      <c r="B13761" s="3" t="s">
        <v>13789</v>
      </c>
      <c r="C13761" s="3" t="s">
        <v>225</v>
      </c>
      <c r="D13761" s="3">
        <v>32.0</v>
      </c>
      <c r="E13761" s="3">
        <v>0.77</v>
      </c>
      <c r="F13761" s="3">
        <v>2.26</v>
      </c>
      <c r="G13761" s="3">
        <v>4.12</v>
      </c>
    </row>
    <row r="13762">
      <c r="A13762" s="3">
        <v>788900.0</v>
      </c>
      <c r="B13762" s="3" t="s">
        <v>13790</v>
      </c>
      <c r="C13762" s="3" t="s">
        <v>225</v>
      </c>
      <c r="D13762" s="3">
        <v>30.0</v>
      </c>
      <c r="E13762" s="3">
        <v>0.79</v>
      </c>
      <c r="F13762" s="3">
        <v>0.86</v>
      </c>
      <c r="G13762" s="3">
        <v>4.9</v>
      </c>
    </row>
    <row r="13763">
      <c r="A13763" s="3">
        <v>788902.0</v>
      </c>
      <c r="B13763" s="3" t="s">
        <v>13791</v>
      </c>
      <c r="C13763" s="3" t="s">
        <v>225</v>
      </c>
      <c r="D13763" s="3">
        <v>32.0</v>
      </c>
      <c r="E13763" s="3">
        <v>0.77</v>
      </c>
      <c r="F13763" s="3">
        <v>2.26</v>
      </c>
      <c r="G13763" s="3">
        <v>4.12</v>
      </c>
    </row>
    <row r="13764">
      <c r="A13764" s="3">
        <v>788904.0</v>
      </c>
      <c r="B13764" s="3" t="s">
        <v>13792</v>
      </c>
      <c r="C13764" s="3" t="s">
        <v>225</v>
      </c>
      <c r="D13764" s="3">
        <v>61.0</v>
      </c>
      <c r="E13764" s="3">
        <v>2.98</v>
      </c>
      <c r="F13764" s="3">
        <v>2.45</v>
      </c>
      <c r="G13764" s="3">
        <v>6.51</v>
      </c>
    </row>
    <row r="13765">
      <c r="A13765" s="3">
        <v>788906.0</v>
      </c>
      <c r="B13765" s="3" t="s">
        <v>13793</v>
      </c>
      <c r="C13765" s="3" t="s">
        <v>225</v>
      </c>
      <c r="D13765" s="3">
        <v>55.0</v>
      </c>
      <c r="E13765" s="3">
        <v>1.82</v>
      </c>
      <c r="F13765" s="3">
        <v>5.86</v>
      </c>
      <c r="G13765" s="3">
        <v>3.9</v>
      </c>
    </row>
    <row r="13766">
      <c r="A13766" s="3">
        <v>788907.0</v>
      </c>
      <c r="B13766" s="3" t="s">
        <v>13794</v>
      </c>
      <c r="C13766" s="3" t="s">
        <v>225</v>
      </c>
      <c r="D13766" s="3">
        <v>57.0</v>
      </c>
      <c r="E13766" s="3">
        <v>1.78</v>
      </c>
      <c r="F13766" s="3">
        <v>3.86</v>
      </c>
      <c r="G13766" s="3">
        <v>6.48</v>
      </c>
    </row>
    <row r="13767">
      <c r="A13767" s="3">
        <v>788908.0</v>
      </c>
      <c r="B13767" s="3" t="s">
        <v>13795</v>
      </c>
      <c r="C13767" s="3" t="s">
        <v>225</v>
      </c>
      <c r="D13767" s="3">
        <v>67.0</v>
      </c>
      <c r="E13767" s="3">
        <v>2.05</v>
      </c>
      <c r="F13767" s="3">
        <v>6.45</v>
      </c>
      <c r="G13767" s="3">
        <v>5.68</v>
      </c>
    </row>
    <row r="13768">
      <c r="A13768" s="3">
        <v>788909.0</v>
      </c>
      <c r="B13768" s="3" t="s">
        <v>13796</v>
      </c>
      <c r="C13768" s="3" t="s">
        <v>225</v>
      </c>
      <c r="D13768" s="3">
        <v>67.0</v>
      </c>
      <c r="E13768" s="3">
        <v>1.89</v>
      </c>
      <c r="F13768" s="3">
        <v>6.17</v>
      </c>
      <c r="G13768" s="3">
        <v>6.29</v>
      </c>
    </row>
    <row r="13769">
      <c r="A13769" s="3">
        <v>788910.0</v>
      </c>
      <c r="B13769" s="3" t="s">
        <v>13797</v>
      </c>
      <c r="C13769" s="3" t="s">
        <v>225</v>
      </c>
      <c r="D13769" s="3">
        <v>30.0</v>
      </c>
      <c r="E13769" s="3">
        <v>0.79</v>
      </c>
      <c r="F13769" s="3">
        <v>0.86</v>
      </c>
      <c r="G13769" s="3">
        <v>4.9</v>
      </c>
    </row>
    <row r="13770">
      <c r="A13770" s="3">
        <v>788911.0</v>
      </c>
      <c r="B13770" s="3" t="s">
        <v>13798</v>
      </c>
      <c r="C13770" s="3" t="s">
        <v>225</v>
      </c>
      <c r="D13770" s="3">
        <v>87.0</v>
      </c>
      <c r="E13770" s="3">
        <v>3.21</v>
      </c>
      <c r="F13770" s="3">
        <v>6.69</v>
      </c>
      <c r="G13770" s="3">
        <v>8.01</v>
      </c>
    </row>
    <row r="13771">
      <c r="A13771" s="3">
        <v>788917.0</v>
      </c>
      <c r="B13771" s="3" t="s">
        <v>13799</v>
      </c>
      <c r="C13771" s="3" t="s">
        <v>196</v>
      </c>
      <c r="D13771" s="3">
        <v>63.0</v>
      </c>
      <c r="E13771" s="3">
        <v>2.18</v>
      </c>
      <c r="F13771" s="3">
        <v>2.55</v>
      </c>
      <c r="G13771" s="3">
        <v>8.99</v>
      </c>
    </row>
    <row r="13772">
      <c r="A13772" s="3">
        <v>788918.0</v>
      </c>
      <c r="B13772" s="3" t="s">
        <v>13800</v>
      </c>
      <c r="C13772" s="3" t="s">
        <v>196</v>
      </c>
      <c r="D13772" s="3">
        <v>29.0</v>
      </c>
      <c r="E13772" s="3">
        <v>0.15</v>
      </c>
      <c r="F13772" s="3">
        <v>0.8</v>
      </c>
      <c r="G13772" s="3">
        <v>6.6</v>
      </c>
    </row>
    <row r="13773">
      <c r="A13773" s="3">
        <v>788921.0</v>
      </c>
      <c r="B13773" s="3" t="s">
        <v>13801</v>
      </c>
      <c r="C13773" s="3" t="s">
        <v>196</v>
      </c>
      <c r="D13773" s="3">
        <v>26.0</v>
      </c>
      <c r="E13773" s="3">
        <v>0.3</v>
      </c>
      <c r="F13773" s="3">
        <v>0.6</v>
      </c>
      <c r="G13773" s="3">
        <v>5.23</v>
      </c>
    </row>
    <row r="13774">
      <c r="A13774" s="3">
        <v>788922.0</v>
      </c>
      <c r="B13774" s="3" t="s">
        <v>13802</v>
      </c>
      <c r="C13774" s="3" t="s">
        <v>196</v>
      </c>
      <c r="D13774" s="3">
        <v>38.0</v>
      </c>
      <c r="E13774" s="3">
        <v>0.26</v>
      </c>
      <c r="F13774" s="3">
        <v>2.04</v>
      </c>
      <c r="G13774" s="3">
        <v>7.18</v>
      </c>
    </row>
    <row r="13775">
      <c r="A13775" s="3">
        <v>788923.0</v>
      </c>
      <c r="B13775" s="3" t="s">
        <v>13803</v>
      </c>
      <c r="C13775" s="3" t="s">
        <v>196</v>
      </c>
      <c r="D13775" s="3">
        <v>26.0</v>
      </c>
      <c r="E13775" s="3">
        <v>0.2</v>
      </c>
      <c r="F13775" s="3">
        <v>0.81</v>
      </c>
      <c r="G13775" s="3">
        <v>5.73</v>
      </c>
    </row>
    <row r="13776">
      <c r="A13776" s="3">
        <v>788928.0</v>
      </c>
      <c r="B13776" s="3" t="s">
        <v>13804</v>
      </c>
      <c r="C13776" s="3" t="s">
        <v>196</v>
      </c>
      <c r="D13776" s="3">
        <v>58.0</v>
      </c>
      <c r="E13776" s="3">
        <v>0.1</v>
      </c>
      <c r="F13776" s="3">
        <v>1.1</v>
      </c>
      <c r="G13776" s="3">
        <v>13.6</v>
      </c>
    </row>
    <row r="13777">
      <c r="A13777" s="3">
        <v>788931.0</v>
      </c>
      <c r="B13777" s="3" t="s">
        <v>13805</v>
      </c>
      <c r="C13777" s="3" t="s">
        <v>196</v>
      </c>
      <c r="D13777" s="3">
        <v>26.0</v>
      </c>
      <c r="E13777" s="3">
        <v>0.14</v>
      </c>
      <c r="F13777" s="3">
        <v>1.2</v>
      </c>
      <c r="G13777" s="3">
        <v>6.04</v>
      </c>
    </row>
    <row r="13778">
      <c r="A13778" s="3">
        <v>788937.0</v>
      </c>
      <c r="B13778" s="3" t="s">
        <v>13806</v>
      </c>
      <c r="C13778" s="3" t="s">
        <v>196</v>
      </c>
      <c r="D13778" s="3">
        <v>61.0</v>
      </c>
      <c r="E13778" s="3">
        <v>0.4</v>
      </c>
      <c r="F13778" s="3">
        <v>1.4</v>
      </c>
      <c r="G13778" s="3">
        <v>15.18</v>
      </c>
    </row>
    <row r="13779">
      <c r="A13779" s="3">
        <v>788940.0</v>
      </c>
      <c r="B13779" s="3" t="s">
        <v>13807</v>
      </c>
      <c r="C13779" s="3" t="s">
        <v>196</v>
      </c>
      <c r="D13779" s="3">
        <v>34.0</v>
      </c>
      <c r="E13779" s="3">
        <v>0.3</v>
      </c>
      <c r="F13779" s="3">
        <v>1.85</v>
      </c>
      <c r="G13779" s="3">
        <v>7.5</v>
      </c>
    </row>
    <row r="13780">
      <c r="A13780" s="3">
        <v>788956.0</v>
      </c>
      <c r="B13780" s="3" t="s">
        <v>13808</v>
      </c>
      <c r="C13780" s="3" t="s">
        <v>196</v>
      </c>
      <c r="D13780" s="3">
        <v>56.0</v>
      </c>
      <c r="E13780" s="3">
        <v>1.42</v>
      </c>
      <c r="F13780" s="3">
        <v>2.26</v>
      </c>
      <c r="G13780" s="3">
        <v>8.54</v>
      </c>
    </row>
    <row r="13781">
      <c r="A13781" s="3">
        <v>788960.0</v>
      </c>
      <c r="B13781" s="3" t="s">
        <v>13809</v>
      </c>
      <c r="C13781" s="3" t="s">
        <v>196</v>
      </c>
      <c r="D13781" s="3">
        <v>50.0</v>
      </c>
      <c r="E13781" s="3">
        <v>1.32</v>
      </c>
      <c r="F13781" s="3">
        <v>2.02</v>
      </c>
      <c r="G13781" s="3">
        <v>7.58</v>
      </c>
    </row>
    <row r="13782">
      <c r="A13782" s="3">
        <v>788963.0</v>
      </c>
      <c r="B13782" s="3" t="s">
        <v>13810</v>
      </c>
      <c r="C13782" s="3" t="s">
        <v>1464</v>
      </c>
      <c r="D13782" s="3">
        <v>187.0</v>
      </c>
      <c r="E13782" s="3">
        <v>11.74</v>
      </c>
      <c r="F13782" s="3">
        <v>4.79</v>
      </c>
      <c r="G13782" s="3">
        <v>16.16</v>
      </c>
    </row>
    <row r="13783">
      <c r="A13783" s="3">
        <v>788964.0</v>
      </c>
      <c r="B13783" s="3" t="s">
        <v>13811</v>
      </c>
      <c r="C13783" s="3" t="s">
        <v>1464</v>
      </c>
      <c r="D13783" s="3">
        <v>196.0</v>
      </c>
      <c r="E13783" s="3">
        <v>13.73</v>
      </c>
      <c r="F13783" s="3">
        <v>5.94</v>
      </c>
      <c r="G13783" s="3">
        <v>12.47</v>
      </c>
    </row>
    <row r="13784">
      <c r="A13784" s="3">
        <v>788965.0</v>
      </c>
      <c r="B13784" s="3" t="s">
        <v>13812</v>
      </c>
      <c r="C13784" s="3" t="s">
        <v>189</v>
      </c>
      <c r="D13784" s="3">
        <v>352.0</v>
      </c>
      <c r="E13784" s="3">
        <v>22.18</v>
      </c>
      <c r="F13784" s="3">
        <v>15.07</v>
      </c>
      <c r="G13784" s="3">
        <v>23.77</v>
      </c>
    </row>
    <row r="13785">
      <c r="A13785" s="3">
        <v>788966.0</v>
      </c>
      <c r="B13785" s="3" t="s">
        <v>13813</v>
      </c>
      <c r="C13785" s="3" t="s">
        <v>101</v>
      </c>
      <c r="D13785" s="3">
        <v>329.0</v>
      </c>
      <c r="E13785" s="3">
        <v>21.05</v>
      </c>
      <c r="F13785" s="3">
        <v>10.19</v>
      </c>
      <c r="G13785" s="3">
        <v>27.42</v>
      </c>
    </row>
    <row r="13786">
      <c r="A13786" s="3">
        <v>788967.0</v>
      </c>
      <c r="B13786" s="3" t="s">
        <v>13814</v>
      </c>
      <c r="C13786" s="3" t="s">
        <v>101</v>
      </c>
      <c r="D13786" s="3">
        <v>415.0</v>
      </c>
      <c r="E13786" s="3">
        <v>29.16</v>
      </c>
      <c r="F13786" s="3">
        <v>11.95</v>
      </c>
      <c r="G13786" s="3">
        <v>29.4</v>
      </c>
    </row>
    <row r="13787">
      <c r="A13787" s="3">
        <v>788968.0</v>
      </c>
      <c r="B13787" s="3" t="s">
        <v>13815</v>
      </c>
      <c r="C13787" s="3" t="s">
        <v>189</v>
      </c>
      <c r="D13787" s="3">
        <v>323.0</v>
      </c>
      <c r="E13787" s="3">
        <v>21.59</v>
      </c>
      <c r="F13787" s="3">
        <v>12.45</v>
      </c>
      <c r="G13787" s="3">
        <v>21.9</v>
      </c>
    </row>
    <row r="13788">
      <c r="A13788" s="3">
        <v>788969.0</v>
      </c>
      <c r="B13788" s="3" t="s">
        <v>13816</v>
      </c>
      <c r="C13788" s="3" t="s">
        <v>189</v>
      </c>
      <c r="D13788" s="3">
        <v>254.0</v>
      </c>
      <c r="E13788" s="3">
        <v>16.96</v>
      </c>
      <c r="F13788" s="3">
        <v>6.68</v>
      </c>
      <c r="G13788" s="3">
        <v>19.02</v>
      </c>
    </row>
    <row r="13789">
      <c r="A13789" s="3">
        <v>788970.0</v>
      </c>
      <c r="B13789" s="3" t="s">
        <v>13817</v>
      </c>
      <c r="C13789" s="3" t="s">
        <v>252</v>
      </c>
      <c r="D13789" s="3">
        <v>266.0</v>
      </c>
      <c r="E13789" s="3">
        <v>12.24</v>
      </c>
      <c r="F13789" s="3">
        <v>8.92</v>
      </c>
      <c r="G13789" s="3">
        <v>30.34</v>
      </c>
    </row>
    <row r="13790">
      <c r="A13790" s="3">
        <v>788971.0</v>
      </c>
      <c r="B13790" s="3" t="s">
        <v>13818</v>
      </c>
      <c r="C13790" s="3" t="s">
        <v>189</v>
      </c>
      <c r="D13790" s="3">
        <v>383.0</v>
      </c>
      <c r="E13790" s="3">
        <v>29.18</v>
      </c>
      <c r="F13790" s="3">
        <v>11.62</v>
      </c>
      <c r="G13790" s="3">
        <v>19.67</v>
      </c>
    </row>
    <row r="13791">
      <c r="A13791" s="3">
        <v>788972.0</v>
      </c>
      <c r="B13791" s="3" t="s">
        <v>13819</v>
      </c>
      <c r="C13791" s="3" t="s">
        <v>101</v>
      </c>
      <c r="D13791" s="3">
        <v>234.0</v>
      </c>
      <c r="E13791" s="3">
        <v>11.13</v>
      </c>
      <c r="F13791" s="3">
        <v>6.54</v>
      </c>
      <c r="G13791" s="3">
        <v>27.27</v>
      </c>
    </row>
    <row r="13792">
      <c r="A13792" s="3">
        <v>788973.0</v>
      </c>
      <c r="B13792" s="3" t="s">
        <v>13820</v>
      </c>
      <c r="C13792" s="3" t="s">
        <v>189</v>
      </c>
      <c r="D13792" s="3">
        <v>210.0</v>
      </c>
      <c r="E13792" s="3">
        <v>12.99</v>
      </c>
      <c r="F13792" s="3">
        <v>7.09</v>
      </c>
      <c r="G13792" s="3">
        <v>17.5</v>
      </c>
    </row>
    <row r="13793">
      <c r="A13793" s="3">
        <v>788974.0</v>
      </c>
      <c r="B13793" s="3" t="s">
        <v>13821</v>
      </c>
      <c r="C13793" s="3" t="s">
        <v>189</v>
      </c>
      <c r="D13793" s="3">
        <v>209.0</v>
      </c>
      <c r="E13793" s="3">
        <v>15.76</v>
      </c>
      <c r="F13793" s="3">
        <v>9.51</v>
      </c>
      <c r="G13793" s="3">
        <v>8.21</v>
      </c>
    </row>
    <row r="13794">
      <c r="A13794" s="3">
        <v>788975.0</v>
      </c>
      <c r="B13794" s="3" t="s">
        <v>13822</v>
      </c>
      <c r="C13794" s="3" t="s">
        <v>189</v>
      </c>
      <c r="D13794" s="3">
        <v>83.0</v>
      </c>
      <c r="E13794" s="3">
        <v>3.25</v>
      </c>
      <c r="F13794" s="3">
        <v>3.23</v>
      </c>
      <c r="G13794" s="3">
        <v>10.82</v>
      </c>
    </row>
    <row r="13795">
      <c r="A13795" s="3">
        <v>788976.0</v>
      </c>
      <c r="B13795" s="3" t="s">
        <v>13823</v>
      </c>
      <c r="C13795" s="3" t="s">
        <v>189</v>
      </c>
      <c r="D13795" s="3">
        <v>98.0</v>
      </c>
      <c r="E13795" s="3">
        <v>5.47</v>
      </c>
      <c r="F13795" s="3">
        <v>7.03</v>
      </c>
      <c r="G13795" s="3">
        <v>5.48</v>
      </c>
    </row>
    <row r="13796">
      <c r="A13796" s="3">
        <v>788977.0</v>
      </c>
      <c r="B13796" s="3" t="s">
        <v>13824</v>
      </c>
      <c r="C13796" s="3" t="s">
        <v>189</v>
      </c>
      <c r="D13796" s="3">
        <v>87.0</v>
      </c>
      <c r="E13796" s="3">
        <v>3.21</v>
      </c>
      <c r="F13796" s="3">
        <v>6.69</v>
      </c>
      <c r="G13796" s="3">
        <v>8.01</v>
      </c>
    </row>
    <row r="13797">
      <c r="A13797" s="3">
        <v>788978.0</v>
      </c>
      <c r="B13797" s="3" t="s">
        <v>13825</v>
      </c>
      <c r="C13797" s="3" t="s">
        <v>189</v>
      </c>
      <c r="D13797" s="3">
        <v>146.0</v>
      </c>
      <c r="E13797" s="3">
        <v>6.61</v>
      </c>
      <c r="F13797" s="3">
        <v>7.75</v>
      </c>
      <c r="G13797" s="3">
        <v>14.15</v>
      </c>
    </row>
    <row r="13798">
      <c r="A13798" s="3">
        <v>788980.0</v>
      </c>
      <c r="B13798" s="3" t="s">
        <v>13826</v>
      </c>
      <c r="C13798" s="3" t="s">
        <v>183</v>
      </c>
      <c r="D13798" s="3">
        <v>60.0</v>
      </c>
      <c r="E13798" s="3">
        <v>0.62</v>
      </c>
      <c r="F13798" s="3">
        <v>1.69</v>
      </c>
      <c r="G13798" s="3">
        <v>13.22</v>
      </c>
    </row>
    <row r="13799">
      <c r="A13799" s="3">
        <v>788981.0</v>
      </c>
      <c r="B13799" s="3" t="s">
        <v>13827</v>
      </c>
      <c r="C13799" s="3" t="s">
        <v>183</v>
      </c>
      <c r="D13799" s="3">
        <v>83.0</v>
      </c>
      <c r="E13799" s="3">
        <v>0.69</v>
      </c>
      <c r="F13799" s="3">
        <v>7.58</v>
      </c>
      <c r="G13799" s="3">
        <v>12.68</v>
      </c>
    </row>
    <row r="13800">
      <c r="A13800" s="3">
        <v>788983.0</v>
      </c>
      <c r="B13800" s="3" t="s">
        <v>13828</v>
      </c>
      <c r="C13800" s="3" t="s">
        <v>187</v>
      </c>
      <c r="D13800" s="3">
        <v>643.0</v>
      </c>
      <c r="E13800" s="3">
        <v>72.59</v>
      </c>
      <c r="F13800" s="3">
        <v>0.58</v>
      </c>
      <c r="G13800" s="3">
        <v>0.38</v>
      </c>
    </row>
    <row r="13801">
      <c r="A13801" s="3">
        <v>788986.0</v>
      </c>
      <c r="B13801" s="3" t="s">
        <v>13829</v>
      </c>
      <c r="C13801" s="3" t="s">
        <v>187</v>
      </c>
      <c r="D13801" s="3">
        <v>718.0</v>
      </c>
      <c r="E13801" s="3">
        <v>78.3</v>
      </c>
      <c r="F13801" s="3">
        <v>0.49</v>
      </c>
      <c r="G13801" s="3">
        <v>2.87</v>
      </c>
    </row>
    <row r="13802">
      <c r="A13802" s="3">
        <v>789000.0</v>
      </c>
      <c r="B13802" s="3" t="s">
        <v>13830</v>
      </c>
      <c r="C13802" s="3" t="s">
        <v>187</v>
      </c>
      <c r="D13802" s="3">
        <v>527.0</v>
      </c>
      <c r="E13802" s="3">
        <v>59.17</v>
      </c>
      <c r="F13802" s="3">
        <v>0.6</v>
      </c>
      <c r="G13802" s="3">
        <v>0.0</v>
      </c>
    </row>
    <row r="13803">
      <c r="A13803" s="3">
        <v>789001.0</v>
      </c>
      <c r="B13803" s="3" t="s">
        <v>13831</v>
      </c>
      <c r="C13803" s="3" t="s">
        <v>187</v>
      </c>
      <c r="D13803" s="3">
        <v>533.0</v>
      </c>
      <c r="E13803" s="3">
        <v>59.71</v>
      </c>
      <c r="F13803" s="3">
        <v>0.23</v>
      </c>
      <c r="G13803" s="3">
        <v>0.73</v>
      </c>
    </row>
    <row r="13804">
      <c r="A13804" s="3">
        <v>789008.0</v>
      </c>
      <c r="B13804" s="3" t="s">
        <v>13832</v>
      </c>
      <c r="C13804" s="3" t="s">
        <v>187</v>
      </c>
      <c r="D13804" s="3">
        <v>533.0</v>
      </c>
      <c r="E13804" s="3">
        <v>60.01</v>
      </c>
      <c r="F13804" s="3">
        <v>0.54</v>
      </c>
      <c r="G13804" s="3">
        <v>0.1</v>
      </c>
    </row>
    <row r="13805">
      <c r="A13805" s="3">
        <v>789012.0</v>
      </c>
      <c r="B13805" s="3" t="s">
        <v>13833</v>
      </c>
      <c r="C13805" s="3" t="s">
        <v>187</v>
      </c>
      <c r="D13805" s="3">
        <v>717.0</v>
      </c>
      <c r="E13805" s="3">
        <v>80.91</v>
      </c>
      <c r="F13805" s="3">
        <v>0.5</v>
      </c>
      <c r="G13805" s="3">
        <v>0.38</v>
      </c>
    </row>
    <row r="13806">
      <c r="A13806" s="3">
        <v>789016.0</v>
      </c>
      <c r="B13806" s="3" t="s">
        <v>13834</v>
      </c>
      <c r="C13806" s="3" t="s">
        <v>187</v>
      </c>
      <c r="D13806" s="3">
        <v>764.0</v>
      </c>
      <c r="E13806" s="3">
        <v>86.3</v>
      </c>
      <c r="F13806" s="3">
        <v>0.29</v>
      </c>
      <c r="G13806" s="3">
        <v>0.19</v>
      </c>
    </row>
    <row r="13807">
      <c r="A13807" s="3">
        <v>789017.0</v>
      </c>
      <c r="B13807" s="3" t="s">
        <v>13835</v>
      </c>
      <c r="C13807" s="3" t="s">
        <v>187</v>
      </c>
      <c r="D13807" s="3">
        <v>841.0</v>
      </c>
      <c r="E13807" s="3">
        <v>92.18</v>
      </c>
      <c r="F13807" s="3">
        <v>2.23</v>
      </c>
      <c r="G13807" s="3">
        <v>0.0</v>
      </c>
    </row>
    <row r="13808">
      <c r="A13808" s="3">
        <v>789023.0</v>
      </c>
      <c r="B13808" s="3" t="s">
        <v>13836</v>
      </c>
      <c r="C13808" s="3" t="s">
        <v>225</v>
      </c>
      <c r="D13808" s="3">
        <v>108.0</v>
      </c>
      <c r="E13808" s="3">
        <v>7.42</v>
      </c>
      <c r="F13808" s="3">
        <v>3.07</v>
      </c>
      <c r="G13808" s="3">
        <v>7.32</v>
      </c>
    </row>
    <row r="13809">
      <c r="A13809" s="3">
        <v>789024.0</v>
      </c>
      <c r="B13809" s="3" t="s">
        <v>13837</v>
      </c>
      <c r="C13809" s="3" t="s">
        <v>225</v>
      </c>
      <c r="D13809" s="3">
        <v>623.0</v>
      </c>
      <c r="E13809" s="3">
        <v>70.16</v>
      </c>
      <c r="F13809" s="3">
        <v>0.93</v>
      </c>
      <c r="G13809" s="3">
        <v>0.96</v>
      </c>
    </row>
    <row r="13810">
      <c r="A13810" s="3">
        <v>789025.0</v>
      </c>
      <c r="B13810" s="3" t="s">
        <v>13838</v>
      </c>
      <c r="C13810" s="3" t="s">
        <v>225</v>
      </c>
      <c r="D13810" s="3">
        <v>504.0</v>
      </c>
      <c r="E13810" s="3">
        <v>54.22</v>
      </c>
      <c r="F13810" s="3">
        <v>4.68</v>
      </c>
      <c r="G13810" s="3">
        <v>1.52</v>
      </c>
    </row>
    <row r="13811">
      <c r="A13811" s="3">
        <v>789029.0</v>
      </c>
      <c r="B13811" s="3" t="s">
        <v>13839</v>
      </c>
      <c r="C13811" s="3" t="s">
        <v>225</v>
      </c>
      <c r="D13811" s="3">
        <v>569.0</v>
      </c>
      <c r="E13811" s="3">
        <v>58.52</v>
      </c>
      <c r="F13811" s="3">
        <v>8.51</v>
      </c>
      <c r="G13811" s="3">
        <v>6.16</v>
      </c>
    </row>
    <row r="13812">
      <c r="A13812" s="3">
        <v>789030.0</v>
      </c>
      <c r="B13812" s="3" t="s">
        <v>13840</v>
      </c>
      <c r="C13812" s="3" t="s">
        <v>187</v>
      </c>
      <c r="D13812" s="3">
        <v>86.0</v>
      </c>
      <c r="E13812" s="3">
        <v>3.01</v>
      </c>
      <c r="F13812" s="3">
        <v>0.39</v>
      </c>
      <c r="G13812" s="3">
        <v>15.31</v>
      </c>
    </row>
    <row r="13813">
      <c r="A13813" s="3">
        <v>789031.0</v>
      </c>
      <c r="B13813" s="3" t="s">
        <v>13841</v>
      </c>
      <c r="C13813" s="3" t="s">
        <v>187</v>
      </c>
      <c r="D13813" s="3">
        <v>470.0</v>
      </c>
      <c r="E13813" s="3">
        <v>32.53</v>
      </c>
      <c r="F13813" s="3">
        <v>0.52</v>
      </c>
      <c r="G13813" s="3">
        <v>49.38</v>
      </c>
    </row>
    <row r="13814">
      <c r="A13814" s="3">
        <v>789032.0</v>
      </c>
      <c r="B13814" s="3" t="s">
        <v>13842</v>
      </c>
      <c r="C13814" s="3" t="s">
        <v>187</v>
      </c>
      <c r="D13814" s="3">
        <v>886.0</v>
      </c>
      <c r="E13814" s="3">
        <v>100.0</v>
      </c>
      <c r="F13814" s="3">
        <v>0.0</v>
      </c>
      <c r="G13814" s="3">
        <v>0.0</v>
      </c>
    </row>
    <row r="13815">
      <c r="A13815" s="3">
        <v>789051.0</v>
      </c>
      <c r="B13815" s="3" t="s">
        <v>13843</v>
      </c>
      <c r="C13815" s="3" t="s">
        <v>187</v>
      </c>
      <c r="D13815" s="3">
        <v>594.0</v>
      </c>
      <c r="E13815" s="3">
        <v>64.2</v>
      </c>
      <c r="F13815" s="3">
        <v>0.9</v>
      </c>
      <c r="G13815" s="3">
        <v>3.41</v>
      </c>
    </row>
    <row r="13816">
      <c r="A13816" s="3">
        <v>789055.0</v>
      </c>
      <c r="B13816" s="3" t="s">
        <v>13844</v>
      </c>
      <c r="C13816" s="3" t="s">
        <v>187</v>
      </c>
      <c r="D13816" s="3">
        <v>390.0</v>
      </c>
      <c r="E13816" s="3">
        <v>33.4</v>
      </c>
      <c r="F13816" s="3">
        <v>0.9</v>
      </c>
      <c r="G13816" s="3">
        <v>23.8</v>
      </c>
    </row>
    <row r="13817">
      <c r="A13817" s="3">
        <v>789056.0</v>
      </c>
      <c r="B13817" s="3" t="s">
        <v>13845</v>
      </c>
      <c r="C13817" s="3" t="s">
        <v>187</v>
      </c>
      <c r="D13817" s="3">
        <v>457.0</v>
      </c>
      <c r="E13817" s="3">
        <v>44.81</v>
      </c>
      <c r="F13817" s="3">
        <v>0.77</v>
      </c>
      <c r="G13817" s="3">
        <v>15.58</v>
      </c>
    </row>
    <row r="13818">
      <c r="A13818" s="3">
        <v>789068.0</v>
      </c>
      <c r="B13818" s="3" t="s">
        <v>13846</v>
      </c>
      <c r="C13818" s="3" t="s">
        <v>187</v>
      </c>
      <c r="D13818" s="3">
        <v>220.0</v>
      </c>
      <c r="E13818" s="3">
        <v>18.27</v>
      </c>
      <c r="F13818" s="3">
        <v>3.45</v>
      </c>
      <c r="G13818" s="3">
        <v>11.75</v>
      </c>
    </row>
    <row r="13819">
      <c r="A13819" s="3">
        <v>789082.0</v>
      </c>
      <c r="B13819" s="3" t="s">
        <v>13847</v>
      </c>
      <c r="C13819" s="3" t="s">
        <v>187</v>
      </c>
      <c r="D13819" s="3">
        <v>338.0</v>
      </c>
      <c r="E13819" s="3">
        <v>30.74</v>
      </c>
      <c r="F13819" s="3">
        <v>3.21</v>
      </c>
      <c r="G13819" s="3">
        <v>12.95</v>
      </c>
    </row>
    <row r="13820">
      <c r="A13820" s="3">
        <v>789098.0</v>
      </c>
      <c r="B13820" s="3" t="s">
        <v>13848</v>
      </c>
      <c r="C13820" s="3" t="s">
        <v>38</v>
      </c>
      <c r="D13820" s="3">
        <v>377.0</v>
      </c>
      <c r="E13820" s="3">
        <v>0.09</v>
      </c>
      <c r="F13820" s="3">
        <v>0.28</v>
      </c>
      <c r="G13820" s="3">
        <v>98.63</v>
      </c>
    </row>
    <row r="13821">
      <c r="A13821" s="3">
        <v>789099.0</v>
      </c>
      <c r="B13821" s="3" t="s">
        <v>13849</v>
      </c>
      <c r="C13821" s="3" t="s">
        <v>38</v>
      </c>
      <c r="D13821" s="3">
        <v>385.0</v>
      </c>
      <c r="E13821" s="3">
        <v>0.0</v>
      </c>
      <c r="F13821" s="3">
        <v>0.0</v>
      </c>
      <c r="G13821" s="3">
        <v>99.72</v>
      </c>
    </row>
    <row r="13822">
      <c r="A13822" s="3">
        <v>789102.0</v>
      </c>
      <c r="B13822" s="3" t="s">
        <v>13850</v>
      </c>
      <c r="C13822" s="3" t="s">
        <v>38</v>
      </c>
      <c r="D13822" s="3">
        <v>52.0</v>
      </c>
      <c r="E13822" s="3">
        <v>0.0</v>
      </c>
      <c r="F13822" s="3">
        <v>0.8</v>
      </c>
      <c r="G13822" s="3">
        <v>12.13</v>
      </c>
    </row>
    <row r="13823">
      <c r="A13823" s="3">
        <v>789104.0</v>
      </c>
      <c r="B13823" s="3" t="s">
        <v>13851</v>
      </c>
      <c r="C13823" s="3" t="s">
        <v>38</v>
      </c>
      <c r="D13823" s="3">
        <v>349.0</v>
      </c>
      <c r="E13823" s="3">
        <v>0.0</v>
      </c>
      <c r="F13823" s="3">
        <v>0.66</v>
      </c>
      <c r="G13823" s="3">
        <v>90.14</v>
      </c>
    </row>
    <row r="13824">
      <c r="A13824" s="3">
        <v>789105.0</v>
      </c>
      <c r="B13824" s="3" t="s">
        <v>13852</v>
      </c>
      <c r="C13824" s="3" t="s">
        <v>38</v>
      </c>
      <c r="D13824" s="3">
        <v>52.0</v>
      </c>
      <c r="E13824" s="3">
        <v>0.0</v>
      </c>
      <c r="F13824" s="3">
        <v>0.8</v>
      </c>
      <c r="G13824" s="3">
        <v>12.13</v>
      </c>
    </row>
    <row r="13825">
      <c r="A13825" s="3">
        <v>789107.0</v>
      </c>
      <c r="B13825" s="3" t="s">
        <v>13853</v>
      </c>
      <c r="C13825" s="3" t="s">
        <v>38</v>
      </c>
      <c r="D13825" s="3">
        <v>8.0</v>
      </c>
      <c r="E13825" s="3">
        <v>0.0</v>
      </c>
      <c r="F13825" s="3">
        <v>0.02</v>
      </c>
      <c r="G13825" s="3">
        <v>2.05</v>
      </c>
    </row>
    <row r="13826">
      <c r="A13826" s="3">
        <v>789120.0</v>
      </c>
      <c r="B13826" s="3" t="s">
        <v>13854</v>
      </c>
      <c r="C13826" s="3" t="s">
        <v>38</v>
      </c>
      <c r="D13826" s="3">
        <v>304.0</v>
      </c>
      <c r="E13826" s="3">
        <v>0.0</v>
      </c>
      <c r="F13826" s="3">
        <v>0.0</v>
      </c>
      <c r="G13826" s="3">
        <v>78.48</v>
      </c>
    </row>
    <row r="13827">
      <c r="A13827" s="3">
        <v>789123.0</v>
      </c>
      <c r="B13827" s="3" t="s">
        <v>13855</v>
      </c>
      <c r="C13827" s="3" t="s">
        <v>38</v>
      </c>
      <c r="D13827" s="3">
        <v>309.0</v>
      </c>
      <c r="E13827" s="3">
        <v>0.0</v>
      </c>
      <c r="F13827" s="3">
        <v>0.1</v>
      </c>
      <c r="G13827" s="3">
        <v>79.69</v>
      </c>
    </row>
    <row r="13828">
      <c r="A13828" s="3">
        <v>789129.0</v>
      </c>
      <c r="B13828" s="3" t="s">
        <v>13856</v>
      </c>
      <c r="C13828" s="3" t="s">
        <v>38</v>
      </c>
      <c r="D13828" s="3">
        <v>264.0</v>
      </c>
      <c r="E13828" s="3">
        <v>0.0</v>
      </c>
      <c r="F13828" s="3">
        <v>0.08</v>
      </c>
      <c r="G13828" s="3">
        <v>68.12</v>
      </c>
    </row>
    <row r="13829">
      <c r="A13829" s="3">
        <v>789134.0</v>
      </c>
      <c r="B13829" s="3" t="s">
        <v>13857</v>
      </c>
      <c r="C13829" s="3" t="s">
        <v>38</v>
      </c>
      <c r="D13829" s="3">
        <v>456.0</v>
      </c>
      <c r="E13829" s="3">
        <v>24.03</v>
      </c>
      <c r="F13829" s="3">
        <v>0.25</v>
      </c>
      <c r="G13829" s="3">
        <v>62.52</v>
      </c>
    </row>
    <row r="13830">
      <c r="A13830" s="3">
        <v>789138.0</v>
      </c>
      <c r="B13830" s="3" t="s">
        <v>13858</v>
      </c>
      <c r="C13830" s="3" t="s">
        <v>38</v>
      </c>
      <c r="D13830" s="3">
        <v>541.0</v>
      </c>
      <c r="E13830" s="3">
        <v>29.73</v>
      </c>
      <c r="F13830" s="3">
        <v>5.41</v>
      </c>
      <c r="G13830" s="3">
        <v>62.16</v>
      </c>
    </row>
    <row r="13831">
      <c r="A13831" s="3">
        <v>789139.0</v>
      </c>
      <c r="B13831" s="3" t="s">
        <v>13859</v>
      </c>
      <c r="C13831" s="3" t="s">
        <v>38</v>
      </c>
      <c r="D13831" s="3">
        <v>623.0</v>
      </c>
      <c r="E13831" s="3">
        <v>50.56</v>
      </c>
      <c r="F13831" s="3">
        <v>5.35</v>
      </c>
      <c r="G13831" s="3">
        <v>41.77</v>
      </c>
    </row>
    <row r="13832">
      <c r="A13832" s="3">
        <v>789143.0</v>
      </c>
      <c r="B13832" s="3" t="s">
        <v>13860</v>
      </c>
      <c r="C13832" s="3" t="s">
        <v>38</v>
      </c>
      <c r="D13832" s="3">
        <v>291.0</v>
      </c>
      <c r="E13832" s="3">
        <v>12.17</v>
      </c>
      <c r="F13832" s="3">
        <v>1.16</v>
      </c>
      <c r="G13832" s="3">
        <v>48.47</v>
      </c>
    </row>
    <row r="13833">
      <c r="A13833" s="3">
        <v>789145.0</v>
      </c>
      <c r="B13833" s="3" t="s">
        <v>13861</v>
      </c>
      <c r="C13833" s="3" t="s">
        <v>38</v>
      </c>
      <c r="D13833" s="3">
        <v>388.0</v>
      </c>
      <c r="E13833" s="3">
        <v>13.06</v>
      </c>
      <c r="F13833" s="3">
        <v>3.33</v>
      </c>
      <c r="G13833" s="3">
        <v>65.39</v>
      </c>
    </row>
    <row r="13834">
      <c r="A13834" s="3">
        <v>789146.0</v>
      </c>
      <c r="B13834" s="3" t="s">
        <v>13862</v>
      </c>
      <c r="C13834" s="3" t="s">
        <v>38</v>
      </c>
      <c r="D13834" s="3">
        <v>250.0</v>
      </c>
      <c r="E13834" s="3">
        <v>15.39</v>
      </c>
      <c r="F13834" s="3">
        <v>6.16</v>
      </c>
      <c r="G13834" s="3">
        <v>22.94</v>
      </c>
    </row>
    <row r="13835">
      <c r="A13835" s="3">
        <v>789147.0</v>
      </c>
      <c r="B13835" s="3" t="s">
        <v>13863</v>
      </c>
      <c r="C13835" s="3" t="s">
        <v>38</v>
      </c>
      <c r="D13835" s="3">
        <v>52.0</v>
      </c>
      <c r="E13835" s="3">
        <v>0.0</v>
      </c>
      <c r="F13835" s="3">
        <v>0.8</v>
      </c>
      <c r="G13835" s="3">
        <v>12.13</v>
      </c>
    </row>
    <row r="13836">
      <c r="A13836" s="3">
        <v>789148.0</v>
      </c>
      <c r="B13836" s="3" t="s">
        <v>13864</v>
      </c>
      <c r="C13836" s="3" t="s">
        <v>38</v>
      </c>
      <c r="D13836" s="3">
        <v>52.0</v>
      </c>
      <c r="E13836" s="3">
        <v>0.0</v>
      </c>
      <c r="F13836" s="3">
        <v>0.8</v>
      </c>
      <c r="G13836" s="3">
        <v>12.13</v>
      </c>
    </row>
    <row r="13837">
      <c r="A13837" s="3">
        <v>789149.0</v>
      </c>
      <c r="B13837" s="3" t="s">
        <v>13865</v>
      </c>
      <c r="C13837" s="3" t="s">
        <v>225</v>
      </c>
      <c r="D13837" s="3">
        <v>150.0</v>
      </c>
      <c r="E13837" s="3">
        <v>0.02</v>
      </c>
      <c r="F13837" s="3">
        <v>0.27</v>
      </c>
      <c r="G13837" s="3">
        <v>38.22</v>
      </c>
    </row>
    <row r="13838">
      <c r="A13838" s="3">
        <v>789150.0</v>
      </c>
      <c r="B13838" s="3" t="s">
        <v>13866</v>
      </c>
      <c r="C13838" s="3" t="s">
        <v>38</v>
      </c>
      <c r="D13838" s="3">
        <v>223.0</v>
      </c>
      <c r="E13838" s="3">
        <v>7.46</v>
      </c>
      <c r="F13838" s="3">
        <v>0.44</v>
      </c>
      <c r="G13838" s="3">
        <v>40.42</v>
      </c>
    </row>
    <row r="13839">
      <c r="A13839" s="3">
        <v>789151.0</v>
      </c>
      <c r="B13839" s="3" t="s">
        <v>13867</v>
      </c>
      <c r="C13839" s="3" t="s">
        <v>38</v>
      </c>
      <c r="D13839" s="3">
        <v>145.0</v>
      </c>
      <c r="E13839" s="3">
        <v>7.79</v>
      </c>
      <c r="F13839" s="3">
        <v>0.09</v>
      </c>
      <c r="G13839" s="3">
        <v>19.6</v>
      </c>
    </row>
    <row r="13840">
      <c r="A13840" s="3">
        <v>789152.0</v>
      </c>
      <c r="B13840" s="3" t="s">
        <v>13868</v>
      </c>
      <c r="C13840" s="3" t="s">
        <v>225</v>
      </c>
      <c r="D13840" s="3">
        <v>245.0</v>
      </c>
      <c r="E13840" s="3">
        <v>0.13</v>
      </c>
      <c r="F13840" s="3">
        <v>0.36</v>
      </c>
      <c r="G13840" s="3">
        <v>60.61</v>
      </c>
    </row>
    <row r="13841">
      <c r="A13841" s="3">
        <v>789153.0</v>
      </c>
      <c r="B13841" s="3" t="s">
        <v>13869</v>
      </c>
      <c r="C13841" s="3" t="s">
        <v>225</v>
      </c>
      <c r="D13841" s="3">
        <v>200.0</v>
      </c>
      <c r="E13841" s="3">
        <v>0.29</v>
      </c>
      <c r="F13841" s="3">
        <v>0.65</v>
      </c>
      <c r="G13841" s="3">
        <v>50.67</v>
      </c>
    </row>
    <row r="13842">
      <c r="A13842" s="3">
        <v>789163.0</v>
      </c>
      <c r="B13842" s="3" t="s">
        <v>13870</v>
      </c>
      <c r="C13842" s="3" t="s">
        <v>38</v>
      </c>
      <c r="D13842" s="3">
        <v>282.0</v>
      </c>
      <c r="E13842" s="3">
        <v>0.04</v>
      </c>
      <c r="F13842" s="3">
        <v>0.1</v>
      </c>
      <c r="G13842" s="3">
        <v>72.83</v>
      </c>
    </row>
    <row r="13843">
      <c r="A13843" s="3">
        <v>789164.0</v>
      </c>
      <c r="B13843" s="3" t="s">
        <v>13871</v>
      </c>
      <c r="C13843" s="3" t="s">
        <v>38</v>
      </c>
      <c r="D13843" s="3">
        <v>294.0</v>
      </c>
      <c r="E13843" s="3">
        <v>0.04</v>
      </c>
      <c r="F13843" s="3">
        <v>0.41</v>
      </c>
      <c r="G13843" s="3">
        <v>75.3</v>
      </c>
    </row>
    <row r="13844">
      <c r="A13844" s="3">
        <v>789165.0</v>
      </c>
      <c r="B13844" s="3" t="s">
        <v>13872</v>
      </c>
      <c r="C13844" s="3" t="s">
        <v>38</v>
      </c>
      <c r="D13844" s="3">
        <v>222.0</v>
      </c>
      <c r="E13844" s="3">
        <v>0.36</v>
      </c>
      <c r="F13844" s="3">
        <v>6.22</v>
      </c>
      <c r="G13844" s="3">
        <v>50.11</v>
      </c>
    </row>
    <row r="13845">
      <c r="A13845" s="3">
        <v>789166.0</v>
      </c>
      <c r="B13845" s="3" t="s">
        <v>13873</v>
      </c>
      <c r="C13845" s="3" t="s">
        <v>257</v>
      </c>
      <c r="D13845" s="3">
        <v>371.0</v>
      </c>
      <c r="E13845" s="3">
        <v>0.1</v>
      </c>
      <c r="F13845" s="3">
        <v>0.39</v>
      </c>
      <c r="G13845" s="3">
        <v>95.51</v>
      </c>
    </row>
    <row r="13846">
      <c r="A13846" s="3">
        <v>789167.0</v>
      </c>
      <c r="B13846" s="3" t="s">
        <v>13874</v>
      </c>
      <c r="C13846" s="3" t="s">
        <v>38</v>
      </c>
      <c r="D13846" s="3">
        <v>62.0</v>
      </c>
      <c r="E13846" s="3">
        <v>0.0</v>
      </c>
      <c r="F13846" s="3">
        <v>1.22</v>
      </c>
      <c r="G13846" s="3">
        <v>14.19</v>
      </c>
    </row>
    <row r="13847">
      <c r="A13847" s="3">
        <v>789168.0</v>
      </c>
      <c r="B13847" s="3" t="s">
        <v>13875</v>
      </c>
      <c r="C13847" s="3" t="s">
        <v>38</v>
      </c>
      <c r="D13847" s="3">
        <v>139.0</v>
      </c>
      <c r="E13847" s="3">
        <v>0.0</v>
      </c>
      <c r="F13847" s="3">
        <v>2.84</v>
      </c>
      <c r="G13847" s="3">
        <v>33.0</v>
      </c>
    </row>
    <row r="13848">
      <c r="A13848" s="3">
        <v>789169.0</v>
      </c>
      <c r="B13848" s="3" t="s">
        <v>13876</v>
      </c>
      <c r="C13848" s="3" t="s">
        <v>38</v>
      </c>
      <c r="D13848" s="3">
        <v>65.0</v>
      </c>
      <c r="E13848" s="3">
        <v>0.09</v>
      </c>
      <c r="F13848" s="3">
        <v>1.09</v>
      </c>
      <c r="G13848" s="3">
        <v>16.11</v>
      </c>
    </row>
    <row r="13849">
      <c r="A13849" s="3">
        <v>789170.0</v>
      </c>
      <c r="B13849" s="3" t="s">
        <v>13877</v>
      </c>
      <c r="C13849" s="3" t="s">
        <v>38</v>
      </c>
      <c r="D13849" s="3">
        <v>81.0</v>
      </c>
      <c r="E13849" s="3">
        <v>1.83</v>
      </c>
      <c r="F13849" s="3">
        <v>1.22</v>
      </c>
      <c r="G13849" s="3">
        <v>14.83</v>
      </c>
    </row>
    <row r="13850">
      <c r="A13850" s="3">
        <v>789171.0</v>
      </c>
      <c r="B13850" s="3" t="s">
        <v>13878</v>
      </c>
      <c r="C13850" s="3" t="s">
        <v>38</v>
      </c>
      <c r="D13850" s="3">
        <v>99.0</v>
      </c>
      <c r="E13850" s="3">
        <v>4.2</v>
      </c>
      <c r="F13850" s="3">
        <v>1.28</v>
      </c>
      <c r="G13850" s="3">
        <v>15.18</v>
      </c>
    </row>
    <row r="13851">
      <c r="A13851" s="3">
        <v>789172.0</v>
      </c>
      <c r="B13851" s="3" t="s">
        <v>13879</v>
      </c>
      <c r="C13851" s="3" t="s">
        <v>38</v>
      </c>
      <c r="D13851" s="3">
        <v>83.0</v>
      </c>
      <c r="E13851" s="3">
        <v>2.52</v>
      </c>
      <c r="F13851" s="3">
        <v>1.58</v>
      </c>
      <c r="G13851" s="3">
        <v>13.56</v>
      </c>
    </row>
    <row r="13852">
      <c r="A13852" s="3">
        <v>789173.0</v>
      </c>
      <c r="B13852" s="3" t="s">
        <v>13880</v>
      </c>
      <c r="C13852" s="3" t="s">
        <v>38</v>
      </c>
      <c r="D13852" s="3">
        <v>92.0</v>
      </c>
      <c r="E13852" s="3">
        <v>4.28</v>
      </c>
      <c r="F13852" s="3">
        <v>1.49</v>
      </c>
      <c r="G13852" s="3">
        <v>12.08</v>
      </c>
    </row>
    <row r="13853">
      <c r="A13853" s="3">
        <v>789174.0</v>
      </c>
      <c r="B13853" s="3" t="s">
        <v>13881</v>
      </c>
      <c r="C13853" s="3" t="s">
        <v>38</v>
      </c>
      <c r="D13853" s="3">
        <v>107.0</v>
      </c>
      <c r="E13853" s="3">
        <v>2.34</v>
      </c>
      <c r="F13853" s="3">
        <v>1.32</v>
      </c>
      <c r="G13853" s="3">
        <v>21.79</v>
      </c>
    </row>
    <row r="13854">
      <c r="A13854" s="3">
        <v>789175.0</v>
      </c>
      <c r="B13854" s="3" t="s">
        <v>13882</v>
      </c>
      <c r="C13854" s="3" t="s">
        <v>38</v>
      </c>
      <c r="D13854" s="3">
        <v>79.0</v>
      </c>
      <c r="E13854" s="3">
        <v>1.72</v>
      </c>
      <c r="F13854" s="3">
        <v>1.33</v>
      </c>
      <c r="G13854" s="3">
        <v>15.61</v>
      </c>
    </row>
    <row r="13855">
      <c r="A13855" s="3">
        <v>789176.0</v>
      </c>
      <c r="B13855" s="3" t="s">
        <v>13883</v>
      </c>
      <c r="C13855" s="3" t="s">
        <v>38</v>
      </c>
      <c r="D13855" s="3">
        <v>76.0</v>
      </c>
      <c r="E13855" s="3">
        <v>2.21</v>
      </c>
      <c r="F13855" s="3">
        <v>1.42</v>
      </c>
      <c r="G13855" s="3">
        <v>13.87</v>
      </c>
    </row>
    <row r="13856">
      <c r="A13856" s="3">
        <v>789177.0</v>
      </c>
      <c r="B13856" s="3" t="s">
        <v>13884</v>
      </c>
      <c r="C13856" s="3" t="s">
        <v>38</v>
      </c>
      <c r="D13856" s="3">
        <v>51.0</v>
      </c>
      <c r="E13856" s="3">
        <v>0.03</v>
      </c>
      <c r="F13856" s="3">
        <v>1.11</v>
      </c>
      <c r="G13856" s="3">
        <v>12.12</v>
      </c>
    </row>
    <row r="13857">
      <c r="A13857" s="3">
        <v>789178.0</v>
      </c>
      <c r="B13857" s="3" t="s">
        <v>13885</v>
      </c>
      <c r="C13857" s="3" t="s">
        <v>38</v>
      </c>
      <c r="D13857" s="3">
        <v>103.0</v>
      </c>
      <c r="E13857" s="3">
        <v>4.07</v>
      </c>
      <c r="F13857" s="3">
        <v>1.54</v>
      </c>
      <c r="G13857" s="3">
        <v>16.58</v>
      </c>
    </row>
    <row r="13858">
      <c r="A13858" s="3">
        <v>789179.0</v>
      </c>
      <c r="B13858" s="3" t="s">
        <v>13886</v>
      </c>
      <c r="C13858" s="3" t="s">
        <v>38</v>
      </c>
      <c r="D13858" s="3">
        <v>61.0</v>
      </c>
      <c r="E13858" s="3">
        <v>0.06</v>
      </c>
      <c r="F13858" s="3">
        <v>1.02</v>
      </c>
      <c r="G13858" s="3">
        <v>15.05</v>
      </c>
    </row>
    <row r="13859">
      <c r="A13859" s="3">
        <v>789180.0</v>
      </c>
      <c r="B13859" s="3" t="s">
        <v>13887</v>
      </c>
      <c r="C13859" s="3" t="s">
        <v>38</v>
      </c>
      <c r="D13859" s="3">
        <v>4.0</v>
      </c>
      <c r="E13859" s="3">
        <v>0.0</v>
      </c>
      <c r="F13859" s="3">
        <v>0.34</v>
      </c>
      <c r="G13859" s="3">
        <v>1.72</v>
      </c>
    </row>
    <row r="13860">
      <c r="A13860" s="3">
        <v>789181.0</v>
      </c>
      <c r="B13860" s="3" t="s">
        <v>13888</v>
      </c>
      <c r="C13860" s="3" t="s">
        <v>38</v>
      </c>
      <c r="D13860" s="3">
        <v>43.0</v>
      </c>
      <c r="E13860" s="3">
        <v>0.1</v>
      </c>
      <c r="F13860" s="3">
        <v>0.86</v>
      </c>
      <c r="G13860" s="3">
        <v>10.58</v>
      </c>
    </row>
    <row r="13861">
      <c r="A13861" s="3">
        <v>789182.0</v>
      </c>
      <c r="B13861" s="3" t="s">
        <v>13889</v>
      </c>
      <c r="C13861" s="3" t="s">
        <v>38</v>
      </c>
      <c r="D13861" s="3">
        <v>26.0</v>
      </c>
      <c r="E13861" s="3">
        <v>0.47</v>
      </c>
      <c r="F13861" s="3">
        <v>0.84</v>
      </c>
      <c r="G13861" s="3">
        <v>4.72</v>
      </c>
    </row>
    <row r="13862">
      <c r="A13862" s="3">
        <v>789183.0</v>
      </c>
      <c r="B13862" s="3" t="s">
        <v>13890</v>
      </c>
      <c r="C13862" s="3" t="s">
        <v>38</v>
      </c>
      <c r="D13862" s="3">
        <v>51.0</v>
      </c>
      <c r="E13862" s="3">
        <v>4.66</v>
      </c>
      <c r="F13862" s="3">
        <v>1.12</v>
      </c>
      <c r="G13862" s="3">
        <v>2.24</v>
      </c>
    </row>
    <row r="13863">
      <c r="A13863" s="3">
        <v>789184.0</v>
      </c>
      <c r="B13863" s="3" t="s">
        <v>13891</v>
      </c>
      <c r="C13863" s="3" t="s">
        <v>38</v>
      </c>
      <c r="D13863" s="3">
        <v>47.0</v>
      </c>
      <c r="E13863" s="3">
        <v>2.43</v>
      </c>
      <c r="F13863" s="3">
        <v>1.44</v>
      </c>
      <c r="G13863" s="3">
        <v>4.88</v>
      </c>
    </row>
    <row r="13864">
      <c r="A13864" s="3">
        <v>789185.0</v>
      </c>
      <c r="B13864" s="3" t="s">
        <v>13892</v>
      </c>
      <c r="C13864" s="3" t="s">
        <v>38</v>
      </c>
      <c r="D13864" s="3">
        <v>49.0</v>
      </c>
      <c r="E13864" s="3">
        <v>1.45</v>
      </c>
      <c r="F13864" s="3">
        <v>0.97</v>
      </c>
      <c r="G13864" s="3">
        <v>9.33</v>
      </c>
    </row>
    <row r="13865">
      <c r="A13865" s="3">
        <v>789186.0</v>
      </c>
      <c r="B13865" s="3" t="s">
        <v>13893</v>
      </c>
      <c r="C13865" s="3" t="s">
        <v>38</v>
      </c>
      <c r="D13865" s="3">
        <v>60.0</v>
      </c>
      <c r="E13865" s="3">
        <v>1.7</v>
      </c>
      <c r="F13865" s="3">
        <v>1.12</v>
      </c>
      <c r="G13865" s="3">
        <v>10.92</v>
      </c>
    </row>
    <row r="13866">
      <c r="A13866" s="3">
        <v>789187.0</v>
      </c>
      <c r="B13866" s="3" t="s">
        <v>13894</v>
      </c>
      <c r="C13866" s="3" t="s">
        <v>38</v>
      </c>
      <c r="D13866" s="3">
        <v>47.0</v>
      </c>
      <c r="E13866" s="3">
        <v>2.4</v>
      </c>
      <c r="F13866" s="3">
        <v>0.95</v>
      </c>
      <c r="G13866" s="3">
        <v>6.88</v>
      </c>
    </row>
    <row r="13867">
      <c r="A13867" s="3">
        <v>789188.0</v>
      </c>
      <c r="B13867" s="3" t="s">
        <v>13895</v>
      </c>
      <c r="C13867" s="3" t="s">
        <v>38</v>
      </c>
      <c r="D13867" s="3">
        <v>8.0</v>
      </c>
      <c r="E13867" s="3">
        <v>0.04</v>
      </c>
      <c r="F13867" s="3">
        <v>0.38</v>
      </c>
      <c r="G13867" s="3">
        <v>2.18</v>
      </c>
    </row>
    <row r="13868">
      <c r="A13868" s="3">
        <v>789189.0</v>
      </c>
      <c r="B13868" s="3" t="s">
        <v>13896</v>
      </c>
      <c r="C13868" s="3" t="s">
        <v>38</v>
      </c>
      <c r="D13868" s="3">
        <v>46.0</v>
      </c>
      <c r="E13868" s="3">
        <v>0.6</v>
      </c>
      <c r="F13868" s="3">
        <v>0.86</v>
      </c>
      <c r="G13868" s="3">
        <v>10.04</v>
      </c>
    </row>
    <row r="13869">
      <c r="A13869" s="3">
        <v>789190.0</v>
      </c>
      <c r="B13869" s="3" t="s">
        <v>13897</v>
      </c>
      <c r="C13869" s="3" t="s">
        <v>38</v>
      </c>
      <c r="D13869" s="3">
        <v>146.0</v>
      </c>
      <c r="E13869" s="3">
        <v>0.02</v>
      </c>
      <c r="F13869" s="3">
        <v>0.07</v>
      </c>
      <c r="G13869" s="3">
        <v>37.41</v>
      </c>
    </row>
    <row r="13870">
      <c r="A13870" s="3">
        <v>789191.0</v>
      </c>
      <c r="B13870" s="3" t="s">
        <v>13898</v>
      </c>
      <c r="C13870" s="3" t="s">
        <v>38</v>
      </c>
      <c r="D13870" s="3">
        <v>131.0</v>
      </c>
      <c r="E13870" s="3">
        <v>0.16</v>
      </c>
      <c r="F13870" s="3">
        <v>2.86</v>
      </c>
      <c r="G13870" s="3">
        <v>30.56</v>
      </c>
    </row>
    <row r="13871">
      <c r="A13871" s="3">
        <v>789192.0</v>
      </c>
      <c r="B13871" s="3" t="s">
        <v>13899</v>
      </c>
      <c r="C13871" s="3" t="s">
        <v>8</v>
      </c>
      <c r="D13871" s="3">
        <v>318.0</v>
      </c>
      <c r="E13871" s="3">
        <v>14.65</v>
      </c>
      <c r="F13871" s="3">
        <v>2.41</v>
      </c>
      <c r="G13871" s="3">
        <v>47.44</v>
      </c>
    </row>
    <row r="13872">
      <c r="A13872" s="3">
        <v>789193.0</v>
      </c>
      <c r="B13872" s="3" t="s">
        <v>13900</v>
      </c>
      <c r="C13872" s="3" t="s">
        <v>38</v>
      </c>
      <c r="D13872" s="3">
        <v>155.0</v>
      </c>
      <c r="E13872" s="3">
        <v>4.23</v>
      </c>
      <c r="F13872" s="3">
        <v>5.7</v>
      </c>
      <c r="G13872" s="3">
        <v>23.73</v>
      </c>
    </row>
    <row r="13873">
      <c r="A13873" s="3">
        <v>789194.0</v>
      </c>
      <c r="B13873" s="3" t="s">
        <v>13901</v>
      </c>
      <c r="C13873" s="3" t="s">
        <v>38</v>
      </c>
      <c r="D13873" s="3">
        <v>272.0</v>
      </c>
      <c r="E13873" s="3">
        <v>20.41</v>
      </c>
      <c r="F13873" s="3">
        <v>1.98</v>
      </c>
      <c r="G13873" s="3">
        <v>23.57</v>
      </c>
    </row>
    <row r="13874">
      <c r="A13874" s="3">
        <v>789195.0</v>
      </c>
      <c r="B13874" s="3" t="s">
        <v>13902</v>
      </c>
      <c r="C13874" s="3" t="s">
        <v>38</v>
      </c>
      <c r="D13874" s="3">
        <v>62.0</v>
      </c>
      <c r="E13874" s="3">
        <v>0.0</v>
      </c>
      <c r="F13874" s="3">
        <v>1.22</v>
      </c>
      <c r="G13874" s="3">
        <v>14.19</v>
      </c>
    </row>
    <row r="13875">
      <c r="A13875" s="3">
        <v>789198.0</v>
      </c>
      <c r="B13875" s="3" t="s">
        <v>13903</v>
      </c>
      <c r="C13875" s="3" t="s">
        <v>38</v>
      </c>
      <c r="D13875" s="3">
        <v>121.0</v>
      </c>
      <c r="E13875" s="3">
        <v>3.79</v>
      </c>
      <c r="F13875" s="3">
        <v>1.16</v>
      </c>
      <c r="G13875" s="3">
        <v>20.67</v>
      </c>
    </row>
    <row r="13876">
      <c r="A13876" s="3">
        <v>789203.0</v>
      </c>
      <c r="B13876" s="3" t="s">
        <v>13904</v>
      </c>
      <c r="C13876" s="3" t="s">
        <v>38</v>
      </c>
      <c r="D13876" s="3">
        <v>574.0</v>
      </c>
      <c r="E13876" s="3">
        <v>45.66</v>
      </c>
      <c r="F13876" s="3">
        <v>17.27</v>
      </c>
      <c r="G13876" s="3">
        <v>30.89</v>
      </c>
    </row>
    <row r="13877">
      <c r="A13877" s="3">
        <v>789204.0</v>
      </c>
      <c r="B13877" s="3" t="s">
        <v>13905</v>
      </c>
      <c r="C13877" s="3" t="s">
        <v>38</v>
      </c>
      <c r="D13877" s="3">
        <v>474.0</v>
      </c>
      <c r="E13877" s="3">
        <v>17.93</v>
      </c>
      <c r="F13877" s="3">
        <v>10.0</v>
      </c>
      <c r="G13877" s="3">
        <v>68.26</v>
      </c>
    </row>
    <row r="13878">
      <c r="A13878" s="3">
        <v>789205.0</v>
      </c>
      <c r="B13878" s="3" t="s">
        <v>13906</v>
      </c>
      <c r="C13878" s="3" t="s">
        <v>38</v>
      </c>
      <c r="D13878" s="3">
        <v>553.0</v>
      </c>
      <c r="E13878" s="3">
        <v>38.48</v>
      </c>
      <c r="F13878" s="3">
        <v>12.86</v>
      </c>
      <c r="G13878" s="3">
        <v>43.57</v>
      </c>
    </row>
    <row r="13879">
      <c r="A13879" s="3">
        <v>789209.0</v>
      </c>
      <c r="B13879" s="3" t="s">
        <v>13907</v>
      </c>
      <c r="C13879" s="3" t="s">
        <v>38</v>
      </c>
      <c r="D13879" s="3">
        <v>412.0</v>
      </c>
      <c r="E13879" s="3">
        <v>14.39</v>
      </c>
      <c r="F13879" s="3">
        <v>5.77</v>
      </c>
      <c r="G13879" s="3">
        <v>70.03</v>
      </c>
    </row>
    <row r="13880">
      <c r="A13880" s="3">
        <v>789210.0</v>
      </c>
      <c r="B13880" s="3" t="s">
        <v>13908</v>
      </c>
      <c r="C13880" s="3" t="s">
        <v>38</v>
      </c>
      <c r="D13880" s="3">
        <v>417.0</v>
      </c>
      <c r="E13880" s="3">
        <v>13.06</v>
      </c>
      <c r="F13880" s="3">
        <v>5.3</v>
      </c>
      <c r="G13880" s="3">
        <v>72.95</v>
      </c>
    </row>
    <row r="13881">
      <c r="A13881" s="3">
        <v>789211.0</v>
      </c>
      <c r="B13881" s="3" t="s">
        <v>13909</v>
      </c>
      <c r="C13881" s="3" t="s">
        <v>38</v>
      </c>
      <c r="D13881" s="3">
        <v>491.0</v>
      </c>
      <c r="E13881" s="3">
        <v>25.1</v>
      </c>
      <c r="F13881" s="3">
        <v>6.66</v>
      </c>
      <c r="G13881" s="3">
        <v>61.51</v>
      </c>
    </row>
    <row r="13882">
      <c r="A13882" s="3">
        <v>789214.0</v>
      </c>
      <c r="B13882" s="3" t="s">
        <v>13910</v>
      </c>
      <c r="C13882" s="3" t="s">
        <v>38</v>
      </c>
      <c r="D13882" s="3">
        <v>432.0</v>
      </c>
      <c r="E13882" s="3">
        <v>14.08</v>
      </c>
      <c r="F13882" s="3">
        <v>1.95</v>
      </c>
      <c r="G13882" s="3">
        <v>72.93</v>
      </c>
    </row>
    <row r="13883">
      <c r="A13883" s="3">
        <v>789217.0</v>
      </c>
      <c r="B13883" s="3" t="s">
        <v>13911</v>
      </c>
      <c r="C13883" s="3" t="s">
        <v>38</v>
      </c>
      <c r="D13883" s="3">
        <v>550.0</v>
      </c>
      <c r="E13883" s="3">
        <v>33.3</v>
      </c>
      <c r="F13883" s="3">
        <v>7.3</v>
      </c>
      <c r="G13883" s="3">
        <v>56.0</v>
      </c>
    </row>
    <row r="13884">
      <c r="A13884" s="3">
        <v>789218.0</v>
      </c>
      <c r="B13884" s="3" t="s">
        <v>13912</v>
      </c>
      <c r="C13884" s="3" t="s">
        <v>38</v>
      </c>
      <c r="D13884" s="3">
        <v>536.0</v>
      </c>
      <c r="E13884" s="3">
        <v>32.67</v>
      </c>
      <c r="F13884" s="3">
        <v>9.18</v>
      </c>
      <c r="G13884" s="3">
        <v>54.15</v>
      </c>
    </row>
    <row r="13885">
      <c r="A13885" s="3">
        <v>789220.0</v>
      </c>
      <c r="B13885" s="3" t="s">
        <v>13913</v>
      </c>
      <c r="C13885" s="3" t="s">
        <v>38</v>
      </c>
      <c r="D13885" s="3">
        <v>559.0</v>
      </c>
      <c r="E13885" s="3">
        <v>41.12</v>
      </c>
      <c r="F13885" s="3">
        <v>15.88</v>
      </c>
      <c r="G13885" s="3">
        <v>36.84</v>
      </c>
    </row>
    <row r="13886">
      <c r="A13886" s="3">
        <v>789225.0</v>
      </c>
      <c r="B13886" s="3" t="s">
        <v>13914</v>
      </c>
      <c r="C13886" s="3" t="s">
        <v>38</v>
      </c>
      <c r="D13886" s="3">
        <v>552.0</v>
      </c>
      <c r="E13886" s="3">
        <v>35.06</v>
      </c>
      <c r="F13886" s="3">
        <v>8.64</v>
      </c>
      <c r="G13886" s="3">
        <v>52.5</v>
      </c>
    </row>
    <row r="13887">
      <c r="A13887" s="3">
        <v>789226.0</v>
      </c>
      <c r="B13887" s="3" t="s">
        <v>13915</v>
      </c>
      <c r="C13887" s="3" t="s">
        <v>38</v>
      </c>
      <c r="D13887" s="3">
        <v>456.0</v>
      </c>
      <c r="E13887" s="3">
        <v>24.38</v>
      </c>
      <c r="F13887" s="3">
        <v>7.58</v>
      </c>
      <c r="G13887" s="3">
        <v>59.98</v>
      </c>
    </row>
    <row r="13888">
      <c r="A13888" s="3">
        <v>789229.0</v>
      </c>
      <c r="B13888" s="3" t="s">
        <v>13916</v>
      </c>
      <c r="C13888" s="3" t="s">
        <v>38</v>
      </c>
      <c r="D13888" s="3">
        <v>478.0</v>
      </c>
      <c r="E13888" s="3">
        <v>20.12</v>
      </c>
      <c r="F13888" s="3">
        <v>5.54</v>
      </c>
      <c r="G13888" s="3">
        <v>69.3</v>
      </c>
    </row>
    <row r="13889">
      <c r="A13889" s="3">
        <v>789231.0</v>
      </c>
      <c r="B13889" s="3" t="s">
        <v>13917</v>
      </c>
      <c r="C13889" s="3" t="s">
        <v>38</v>
      </c>
      <c r="D13889" s="3">
        <v>528.0</v>
      </c>
      <c r="E13889" s="3">
        <v>33.2</v>
      </c>
      <c r="F13889" s="3">
        <v>4.5</v>
      </c>
      <c r="G13889" s="3">
        <v>60.18</v>
      </c>
    </row>
    <row r="13890">
      <c r="A13890" s="3">
        <v>789232.0</v>
      </c>
      <c r="B13890" s="3" t="s">
        <v>13918</v>
      </c>
      <c r="C13890" s="3" t="s">
        <v>38</v>
      </c>
      <c r="D13890" s="3">
        <v>553.0</v>
      </c>
      <c r="E13890" s="3">
        <v>33.81</v>
      </c>
      <c r="F13890" s="3">
        <v>6.55</v>
      </c>
      <c r="G13890" s="3">
        <v>56.48</v>
      </c>
    </row>
    <row r="13891">
      <c r="A13891" s="3">
        <v>789234.0</v>
      </c>
      <c r="B13891" s="3" t="s">
        <v>13919</v>
      </c>
      <c r="C13891" s="3" t="s">
        <v>38</v>
      </c>
      <c r="D13891" s="3">
        <v>547.0</v>
      </c>
      <c r="E13891" s="3">
        <v>35.15</v>
      </c>
      <c r="F13891" s="3">
        <v>8.2</v>
      </c>
      <c r="G13891" s="3">
        <v>53.15</v>
      </c>
    </row>
    <row r="13892">
      <c r="A13892" s="3">
        <v>789238.0</v>
      </c>
      <c r="B13892" s="3" t="s">
        <v>13920</v>
      </c>
      <c r="C13892" s="3" t="s">
        <v>38</v>
      </c>
      <c r="D13892" s="3">
        <v>486.0</v>
      </c>
      <c r="E13892" s="3">
        <v>26.6</v>
      </c>
      <c r="F13892" s="3">
        <v>4.6</v>
      </c>
      <c r="G13892" s="3">
        <v>58.59</v>
      </c>
    </row>
    <row r="13893">
      <c r="A13893" s="3">
        <v>789240.0</v>
      </c>
      <c r="B13893" s="3" t="s">
        <v>13921</v>
      </c>
      <c r="C13893" s="3" t="s">
        <v>38</v>
      </c>
      <c r="D13893" s="3">
        <v>408.0</v>
      </c>
      <c r="E13893" s="3">
        <v>13.64</v>
      </c>
      <c r="F13893" s="3">
        <v>1.31</v>
      </c>
      <c r="G13893" s="3">
        <v>74.66</v>
      </c>
    </row>
    <row r="13894">
      <c r="A13894" s="3">
        <v>789244.0</v>
      </c>
      <c r="B13894" s="3" t="s">
        <v>13922</v>
      </c>
      <c r="C13894" s="3" t="s">
        <v>38</v>
      </c>
      <c r="D13894" s="3">
        <v>379.0</v>
      </c>
      <c r="E13894" s="3">
        <v>18.09</v>
      </c>
      <c r="F13894" s="3">
        <v>4.17</v>
      </c>
      <c r="G13894" s="3">
        <v>58.05</v>
      </c>
    </row>
    <row r="13895">
      <c r="A13895" s="3">
        <v>789246.0</v>
      </c>
      <c r="B13895" s="3" t="s">
        <v>13923</v>
      </c>
      <c r="C13895" s="3" t="s">
        <v>38</v>
      </c>
      <c r="D13895" s="3">
        <v>365.0</v>
      </c>
      <c r="E13895" s="3">
        <v>2.84</v>
      </c>
      <c r="F13895" s="3">
        <v>0.55</v>
      </c>
      <c r="G13895" s="3">
        <v>84.31</v>
      </c>
    </row>
    <row r="13896">
      <c r="A13896" s="3">
        <v>789247.0</v>
      </c>
      <c r="B13896" s="3" t="s">
        <v>13924</v>
      </c>
      <c r="C13896" s="3" t="s">
        <v>38</v>
      </c>
      <c r="D13896" s="3">
        <v>475.0</v>
      </c>
      <c r="E13896" s="3">
        <v>21.04</v>
      </c>
      <c r="F13896" s="3">
        <v>3.68</v>
      </c>
      <c r="G13896" s="3">
        <v>69.33</v>
      </c>
    </row>
    <row r="13897">
      <c r="A13897" s="3">
        <v>789248.0</v>
      </c>
      <c r="B13897" s="3" t="s">
        <v>13925</v>
      </c>
      <c r="C13897" s="3" t="s">
        <v>38</v>
      </c>
      <c r="D13897" s="3">
        <v>368.0</v>
      </c>
      <c r="E13897" s="3">
        <v>0.0</v>
      </c>
      <c r="F13897" s="3">
        <v>0.0</v>
      </c>
      <c r="G13897" s="3">
        <v>91.96</v>
      </c>
    </row>
    <row r="13898">
      <c r="A13898" s="3">
        <v>789252.0</v>
      </c>
      <c r="B13898" s="3" t="s">
        <v>13926</v>
      </c>
      <c r="C13898" s="3" t="s">
        <v>38</v>
      </c>
      <c r="D13898" s="3">
        <v>435.0</v>
      </c>
      <c r="E13898" s="3">
        <v>8.3</v>
      </c>
      <c r="F13898" s="3">
        <v>2.14</v>
      </c>
      <c r="G13898" s="3">
        <v>87.84</v>
      </c>
    </row>
    <row r="13899">
      <c r="A13899" s="3">
        <v>789253.0</v>
      </c>
      <c r="B13899" s="3" t="s">
        <v>13927</v>
      </c>
      <c r="C13899" s="3" t="s">
        <v>38</v>
      </c>
      <c r="D13899" s="3">
        <v>448.0</v>
      </c>
      <c r="E13899" s="3">
        <v>16.18</v>
      </c>
      <c r="F13899" s="3">
        <v>3.97</v>
      </c>
      <c r="G13899" s="3">
        <v>71.33</v>
      </c>
    </row>
    <row r="13900">
      <c r="A13900" s="3">
        <v>789254.0</v>
      </c>
      <c r="B13900" s="3" t="s">
        <v>13928</v>
      </c>
      <c r="C13900" s="3" t="s">
        <v>38</v>
      </c>
      <c r="D13900" s="3">
        <v>483.0</v>
      </c>
      <c r="E13900" s="3">
        <v>22.15</v>
      </c>
      <c r="F13900" s="3">
        <v>5.36</v>
      </c>
      <c r="G13900" s="3">
        <v>65.37</v>
      </c>
    </row>
    <row r="13901">
      <c r="A13901" s="3">
        <v>789255.0</v>
      </c>
      <c r="B13901" s="3" t="s">
        <v>13929</v>
      </c>
      <c r="C13901" s="3" t="s">
        <v>38</v>
      </c>
      <c r="D13901" s="3">
        <v>411.0</v>
      </c>
      <c r="E13901" s="3">
        <v>10.41</v>
      </c>
      <c r="F13901" s="3">
        <v>2.39</v>
      </c>
      <c r="G13901" s="3">
        <v>76.44</v>
      </c>
    </row>
    <row r="13902">
      <c r="A13902" s="3">
        <v>789256.0</v>
      </c>
      <c r="B13902" s="3" t="s">
        <v>13930</v>
      </c>
      <c r="C13902" s="3" t="s">
        <v>38</v>
      </c>
      <c r="D13902" s="3">
        <v>461.0</v>
      </c>
      <c r="E13902" s="3">
        <v>18.93</v>
      </c>
      <c r="F13902" s="3">
        <v>4.38</v>
      </c>
      <c r="G13902" s="3">
        <v>67.93</v>
      </c>
    </row>
    <row r="13903">
      <c r="A13903" s="3">
        <v>789257.0</v>
      </c>
      <c r="B13903" s="3" t="s">
        <v>13931</v>
      </c>
      <c r="C13903" s="3" t="s">
        <v>38</v>
      </c>
      <c r="D13903" s="3">
        <v>436.0</v>
      </c>
      <c r="E13903" s="3">
        <v>16.84</v>
      </c>
      <c r="F13903" s="3">
        <v>6.3</v>
      </c>
      <c r="G13903" s="3">
        <v>67.3</v>
      </c>
    </row>
    <row r="13904">
      <c r="A13904" s="3">
        <v>789258.0</v>
      </c>
      <c r="B13904" s="3" t="s">
        <v>13932</v>
      </c>
      <c r="C13904" s="3" t="s">
        <v>38</v>
      </c>
      <c r="D13904" s="3">
        <v>475.0</v>
      </c>
      <c r="E13904" s="3">
        <v>23.04</v>
      </c>
      <c r="F13904" s="3">
        <v>7.77</v>
      </c>
      <c r="G13904" s="3">
        <v>61.63</v>
      </c>
    </row>
    <row r="13905">
      <c r="A13905" s="3">
        <v>789261.0</v>
      </c>
      <c r="B13905" s="3" t="s">
        <v>13933</v>
      </c>
      <c r="C13905" s="3" t="s">
        <v>38</v>
      </c>
      <c r="D13905" s="3">
        <v>399.0</v>
      </c>
      <c r="E13905" s="3">
        <v>7.76</v>
      </c>
      <c r="F13905" s="3">
        <v>4.24</v>
      </c>
      <c r="G13905" s="3">
        <v>83.17</v>
      </c>
    </row>
    <row r="13906">
      <c r="A13906" s="3">
        <v>789262.0</v>
      </c>
      <c r="B13906" s="3" t="s">
        <v>13934</v>
      </c>
      <c r="C13906" s="3" t="s">
        <v>38</v>
      </c>
      <c r="D13906" s="3">
        <v>396.0</v>
      </c>
      <c r="E13906" s="3">
        <v>10.21</v>
      </c>
      <c r="F13906" s="3">
        <v>2.1</v>
      </c>
      <c r="G13906" s="3">
        <v>77.77</v>
      </c>
    </row>
    <row r="13907">
      <c r="A13907" s="3">
        <v>789265.0</v>
      </c>
      <c r="B13907" s="3" t="s">
        <v>13935</v>
      </c>
      <c r="C13907" s="3" t="s">
        <v>38</v>
      </c>
      <c r="D13907" s="3">
        <v>459.0</v>
      </c>
      <c r="E13907" s="3">
        <v>21.6</v>
      </c>
      <c r="F13907" s="3">
        <v>5.4</v>
      </c>
      <c r="G13907" s="3">
        <v>64.8</v>
      </c>
    </row>
    <row r="13908">
      <c r="A13908" s="3">
        <v>789267.0</v>
      </c>
      <c r="B13908" s="3" t="s">
        <v>13936</v>
      </c>
      <c r="C13908" s="3" t="s">
        <v>38</v>
      </c>
      <c r="D13908" s="3">
        <v>522.0</v>
      </c>
      <c r="E13908" s="3">
        <v>31.87</v>
      </c>
      <c r="F13908" s="3">
        <v>7.98</v>
      </c>
      <c r="G13908" s="3">
        <v>57.56</v>
      </c>
    </row>
    <row r="13909">
      <c r="A13909" s="3">
        <v>789268.0</v>
      </c>
      <c r="B13909" s="3" t="s">
        <v>13937</v>
      </c>
      <c r="C13909" s="3" t="s">
        <v>38</v>
      </c>
      <c r="D13909" s="3">
        <v>526.0</v>
      </c>
      <c r="E13909" s="3">
        <v>31.25</v>
      </c>
      <c r="F13909" s="3">
        <v>7.88</v>
      </c>
      <c r="G13909" s="3">
        <v>58.08</v>
      </c>
    </row>
    <row r="13910">
      <c r="A13910" s="3">
        <v>789269.0</v>
      </c>
      <c r="B13910" s="3" t="s">
        <v>13938</v>
      </c>
      <c r="C13910" s="3" t="s">
        <v>38</v>
      </c>
      <c r="D13910" s="3">
        <v>486.0</v>
      </c>
      <c r="E13910" s="3">
        <v>20.18</v>
      </c>
      <c r="F13910" s="3">
        <v>8.72</v>
      </c>
      <c r="G13910" s="3">
        <v>67.41</v>
      </c>
    </row>
    <row r="13911">
      <c r="A13911" s="3">
        <v>789273.0</v>
      </c>
      <c r="B13911" s="3" t="s">
        <v>13939</v>
      </c>
      <c r="C13911" s="3" t="s">
        <v>38</v>
      </c>
      <c r="D13911" s="3">
        <v>511.0</v>
      </c>
      <c r="E13911" s="3">
        <v>30.04</v>
      </c>
      <c r="F13911" s="3">
        <v>1.99</v>
      </c>
      <c r="G13911" s="3">
        <v>66.8</v>
      </c>
    </row>
    <row r="13912">
      <c r="A13912" s="3">
        <v>789274.0</v>
      </c>
      <c r="B13912" s="3" t="s">
        <v>13940</v>
      </c>
      <c r="C13912" s="3" t="s">
        <v>38</v>
      </c>
      <c r="D13912" s="3">
        <v>401.0</v>
      </c>
      <c r="E13912" s="3">
        <v>21.9</v>
      </c>
      <c r="F13912" s="3">
        <v>6.92</v>
      </c>
      <c r="G13912" s="3">
        <v>46.84</v>
      </c>
    </row>
    <row r="13913">
      <c r="A13913" s="3">
        <v>789277.0</v>
      </c>
      <c r="B13913" s="3" t="s">
        <v>13941</v>
      </c>
      <c r="C13913" s="3" t="s">
        <v>38</v>
      </c>
      <c r="D13913" s="3">
        <v>375.0</v>
      </c>
      <c r="E13913" s="3">
        <v>10.4</v>
      </c>
      <c r="F13913" s="3">
        <v>2.43</v>
      </c>
      <c r="G13913" s="3">
        <v>75.03</v>
      </c>
    </row>
    <row r="13914">
      <c r="A13914" s="3">
        <v>789278.0</v>
      </c>
      <c r="B13914" s="3" t="s">
        <v>13942</v>
      </c>
      <c r="C13914" s="3" t="s">
        <v>38</v>
      </c>
      <c r="D13914" s="3">
        <v>343.0</v>
      </c>
      <c r="E13914" s="3">
        <v>0.13</v>
      </c>
      <c r="F13914" s="3">
        <v>1.16</v>
      </c>
      <c r="G13914" s="3">
        <v>87.99</v>
      </c>
    </row>
    <row r="13915">
      <c r="A13915" s="3">
        <v>789279.0</v>
      </c>
      <c r="B13915" s="3" t="s">
        <v>13943</v>
      </c>
      <c r="C13915" s="3" t="s">
        <v>38</v>
      </c>
      <c r="D13915" s="3">
        <v>332.0</v>
      </c>
      <c r="E13915" s="3">
        <v>5.49</v>
      </c>
      <c r="F13915" s="3">
        <v>2.42</v>
      </c>
      <c r="G13915" s="3">
        <v>72.23</v>
      </c>
    </row>
    <row r="13916">
      <c r="A13916" s="3">
        <v>789285.0</v>
      </c>
      <c r="B13916" s="3" t="s">
        <v>13944</v>
      </c>
      <c r="C13916" s="3" t="s">
        <v>38</v>
      </c>
      <c r="D13916" s="3">
        <v>436.0</v>
      </c>
      <c r="E13916" s="3">
        <v>9.51</v>
      </c>
      <c r="F13916" s="3">
        <v>4.54</v>
      </c>
      <c r="G13916" s="3">
        <v>83.15</v>
      </c>
    </row>
    <row r="13917">
      <c r="A13917" s="3">
        <v>789288.0</v>
      </c>
      <c r="B13917" s="3" t="s">
        <v>13945</v>
      </c>
      <c r="C13917" s="3" t="s">
        <v>38</v>
      </c>
      <c r="D13917" s="3">
        <v>568.0</v>
      </c>
      <c r="E13917" s="3">
        <v>41.6</v>
      </c>
      <c r="F13917" s="3">
        <v>11.39</v>
      </c>
      <c r="G13917" s="3">
        <v>42.05</v>
      </c>
    </row>
    <row r="13918">
      <c r="A13918" s="3">
        <v>789290.0</v>
      </c>
      <c r="B13918" s="3" t="s">
        <v>13946</v>
      </c>
      <c r="C13918" s="3" t="s">
        <v>38</v>
      </c>
      <c r="D13918" s="3">
        <v>560.0</v>
      </c>
      <c r="E13918" s="3">
        <v>48.77</v>
      </c>
      <c r="F13918" s="3">
        <v>7.29</v>
      </c>
      <c r="G13918" s="3">
        <v>31.86</v>
      </c>
    </row>
    <row r="13919">
      <c r="A13919" s="3">
        <v>789295.0</v>
      </c>
      <c r="B13919" s="3" t="s">
        <v>13947</v>
      </c>
      <c r="C13919" s="3" t="s">
        <v>38</v>
      </c>
      <c r="D13919" s="3">
        <v>542.0</v>
      </c>
      <c r="E13919" s="3">
        <v>37.01</v>
      </c>
      <c r="F13919" s="3">
        <v>14.84</v>
      </c>
      <c r="G13919" s="3">
        <v>42.43</v>
      </c>
    </row>
    <row r="13920">
      <c r="A13920" s="3">
        <v>789297.0</v>
      </c>
      <c r="B13920" s="3" t="s">
        <v>13948</v>
      </c>
      <c r="C13920" s="3" t="s">
        <v>38</v>
      </c>
      <c r="D13920" s="3">
        <v>510.0</v>
      </c>
      <c r="E13920" s="3">
        <v>30.45</v>
      </c>
      <c r="F13920" s="3">
        <v>16.26</v>
      </c>
      <c r="G13920" s="3">
        <v>50.84</v>
      </c>
    </row>
    <row r="13921">
      <c r="A13921" s="3">
        <v>789299.0</v>
      </c>
      <c r="B13921" s="3" t="s">
        <v>13949</v>
      </c>
      <c r="C13921" s="3" t="s">
        <v>38</v>
      </c>
      <c r="D13921" s="3">
        <v>526.0</v>
      </c>
      <c r="E13921" s="3">
        <v>32.45</v>
      </c>
      <c r="F13921" s="3">
        <v>13.07</v>
      </c>
      <c r="G13921" s="3">
        <v>51.12</v>
      </c>
    </row>
    <row r="13922">
      <c r="A13922" s="3">
        <v>789300.0</v>
      </c>
      <c r="B13922" s="3" t="s">
        <v>13950</v>
      </c>
      <c r="C13922" s="3" t="s">
        <v>38</v>
      </c>
      <c r="D13922" s="3">
        <v>513.0</v>
      </c>
      <c r="E13922" s="3">
        <v>28.36</v>
      </c>
      <c r="F13922" s="3">
        <v>10.45</v>
      </c>
      <c r="G13922" s="3">
        <v>58.59</v>
      </c>
    </row>
    <row r="13923">
      <c r="A13923" s="3">
        <v>789307.0</v>
      </c>
      <c r="B13923" s="3" t="s">
        <v>13951</v>
      </c>
      <c r="C13923" s="3" t="s">
        <v>38</v>
      </c>
      <c r="D13923" s="3">
        <v>396.0</v>
      </c>
      <c r="E13923" s="3">
        <v>10.21</v>
      </c>
      <c r="F13923" s="3">
        <v>2.1</v>
      </c>
      <c r="G13923" s="3">
        <v>77.77</v>
      </c>
    </row>
    <row r="13924">
      <c r="A13924" s="3">
        <v>789308.0</v>
      </c>
      <c r="B13924" s="3" t="s">
        <v>13952</v>
      </c>
      <c r="C13924" s="3" t="s">
        <v>38</v>
      </c>
      <c r="D13924" s="3">
        <v>329.0</v>
      </c>
      <c r="E13924" s="3">
        <v>0.14</v>
      </c>
      <c r="F13924" s="3">
        <v>0.65</v>
      </c>
      <c r="G13924" s="3">
        <v>85.13</v>
      </c>
    </row>
    <row r="13925">
      <c r="A13925" s="3">
        <v>789310.0</v>
      </c>
      <c r="B13925" s="3" t="s">
        <v>13953</v>
      </c>
      <c r="C13925" s="3" t="s">
        <v>38</v>
      </c>
      <c r="D13925" s="3">
        <v>393.0</v>
      </c>
      <c r="E13925" s="3">
        <v>11.61</v>
      </c>
      <c r="F13925" s="3">
        <v>4.25</v>
      </c>
      <c r="G13925" s="3">
        <v>72.78</v>
      </c>
    </row>
    <row r="13926">
      <c r="A13926" s="3">
        <v>789321.0</v>
      </c>
      <c r="B13926" s="3" t="s">
        <v>13954</v>
      </c>
      <c r="C13926" s="3" t="s">
        <v>38</v>
      </c>
      <c r="D13926" s="3">
        <v>400.0</v>
      </c>
      <c r="E13926" s="3">
        <v>8.03</v>
      </c>
      <c r="F13926" s="3">
        <v>0.81</v>
      </c>
      <c r="G13926" s="3">
        <v>82.15</v>
      </c>
    </row>
    <row r="13927">
      <c r="A13927" s="3">
        <v>789322.0</v>
      </c>
      <c r="B13927" s="3" t="s">
        <v>13955</v>
      </c>
      <c r="C13927" s="3" t="s">
        <v>38</v>
      </c>
      <c r="D13927" s="3">
        <v>388.0</v>
      </c>
      <c r="E13927" s="3">
        <v>8.22</v>
      </c>
      <c r="F13927" s="3">
        <v>4.67</v>
      </c>
      <c r="G13927" s="3">
        <v>78.17</v>
      </c>
    </row>
    <row r="13928">
      <c r="A13928" s="3">
        <v>789324.0</v>
      </c>
      <c r="B13928" s="3" t="s">
        <v>13956</v>
      </c>
      <c r="C13928" s="3" t="s">
        <v>38</v>
      </c>
      <c r="D13928" s="3">
        <v>446.0</v>
      </c>
      <c r="E13928" s="3">
        <v>18.22</v>
      </c>
      <c r="F13928" s="3">
        <v>7.62</v>
      </c>
      <c r="G13928" s="3">
        <v>66.83</v>
      </c>
    </row>
    <row r="13929">
      <c r="A13929" s="3">
        <v>789325.0</v>
      </c>
      <c r="B13929" s="3" t="s">
        <v>13957</v>
      </c>
      <c r="C13929" s="3" t="s">
        <v>38</v>
      </c>
      <c r="D13929" s="3">
        <v>511.0</v>
      </c>
      <c r="E13929" s="3">
        <v>31.93</v>
      </c>
      <c r="F13929" s="3">
        <v>6.77</v>
      </c>
      <c r="G13929" s="3">
        <v>49.61</v>
      </c>
    </row>
    <row r="13930">
      <c r="A13930" s="3">
        <v>789326.0</v>
      </c>
      <c r="B13930" s="3" t="s">
        <v>13958</v>
      </c>
      <c r="C13930" s="3" t="s">
        <v>38</v>
      </c>
      <c r="D13930" s="3">
        <v>126.0</v>
      </c>
      <c r="E13930" s="3">
        <v>0.0</v>
      </c>
      <c r="F13930" s="3">
        <v>0.0</v>
      </c>
      <c r="G13930" s="3">
        <v>32.53</v>
      </c>
    </row>
    <row r="13931">
      <c r="A13931" s="3">
        <v>789338.0</v>
      </c>
      <c r="B13931" s="3" t="s">
        <v>13959</v>
      </c>
      <c r="C13931" s="3" t="s">
        <v>183</v>
      </c>
      <c r="D13931" s="3">
        <v>0.0</v>
      </c>
      <c r="E13931" s="3">
        <v>0.01</v>
      </c>
      <c r="F13931" s="3">
        <v>0.11</v>
      </c>
      <c r="G13931" s="3">
        <v>0.0</v>
      </c>
    </row>
    <row r="13932">
      <c r="A13932" s="3">
        <v>789339.0</v>
      </c>
      <c r="B13932" s="3" t="s">
        <v>13960</v>
      </c>
      <c r="C13932" s="3" t="s">
        <v>183</v>
      </c>
      <c r="D13932" s="3">
        <v>26.0</v>
      </c>
      <c r="E13932" s="3">
        <v>0.02</v>
      </c>
      <c r="F13932" s="3">
        <v>0.11</v>
      </c>
      <c r="G13932" s="3">
        <v>6.49</v>
      </c>
    </row>
    <row r="13933">
      <c r="A13933" s="3">
        <v>789343.0</v>
      </c>
      <c r="B13933" s="3" t="s">
        <v>13961</v>
      </c>
      <c r="C13933" s="3" t="s">
        <v>183</v>
      </c>
      <c r="D13933" s="3">
        <v>33.0</v>
      </c>
      <c r="E13933" s="3">
        <v>0.17</v>
      </c>
      <c r="F13933" s="3">
        <v>0.11</v>
      </c>
      <c r="G13933" s="3">
        <v>7.86</v>
      </c>
    </row>
    <row r="13934">
      <c r="A13934" s="3">
        <v>789344.0</v>
      </c>
      <c r="B13934" s="3" t="s">
        <v>13962</v>
      </c>
      <c r="C13934" s="3" t="s">
        <v>183</v>
      </c>
      <c r="D13934" s="3">
        <v>23.0</v>
      </c>
      <c r="E13934" s="3">
        <v>0.8</v>
      </c>
      <c r="F13934" s="3">
        <v>1.16</v>
      </c>
      <c r="G13934" s="3">
        <v>2.72</v>
      </c>
    </row>
    <row r="13935">
      <c r="A13935" s="3">
        <v>789345.0</v>
      </c>
      <c r="B13935" s="3" t="s">
        <v>13963</v>
      </c>
      <c r="C13935" s="3" t="s">
        <v>183</v>
      </c>
      <c r="D13935" s="3">
        <v>38.0</v>
      </c>
      <c r="E13935" s="3">
        <v>0.76</v>
      </c>
      <c r="F13935" s="3">
        <v>1.11</v>
      </c>
      <c r="G13935" s="3">
        <v>6.91</v>
      </c>
    </row>
    <row r="13936">
      <c r="A13936" s="3">
        <v>789346.0</v>
      </c>
      <c r="B13936" s="3" t="s">
        <v>13964</v>
      </c>
      <c r="C13936" s="3" t="s">
        <v>183</v>
      </c>
      <c r="D13936" s="3">
        <v>39.0</v>
      </c>
      <c r="E13936" s="3">
        <v>1.08</v>
      </c>
      <c r="F13936" s="3">
        <v>1.64</v>
      </c>
      <c r="G13936" s="3">
        <v>5.64</v>
      </c>
    </row>
    <row r="13937">
      <c r="A13937" s="3">
        <v>789347.0</v>
      </c>
      <c r="B13937" s="3" t="s">
        <v>13965</v>
      </c>
      <c r="C13937" s="3" t="s">
        <v>183</v>
      </c>
      <c r="D13937" s="3">
        <v>39.0</v>
      </c>
      <c r="E13937" s="3">
        <v>1.09</v>
      </c>
      <c r="F13937" s="3">
        <v>1.65</v>
      </c>
      <c r="G13937" s="3">
        <v>5.72</v>
      </c>
    </row>
    <row r="13938">
      <c r="A13938" s="3">
        <v>789348.0</v>
      </c>
      <c r="B13938" s="3" t="s">
        <v>13966</v>
      </c>
      <c r="C13938" s="3" t="s">
        <v>183</v>
      </c>
      <c r="D13938" s="3">
        <v>43.0</v>
      </c>
      <c r="E13938" s="3">
        <v>1.68</v>
      </c>
      <c r="F13938" s="3">
        <v>2.76</v>
      </c>
      <c r="G13938" s="3">
        <v>4.27</v>
      </c>
    </row>
    <row r="13939">
      <c r="A13939" s="3">
        <v>789349.0</v>
      </c>
      <c r="B13939" s="3" t="s">
        <v>13967</v>
      </c>
      <c r="C13939" s="3" t="s">
        <v>183</v>
      </c>
      <c r="D13939" s="3">
        <v>30.0</v>
      </c>
      <c r="E13939" s="3">
        <v>0.1</v>
      </c>
      <c r="F13939" s="3">
        <v>2.82</v>
      </c>
      <c r="G13939" s="3">
        <v>4.4</v>
      </c>
    </row>
    <row r="13940">
      <c r="A13940" s="3">
        <v>789350.0</v>
      </c>
      <c r="B13940" s="3" t="s">
        <v>13968</v>
      </c>
      <c r="C13940" s="3" t="s">
        <v>183</v>
      </c>
      <c r="D13940" s="3">
        <v>35.0</v>
      </c>
      <c r="E13940" s="3">
        <v>1.07</v>
      </c>
      <c r="F13940" s="3">
        <v>1.28</v>
      </c>
      <c r="G13940" s="3">
        <v>5.07</v>
      </c>
    </row>
    <row r="13941">
      <c r="A13941" s="3">
        <v>789351.0</v>
      </c>
      <c r="B13941" s="3" t="s">
        <v>13969</v>
      </c>
      <c r="C13941" s="3" t="s">
        <v>183</v>
      </c>
      <c r="D13941" s="3">
        <v>54.0</v>
      </c>
      <c r="E13941" s="3">
        <v>1.62</v>
      </c>
      <c r="F13941" s="3">
        <v>2.67</v>
      </c>
      <c r="G13941" s="3">
        <v>7.42</v>
      </c>
    </row>
    <row r="13942">
      <c r="A13942" s="3">
        <v>789352.0</v>
      </c>
      <c r="B13942" s="3" t="s">
        <v>13970</v>
      </c>
      <c r="C13942" s="3" t="s">
        <v>183</v>
      </c>
      <c r="D13942" s="3">
        <v>42.0</v>
      </c>
      <c r="E13942" s="3">
        <v>0.09</v>
      </c>
      <c r="F13942" s="3">
        <v>2.73</v>
      </c>
      <c r="G13942" s="3">
        <v>7.55</v>
      </c>
    </row>
    <row r="13943">
      <c r="A13943" s="3">
        <v>789353.0</v>
      </c>
      <c r="B13943" s="3" t="s">
        <v>13971</v>
      </c>
      <c r="C13943" s="3" t="s">
        <v>183</v>
      </c>
      <c r="D13943" s="3">
        <v>47.0</v>
      </c>
      <c r="E13943" s="3">
        <v>1.04</v>
      </c>
      <c r="F13943" s="3">
        <v>1.23</v>
      </c>
      <c r="G13943" s="3">
        <v>8.18</v>
      </c>
    </row>
    <row r="13944">
      <c r="A13944" s="3">
        <v>789354.0</v>
      </c>
      <c r="B13944" s="3" t="s">
        <v>13972</v>
      </c>
      <c r="C13944" s="3" t="s">
        <v>183</v>
      </c>
      <c r="D13944" s="3">
        <v>43.0</v>
      </c>
      <c r="E13944" s="3">
        <v>1.68</v>
      </c>
      <c r="F13944" s="3">
        <v>2.77</v>
      </c>
      <c r="G13944" s="3">
        <v>4.29</v>
      </c>
    </row>
    <row r="13945">
      <c r="A13945" s="3">
        <v>789355.0</v>
      </c>
      <c r="B13945" s="3" t="s">
        <v>13973</v>
      </c>
      <c r="C13945" s="3" t="s">
        <v>183</v>
      </c>
      <c r="D13945" s="3">
        <v>30.0</v>
      </c>
      <c r="E13945" s="3">
        <v>0.1</v>
      </c>
      <c r="F13945" s="3">
        <v>2.83</v>
      </c>
      <c r="G13945" s="3">
        <v>4.42</v>
      </c>
    </row>
    <row r="13946">
      <c r="A13946" s="3">
        <v>789356.0</v>
      </c>
      <c r="B13946" s="3" t="s">
        <v>13974</v>
      </c>
      <c r="C13946" s="3" t="s">
        <v>183</v>
      </c>
      <c r="D13946" s="3">
        <v>35.0</v>
      </c>
      <c r="E13946" s="3">
        <v>1.08</v>
      </c>
      <c r="F13946" s="3">
        <v>1.28</v>
      </c>
      <c r="G13946" s="3">
        <v>5.09</v>
      </c>
    </row>
    <row r="13947">
      <c r="A13947" s="3">
        <v>789357.0</v>
      </c>
      <c r="B13947" s="3" t="s">
        <v>13975</v>
      </c>
      <c r="C13947" s="3" t="s">
        <v>183</v>
      </c>
      <c r="D13947" s="3">
        <v>55.0</v>
      </c>
      <c r="E13947" s="3">
        <v>1.63</v>
      </c>
      <c r="F13947" s="3">
        <v>2.68</v>
      </c>
      <c r="G13947" s="3">
        <v>7.46</v>
      </c>
    </row>
    <row r="13948">
      <c r="A13948" s="3">
        <v>789358.0</v>
      </c>
      <c r="B13948" s="3" t="s">
        <v>13976</v>
      </c>
      <c r="C13948" s="3" t="s">
        <v>183</v>
      </c>
      <c r="D13948" s="3">
        <v>42.0</v>
      </c>
      <c r="E13948" s="3">
        <v>0.09</v>
      </c>
      <c r="F13948" s="3">
        <v>2.74</v>
      </c>
      <c r="G13948" s="3">
        <v>7.59</v>
      </c>
    </row>
    <row r="13949">
      <c r="A13949" s="3">
        <v>789359.0</v>
      </c>
      <c r="B13949" s="3" t="s">
        <v>13977</v>
      </c>
      <c r="C13949" s="3" t="s">
        <v>183</v>
      </c>
      <c r="D13949" s="3">
        <v>47.0</v>
      </c>
      <c r="E13949" s="3">
        <v>1.04</v>
      </c>
      <c r="F13949" s="3">
        <v>1.24</v>
      </c>
      <c r="G13949" s="3">
        <v>8.22</v>
      </c>
    </row>
    <row r="13950">
      <c r="A13950" s="3">
        <v>789360.0</v>
      </c>
      <c r="B13950" s="3" t="s">
        <v>13978</v>
      </c>
      <c r="C13950" s="3" t="s">
        <v>183</v>
      </c>
      <c r="D13950" s="3">
        <v>67.0</v>
      </c>
      <c r="E13950" s="3">
        <v>0.93</v>
      </c>
      <c r="F13950" s="3">
        <v>1.53</v>
      </c>
      <c r="G13950" s="3">
        <v>13.4</v>
      </c>
    </row>
    <row r="13951">
      <c r="A13951" s="3">
        <v>789361.0</v>
      </c>
      <c r="B13951" s="3" t="s">
        <v>13979</v>
      </c>
      <c r="C13951" s="3" t="s">
        <v>183</v>
      </c>
      <c r="D13951" s="3">
        <v>59.0</v>
      </c>
      <c r="E13951" s="3">
        <v>0.06</v>
      </c>
      <c r="F13951" s="3">
        <v>1.56</v>
      </c>
      <c r="G13951" s="3">
        <v>13.47</v>
      </c>
    </row>
    <row r="13952">
      <c r="A13952" s="3">
        <v>789362.0</v>
      </c>
      <c r="B13952" s="3" t="s">
        <v>13980</v>
      </c>
      <c r="C13952" s="3" t="s">
        <v>183</v>
      </c>
      <c r="D13952" s="3">
        <v>62.0</v>
      </c>
      <c r="E13952" s="3">
        <v>0.6</v>
      </c>
      <c r="F13952" s="3">
        <v>0.71</v>
      </c>
      <c r="G13952" s="3">
        <v>13.82</v>
      </c>
    </row>
    <row r="13953">
      <c r="A13953" s="3">
        <v>789363.0</v>
      </c>
      <c r="B13953" s="3" t="s">
        <v>13981</v>
      </c>
      <c r="C13953" s="3" t="s">
        <v>183</v>
      </c>
      <c r="D13953" s="3">
        <v>81.0</v>
      </c>
      <c r="E13953" s="3">
        <v>2.8</v>
      </c>
      <c r="F13953" s="3">
        <v>1.6</v>
      </c>
      <c r="G13953" s="3">
        <v>12.83</v>
      </c>
    </row>
    <row r="13954">
      <c r="A13954" s="3">
        <v>789364.0</v>
      </c>
      <c r="B13954" s="3" t="s">
        <v>13982</v>
      </c>
      <c r="C13954" s="3" t="s">
        <v>183</v>
      </c>
      <c r="D13954" s="3">
        <v>74.0</v>
      </c>
      <c r="E13954" s="3">
        <v>1.98</v>
      </c>
      <c r="F13954" s="3">
        <v>1.63</v>
      </c>
      <c r="G13954" s="3">
        <v>12.9</v>
      </c>
    </row>
    <row r="13955">
      <c r="A13955" s="3">
        <v>789365.0</v>
      </c>
      <c r="B13955" s="3" t="s">
        <v>13983</v>
      </c>
      <c r="C13955" s="3" t="s">
        <v>183</v>
      </c>
      <c r="D13955" s="3">
        <v>77.0</v>
      </c>
      <c r="E13955" s="3">
        <v>2.48</v>
      </c>
      <c r="F13955" s="3">
        <v>0.82</v>
      </c>
      <c r="G13955" s="3">
        <v>13.23</v>
      </c>
    </row>
    <row r="13956">
      <c r="A13956" s="3">
        <v>789366.0</v>
      </c>
      <c r="B13956" s="3" t="s">
        <v>13984</v>
      </c>
      <c r="C13956" s="3" t="s">
        <v>183</v>
      </c>
      <c r="D13956" s="3">
        <v>67.0</v>
      </c>
      <c r="E13956" s="3">
        <v>0.94</v>
      </c>
      <c r="F13956" s="3">
        <v>1.53</v>
      </c>
      <c r="G13956" s="3">
        <v>13.46</v>
      </c>
    </row>
    <row r="13957">
      <c r="A13957" s="3">
        <v>789367.0</v>
      </c>
      <c r="B13957" s="3" t="s">
        <v>13985</v>
      </c>
      <c r="C13957" s="3" t="s">
        <v>183</v>
      </c>
      <c r="D13957" s="3">
        <v>60.0</v>
      </c>
      <c r="E13957" s="3">
        <v>0.06</v>
      </c>
      <c r="F13957" s="3">
        <v>1.57</v>
      </c>
      <c r="G13957" s="3">
        <v>13.53</v>
      </c>
    </row>
    <row r="13958">
      <c r="A13958" s="3">
        <v>789368.0</v>
      </c>
      <c r="B13958" s="3" t="s">
        <v>13986</v>
      </c>
      <c r="C13958" s="3" t="s">
        <v>183</v>
      </c>
      <c r="D13958" s="3">
        <v>64.0</v>
      </c>
      <c r="E13958" s="3">
        <v>0.7</v>
      </c>
      <c r="F13958" s="3">
        <v>1.21</v>
      </c>
      <c r="G13958" s="3">
        <v>13.52</v>
      </c>
    </row>
    <row r="13959">
      <c r="A13959" s="3">
        <v>789369.0</v>
      </c>
      <c r="B13959" s="3" t="s">
        <v>13987</v>
      </c>
      <c r="C13959" s="3" t="s">
        <v>183</v>
      </c>
      <c r="D13959" s="3">
        <v>81.0</v>
      </c>
      <c r="E13959" s="3">
        <v>2.81</v>
      </c>
      <c r="F13959" s="3">
        <v>1.6</v>
      </c>
      <c r="G13959" s="3">
        <v>12.89</v>
      </c>
    </row>
    <row r="13960">
      <c r="A13960" s="3">
        <v>789370.0</v>
      </c>
      <c r="B13960" s="3" t="s">
        <v>13988</v>
      </c>
      <c r="C13960" s="3" t="s">
        <v>183</v>
      </c>
      <c r="D13960" s="3">
        <v>75.0</v>
      </c>
      <c r="E13960" s="3">
        <v>1.98</v>
      </c>
      <c r="F13960" s="3">
        <v>1.63</v>
      </c>
      <c r="G13960" s="3">
        <v>12.96</v>
      </c>
    </row>
    <row r="13961">
      <c r="A13961" s="3">
        <v>789371.0</v>
      </c>
      <c r="B13961" s="3" t="s">
        <v>13989</v>
      </c>
      <c r="C13961" s="3" t="s">
        <v>183</v>
      </c>
      <c r="D13961" s="3">
        <v>77.0</v>
      </c>
      <c r="E13961" s="3">
        <v>2.49</v>
      </c>
      <c r="F13961" s="3">
        <v>0.82</v>
      </c>
      <c r="G13961" s="3">
        <v>13.29</v>
      </c>
    </row>
    <row r="13962">
      <c r="A13962" s="3">
        <v>789372.0</v>
      </c>
      <c r="B13962" s="3" t="s">
        <v>13990</v>
      </c>
      <c r="C13962" s="3" t="s">
        <v>183</v>
      </c>
      <c r="D13962" s="3">
        <v>64.0</v>
      </c>
      <c r="E13962" s="3">
        <v>1.53</v>
      </c>
      <c r="F13962" s="3">
        <v>2.52</v>
      </c>
      <c r="G13962" s="3">
        <v>10.15</v>
      </c>
    </row>
    <row r="13963">
      <c r="A13963" s="3">
        <v>789373.0</v>
      </c>
      <c r="B13963" s="3" t="s">
        <v>13991</v>
      </c>
      <c r="C13963" s="3" t="s">
        <v>183</v>
      </c>
      <c r="D13963" s="3">
        <v>52.0</v>
      </c>
      <c r="E13963" s="3">
        <v>0.09</v>
      </c>
      <c r="F13963" s="3">
        <v>2.56</v>
      </c>
      <c r="G13963" s="3">
        <v>10.23</v>
      </c>
    </row>
    <row r="13964">
      <c r="A13964" s="3">
        <v>789374.0</v>
      </c>
      <c r="B13964" s="3" t="s">
        <v>13992</v>
      </c>
      <c r="C13964" s="3" t="s">
        <v>183</v>
      </c>
      <c r="D13964" s="3">
        <v>57.0</v>
      </c>
      <c r="E13964" s="3">
        <v>0.98</v>
      </c>
      <c r="F13964" s="3">
        <v>1.16</v>
      </c>
      <c r="G13964" s="3">
        <v>10.81</v>
      </c>
    </row>
    <row r="13965">
      <c r="A13965" s="3">
        <v>789375.0</v>
      </c>
      <c r="B13965" s="3" t="s">
        <v>13993</v>
      </c>
      <c r="C13965" s="3" t="s">
        <v>183</v>
      </c>
      <c r="D13965" s="3">
        <v>64.0</v>
      </c>
      <c r="E13965" s="3">
        <v>1.53</v>
      </c>
      <c r="F13965" s="3">
        <v>2.52</v>
      </c>
      <c r="G13965" s="3">
        <v>10.15</v>
      </c>
    </row>
    <row r="13966">
      <c r="A13966" s="3">
        <v>789376.0</v>
      </c>
      <c r="B13966" s="3" t="s">
        <v>13994</v>
      </c>
      <c r="C13966" s="3" t="s">
        <v>183</v>
      </c>
      <c r="D13966" s="3">
        <v>52.0</v>
      </c>
      <c r="E13966" s="3">
        <v>0.09</v>
      </c>
      <c r="F13966" s="3">
        <v>2.57</v>
      </c>
      <c r="G13966" s="3">
        <v>10.27</v>
      </c>
    </row>
    <row r="13967">
      <c r="A13967" s="3">
        <v>789377.0</v>
      </c>
      <c r="B13967" s="3" t="s">
        <v>13995</v>
      </c>
      <c r="C13967" s="3" t="s">
        <v>183</v>
      </c>
      <c r="D13967" s="3">
        <v>57.0</v>
      </c>
      <c r="E13967" s="3">
        <v>0.98</v>
      </c>
      <c r="F13967" s="3">
        <v>1.16</v>
      </c>
      <c r="G13967" s="3">
        <v>10.86</v>
      </c>
    </row>
    <row r="13968">
      <c r="A13968" s="3">
        <v>789378.0</v>
      </c>
      <c r="B13968" s="3" t="s">
        <v>13996</v>
      </c>
      <c r="C13968" s="3" t="s">
        <v>183</v>
      </c>
      <c r="D13968" s="3">
        <v>66.0</v>
      </c>
      <c r="E13968" s="3">
        <v>0.91</v>
      </c>
      <c r="F13968" s="3">
        <v>1.48</v>
      </c>
      <c r="G13968" s="3">
        <v>13.04</v>
      </c>
    </row>
    <row r="13969">
      <c r="A13969" s="3">
        <v>789379.0</v>
      </c>
      <c r="B13969" s="3" t="s">
        <v>13997</v>
      </c>
      <c r="C13969" s="3" t="s">
        <v>183</v>
      </c>
      <c r="D13969" s="3">
        <v>59.0</v>
      </c>
      <c r="E13969" s="3">
        <v>0.06</v>
      </c>
      <c r="F13969" s="3">
        <v>1.51</v>
      </c>
      <c r="G13969" s="3">
        <v>13.11</v>
      </c>
    </row>
    <row r="13970">
      <c r="A13970" s="3">
        <v>789380.0</v>
      </c>
      <c r="B13970" s="3" t="s">
        <v>13998</v>
      </c>
      <c r="C13970" s="3" t="s">
        <v>183</v>
      </c>
      <c r="D13970" s="3">
        <v>61.0</v>
      </c>
      <c r="E13970" s="3">
        <v>0.59</v>
      </c>
      <c r="F13970" s="3">
        <v>0.69</v>
      </c>
      <c r="G13970" s="3">
        <v>13.45</v>
      </c>
    </row>
    <row r="13971">
      <c r="A13971" s="3">
        <v>789381.0</v>
      </c>
      <c r="B13971" s="3" t="s">
        <v>13999</v>
      </c>
      <c r="C13971" s="3" t="s">
        <v>183</v>
      </c>
      <c r="D13971" s="3">
        <v>80.0</v>
      </c>
      <c r="E13971" s="3">
        <v>2.72</v>
      </c>
      <c r="F13971" s="3">
        <v>1.55</v>
      </c>
      <c r="G13971" s="3">
        <v>12.51</v>
      </c>
    </row>
    <row r="13972">
      <c r="A13972" s="3">
        <v>789382.0</v>
      </c>
      <c r="B13972" s="3" t="s">
        <v>14000</v>
      </c>
      <c r="C13972" s="3" t="s">
        <v>183</v>
      </c>
      <c r="D13972" s="3">
        <v>73.0</v>
      </c>
      <c r="E13972" s="3">
        <v>1.92</v>
      </c>
      <c r="F13972" s="3">
        <v>1.58</v>
      </c>
      <c r="G13972" s="3">
        <v>12.58</v>
      </c>
    </row>
    <row r="13973">
      <c r="A13973" s="3">
        <v>789383.0</v>
      </c>
      <c r="B13973" s="3" t="s">
        <v>14001</v>
      </c>
      <c r="C13973" s="3" t="s">
        <v>183</v>
      </c>
      <c r="D13973" s="3">
        <v>76.0</v>
      </c>
      <c r="E13973" s="3">
        <v>2.41</v>
      </c>
      <c r="F13973" s="3">
        <v>0.8</v>
      </c>
      <c r="G13973" s="3">
        <v>12.9</v>
      </c>
    </row>
    <row r="13974">
      <c r="A13974" s="3">
        <v>789384.0</v>
      </c>
      <c r="B13974" s="3" t="s">
        <v>14002</v>
      </c>
      <c r="C13974" s="3" t="s">
        <v>183</v>
      </c>
      <c r="D13974" s="3">
        <v>66.0</v>
      </c>
      <c r="E13974" s="3">
        <v>0.91</v>
      </c>
      <c r="F13974" s="3">
        <v>1.49</v>
      </c>
      <c r="G13974" s="3">
        <v>13.1</v>
      </c>
    </row>
    <row r="13975">
      <c r="A13975" s="3">
        <v>789385.0</v>
      </c>
      <c r="B13975" s="3" t="s">
        <v>14003</v>
      </c>
      <c r="C13975" s="3" t="s">
        <v>183</v>
      </c>
      <c r="D13975" s="3">
        <v>59.0</v>
      </c>
      <c r="E13975" s="3">
        <v>0.06</v>
      </c>
      <c r="F13975" s="3">
        <v>1.52</v>
      </c>
      <c r="G13975" s="3">
        <v>13.17</v>
      </c>
    </row>
    <row r="13976">
      <c r="A13976" s="3">
        <v>789386.0</v>
      </c>
      <c r="B13976" s="3" t="s">
        <v>14004</v>
      </c>
      <c r="C13976" s="3" t="s">
        <v>183</v>
      </c>
      <c r="D13976" s="3">
        <v>62.0</v>
      </c>
      <c r="E13976" s="3">
        <v>0.59</v>
      </c>
      <c r="F13976" s="3">
        <v>0.69</v>
      </c>
      <c r="G13976" s="3">
        <v>13.51</v>
      </c>
    </row>
    <row r="13977">
      <c r="A13977" s="3">
        <v>789387.0</v>
      </c>
      <c r="B13977" s="3" t="s">
        <v>14005</v>
      </c>
      <c r="C13977" s="3" t="s">
        <v>183</v>
      </c>
      <c r="D13977" s="3">
        <v>80.0</v>
      </c>
      <c r="E13977" s="3">
        <v>2.73</v>
      </c>
      <c r="F13977" s="3">
        <v>1.56</v>
      </c>
      <c r="G13977" s="3">
        <v>12.56</v>
      </c>
    </row>
    <row r="13978">
      <c r="A13978" s="3">
        <v>789388.0</v>
      </c>
      <c r="B13978" s="3" t="s">
        <v>14006</v>
      </c>
      <c r="C13978" s="3" t="s">
        <v>183</v>
      </c>
      <c r="D13978" s="3">
        <v>73.0</v>
      </c>
      <c r="E13978" s="3">
        <v>1.93</v>
      </c>
      <c r="F13978" s="3">
        <v>1.59</v>
      </c>
      <c r="G13978" s="3">
        <v>12.63</v>
      </c>
    </row>
    <row r="13979">
      <c r="A13979" s="3">
        <v>789389.0</v>
      </c>
      <c r="B13979" s="3" t="s">
        <v>14007</v>
      </c>
      <c r="C13979" s="3" t="s">
        <v>183</v>
      </c>
      <c r="D13979" s="3">
        <v>76.0</v>
      </c>
      <c r="E13979" s="3">
        <v>2.42</v>
      </c>
      <c r="F13979" s="3">
        <v>0.8</v>
      </c>
      <c r="G13979" s="3">
        <v>12.95</v>
      </c>
    </row>
    <row r="13980">
      <c r="A13980" s="3">
        <v>789390.0</v>
      </c>
      <c r="B13980" s="3" t="s">
        <v>14008</v>
      </c>
      <c r="C13980" s="3" t="s">
        <v>183</v>
      </c>
      <c r="D13980" s="3">
        <v>1.0</v>
      </c>
      <c r="E13980" s="3">
        <v>0.02</v>
      </c>
      <c r="F13980" s="3">
        <v>0.09</v>
      </c>
      <c r="G13980" s="3">
        <v>0.0</v>
      </c>
    </row>
    <row r="13981">
      <c r="A13981" s="3">
        <v>789391.0</v>
      </c>
      <c r="B13981" s="3" t="s">
        <v>14009</v>
      </c>
      <c r="C13981" s="3" t="s">
        <v>183</v>
      </c>
      <c r="D13981" s="3">
        <v>0.0</v>
      </c>
      <c r="E13981" s="3">
        <v>0.0</v>
      </c>
      <c r="F13981" s="3">
        <v>0.08</v>
      </c>
      <c r="G13981" s="3">
        <v>0.0</v>
      </c>
    </row>
    <row r="13982">
      <c r="A13982" s="3">
        <v>789392.0</v>
      </c>
      <c r="B13982" s="3" t="s">
        <v>14010</v>
      </c>
      <c r="C13982" s="3" t="s">
        <v>183</v>
      </c>
      <c r="D13982" s="3">
        <v>30.0</v>
      </c>
      <c r="E13982" s="3">
        <v>1.1</v>
      </c>
      <c r="F13982" s="3">
        <v>0.25</v>
      </c>
      <c r="G13982" s="3">
        <v>4.91</v>
      </c>
    </row>
    <row r="13983">
      <c r="A13983" s="3">
        <v>789393.0</v>
      </c>
      <c r="B13983" s="3" t="s">
        <v>14011</v>
      </c>
      <c r="C13983" s="3" t="s">
        <v>183</v>
      </c>
      <c r="D13983" s="3">
        <v>27.0</v>
      </c>
      <c r="E13983" s="3">
        <v>1.05</v>
      </c>
      <c r="F13983" s="3">
        <v>1.72</v>
      </c>
      <c r="G13983" s="3">
        <v>2.76</v>
      </c>
    </row>
    <row r="13984">
      <c r="A13984" s="3">
        <v>789394.0</v>
      </c>
      <c r="B13984" s="3" t="s">
        <v>14012</v>
      </c>
      <c r="C13984" s="3" t="s">
        <v>183</v>
      </c>
      <c r="D13984" s="3">
        <v>19.0</v>
      </c>
      <c r="E13984" s="3">
        <v>0.07</v>
      </c>
      <c r="F13984" s="3">
        <v>1.75</v>
      </c>
      <c r="G13984" s="3">
        <v>2.84</v>
      </c>
    </row>
    <row r="13985">
      <c r="A13985" s="3">
        <v>789395.0</v>
      </c>
      <c r="B13985" s="3" t="s">
        <v>14013</v>
      </c>
      <c r="C13985" s="3" t="s">
        <v>183</v>
      </c>
      <c r="D13985" s="3">
        <v>22.0</v>
      </c>
      <c r="E13985" s="3">
        <v>0.68</v>
      </c>
      <c r="F13985" s="3">
        <v>0.8</v>
      </c>
      <c r="G13985" s="3">
        <v>3.26</v>
      </c>
    </row>
    <row r="13986">
      <c r="A13986" s="3">
        <v>789396.0</v>
      </c>
      <c r="B13986" s="3" t="s">
        <v>14014</v>
      </c>
      <c r="C13986" s="3" t="s">
        <v>183</v>
      </c>
      <c r="D13986" s="3">
        <v>39.0</v>
      </c>
      <c r="E13986" s="3">
        <v>1.01</v>
      </c>
      <c r="F13986" s="3">
        <v>1.66</v>
      </c>
      <c r="G13986" s="3">
        <v>6.06</v>
      </c>
    </row>
    <row r="13987">
      <c r="A13987" s="3">
        <v>789397.0</v>
      </c>
      <c r="B13987" s="3" t="s">
        <v>14015</v>
      </c>
      <c r="C13987" s="3" t="s">
        <v>183</v>
      </c>
      <c r="D13987" s="3">
        <v>32.0</v>
      </c>
      <c r="E13987" s="3">
        <v>0.07</v>
      </c>
      <c r="F13987" s="3">
        <v>1.69</v>
      </c>
      <c r="G13987" s="3">
        <v>6.14</v>
      </c>
    </row>
    <row r="13988">
      <c r="A13988" s="3">
        <v>789398.0</v>
      </c>
      <c r="B13988" s="3" t="s">
        <v>14016</v>
      </c>
      <c r="C13988" s="3" t="s">
        <v>183</v>
      </c>
      <c r="D13988" s="3">
        <v>35.0</v>
      </c>
      <c r="E13988" s="3">
        <v>0.66</v>
      </c>
      <c r="F13988" s="3">
        <v>0.77</v>
      </c>
      <c r="G13988" s="3">
        <v>6.53</v>
      </c>
    </row>
    <row r="13989">
      <c r="A13989" s="3">
        <v>789399.0</v>
      </c>
      <c r="B13989" s="3" t="s">
        <v>14017</v>
      </c>
      <c r="C13989" s="3" t="s">
        <v>183</v>
      </c>
      <c r="D13989" s="3">
        <v>27.0</v>
      </c>
      <c r="E13989" s="3">
        <v>1.05</v>
      </c>
      <c r="F13989" s="3">
        <v>1.72</v>
      </c>
      <c r="G13989" s="3">
        <v>2.77</v>
      </c>
    </row>
    <row r="13990">
      <c r="A13990" s="3">
        <v>789400.0</v>
      </c>
      <c r="B13990" s="3" t="s">
        <v>14018</v>
      </c>
      <c r="C13990" s="3" t="s">
        <v>183</v>
      </c>
      <c r="D13990" s="3">
        <v>19.0</v>
      </c>
      <c r="E13990" s="3">
        <v>0.07</v>
      </c>
      <c r="F13990" s="3">
        <v>1.76</v>
      </c>
      <c r="G13990" s="3">
        <v>2.85</v>
      </c>
    </row>
    <row r="13991">
      <c r="A13991" s="3">
        <v>789401.0</v>
      </c>
      <c r="B13991" s="3" t="s">
        <v>14019</v>
      </c>
      <c r="C13991" s="3" t="s">
        <v>183</v>
      </c>
      <c r="D13991" s="3">
        <v>23.0</v>
      </c>
      <c r="E13991" s="3">
        <v>0.68</v>
      </c>
      <c r="F13991" s="3">
        <v>0.8</v>
      </c>
      <c r="G13991" s="3">
        <v>3.27</v>
      </c>
    </row>
    <row r="13992">
      <c r="A13992" s="3">
        <v>789402.0</v>
      </c>
      <c r="B13992" s="3" t="s">
        <v>14020</v>
      </c>
      <c r="C13992" s="3" t="s">
        <v>183</v>
      </c>
      <c r="D13992" s="3">
        <v>40.0</v>
      </c>
      <c r="E13992" s="3">
        <v>1.02</v>
      </c>
      <c r="F13992" s="3">
        <v>1.66</v>
      </c>
      <c r="G13992" s="3">
        <v>6.08</v>
      </c>
    </row>
    <row r="13993">
      <c r="A13993" s="3">
        <v>789403.0</v>
      </c>
      <c r="B13993" s="3" t="s">
        <v>14021</v>
      </c>
      <c r="C13993" s="3" t="s">
        <v>183</v>
      </c>
      <c r="D13993" s="3">
        <v>32.0</v>
      </c>
      <c r="E13993" s="3">
        <v>0.07</v>
      </c>
      <c r="F13993" s="3">
        <v>1.7</v>
      </c>
      <c r="G13993" s="3">
        <v>6.16</v>
      </c>
    </row>
    <row r="13994">
      <c r="A13994" s="3">
        <v>789404.0</v>
      </c>
      <c r="B13994" s="3" t="s">
        <v>14022</v>
      </c>
      <c r="C13994" s="3" t="s">
        <v>183</v>
      </c>
      <c r="D13994" s="3">
        <v>35.0</v>
      </c>
      <c r="E13994" s="3">
        <v>0.66</v>
      </c>
      <c r="F13994" s="3">
        <v>0.77</v>
      </c>
      <c r="G13994" s="3">
        <v>6.56</v>
      </c>
    </row>
    <row r="13995">
      <c r="A13995" s="3">
        <v>789405.0</v>
      </c>
      <c r="B13995" s="3" t="s">
        <v>14023</v>
      </c>
      <c r="C13995" s="3" t="s">
        <v>183</v>
      </c>
      <c r="D13995" s="3">
        <v>50.0</v>
      </c>
      <c r="E13995" s="3">
        <v>0.95</v>
      </c>
      <c r="F13995" s="3">
        <v>1.55</v>
      </c>
      <c r="G13995" s="3">
        <v>8.9</v>
      </c>
    </row>
    <row r="13996">
      <c r="A13996" s="3">
        <v>789406.0</v>
      </c>
      <c r="B13996" s="3" t="s">
        <v>14024</v>
      </c>
      <c r="C13996" s="3" t="s">
        <v>183</v>
      </c>
      <c r="D13996" s="3">
        <v>43.0</v>
      </c>
      <c r="E13996" s="3">
        <v>0.07</v>
      </c>
      <c r="F13996" s="3">
        <v>1.59</v>
      </c>
      <c r="G13996" s="3">
        <v>8.98</v>
      </c>
    </row>
    <row r="13997">
      <c r="A13997" s="3">
        <v>789407.0</v>
      </c>
      <c r="B13997" s="3" t="s">
        <v>14025</v>
      </c>
      <c r="C13997" s="3" t="s">
        <v>183</v>
      </c>
      <c r="D13997" s="3">
        <v>46.0</v>
      </c>
      <c r="E13997" s="3">
        <v>0.61</v>
      </c>
      <c r="F13997" s="3">
        <v>0.72</v>
      </c>
      <c r="G13997" s="3">
        <v>9.34</v>
      </c>
    </row>
    <row r="13998">
      <c r="A13998" s="3">
        <v>789408.0</v>
      </c>
      <c r="B13998" s="3" t="s">
        <v>14026</v>
      </c>
      <c r="C13998" s="3" t="s">
        <v>183</v>
      </c>
      <c r="D13998" s="3">
        <v>51.0</v>
      </c>
      <c r="E13998" s="3">
        <v>0.95</v>
      </c>
      <c r="F13998" s="3">
        <v>1.56</v>
      </c>
      <c r="G13998" s="3">
        <v>8.94</v>
      </c>
    </row>
    <row r="13999">
      <c r="A13999" s="3">
        <v>789409.0</v>
      </c>
      <c r="B13999" s="3" t="s">
        <v>14027</v>
      </c>
      <c r="C13999" s="3" t="s">
        <v>183</v>
      </c>
      <c r="D13999" s="3">
        <v>43.0</v>
      </c>
      <c r="E13999" s="3">
        <v>0.06</v>
      </c>
      <c r="F13999" s="3">
        <v>1.59</v>
      </c>
      <c r="G13999" s="3">
        <v>9.02</v>
      </c>
    </row>
    <row r="14000">
      <c r="A14000" s="3">
        <v>789410.0</v>
      </c>
      <c r="B14000" s="3" t="s">
        <v>14028</v>
      </c>
      <c r="C14000" s="3" t="s">
        <v>183</v>
      </c>
      <c r="D14000" s="3">
        <v>46.0</v>
      </c>
      <c r="E14000" s="3">
        <v>0.62</v>
      </c>
      <c r="F14000" s="3">
        <v>0.72</v>
      </c>
      <c r="G14000" s="3">
        <v>9.38</v>
      </c>
    </row>
    <row r="14001">
      <c r="A14001" s="3">
        <v>789411.0</v>
      </c>
      <c r="B14001" s="3" t="s">
        <v>14029</v>
      </c>
      <c r="C14001" s="3" t="s">
        <v>183</v>
      </c>
      <c r="D14001" s="3">
        <v>3.0</v>
      </c>
      <c r="E14001" s="3">
        <v>0.0</v>
      </c>
      <c r="F14001" s="3">
        <v>0.1</v>
      </c>
      <c r="G14001" s="3">
        <v>0.63</v>
      </c>
    </row>
    <row r="14002">
      <c r="A14002" s="3">
        <v>789412.0</v>
      </c>
      <c r="B14002" s="3" t="s">
        <v>14030</v>
      </c>
      <c r="C14002" s="3" t="s">
        <v>183</v>
      </c>
      <c r="D14002" s="3">
        <v>3.0</v>
      </c>
      <c r="E14002" s="3">
        <v>0.0</v>
      </c>
      <c r="F14002" s="3">
        <v>0.12</v>
      </c>
      <c r="G14002" s="3">
        <v>0.61</v>
      </c>
    </row>
    <row r="14003">
      <c r="A14003" s="3">
        <v>789415.0</v>
      </c>
      <c r="B14003" s="3" t="s">
        <v>14031</v>
      </c>
      <c r="C14003" s="3" t="s">
        <v>183</v>
      </c>
      <c r="D14003" s="3">
        <v>3.0</v>
      </c>
      <c r="E14003" s="3">
        <v>0.0</v>
      </c>
      <c r="F14003" s="3">
        <v>0.1</v>
      </c>
      <c r="G14003" s="3">
        <v>0.64</v>
      </c>
    </row>
    <row r="14004">
      <c r="A14004" s="3">
        <v>789416.0</v>
      </c>
      <c r="B14004" s="3" t="s">
        <v>14032</v>
      </c>
      <c r="C14004" s="3" t="s">
        <v>183</v>
      </c>
      <c r="D14004" s="3">
        <v>27.0</v>
      </c>
      <c r="E14004" s="3">
        <v>0.68</v>
      </c>
      <c r="F14004" s="3">
        <v>0.15</v>
      </c>
      <c r="G14004" s="3">
        <v>5.12</v>
      </c>
    </row>
    <row r="14005">
      <c r="A14005" s="3">
        <v>789417.0</v>
      </c>
      <c r="B14005" s="3" t="s">
        <v>14033</v>
      </c>
      <c r="C14005" s="3" t="s">
        <v>183</v>
      </c>
      <c r="D14005" s="3">
        <v>26.0</v>
      </c>
      <c r="E14005" s="3">
        <v>0.68</v>
      </c>
      <c r="F14005" s="3">
        <v>0.14</v>
      </c>
      <c r="G14005" s="3">
        <v>5.13</v>
      </c>
    </row>
    <row r="14006">
      <c r="A14006" s="3">
        <v>789418.0</v>
      </c>
      <c r="B14006" s="3" t="s">
        <v>14034</v>
      </c>
      <c r="C14006" s="3" t="s">
        <v>183</v>
      </c>
      <c r="D14006" s="3">
        <v>16.0</v>
      </c>
      <c r="E14006" s="3">
        <v>0.0</v>
      </c>
      <c r="F14006" s="3">
        <v>0.1</v>
      </c>
      <c r="G14006" s="3">
        <v>3.98</v>
      </c>
    </row>
    <row r="14007">
      <c r="A14007" s="3">
        <v>789419.0</v>
      </c>
      <c r="B14007" s="3" t="s">
        <v>14035</v>
      </c>
      <c r="C14007" s="3" t="s">
        <v>183</v>
      </c>
      <c r="D14007" s="3">
        <v>44.0</v>
      </c>
      <c r="E14007" s="3">
        <v>1.8</v>
      </c>
      <c r="F14007" s="3">
        <v>0.43</v>
      </c>
      <c r="G14007" s="3">
        <v>6.49</v>
      </c>
    </row>
    <row r="14008">
      <c r="A14008" s="3">
        <v>789420.0</v>
      </c>
      <c r="B14008" s="3" t="s">
        <v>14036</v>
      </c>
      <c r="C14008" s="3" t="s">
        <v>183</v>
      </c>
      <c r="D14008" s="3">
        <v>15.0</v>
      </c>
      <c r="E14008" s="3">
        <v>0.43</v>
      </c>
      <c r="F14008" s="3">
        <v>0.32</v>
      </c>
      <c r="G14008" s="3">
        <v>2.46</v>
      </c>
    </row>
    <row r="14009">
      <c r="A14009" s="3">
        <v>789421.0</v>
      </c>
      <c r="B14009" s="3" t="s">
        <v>14037</v>
      </c>
      <c r="C14009" s="3" t="s">
        <v>183</v>
      </c>
      <c r="D14009" s="3">
        <v>16.0</v>
      </c>
      <c r="E14009" s="3">
        <v>0.7</v>
      </c>
      <c r="F14009" s="3">
        <v>0.15</v>
      </c>
      <c r="G14009" s="3">
        <v>2.37</v>
      </c>
    </row>
    <row r="14010">
      <c r="A14010" s="3">
        <v>789422.0</v>
      </c>
      <c r="B14010" s="3" t="s">
        <v>14038</v>
      </c>
      <c r="C14010" s="3" t="s">
        <v>183</v>
      </c>
      <c r="D14010" s="3">
        <v>16.0</v>
      </c>
      <c r="E14010" s="3">
        <v>0.7</v>
      </c>
      <c r="F14010" s="3">
        <v>0.15</v>
      </c>
      <c r="G14010" s="3">
        <v>2.38</v>
      </c>
    </row>
    <row r="14011">
      <c r="A14011" s="3">
        <v>789423.0</v>
      </c>
      <c r="B14011" s="3" t="s">
        <v>14039</v>
      </c>
      <c r="C14011" s="3" t="s">
        <v>183</v>
      </c>
      <c r="D14011" s="3">
        <v>14.0</v>
      </c>
      <c r="E14011" s="3">
        <v>0.43</v>
      </c>
      <c r="F14011" s="3">
        <v>0.29</v>
      </c>
      <c r="G14011" s="3">
        <v>2.33</v>
      </c>
    </row>
    <row r="14012">
      <c r="A14012" s="3">
        <v>789424.0</v>
      </c>
      <c r="B14012" s="3" t="s">
        <v>14040</v>
      </c>
      <c r="C14012" s="3" t="s">
        <v>183</v>
      </c>
      <c r="D14012" s="3">
        <v>27.0</v>
      </c>
      <c r="E14012" s="3">
        <v>0.68</v>
      </c>
      <c r="F14012" s="3">
        <v>0.15</v>
      </c>
      <c r="G14012" s="3">
        <v>5.12</v>
      </c>
    </row>
    <row r="14013">
      <c r="A14013" s="3">
        <v>789425.0</v>
      </c>
      <c r="B14013" s="3" t="s">
        <v>14041</v>
      </c>
      <c r="C14013" s="3" t="s">
        <v>183</v>
      </c>
      <c r="D14013" s="3">
        <v>26.0</v>
      </c>
      <c r="E14013" s="3">
        <v>0.68</v>
      </c>
      <c r="F14013" s="3">
        <v>0.14</v>
      </c>
      <c r="G14013" s="3">
        <v>5.13</v>
      </c>
    </row>
    <row r="14014">
      <c r="A14014" s="3">
        <v>789426.0</v>
      </c>
      <c r="B14014" s="3" t="s">
        <v>14042</v>
      </c>
      <c r="C14014" s="3" t="s">
        <v>183</v>
      </c>
      <c r="D14014" s="3">
        <v>16.0</v>
      </c>
      <c r="E14014" s="3">
        <v>0.7</v>
      </c>
      <c r="F14014" s="3">
        <v>0.15</v>
      </c>
      <c r="G14014" s="3">
        <v>2.37</v>
      </c>
    </row>
    <row r="14015">
      <c r="A14015" s="3">
        <v>789427.0</v>
      </c>
      <c r="B14015" s="3" t="s">
        <v>14043</v>
      </c>
      <c r="C14015" s="3" t="s">
        <v>183</v>
      </c>
      <c r="D14015" s="3">
        <v>16.0</v>
      </c>
      <c r="E14015" s="3">
        <v>0.7</v>
      </c>
      <c r="F14015" s="3">
        <v>0.15</v>
      </c>
      <c r="G14015" s="3">
        <v>2.38</v>
      </c>
    </row>
    <row r="14016">
      <c r="A14016" s="3">
        <v>789428.0</v>
      </c>
      <c r="B14016" s="3" t="s">
        <v>14044</v>
      </c>
      <c r="C14016" s="3" t="s">
        <v>183</v>
      </c>
      <c r="D14016" s="3">
        <v>14.0</v>
      </c>
      <c r="E14016" s="3">
        <v>0.71</v>
      </c>
      <c r="F14016" s="3">
        <v>0.15</v>
      </c>
      <c r="G14016" s="3">
        <v>1.88</v>
      </c>
    </row>
    <row r="14017">
      <c r="A14017" s="3">
        <v>789429.0</v>
      </c>
      <c r="B14017" s="3" t="s">
        <v>14045</v>
      </c>
      <c r="C14017" s="3" t="s">
        <v>183</v>
      </c>
      <c r="D14017" s="3">
        <v>14.0</v>
      </c>
      <c r="E14017" s="3">
        <v>0.71</v>
      </c>
      <c r="F14017" s="3">
        <v>0.15</v>
      </c>
      <c r="G14017" s="3">
        <v>1.89</v>
      </c>
    </row>
    <row r="14018">
      <c r="A14018" s="3">
        <v>789430.0</v>
      </c>
      <c r="B14018" s="3" t="s">
        <v>14046</v>
      </c>
      <c r="C14018" s="3" t="s">
        <v>183</v>
      </c>
      <c r="D14018" s="3">
        <v>16.0</v>
      </c>
      <c r="E14018" s="3">
        <v>0.0</v>
      </c>
      <c r="F14018" s="3">
        <v>0.1</v>
      </c>
      <c r="G14018" s="3">
        <v>3.98</v>
      </c>
    </row>
    <row r="14019">
      <c r="A14019" s="3">
        <v>789431.0</v>
      </c>
      <c r="B14019" s="3" t="s">
        <v>14047</v>
      </c>
      <c r="C14019" s="3" t="s">
        <v>183</v>
      </c>
      <c r="D14019" s="3">
        <v>16.0</v>
      </c>
      <c r="E14019" s="3">
        <v>0.0</v>
      </c>
      <c r="F14019" s="3">
        <v>0.09</v>
      </c>
      <c r="G14019" s="3">
        <v>3.99</v>
      </c>
    </row>
    <row r="14020">
      <c r="A14020" s="3">
        <v>789432.0</v>
      </c>
      <c r="B14020" s="3" t="s">
        <v>14048</v>
      </c>
      <c r="C14020" s="3" t="s">
        <v>183</v>
      </c>
      <c r="D14020" s="3">
        <v>5.0</v>
      </c>
      <c r="E14020" s="3">
        <v>0.0</v>
      </c>
      <c r="F14020" s="3">
        <v>0.1</v>
      </c>
      <c r="G14020" s="3">
        <v>1.13</v>
      </c>
    </row>
    <row r="14021">
      <c r="A14021" s="3">
        <v>789433.0</v>
      </c>
      <c r="B14021" s="3" t="s">
        <v>14049</v>
      </c>
      <c r="C14021" s="3" t="s">
        <v>183</v>
      </c>
      <c r="D14021" s="3">
        <v>5.0</v>
      </c>
      <c r="E14021" s="3">
        <v>0.0</v>
      </c>
      <c r="F14021" s="3">
        <v>0.1</v>
      </c>
      <c r="G14021" s="3">
        <v>1.14</v>
      </c>
    </row>
    <row r="14022">
      <c r="A14022" s="3">
        <v>789436.0</v>
      </c>
      <c r="B14022" s="3" t="s">
        <v>14050</v>
      </c>
      <c r="C14022" s="3" t="s">
        <v>183</v>
      </c>
      <c r="D14022" s="3">
        <v>27.0</v>
      </c>
      <c r="E14022" s="3">
        <v>1.03</v>
      </c>
      <c r="F14022" s="3">
        <v>1.68</v>
      </c>
      <c r="G14022" s="3">
        <v>2.7</v>
      </c>
    </row>
    <row r="14023">
      <c r="A14023" s="3">
        <v>789437.0</v>
      </c>
      <c r="B14023" s="3" t="s">
        <v>14051</v>
      </c>
      <c r="C14023" s="3" t="s">
        <v>183</v>
      </c>
      <c r="D14023" s="3">
        <v>19.0</v>
      </c>
      <c r="E14023" s="3">
        <v>0.07</v>
      </c>
      <c r="F14023" s="3">
        <v>1.72</v>
      </c>
      <c r="G14023" s="3">
        <v>2.78</v>
      </c>
    </row>
    <row r="14024">
      <c r="A14024" s="3">
        <v>789438.0</v>
      </c>
      <c r="B14024" s="3" t="s">
        <v>14052</v>
      </c>
      <c r="C14024" s="3" t="s">
        <v>183</v>
      </c>
      <c r="D14024" s="3">
        <v>22.0</v>
      </c>
      <c r="E14024" s="3">
        <v>0.67</v>
      </c>
      <c r="F14024" s="3">
        <v>0.79</v>
      </c>
      <c r="G14024" s="3">
        <v>3.2</v>
      </c>
    </row>
    <row r="14025">
      <c r="A14025" s="3">
        <v>789439.0</v>
      </c>
      <c r="B14025" s="3" t="s">
        <v>14053</v>
      </c>
      <c r="C14025" s="3" t="s">
        <v>183</v>
      </c>
      <c r="D14025" s="3">
        <v>27.0</v>
      </c>
      <c r="E14025" s="3">
        <v>1.03</v>
      </c>
      <c r="F14025" s="3">
        <v>1.69</v>
      </c>
      <c r="G14025" s="3">
        <v>2.71</v>
      </c>
    </row>
    <row r="14026">
      <c r="A14026" s="3">
        <v>789440.0</v>
      </c>
      <c r="B14026" s="3" t="s">
        <v>14054</v>
      </c>
      <c r="C14026" s="3" t="s">
        <v>183</v>
      </c>
      <c r="D14026" s="3">
        <v>19.0</v>
      </c>
      <c r="E14026" s="3">
        <v>0.07</v>
      </c>
      <c r="F14026" s="3">
        <v>1.72</v>
      </c>
      <c r="G14026" s="3">
        <v>2.79</v>
      </c>
    </row>
    <row r="14027">
      <c r="A14027" s="3">
        <v>789441.0</v>
      </c>
      <c r="B14027" s="3" t="s">
        <v>14055</v>
      </c>
      <c r="C14027" s="3" t="s">
        <v>183</v>
      </c>
      <c r="D14027" s="3">
        <v>22.0</v>
      </c>
      <c r="E14027" s="3">
        <v>0.67</v>
      </c>
      <c r="F14027" s="3">
        <v>0.79</v>
      </c>
      <c r="G14027" s="3">
        <v>3.22</v>
      </c>
    </row>
    <row r="14028">
      <c r="A14028" s="3">
        <v>789443.0</v>
      </c>
      <c r="B14028" s="3" t="s">
        <v>14056</v>
      </c>
      <c r="C14028" s="3" t="s">
        <v>183</v>
      </c>
      <c r="D14028" s="3">
        <v>35.0</v>
      </c>
      <c r="E14028" s="3">
        <v>0.72</v>
      </c>
      <c r="F14028" s="3">
        <v>1.25</v>
      </c>
      <c r="G14028" s="3">
        <v>5.89</v>
      </c>
    </row>
    <row r="14029">
      <c r="A14029" s="3">
        <v>789447.0</v>
      </c>
      <c r="B14029" s="3" t="s">
        <v>14057</v>
      </c>
      <c r="C14029" s="3" t="s">
        <v>318</v>
      </c>
      <c r="D14029" s="3">
        <v>380.0</v>
      </c>
      <c r="E14029" s="3">
        <v>0.1</v>
      </c>
      <c r="F14029" s="3">
        <v>2.36</v>
      </c>
      <c r="G14029" s="3">
        <v>95.22</v>
      </c>
    </row>
    <row r="14030">
      <c r="A14030" s="3">
        <v>789449.0</v>
      </c>
      <c r="B14030" s="3" t="s">
        <v>14058</v>
      </c>
      <c r="C14030" s="3" t="s">
        <v>318</v>
      </c>
      <c r="D14030" s="3">
        <v>435.0</v>
      </c>
      <c r="E14030" s="3">
        <v>12.43</v>
      </c>
      <c r="F14030" s="3">
        <v>9.2</v>
      </c>
      <c r="G14030" s="3">
        <v>71.64</v>
      </c>
    </row>
    <row r="14031">
      <c r="A14031" s="3">
        <v>789451.0</v>
      </c>
      <c r="B14031" s="3" t="s">
        <v>14059</v>
      </c>
      <c r="C14031" s="3" t="s">
        <v>318</v>
      </c>
      <c r="D14031" s="3">
        <v>430.0</v>
      </c>
      <c r="E14031" s="3">
        <v>11.12</v>
      </c>
      <c r="F14031" s="3">
        <v>2.4</v>
      </c>
      <c r="G14031" s="3">
        <v>83.16</v>
      </c>
    </row>
    <row r="14032">
      <c r="A14032" s="3">
        <v>789454.0</v>
      </c>
      <c r="B14032" s="3" t="s">
        <v>14060</v>
      </c>
      <c r="C14032" s="3" t="s">
        <v>318</v>
      </c>
      <c r="D14032" s="3">
        <v>457.0</v>
      </c>
      <c r="E14032" s="3">
        <v>20.14</v>
      </c>
      <c r="F14032" s="3">
        <v>4.22</v>
      </c>
      <c r="G14032" s="3">
        <v>68.16</v>
      </c>
    </row>
    <row r="14033">
      <c r="A14033" s="3">
        <v>789456.0</v>
      </c>
      <c r="B14033" s="3" t="s">
        <v>14061</v>
      </c>
      <c r="C14033" s="3" t="s">
        <v>183</v>
      </c>
      <c r="D14033" s="3">
        <v>7.0</v>
      </c>
      <c r="E14033" s="3">
        <v>0.0</v>
      </c>
      <c r="F14033" s="3">
        <v>0.22</v>
      </c>
      <c r="G14033" s="3">
        <v>1.42</v>
      </c>
    </row>
    <row r="14034">
      <c r="A14034" s="3">
        <v>789457.0</v>
      </c>
      <c r="B14034" s="3" t="s">
        <v>14062</v>
      </c>
      <c r="C14034" s="3" t="s">
        <v>183</v>
      </c>
      <c r="D14034" s="3">
        <v>5.0</v>
      </c>
      <c r="E14034" s="3">
        <v>0.03</v>
      </c>
      <c r="F14034" s="3">
        <v>0.08</v>
      </c>
      <c r="G14034" s="3">
        <v>1.0</v>
      </c>
    </row>
    <row r="14035">
      <c r="A14035" s="3">
        <v>789458.0</v>
      </c>
      <c r="B14035" s="3" t="s">
        <v>14063</v>
      </c>
      <c r="C14035" s="3" t="s">
        <v>183</v>
      </c>
      <c r="D14035" s="3">
        <v>5.0</v>
      </c>
      <c r="E14035" s="3">
        <v>0.03</v>
      </c>
      <c r="F14035" s="3">
        <v>0.08</v>
      </c>
      <c r="G14035" s="3">
        <v>1.0</v>
      </c>
    </row>
    <row r="14036">
      <c r="A14036" s="3">
        <v>789465.0</v>
      </c>
      <c r="B14036" s="3" t="s">
        <v>14064</v>
      </c>
      <c r="C14036" s="3" t="s">
        <v>183</v>
      </c>
      <c r="D14036" s="3">
        <v>1.0</v>
      </c>
      <c r="E14036" s="3">
        <v>0.0</v>
      </c>
      <c r="F14036" s="3">
        <v>0.02</v>
      </c>
      <c r="G14036" s="3">
        <v>0.23</v>
      </c>
    </row>
    <row r="14037">
      <c r="A14037" s="3">
        <v>789466.0</v>
      </c>
      <c r="B14037" s="3" t="s">
        <v>14065</v>
      </c>
      <c r="C14037" s="3" t="s">
        <v>183</v>
      </c>
      <c r="D14037" s="3">
        <v>30.0</v>
      </c>
      <c r="E14037" s="3">
        <v>0.05</v>
      </c>
      <c r="F14037" s="3">
        <v>0.01</v>
      </c>
      <c r="G14037" s="3">
        <v>7.31</v>
      </c>
    </row>
    <row r="14038">
      <c r="A14038" s="3">
        <v>789467.0</v>
      </c>
      <c r="B14038" s="3" t="s">
        <v>14066</v>
      </c>
      <c r="C14038" s="3" t="s">
        <v>183</v>
      </c>
      <c r="D14038" s="3">
        <v>31.0</v>
      </c>
      <c r="E14038" s="3">
        <v>0.0</v>
      </c>
      <c r="F14038" s="3">
        <v>0.06</v>
      </c>
      <c r="G14038" s="3">
        <v>7.92</v>
      </c>
    </row>
    <row r="14039">
      <c r="A14039" s="3">
        <v>789469.0</v>
      </c>
      <c r="B14039" s="3" t="s">
        <v>14067</v>
      </c>
      <c r="C14039" s="3" t="s">
        <v>183</v>
      </c>
      <c r="D14039" s="3">
        <v>3.0</v>
      </c>
      <c r="E14039" s="3">
        <v>0.0</v>
      </c>
      <c r="F14039" s="3">
        <v>0.03</v>
      </c>
      <c r="G14039" s="3">
        <v>0.72</v>
      </c>
    </row>
    <row r="14040">
      <c r="A14040" s="3">
        <v>789476.0</v>
      </c>
      <c r="B14040" s="3" t="s">
        <v>14068</v>
      </c>
      <c r="C14040" s="3" t="s">
        <v>183</v>
      </c>
      <c r="D14040" s="3">
        <v>44.0</v>
      </c>
      <c r="E14040" s="3">
        <v>0.21</v>
      </c>
      <c r="F14040" s="3">
        <v>0.84</v>
      </c>
      <c r="G14040" s="3">
        <v>9.4</v>
      </c>
    </row>
    <row r="14041">
      <c r="A14041" s="3">
        <v>789478.0</v>
      </c>
      <c r="B14041" s="3" t="s">
        <v>14069</v>
      </c>
      <c r="C14041" s="3" t="s">
        <v>183</v>
      </c>
      <c r="D14041" s="3">
        <v>50.0</v>
      </c>
      <c r="E14041" s="3">
        <v>0.98</v>
      </c>
      <c r="F14041" s="3">
        <v>1.55</v>
      </c>
      <c r="G14041" s="3">
        <v>8.98</v>
      </c>
    </row>
    <row r="14042">
      <c r="A14042" s="3">
        <v>789481.0</v>
      </c>
      <c r="B14042" s="3" t="s">
        <v>14070</v>
      </c>
      <c r="C14042" s="3" t="s">
        <v>183</v>
      </c>
      <c r="D14042" s="3">
        <v>33.0</v>
      </c>
      <c r="E14042" s="3">
        <v>0.03</v>
      </c>
      <c r="F14042" s="3">
        <v>0.2</v>
      </c>
      <c r="G14042" s="3">
        <v>9.17</v>
      </c>
    </row>
    <row r="14043">
      <c r="A14043" s="3">
        <v>789482.0</v>
      </c>
      <c r="B14043" s="3" t="s">
        <v>14071</v>
      </c>
      <c r="C14043" s="3" t="s">
        <v>183</v>
      </c>
      <c r="D14043" s="3">
        <v>21.0</v>
      </c>
      <c r="E14043" s="3">
        <v>0.04</v>
      </c>
      <c r="F14043" s="3">
        <v>0.22</v>
      </c>
      <c r="G14043" s="3">
        <v>6.13</v>
      </c>
    </row>
    <row r="14044">
      <c r="A14044" s="3">
        <v>789483.0</v>
      </c>
      <c r="B14044" s="3" t="s">
        <v>14072</v>
      </c>
      <c r="C14044" s="3" t="s">
        <v>183</v>
      </c>
      <c r="D14044" s="3">
        <v>2.0</v>
      </c>
      <c r="E14044" s="3">
        <v>0.0</v>
      </c>
      <c r="F14044" s="3">
        <v>0.0</v>
      </c>
      <c r="G14044" s="3">
        <v>0.57</v>
      </c>
    </row>
    <row r="14045">
      <c r="A14045" s="3">
        <v>789484.0</v>
      </c>
      <c r="B14045" s="3" t="s">
        <v>14073</v>
      </c>
      <c r="C14045" s="3" t="s">
        <v>183</v>
      </c>
      <c r="D14045" s="3">
        <v>31.0</v>
      </c>
      <c r="E14045" s="3">
        <v>0.0</v>
      </c>
      <c r="F14045" s="3">
        <v>0.0</v>
      </c>
      <c r="G14045" s="3">
        <v>7.97</v>
      </c>
    </row>
    <row r="14046">
      <c r="A14046" s="3">
        <v>789485.0</v>
      </c>
      <c r="B14046" s="3" t="s">
        <v>14074</v>
      </c>
      <c r="C14046" s="3" t="s">
        <v>183</v>
      </c>
      <c r="D14046" s="3">
        <v>2.0</v>
      </c>
      <c r="E14046" s="3">
        <v>0.0</v>
      </c>
      <c r="F14046" s="3">
        <v>0.0</v>
      </c>
      <c r="G14046" s="3">
        <v>0.68</v>
      </c>
    </row>
    <row r="14047">
      <c r="A14047" s="3">
        <v>789487.0</v>
      </c>
      <c r="B14047" s="3" t="s">
        <v>14075</v>
      </c>
      <c r="C14047" s="3" t="s">
        <v>183</v>
      </c>
      <c r="D14047" s="3">
        <v>31.0</v>
      </c>
      <c r="E14047" s="3">
        <v>0.0</v>
      </c>
      <c r="F14047" s="3">
        <v>0.0</v>
      </c>
      <c r="G14047" s="3">
        <v>7.97</v>
      </c>
    </row>
    <row r="14048">
      <c r="A14048" s="3">
        <v>789488.0</v>
      </c>
      <c r="B14048" s="3" t="s">
        <v>14076</v>
      </c>
      <c r="C14048" s="3" t="s">
        <v>183</v>
      </c>
      <c r="D14048" s="3">
        <v>2.0</v>
      </c>
      <c r="E14048" s="3">
        <v>0.0</v>
      </c>
      <c r="F14048" s="3">
        <v>0.0</v>
      </c>
      <c r="G14048" s="3">
        <v>0.68</v>
      </c>
    </row>
    <row r="14049">
      <c r="A14049" s="3">
        <v>789490.0</v>
      </c>
      <c r="B14049" s="3" t="s">
        <v>14077</v>
      </c>
      <c r="C14049" s="3" t="s">
        <v>183</v>
      </c>
      <c r="D14049" s="3">
        <v>31.0</v>
      </c>
      <c r="E14049" s="3">
        <v>0.0</v>
      </c>
      <c r="F14049" s="3">
        <v>0.2</v>
      </c>
      <c r="G14049" s="3">
        <v>7.69</v>
      </c>
    </row>
    <row r="14050">
      <c r="A14050" s="3">
        <v>789491.0</v>
      </c>
      <c r="B14050" s="3" t="s">
        <v>14078</v>
      </c>
      <c r="C14050" s="3" t="s">
        <v>183</v>
      </c>
      <c r="D14050" s="3">
        <v>2.0</v>
      </c>
      <c r="E14050" s="3">
        <v>0.0</v>
      </c>
      <c r="F14050" s="3">
        <v>0.22</v>
      </c>
      <c r="G14050" s="3">
        <v>0.38</v>
      </c>
    </row>
    <row r="14051">
      <c r="A14051" s="3">
        <v>789493.0</v>
      </c>
      <c r="B14051" s="3" t="s">
        <v>14079</v>
      </c>
      <c r="C14051" s="3" t="s">
        <v>183</v>
      </c>
      <c r="D14051" s="3">
        <v>30.0</v>
      </c>
      <c r="E14051" s="3">
        <v>0.0</v>
      </c>
      <c r="F14051" s="3">
        <v>0.0</v>
      </c>
      <c r="G14051" s="3">
        <v>7.69</v>
      </c>
    </row>
    <row r="14052">
      <c r="A14052" s="3">
        <v>789494.0</v>
      </c>
      <c r="B14052" s="3" t="s">
        <v>14080</v>
      </c>
      <c r="C14052" s="3" t="s">
        <v>183</v>
      </c>
      <c r="D14052" s="3">
        <v>1.0</v>
      </c>
      <c r="E14052" s="3">
        <v>0.0</v>
      </c>
      <c r="F14052" s="3">
        <v>0.0</v>
      </c>
      <c r="G14052" s="3">
        <v>0.38</v>
      </c>
    </row>
    <row r="14053">
      <c r="A14053" s="3">
        <v>789523.0</v>
      </c>
      <c r="B14053" s="3" t="s">
        <v>14081</v>
      </c>
      <c r="C14053" s="3" t="s">
        <v>183</v>
      </c>
      <c r="D14053" s="3">
        <v>49.0</v>
      </c>
      <c r="E14053" s="3">
        <v>0.0</v>
      </c>
      <c r="F14053" s="3">
        <v>0.0</v>
      </c>
      <c r="G14053" s="3">
        <v>12.83</v>
      </c>
    </row>
    <row r="14054">
      <c r="A14054" s="3">
        <v>789535.0</v>
      </c>
      <c r="B14054" s="3" t="s">
        <v>14082</v>
      </c>
      <c r="C14054" s="3" t="s">
        <v>183</v>
      </c>
      <c r="D14054" s="3">
        <v>30.0</v>
      </c>
      <c r="E14054" s="3">
        <v>0.09</v>
      </c>
      <c r="F14054" s="3">
        <v>0.47</v>
      </c>
      <c r="G14054" s="3">
        <v>7.01</v>
      </c>
    </row>
    <row r="14055">
      <c r="A14055" s="3">
        <v>789536.0</v>
      </c>
      <c r="B14055" s="3" t="s">
        <v>14083</v>
      </c>
      <c r="C14055" s="3" t="s">
        <v>183</v>
      </c>
      <c r="D14055" s="3">
        <v>33.0</v>
      </c>
      <c r="E14055" s="3">
        <v>0.08</v>
      </c>
      <c r="F14055" s="3">
        <v>0.23</v>
      </c>
      <c r="G14055" s="3">
        <v>8.35</v>
      </c>
    </row>
    <row r="14056">
      <c r="A14056" s="3">
        <v>789538.0</v>
      </c>
      <c r="B14056" s="3" t="s">
        <v>14084</v>
      </c>
      <c r="C14056" s="3" t="s">
        <v>183</v>
      </c>
      <c r="D14056" s="3">
        <v>107.0</v>
      </c>
      <c r="E14056" s="3">
        <v>0.14</v>
      </c>
      <c r="F14056" s="3">
        <v>0.64</v>
      </c>
      <c r="G14056" s="3">
        <v>27.72</v>
      </c>
    </row>
    <row r="14057">
      <c r="A14057" s="3">
        <v>789539.0</v>
      </c>
      <c r="B14057" s="3" t="s">
        <v>14085</v>
      </c>
      <c r="C14057" s="3" t="s">
        <v>183</v>
      </c>
      <c r="D14057" s="3">
        <v>44.0</v>
      </c>
      <c r="E14057" s="3">
        <v>0.06</v>
      </c>
      <c r="F14057" s="3">
        <v>0.18</v>
      </c>
      <c r="G14057" s="3">
        <v>10.82</v>
      </c>
    </row>
    <row r="14058">
      <c r="A14058" s="3">
        <v>789540.0</v>
      </c>
      <c r="B14058" s="3" t="s">
        <v>14086</v>
      </c>
      <c r="C14058" s="3" t="s">
        <v>183</v>
      </c>
      <c r="D14058" s="3">
        <v>65.0</v>
      </c>
      <c r="E14058" s="3">
        <v>0.44</v>
      </c>
      <c r="F14058" s="3">
        <v>0.32</v>
      </c>
      <c r="G14058" s="3">
        <v>15.15</v>
      </c>
    </row>
    <row r="14059">
      <c r="A14059" s="3">
        <v>789542.0</v>
      </c>
      <c r="B14059" s="3" t="s">
        <v>14087</v>
      </c>
      <c r="C14059" s="3" t="s">
        <v>183</v>
      </c>
      <c r="D14059" s="3">
        <v>25.0</v>
      </c>
      <c r="E14059" s="3">
        <v>0.07</v>
      </c>
      <c r="F14059" s="3">
        <v>0.0</v>
      </c>
      <c r="G14059" s="3">
        <v>6.55</v>
      </c>
    </row>
    <row r="14060">
      <c r="A14060" s="3">
        <v>789545.0</v>
      </c>
      <c r="B14060" s="3" t="s">
        <v>14088</v>
      </c>
      <c r="C14060" s="3" t="s">
        <v>183</v>
      </c>
      <c r="D14060" s="3">
        <v>46.0</v>
      </c>
      <c r="E14060" s="3">
        <v>0.03</v>
      </c>
      <c r="F14060" s="3">
        <v>0.34</v>
      </c>
      <c r="G14060" s="3">
        <v>11.4</v>
      </c>
    </row>
    <row r="14061">
      <c r="A14061" s="3">
        <v>789547.0</v>
      </c>
      <c r="B14061" s="3" t="s">
        <v>14089</v>
      </c>
      <c r="C14061" s="3" t="s">
        <v>183</v>
      </c>
      <c r="D14061" s="3">
        <v>66.0</v>
      </c>
      <c r="E14061" s="3">
        <v>0.0</v>
      </c>
      <c r="F14061" s="3">
        <v>0.02</v>
      </c>
      <c r="G14061" s="3">
        <v>16.37</v>
      </c>
    </row>
    <row r="14062">
      <c r="A14062" s="3">
        <v>789548.0</v>
      </c>
      <c r="B14062" s="3" t="s">
        <v>14090</v>
      </c>
      <c r="C14062" s="3" t="s">
        <v>183</v>
      </c>
      <c r="D14062" s="3">
        <v>92.0</v>
      </c>
      <c r="E14062" s="3">
        <v>2.85</v>
      </c>
      <c r="F14062" s="3">
        <v>0.46</v>
      </c>
      <c r="G14062" s="3">
        <v>17.08</v>
      </c>
    </row>
    <row r="14063">
      <c r="A14063" s="3">
        <v>789550.0</v>
      </c>
      <c r="B14063" s="3" t="s">
        <v>14091</v>
      </c>
      <c r="C14063" s="3" t="s">
        <v>183</v>
      </c>
      <c r="D14063" s="3">
        <v>28.0</v>
      </c>
      <c r="E14063" s="3">
        <v>0.0</v>
      </c>
      <c r="F14063" s="3">
        <v>0.0</v>
      </c>
      <c r="G14063" s="3">
        <v>7.6</v>
      </c>
    </row>
    <row r="14064">
      <c r="A14064" s="3">
        <v>789551.0</v>
      </c>
      <c r="B14064" s="3" t="s">
        <v>14092</v>
      </c>
      <c r="C14064" s="3" t="s">
        <v>183</v>
      </c>
      <c r="D14064" s="3">
        <v>12.0</v>
      </c>
      <c r="E14064" s="3">
        <v>0.01</v>
      </c>
      <c r="F14064" s="3">
        <v>0.0</v>
      </c>
      <c r="G14064" s="3">
        <v>3.19</v>
      </c>
    </row>
    <row r="14065">
      <c r="A14065" s="3">
        <v>789557.0</v>
      </c>
      <c r="B14065" s="3" t="s">
        <v>14093</v>
      </c>
      <c r="C14065" s="3" t="s">
        <v>183</v>
      </c>
      <c r="D14065" s="3">
        <v>25.0</v>
      </c>
      <c r="E14065" s="3">
        <v>0.07</v>
      </c>
      <c r="F14065" s="3">
        <v>0.0</v>
      </c>
      <c r="G14065" s="3">
        <v>6.55</v>
      </c>
    </row>
    <row r="14066">
      <c r="A14066" s="3">
        <v>789558.0</v>
      </c>
      <c r="B14066" s="3" t="s">
        <v>14094</v>
      </c>
      <c r="C14066" s="3" t="s">
        <v>183</v>
      </c>
      <c r="D14066" s="3">
        <v>41.0</v>
      </c>
      <c r="E14066" s="3">
        <v>0.0</v>
      </c>
      <c r="F14066" s="3">
        <v>0.0</v>
      </c>
      <c r="G14066" s="3">
        <v>10.45</v>
      </c>
    </row>
    <row r="14067">
      <c r="A14067" s="3">
        <v>789561.0</v>
      </c>
      <c r="B14067" s="3" t="s">
        <v>14095</v>
      </c>
      <c r="C14067" s="3" t="s">
        <v>183</v>
      </c>
      <c r="D14067" s="3">
        <v>1.0</v>
      </c>
      <c r="E14067" s="3">
        <v>0.0</v>
      </c>
      <c r="F14067" s="3">
        <v>0.0</v>
      </c>
      <c r="G14067" s="3">
        <v>0.47</v>
      </c>
    </row>
    <row r="14068">
      <c r="A14068" s="3">
        <v>789563.0</v>
      </c>
      <c r="B14068" s="3" t="s">
        <v>14096</v>
      </c>
      <c r="C14068" s="3" t="s">
        <v>183</v>
      </c>
      <c r="D14068" s="3">
        <v>21.0</v>
      </c>
      <c r="E14068" s="3">
        <v>0.05</v>
      </c>
      <c r="F14068" s="3">
        <v>0.13</v>
      </c>
      <c r="G14068" s="3">
        <v>5.17</v>
      </c>
    </row>
    <row r="14069">
      <c r="A14069" s="3">
        <v>789570.0</v>
      </c>
      <c r="B14069" s="3" t="s">
        <v>14097</v>
      </c>
      <c r="C14069" s="3" t="s">
        <v>183</v>
      </c>
      <c r="D14069" s="3">
        <v>2.0</v>
      </c>
      <c r="E14069" s="3">
        <v>0.0</v>
      </c>
      <c r="F14069" s="3">
        <v>0.0</v>
      </c>
      <c r="G14069" s="3">
        <v>0.87</v>
      </c>
    </row>
    <row r="14070">
      <c r="A14070" s="3">
        <v>789571.0</v>
      </c>
      <c r="B14070" s="3" t="s">
        <v>14098</v>
      </c>
      <c r="C14070" s="3" t="s">
        <v>183</v>
      </c>
      <c r="D14070" s="3">
        <v>4.0</v>
      </c>
      <c r="E14070" s="3">
        <v>0.0</v>
      </c>
      <c r="F14070" s="3">
        <v>0.01</v>
      </c>
      <c r="G14070" s="3">
        <v>1.45</v>
      </c>
    </row>
    <row r="14071">
      <c r="A14071" s="3">
        <v>789572.0</v>
      </c>
      <c r="B14071" s="3" t="s">
        <v>14099</v>
      </c>
      <c r="C14071" s="3" t="s">
        <v>183</v>
      </c>
      <c r="D14071" s="3">
        <v>2.0</v>
      </c>
      <c r="E14071" s="3">
        <v>0.0</v>
      </c>
      <c r="F14071" s="3">
        <v>0.0</v>
      </c>
      <c r="G14071" s="3">
        <v>0.87</v>
      </c>
    </row>
    <row r="14072">
      <c r="A14072" s="3">
        <v>789573.0</v>
      </c>
      <c r="B14072" s="3" t="s">
        <v>14100</v>
      </c>
      <c r="C14072" s="3" t="s">
        <v>183</v>
      </c>
      <c r="D14072" s="3">
        <v>2.0</v>
      </c>
      <c r="E14072" s="3">
        <v>0.0</v>
      </c>
      <c r="F14072" s="3">
        <v>0.0</v>
      </c>
      <c r="G14072" s="3">
        <v>0.73</v>
      </c>
    </row>
    <row r="14073">
      <c r="A14073" s="3">
        <v>789574.0</v>
      </c>
      <c r="B14073" s="3" t="s">
        <v>14101</v>
      </c>
      <c r="C14073" s="3" t="s">
        <v>183</v>
      </c>
      <c r="D14073" s="3">
        <v>2.0</v>
      </c>
      <c r="E14073" s="3">
        <v>0.0</v>
      </c>
      <c r="F14073" s="3">
        <v>0.0</v>
      </c>
      <c r="G14073" s="3">
        <v>0.95</v>
      </c>
    </row>
    <row r="14074">
      <c r="A14074" s="3">
        <v>789578.0</v>
      </c>
      <c r="B14074" s="3" t="s">
        <v>14102</v>
      </c>
      <c r="C14074" s="3" t="s">
        <v>183</v>
      </c>
      <c r="D14074" s="3">
        <v>87.0</v>
      </c>
      <c r="E14074" s="3">
        <v>0.11</v>
      </c>
      <c r="F14074" s="3">
        <v>1.09</v>
      </c>
      <c r="G14074" s="3">
        <v>20.48</v>
      </c>
    </row>
    <row r="14075">
      <c r="A14075" s="3">
        <v>789579.0</v>
      </c>
      <c r="B14075" s="3" t="s">
        <v>14103</v>
      </c>
      <c r="C14075" s="3" t="s">
        <v>183</v>
      </c>
      <c r="D14075" s="3">
        <v>90.0</v>
      </c>
      <c r="E14075" s="3">
        <v>0.61</v>
      </c>
      <c r="F14075" s="3">
        <v>1.4</v>
      </c>
      <c r="G14075" s="3">
        <v>19.71</v>
      </c>
    </row>
    <row r="14076">
      <c r="A14076" s="3">
        <v>789580.0</v>
      </c>
      <c r="B14076" s="3" t="s">
        <v>14104</v>
      </c>
      <c r="C14076" s="3" t="s">
        <v>183</v>
      </c>
      <c r="D14076" s="3">
        <v>43.0</v>
      </c>
      <c r="E14076" s="3">
        <v>0.12</v>
      </c>
      <c r="F14076" s="3">
        <v>0.25</v>
      </c>
      <c r="G14076" s="3">
        <v>10.64</v>
      </c>
    </row>
    <row r="14077">
      <c r="A14077" s="3">
        <v>789581.0</v>
      </c>
      <c r="B14077" s="3" t="s">
        <v>14105</v>
      </c>
      <c r="C14077" s="3" t="s">
        <v>183</v>
      </c>
      <c r="D14077" s="3">
        <v>82.0</v>
      </c>
      <c r="E14077" s="3">
        <v>1.57</v>
      </c>
      <c r="F14077" s="3">
        <v>1.69</v>
      </c>
      <c r="G14077" s="3">
        <v>15.59</v>
      </c>
    </row>
    <row r="14078">
      <c r="A14078" s="3">
        <v>789582.0</v>
      </c>
      <c r="B14078" s="3" t="s">
        <v>14106</v>
      </c>
      <c r="C14078" s="3" t="s">
        <v>183</v>
      </c>
      <c r="D14078" s="3">
        <v>74.0</v>
      </c>
      <c r="E14078" s="3">
        <v>0.0</v>
      </c>
      <c r="F14078" s="3">
        <v>0.0</v>
      </c>
      <c r="G14078" s="3">
        <v>20.17</v>
      </c>
    </row>
    <row r="14079">
      <c r="A14079" s="3">
        <v>789583.0</v>
      </c>
      <c r="B14079" s="3" t="s">
        <v>14107</v>
      </c>
      <c r="C14079" s="3" t="s">
        <v>183</v>
      </c>
      <c r="D14079" s="3">
        <v>84.0</v>
      </c>
      <c r="E14079" s="3">
        <v>1.52</v>
      </c>
      <c r="F14079" s="3">
        <v>1.64</v>
      </c>
      <c r="G14079" s="3">
        <v>16.4</v>
      </c>
    </row>
    <row r="14080">
      <c r="A14080" s="3">
        <v>789584.0</v>
      </c>
      <c r="B14080" s="3" t="s">
        <v>14108</v>
      </c>
      <c r="C14080" s="3" t="s">
        <v>183</v>
      </c>
      <c r="D14080" s="3">
        <v>109.0</v>
      </c>
      <c r="E14080" s="3">
        <v>2.38</v>
      </c>
      <c r="F14080" s="3">
        <v>1.89</v>
      </c>
      <c r="G14080" s="3">
        <v>20.98</v>
      </c>
    </row>
    <row r="14081">
      <c r="A14081" s="3">
        <v>789588.0</v>
      </c>
      <c r="B14081" s="3" t="s">
        <v>14109</v>
      </c>
      <c r="C14081" s="3" t="s">
        <v>183</v>
      </c>
      <c r="D14081" s="3">
        <v>56.0</v>
      </c>
      <c r="E14081" s="3">
        <v>0.0</v>
      </c>
      <c r="F14081" s="3">
        <v>0.0</v>
      </c>
      <c r="G14081" s="3">
        <v>14.17</v>
      </c>
    </row>
    <row r="14082">
      <c r="A14082" s="3">
        <v>789599.0</v>
      </c>
      <c r="B14082" s="3" t="s">
        <v>14110</v>
      </c>
      <c r="C14082" s="3" t="s">
        <v>183</v>
      </c>
      <c r="D14082" s="3">
        <v>88.0</v>
      </c>
      <c r="E14082" s="3">
        <v>0.0</v>
      </c>
      <c r="F14082" s="3">
        <v>0.0</v>
      </c>
      <c r="G14082" s="3">
        <v>8.86</v>
      </c>
    </row>
    <row r="14083">
      <c r="A14083" s="3">
        <v>789604.0</v>
      </c>
      <c r="B14083" s="3" t="s">
        <v>14111</v>
      </c>
      <c r="C14083" s="3" t="s">
        <v>183</v>
      </c>
      <c r="D14083" s="3">
        <v>89.0</v>
      </c>
      <c r="E14083" s="3">
        <v>0.19</v>
      </c>
      <c r="F14083" s="3">
        <v>0.0</v>
      </c>
      <c r="G14083" s="3">
        <v>7.8</v>
      </c>
    </row>
    <row r="14084">
      <c r="A14084" s="3">
        <v>789605.0</v>
      </c>
      <c r="B14084" s="3" t="s">
        <v>14112</v>
      </c>
      <c r="C14084" s="3" t="s">
        <v>183</v>
      </c>
      <c r="D14084" s="3">
        <v>235.0</v>
      </c>
      <c r="E14084" s="3">
        <v>3.47</v>
      </c>
      <c r="F14084" s="3">
        <v>1.05</v>
      </c>
      <c r="G14084" s="3">
        <v>19.08</v>
      </c>
    </row>
    <row r="14085">
      <c r="A14085" s="3">
        <v>789606.0</v>
      </c>
      <c r="B14085" s="3" t="s">
        <v>14113</v>
      </c>
      <c r="C14085" s="3" t="s">
        <v>183</v>
      </c>
      <c r="D14085" s="3">
        <v>123.0</v>
      </c>
      <c r="E14085" s="3">
        <v>0.08</v>
      </c>
      <c r="F14085" s="3">
        <v>0.08</v>
      </c>
      <c r="G14085" s="3">
        <v>16.11</v>
      </c>
    </row>
    <row r="14086">
      <c r="A14086" s="3">
        <v>789607.0</v>
      </c>
      <c r="B14086" s="3" t="s">
        <v>14114</v>
      </c>
      <c r="C14086" s="3" t="s">
        <v>183</v>
      </c>
      <c r="D14086" s="3">
        <v>69.0</v>
      </c>
      <c r="E14086" s="3">
        <v>0.23</v>
      </c>
      <c r="F14086" s="3">
        <v>0.64</v>
      </c>
      <c r="G14086" s="3">
        <v>3.16</v>
      </c>
    </row>
    <row r="14087">
      <c r="A14087" s="3">
        <v>789608.0</v>
      </c>
      <c r="B14087" s="3" t="s">
        <v>14115</v>
      </c>
      <c r="C14087" s="3" t="s">
        <v>183</v>
      </c>
      <c r="D14087" s="3">
        <v>59.0</v>
      </c>
      <c r="E14087" s="3">
        <v>0.0</v>
      </c>
      <c r="F14087" s="3">
        <v>0.0</v>
      </c>
      <c r="G14087" s="3">
        <v>0.0</v>
      </c>
    </row>
    <row r="14088">
      <c r="A14088" s="3">
        <v>789609.0</v>
      </c>
      <c r="B14088" s="3" t="s">
        <v>14116</v>
      </c>
      <c r="C14088" s="3" t="s">
        <v>183</v>
      </c>
      <c r="D14088" s="3">
        <v>98.0</v>
      </c>
      <c r="E14088" s="3">
        <v>0.08</v>
      </c>
      <c r="F14088" s="3">
        <v>0.0</v>
      </c>
      <c r="G14088" s="3">
        <v>10.18</v>
      </c>
    </row>
    <row r="14089">
      <c r="A14089" s="3">
        <v>789611.0</v>
      </c>
      <c r="B14089" s="3" t="s">
        <v>14117</v>
      </c>
      <c r="C14089" s="3" t="s">
        <v>183</v>
      </c>
      <c r="D14089" s="3">
        <v>165.0</v>
      </c>
      <c r="E14089" s="3">
        <v>0.0</v>
      </c>
      <c r="F14089" s="3">
        <v>1.54</v>
      </c>
      <c r="G14089" s="3">
        <v>17.87</v>
      </c>
    </row>
    <row r="14090">
      <c r="A14090" s="3">
        <v>789612.0</v>
      </c>
      <c r="B14090" s="3" t="s">
        <v>14118</v>
      </c>
      <c r="C14090" s="3" t="s">
        <v>183</v>
      </c>
      <c r="D14090" s="3">
        <v>188.0</v>
      </c>
      <c r="E14090" s="3">
        <v>0.02</v>
      </c>
      <c r="F14090" s="3">
        <v>0.1</v>
      </c>
      <c r="G14090" s="3">
        <v>5.09</v>
      </c>
    </row>
    <row r="14091">
      <c r="A14091" s="3">
        <v>789613.0</v>
      </c>
      <c r="B14091" s="3" t="s">
        <v>14119</v>
      </c>
      <c r="C14091" s="3" t="s">
        <v>183</v>
      </c>
      <c r="D14091" s="3">
        <v>84.0</v>
      </c>
      <c r="E14091" s="3">
        <v>0.0</v>
      </c>
      <c r="F14091" s="3">
        <v>0.0</v>
      </c>
      <c r="G14091" s="3">
        <v>6.57</v>
      </c>
    </row>
    <row r="14092">
      <c r="A14092" s="3">
        <v>789614.0</v>
      </c>
      <c r="B14092" s="3" t="s">
        <v>14120</v>
      </c>
      <c r="C14092" s="3" t="s">
        <v>183</v>
      </c>
      <c r="D14092" s="3">
        <v>283.0</v>
      </c>
      <c r="E14092" s="3">
        <v>3.38</v>
      </c>
      <c r="F14092" s="3">
        <v>0.99</v>
      </c>
      <c r="G14092" s="3">
        <v>32.2</v>
      </c>
    </row>
    <row r="14093">
      <c r="A14093" s="3">
        <v>789615.0</v>
      </c>
      <c r="B14093" s="3" t="s">
        <v>14121</v>
      </c>
      <c r="C14093" s="3" t="s">
        <v>183</v>
      </c>
      <c r="D14093" s="3">
        <v>83.0</v>
      </c>
      <c r="E14093" s="3">
        <v>0.08</v>
      </c>
      <c r="F14093" s="3">
        <v>0.44</v>
      </c>
      <c r="G14093" s="3">
        <v>5.97</v>
      </c>
    </row>
    <row r="14094">
      <c r="A14094" s="3">
        <v>789616.0</v>
      </c>
      <c r="B14094" s="3" t="s">
        <v>14122</v>
      </c>
      <c r="C14094" s="3" t="s">
        <v>183</v>
      </c>
      <c r="D14094" s="3">
        <v>59.0</v>
      </c>
      <c r="E14094" s="3">
        <v>0.0</v>
      </c>
      <c r="F14094" s="3">
        <v>0.0</v>
      </c>
      <c r="G14094" s="3">
        <v>0.0</v>
      </c>
    </row>
    <row r="14095">
      <c r="A14095" s="3">
        <v>789617.0</v>
      </c>
      <c r="B14095" s="3" t="s">
        <v>14123</v>
      </c>
      <c r="C14095" s="3" t="s">
        <v>183</v>
      </c>
      <c r="D14095" s="3">
        <v>125.0</v>
      </c>
      <c r="E14095" s="3">
        <v>0.08</v>
      </c>
      <c r="F14095" s="3">
        <v>0.34</v>
      </c>
      <c r="G14095" s="3">
        <v>18.07</v>
      </c>
    </row>
    <row r="14096">
      <c r="A14096" s="3">
        <v>789618.0</v>
      </c>
      <c r="B14096" s="3" t="s">
        <v>14124</v>
      </c>
      <c r="C14096" s="3" t="s">
        <v>183</v>
      </c>
      <c r="D14096" s="3">
        <v>201.0</v>
      </c>
      <c r="E14096" s="3">
        <v>0.1</v>
      </c>
      <c r="F14096" s="3">
        <v>0.06</v>
      </c>
      <c r="G14096" s="3">
        <v>8.27</v>
      </c>
    </row>
    <row r="14097">
      <c r="A14097" s="3">
        <v>789619.0</v>
      </c>
      <c r="B14097" s="3" t="s">
        <v>14125</v>
      </c>
      <c r="C14097" s="3" t="s">
        <v>183</v>
      </c>
      <c r="D14097" s="3">
        <v>222.0</v>
      </c>
      <c r="E14097" s="3">
        <v>0.0</v>
      </c>
      <c r="F14097" s="3">
        <v>0.03</v>
      </c>
      <c r="G14097" s="3">
        <v>1.82</v>
      </c>
    </row>
    <row r="14098">
      <c r="A14098" s="3">
        <v>789620.0</v>
      </c>
      <c r="B14098" s="3" t="s">
        <v>14126</v>
      </c>
      <c r="C14098" s="3" t="s">
        <v>183</v>
      </c>
      <c r="D14098" s="3">
        <v>122.0</v>
      </c>
      <c r="E14098" s="3">
        <v>0.08</v>
      </c>
      <c r="F14098" s="3">
        <v>0.08</v>
      </c>
      <c r="G14098" s="3">
        <v>16.06</v>
      </c>
    </row>
    <row r="14099">
      <c r="A14099" s="3">
        <v>789621.0</v>
      </c>
      <c r="B14099" s="3" t="s">
        <v>14127</v>
      </c>
      <c r="C14099" s="3" t="s">
        <v>183</v>
      </c>
      <c r="D14099" s="3">
        <v>201.0</v>
      </c>
      <c r="E14099" s="3">
        <v>0.0</v>
      </c>
      <c r="F14099" s="3">
        <v>0.07</v>
      </c>
      <c r="G14099" s="3">
        <v>0.15</v>
      </c>
    </row>
    <row r="14100">
      <c r="A14100" s="3">
        <v>789622.0</v>
      </c>
      <c r="B14100" s="3" t="s">
        <v>14128</v>
      </c>
      <c r="C14100" s="3" t="s">
        <v>183</v>
      </c>
      <c r="D14100" s="3">
        <v>189.0</v>
      </c>
      <c r="E14100" s="3">
        <v>0.03</v>
      </c>
      <c r="F14100" s="3">
        <v>0.09</v>
      </c>
      <c r="G14100" s="3">
        <v>6.67</v>
      </c>
    </row>
    <row r="14101">
      <c r="A14101" s="3">
        <v>789623.0</v>
      </c>
      <c r="B14101" s="3" t="s">
        <v>14129</v>
      </c>
      <c r="C14101" s="3" t="s">
        <v>183</v>
      </c>
      <c r="D14101" s="3">
        <v>65.0</v>
      </c>
      <c r="E14101" s="3">
        <v>0.06</v>
      </c>
      <c r="F14101" s="3">
        <v>0.38</v>
      </c>
      <c r="G14101" s="3">
        <v>7.14</v>
      </c>
    </row>
    <row r="14102">
      <c r="A14102" s="3">
        <v>789624.0</v>
      </c>
      <c r="B14102" s="3" t="s">
        <v>14130</v>
      </c>
      <c r="C14102" s="3" t="s">
        <v>183</v>
      </c>
      <c r="D14102" s="3">
        <v>186.0</v>
      </c>
      <c r="E14102" s="3">
        <v>0.0</v>
      </c>
      <c r="F14102" s="3">
        <v>0.0</v>
      </c>
      <c r="G14102" s="3">
        <v>5.76</v>
      </c>
    </row>
    <row r="14103">
      <c r="A14103" s="3">
        <v>789625.0</v>
      </c>
      <c r="B14103" s="3" t="s">
        <v>14131</v>
      </c>
      <c r="C14103" s="3" t="s">
        <v>183</v>
      </c>
      <c r="D14103" s="3">
        <v>61.0</v>
      </c>
      <c r="E14103" s="3">
        <v>0.02</v>
      </c>
      <c r="F14103" s="3">
        <v>0.09</v>
      </c>
      <c r="G14103" s="3">
        <v>2.46</v>
      </c>
    </row>
    <row r="14104">
      <c r="A14104" s="3">
        <v>789626.0</v>
      </c>
      <c r="B14104" s="3" t="s">
        <v>14132</v>
      </c>
      <c r="C14104" s="3" t="s">
        <v>183</v>
      </c>
      <c r="D14104" s="3">
        <v>162.0</v>
      </c>
      <c r="E14104" s="3">
        <v>0.03</v>
      </c>
      <c r="F14104" s="3">
        <v>0.18</v>
      </c>
      <c r="G14104" s="3">
        <v>6.24</v>
      </c>
    </row>
    <row r="14105">
      <c r="A14105" s="3">
        <v>789627.0</v>
      </c>
      <c r="B14105" s="3" t="s">
        <v>14133</v>
      </c>
      <c r="C14105" s="3" t="s">
        <v>183</v>
      </c>
      <c r="D14105" s="3">
        <v>99.0</v>
      </c>
      <c r="E14105" s="3">
        <v>0.09</v>
      </c>
      <c r="F14105" s="3">
        <v>0.5</v>
      </c>
      <c r="G14105" s="3">
        <v>10.27</v>
      </c>
    </row>
    <row r="14106">
      <c r="A14106" s="3">
        <v>789628.0</v>
      </c>
      <c r="B14106" s="3" t="s">
        <v>14134</v>
      </c>
      <c r="C14106" s="3" t="s">
        <v>183</v>
      </c>
      <c r="D14106" s="3">
        <v>212.0</v>
      </c>
      <c r="E14106" s="3">
        <v>0.0</v>
      </c>
      <c r="F14106" s="3">
        <v>0.05</v>
      </c>
      <c r="G14106" s="3">
        <v>3.6</v>
      </c>
    </row>
    <row r="14107">
      <c r="A14107" s="3">
        <v>789629.0</v>
      </c>
      <c r="B14107" s="3" t="s">
        <v>14135</v>
      </c>
      <c r="C14107" s="3" t="s">
        <v>183</v>
      </c>
      <c r="D14107" s="3">
        <v>268.0</v>
      </c>
      <c r="E14107" s="3">
        <v>0.08</v>
      </c>
      <c r="F14107" s="3">
        <v>0.0</v>
      </c>
      <c r="G14107" s="3">
        <v>10.95</v>
      </c>
    </row>
    <row r="14108">
      <c r="A14108" s="3">
        <v>789630.0</v>
      </c>
      <c r="B14108" s="3" t="s">
        <v>14136</v>
      </c>
      <c r="C14108" s="3" t="s">
        <v>183</v>
      </c>
      <c r="D14108" s="3">
        <v>82.0</v>
      </c>
      <c r="E14108" s="3">
        <v>0.08</v>
      </c>
      <c r="F14108" s="3">
        <v>0.43</v>
      </c>
      <c r="G14108" s="3">
        <v>5.93</v>
      </c>
    </row>
    <row r="14109">
      <c r="A14109" s="3">
        <v>789631.0</v>
      </c>
      <c r="B14109" s="3" t="s">
        <v>14137</v>
      </c>
      <c r="C14109" s="3" t="s">
        <v>183</v>
      </c>
      <c r="D14109" s="3">
        <v>93.0</v>
      </c>
      <c r="E14109" s="3">
        <v>0.09</v>
      </c>
      <c r="F14109" s="3">
        <v>0.51</v>
      </c>
      <c r="G14109" s="3">
        <v>8.62</v>
      </c>
    </row>
    <row r="14110">
      <c r="A14110" s="3">
        <v>789632.0</v>
      </c>
      <c r="B14110" s="3" t="s">
        <v>14138</v>
      </c>
      <c r="C14110" s="3" t="s">
        <v>183</v>
      </c>
      <c r="D14110" s="3">
        <v>90.0</v>
      </c>
      <c r="E14110" s="3">
        <v>0.08</v>
      </c>
      <c r="F14110" s="3">
        <v>0.22</v>
      </c>
      <c r="G14110" s="3">
        <v>8.07</v>
      </c>
    </row>
    <row r="14111">
      <c r="A14111" s="3">
        <v>789633.0</v>
      </c>
      <c r="B14111" s="3" t="s">
        <v>14139</v>
      </c>
      <c r="C14111" s="3" t="s">
        <v>183</v>
      </c>
      <c r="D14111" s="3">
        <v>87.0</v>
      </c>
      <c r="E14111" s="3">
        <v>0.02</v>
      </c>
      <c r="F14111" s="3">
        <v>0.04</v>
      </c>
      <c r="G14111" s="3">
        <v>7.63</v>
      </c>
    </row>
    <row r="14112">
      <c r="A14112" s="3">
        <v>789634.0</v>
      </c>
      <c r="B14112" s="3" t="s">
        <v>14140</v>
      </c>
      <c r="C14112" s="3" t="s">
        <v>183</v>
      </c>
      <c r="D14112" s="3">
        <v>123.0</v>
      </c>
      <c r="E14112" s="3">
        <v>0.08</v>
      </c>
      <c r="F14112" s="3">
        <v>0.08</v>
      </c>
      <c r="G14112" s="3">
        <v>16.11</v>
      </c>
    </row>
    <row r="14113">
      <c r="A14113" s="3">
        <v>789635.0</v>
      </c>
      <c r="B14113" s="3" t="s">
        <v>14141</v>
      </c>
      <c r="C14113" s="3" t="s">
        <v>183</v>
      </c>
      <c r="D14113" s="3">
        <v>123.0</v>
      </c>
      <c r="E14113" s="3">
        <v>0.08</v>
      </c>
      <c r="F14113" s="3">
        <v>0.08</v>
      </c>
      <c r="G14113" s="3">
        <v>16.11</v>
      </c>
    </row>
    <row r="14114">
      <c r="A14114" s="3">
        <v>789636.0</v>
      </c>
      <c r="B14114" s="3" t="s">
        <v>14142</v>
      </c>
      <c r="C14114" s="3" t="s">
        <v>183</v>
      </c>
      <c r="D14114" s="3">
        <v>59.0</v>
      </c>
      <c r="E14114" s="3">
        <v>0.0</v>
      </c>
      <c r="F14114" s="3">
        <v>0.0</v>
      </c>
      <c r="G14114" s="3">
        <v>0.0</v>
      </c>
    </row>
    <row r="14115">
      <c r="A14115" s="3">
        <v>789637.0</v>
      </c>
      <c r="B14115" s="3" t="s">
        <v>14143</v>
      </c>
      <c r="C14115" s="3" t="s">
        <v>183</v>
      </c>
      <c r="D14115" s="3">
        <v>59.0</v>
      </c>
      <c r="E14115" s="3">
        <v>0.0</v>
      </c>
      <c r="F14115" s="3">
        <v>0.0</v>
      </c>
      <c r="G14115" s="3">
        <v>0.0</v>
      </c>
    </row>
    <row r="14116">
      <c r="A14116" s="3">
        <v>789638.0</v>
      </c>
      <c r="B14116" s="3" t="s">
        <v>14144</v>
      </c>
      <c r="C14116" s="3" t="s">
        <v>183</v>
      </c>
      <c r="D14116" s="3">
        <v>89.0</v>
      </c>
      <c r="E14116" s="3">
        <v>0.19</v>
      </c>
      <c r="F14116" s="3">
        <v>0.0</v>
      </c>
      <c r="G14116" s="3">
        <v>7.8</v>
      </c>
    </row>
    <row r="14117">
      <c r="A14117" s="3">
        <v>789639.0</v>
      </c>
      <c r="B14117" s="3" t="s">
        <v>14145</v>
      </c>
      <c r="C14117" s="3" t="s">
        <v>183</v>
      </c>
      <c r="D14117" s="3">
        <v>60.0</v>
      </c>
      <c r="E14117" s="3">
        <v>0.02</v>
      </c>
      <c r="F14117" s="3">
        <v>0.08</v>
      </c>
      <c r="G14117" s="3">
        <v>0.22</v>
      </c>
    </row>
    <row r="14118">
      <c r="A14118" s="3">
        <v>789640.0</v>
      </c>
      <c r="B14118" s="3" t="s">
        <v>14146</v>
      </c>
      <c r="C14118" s="3" t="s">
        <v>183</v>
      </c>
      <c r="D14118" s="3">
        <v>83.0</v>
      </c>
      <c r="E14118" s="3">
        <v>0.0</v>
      </c>
      <c r="F14118" s="3">
        <v>0.0</v>
      </c>
      <c r="G14118" s="3">
        <v>6.59</v>
      </c>
    </row>
    <row r="14119">
      <c r="A14119" s="3">
        <v>789641.0</v>
      </c>
      <c r="B14119" s="3" t="s">
        <v>14147</v>
      </c>
      <c r="C14119" s="3" t="s">
        <v>183</v>
      </c>
      <c r="D14119" s="3">
        <v>89.0</v>
      </c>
      <c r="E14119" s="3">
        <v>0.19</v>
      </c>
      <c r="F14119" s="3">
        <v>0.0</v>
      </c>
      <c r="G14119" s="3">
        <v>7.8</v>
      </c>
    </row>
    <row r="14120">
      <c r="A14120" s="3">
        <v>789642.0</v>
      </c>
      <c r="B14120" s="3" t="s">
        <v>14148</v>
      </c>
      <c r="C14120" s="3" t="s">
        <v>183</v>
      </c>
      <c r="D14120" s="3">
        <v>60.0</v>
      </c>
      <c r="E14120" s="3">
        <v>0.02</v>
      </c>
      <c r="F14120" s="3">
        <v>0.08</v>
      </c>
      <c r="G14120" s="3">
        <v>0.22</v>
      </c>
    </row>
    <row r="14121">
      <c r="A14121" s="3">
        <v>789643.0</v>
      </c>
      <c r="B14121" s="3" t="s">
        <v>14149</v>
      </c>
      <c r="C14121" s="3" t="s">
        <v>183</v>
      </c>
      <c r="D14121" s="3">
        <v>151.0</v>
      </c>
      <c r="E14121" s="3">
        <v>2.13</v>
      </c>
      <c r="F14121" s="3">
        <v>0.36</v>
      </c>
      <c r="G14121" s="3">
        <v>19.5</v>
      </c>
    </row>
    <row r="14122">
      <c r="A14122" s="3">
        <v>789644.0</v>
      </c>
      <c r="B14122" s="3" t="s">
        <v>14150</v>
      </c>
      <c r="C14122" s="3" t="s">
        <v>183</v>
      </c>
      <c r="D14122" s="3">
        <v>89.0</v>
      </c>
      <c r="E14122" s="3">
        <v>0.19</v>
      </c>
      <c r="F14122" s="3">
        <v>0.0</v>
      </c>
      <c r="G14122" s="3">
        <v>7.8</v>
      </c>
    </row>
    <row r="14123">
      <c r="A14123" s="3">
        <v>789645.0</v>
      </c>
      <c r="B14123" s="3" t="s">
        <v>14151</v>
      </c>
      <c r="C14123" s="3" t="s">
        <v>183</v>
      </c>
      <c r="D14123" s="3">
        <v>59.0</v>
      </c>
      <c r="E14123" s="3">
        <v>0.0</v>
      </c>
      <c r="F14123" s="3">
        <v>0.0</v>
      </c>
      <c r="G14123" s="3">
        <v>0.0</v>
      </c>
    </row>
    <row r="14124">
      <c r="A14124" s="3">
        <v>789646.0</v>
      </c>
      <c r="B14124" s="3" t="s">
        <v>14152</v>
      </c>
      <c r="C14124" s="3" t="s">
        <v>183</v>
      </c>
      <c r="D14124" s="3">
        <v>93.0</v>
      </c>
      <c r="E14124" s="3">
        <v>0.0</v>
      </c>
      <c r="F14124" s="3">
        <v>0.0</v>
      </c>
      <c r="G14124" s="3">
        <v>9.02</v>
      </c>
    </row>
    <row r="14125">
      <c r="A14125" s="3">
        <v>789647.0</v>
      </c>
      <c r="B14125" s="3" t="s">
        <v>14153</v>
      </c>
      <c r="C14125" s="3" t="s">
        <v>183</v>
      </c>
      <c r="D14125" s="3">
        <v>89.0</v>
      </c>
      <c r="E14125" s="3">
        <v>0.19</v>
      </c>
      <c r="F14125" s="3">
        <v>0.0</v>
      </c>
      <c r="G14125" s="3">
        <v>7.8</v>
      </c>
    </row>
    <row r="14126">
      <c r="A14126" s="3">
        <v>789648.0</v>
      </c>
      <c r="B14126" s="3" t="s">
        <v>14154</v>
      </c>
      <c r="C14126" s="3" t="s">
        <v>183</v>
      </c>
      <c r="D14126" s="3">
        <v>60.0</v>
      </c>
      <c r="E14126" s="3">
        <v>0.02</v>
      </c>
      <c r="F14126" s="3">
        <v>0.08</v>
      </c>
      <c r="G14126" s="3">
        <v>0.22</v>
      </c>
    </row>
    <row r="14127">
      <c r="A14127" s="3">
        <v>789649.0</v>
      </c>
      <c r="B14127" s="3" t="s">
        <v>14155</v>
      </c>
      <c r="C14127" s="3" t="s">
        <v>183</v>
      </c>
      <c r="D14127" s="3">
        <v>90.0</v>
      </c>
      <c r="E14127" s="3">
        <v>0.0</v>
      </c>
      <c r="F14127" s="3">
        <v>0.35</v>
      </c>
      <c r="G14127" s="3">
        <v>7.7</v>
      </c>
    </row>
    <row r="14128">
      <c r="A14128" s="3">
        <v>789650.0</v>
      </c>
      <c r="B14128" s="3" t="s">
        <v>14156</v>
      </c>
      <c r="C14128" s="3" t="s">
        <v>183</v>
      </c>
      <c r="D14128" s="3">
        <v>59.0</v>
      </c>
      <c r="E14128" s="3">
        <v>0.0</v>
      </c>
      <c r="F14128" s="3">
        <v>0.0</v>
      </c>
      <c r="G14128" s="3">
        <v>0.0</v>
      </c>
    </row>
    <row r="14129">
      <c r="A14129" s="3">
        <v>789651.0</v>
      </c>
      <c r="B14129" s="3" t="s">
        <v>14157</v>
      </c>
      <c r="C14129" s="3" t="s">
        <v>183</v>
      </c>
      <c r="D14129" s="3">
        <v>84.0</v>
      </c>
      <c r="E14129" s="3">
        <v>0.0</v>
      </c>
      <c r="F14129" s="3">
        <v>0.0</v>
      </c>
      <c r="G14129" s="3">
        <v>6.57</v>
      </c>
    </row>
    <row r="14130">
      <c r="A14130" s="3">
        <v>789652.0</v>
      </c>
      <c r="B14130" s="3" t="s">
        <v>14158</v>
      </c>
      <c r="C14130" s="3" t="s">
        <v>183</v>
      </c>
      <c r="D14130" s="3">
        <v>66.0</v>
      </c>
      <c r="E14130" s="3">
        <v>0.0</v>
      </c>
      <c r="F14130" s="3">
        <v>0.03</v>
      </c>
      <c r="G14130" s="3">
        <v>2.23</v>
      </c>
    </row>
    <row r="14131">
      <c r="A14131" s="3">
        <v>789653.0</v>
      </c>
      <c r="B14131" s="3" t="s">
        <v>14159</v>
      </c>
      <c r="C14131" s="3" t="s">
        <v>183</v>
      </c>
      <c r="D14131" s="3">
        <v>279.0</v>
      </c>
      <c r="E14131" s="3">
        <v>0.14</v>
      </c>
      <c r="F14131" s="3">
        <v>0.04</v>
      </c>
      <c r="G14131" s="3">
        <v>21.21</v>
      </c>
    </row>
    <row r="14132">
      <c r="A14132" s="3">
        <v>789654.0</v>
      </c>
      <c r="B14132" s="3" t="s">
        <v>14160</v>
      </c>
      <c r="C14132" s="3" t="s">
        <v>183</v>
      </c>
      <c r="D14132" s="3">
        <v>176.0</v>
      </c>
      <c r="E14132" s="3">
        <v>7.14</v>
      </c>
      <c r="F14132" s="3">
        <v>2.15</v>
      </c>
      <c r="G14132" s="3">
        <v>11.46</v>
      </c>
    </row>
    <row r="14133">
      <c r="A14133" s="3">
        <v>789655.0</v>
      </c>
      <c r="B14133" s="3" t="s">
        <v>14161</v>
      </c>
      <c r="C14133" s="3" t="s">
        <v>183</v>
      </c>
      <c r="D14133" s="3">
        <v>90.0</v>
      </c>
      <c r="E14133" s="3">
        <v>0.04</v>
      </c>
      <c r="F14133" s="3">
        <v>0.14</v>
      </c>
      <c r="G14133" s="3">
        <v>8.14</v>
      </c>
    </row>
    <row r="14134">
      <c r="A14134" s="3">
        <v>789656.0</v>
      </c>
      <c r="B14134" s="3" t="s">
        <v>14162</v>
      </c>
      <c r="C14134" s="3" t="s">
        <v>183</v>
      </c>
      <c r="D14134" s="3">
        <v>128.0</v>
      </c>
      <c r="E14134" s="3">
        <v>0.07</v>
      </c>
      <c r="F14134" s="3">
        <v>0.16</v>
      </c>
      <c r="G14134" s="3">
        <v>12.23</v>
      </c>
    </row>
    <row r="14135">
      <c r="A14135" s="3">
        <v>789657.0</v>
      </c>
      <c r="B14135" s="3" t="s">
        <v>14163</v>
      </c>
      <c r="C14135" s="3" t="s">
        <v>183</v>
      </c>
      <c r="D14135" s="3">
        <v>98.0</v>
      </c>
      <c r="E14135" s="3">
        <v>0.04</v>
      </c>
      <c r="F14135" s="3">
        <v>0.12</v>
      </c>
      <c r="G14135" s="3">
        <v>7.8</v>
      </c>
    </row>
    <row r="14136">
      <c r="A14136" s="3">
        <v>789658.0</v>
      </c>
      <c r="B14136" s="3" t="s">
        <v>14164</v>
      </c>
      <c r="C14136" s="3" t="s">
        <v>183</v>
      </c>
      <c r="D14136" s="3">
        <v>271.0</v>
      </c>
      <c r="E14136" s="3">
        <v>0.09</v>
      </c>
      <c r="F14136" s="3">
        <v>0.0</v>
      </c>
      <c r="G14136" s="3">
        <v>11.89</v>
      </c>
    </row>
    <row r="14137">
      <c r="A14137" s="3">
        <v>789659.0</v>
      </c>
      <c r="B14137" s="3" t="s">
        <v>14165</v>
      </c>
      <c r="C14137" s="3" t="s">
        <v>183</v>
      </c>
      <c r="D14137" s="3">
        <v>156.0</v>
      </c>
      <c r="E14137" s="3">
        <v>0.08</v>
      </c>
      <c r="F14137" s="3">
        <v>0.18</v>
      </c>
      <c r="G14137" s="3">
        <v>17.17</v>
      </c>
    </row>
    <row r="14138">
      <c r="A14138" s="3">
        <v>789661.0</v>
      </c>
      <c r="B14138" s="3" t="s">
        <v>14166</v>
      </c>
      <c r="C14138" s="3" t="s">
        <v>183</v>
      </c>
      <c r="D14138" s="3">
        <v>60.0</v>
      </c>
      <c r="E14138" s="3">
        <v>0.02</v>
      </c>
      <c r="F14138" s="3">
        <v>0.02</v>
      </c>
      <c r="G14138" s="3">
        <v>0.47</v>
      </c>
    </row>
    <row r="14139">
      <c r="A14139" s="3">
        <v>789662.0</v>
      </c>
      <c r="B14139" s="3" t="s">
        <v>14167</v>
      </c>
      <c r="C14139" s="3" t="s">
        <v>183</v>
      </c>
      <c r="D14139" s="3">
        <v>304.0</v>
      </c>
      <c r="E14139" s="3">
        <v>12.7</v>
      </c>
      <c r="F14139" s="3">
        <v>2.14</v>
      </c>
      <c r="G14139" s="3">
        <v>21.56</v>
      </c>
    </row>
    <row r="14140">
      <c r="A14140" s="3">
        <v>789663.0</v>
      </c>
      <c r="B14140" s="3" t="s">
        <v>14168</v>
      </c>
      <c r="C14140" s="3" t="s">
        <v>183</v>
      </c>
      <c r="D14140" s="3">
        <v>107.0</v>
      </c>
      <c r="E14140" s="3">
        <v>0.15</v>
      </c>
      <c r="F14140" s="3">
        <v>0.01</v>
      </c>
      <c r="G14140" s="3">
        <v>8.66</v>
      </c>
    </row>
    <row r="14141">
      <c r="A14141" s="3">
        <v>789664.0</v>
      </c>
      <c r="B14141" s="3" t="s">
        <v>14169</v>
      </c>
      <c r="C14141" s="3" t="s">
        <v>183</v>
      </c>
      <c r="D14141" s="3">
        <v>132.0</v>
      </c>
      <c r="E14141" s="3">
        <v>0.17</v>
      </c>
      <c r="F14141" s="3">
        <v>0.5</v>
      </c>
      <c r="G14141" s="3">
        <v>19.3</v>
      </c>
    </row>
    <row r="14142">
      <c r="A14142" s="3">
        <v>789665.0</v>
      </c>
      <c r="B14142" s="3" t="s">
        <v>14170</v>
      </c>
      <c r="C14142" s="3" t="s">
        <v>183</v>
      </c>
      <c r="D14142" s="3">
        <v>88.0</v>
      </c>
      <c r="E14142" s="3">
        <v>2.41</v>
      </c>
      <c r="F14142" s="3">
        <v>0.27</v>
      </c>
      <c r="G14142" s="3">
        <v>2.03</v>
      </c>
    </row>
    <row r="14143">
      <c r="A14143" s="3">
        <v>789667.0</v>
      </c>
      <c r="B14143" s="3" t="s">
        <v>14171</v>
      </c>
      <c r="C14143" s="3" t="s">
        <v>183</v>
      </c>
      <c r="D14143" s="3">
        <v>127.0</v>
      </c>
      <c r="E14143" s="3">
        <v>0.07</v>
      </c>
      <c r="F14143" s="3">
        <v>0.07</v>
      </c>
      <c r="G14143" s="3">
        <v>17.66</v>
      </c>
    </row>
    <row r="14144">
      <c r="A14144" s="3">
        <v>789668.0</v>
      </c>
      <c r="B14144" s="3" t="s">
        <v>14172</v>
      </c>
      <c r="C14144" s="3" t="s">
        <v>183</v>
      </c>
      <c r="D14144" s="3">
        <v>122.0</v>
      </c>
      <c r="E14144" s="3">
        <v>0.08</v>
      </c>
      <c r="F14144" s="3">
        <v>0.08</v>
      </c>
      <c r="G14144" s="3">
        <v>16.06</v>
      </c>
    </row>
    <row r="14145">
      <c r="A14145" s="3">
        <v>789669.0</v>
      </c>
      <c r="B14145" s="3" t="s">
        <v>14173</v>
      </c>
      <c r="C14145" s="3" t="s">
        <v>183</v>
      </c>
      <c r="D14145" s="3">
        <v>113.0</v>
      </c>
      <c r="E14145" s="3">
        <v>3.45</v>
      </c>
      <c r="F14145" s="3">
        <v>3.74</v>
      </c>
      <c r="G14145" s="3">
        <v>6.62</v>
      </c>
    </row>
    <row r="14146">
      <c r="A14146" s="3">
        <v>789670.0</v>
      </c>
      <c r="B14146" s="3" t="s">
        <v>14174</v>
      </c>
      <c r="C14146" s="3" t="s">
        <v>183</v>
      </c>
      <c r="D14146" s="3">
        <v>66.0</v>
      </c>
      <c r="E14146" s="3">
        <v>0.0</v>
      </c>
      <c r="F14146" s="3">
        <v>0.03</v>
      </c>
      <c r="G14146" s="3">
        <v>2.23</v>
      </c>
    </row>
    <row r="14147">
      <c r="A14147" s="3">
        <v>789671.0</v>
      </c>
      <c r="B14147" s="3" t="s">
        <v>14175</v>
      </c>
      <c r="C14147" s="3" t="s">
        <v>183</v>
      </c>
      <c r="D14147" s="3">
        <v>159.0</v>
      </c>
      <c r="E14147" s="3">
        <v>4.42</v>
      </c>
      <c r="F14147" s="3">
        <v>0.08</v>
      </c>
      <c r="G14147" s="3">
        <v>4.95</v>
      </c>
    </row>
    <row r="14148">
      <c r="A14148" s="3">
        <v>789672.0</v>
      </c>
      <c r="B14148" s="3" t="s">
        <v>14176</v>
      </c>
      <c r="C14148" s="3" t="s">
        <v>183</v>
      </c>
      <c r="D14148" s="3">
        <v>96.0</v>
      </c>
      <c r="E14148" s="3">
        <v>0.04</v>
      </c>
      <c r="F14148" s="3">
        <v>0.15</v>
      </c>
      <c r="G14148" s="3">
        <v>9.26</v>
      </c>
    </row>
    <row r="14149">
      <c r="A14149" s="3">
        <v>789680.0</v>
      </c>
      <c r="B14149" s="3" t="s">
        <v>14177</v>
      </c>
      <c r="C14149" s="3" t="s">
        <v>183</v>
      </c>
      <c r="D14149" s="3">
        <v>96.0</v>
      </c>
      <c r="E14149" s="3">
        <v>0.04</v>
      </c>
      <c r="F14149" s="3">
        <v>0.04</v>
      </c>
      <c r="G14149" s="3">
        <v>8.27</v>
      </c>
    </row>
    <row r="14150">
      <c r="A14150" s="3">
        <v>789681.0</v>
      </c>
      <c r="B14150" s="3" t="s">
        <v>14178</v>
      </c>
      <c r="C14150" s="3" t="s">
        <v>183</v>
      </c>
      <c r="D14150" s="3">
        <v>94.0</v>
      </c>
      <c r="E14150" s="3">
        <v>0.04</v>
      </c>
      <c r="F14150" s="3">
        <v>0.04</v>
      </c>
      <c r="G14150" s="3">
        <v>8.26</v>
      </c>
    </row>
    <row r="14151">
      <c r="A14151" s="3">
        <v>789682.0</v>
      </c>
      <c r="B14151" s="3" t="s">
        <v>14179</v>
      </c>
      <c r="C14151" s="3" t="s">
        <v>183</v>
      </c>
      <c r="D14151" s="3">
        <v>49.0</v>
      </c>
      <c r="E14151" s="3">
        <v>0.0</v>
      </c>
      <c r="F14151" s="3">
        <v>0.04</v>
      </c>
      <c r="G14151" s="3">
        <v>1.62</v>
      </c>
    </row>
    <row r="14152">
      <c r="A14152" s="3">
        <v>789683.0</v>
      </c>
      <c r="B14152" s="3" t="s">
        <v>14180</v>
      </c>
      <c r="C14152" s="3" t="s">
        <v>183</v>
      </c>
      <c r="D14152" s="3">
        <v>97.0</v>
      </c>
      <c r="E14152" s="3">
        <v>0.14</v>
      </c>
      <c r="F14152" s="3">
        <v>0.1</v>
      </c>
      <c r="G14152" s="3">
        <v>6.43</v>
      </c>
    </row>
    <row r="14153">
      <c r="A14153" s="3">
        <v>789704.0</v>
      </c>
      <c r="B14153" s="3" t="s">
        <v>14181</v>
      </c>
      <c r="C14153" s="3" t="s">
        <v>183</v>
      </c>
      <c r="D14153" s="3">
        <v>91.0</v>
      </c>
      <c r="E14153" s="3">
        <v>1.96</v>
      </c>
      <c r="F14153" s="3">
        <v>5.46</v>
      </c>
      <c r="G14153" s="3">
        <v>12.93</v>
      </c>
    </row>
    <row r="14154">
      <c r="A14154" s="3">
        <v>789708.0</v>
      </c>
      <c r="B14154" s="3" t="s">
        <v>14182</v>
      </c>
      <c r="C14154" s="3" t="s">
        <v>183</v>
      </c>
      <c r="D14154" s="3">
        <v>64.0</v>
      </c>
      <c r="E14154" s="3">
        <v>1.6</v>
      </c>
      <c r="F14154" s="3">
        <v>3.2</v>
      </c>
      <c r="G14154" s="3">
        <v>9.2</v>
      </c>
    </row>
    <row r="14155">
      <c r="A14155" s="3">
        <v>789709.0</v>
      </c>
      <c r="B14155" s="3" t="s">
        <v>14183</v>
      </c>
      <c r="C14155" s="3" t="s">
        <v>183</v>
      </c>
      <c r="D14155" s="3">
        <v>49.0</v>
      </c>
      <c r="E14155" s="3">
        <v>2.01</v>
      </c>
      <c r="F14155" s="3">
        <v>5.87</v>
      </c>
      <c r="G14155" s="3">
        <v>2.06</v>
      </c>
    </row>
    <row r="14156">
      <c r="A14156" s="3">
        <v>789710.0</v>
      </c>
      <c r="B14156" s="3" t="s">
        <v>14184</v>
      </c>
      <c r="C14156" s="3" t="s">
        <v>183</v>
      </c>
      <c r="D14156" s="3">
        <v>38.0</v>
      </c>
      <c r="E14156" s="3">
        <v>1.15</v>
      </c>
      <c r="F14156" s="3">
        <v>4.78</v>
      </c>
      <c r="G14156" s="3">
        <v>2.1</v>
      </c>
    </row>
    <row r="14157">
      <c r="A14157" s="3">
        <v>789713.0</v>
      </c>
      <c r="B14157" s="3" t="s">
        <v>14185</v>
      </c>
      <c r="C14157" s="3" t="s">
        <v>183</v>
      </c>
      <c r="D14157" s="3">
        <v>58.0</v>
      </c>
      <c r="E14157" s="3">
        <v>2.88</v>
      </c>
      <c r="F14157" s="3">
        <v>6.59</v>
      </c>
      <c r="G14157" s="3">
        <v>0.85</v>
      </c>
    </row>
    <row r="14158">
      <c r="A14158" s="3">
        <v>789715.0</v>
      </c>
      <c r="B14158" s="3" t="s">
        <v>14186</v>
      </c>
      <c r="C14158" s="3" t="s">
        <v>183</v>
      </c>
      <c r="D14158" s="3">
        <v>58.0</v>
      </c>
      <c r="E14158" s="3">
        <v>2.88</v>
      </c>
      <c r="F14158" s="3">
        <v>6.59</v>
      </c>
      <c r="G14158" s="3">
        <v>0.85</v>
      </c>
    </row>
    <row r="14159">
      <c r="A14159" s="3">
        <v>789724.0</v>
      </c>
      <c r="B14159" s="3" t="s">
        <v>14187</v>
      </c>
      <c r="C14159" s="3" t="s">
        <v>196</v>
      </c>
      <c r="D14159" s="3">
        <v>380.0</v>
      </c>
      <c r="E14159" s="3">
        <v>0.6</v>
      </c>
      <c r="F14159" s="3">
        <v>35.2</v>
      </c>
      <c r="G14159" s="3">
        <v>58.4</v>
      </c>
    </row>
    <row r="14160">
      <c r="A14160" s="3">
        <v>789764.0</v>
      </c>
      <c r="B14160" s="3" t="s">
        <v>14188</v>
      </c>
      <c r="C14160" s="3" t="s">
        <v>183</v>
      </c>
      <c r="D14160" s="3">
        <v>18.0</v>
      </c>
      <c r="E14160" s="3">
        <v>0.0</v>
      </c>
      <c r="F14160" s="3">
        <v>0.0</v>
      </c>
      <c r="G14160" s="3">
        <v>5.0</v>
      </c>
    </row>
    <row r="14161">
      <c r="A14161" s="3">
        <v>789766.0</v>
      </c>
      <c r="B14161" s="3" t="s">
        <v>14189</v>
      </c>
      <c r="C14161" s="3" t="s">
        <v>318</v>
      </c>
      <c r="D14161" s="3">
        <v>359.0</v>
      </c>
      <c r="E14161" s="3">
        <v>28.73</v>
      </c>
      <c r="F14161" s="3">
        <v>20.65</v>
      </c>
      <c r="G14161" s="3">
        <v>4.57</v>
      </c>
    </row>
    <row r="14162">
      <c r="A14162" s="3">
        <v>789767.0</v>
      </c>
      <c r="B14162" s="3" t="s">
        <v>14190</v>
      </c>
      <c r="C14162" s="3" t="s">
        <v>318</v>
      </c>
      <c r="D14162" s="3">
        <v>201.0</v>
      </c>
      <c r="E14162" s="3">
        <v>1.39</v>
      </c>
      <c r="F14162" s="3">
        <v>6.32</v>
      </c>
      <c r="G14162" s="3">
        <v>39.64</v>
      </c>
    </row>
    <row r="14163">
      <c r="A14163" s="3">
        <v>789768.0</v>
      </c>
      <c r="B14163" s="3" t="s">
        <v>14191</v>
      </c>
      <c r="C14163" s="3" t="s">
        <v>318</v>
      </c>
      <c r="D14163" s="3">
        <v>263.0</v>
      </c>
      <c r="E14163" s="3">
        <v>3.96</v>
      </c>
      <c r="F14163" s="3">
        <v>11.45</v>
      </c>
      <c r="G14163" s="3">
        <v>45.29</v>
      </c>
    </row>
    <row r="14164">
      <c r="A14164" s="3">
        <v>789769.0</v>
      </c>
      <c r="B14164" s="3" t="s">
        <v>14192</v>
      </c>
      <c r="C14164" s="3" t="s">
        <v>318</v>
      </c>
      <c r="D14164" s="3">
        <v>271.0</v>
      </c>
      <c r="E14164" s="3">
        <v>22.85</v>
      </c>
      <c r="F14164" s="3">
        <v>1.29</v>
      </c>
      <c r="G14164" s="3">
        <v>17.19</v>
      </c>
    </row>
    <row r="14165">
      <c r="A14165" s="3">
        <v>789770.0</v>
      </c>
      <c r="B14165" s="3" t="s">
        <v>14193</v>
      </c>
      <c r="C14165" s="3" t="s">
        <v>318</v>
      </c>
      <c r="D14165" s="3">
        <v>892.0</v>
      </c>
      <c r="E14165" s="3">
        <v>100.0</v>
      </c>
      <c r="F14165" s="3">
        <v>0.0</v>
      </c>
      <c r="G14165" s="3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6.57"/>
  </cols>
  <sheetData>
    <row r="1">
      <c r="A1" s="3" t="str">
        <f>IFERROR(__xludf.DUMMYFUNCTION("query(foods!1:14165, ""SELECT A, B, C, D, E, F, G WHERE (C='Meats') or (C='Dairy and Egg Products') or (C='Fish')"", 1)"),"id")</f>
        <v>id</v>
      </c>
      <c r="B1" t="str">
        <f>IFERROR(__xludf.DUMMYFUNCTION("""COMPUTED_VALUE"""),"name")</f>
        <v>name</v>
      </c>
      <c r="C1" t="str">
        <f>IFERROR(__xludf.DUMMYFUNCTION("""COMPUTED_VALUE"""),"foodgroup")</f>
        <v>foodgroup</v>
      </c>
      <c r="D1" t="str">
        <f>IFERROR(__xludf.DUMMYFUNCTION("""COMPUTED_VALUE"""),"calories")</f>
        <v>calories</v>
      </c>
      <c r="E1" t="str">
        <f>IFERROR(__xludf.DUMMYFUNCTION("""COMPUTED_VALUE"""),"fat")</f>
        <v>fat</v>
      </c>
      <c r="F1" t="str">
        <f>IFERROR(__xludf.DUMMYFUNCTION("""COMPUTED_VALUE"""),"protein")</f>
        <v>protein</v>
      </c>
      <c r="G1" t="str">
        <f>IFERROR(__xludf.DUMMYFUNCTION("""COMPUTED_VALUE"""),"carbohydrate")</f>
        <v>carbohydrate</v>
      </c>
    </row>
    <row r="2">
      <c r="A2">
        <f>IFERROR(__xludf.DUMMYFUNCTION("""COMPUTED_VALUE"""),167685.0)</f>
        <v>167685</v>
      </c>
      <c r="B2" t="str">
        <f>IFERROR(__xludf.DUMMYFUNCTION("""COMPUTED_VALUE"""),"Bologna Beef And Pork Low Fat")</f>
        <v>Bologna Beef And Pork Low Fat</v>
      </c>
      <c r="C2" t="str">
        <f>IFERROR(__xludf.DUMMYFUNCTION("""COMPUTED_VALUE"""),"Meats")</f>
        <v>Meats</v>
      </c>
      <c r="D2">
        <f>IFERROR(__xludf.DUMMYFUNCTION("""COMPUTED_VALUE"""),230.0)</f>
        <v>230</v>
      </c>
      <c r="E2">
        <f>IFERROR(__xludf.DUMMYFUNCTION("""COMPUTED_VALUE"""),19.3)</f>
        <v>19.3</v>
      </c>
      <c r="F2">
        <f>IFERROR(__xludf.DUMMYFUNCTION("""COMPUTED_VALUE"""),11.5)</f>
        <v>11.5</v>
      </c>
      <c r="G2">
        <f>IFERROR(__xludf.DUMMYFUNCTION("""COMPUTED_VALUE"""),2.6)</f>
        <v>2.6</v>
      </c>
    </row>
    <row r="3">
      <c r="A3" s="4">
        <f>IFERROR(__xludf.DUMMYFUNCTION("""COMPUTED_VALUE"""),167687.0)</f>
        <v>167687</v>
      </c>
      <c r="B3" t="str">
        <f>IFERROR(__xludf.DUMMYFUNCTION("""COMPUTED_VALUE"""),"Whipped Topping Frozen Low Fat")</f>
        <v>Whipped Topping Frozen Low Fat</v>
      </c>
      <c r="C3" t="str">
        <f>IFERROR(__xludf.DUMMYFUNCTION("""COMPUTED_VALUE"""),"Dairy and Egg Products")</f>
        <v>Dairy and Egg Products</v>
      </c>
      <c r="D3">
        <f>IFERROR(__xludf.DUMMYFUNCTION("""COMPUTED_VALUE"""),224.0)</f>
        <v>224</v>
      </c>
      <c r="E3">
        <f>IFERROR(__xludf.DUMMYFUNCTION("""COMPUTED_VALUE"""),13.1)</f>
        <v>13.1</v>
      </c>
      <c r="F3">
        <f>IFERROR(__xludf.DUMMYFUNCTION("""COMPUTED_VALUE"""),3.0)</f>
        <v>3</v>
      </c>
      <c r="G3">
        <f>IFERROR(__xludf.DUMMYFUNCTION("""COMPUTED_VALUE"""),23.6)</f>
        <v>23.6</v>
      </c>
    </row>
    <row r="4">
      <c r="A4">
        <f>IFERROR(__xludf.DUMMYFUNCTION("""COMPUTED_VALUE"""),167688.0)</f>
        <v>167688</v>
      </c>
      <c r="B4" t="str">
        <f>IFERROR(__xludf.DUMMYFUNCTION("""COMPUTED_VALUE"""),"Cream Substitute Powdered Light")</f>
        <v>Cream Substitute Powdered Light</v>
      </c>
      <c r="C4" t="str">
        <f>IFERROR(__xludf.DUMMYFUNCTION("""COMPUTED_VALUE"""),"Dairy and Egg Products")</f>
        <v>Dairy and Egg Products</v>
      </c>
      <c r="D4">
        <f>IFERROR(__xludf.DUMMYFUNCTION("""COMPUTED_VALUE"""),431.0)</f>
        <v>431</v>
      </c>
      <c r="E4">
        <f>IFERROR(__xludf.DUMMYFUNCTION("""COMPUTED_VALUE"""),15.7)</f>
        <v>15.7</v>
      </c>
      <c r="F4">
        <f>IFERROR(__xludf.DUMMYFUNCTION("""COMPUTED_VALUE"""),1.9)</f>
        <v>1.9</v>
      </c>
      <c r="G4">
        <f>IFERROR(__xludf.DUMMYFUNCTION("""COMPUTED_VALUE"""),73.4)</f>
        <v>73.4</v>
      </c>
    </row>
    <row r="5">
      <c r="A5">
        <f>IFERROR(__xludf.DUMMYFUNCTION("""COMPUTED_VALUE"""),167694.0)</f>
        <v>167694</v>
      </c>
      <c r="B5" t="str">
        <f>IFERROR(__xludf.DUMMYFUNCTION("""COMPUTED_VALUE"""),"Turkey And Pork Sausage Fresh Bulk Patty Or Link Cooked")</f>
        <v>Turkey And Pork Sausage Fresh Bulk Patty Or Link Cooked</v>
      </c>
      <c r="C5" t="str">
        <f>IFERROR(__xludf.DUMMYFUNCTION("""COMPUTED_VALUE"""),"Meats")</f>
        <v>Meats</v>
      </c>
      <c r="D5">
        <f>IFERROR(__xludf.DUMMYFUNCTION("""COMPUTED_VALUE"""),307.0)</f>
        <v>307</v>
      </c>
      <c r="E5">
        <f>IFERROR(__xludf.DUMMYFUNCTION("""COMPUTED_VALUE"""),23.0)</f>
        <v>23</v>
      </c>
      <c r="F5">
        <f>IFERROR(__xludf.DUMMYFUNCTION("""COMPUTED_VALUE"""),22.7)</f>
        <v>22.7</v>
      </c>
      <c r="G5">
        <f>IFERROR(__xludf.DUMMYFUNCTION("""COMPUTED_VALUE"""),0.7)</f>
        <v>0.7</v>
      </c>
    </row>
    <row r="6">
      <c r="A6">
        <f>IFERROR(__xludf.DUMMYFUNCTION("""COMPUTED_VALUE"""),167696.0)</f>
        <v>167696</v>
      </c>
      <c r="B6" t="str">
        <f>IFERROR(__xludf.DUMMYFUNCTION("""COMPUTED_VALUE"""),"Frankfurter Beef Low Fat")</f>
        <v>Frankfurter Beef Low Fat</v>
      </c>
      <c r="C6" t="str">
        <f>IFERROR(__xludf.DUMMYFUNCTION("""COMPUTED_VALUE"""),"Meats")</f>
        <v>Meats</v>
      </c>
      <c r="D6">
        <f>IFERROR(__xludf.DUMMYFUNCTION("""COMPUTED_VALUE"""),140.0)</f>
        <v>140</v>
      </c>
      <c r="E6">
        <f>IFERROR(__xludf.DUMMYFUNCTION("""COMPUTED_VALUE"""),9.5)</f>
        <v>9.5</v>
      </c>
      <c r="F6">
        <f>IFERROR(__xludf.DUMMYFUNCTION("""COMPUTED_VALUE"""),12.0)</f>
        <v>12</v>
      </c>
      <c r="G6">
        <f>IFERROR(__xludf.DUMMYFUNCTION("""COMPUTED_VALUE"""),1.6)</f>
        <v>1.6</v>
      </c>
    </row>
    <row r="7">
      <c r="A7">
        <f>IFERROR(__xludf.DUMMYFUNCTION("""COMPUTED_VALUE"""),167697.0)</f>
        <v>167697</v>
      </c>
      <c r="B7" t="str">
        <f>IFERROR(__xludf.DUMMYFUNCTION("""COMPUTED_VALUE"""),"Milk Buttermilk Fluid Cultured Reduced Fat")</f>
        <v>Milk Buttermilk Fluid Cultured Reduced Fat</v>
      </c>
      <c r="C7" t="str">
        <f>IFERROR(__xludf.DUMMYFUNCTION("""COMPUTED_VALUE"""),"Dairy and Egg Products")</f>
        <v>Dairy and Egg Products</v>
      </c>
      <c r="D7">
        <f>IFERROR(__xludf.DUMMYFUNCTION("""COMPUTED_VALUE"""),56.0)</f>
        <v>56</v>
      </c>
      <c r="E7">
        <f>IFERROR(__xludf.DUMMYFUNCTION("""COMPUTED_VALUE"""),2.0)</f>
        <v>2</v>
      </c>
      <c r="F7">
        <f>IFERROR(__xludf.DUMMYFUNCTION("""COMPUTED_VALUE"""),4.1)</f>
        <v>4.1</v>
      </c>
      <c r="G7">
        <f>IFERROR(__xludf.DUMMYFUNCTION("""COMPUTED_VALUE"""),5.3)</f>
        <v>5.3</v>
      </c>
    </row>
    <row r="8">
      <c r="A8">
        <f>IFERROR(__xludf.DUMMYFUNCTION("""COMPUTED_VALUE"""),167698.0)</f>
        <v>167698</v>
      </c>
      <c r="B8" t="str">
        <f>IFERROR(__xludf.DUMMYFUNCTION("""COMPUTED_VALUE"""),"Pork Sausage Rice Links Brown And Serve Cooked")</f>
        <v>Pork Sausage Rice Links Brown And Serve Cooked</v>
      </c>
      <c r="C8" t="str">
        <f>IFERROR(__xludf.DUMMYFUNCTION("""COMPUTED_VALUE"""),"Meats")</f>
        <v>Meats</v>
      </c>
      <c r="D8">
        <f>IFERROR(__xludf.DUMMYFUNCTION("""COMPUTED_VALUE"""),407.0)</f>
        <v>407</v>
      </c>
      <c r="E8">
        <f>IFERROR(__xludf.DUMMYFUNCTION("""COMPUTED_VALUE"""),37.63)</f>
        <v>37.63</v>
      </c>
      <c r="F8">
        <f>IFERROR(__xludf.DUMMYFUNCTION("""COMPUTED_VALUE"""),13.7)</f>
        <v>13.7</v>
      </c>
      <c r="G8">
        <f>IFERROR(__xludf.DUMMYFUNCTION("""COMPUTED_VALUE"""),2.36)</f>
        <v>2.36</v>
      </c>
    </row>
    <row r="9">
      <c r="A9">
        <f>IFERROR(__xludf.DUMMYFUNCTION("""COMPUTED_VALUE"""),167703.0)</f>
        <v>167703</v>
      </c>
      <c r="B9" t="str">
        <f>IFERROR(__xludf.DUMMYFUNCTION("""COMPUTED_VALUE"""),"Cheese Cottage Lowfat 1% Milkfat Lactose Reduced")</f>
        <v>Cheese Cottage Lowfat 1% Milkfat Lactose Reduced</v>
      </c>
      <c r="C9" t="str">
        <f>IFERROR(__xludf.DUMMYFUNCTION("""COMPUTED_VALUE"""),"Dairy and Egg Products")</f>
        <v>Dairy and Egg Products</v>
      </c>
      <c r="D9">
        <f>IFERROR(__xludf.DUMMYFUNCTION("""COMPUTED_VALUE"""),74.0)</f>
        <v>74</v>
      </c>
      <c r="E9">
        <f>IFERROR(__xludf.DUMMYFUNCTION("""COMPUTED_VALUE"""),1.0)</f>
        <v>1</v>
      </c>
      <c r="F9">
        <f>IFERROR(__xludf.DUMMYFUNCTION("""COMPUTED_VALUE"""),12.4)</f>
        <v>12.4</v>
      </c>
      <c r="G9">
        <f>IFERROR(__xludf.DUMMYFUNCTION("""COMPUTED_VALUE"""),3.2)</f>
        <v>3.2</v>
      </c>
    </row>
    <row r="10">
      <c r="A10">
        <f>IFERROR(__xludf.DUMMYFUNCTION("""COMPUTED_VALUE"""),167705.0)</f>
        <v>167705</v>
      </c>
      <c r="B10" t="str">
        <f>IFERROR(__xludf.DUMMYFUNCTION("""COMPUTED_VALUE"""),"Grated Parmesan Cheese (Low-Sodium)")</f>
        <v>Grated Parmesan Cheese (Low-Sodium)</v>
      </c>
      <c r="C10" t="str">
        <f>IFERROR(__xludf.DUMMYFUNCTION("""COMPUTED_VALUE"""),"Dairy and Egg Products")</f>
        <v>Dairy and Egg Products</v>
      </c>
      <c r="D10">
        <f>IFERROR(__xludf.DUMMYFUNCTION("""COMPUTED_VALUE"""),451.0)</f>
        <v>451</v>
      </c>
      <c r="E10">
        <f>IFERROR(__xludf.DUMMYFUNCTION("""COMPUTED_VALUE"""),29.99)</f>
        <v>29.99</v>
      </c>
      <c r="F10">
        <f>IFERROR(__xludf.DUMMYFUNCTION("""COMPUTED_VALUE"""),41.6)</f>
        <v>41.6</v>
      </c>
      <c r="G10">
        <f>IFERROR(__xludf.DUMMYFUNCTION("""COMPUTED_VALUE"""),3.7)</f>
        <v>3.7</v>
      </c>
    </row>
    <row r="11">
      <c r="A11">
        <f>IFERROR(__xludf.DUMMYFUNCTION("""COMPUTED_VALUE"""),167709.0)</f>
        <v>167709</v>
      </c>
      <c r="B11" t="str">
        <f>IFERROR(__xludf.DUMMYFUNCTION("""COMPUTED_VALUE"""),"Turkey Wing Smoked Cooked With Skin Bone Removed")</f>
        <v>Turkey Wing Smoked Cooked With Skin Bone Removed</v>
      </c>
      <c r="C11" t="str">
        <f>IFERROR(__xludf.DUMMYFUNCTION("""COMPUTED_VALUE"""),"Meats")</f>
        <v>Meats</v>
      </c>
      <c r="D11">
        <f>IFERROR(__xludf.DUMMYFUNCTION("""COMPUTED_VALUE"""),221.0)</f>
        <v>221</v>
      </c>
      <c r="E11">
        <f>IFERROR(__xludf.DUMMYFUNCTION("""COMPUTED_VALUE"""),12.41)</f>
        <v>12.41</v>
      </c>
      <c r="F11">
        <f>IFERROR(__xludf.DUMMYFUNCTION("""COMPUTED_VALUE"""),27.4)</f>
        <v>27.4</v>
      </c>
      <c r="G11">
        <f>IFERROR(__xludf.DUMMYFUNCTION("""COMPUTED_VALUE"""),0.0)</f>
        <v>0</v>
      </c>
    </row>
    <row r="12">
      <c r="A12">
        <f>IFERROR(__xludf.DUMMYFUNCTION("""COMPUTED_VALUE"""),167710.0)</f>
        <v>167710</v>
      </c>
      <c r="B12" t="str">
        <f>IFERROR(__xludf.DUMMYFUNCTION("""COMPUTED_VALUE"""),"Turkey Drumstick Smoked Cooked With Skin Bone Removed")</f>
        <v>Turkey Drumstick Smoked Cooked With Skin Bone Removed</v>
      </c>
      <c r="C12" t="str">
        <f>IFERROR(__xludf.DUMMYFUNCTION("""COMPUTED_VALUE"""),"Meats")</f>
        <v>Meats</v>
      </c>
      <c r="D12">
        <f>IFERROR(__xludf.DUMMYFUNCTION("""COMPUTED_VALUE"""),200.0)</f>
        <v>200</v>
      </c>
      <c r="E12">
        <f>IFERROR(__xludf.DUMMYFUNCTION("""COMPUTED_VALUE"""),9.8)</f>
        <v>9.8</v>
      </c>
      <c r="F12">
        <f>IFERROR(__xludf.DUMMYFUNCTION("""COMPUTED_VALUE"""),27.9)</f>
        <v>27.9</v>
      </c>
      <c r="G12">
        <f>IFERROR(__xludf.DUMMYFUNCTION("""COMPUTED_VALUE"""),0.0)</f>
        <v>0</v>
      </c>
    </row>
    <row r="13">
      <c r="A13">
        <f>IFERROR(__xludf.DUMMYFUNCTION("""COMPUTED_VALUE"""),167712.0)</f>
        <v>167712</v>
      </c>
      <c r="B13" t="str">
        <f>IFERROR(__xludf.DUMMYFUNCTION("""COMPUTED_VALUE"""),"Pork Cured Bacon Cooked Broiled Pan-Fried Or Roasted Reduced Sodium")</f>
        <v>Pork Cured Bacon Cooked Broiled Pan-Fried Or Roasted Reduced Sodium</v>
      </c>
      <c r="C13" t="str">
        <f>IFERROR(__xludf.DUMMYFUNCTION("""COMPUTED_VALUE"""),"Meats")</f>
        <v>Meats</v>
      </c>
      <c r="D13">
        <f>IFERROR(__xludf.DUMMYFUNCTION("""COMPUTED_VALUE"""),541.0)</f>
        <v>541</v>
      </c>
      <c r="E13">
        <f>IFERROR(__xludf.DUMMYFUNCTION("""COMPUTED_VALUE"""),41.78)</f>
        <v>41.78</v>
      </c>
      <c r="F13">
        <f>IFERROR(__xludf.DUMMYFUNCTION("""COMPUTED_VALUE"""),37.04)</f>
        <v>37.04</v>
      </c>
      <c r="G13">
        <f>IFERROR(__xludf.DUMMYFUNCTION("""COMPUTED_VALUE"""),1.43)</f>
        <v>1.43</v>
      </c>
    </row>
    <row r="14">
      <c r="A14">
        <f>IFERROR(__xludf.DUMMYFUNCTION("""COMPUTED_VALUE"""),167713.0)</f>
        <v>167713</v>
      </c>
      <c r="B14" t="str">
        <f>IFERROR(__xludf.DUMMYFUNCTION("""COMPUTED_VALUE"""),"Turkey Light Or Dark Meat Smoked Cooked Skin And Bone Removed")</f>
        <v>Turkey Light Or Dark Meat Smoked Cooked Skin And Bone Removed</v>
      </c>
      <c r="C14" t="str">
        <f>IFERROR(__xludf.DUMMYFUNCTION("""COMPUTED_VALUE"""),"Meats")</f>
        <v>Meats</v>
      </c>
      <c r="D14">
        <f>IFERROR(__xludf.DUMMYFUNCTION("""COMPUTED_VALUE"""),162.0)</f>
        <v>162</v>
      </c>
      <c r="E14">
        <f>IFERROR(__xludf.DUMMYFUNCTION("""COMPUTED_VALUE"""),5.0)</f>
        <v>5</v>
      </c>
      <c r="F14">
        <f>IFERROR(__xludf.DUMMYFUNCTION("""COMPUTED_VALUE"""),29.3)</f>
        <v>29.3</v>
      </c>
      <c r="G14">
        <f>IFERROR(__xludf.DUMMYFUNCTION("""COMPUTED_VALUE"""),0.0)</f>
        <v>0</v>
      </c>
    </row>
    <row r="15">
      <c r="A15">
        <f>IFERROR(__xludf.DUMMYFUNCTION("""COMPUTED_VALUE"""),167716.0)</f>
        <v>167716</v>
      </c>
      <c r="B15" t="str">
        <f>IFERROR(__xludf.DUMMYFUNCTION("""COMPUTED_VALUE"""),"Cheese Cottage Lowfat 1% Milkfat With Vegetables")</f>
        <v>Cheese Cottage Lowfat 1% Milkfat With Vegetables</v>
      </c>
      <c r="C15" t="str">
        <f>IFERROR(__xludf.DUMMYFUNCTION("""COMPUTED_VALUE"""),"Dairy and Egg Products")</f>
        <v>Dairy and Egg Products</v>
      </c>
      <c r="D15">
        <f>IFERROR(__xludf.DUMMYFUNCTION("""COMPUTED_VALUE"""),67.0)</f>
        <v>67</v>
      </c>
      <c r="E15">
        <f>IFERROR(__xludf.DUMMYFUNCTION("""COMPUTED_VALUE"""),1.0)</f>
        <v>1</v>
      </c>
      <c r="F15">
        <f>IFERROR(__xludf.DUMMYFUNCTION("""COMPUTED_VALUE"""),10.9)</f>
        <v>10.9</v>
      </c>
      <c r="G15">
        <f>IFERROR(__xludf.DUMMYFUNCTION("""COMPUTED_VALUE"""),3.0)</f>
        <v>3</v>
      </c>
    </row>
    <row r="16">
      <c r="A16">
        <f>IFERROR(__xludf.DUMMYFUNCTION("""COMPUTED_VALUE"""),167730.0)</f>
        <v>167730</v>
      </c>
      <c r="B16" t="str">
        <f>IFERROR(__xludf.DUMMYFUNCTION("""COMPUTED_VALUE"""),"Milk Imitation Non-Soy")</f>
        <v>Milk Imitation Non-Soy</v>
      </c>
      <c r="C16" t="str">
        <f>IFERROR(__xludf.DUMMYFUNCTION("""COMPUTED_VALUE"""),"Dairy and Egg Products")</f>
        <v>Dairy and Egg Products</v>
      </c>
      <c r="D16">
        <f>IFERROR(__xludf.DUMMYFUNCTION("""COMPUTED_VALUE"""),46.0)</f>
        <v>46</v>
      </c>
      <c r="E16">
        <f>IFERROR(__xludf.DUMMYFUNCTION("""COMPUTED_VALUE"""),2.0)</f>
        <v>2</v>
      </c>
      <c r="F16">
        <f>IFERROR(__xludf.DUMMYFUNCTION("""COMPUTED_VALUE"""),1.6)</f>
        <v>1.6</v>
      </c>
      <c r="G16">
        <f>IFERROR(__xludf.DUMMYFUNCTION("""COMPUTED_VALUE"""),5.3)</f>
        <v>5.3</v>
      </c>
    </row>
    <row r="17">
      <c r="A17">
        <f>IFERROR(__xludf.DUMMYFUNCTION("""COMPUTED_VALUE"""),167735.0)</f>
        <v>167735</v>
      </c>
      <c r="B17" t="str">
        <f>IFERROR(__xludf.DUMMYFUNCTION("""COMPUTED_VALUE"""),"Cheese Mozzarella Low Sodium")</f>
        <v>Cheese Mozzarella Low Sodium</v>
      </c>
      <c r="C17" t="str">
        <f>IFERROR(__xludf.DUMMYFUNCTION("""COMPUTED_VALUE"""),"Dairy and Egg Products")</f>
        <v>Dairy and Egg Products</v>
      </c>
      <c r="D17">
        <f>IFERROR(__xludf.DUMMYFUNCTION("""COMPUTED_VALUE"""),280.0)</f>
        <v>280</v>
      </c>
      <c r="E17">
        <f>IFERROR(__xludf.DUMMYFUNCTION("""COMPUTED_VALUE"""),17.1)</f>
        <v>17.1</v>
      </c>
      <c r="F17">
        <f>IFERROR(__xludf.DUMMYFUNCTION("""COMPUTED_VALUE"""),27.5)</f>
        <v>27.5</v>
      </c>
      <c r="G17">
        <f>IFERROR(__xludf.DUMMYFUNCTION("""COMPUTED_VALUE"""),3.1)</f>
        <v>3.1</v>
      </c>
    </row>
    <row r="18">
      <c r="A18">
        <f>IFERROR(__xludf.DUMMYFUNCTION("""COMPUTED_VALUE"""),167742.0)</f>
        <v>167742</v>
      </c>
      <c r="B18" t="str">
        <f>IFERROR(__xludf.DUMMYFUNCTION("""COMPUTED_VALUE"""),"Scallops")</f>
        <v>Scallops</v>
      </c>
      <c r="C18" t="str">
        <f>IFERROR(__xludf.DUMMYFUNCTION("""COMPUTED_VALUE"""),"Fish")</f>
        <v>Fish</v>
      </c>
      <c r="D18">
        <f>IFERROR(__xludf.DUMMYFUNCTION("""COMPUTED_VALUE"""),111.0)</f>
        <v>111</v>
      </c>
      <c r="E18">
        <f>IFERROR(__xludf.DUMMYFUNCTION("""COMPUTED_VALUE"""),0.84)</f>
        <v>0.84</v>
      </c>
      <c r="F18">
        <f>IFERROR(__xludf.DUMMYFUNCTION("""COMPUTED_VALUE"""),20.54)</f>
        <v>20.54</v>
      </c>
      <c r="G18">
        <f>IFERROR(__xludf.DUMMYFUNCTION("""COMPUTED_VALUE"""),5.41)</f>
        <v>5.41</v>
      </c>
    </row>
    <row r="19">
      <c r="A19">
        <f>IFERROR(__xludf.DUMMYFUNCTION("""COMPUTED_VALUE"""),167744.0)</f>
        <v>167744</v>
      </c>
      <c r="B19" t="str">
        <f>IFERROR(__xludf.DUMMYFUNCTION("""COMPUTED_VALUE"""),"Mollusks Snail Raw")</f>
        <v>Mollusks Snail Raw</v>
      </c>
      <c r="C19" t="str">
        <f>IFERROR(__xludf.DUMMYFUNCTION("""COMPUTED_VALUE"""),"Fish")</f>
        <v>Fish</v>
      </c>
      <c r="D19">
        <f>IFERROR(__xludf.DUMMYFUNCTION("""COMPUTED_VALUE"""),90.0)</f>
        <v>90</v>
      </c>
      <c r="E19">
        <f>IFERROR(__xludf.DUMMYFUNCTION("""COMPUTED_VALUE"""),1.4)</f>
        <v>1.4</v>
      </c>
      <c r="F19">
        <f>IFERROR(__xludf.DUMMYFUNCTION("""COMPUTED_VALUE"""),16.1)</f>
        <v>16.1</v>
      </c>
      <c r="G19">
        <f>IFERROR(__xludf.DUMMYFUNCTION("""COMPUTED_VALUE"""),2.0)</f>
        <v>2</v>
      </c>
    </row>
    <row r="20">
      <c r="A20">
        <f>IFERROR(__xludf.DUMMYFUNCTION("""COMPUTED_VALUE"""),167745.0)</f>
        <v>167745</v>
      </c>
      <c r="B20" t="str">
        <f>IFERROR(__xludf.DUMMYFUNCTION("""COMPUTED_VALUE"""),"Turtle Green Raw")</f>
        <v>Turtle Green Raw</v>
      </c>
      <c r="C20" t="str">
        <f>IFERROR(__xludf.DUMMYFUNCTION("""COMPUTED_VALUE"""),"Fish")</f>
        <v>Fish</v>
      </c>
      <c r="D20">
        <f>IFERROR(__xludf.DUMMYFUNCTION("""COMPUTED_VALUE"""),89.0)</f>
        <v>89</v>
      </c>
      <c r="E20">
        <f>IFERROR(__xludf.DUMMYFUNCTION("""COMPUTED_VALUE"""),0.5)</f>
        <v>0.5</v>
      </c>
      <c r="F20">
        <f>IFERROR(__xludf.DUMMYFUNCTION("""COMPUTED_VALUE"""),19.8)</f>
        <v>19.8</v>
      </c>
      <c r="G20">
        <f>IFERROR(__xludf.DUMMYFUNCTION("""COMPUTED_VALUE"""),0.0)</f>
        <v>0</v>
      </c>
    </row>
    <row r="21">
      <c r="A21">
        <f>IFERROR(__xludf.DUMMYFUNCTION("""COMPUTED_VALUE"""),167810.0)</f>
        <v>167810</v>
      </c>
      <c r="B21" t="str">
        <f>IFERROR(__xludf.DUMMYFUNCTION("""COMPUTED_VALUE"""),"Pork Fresh Composite Of Trimmed Leg Loin Shoulder And Spareribs (Includes Cuts To Be Cured) Separable Lean And Fat Raw")</f>
        <v>Pork Fresh Composite Of Trimmed Leg Loin Shoulder And Spareribs (Includes Cuts To Be Cured) Separable Lean And Fat Raw</v>
      </c>
      <c r="C21" t="str">
        <f>IFERROR(__xludf.DUMMYFUNCTION("""COMPUTED_VALUE"""),"Meats")</f>
        <v>Meats</v>
      </c>
      <c r="D21">
        <f>IFERROR(__xludf.DUMMYFUNCTION("""COMPUTED_VALUE"""),211.0)</f>
        <v>211</v>
      </c>
      <c r="E21">
        <f>IFERROR(__xludf.DUMMYFUNCTION("""COMPUTED_VALUE"""),14.79)</f>
        <v>14.79</v>
      </c>
      <c r="F21">
        <f>IFERROR(__xludf.DUMMYFUNCTION("""COMPUTED_VALUE"""),18.22)</f>
        <v>18.22</v>
      </c>
      <c r="G21">
        <f>IFERROR(__xludf.DUMMYFUNCTION("""COMPUTED_VALUE"""),0.0)</f>
        <v>0</v>
      </c>
    </row>
    <row r="22">
      <c r="A22">
        <f>IFERROR(__xludf.DUMMYFUNCTION("""COMPUTED_VALUE"""),167811.0)</f>
        <v>167811</v>
      </c>
      <c r="B22" t="str">
        <f>IFERROR(__xludf.DUMMYFUNCTION("""COMPUTED_VALUE"""),"Pork Fresh Backfat Raw")</f>
        <v>Pork Fresh Backfat Raw</v>
      </c>
      <c r="C22" t="str">
        <f>IFERROR(__xludf.DUMMYFUNCTION("""COMPUTED_VALUE"""),"Meats")</f>
        <v>Meats</v>
      </c>
      <c r="D22">
        <f>IFERROR(__xludf.DUMMYFUNCTION("""COMPUTED_VALUE"""),812.0)</f>
        <v>812</v>
      </c>
      <c r="E22">
        <f>IFERROR(__xludf.DUMMYFUNCTION("""COMPUTED_VALUE"""),88.69)</f>
        <v>88.69</v>
      </c>
      <c r="F22">
        <f>IFERROR(__xludf.DUMMYFUNCTION("""COMPUTED_VALUE"""),2.92)</f>
        <v>2.92</v>
      </c>
      <c r="G22">
        <f>IFERROR(__xludf.DUMMYFUNCTION("""COMPUTED_VALUE"""),0.0)</f>
        <v>0</v>
      </c>
    </row>
    <row r="23">
      <c r="A23">
        <f>IFERROR(__xludf.DUMMYFUNCTION("""COMPUTED_VALUE"""),167812.0)</f>
        <v>167812</v>
      </c>
      <c r="B23" t="str">
        <f>IFERROR(__xludf.DUMMYFUNCTION("""COMPUTED_VALUE"""),"Pork Fresh Belly Raw")</f>
        <v>Pork Fresh Belly Raw</v>
      </c>
      <c r="C23" t="str">
        <f>IFERROR(__xludf.DUMMYFUNCTION("""COMPUTED_VALUE"""),"Meats")</f>
        <v>Meats</v>
      </c>
      <c r="D23">
        <f>IFERROR(__xludf.DUMMYFUNCTION("""COMPUTED_VALUE"""),518.0)</f>
        <v>518</v>
      </c>
      <c r="E23">
        <f>IFERROR(__xludf.DUMMYFUNCTION("""COMPUTED_VALUE"""),53.01)</f>
        <v>53.01</v>
      </c>
      <c r="F23">
        <f>IFERROR(__xludf.DUMMYFUNCTION("""COMPUTED_VALUE"""),9.34)</f>
        <v>9.34</v>
      </c>
      <c r="G23">
        <f>IFERROR(__xludf.DUMMYFUNCTION("""COMPUTED_VALUE"""),0.0)</f>
        <v>0</v>
      </c>
    </row>
    <row r="24">
      <c r="A24">
        <f>IFERROR(__xludf.DUMMYFUNCTION("""COMPUTED_VALUE"""),167813.0)</f>
        <v>167813</v>
      </c>
      <c r="B24" t="str">
        <f>IFERROR(__xludf.DUMMYFUNCTION("""COMPUTED_VALUE"""),"Pork Fresh Separable Fat Raw")</f>
        <v>Pork Fresh Separable Fat Raw</v>
      </c>
      <c r="C24" t="str">
        <f>IFERROR(__xludf.DUMMYFUNCTION("""COMPUTED_VALUE"""),"Meats")</f>
        <v>Meats</v>
      </c>
      <c r="D24">
        <f>IFERROR(__xludf.DUMMYFUNCTION("""COMPUTED_VALUE"""),632.0)</f>
        <v>632</v>
      </c>
      <c r="E24">
        <f>IFERROR(__xludf.DUMMYFUNCTION("""COMPUTED_VALUE"""),65.7)</f>
        <v>65.7</v>
      </c>
      <c r="F24">
        <f>IFERROR(__xludf.DUMMYFUNCTION("""COMPUTED_VALUE"""),9.25)</f>
        <v>9.25</v>
      </c>
      <c r="G24">
        <f>IFERROR(__xludf.DUMMYFUNCTION("""COMPUTED_VALUE"""),0.0)</f>
        <v>0</v>
      </c>
    </row>
    <row r="25">
      <c r="A25">
        <f>IFERROR(__xludf.DUMMYFUNCTION("""COMPUTED_VALUE"""),167814.0)</f>
        <v>167814</v>
      </c>
      <c r="B25" t="str">
        <f>IFERROR(__xludf.DUMMYFUNCTION("""COMPUTED_VALUE"""),"Pork Fresh Leg (Ham) Rump Half Separable Lean And Fat Raw")</f>
        <v>Pork Fresh Leg (Ham) Rump Half Separable Lean And Fat Raw</v>
      </c>
      <c r="C25" t="str">
        <f>IFERROR(__xludf.DUMMYFUNCTION("""COMPUTED_VALUE"""),"Meats")</f>
        <v>Meats</v>
      </c>
      <c r="D25">
        <f>IFERROR(__xludf.DUMMYFUNCTION("""COMPUTED_VALUE"""),182.0)</f>
        <v>182</v>
      </c>
      <c r="E25">
        <f>IFERROR(__xludf.DUMMYFUNCTION("""COMPUTED_VALUE"""),10.63)</f>
        <v>10.63</v>
      </c>
      <c r="F25">
        <f>IFERROR(__xludf.DUMMYFUNCTION("""COMPUTED_VALUE"""),20.27)</f>
        <v>20.27</v>
      </c>
      <c r="G25">
        <f>IFERROR(__xludf.DUMMYFUNCTION("""COMPUTED_VALUE"""),0.0)</f>
        <v>0</v>
      </c>
    </row>
    <row r="26">
      <c r="A26">
        <f>IFERROR(__xludf.DUMMYFUNCTION("""COMPUTED_VALUE"""),167815.0)</f>
        <v>167815</v>
      </c>
      <c r="B26" t="str">
        <f>IFERROR(__xludf.DUMMYFUNCTION("""COMPUTED_VALUE"""),"Pork Fresh Leg (Ham) Rump Half Separable Lean And Fat Cooked Roasted")</f>
        <v>Pork Fresh Leg (Ham) Rump Half Separable Lean And Fat Cooked Roasted</v>
      </c>
      <c r="C26" t="str">
        <f>IFERROR(__xludf.DUMMYFUNCTION("""COMPUTED_VALUE"""),"Meats")</f>
        <v>Meats</v>
      </c>
      <c r="D26">
        <f>IFERROR(__xludf.DUMMYFUNCTION("""COMPUTED_VALUE"""),209.0)</f>
        <v>209</v>
      </c>
      <c r="E26">
        <f>IFERROR(__xludf.DUMMYFUNCTION("""COMPUTED_VALUE"""),10.32)</f>
        <v>10.32</v>
      </c>
      <c r="F26">
        <f>IFERROR(__xludf.DUMMYFUNCTION("""COMPUTED_VALUE"""),27.03)</f>
        <v>27.03</v>
      </c>
      <c r="G26">
        <f>IFERROR(__xludf.DUMMYFUNCTION("""COMPUTED_VALUE"""),0.0)</f>
        <v>0</v>
      </c>
    </row>
    <row r="27">
      <c r="A27">
        <f>IFERROR(__xludf.DUMMYFUNCTION("""COMPUTED_VALUE"""),167816.0)</f>
        <v>167816</v>
      </c>
      <c r="B27" t="str">
        <f>IFERROR(__xludf.DUMMYFUNCTION("""COMPUTED_VALUE"""),"Pork Fresh Leg (Ham) Rump Half Separable Lean Only Raw")</f>
        <v>Pork Fresh Leg (Ham) Rump Half Separable Lean Only Raw</v>
      </c>
      <c r="C27" t="str">
        <f>IFERROR(__xludf.DUMMYFUNCTION("""COMPUTED_VALUE"""),"Meats")</f>
        <v>Meats</v>
      </c>
      <c r="D27">
        <f>IFERROR(__xludf.DUMMYFUNCTION("""COMPUTED_VALUE"""),120.0)</f>
        <v>120</v>
      </c>
      <c r="E27">
        <f>IFERROR(__xludf.DUMMYFUNCTION("""COMPUTED_VALUE"""),2.93)</f>
        <v>2.93</v>
      </c>
      <c r="F27">
        <f>IFERROR(__xludf.DUMMYFUNCTION("""COMPUTED_VALUE"""),21.81)</f>
        <v>21.81</v>
      </c>
      <c r="G27">
        <f>IFERROR(__xludf.DUMMYFUNCTION("""COMPUTED_VALUE"""),0.0)</f>
        <v>0</v>
      </c>
    </row>
    <row r="28">
      <c r="A28">
        <f>IFERROR(__xludf.DUMMYFUNCTION("""COMPUTED_VALUE"""),167817.0)</f>
        <v>167817</v>
      </c>
      <c r="B28" t="str">
        <f>IFERROR(__xludf.DUMMYFUNCTION("""COMPUTED_VALUE"""),"Pork Fresh Leg (Ham) Rump Half Separable Lean Only Cooked Roasted")</f>
        <v>Pork Fresh Leg (Ham) Rump Half Separable Lean Only Cooked Roasted</v>
      </c>
      <c r="C28" t="str">
        <f>IFERROR(__xludf.DUMMYFUNCTION("""COMPUTED_VALUE"""),"Meats")</f>
        <v>Meats</v>
      </c>
      <c r="D28">
        <f>IFERROR(__xludf.DUMMYFUNCTION("""COMPUTED_VALUE"""),165.0)</f>
        <v>165</v>
      </c>
      <c r="E28">
        <f>IFERROR(__xludf.DUMMYFUNCTION("""COMPUTED_VALUE"""),4.62)</f>
        <v>4.62</v>
      </c>
      <c r="F28">
        <f>IFERROR(__xludf.DUMMYFUNCTION("""COMPUTED_VALUE"""),28.86)</f>
        <v>28.86</v>
      </c>
      <c r="G28">
        <f>IFERROR(__xludf.DUMMYFUNCTION("""COMPUTED_VALUE"""),0.0)</f>
        <v>0</v>
      </c>
    </row>
    <row r="29">
      <c r="A29">
        <f>IFERROR(__xludf.DUMMYFUNCTION("""COMPUTED_VALUE"""),167818.0)</f>
        <v>167818</v>
      </c>
      <c r="B29" t="str">
        <f>IFERROR(__xludf.DUMMYFUNCTION("""COMPUTED_VALUE"""),"Pork Fresh Loin Whole Separable Lean And Fat Raw")</f>
        <v>Pork Fresh Loin Whole Separable Lean And Fat Raw</v>
      </c>
      <c r="C29" t="str">
        <f>IFERROR(__xludf.DUMMYFUNCTION("""COMPUTED_VALUE"""),"Meats")</f>
        <v>Meats</v>
      </c>
      <c r="D29">
        <f>IFERROR(__xludf.DUMMYFUNCTION("""COMPUTED_VALUE"""),198.0)</f>
        <v>198</v>
      </c>
      <c r="E29">
        <f>IFERROR(__xludf.DUMMYFUNCTION("""COMPUTED_VALUE"""),12.58)</f>
        <v>12.58</v>
      </c>
      <c r="F29">
        <f>IFERROR(__xludf.DUMMYFUNCTION("""COMPUTED_VALUE"""),19.74)</f>
        <v>19.74</v>
      </c>
      <c r="G29">
        <f>IFERROR(__xludf.DUMMYFUNCTION("""COMPUTED_VALUE"""),0.0)</f>
        <v>0</v>
      </c>
    </row>
    <row r="30">
      <c r="A30">
        <f>IFERROR(__xludf.DUMMYFUNCTION("""COMPUTED_VALUE"""),167819.0)</f>
        <v>167819</v>
      </c>
      <c r="B30" t="str">
        <f>IFERROR(__xludf.DUMMYFUNCTION("""COMPUTED_VALUE"""),"Pork Fresh Loin Whole Separable Lean And Fat Cooked Braised")</f>
        <v>Pork Fresh Loin Whole Separable Lean And Fat Cooked Braised</v>
      </c>
      <c r="C30" t="str">
        <f>IFERROR(__xludf.DUMMYFUNCTION("""COMPUTED_VALUE"""),"Meats")</f>
        <v>Meats</v>
      </c>
      <c r="D30">
        <f>IFERROR(__xludf.DUMMYFUNCTION("""COMPUTED_VALUE"""),239.0)</f>
        <v>239</v>
      </c>
      <c r="E30">
        <f>IFERROR(__xludf.DUMMYFUNCTION("""COMPUTED_VALUE"""),13.62)</f>
        <v>13.62</v>
      </c>
      <c r="F30">
        <f>IFERROR(__xludf.DUMMYFUNCTION("""COMPUTED_VALUE"""),27.23)</f>
        <v>27.23</v>
      </c>
      <c r="G30">
        <f>IFERROR(__xludf.DUMMYFUNCTION("""COMPUTED_VALUE"""),0.0)</f>
        <v>0</v>
      </c>
    </row>
    <row r="31">
      <c r="A31">
        <f>IFERROR(__xludf.DUMMYFUNCTION("""COMPUTED_VALUE"""),167820.0)</f>
        <v>167820</v>
      </c>
      <c r="B31" t="str">
        <f>IFERROR(__xludf.DUMMYFUNCTION("""COMPUTED_VALUE"""),"Pork Loin")</f>
        <v>Pork Loin</v>
      </c>
      <c r="C31" t="str">
        <f>IFERROR(__xludf.DUMMYFUNCTION("""COMPUTED_VALUE"""),"Meats")</f>
        <v>Meats</v>
      </c>
      <c r="D31">
        <f>IFERROR(__xludf.DUMMYFUNCTION("""COMPUTED_VALUE"""),242.0)</f>
        <v>242</v>
      </c>
      <c r="E31">
        <f>IFERROR(__xludf.DUMMYFUNCTION("""COMPUTED_VALUE"""),13.92)</f>
        <v>13.92</v>
      </c>
      <c r="F31">
        <f>IFERROR(__xludf.DUMMYFUNCTION("""COMPUTED_VALUE"""),27.32)</f>
        <v>27.32</v>
      </c>
      <c r="G31">
        <f>IFERROR(__xludf.DUMMYFUNCTION("""COMPUTED_VALUE"""),0.0)</f>
        <v>0</v>
      </c>
    </row>
    <row r="32">
      <c r="A32">
        <f>IFERROR(__xludf.DUMMYFUNCTION("""COMPUTED_VALUE"""),167821.0)</f>
        <v>167821</v>
      </c>
      <c r="B32" t="str">
        <f>IFERROR(__xludf.DUMMYFUNCTION("""COMPUTED_VALUE"""),"Pork Fresh Loin Whole Separable Lean And Fat Cooked Roasted")</f>
        <v>Pork Fresh Loin Whole Separable Lean And Fat Cooked Roasted</v>
      </c>
      <c r="C32" t="str">
        <f>IFERROR(__xludf.DUMMYFUNCTION("""COMPUTED_VALUE"""),"Meats")</f>
        <v>Meats</v>
      </c>
      <c r="D32">
        <f>IFERROR(__xludf.DUMMYFUNCTION("""COMPUTED_VALUE"""),248.0)</f>
        <v>248</v>
      </c>
      <c r="E32">
        <f>IFERROR(__xludf.DUMMYFUNCTION("""COMPUTED_VALUE"""),14.65)</f>
        <v>14.65</v>
      </c>
      <c r="F32">
        <f>IFERROR(__xludf.DUMMYFUNCTION("""COMPUTED_VALUE"""),27.09)</f>
        <v>27.09</v>
      </c>
      <c r="G32">
        <f>IFERROR(__xludf.DUMMYFUNCTION("""COMPUTED_VALUE"""),0.0)</f>
        <v>0</v>
      </c>
    </row>
    <row r="33">
      <c r="A33">
        <f>IFERROR(__xludf.DUMMYFUNCTION("""COMPUTED_VALUE"""),167822.0)</f>
        <v>167822</v>
      </c>
      <c r="B33" t="str">
        <f>IFERROR(__xludf.DUMMYFUNCTION("""COMPUTED_VALUE"""),"Pork Fresh Loin Blade (Chops Or Roasts) Bone-In Separable Lean And Fat Raw")</f>
        <v>Pork Fresh Loin Blade (Chops Or Roasts) Bone-In Separable Lean And Fat Raw</v>
      </c>
      <c r="C33" t="str">
        <f>IFERROR(__xludf.DUMMYFUNCTION("""COMPUTED_VALUE"""),"Meats")</f>
        <v>Meats</v>
      </c>
      <c r="D33">
        <f>IFERROR(__xludf.DUMMYFUNCTION("""COMPUTED_VALUE"""),194.0)</f>
        <v>194</v>
      </c>
      <c r="E33">
        <f>IFERROR(__xludf.DUMMYFUNCTION("""COMPUTED_VALUE"""),12.27)</f>
        <v>12.27</v>
      </c>
      <c r="F33">
        <f>IFERROR(__xludf.DUMMYFUNCTION("""COMPUTED_VALUE"""),19.56)</f>
        <v>19.56</v>
      </c>
      <c r="G33">
        <f>IFERROR(__xludf.DUMMYFUNCTION("""COMPUTED_VALUE"""),0.0)</f>
        <v>0</v>
      </c>
    </row>
    <row r="34">
      <c r="A34">
        <f>IFERROR(__xludf.DUMMYFUNCTION("""COMPUTED_VALUE"""),167823.0)</f>
        <v>167823</v>
      </c>
      <c r="B34" t="str">
        <f>IFERROR(__xludf.DUMMYFUNCTION("""COMPUTED_VALUE"""),"Pork Chops (With Fat)")</f>
        <v>Pork Chops (With Fat)</v>
      </c>
      <c r="C34" t="str">
        <f>IFERROR(__xludf.DUMMYFUNCTION("""COMPUTED_VALUE"""),"Meats")</f>
        <v>Meats</v>
      </c>
      <c r="D34">
        <f>IFERROR(__xludf.DUMMYFUNCTION("""COMPUTED_VALUE"""),255.0)</f>
        <v>255</v>
      </c>
      <c r="E34">
        <f>IFERROR(__xludf.DUMMYFUNCTION("""COMPUTED_VALUE"""),15.71)</f>
        <v>15.71</v>
      </c>
      <c r="F34">
        <f>IFERROR(__xludf.DUMMYFUNCTION("""COMPUTED_VALUE"""),26.54)</f>
        <v>26.54</v>
      </c>
      <c r="G34">
        <f>IFERROR(__xludf.DUMMYFUNCTION("""COMPUTED_VALUE"""),0.0)</f>
        <v>0</v>
      </c>
    </row>
    <row r="35">
      <c r="A35">
        <f>IFERROR(__xludf.DUMMYFUNCTION("""COMPUTED_VALUE"""),167824.0)</f>
        <v>167824</v>
      </c>
      <c r="B35" t="str">
        <f>IFERROR(__xludf.DUMMYFUNCTION("""COMPUTED_VALUE"""),"Pork Fresh Loin Blade (Chops) Bone-In Separable Lean And Fat Cooked Broiled")</f>
        <v>Pork Fresh Loin Blade (Chops) Bone-In Separable Lean And Fat Cooked Broiled</v>
      </c>
      <c r="C35" t="str">
        <f>IFERROR(__xludf.DUMMYFUNCTION("""COMPUTED_VALUE"""),"Meats")</f>
        <v>Meats</v>
      </c>
      <c r="D35">
        <f>IFERROR(__xludf.DUMMYFUNCTION("""COMPUTED_VALUE"""),231.0)</f>
        <v>231</v>
      </c>
      <c r="E35">
        <f>IFERROR(__xludf.DUMMYFUNCTION("""COMPUTED_VALUE"""),14.35)</f>
        <v>14.35</v>
      </c>
      <c r="F35">
        <f>IFERROR(__xludf.DUMMYFUNCTION("""COMPUTED_VALUE"""),23.72)</f>
        <v>23.72</v>
      </c>
      <c r="G35">
        <f>IFERROR(__xludf.DUMMYFUNCTION("""COMPUTED_VALUE"""),0.0)</f>
        <v>0</v>
      </c>
    </row>
    <row r="36">
      <c r="A36">
        <f>IFERROR(__xludf.DUMMYFUNCTION("""COMPUTED_VALUE"""),167825.0)</f>
        <v>167825</v>
      </c>
      <c r="B36" t="str">
        <f>IFERROR(__xludf.DUMMYFUNCTION("""COMPUTED_VALUE"""),"Pork Fresh Loin Blade (Roasts) Bone-In Separable Lean And Fat Cooked Roasted")</f>
        <v>Pork Fresh Loin Blade (Roasts) Bone-In Separable Lean And Fat Cooked Roasted</v>
      </c>
      <c r="C36" t="str">
        <f>IFERROR(__xludf.DUMMYFUNCTION("""COMPUTED_VALUE"""),"Meats")</f>
        <v>Meats</v>
      </c>
      <c r="D36">
        <f>IFERROR(__xludf.DUMMYFUNCTION("""COMPUTED_VALUE"""),254.0)</f>
        <v>254</v>
      </c>
      <c r="E36">
        <f>IFERROR(__xludf.DUMMYFUNCTION("""COMPUTED_VALUE"""),16.71)</f>
        <v>16.71</v>
      </c>
      <c r="F36">
        <f>IFERROR(__xludf.DUMMYFUNCTION("""COMPUTED_VALUE"""),24.29)</f>
        <v>24.29</v>
      </c>
      <c r="G36">
        <f>IFERROR(__xludf.DUMMYFUNCTION("""COMPUTED_VALUE"""),0.0)</f>
        <v>0</v>
      </c>
    </row>
    <row r="37">
      <c r="A37">
        <f>IFERROR(__xludf.DUMMYFUNCTION("""COMPUTED_VALUE"""),167826.0)</f>
        <v>167826</v>
      </c>
      <c r="B37" t="str">
        <f>IFERROR(__xludf.DUMMYFUNCTION("""COMPUTED_VALUE"""),"Pork Fresh Loin Center Loin (Chops) Bone-In Separable Lean And Fat Cooked Braised")</f>
        <v>Pork Fresh Loin Center Loin (Chops) Bone-In Separable Lean And Fat Cooked Braised</v>
      </c>
      <c r="C37" t="str">
        <f>IFERROR(__xludf.DUMMYFUNCTION("""COMPUTED_VALUE"""),"Meats")</f>
        <v>Meats</v>
      </c>
      <c r="D37">
        <f>IFERROR(__xludf.DUMMYFUNCTION("""COMPUTED_VALUE"""),242.0)</f>
        <v>242</v>
      </c>
      <c r="E37">
        <f>IFERROR(__xludf.DUMMYFUNCTION("""COMPUTED_VALUE"""),13.51)</f>
        <v>13.51</v>
      </c>
      <c r="F37">
        <f>IFERROR(__xludf.DUMMYFUNCTION("""COMPUTED_VALUE"""),28.21)</f>
        <v>28.21</v>
      </c>
      <c r="G37">
        <f>IFERROR(__xludf.DUMMYFUNCTION("""COMPUTED_VALUE"""),0.0)</f>
        <v>0</v>
      </c>
    </row>
    <row r="38">
      <c r="A38">
        <f>IFERROR(__xludf.DUMMYFUNCTION("""COMPUTED_VALUE"""),167827.0)</f>
        <v>167827</v>
      </c>
      <c r="B38" t="str">
        <f>IFERROR(__xludf.DUMMYFUNCTION("""COMPUTED_VALUE"""),"Pork Fresh Loin Center Loin (Chops) Bone-In Separable Lean And Fat Cooked Broiled")</f>
        <v>Pork Fresh Loin Center Loin (Chops) Bone-In Separable Lean And Fat Cooked Broiled</v>
      </c>
      <c r="C38" t="str">
        <f>IFERROR(__xludf.DUMMYFUNCTION("""COMPUTED_VALUE"""),"Meats")</f>
        <v>Meats</v>
      </c>
      <c r="D38">
        <f>IFERROR(__xludf.DUMMYFUNCTION("""COMPUTED_VALUE"""),209.0)</f>
        <v>209</v>
      </c>
      <c r="E38">
        <f>IFERROR(__xludf.DUMMYFUNCTION("""COMPUTED_VALUE"""),11.06)</f>
        <v>11.06</v>
      </c>
      <c r="F38">
        <f>IFERROR(__xludf.DUMMYFUNCTION("""COMPUTED_VALUE"""),25.61)</f>
        <v>25.61</v>
      </c>
      <c r="G38">
        <f>IFERROR(__xludf.DUMMYFUNCTION("""COMPUTED_VALUE"""),0.0)</f>
        <v>0</v>
      </c>
    </row>
    <row r="39">
      <c r="A39">
        <f>IFERROR(__xludf.DUMMYFUNCTION("""COMPUTED_VALUE"""),167828.0)</f>
        <v>167828</v>
      </c>
      <c r="B39" t="str">
        <f>IFERROR(__xludf.DUMMYFUNCTION("""COMPUTED_VALUE"""),"Pork Fresh Loin Center Loin (Roasts) Bone-In Separable Lean And Fat Cooked Roasted")</f>
        <v>Pork Fresh Loin Center Loin (Roasts) Bone-In Separable Lean And Fat Cooked Roasted</v>
      </c>
      <c r="C39" t="str">
        <f>IFERROR(__xludf.DUMMYFUNCTION("""COMPUTED_VALUE"""),"Meats")</f>
        <v>Meats</v>
      </c>
      <c r="D39">
        <f>IFERROR(__xludf.DUMMYFUNCTION("""COMPUTED_VALUE"""),231.0)</f>
        <v>231</v>
      </c>
      <c r="E39">
        <f>IFERROR(__xludf.DUMMYFUNCTION("""COMPUTED_VALUE"""),12.8)</f>
        <v>12.8</v>
      </c>
      <c r="F39">
        <f>IFERROR(__xludf.DUMMYFUNCTION("""COMPUTED_VALUE"""),27.01)</f>
        <v>27.01</v>
      </c>
      <c r="G39">
        <f>IFERROR(__xludf.DUMMYFUNCTION("""COMPUTED_VALUE"""),0.0)</f>
        <v>0</v>
      </c>
    </row>
    <row r="40">
      <c r="A40">
        <f>IFERROR(__xludf.DUMMYFUNCTION("""COMPUTED_VALUE"""),167829.0)</f>
        <v>167829</v>
      </c>
      <c r="B40" t="str">
        <f>IFERROR(__xludf.DUMMYFUNCTION("""COMPUTED_VALUE"""),"Pork Fresh Loin Center Loin (Chops) Bone-In Separable Lean Only Raw")</f>
        <v>Pork Fresh Loin Center Loin (Chops) Bone-In Separable Lean Only Raw</v>
      </c>
      <c r="C40" t="str">
        <f>IFERROR(__xludf.DUMMYFUNCTION("""COMPUTED_VALUE"""),"Meats")</f>
        <v>Meats</v>
      </c>
      <c r="D40">
        <f>IFERROR(__xludf.DUMMYFUNCTION("""COMPUTED_VALUE"""),127.0)</f>
        <v>127</v>
      </c>
      <c r="E40">
        <f>IFERROR(__xludf.DUMMYFUNCTION("""COMPUTED_VALUE"""),3.71)</f>
        <v>3.71</v>
      </c>
      <c r="F40">
        <f>IFERROR(__xludf.DUMMYFUNCTION("""COMPUTED_VALUE"""),21.99)</f>
        <v>21.99</v>
      </c>
      <c r="G40">
        <f>IFERROR(__xludf.DUMMYFUNCTION("""COMPUTED_VALUE"""),0.0)</f>
        <v>0</v>
      </c>
    </row>
    <row r="41">
      <c r="A41">
        <f>IFERROR(__xludf.DUMMYFUNCTION("""COMPUTED_VALUE"""),167830.0)</f>
        <v>167830</v>
      </c>
      <c r="B41" t="str">
        <f>IFERROR(__xludf.DUMMYFUNCTION("""COMPUTED_VALUE"""),"Pork Fresh Loin Center Rib (Chops) Bone-In Separable Lean And Fat Cooked Braised")</f>
        <v>Pork Fresh Loin Center Rib (Chops) Bone-In Separable Lean And Fat Cooked Braised</v>
      </c>
      <c r="C41" t="str">
        <f>IFERROR(__xludf.DUMMYFUNCTION("""COMPUTED_VALUE"""),"Meats")</f>
        <v>Meats</v>
      </c>
      <c r="D41">
        <f>IFERROR(__xludf.DUMMYFUNCTION("""COMPUTED_VALUE"""),261.0)</f>
        <v>261</v>
      </c>
      <c r="E41">
        <f>IFERROR(__xludf.DUMMYFUNCTION("""COMPUTED_VALUE"""),16.28)</f>
        <v>16.28</v>
      </c>
      <c r="F41">
        <f>IFERROR(__xludf.DUMMYFUNCTION("""COMPUTED_VALUE"""),26.66)</f>
        <v>26.66</v>
      </c>
      <c r="G41">
        <f>IFERROR(__xludf.DUMMYFUNCTION("""COMPUTED_VALUE"""),0.0)</f>
        <v>0</v>
      </c>
    </row>
    <row r="42">
      <c r="A42">
        <f>IFERROR(__xludf.DUMMYFUNCTION("""COMPUTED_VALUE"""),167831.0)</f>
        <v>167831</v>
      </c>
      <c r="B42" t="str">
        <f>IFERROR(__xludf.DUMMYFUNCTION("""COMPUTED_VALUE"""),"Pork Fresh Loin Center Rib (Chops) Bone-In Separable Lean And Fat Cooked Broiled")</f>
        <v>Pork Fresh Loin Center Rib (Chops) Bone-In Separable Lean And Fat Cooked Broiled</v>
      </c>
      <c r="C42" t="str">
        <f>IFERROR(__xludf.DUMMYFUNCTION("""COMPUTED_VALUE"""),"Meats")</f>
        <v>Meats</v>
      </c>
      <c r="D42">
        <f>IFERROR(__xludf.DUMMYFUNCTION("""COMPUTED_VALUE"""),222.0)</f>
        <v>222</v>
      </c>
      <c r="E42">
        <f>IFERROR(__xludf.DUMMYFUNCTION("""COMPUTED_VALUE"""),13.04)</f>
        <v>13.04</v>
      </c>
      <c r="F42">
        <f>IFERROR(__xludf.DUMMYFUNCTION("""COMPUTED_VALUE"""),24.42)</f>
        <v>24.42</v>
      </c>
      <c r="G42">
        <f>IFERROR(__xludf.DUMMYFUNCTION("""COMPUTED_VALUE"""),0.0)</f>
        <v>0</v>
      </c>
    </row>
    <row r="43">
      <c r="A43">
        <f>IFERROR(__xludf.DUMMYFUNCTION("""COMPUTED_VALUE"""),167832.0)</f>
        <v>167832</v>
      </c>
      <c r="B43" t="str">
        <f>IFERROR(__xludf.DUMMYFUNCTION("""COMPUTED_VALUE"""),"Pork Fresh Loin Center Rib (Roasts) Bone-In Separable Lean And Fat Cooked Roasted")</f>
        <v>Pork Fresh Loin Center Rib (Roasts) Bone-In Separable Lean And Fat Cooked Roasted</v>
      </c>
      <c r="C43" t="str">
        <f>IFERROR(__xludf.DUMMYFUNCTION("""COMPUTED_VALUE"""),"Meats")</f>
        <v>Meats</v>
      </c>
      <c r="D43">
        <f>IFERROR(__xludf.DUMMYFUNCTION("""COMPUTED_VALUE"""),248.0)</f>
        <v>248</v>
      </c>
      <c r="E43">
        <f>IFERROR(__xludf.DUMMYFUNCTION("""COMPUTED_VALUE"""),14.68)</f>
        <v>14.68</v>
      </c>
      <c r="F43">
        <f>IFERROR(__xludf.DUMMYFUNCTION("""COMPUTED_VALUE"""),26.99)</f>
        <v>26.99</v>
      </c>
      <c r="G43">
        <f>IFERROR(__xludf.DUMMYFUNCTION("""COMPUTED_VALUE"""),0.0)</f>
        <v>0</v>
      </c>
    </row>
    <row r="44">
      <c r="A44">
        <f>IFERROR(__xludf.DUMMYFUNCTION("""COMPUTED_VALUE"""),167833.0)</f>
        <v>167833</v>
      </c>
      <c r="B44" t="str">
        <f>IFERROR(__xludf.DUMMYFUNCTION("""COMPUTED_VALUE"""),"Pork Fresh Loin Center Rib (Chops Or Roasts) Bone-In Separable Lean Only Raw")</f>
        <v>Pork Fresh Loin Center Rib (Chops Or Roasts) Bone-In Separable Lean Only Raw</v>
      </c>
      <c r="C44" t="str">
        <f>IFERROR(__xludf.DUMMYFUNCTION("""COMPUTED_VALUE"""),"Meats")</f>
        <v>Meats</v>
      </c>
      <c r="D44">
        <f>IFERROR(__xludf.DUMMYFUNCTION("""COMPUTED_VALUE"""),136.0)</f>
        <v>136</v>
      </c>
      <c r="E44">
        <f>IFERROR(__xludf.DUMMYFUNCTION("""COMPUTED_VALUE"""),4.8)</f>
        <v>4.8</v>
      </c>
      <c r="F44">
        <f>IFERROR(__xludf.DUMMYFUNCTION("""COMPUTED_VALUE"""),21.79)</f>
        <v>21.79</v>
      </c>
      <c r="G44">
        <f>IFERROR(__xludf.DUMMYFUNCTION("""COMPUTED_VALUE"""),0.0)</f>
        <v>0</v>
      </c>
    </row>
    <row r="45">
      <c r="A45">
        <f>IFERROR(__xludf.DUMMYFUNCTION("""COMPUTED_VALUE"""),167834.0)</f>
        <v>167834</v>
      </c>
      <c r="B45" t="str">
        <f>IFERROR(__xludf.DUMMYFUNCTION("""COMPUTED_VALUE"""),"Pork Fresh Loin Sirloin (Chops) Bone-In Separable Lean And Fat Cooked Braised")</f>
        <v>Pork Fresh Loin Sirloin (Chops) Bone-In Separable Lean And Fat Cooked Braised</v>
      </c>
      <c r="C45" t="str">
        <f>IFERROR(__xludf.DUMMYFUNCTION("""COMPUTED_VALUE"""),"Meats")</f>
        <v>Meats</v>
      </c>
      <c r="D45">
        <f>IFERROR(__xludf.DUMMYFUNCTION("""COMPUTED_VALUE"""),234.0)</f>
        <v>234</v>
      </c>
      <c r="E45">
        <f>IFERROR(__xludf.DUMMYFUNCTION("""COMPUTED_VALUE"""),12.31)</f>
        <v>12.31</v>
      </c>
      <c r="F45">
        <f>IFERROR(__xludf.DUMMYFUNCTION("""COMPUTED_VALUE"""),28.81)</f>
        <v>28.81</v>
      </c>
      <c r="G45">
        <f>IFERROR(__xludf.DUMMYFUNCTION("""COMPUTED_VALUE"""),0.0)</f>
        <v>0</v>
      </c>
    </row>
    <row r="46">
      <c r="A46">
        <f>IFERROR(__xludf.DUMMYFUNCTION("""COMPUTED_VALUE"""),167835.0)</f>
        <v>167835</v>
      </c>
      <c r="B46" t="str">
        <f>IFERROR(__xludf.DUMMYFUNCTION("""COMPUTED_VALUE"""),"Pork Fresh Loin Sirloin (Chops) Bone-In Separable Lean And Fat Cooked Broiled")</f>
        <v>Pork Fresh Loin Sirloin (Chops) Bone-In Separable Lean And Fat Cooked Broiled</v>
      </c>
      <c r="C46" t="str">
        <f>IFERROR(__xludf.DUMMYFUNCTION("""COMPUTED_VALUE"""),"Meats")</f>
        <v>Meats</v>
      </c>
      <c r="D46">
        <f>IFERROR(__xludf.DUMMYFUNCTION("""COMPUTED_VALUE"""),222.0)</f>
        <v>222</v>
      </c>
      <c r="E46">
        <f>IFERROR(__xludf.DUMMYFUNCTION("""COMPUTED_VALUE"""),11.82)</f>
        <v>11.82</v>
      </c>
      <c r="F46">
        <f>IFERROR(__xludf.DUMMYFUNCTION("""COMPUTED_VALUE"""),26.96)</f>
        <v>26.96</v>
      </c>
      <c r="G46">
        <f>IFERROR(__xludf.DUMMYFUNCTION("""COMPUTED_VALUE"""),0.0)</f>
        <v>0</v>
      </c>
    </row>
    <row r="47">
      <c r="A47">
        <f>IFERROR(__xludf.DUMMYFUNCTION("""COMPUTED_VALUE"""),167836.0)</f>
        <v>167836</v>
      </c>
      <c r="B47" t="str">
        <f>IFERROR(__xludf.DUMMYFUNCTION("""COMPUTED_VALUE"""),"Pork Fresh Loin Sirloin (Roasts) Bone-In Separable Lean And Fat Cooked Roasted")</f>
        <v>Pork Fresh Loin Sirloin (Roasts) Bone-In Separable Lean And Fat Cooked Roasted</v>
      </c>
      <c r="C47" t="str">
        <f>IFERROR(__xludf.DUMMYFUNCTION("""COMPUTED_VALUE"""),"Meats")</f>
        <v>Meats</v>
      </c>
      <c r="D47">
        <f>IFERROR(__xludf.DUMMYFUNCTION("""COMPUTED_VALUE"""),230.0)</f>
        <v>230</v>
      </c>
      <c r="E47">
        <f>IFERROR(__xludf.DUMMYFUNCTION("""COMPUTED_VALUE"""),12.87)</f>
        <v>12.87</v>
      </c>
      <c r="F47">
        <f>IFERROR(__xludf.DUMMYFUNCTION("""COMPUTED_VALUE"""),26.64)</f>
        <v>26.64</v>
      </c>
      <c r="G47">
        <f>IFERROR(__xludf.DUMMYFUNCTION("""COMPUTED_VALUE"""),0.0)</f>
        <v>0</v>
      </c>
    </row>
    <row r="48">
      <c r="A48">
        <f>IFERROR(__xludf.DUMMYFUNCTION("""COMPUTED_VALUE"""),167837.0)</f>
        <v>167837</v>
      </c>
      <c r="B48" t="str">
        <f>IFERROR(__xludf.DUMMYFUNCTION("""COMPUTED_VALUE"""),"Pork Fresh Loin Sirloin (Chops Or Roasts) Bone-In Separable Lean Only Raw")</f>
        <v>Pork Fresh Loin Sirloin (Chops Or Roasts) Bone-In Separable Lean Only Raw</v>
      </c>
      <c r="C48" t="str">
        <f>IFERROR(__xludf.DUMMYFUNCTION("""COMPUTED_VALUE"""),"Meats")</f>
        <v>Meats</v>
      </c>
      <c r="D48">
        <f>IFERROR(__xludf.DUMMYFUNCTION("""COMPUTED_VALUE"""),129.0)</f>
        <v>129</v>
      </c>
      <c r="E48">
        <f>IFERROR(__xludf.DUMMYFUNCTION("""COMPUTED_VALUE"""),4.02)</f>
        <v>4.02</v>
      </c>
      <c r="F48">
        <f>IFERROR(__xludf.DUMMYFUNCTION("""COMPUTED_VALUE"""),21.65)</f>
        <v>21.65</v>
      </c>
      <c r="G48">
        <f>IFERROR(__xludf.DUMMYFUNCTION("""COMPUTED_VALUE"""),0.0)</f>
        <v>0</v>
      </c>
    </row>
    <row r="49">
      <c r="A49">
        <f>IFERROR(__xludf.DUMMYFUNCTION("""COMPUTED_VALUE"""),167838.0)</f>
        <v>167838</v>
      </c>
      <c r="B49" t="str">
        <f>IFERROR(__xludf.DUMMYFUNCTION("""COMPUTED_VALUE"""),"Pork Chops (Lean)")</f>
        <v>Pork Chops (Lean)</v>
      </c>
      <c r="C49" t="str">
        <f>IFERROR(__xludf.DUMMYFUNCTION("""COMPUTED_VALUE"""),"Meats")</f>
        <v>Meats</v>
      </c>
      <c r="D49">
        <f>IFERROR(__xludf.DUMMYFUNCTION("""COMPUTED_VALUE"""),195.0)</f>
        <v>195</v>
      </c>
      <c r="E49">
        <f>IFERROR(__xludf.DUMMYFUNCTION("""COMPUTED_VALUE"""),6.9)</f>
        <v>6.9</v>
      </c>
      <c r="F49">
        <f>IFERROR(__xludf.DUMMYFUNCTION("""COMPUTED_VALUE"""),31.0)</f>
        <v>31</v>
      </c>
      <c r="G49">
        <f>IFERROR(__xludf.DUMMYFUNCTION("""COMPUTED_VALUE"""),0.0)</f>
        <v>0</v>
      </c>
    </row>
    <row r="50">
      <c r="A50">
        <f>IFERROR(__xludf.DUMMYFUNCTION("""COMPUTED_VALUE"""),167839.0)</f>
        <v>167839</v>
      </c>
      <c r="B50" t="str">
        <f>IFERROR(__xludf.DUMMYFUNCTION("""COMPUTED_VALUE"""),"Pork Fresh Loin Top Loin (Chops) Boneless Separable Lean And Fat Raw")</f>
        <v>Pork Fresh Loin Top Loin (Chops) Boneless Separable Lean And Fat Raw</v>
      </c>
      <c r="C50" t="str">
        <f>IFERROR(__xludf.DUMMYFUNCTION("""COMPUTED_VALUE"""),"Meats")</f>
        <v>Meats</v>
      </c>
      <c r="D50">
        <f>IFERROR(__xludf.DUMMYFUNCTION("""COMPUTED_VALUE"""),155.0)</f>
        <v>155</v>
      </c>
      <c r="E50">
        <f>IFERROR(__xludf.DUMMYFUNCTION("""COMPUTED_VALUE"""),6.94)</f>
        <v>6.94</v>
      </c>
      <c r="F50">
        <f>IFERROR(__xludf.DUMMYFUNCTION("""COMPUTED_VALUE"""),21.55)</f>
        <v>21.55</v>
      </c>
      <c r="G50">
        <f>IFERROR(__xludf.DUMMYFUNCTION("""COMPUTED_VALUE"""),0.0)</f>
        <v>0</v>
      </c>
    </row>
    <row r="51">
      <c r="A51">
        <f>IFERROR(__xludf.DUMMYFUNCTION("""COMPUTED_VALUE"""),167840.0)</f>
        <v>167840</v>
      </c>
      <c r="B51" t="str">
        <f>IFERROR(__xludf.DUMMYFUNCTION("""COMPUTED_VALUE"""),"Pork Fresh Loin Top Loin (Chops) Boneless Separable Lean And Fat Cooked Braised")</f>
        <v>Pork Fresh Loin Top Loin (Chops) Boneless Separable Lean And Fat Cooked Braised</v>
      </c>
      <c r="C51" t="str">
        <f>IFERROR(__xludf.DUMMYFUNCTION("""COMPUTED_VALUE"""),"Meats")</f>
        <v>Meats</v>
      </c>
      <c r="D51">
        <f>IFERROR(__xludf.DUMMYFUNCTION("""COMPUTED_VALUE"""),200.0)</f>
        <v>200</v>
      </c>
      <c r="E51">
        <f>IFERROR(__xludf.DUMMYFUNCTION("""COMPUTED_VALUE"""),8.31)</f>
        <v>8.31</v>
      </c>
      <c r="F51">
        <f>IFERROR(__xludf.DUMMYFUNCTION("""COMPUTED_VALUE"""),29.2)</f>
        <v>29.2</v>
      </c>
      <c r="G51">
        <f>IFERROR(__xludf.DUMMYFUNCTION("""COMPUTED_VALUE"""),0.0)</f>
        <v>0</v>
      </c>
    </row>
    <row r="52">
      <c r="A52">
        <f>IFERROR(__xludf.DUMMYFUNCTION("""COMPUTED_VALUE"""),167841.0)</f>
        <v>167841</v>
      </c>
      <c r="B52" t="str">
        <f>IFERROR(__xludf.DUMMYFUNCTION("""COMPUTED_VALUE"""),"Pork Fresh Loin Top Loin (Chops) Boneless Separable Lean And Fat Cooked Broiled")</f>
        <v>Pork Fresh Loin Top Loin (Chops) Boneless Separable Lean And Fat Cooked Broiled</v>
      </c>
      <c r="C52" t="str">
        <f>IFERROR(__xludf.DUMMYFUNCTION("""COMPUTED_VALUE"""),"Meats")</f>
        <v>Meats</v>
      </c>
      <c r="D52">
        <f>IFERROR(__xludf.DUMMYFUNCTION("""COMPUTED_VALUE"""),196.0)</f>
        <v>196</v>
      </c>
      <c r="E52">
        <f>IFERROR(__xludf.DUMMYFUNCTION("""COMPUTED_VALUE"""),9.14)</f>
        <v>9.14</v>
      </c>
      <c r="F52">
        <f>IFERROR(__xludf.DUMMYFUNCTION("""COMPUTED_VALUE"""),26.62)</f>
        <v>26.62</v>
      </c>
      <c r="G52">
        <f>IFERROR(__xludf.DUMMYFUNCTION("""COMPUTED_VALUE"""),0.0)</f>
        <v>0</v>
      </c>
    </row>
    <row r="53">
      <c r="A53">
        <f>IFERROR(__xludf.DUMMYFUNCTION("""COMPUTED_VALUE"""),167842.0)</f>
        <v>167842</v>
      </c>
      <c r="B53" t="str">
        <f>IFERROR(__xludf.DUMMYFUNCTION("""COMPUTED_VALUE"""),"Pork Fresh Loin Top Loin (Roasts) Boneless Separable Lean And Fat Cooked Roasted")</f>
        <v>Pork Fresh Loin Top Loin (Roasts) Boneless Separable Lean And Fat Cooked Roasted</v>
      </c>
      <c r="C53" t="str">
        <f>IFERROR(__xludf.DUMMYFUNCTION("""COMPUTED_VALUE"""),"Meats")</f>
        <v>Meats</v>
      </c>
      <c r="D53">
        <f>IFERROR(__xludf.DUMMYFUNCTION("""COMPUTED_VALUE"""),192.0)</f>
        <v>192</v>
      </c>
      <c r="E53">
        <f>IFERROR(__xludf.DUMMYFUNCTION("""COMPUTED_VALUE"""),8.82)</f>
        <v>8.82</v>
      </c>
      <c r="F53">
        <f>IFERROR(__xludf.DUMMYFUNCTION("""COMPUTED_VALUE"""),26.45)</f>
        <v>26.45</v>
      </c>
      <c r="G53">
        <f>IFERROR(__xludf.DUMMYFUNCTION("""COMPUTED_VALUE"""),0.0)</f>
        <v>0</v>
      </c>
    </row>
    <row r="54">
      <c r="A54">
        <f>IFERROR(__xludf.DUMMYFUNCTION("""COMPUTED_VALUE"""),167843.0)</f>
        <v>167843</v>
      </c>
      <c r="B54" t="str">
        <f>IFERROR(__xludf.DUMMYFUNCTION("""COMPUTED_VALUE"""),"Pork Fresh Shoulder Whole Separable Lean And Fat Raw")</f>
        <v>Pork Fresh Shoulder Whole Separable Lean And Fat Raw</v>
      </c>
      <c r="C54" t="str">
        <f>IFERROR(__xludf.DUMMYFUNCTION("""COMPUTED_VALUE"""),"Meats")</f>
        <v>Meats</v>
      </c>
      <c r="D54">
        <f>IFERROR(__xludf.DUMMYFUNCTION("""COMPUTED_VALUE"""),236.0)</f>
        <v>236</v>
      </c>
      <c r="E54">
        <f>IFERROR(__xludf.DUMMYFUNCTION("""COMPUTED_VALUE"""),17.99)</f>
        <v>17.99</v>
      </c>
      <c r="F54">
        <f>IFERROR(__xludf.DUMMYFUNCTION("""COMPUTED_VALUE"""),17.18)</f>
        <v>17.18</v>
      </c>
      <c r="G54">
        <f>IFERROR(__xludf.DUMMYFUNCTION("""COMPUTED_VALUE"""),0.0)</f>
        <v>0</v>
      </c>
    </row>
    <row r="55">
      <c r="A55">
        <f>IFERROR(__xludf.DUMMYFUNCTION("""COMPUTED_VALUE"""),167844.0)</f>
        <v>167844</v>
      </c>
      <c r="B55" t="str">
        <f>IFERROR(__xludf.DUMMYFUNCTION("""COMPUTED_VALUE"""),"Pork Fresh Shoulder Whole Separable Lean And Fat Cooked Roasted")</f>
        <v>Pork Fresh Shoulder Whole Separable Lean And Fat Cooked Roasted</v>
      </c>
      <c r="C55" t="str">
        <f>IFERROR(__xludf.DUMMYFUNCTION("""COMPUTED_VALUE"""),"Meats")</f>
        <v>Meats</v>
      </c>
      <c r="D55">
        <f>IFERROR(__xludf.DUMMYFUNCTION("""COMPUTED_VALUE"""),292.0)</f>
        <v>292</v>
      </c>
      <c r="E55">
        <f>IFERROR(__xludf.DUMMYFUNCTION("""COMPUTED_VALUE"""),21.39)</f>
        <v>21.39</v>
      </c>
      <c r="F55">
        <f>IFERROR(__xludf.DUMMYFUNCTION("""COMPUTED_VALUE"""),23.28)</f>
        <v>23.28</v>
      </c>
      <c r="G55">
        <f>IFERROR(__xludf.DUMMYFUNCTION("""COMPUTED_VALUE"""),0.0)</f>
        <v>0</v>
      </c>
    </row>
    <row r="56">
      <c r="A56">
        <f>IFERROR(__xludf.DUMMYFUNCTION("""COMPUTED_VALUE"""),167845.0)</f>
        <v>167845</v>
      </c>
      <c r="B56" t="str">
        <f>IFERROR(__xludf.DUMMYFUNCTION("""COMPUTED_VALUE"""),"Pork Fresh Shoulder Whole Separable Lean Only Raw")</f>
        <v>Pork Fresh Shoulder Whole Separable Lean Only Raw</v>
      </c>
      <c r="C56" t="str">
        <f>IFERROR(__xludf.DUMMYFUNCTION("""COMPUTED_VALUE"""),"Meats")</f>
        <v>Meats</v>
      </c>
      <c r="D56">
        <f>IFERROR(__xludf.DUMMYFUNCTION("""COMPUTED_VALUE"""),148.0)</f>
        <v>148</v>
      </c>
      <c r="E56">
        <f>IFERROR(__xludf.DUMMYFUNCTION("""COMPUTED_VALUE"""),7.14)</f>
        <v>7.14</v>
      </c>
      <c r="F56">
        <f>IFERROR(__xludf.DUMMYFUNCTION("""COMPUTED_VALUE"""),19.55)</f>
        <v>19.55</v>
      </c>
      <c r="G56">
        <f>IFERROR(__xludf.DUMMYFUNCTION("""COMPUTED_VALUE"""),0.0)</f>
        <v>0</v>
      </c>
    </row>
    <row r="57">
      <c r="A57">
        <f>IFERROR(__xludf.DUMMYFUNCTION("""COMPUTED_VALUE"""),167846.0)</f>
        <v>167846</v>
      </c>
      <c r="B57" t="str">
        <f>IFERROR(__xludf.DUMMYFUNCTION("""COMPUTED_VALUE"""),"Pork Fresh Shoulder Whole Separable Lean Only Cooked Roasted")</f>
        <v>Pork Fresh Shoulder Whole Separable Lean Only Cooked Roasted</v>
      </c>
      <c r="C57" t="str">
        <f>IFERROR(__xludf.DUMMYFUNCTION("""COMPUTED_VALUE"""),"Meats")</f>
        <v>Meats</v>
      </c>
      <c r="D57">
        <f>IFERROR(__xludf.DUMMYFUNCTION("""COMPUTED_VALUE"""),230.0)</f>
        <v>230</v>
      </c>
      <c r="E57">
        <f>IFERROR(__xludf.DUMMYFUNCTION("""COMPUTED_VALUE"""),13.54)</f>
        <v>13.54</v>
      </c>
      <c r="F57">
        <f>IFERROR(__xludf.DUMMYFUNCTION("""COMPUTED_VALUE"""),25.33)</f>
        <v>25.33</v>
      </c>
      <c r="G57">
        <f>IFERROR(__xludf.DUMMYFUNCTION("""COMPUTED_VALUE"""),0.0)</f>
        <v>0</v>
      </c>
    </row>
    <row r="58">
      <c r="A58">
        <f>IFERROR(__xludf.DUMMYFUNCTION("""COMPUTED_VALUE"""),167847.0)</f>
        <v>167847</v>
      </c>
      <c r="B58" t="str">
        <f>IFERROR(__xludf.DUMMYFUNCTION("""COMPUTED_VALUE"""),"Pork Fresh Shoulder Arm Picnic Separable Lean Only Cooked Braised")</f>
        <v>Pork Fresh Shoulder Arm Picnic Separable Lean Only Cooked Braised</v>
      </c>
      <c r="C58" t="str">
        <f>IFERROR(__xludf.DUMMYFUNCTION("""COMPUTED_VALUE"""),"Meats")</f>
        <v>Meats</v>
      </c>
      <c r="D58">
        <f>IFERROR(__xludf.DUMMYFUNCTION("""COMPUTED_VALUE"""),194.0)</f>
        <v>194</v>
      </c>
      <c r="E58">
        <f>IFERROR(__xludf.DUMMYFUNCTION("""COMPUTED_VALUE"""),8.87)</f>
        <v>8.87</v>
      </c>
      <c r="F58">
        <f>IFERROR(__xludf.DUMMYFUNCTION("""COMPUTED_VALUE"""),26.76)</f>
        <v>26.76</v>
      </c>
      <c r="G58">
        <f>IFERROR(__xludf.DUMMYFUNCTION("""COMPUTED_VALUE"""),0.0)</f>
        <v>0</v>
      </c>
    </row>
    <row r="59">
      <c r="A59">
        <f>IFERROR(__xludf.DUMMYFUNCTION("""COMPUTED_VALUE"""),167848.0)</f>
        <v>167848</v>
      </c>
      <c r="B59" t="str">
        <f>IFERROR(__xludf.DUMMYFUNCTION("""COMPUTED_VALUE"""),"Pork Fresh Shoulder Arm Picnic Separable Lean Only Cooked Roasted")</f>
        <v>Pork Fresh Shoulder Arm Picnic Separable Lean Only Cooked Roasted</v>
      </c>
      <c r="C59" t="str">
        <f>IFERROR(__xludf.DUMMYFUNCTION("""COMPUTED_VALUE"""),"Meats")</f>
        <v>Meats</v>
      </c>
      <c r="D59">
        <f>IFERROR(__xludf.DUMMYFUNCTION("""COMPUTED_VALUE"""),228.0)</f>
        <v>228</v>
      </c>
      <c r="E59">
        <f>IFERROR(__xludf.DUMMYFUNCTION("""COMPUTED_VALUE"""),12.62)</f>
        <v>12.62</v>
      </c>
      <c r="F59">
        <f>IFERROR(__xludf.DUMMYFUNCTION("""COMPUTED_VALUE"""),26.68)</f>
        <v>26.68</v>
      </c>
      <c r="G59">
        <f>IFERROR(__xludf.DUMMYFUNCTION("""COMPUTED_VALUE"""),0.0)</f>
        <v>0</v>
      </c>
    </row>
    <row r="60">
      <c r="A60">
        <f>IFERROR(__xludf.DUMMYFUNCTION("""COMPUTED_VALUE"""),167849.0)</f>
        <v>167849</v>
      </c>
      <c r="B60" t="str">
        <f>IFERROR(__xludf.DUMMYFUNCTION("""COMPUTED_VALUE"""),"Pork Fresh Shoulder (Boston Butt) Blade (Steaks) Separable Lean And Fat Raw")</f>
        <v>Pork Fresh Shoulder (Boston Butt) Blade (Steaks) Separable Lean And Fat Raw</v>
      </c>
      <c r="C60" t="str">
        <f>IFERROR(__xludf.DUMMYFUNCTION("""COMPUTED_VALUE"""),"Meats")</f>
        <v>Meats</v>
      </c>
      <c r="D60">
        <f>IFERROR(__xludf.DUMMYFUNCTION("""COMPUTED_VALUE"""),186.0)</f>
        <v>186</v>
      </c>
      <c r="E60">
        <f>IFERROR(__xludf.DUMMYFUNCTION("""COMPUTED_VALUE"""),12.36)</f>
        <v>12.36</v>
      </c>
      <c r="F60">
        <f>IFERROR(__xludf.DUMMYFUNCTION("""COMPUTED_VALUE"""),17.42)</f>
        <v>17.42</v>
      </c>
      <c r="G60">
        <f>IFERROR(__xludf.DUMMYFUNCTION("""COMPUTED_VALUE"""),0.0)</f>
        <v>0</v>
      </c>
    </row>
    <row r="61">
      <c r="A61">
        <f>IFERROR(__xludf.DUMMYFUNCTION("""COMPUTED_VALUE"""),167850.0)</f>
        <v>167850</v>
      </c>
      <c r="B61" t="str">
        <f>IFERROR(__xludf.DUMMYFUNCTION("""COMPUTED_VALUE"""),"Pork Fresh Shoulder (Boston Butt) Blade (Steaks) Separable Lean And Fat Cooked Braised")</f>
        <v>Pork Fresh Shoulder (Boston Butt) Blade (Steaks) Separable Lean And Fat Cooked Braised</v>
      </c>
      <c r="C61" t="str">
        <f>IFERROR(__xludf.DUMMYFUNCTION("""COMPUTED_VALUE"""),"Meats")</f>
        <v>Meats</v>
      </c>
      <c r="D61">
        <f>IFERROR(__xludf.DUMMYFUNCTION("""COMPUTED_VALUE"""),267.0)</f>
        <v>267</v>
      </c>
      <c r="E61">
        <f>IFERROR(__xludf.DUMMYFUNCTION("""COMPUTED_VALUE"""),17.69)</f>
        <v>17.69</v>
      </c>
      <c r="F61">
        <f>IFERROR(__xludf.DUMMYFUNCTION("""COMPUTED_VALUE"""),25.07)</f>
        <v>25.07</v>
      </c>
      <c r="G61">
        <f>IFERROR(__xludf.DUMMYFUNCTION("""COMPUTED_VALUE"""),0.0)</f>
        <v>0</v>
      </c>
    </row>
    <row r="62">
      <c r="A62">
        <f>IFERROR(__xludf.DUMMYFUNCTION("""COMPUTED_VALUE"""),167851.0)</f>
        <v>167851</v>
      </c>
      <c r="B62" t="str">
        <f>IFERROR(__xludf.DUMMYFUNCTION("""COMPUTED_VALUE"""),"Boston Steak (Pork)")</f>
        <v>Boston Steak (Pork)</v>
      </c>
      <c r="C62" t="str">
        <f>IFERROR(__xludf.DUMMYFUNCTION("""COMPUTED_VALUE"""),"Meats")</f>
        <v>Meats</v>
      </c>
      <c r="D62">
        <f>IFERROR(__xludf.DUMMYFUNCTION("""COMPUTED_VALUE"""),259.0)</f>
        <v>259</v>
      </c>
      <c r="E62">
        <f>IFERROR(__xludf.DUMMYFUNCTION("""COMPUTED_VALUE"""),16.61)</f>
        <v>16.61</v>
      </c>
      <c r="F62">
        <f>IFERROR(__xludf.DUMMYFUNCTION("""COMPUTED_VALUE"""),25.58)</f>
        <v>25.58</v>
      </c>
      <c r="G62">
        <f>IFERROR(__xludf.DUMMYFUNCTION("""COMPUTED_VALUE"""),0.0)</f>
        <v>0</v>
      </c>
    </row>
    <row r="63">
      <c r="A63">
        <f>IFERROR(__xludf.DUMMYFUNCTION("""COMPUTED_VALUE"""),167852.0)</f>
        <v>167852</v>
      </c>
      <c r="B63" t="str">
        <f>IFERROR(__xludf.DUMMYFUNCTION("""COMPUTED_VALUE"""),"Pork Fresh Shoulder Blade Boston (Roasts) Separable Lean Only Cooked Roasted")</f>
        <v>Pork Fresh Shoulder Blade Boston (Roasts) Separable Lean Only Cooked Roasted</v>
      </c>
      <c r="C63" t="str">
        <f>IFERROR(__xludf.DUMMYFUNCTION("""COMPUTED_VALUE"""),"Meats")</f>
        <v>Meats</v>
      </c>
      <c r="D63">
        <f>IFERROR(__xludf.DUMMYFUNCTION("""COMPUTED_VALUE"""),232.0)</f>
        <v>232</v>
      </c>
      <c r="E63">
        <f>IFERROR(__xludf.DUMMYFUNCTION("""COMPUTED_VALUE"""),14.3)</f>
        <v>14.3</v>
      </c>
      <c r="F63">
        <f>IFERROR(__xludf.DUMMYFUNCTION("""COMPUTED_VALUE"""),24.21)</f>
        <v>24.21</v>
      </c>
      <c r="G63">
        <f>IFERROR(__xludf.DUMMYFUNCTION("""COMPUTED_VALUE"""),0.0)</f>
        <v>0</v>
      </c>
    </row>
    <row r="64">
      <c r="A64">
        <f>IFERROR(__xludf.DUMMYFUNCTION("""COMPUTED_VALUE"""),167853.0)</f>
        <v>167853</v>
      </c>
      <c r="B64" t="str">
        <f>IFERROR(__xludf.DUMMYFUNCTION("""COMPUTED_VALUE"""),"Pork Fresh Spareribs Separable Lean And Fat Raw")</f>
        <v>Pork Fresh Spareribs Separable Lean And Fat Raw</v>
      </c>
      <c r="C64" t="str">
        <f>IFERROR(__xludf.DUMMYFUNCTION("""COMPUTED_VALUE"""),"Meats")</f>
        <v>Meats</v>
      </c>
      <c r="D64">
        <f>IFERROR(__xludf.DUMMYFUNCTION("""COMPUTED_VALUE"""),277.0)</f>
        <v>277</v>
      </c>
      <c r="E64">
        <f>IFERROR(__xludf.DUMMYFUNCTION("""COMPUTED_VALUE"""),23.4)</f>
        <v>23.4</v>
      </c>
      <c r="F64">
        <f>IFERROR(__xludf.DUMMYFUNCTION("""COMPUTED_VALUE"""),15.47)</f>
        <v>15.47</v>
      </c>
      <c r="G64">
        <f>IFERROR(__xludf.DUMMYFUNCTION("""COMPUTED_VALUE"""),0.0)</f>
        <v>0</v>
      </c>
    </row>
    <row r="65">
      <c r="A65">
        <f>IFERROR(__xludf.DUMMYFUNCTION("""COMPUTED_VALUE"""),167854.0)</f>
        <v>167854</v>
      </c>
      <c r="B65" t="str">
        <f>IFERROR(__xludf.DUMMYFUNCTION("""COMPUTED_VALUE"""),"Pork Spare Ribs")</f>
        <v>Pork Spare Ribs</v>
      </c>
      <c r="C65" t="str">
        <f>IFERROR(__xludf.DUMMYFUNCTION("""COMPUTED_VALUE"""),"Meats")</f>
        <v>Meats</v>
      </c>
      <c r="D65">
        <f>IFERROR(__xludf.DUMMYFUNCTION("""COMPUTED_VALUE"""),397.0)</f>
        <v>397</v>
      </c>
      <c r="E65">
        <f>IFERROR(__xludf.DUMMYFUNCTION("""COMPUTED_VALUE"""),30.3)</f>
        <v>30.3</v>
      </c>
      <c r="F65">
        <f>IFERROR(__xludf.DUMMYFUNCTION("""COMPUTED_VALUE"""),29.06)</f>
        <v>29.06</v>
      </c>
      <c r="G65">
        <f>IFERROR(__xludf.DUMMYFUNCTION("""COMPUTED_VALUE"""),0.0)</f>
        <v>0</v>
      </c>
    </row>
    <row r="66">
      <c r="A66">
        <f>IFERROR(__xludf.DUMMYFUNCTION("""COMPUTED_VALUE"""),167855.0)</f>
        <v>167855</v>
      </c>
      <c r="B66" t="str">
        <f>IFERROR(__xludf.DUMMYFUNCTION("""COMPUTED_VALUE"""),"Pork Fresh Composite Of Trimmed Retail Cuts (Leg Loin And Shoulder) Separable Lean Only Cooked")</f>
        <v>Pork Fresh Composite Of Trimmed Retail Cuts (Leg Loin And Shoulder) Separable Lean Only Cooked</v>
      </c>
      <c r="C66" t="str">
        <f>IFERROR(__xludf.DUMMYFUNCTION("""COMPUTED_VALUE"""),"Meats")</f>
        <v>Meats</v>
      </c>
      <c r="D66">
        <f>IFERROR(__xludf.DUMMYFUNCTION("""COMPUTED_VALUE"""),201.0)</f>
        <v>201</v>
      </c>
      <c r="E66">
        <f>IFERROR(__xludf.DUMMYFUNCTION("""COMPUTED_VALUE"""),9.21)</f>
        <v>9.21</v>
      </c>
      <c r="F66">
        <f>IFERROR(__xludf.DUMMYFUNCTION("""COMPUTED_VALUE"""),27.51)</f>
        <v>27.51</v>
      </c>
      <c r="G66">
        <f>IFERROR(__xludf.DUMMYFUNCTION("""COMPUTED_VALUE"""),0.0)</f>
        <v>0</v>
      </c>
    </row>
    <row r="67">
      <c r="A67">
        <f>IFERROR(__xludf.DUMMYFUNCTION("""COMPUTED_VALUE"""),167856.0)</f>
        <v>167856</v>
      </c>
      <c r="B67" t="str">
        <f>IFERROR(__xludf.DUMMYFUNCTION("""COMPUTED_VALUE"""),"Pork Fresh Variety Meats And By-Products Chitterlings Cooked Simmered")</f>
        <v>Pork Fresh Variety Meats And By-Products Chitterlings Cooked Simmered</v>
      </c>
      <c r="C67" t="str">
        <f>IFERROR(__xludf.DUMMYFUNCTION("""COMPUTED_VALUE"""),"Meats")</f>
        <v>Meats</v>
      </c>
      <c r="D67">
        <f>IFERROR(__xludf.DUMMYFUNCTION("""COMPUTED_VALUE"""),233.0)</f>
        <v>233</v>
      </c>
      <c r="E67">
        <f>IFERROR(__xludf.DUMMYFUNCTION("""COMPUTED_VALUE"""),20.32)</f>
        <v>20.32</v>
      </c>
      <c r="F67">
        <f>IFERROR(__xludf.DUMMYFUNCTION("""COMPUTED_VALUE"""),12.49)</f>
        <v>12.49</v>
      </c>
      <c r="G67">
        <f>IFERROR(__xludf.DUMMYFUNCTION("""COMPUTED_VALUE"""),0.0)</f>
        <v>0</v>
      </c>
    </row>
    <row r="68">
      <c r="A68">
        <f>IFERROR(__xludf.DUMMYFUNCTION("""COMPUTED_VALUE"""),167857.0)</f>
        <v>167857</v>
      </c>
      <c r="B68" t="str">
        <f>IFERROR(__xludf.DUMMYFUNCTION("""COMPUTED_VALUE"""),"Pork Fresh Variety Meats And By-Products Ears Frozen Raw")</f>
        <v>Pork Fresh Variety Meats And By-Products Ears Frozen Raw</v>
      </c>
      <c r="C68" t="str">
        <f>IFERROR(__xludf.DUMMYFUNCTION("""COMPUTED_VALUE"""),"Meats")</f>
        <v>Meats</v>
      </c>
      <c r="D68">
        <f>IFERROR(__xludf.DUMMYFUNCTION("""COMPUTED_VALUE"""),234.0)</f>
        <v>234</v>
      </c>
      <c r="E68">
        <f>IFERROR(__xludf.DUMMYFUNCTION("""COMPUTED_VALUE"""),15.1)</f>
        <v>15.1</v>
      </c>
      <c r="F68">
        <f>IFERROR(__xludf.DUMMYFUNCTION("""COMPUTED_VALUE"""),22.45)</f>
        <v>22.45</v>
      </c>
      <c r="G68">
        <f>IFERROR(__xludf.DUMMYFUNCTION("""COMPUTED_VALUE"""),0.6)</f>
        <v>0.6</v>
      </c>
    </row>
    <row r="69">
      <c r="A69">
        <f>IFERROR(__xludf.DUMMYFUNCTION("""COMPUTED_VALUE"""),167858.0)</f>
        <v>167858</v>
      </c>
      <c r="B69" t="str">
        <f>IFERROR(__xludf.DUMMYFUNCTION("""COMPUTED_VALUE"""),"Pork Fresh Variety Meats And By-Products Ears Frozen Cooked Simmered")</f>
        <v>Pork Fresh Variety Meats And By-Products Ears Frozen Cooked Simmered</v>
      </c>
      <c r="C69" t="str">
        <f>IFERROR(__xludf.DUMMYFUNCTION("""COMPUTED_VALUE"""),"Meats")</f>
        <v>Meats</v>
      </c>
      <c r="D69">
        <f>IFERROR(__xludf.DUMMYFUNCTION("""COMPUTED_VALUE"""),166.0)</f>
        <v>166</v>
      </c>
      <c r="E69">
        <f>IFERROR(__xludf.DUMMYFUNCTION("""COMPUTED_VALUE"""),10.8)</f>
        <v>10.8</v>
      </c>
      <c r="F69">
        <f>IFERROR(__xludf.DUMMYFUNCTION("""COMPUTED_VALUE"""),15.95)</f>
        <v>15.95</v>
      </c>
      <c r="G69">
        <f>IFERROR(__xludf.DUMMYFUNCTION("""COMPUTED_VALUE"""),0.2)</f>
        <v>0.2</v>
      </c>
    </row>
    <row r="70">
      <c r="A70">
        <f>IFERROR(__xludf.DUMMYFUNCTION("""COMPUTED_VALUE"""),167859.0)</f>
        <v>167859</v>
      </c>
      <c r="B70" t="str">
        <f>IFERROR(__xludf.DUMMYFUNCTION("""COMPUTED_VALUE"""),"Pork Fresh Variety Meats And By-Products Feet Raw")</f>
        <v>Pork Fresh Variety Meats And By-Products Feet Raw</v>
      </c>
      <c r="C70" t="str">
        <f>IFERROR(__xludf.DUMMYFUNCTION("""COMPUTED_VALUE"""),"Meats")</f>
        <v>Meats</v>
      </c>
      <c r="D70">
        <f>IFERROR(__xludf.DUMMYFUNCTION("""COMPUTED_VALUE"""),212.0)</f>
        <v>212</v>
      </c>
      <c r="E70">
        <f>IFERROR(__xludf.DUMMYFUNCTION("""COMPUTED_VALUE"""),12.59)</f>
        <v>12.59</v>
      </c>
      <c r="F70">
        <f>IFERROR(__xludf.DUMMYFUNCTION("""COMPUTED_VALUE"""),23.16)</f>
        <v>23.16</v>
      </c>
      <c r="G70">
        <f>IFERROR(__xludf.DUMMYFUNCTION("""COMPUTED_VALUE"""),0.0)</f>
        <v>0</v>
      </c>
    </row>
    <row r="71">
      <c r="A71">
        <f>IFERROR(__xludf.DUMMYFUNCTION("""COMPUTED_VALUE"""),167860.0)</f>
        <v>167860</v>
      </c>
      <c r="B71" t="str">
        <f>IFERROR(__xludf.DUMMYFUNCTION("""COMPUTED_VALUE"""),"Pork Fresh Variety Meats And By-Products Kidneys Cooked Braised")</f>
        <v>Pork Fresh Variety Meats And By-Products Kidneys Cooked Braised</v>
      </c>
      <c r="C71" t="str">
        <f>IFERROR(__xludf.DUMMYFUNCTION("""COMPUTED_VALUE"""),"Meats")</f>
        <v>Meats</v>
      </c>
      <c r="D71">
        <f>IFERROR(__xludf.DUMMYFUNCTION("""COMPUTED_VALUE"""),151.0)</f>
        <v>151</v>
      </c>
      <c r="E71">
        <f>IFERROR(__xludf.DUMMYFUNCTION("""COMPUTED_VALUE"""),4.7)</f>
        <v>4.7</v>
      </c>
      <c r="F71">
        <f>IFERROR(__xludf.DUMMYFUNCTION("""COMPUTED_VALUE"""),25.4)</f>
        <v>25.4</v>
      </c>
      <c r="G71">
        <f>IFERROR(__xludf.DUMMYFUNCTION("""COMPUTED_VALUE"""),0.0)</f>
        <v>0</v>
      </c>
    </row>
    <row r="72">
      <c r="A72">
        <f>IFERROR(__xludf.DUMMYFUNCTION("""COMPUTED_VALUE"""),167861.0)</f>
        <v>167861</v>
      </c>
      <c r="B72" t="str">
        <f>IFERROR(__xludf.DUMMYFUNCTION("""COMPUTED_VALUE"""),"Pork Fresh Variety Meats And By-Products Leaf Fat Raw")</f>
        <v>Pork Fresh Variety Meats And By-Products Leaf Fat Raw</v>
      </c>
      <c r="C72" t="str">
        <f>IFERROR(__xludf.DUMMYFUNCTION("""COMPUTED_VALUE"""),"Meats")</f>
        <v>Meats</v>
      </c>
      <c r="D72">
        <f>IFERROR(__xludf.DUMMYFUNCTION("""COMPUTED_VALUE"""),857.0)</f>
        <v>857</v>
      </c>
      <c r="E72">
        <f>IFERROR(__xludf.DUMMYFUNCTION("""COMPUTED_VALUE"""),94.16)</f>
        <v>94.16</v>
      </c>
      <c r="F72">
        <f>IFERROR(__xludf.DUMMYFUNCTION("""COMPUTED_VALUE"""),1.76)</f>
        <v>1.76</v>
      </c>
      <c r="G72">
        <f>IFERROR(__xludf.DUMMYFUNCTION("""COMPUTED_VALUE"""),0.0)</f>
        <v>0</v>
      </c>
    </row>
    <row r="73">
      <c r="A73">
        <f>IFERROR(__xludf.DUMMYFUNCTION("""COMPUTED_VALUE"""),167862.0)</f>
        <v>167862</v>
      </c>
      <c r="B73" t="str">
        <f>IFERROR(__xludf.DUMMYFUNCTION("""COMPUTED_VALUE"""),"Pork Fresh Variety Meats And By-Products Liver Raw")</f>
        <v>Pork Fresh Variety Meats And By-Products Liver Raw</v>
      </c>
      <c r="C73" t="str">
        <f>IFERROR(__xludf.DUMMYFUNCTION("""COMPUTED_VALUE"""),"Meats")</f>
        <v>Meats</v>
      </c>
      <c r="D73">
        <f>IFERROR(__xludf.DUMMYFUNCTION("""COMPUTED_VALUE"""),134.0)</f>
        <v>134</v>
      </c>
      <c r="E73">
        <f>IFERROR(__xludf.DUMMYFUNCTION("""COMPUTED_VALUE"""),3.65)</f>
        <v>3.65</v>
      </c>
      <c r="F73">
        <f>IFERROR(__xludf.DUMMYFUNCTION("""COMPUTED_VALUE"""),21.39)</f>
        <v>21.39</v>
      </c>
      <c r="G73">
        <f>IFERROR(__xludf.DUMMYFUNCTION("""COMPUTED_VALUE"""),2.47)</f>
        <v>2.47</v>
      </c>
    </row>
    <row r="74">
      <c r="A74">
        <f>IFERROR(__xludf.DUMMYFUNCTION("""COMPUTED_VALUE"""),167863.0)</f>
        <v>167863</v>
      </c>
      <c r="B74" t="str">
        <f>IFERROR(__xludf.DUMMYFUNCTION("""COMPUTED_VALUE"""),"Pork Fresh Variety Meats And By-Products Liver Cooked Braised")</f>
        <v>Pork Fresh Variety Meats And By-Products Liver Cooked Braised</v>
      </c>
      <c r="C74" t="str">
        <f>IFERROR(__xludf.DUMMYFUNCTION("""COMPUTED_VALUE"""),"Meats")</f>
        <v>Meats</v>
      </c>
      <c r="D74">
        <f>IFERROR(__xludf.DUMMYFUNCTION("""COMPUTED_VALUE"""),165.0)</f>
        <v>165</v>
      </c>
      <c r="E74">
        <f>IFERROR(__xludf.DUMMYFUNCTION("""COMPUTED_VALUE"""),4.4)</f>
        <v>4.4</v>
      </c>
      <c r="F74">
        <f>IFERROR(__xludf.DUMMYFUNCTION("""COMPUTED_VALUE"""),26.02)</f>
        <v>26.02</v>
      </c>
      <c r="G74">
        <f>IFERROR(__xludf.DUMMYFUNCTION("""COMPUTED_VALUE"""),3.76)</f>
        <v>3.76</v>
      </c>
    </row>
    <row r="75">
      <c r="A75">
        <f>IFERROR(__xludf.DUMMYFUNCTION("""COMPUTED_VALUE"""),167864.0)</f>
        <v>167864</v>
      </c>
      <c r="B75" t="str">
        <f>IFERROR(__xludf.DUMMYFUNCTION("""COMPUTED_VALUE"""),"Pork Fresh Variety Meats And By-Products Lungs Raw")</f>
        <v>Pork Fresh Variety Meats And By-Products Lungs Raw</v>
      </c>
      <c r="C75" t="str">
        <f>IFERROR(__xludf.DUMMYFUNCTION("""COMPUTED_VALUE"""),"Meats")</f>
        <v>Meats</v>
      </c>
      <c r="D75">
        <f>IFERROR(__xludf.DUMMYFUNCTION("""COMPUTED_VALUE"""),85.0)</f>
        <v>85</v>
      </c>
      <c r="E75">
        <f>IFERROR(__xludf.DUMMYFUNCTION("""COMPUTED_VALUE"""),2.72)</f>
        <v>2.72</v>
      </c>
      <c r="F75">
        <f>IFERROR(__xludf.DUMMYFUNCTION("""COMPUTED_VALUE"""),14.08)</f>
        <v>14.08</v>
      </c>
      <c r="G75">
        <f>IFERROR(__xludf.DUMMYFUNCTION("""COMPUTED_VALUE"""),0.0)</f>
        <v>0</v>
      </c>
    </row>
    <row r="76">
      <c r="A76">
        <f>IFERROR(__xludf.DUMMYFUNCTION("""COMPUTED_VALUE"""),167865.0)</f>
        <v>167865</v>
      </c>
      <c r="B76" t="str">
        <f>IFERROR(__xludf.DUMMYFUNCTION("""COMPUTED_VALUE"""),"Pork Fresh Variety Meats And By-Products Spleen Raw")</f>
        <v>Pork Fresh Variety Meats And By-Products Spleen Raw</v>
      </c>
      <c r="C76" t="str">
        <f>IFERROR(__xludf.DUMMYFUNCTION("""COMPUTED_VALUE"""),"Meats")</f>
        <v>Meats</v>
      </c>
      <c r="D76">
        <f>IFERROR(__xludf.DUMMYFUNCTION("""COMPUTED_VALUE"""),100.0)</f>
        <v>100</v>
      </c>
      <c r="E76">
        <f>IFERROR(__xludf.DUMMYFUNCTION("""COMPUTED_VALUE"""),2.59)</f>
        <v>2.59</v>
      </c>
      <c r="F76">
        <f>IFERROR(__xludf.DUMMYFUNCTION("""COMPUTED_VALUE"""),17.86)</f>
        <v>17.86</v>
      </c>
      <c r="G76">
        <f>IFERROR(__xludf.DUMMYFUNCTION("""COMPUTED_VALUE"""),0.0)</f>
        <v>0</v>
      </c>
    </row>
    <row r="77">
      <c r="A77">
        <f>IFERROR(__xludf.DUMMYFUNCTION("""COMPUTED_VALUE"""),167866.0)</f>
        <v>167866</v>
      </c>
      <c r="B77" t="str">
        <f>IFERROR(__xludf.DUMMYFUNCTION("""COMPUTED_VALUE"""),"Pork Fresh Variety Meats And By-Products Spleen Cooked Braised")</f>
        <v>Pork Fresh Variety Meats And By-Products Spleen Cooked Braised</v>
      </c>
      <c r="C77" t="str">
        <f>IFERROR(__xludf.DUMMYFUNCTION("""COMPUTED_VALUE"""),"Meats")</f>
        <v>Meats</v>
      </c>
      <c r="D77">
        <f>IFERROR(__xludf.DUMMYFUNCTION("""COMPUTED_VALUE"""),149.0)</f>
        <v>149</v>
      </c>
      <c r="E77">
        <f>IFERROR(__xludf.DUMMYFUNCTION("""COMPUTED_VALUE"""),3.2)</f>
        <v>3.2</v>
      </c>
      <c r="F77">
        <f>IFERROR(__xludf.DUMMYFUNCTION("""COMPUTED_VALUE"""),28.2)</f>
        <v>28.2</v>
      </c>
      <c r="G77">
        <f>IFERROR(__xludf.DUMMYFUNCTION("""COMPUTED_VALUE"""),0.0)</f>
        <v>0</v>
      </c>
    </row>
    <row r="78">
      <c r="A78">
        <f>IFERROR(__xludf.DUMMYFUNCTION("""COMPUTED_VALUE"""),167867.0)</f>
        <v>167867</v>
      </c>
      <c r="B78" t="str">
        <f>IFERROR(__xludf.DUMMYFUNCTION("""COMPUTED_VALUE"""),"Pork Fresh Variety Meats And By-Products Stomach Raw")</f>
        <v>Pork Fresh Variety Meats And By-Products Stomach Raw</v>
      </c>
      <c r="C78" t="str">
        <f>IFERROR(__xludf.DUMMYFUNCTION("""COMPUTED_VALUE"""),"Meats")</f>
        <v>Meats</v>
      </c>
      <c r="D78">
        <f>IFERROR(__xludf.DUMMYFUNCTION("""COMPUTED_VALUE"""),159.0)</f>
        <v>159</v>
      </c>
      <c r="E78">
        <f>IFERROR(__xludf.DUMMYFUNCTION("""COMPUTED_VALUE"""),10.14)</f>
        <v>10.14</v>
      </c>
      <c r="F78">
        <f>IFERROR(__xludf.DUMMYFUNCTION("""COMPUTED_VALUE"""),16.85)</f>
        <v>16.85</v>
      </c>
      <c r="G78">
        <f>IFERROR(__xludf.DUMMYFUNCTION("""COMPUTED_VALUE"""),0.0)</f>
        <v>0</v>
      </c>
    </row>
    <row r="79">
      <c r="A79">
        <f>IFERROR(__xludf.DUMMYFUNCTION("""COMPUTED_VALUE"""),167868.0)</f>
        <v>167868</v>
      </c>
      <c r="B79" t="str">
        <f>IFERROR(__xludf.DUMMYFUNCTION("""COMPUTED_VALUE"""),"Pork Fresh Loin Blade (Chops) Bone-In Separable Lean Only Cooked Pan-Fried")</f>
        <v>Pork Fresh Loin Blade (Chops) Bone-In Separable Lean Only Cooked Pan-Fried</v>
      </c>
      <c r="C79" t="str">
        <f>IFERROR(__xludf.DUMMYFUNCTION("""COMPUTED_VALUE"""),"Meats")</f>
        <v>Meats</v>
      </c>
      <c r="D79">
        <f>IFERROR(__xludf.DUMMYFUNCTION("""COMPUTED_VALUE"""),222.0)</f>
        <v>222</v>
      </c>
      <c r="E79">
        <f>IFERROR(__xludf.DUMMYFUNCTION("""COMPUTED_VALUE"""),12.14)</f>
        <v>12.14</v>
      </c>
      <c r="F79">
        <f>IFERROR(__xludf.DUMMYFUNCTION("""COMPUTED_VALUE"""),26.38)</f>
        <v>26.38</v>
      </c>
      <c r="G79">
        <f>IFERROR(__xludf.DUMMYFUNCTION("""COMPUTED_VALUE"""),0.0)</f>
        <v>0</v>
      </c>
    </row>
    <row r="80">
      <c r="A80">
        <f>IFERROR(__xludf.DUMMYFUNCTION("""COMPUTED_VALUE"""),167869.0)</f>
        <v>167869</v>
      </c>
      <c r="B80" t="str">
        <f>IFERROR(__xludf.DUMMYFUNCTION("""COMPUTED_VALUE"""),"Canadian Bacon (Raw)")</f>
        <v>Canadian Bacon (Raw)</v>
      </c>
      <c r="C80" t="str">
        <f>IFERROR(__xludf.DUMMYFUNCTION("""COMPUTED_VALUE"""),"Meats")</f>
        <v>Meats</v>
      </c>
      <c r="D80">
        <f>IFERROR(__xludf.DUMMYFUNCTION("""COMPUTED_VALUE"""),110.0)</f>
        <v>110</v>
      </c>
      <c r="E80">
        <f>IFERROR(__xludf.DUMMYFUNCTION("""COMPUTED_VALUE"""),2.62)</f>
        <v>2.62</v>
      </c>
      <c r="F80">
        <f>IFERROR(__xludf.DUMMYFUNCTION("""COMPUTED_VALUE"""),20.31)</f>
        <v>20.31</v>
      </c>
      <c r="G80">
        <f>IFERROR(__xludf.DUMMYFUNCTION("""COMPUTED_VALUE"""),1.34)</f>
        <v>1.34</v>
      </c>
    </row>
    <row r="81">
      <c r="A81">
        <f>IFERROR(__xludf.DUMMYFUNCTION("""COMPUTED_VALUE"""),167870.0)</f>
        <v>167870</v>
      </c>
      <c r="B81" t="str">
        <f>IFERROR(__xludf.DUMMYFUNCTION("""COMPUTED_VALUE"""),"Pork Cured Feet Pickled")</f>
        <v>Pork Cured Feet Pickled</v>
      </c>
      <c r="C81" t="str">
        <f>IFERROR(__xludf.DUMMYFUNCTION("""COMPUTED_VALUE"""),"Meats")</f>
        <v>Meats</v>
      </c>
      <c r="D81">
        <f>IFERROR(__xludf.DUMMYFUNCTION("""COMPUTED_VALUE"""),140.0)</f>
        <v>140</v>
      </c>
      <c r="E81">
        <f>IFERROR(__xludf.DUMMYFUNCTION("""COMPUTED_VALUE"""),10.02)</f>
        <v>10.02</v>
      </c>
      <c r="F81">
        <f>IFERROR(__xludf.DUMMYFUNCTION("""COMPUTED_VALUE"""),11.63)</f>
        <v>11.63</v>
      </c>
      <c r="G81">
        <f>IFERROR(__xludf.DUMMYFUNCTION("""COMPUTED_VALUE"""),0.01)</f>
        <v>0.01</v>
      </c>
    </row>
    <row r="82">
      <c r="A82">
        <f>IFERROR(__xludf.DUMMYFUNCTION("""COMPUTED_VALUE"""),167871.0)</f>
        <v>167871</v>
      </c>
      <c r="B82" t="str">
        <f>IFERROR(__xludf.DUMMYFUNCTION("""COMPUTED_VALUE"""),"Lean Cured Ham")</f>
        <v>Lean Cured Ham</v>
      </c>
      <c r="C82" t="str">
        <f>IFERROR(__xludf.DUMMYFUNCTION("""COMPUTED_VALUE"""),"Meats")</f>
        <v>Meats</v>
      </c>
      <c r="D82">
        <f>IFERROR(__xludf.DUMMYFUNCTION("""COMPUTED_VALUE"""),145.0)</f>
        <v>145</v>
      </c>
      <c r="E82">
        <f>IFERROR(__xludf.DUMMYFUNCTION("""COMPUTED_VALUE"""),5.53)</f>
        <v>5.53</v>
      </c>
      <c r="F82">
        <f>IFERROR(__xludf.DUMMYFUNCTION("""COMPUTED_VALUE"""),20.93)</f>
        <v>20.93</v>
      </c>
      <c r="G82">
        <f>IFERROR(__xludf.DUMMYFUNCTION("""COMPUTED_VALUE"""),1.5)</f>
        <v>1.5</v>
      </c>
    </row>
    <row r="83">
      <c r="A83">
        <f>IFERROR(__xludf.DUMMYFUNCTION("""COMPUTED_VALUE"""),167872.0)</f>
        <v>167872</v>
      </c>
      <c r="B83" t="str">
        <f>IFERROR(__xludf.DUMMYFUNCTION("""COMPUTED_VALUE"""),"Low Fat Cured Ham")</f>
        <v>Low Fat Cured Ham</v>
      </c>
      <c r="C83" t="str">
        <f>IFERROR(__xludf.DUMMYFUNCTION("""COMPUTED_VALUE"""),"Meats")</f>
        <v>Meats</v>
      </c>
      <c r="D83">
        <f>IFERROR(__xludf.DUMMYFUNCTION("""COMPUTED_VALUE"""),178.0)</f>
        <v>178</v>
      </c>
      <c r="E83">
        <f>IFERROR(__xludf.DUMMYFUNCTION("""COMPUTED_VALUE"""),9.02)</f>
        <v>9.02</v>
      </c>
      <c r="F83">
        <f>IFERROR(__xludf.DUMMYFUNCTION("""COMPUTED_VALUE"""),22.62)</f>
        <v>22.62</v>
      </c>
      <c r="G83">
        <f>IFERROR(__xludf.DUMMYFUNCTION("""COMPUTED_VALUE"""),0.0)</f>
        <v>0</v>
      </c>
    </row>
    <row r="84">
      <c r="A84">
        <f>IFERROR(__xludf.DUMMYFUNCTION("""COMPUTED_VALUE"""),167873.0)</f>
        <v>167873</v>
      </c>
      <c r="B84" t="str">
        <f>IFERROR(__xludf.DUMMYFUNCTION("""COMPUTED_VALUE"""),"Pork Cured Ham Patties Unheated")</f>
        <v>Pork Cured Ham Patties Unheated</v>
      </c>
      <c r="C84" t="str">
        <f>IFERROR(__xludf.DUMMYFUNCTION("""COMPUTED_VALUE"""),"Meats")</f>
        <v>Meats</v>
      </c>
      <c r="D84">
        <f>IFERROR(__xludf.DUMMYFUNCTION("""COMPUTED_VALUE"""),315.0)</f>
        <v>315</v>
      </c>
      <c r="E84">
        <f>IFERROR(__xludf.DUMMYFUNCTION("""COMPUTED_VALUE"""),28.19)</f>
        <v>28.19</v>
      </c>
      <c r="F84">
        <f>IFERROR(__xludf.DUMMYFUNCTION("""COMPUTED_VALUE"""),12.78)</f>
        <v>12.78</v>
      </c>
      <c r="G84">
        <f>IFERROR(__xludf.DUMMYFUNCTION("""COMPUTED_VALUE"""),1.69)</f>
        <v>1.69</v>
      </c>
    </row>
    <row r="85">
      <c r="A85">
        <f>IFERROR(__xludf.DUMMYFUNCTION("""COMPUTED_VALUE"""),167874.0)</f>
        <v>167874</v>
      </c>
      <c r="B85" t="str">
        <f>IFERROR(__xludf.DUMMYFUNCTION("""COMPUTED_VALUE"""),"Pork Cured Ham Steak Boneless Extra Lean Unheated")</f>
        <v>Pork Cured Ham Steak Boneless Extra Lean Unheated</v>
      </c>
      <c r="C85" t="str">
        <f>IFERROR(__xludf.DUMMYFUNCTION("""COMPUTED_VALUE"""),"Meats")</f>
        <v>Meats</v>
      </c>
      <c r="D85">
        <f>IFERROR(__xludf.DUMMYFUNCTION("""COMPUTED_VALUE"""),122.0)</f>
        <v>122</v>
      </c>
      <c r="E85">
        <f>IFERROR(__xludf.DUMMYFUNCTION("""COMPUTED_VALUE"""),4.25)</f>
        <v>4.25</v>
      </c>
      <c r="F85">
        <f>IFERROR(__xludf.DUMMYFUNCTION("""COMPUTED_VALUE"""),19.56)</f>
        <v>19.56</v>
      </c>
      <c r="G85">
        <f>IFERROR(__xludf.DUMMYFUNCTION("""COMPUTED_VALUE"""),0.0)</f>
        <v>0</v>
      </c>
    </row>
    <row r="86">
      <c r="A86">
        <f>IFERROR(__xludf.DUMMYFUNCTION("""COMPUTED_VALUE"""),167875.0)</f>
        <v>167875</v>
      </c>
      <c r="B86" t="str">
        <f>IFERROR(__xludf.DUMMYFUNCTION("""COMPUTED_VALUE"""),"Pork Cured Ham Whole Separable Lean And Fat Unheated")</f>
        <v>Pork Cured Ham Whole Separable Lean And Fat Unheated</v>
      </c>
      <c r="C86" t="str">
        <f>IFERROR(__xludf.DUMMYFUNCTION("""COMPUTED_VALUE"""),"Meats")</f>
        <v>Meats</v>
      </c>
      <c r="D86">
        <f>IFERROR(__xludf.DUMMYFUNCTION("""COMPUTED_VALUE"""),246.0)</f>
        <v>246</v>
      </c>
      <c r="E86">
        <f>IFERROR(__xludf.DUMMYFUNCTION("""COMPUTED_VALUE"""),18.52)</f>
        <v>18.52</v>
      </c>
      <c r="F86">
        <f>IFERROR(__xludf.DUMMYFUNCTION("""COMPUTED_VALUE"""),18.49)</f>
        <v>18.49</v>
      </c>
      <c r="G86">
        <f>IFERROR(__xludf.DUMMYFUNCTION("""COMPUTED_VALUE"""),0.06)</f>
        <v>0.06</v>
      </c>
    </row>
    <row r="87">
      <c r="A87">
        <f>IFERROR(__xludf.DUMMYFUNCTION("""COMPUTED_VALUE"""),167876.0)</f>
        <v>167876</v>
      </c>
      <c r="B87" t="str">
        <f>IFERROR(__xludf.DUMMYFUNCTION("""COMPUTED_VALUE"""),"Pork Cured Ham Whole Separable Lean Only Unheated")</f>
        <v>Pork Cured Ham Whole Separable Lean Only Unheated</v>
      </c>
      <c r="C87" t="str">
        <f>IFERROR(__xludf.DUMMYFUNCTION("""COMPUTED_VALUE"""),"Meats")</f>
        <v>Meats</v>
      </c>
      <c r="D87">
        <f>IFERROR(__xludf.DUMMYFUNCTION("""COMPUTED_VALUE"""),147.0)</f>
        <v>147</v>
      </c>
      <c r="E87">
        <f>IFERROR(__xludf.DUMMYFUNCTION("""COMPUTED_VALUE"""),5.71)</f>
        <v>5.71</v>
      </c>
      <c r="F87">
        <f>IFERROR(__xludf.DUMMYFUNCTION("""COMPUTED_VALUE"""),22.32)</f>
        <v>22.32</v>
      </c>
      <c r="G87">
        <f>IFERROR(__xludf.DUMMYFUNCTION("""COMPUTED_VALUE"""),0.05)</f>
        <v>0.05</v>
      </c>
    </row>
    <row r="88">
      <c r="A88">
        <f>IFERROR(__xludf.DUMMYFUNCTION("""COMPUTED_VALUE"""),167877.0)</f>
        <v>167877</v>
      </c>
      <c r="B88" t="str">
        <f>IFERROR(__xludf.DUMMYFUNCTION("""COMPUTED_VALUE"""),"Pork Cured Separable Fat (From Ham And Arm Picnic) Unheated")</f>
        <v>Pork Cured Separable Fat (From Ham And Arm Picnic) Unheated</v>
      </c>
      <c r="C88" t="str">
        <f>IFERROR(__xludf.DUMMYFUNCTION("""COMPUTED_VALUE"""),"Meats")</f>
        <v>Meats</v>
      </c>
      <c r="D88">
        <f>IFERROR(__xludf.DUMMYFUNCTION("""COMPUTED_VALUE"""),579.0)</f>
        <v>579</v>
      </c>
      <c r="E88">
        <f>IFERROR(__xludf.DUMMYFUNCTION("""COMPUTED_VALUE"""),61.41)</f>
        <v>61.41</v>
      </c>
      <c r="F88">
        <f>IFERROR(__xludf.DUMMYFUNCTION("""COMPUTED_VALUE"""),5.68)</f>
        <v>5.68</v>
      </c>
      <c r="G88">
        <f>IFERROR(__xludf.DUMMYFUNCTION("""COMPUTED_VALUE"""),0.09)</f>
        <v>0.09</v>
      </c>
    </row>
    <row r="89">
      <c r="A89">
        <f>IFERROR(__xludf.DUMMYFUNCTION("""COMPUTED_VALUE"""),167878.0)</f>
        <v>167878</v>
      </c>
      <c r="B89" t="str">
        <f>IFERROR(__xludf.DUMMYFUNCTION("""COMPUTED_VALUE"""),"Pork Cured Separable Fat (From Ham And Arm Picnic) Roasted")</f>
        <v>Pork Cured Separable Fat (From Ham And Arm Picnic) Roasted</v>
      </c>
      <c r="C89" t="str">
        <f>IFERROR(__xludf.DUMMYFUNCTION("""COMPUTED_VALUE"""),"Meats")</f>
        <v>Meats</v>
      </c>
      <c r="D89">
        <f>IFERROR(__xludf.DUMMYFUNCTION("""COMPUTED_VALUE"""),591.0)</f>
        <v>591</v>
      </c>
      <c r="E89">
        <f>IFERROR(__xludf.DUMMYFUNCTION("""COMPUTED_VALUE"""),61.86)</f>
        <v>61.86</v>
      </c>
      <c r="F89">
        <f>IFERROR(__xludf.DUMMYFUNCTION("""COMPUTED_VALUE"""),7.64)</f>
        <v>7.64</v>
      </c>
      <c r="G89">
        <f>IFERROR(__xludf.DUMMYFUNCTION("""COMPUTED_VALUE"""),0.0)</f>
        <v>0</v>
      </c>
    </row>
    <row r="90">
      <c r="A90">
        <f>IFERROR(__xludf.DUMMYFUNCTION("""COMPUTED_VALUE"""),167879.0)</f>
        <v>167879</v>
      </c>
      <c r="B90" t="str">
        <f>IFERROR(__xludf.DUMMYFUNCTION("""COMPUTED_VALUE"""),"Pork Cured Shoulder Arm Picnic Separable Lean And Fat Roasted")</f>
        <v>Pork Cured Shoulder Arm Picnic Separable Lean And Fat Roasted</v>
      </c>
      <c r="C90" t="str">
        <f>IFERROR(__xludf.DUMMYFUNCTION("""COMPUTED_VALUE"""),"Meats")</f>
        <v>Meats</v>
      </c>
      <c r="D90">
        <f>IFERROR(__xludf.DUMMYFUNCTION("""COMPUTED_VALUE"""),280.0)</f>
        <v>280</v>
      </c>
      <c r="E90">
        <f>IFERROR(__xludf.DUMMYFUNCTION("""COMPUTED_VALUE"""),21.35)</f>
        <v>21.35</v>
      </c>
      <c r="F90">
        <f>IFERROR(__xludf.DUMMYFUNCTION("""COMPUTED_VALUE"""),20.43)</f>
        <v>20.43</v>
      </c>
      <c r="G90">
        <f>IFERROR(__xludf.DUMMYFUNCTION("""COMPUTED_VALUE"""),0.0)</f>
        <v>0</v>
      </c>
    </row>
    <row r="91">
      <c r="A91">
        <f>IFERROR(__xludf.DUMMYFUNCTION("""COMPUTED_VALUE"""),167880.0)</f>
        <v>167880</v>
      </c>
      <c r="B91" t="str">
        <f>IFERROR(__xludf.DUMMYFUNCTION("""COMPUTED_VALUE"""),"Pork Cured Shoulder Arm Picnic Separable Lean Only Roasted")</f>
        <v>Pork Cured Shoulder Arm Picnic Separable Lean Only Roasted</v>
      </c>
      <c r="C91" t="str">
        <f>IFERROR(__xludf.DUMMYFUNCTION("""COMPUTED_VALUE"""),"Meats")</f>
        <v>Meats</v>
      </c>
      <c r="D91">
        <f>IFERROR(__xludf.DUMMYFUNCTION("""COMPUTED_VALUE"""),170.0)</f>
        <v>170</v>
      </c>
      <c r="E91">
        <f>IFERROR(__xludf.DUMMYFUNCTION("""COMPUTED_VALUE"""),7.04)</f>
        <v>7.04</v>
      </c>
      <c r="F91">
        <f>IFERROR(__xludf.DUMMYFUNCTION("""COMPUTED_VALUE"""),24.94)</f>
        <v>24.94</v>
      </c>
      <c r="G91">
        <f>IFERROR(__xludf.DUMMYFUNCTION("""COMPUTED_VALUE"""),0.0)</f>
        <v>0</v>
      </c>
    </row>
    <row r="92">
      <c r="A92">
        <f>IFERROR(__xludf.DUMMYFUNCTION("""COMPUTED_VALUE"""),167881.0)</f>
        <v>167881</v>
      </c>
      <c r="B92" t="str">
        <f>IFERROR(__xludf.DUMMYFUNCTION("""COMPUTED_VALUE"""),"Pork Fresh Variety Meats And By-Products Tail Cooked Simmered")</f>
        <v>Pork Fresh Variety Meats And By-Products Tail Cooked Simmered</v>
      </c>
      <c r="C92" t="str">
        <f>IFERROR(__xludf.DUMMYFUNCTION("""COMPUTED_VALUE"""),"Meats")</f>
        <v>Meats</v>
      </c>
      <c r="D92">
        <f>IFERROR(__xludf.DUMMYFUNCTION("""COMPUTED_VALUE"""),396.0)</f>
        <v>396</v>
      </c>
      <c r="E92">
        <f>IFERROR(__xludf.DUMMYFUNCTION("""COMPUTED_VALUE"""),35.8)</f>
        <v>35.8</v>
      </c>
      <c r="F92">
        <f>IFERROR(__xludf.DUMMYFUNCTION("""COMPUTED_VALUE"""),17.0)</f>
        <v>17</v>
      </c>
      <c r="G92">
        <f>IFERROR(__xludf.DUMMYFUNCTION("""COMPUTED_VALUE"""),0.0)</f>
        <v>0</v>
      </c>
    </row>
    <row r="93">
      <c r="A93">
        <f>IFERROR(__xludf.DUMMYFUNCTION("""COMPUTED_VALUE"""),167882.0)</f>
        <v>167882</v>
      </c>
      <c r="B93" t="str">
        <f>IFERROR(__xludf.DUMMYFUNCTION("""COMPUTED_VALUE"""),"Pork Fresh Loin Center Loin (Chops) Bone-In Separable Lean Only Cooked Pan-Fried")</f>
        <v>Pork Fresh Loin Center Loin (Chops) Bone-In Separable Lean Only Cooked Pan-Fried</v>
      </c>
      <c r="C93" t="str">
        <f>IFERROR(__xludf.DUMMYFUNCTION("""COMPUTED_VALUE"""),"Meats")</f>
        <v>Meats</v>
      </c>
      <c r="D93">
        <f>IFERROR(__xludf.DUMMYFUNCTION("""COMPUTED_VALUE"""),195.0)</f>
        <v>195</v>
      </c>
      <c r="E93">
        <f>IFERROR(__xludf.DUMMYFUNCTION("""COMPUTED_VALUE"""),7.66)</f>
        <v>7.66</v>
      </c>
      <c r="F93">
        <f>IFERROR(__xludf.DUMMYFUNCTION("""COMPUTED_VALUE"""),29.56)</f>
        <v>29.56</v>
      </c>
      <c r="G93">
        <f>IFERROR(__xludf.DUMMYFUNCTION("""COMPUTED_VALUE"""),0.0)</f>
        <v>0</v>
      </c>
    </row>
    <row r="94">
      <c r="A94">
        <f>IFERROR(__xludf.DUMMYFUNCTION("""COMPUTED_VALUE"""),167883.0)</f>
        <v>167883</v>
      </c>
      <c r="B94" t="str">
        <f>IFERROR(__xludf.DUMMYFUNCTION("""COMPUTED_VALUE"""),"Pork Fresh Loin Center Rib (Chops) Bone-In Separable Lean Only Cooked Pan-Fried")</f>
        <v>Pork Fresh Loin Center Rib (Chops) Bone-In Separable Lean Only Cooked Pan-Fried</v>
      </c>
      <c r="C94" t="str">
        <f>IFERROR(__xludf.DUMMYFUNCTION("""COMPUTED_VALUE"""),"Meats")</f>
        <v>Meats</v>
      </c>
      <c r="D94">
        <f>IFERROR(__xludf.DUMMYFUNCTION("""COMPUTED_VALUE"""),211.0)</f>
        <v>211</v>
      </c>
      <c r="E94">
        <f>IFERROR(__xludf.DUMMYFUNCTION("""COMPUTED_VALUE"""),9.73)</f>
        <v>9.73</v>
      </c>
      <c r="F94">
        <f>IFERROR(__xludf.DUMMYFUNCTION("""COMPUTED_VALUE"""),28.84)</f>
        <v>28.84</v>
      </c>
      <c r="G94">
        <f>IFERROR(__xludf.DUMMYFUNCTION("""COMPUTED_VALUE"""),0.0)</f>
        <v>0</v>
      </c>
    </row>
    <row r="95">
      <c r="A95">
        <f>IFERROR(__xludf.DUMMYFUNCTION("""COMPUTED_VALUE"""),167884.0)</f>
        <v>167884</v>
      </c>
      <c r="B95" t="str">
        <f>IFERROR(__xludf.DUMMYFUNCTION("""COMPUTED_VALUE"""),"Pork Fresh Loin Blade (Chops) Bone-In Separable Lean And Fat Cooked Pan-Fried")</f>
        <v>Pork Fresh Loin Blade (Chops) Bone-In Separable Lean And Fat Cooked Pan-Fried</v>
      </c>
      <c r="C95" t="str">
        <f>IFERROR(__xludf.DUMMYFUNCTION("""COMPUTED_VALUE"""),"Meats")</f>
        <v>Meats</v>
      </c>
      <c r="D95">
        <f>IFERROR(__xludf.DUMMYFUNCTION("""COMPUTED_VALUE"""),256.0)</f>
        <v>256</v>
      </c>
      <c r="E95">
        <f>IFERROR(__xludf.DUMMYFUNCTION("""COMPUTED_VALUE"""),16.56)</f>
        <v>16.56</v>
      </c>
      <c r="F95">
        <f>IFERROR(__xludf.DUMMYFUNCTION("""COMPUTED_VALUE"""),25.02)</f>
        <v>25.02</v>
      </c>
      <c r="G95">
        <f>IFERROR(__xludf.DUMMYFUNCTION("""COMPUTED_VALUE"""),0.0)</f>
        <v>0</v>
      </c>
    </row>
    <row r="96">
      <c r="A96">
        <f>IFERROR(__xludf.DUMMYFUNCTION("""COMPUTED_VALUE"""),167885.0)</f>
        <v>167885</v>
      </c>
      <c r="B96" t="str">
        <f>IFERROR(__xludf.DUMMYFUNCTION("""COMPUTED_VALUE"""),"Pork Cured Ham Extra Lean And Regular Canned Unheated")</f>
        <v>Pork Cured Ham Extra Lean And Regular Canned Unheated</v>
      </c>
      <c r="C96" t="str">
        <f>IFERROR(__xludf.DUMMYFUNCTION("""COMPUTED_VALUE"""),"Meats")</f>
        <v>Meats</v>
      </c>
      <c r="D96">
        <f>IFERROR(__xludf.DUMMYFUNCTION("""COMPUTED_VALUE"""),144.0)</f>
        <v>144</v>
      </c>
      <c r="E96">
        <f>IFERROR(__xludf.DUMMYFUNCTION("""COMPUTED_VALUE"""),7.46)</f>
        <v>7.46</v>
      </c>
      <c r="F96">
        <f>IFERROR(__xludf.DUMMYFUNCTION("""COMPUTED_VALUE"""),17.97)</f>
        <v>17.97</v>
      </c>
      <c r="G96">
        <f>IFERROR(__xludf.DUMMYFUNCTION("""COMPUTED_VALUE"""),0.0)</f>
        <v>0</v>
      </c>
    </row>
    <row r="97">
      <c r="A97">
        <f>IFERROR(__xludf.DUMMYFUNCTION("""COMPUTED_VALUE"""),167886.0)</f>
        <v>167886</v>
      </c>
      <c r="B97" t="str">
        <f>IFERROR(__xludf.DUMMYFUNCTION("""COMPUTED_VALUE"""),"Pork Cured Ham Extra Lean And Regular Canned Roasted")</f>
        <v>Pork Cured Ham Extra Lean And Regular Canned Roasted</v>
      </c>
      <c r="C97" t="str">
        <f>IFERROR(__xludf.DUMMYFUNCTION("""COMPUTED_VALUE"""),"Meats")</f>
        <v>Meats</v>
      </c>
      <c r="D97">
        <f>IFERROR(__xludf.DUMMYFUNCTION("""COMPUTED_VALUE"""),167.0)</f>
        <v>167</v>
      </c>
      <c r="E97">
        <f>IFERROR(__xludf.DUMMYFUNCTION("""COMPUTED_VALUE"""),8.43)</f>
        <v>8.43</v>
      </c>
      <c r="F97">
        <f>IFERROR(__xludf.DUMMYFUNCTION("""COMPUTED_VALUE"""),20.94)</f>
        <v>20.94</v>
      </c>
      <c r="G97">
        <f>IFERROR(__xludf.DUMMYFUNCTION("""COMPUTED_VALUE"""),0.49)</f>
        <v>0.49</v>
      </c>
    </row>
    <row r="98">
      <c r="A98">
        <f>IFERROR(__xludf.DUMMYFUNCTION("""COMPUTED_VALUE"""),167887.0)</f>
        <v>167887</v>
      </c>
      <c r="B98" t="str">
        <f>IFERROR(__xludf.DUMMYFUNCTION("""COMPUTED_VALUE"""),"Pork Fresh Loin Top Loin (Chops) Boneless Separable Lean And Fat Cooked Pan-Fried")</f>
        <v>Pork Fresh Loin Top Loin (Chops) Boneless Separable Lean And Fat Cooked Pan-Fried</v>
      </c>
      <c r="C98" t="str">
        <f>IFERROR(__xludf.DUMMYFUNCTION("""COMPUTED_VALUE"""),"Meats")</f>
        <v>Meats</v>
      </c>
      <c r="D98">
        <f>IFERROR(__xludf.DUMMYFUNCTION("""COMPUTED_VALUE"""),196.0)</f>
        <v>196</v>
      </c>
      <c r="E98">
        <f>IFERROR(__xludf.DUMMYFUNCTION("""COMPUTED_VALUE"""),7.86)</f>
        <v>7.86</v>
      </c>
      <c r="F98">
        <f>IFERROR(__xludf.DUMMYFUNCTION("""COMPUTED_VALUE"""),29.36)</f>
        <v>29.36</v>
      </c>
      <c r="G98">
        <f>IFERROR(__xludf.DUMMYFUNCTION("""COMPUTED_VALUE"""),0.0)</f>
        <v>0</v>
      </c>
    </row>
    <row r="99">
      <c r="A99">
        <f>IFERROR(__xludf.DUMMYFUNCTION("""COMPUTED_VALUE"""),167888.0)</f>
        <v>167888</v>
      </c>
      <c r="B99" t="str">
        <f>IFERROR(__xludf.DUMMYFUNCTION("""COMPUTED_VALUE"""),"Pork Fresh Composite Of Trimmed Retail Cuts (Leg Loin Shoulder And Spareribs) Separable Lean And Fat Raw")</f>
        <v>Pork Fresh Composite Of Trimmed Retail Cuts (Leg Loin Shoulder And Spareribs) Separable Lean And Fat Raw</v>
      </c>
      <c r="C99" t="str">
        <f>IFERROR(__xludf.DUMMYFUNCTION("""COMPUTED_VALUE"""),"Meats")</f>
        <v>Meats</v>
      </c>
      <c r="D99">
        <f>IFERROR(__xludf.DUMMYFUNCTION("""COMPUTED_VALUE"""),216.0)</f>
        <v>216</v>
      </c>
      <c r="E99">
        <f>IFERROR(__xludf.DUMMYFUNCTION("""COMPUTED_VALUE"""),14.95)</f>
        <v>14.95</v>
      </c>
      <c r="F99">
        <f>IFERROR(__xludf.DUMMYFUNCTION("""COMPUTED_VALUE"""),18.95)</f>
        <v>18.95</v>
      </c>
      <c r="G99">
        <f>IFERROR(__xludf.DUMMYFUNCTION("""COMPUTED_VALUE"""),0.0)</f>
        <v>0</v>
      </c>
    </row>
    <row r="100">
      <c r="A100">
        <f>IFERROR(__xludf.DUMMYFUNCTION("""COMPUTED_VALUE"""),167889.0)</f>
        <v>167889</v>
      </c>
      <c r="B100" t="str">
        <f>IFERROR(__xludf.DUMMYFUNCTION("""COMPUTED_VALUE"""),"Pork Fresh Loin Center Rib (Chops Or Roasts) Boneless Separable Lean And Fat Raw")</f>
        <v>Pork Fresh Loin Center Rib (Chops Or Roasts) Boneless Separable Lean And Fat Raw</v>
      </c>
      <c r="C100" t="str">
        <f>IFERROR(__xludf.DUMMYFUNCTION("""COMPUTED_VALUE"""),"Meats")</f>
        <v>Meats</v>
      </c>
      <c r="D100">
        <f>IFERROR(__xludf.DUMMYFUNCTION("""COMPUTED_VALUE"""),211.0)</f>
        <v>211</v>
      </c>
      <c r="E100">
        <f>IFERROR(__xludf.DUMMYFUNCTION("""COMPUTED_VALUE"""),14.01)</f>
        <v>14.01</v>
      </c>
      <c r="F100">
        <f>IFERROR(__xludf.DUMMYFUNCTION("""COMPUTED_VALUE"""),19.9)</f>
        <v>19.9</v>
      </c>
      <c r="G100">
        <f>IFERROR(__xludf.DUMMYFUNCTION("""COMPUTED_VALUE"""),0.0)</f>
        <v>0</v>
      </c>
    </row>
    <row r="101">
      <c r="A101">
        <f>IFERROR(__xludf.DUMMYFUNCTION("""COMPUTED_VALUE"""),167890.0)</f>
        <v>167890</v>
      </c>
      <c r="B101" t="str">
        <f>IFERROR(__xludf.DUMMYFUNCTION("""COMPUTED_VALUE"""),"Pork Fresh Loin Center Rib (Chops) Boneless Separable Lean And Fat Cooked Braised")</f>
        <v>Pork Fresh Loin Center Rib (Chops) Boneless Separable Lean And Fat Cooked Braised</v>
      </c>
      <c r="C101" t="str">
        <f>IFERROR(__xludf.DUMMYFUNCTION("""COMPUTED_VALUE"""),"Meats")</f>
        <v>Meats</v>
      </c>
      <c r="D101">
        <f>IFERROR(__xludf.DUMMYFUNCTION("""COMPUTED_VALUE"""),255.0)</f>
        <v>255</v>
      </c>
      <c r="E101">
        <f>IFERROR(__xludf.DUMMYFUNCTION("""COMPUTED_VALUE"""),15.79)</f>
        <v>15.79</v>
      </c>
      <c r="F101">
        <f>IFERROR(__xludf.DUMMYFUNCTION("""COMPUTED_VALUE"""),26.29)</f>
        <v>26.29</v>
      </c>
      <c r="G101">
        <f>IFERROR(__xludf.DUMMYFUNCTION("""COMPUTED_VALUE"""),0.0)</f>
        <v>0</v>
      </c>
    </row>
    <row r="102">
      <c r="A102">
        <f>IFERROR(__xludf.DUMMYFUNCTION("""COMPUTED_VALUE"""),167891.0)</f>
        <v>167891</v>
      </c>
      <c r="B102" t="str">
        <f>IFERROR(__xludf.DUMMYFUNCTION("""COMPUTED_VALUE"""),"Pork Fresh Loin Center Rib (Chops) Boneless Separable Lean And Fat Cooked Broiled")</f>
        <v>Pork Fresh Loin Center Rib (Chops) Boneless Separable Lean And Fat Cooked Broiled</v>
      </c>
      <c r="C102" t="str">
        <f>IFERROR(__xludf.DUMMYFUNCTION("""COMPUTED_VALUE"""),"Meats")</f>
        <v>Meats</v>
      </c>
      <c r="D102">
        <f>IFERROR(__xludf.DUMMYFUNCTION("""COMPUTED_VALUE"""),260.0)</f>
        <v>260</v>
      </c>
      <c r="E102">
        <f>IFERROR(__xludf.DUMMYFUNCTION("""COMPUTED_VALUE"""),15.76)</f>
        <v>15.76</v>
      </c>
      <c r="F102">
        <f>IFERROR(__xludf.DUMMYFUNCTION("""COMPUTED_VALUE"""),27.63)</f>
        <v>27.63</v>
      </c>
      <c r="G102">
        <f>IFERROR(__xludf.DUMMYFUNCTION("""COMPUTED_VALUE"""),0.0)</f>
        <v>0</v>
      </c>
    </row>
    <row r="103">
      <c r="A103">
        <f>IFERROR(__xludf.DUMMYFUNCTION("""COMPUTED_VALUE"""),167892.0)</f>
        <v>167892</v>
      </c>
      <c r="B103" t="str">
        <f>IFERROR(__xludf.DUMMYFUNCTION("""COMPUTED_VALUE"""),"Pork Fresh Loin Center Rib (Chops) Boneless Separable Lean And Fat Cooked Pan-Fried")</f>
        <v>Pork Fresh Loin Center Rib (Chops) Boneless Separable Lean And Fat Cooked Pan-Fried</v>
      </c>
      <c r="C103" t="str">
        <f>IFERROR(__xludf.DUMMYFUNCTION("""COMPUTED_VALUE"""),"Meats")</f>
        <v>Meats</v>
      </c>
      <c r="D103">
        <f>IFERROR(__xludf.DUMMYFUNCTION("""COMPUTED_VALUE"""),273.0)</f>
        <v>273</v>
      </c>
      <c r="E103">
        <f>IFERROR(__xludf.DUMMYFUNCTION("""COMPUTED_VALUE"""),18.05)</f>
        <v>18.05</v>
      </c>
      <c r="F103">
        <f>IFERROR(__xludf.DUMMYFUNCTION("""COMPUTED_VALUE"""),25.82)</f>
        <v>25.82</v>
      </c>
      <c r="G103">
        <f>IFERROR(__xludf.DUMMYFUNCTION("""COMPUTED_VALUE"""),0.0)</f>
        <v>0</v>
      </c>
    </row>
    <row r="104">
      <c r="A104">
        <f>IFERROR(__xludf.DUMMYFUNCTION("""COMPUTED_VALUE"""),167893.0)</f>
        <v>167893</v>
      </c>
      <c r="B104" t="str">
        <f>IFERROR(__xludf.DUMMYFUNCTION("""COMPUTED_VALUE"""),"Pork Fresh Loin Center Rib (Chops) Boneless Separable Lean Only Cooked Pan-Fried")</f>
        <v>Pork Fresh Loin Center Rib (Chops) Boneless Separable Lean Only Cooked Pan-Fried</v>
      </c>
      <c r="C104" t="str">
        <f>IFERROR(__xludf.DUMMYFUNCTION("""COMPUTED_VALUE"""),"Meats")</f>
        <v>Meats</v>
      </c>
      <c r="D104">
        <f>IFERROR(__xludf.DUMMYFUNCTION("""COMPUTED_VALUE"""),224.0)</f>
        <v>224</v>
      </c>
      <c r="E104">
        <f>IFERROR(__xludf.DUMMYFUNCTION("""COMPUTED_VALUE"""),11.8)</f>
        <v>11.8</v>
      </c>
      <c r="F104">
        <f>IFERROR(__xludf.DUMMYFUNCTION("""COMPUTED_VALUE"""),27.68)</f>
        <v>27.68</v>
      </c>
      <c r="G104">
        <f>IFERROR(__xludf.DUMMYFUNCTION("""COMPUTED_VALUE"""),0.0)</f>
        <v>0</v>
      </c>
    </row>
    <row r="105">
      <c r="A105">
        <f>IFERROR(__xludf.DUMMYFUNCTION("""COMPUTED_VALUE"""),167894.0)</f>
        <v>167894</v>
      </c>
      <c r="B105" t="str">
        <f>IFERROR(__xludf.DUMMYFUNCTION("""COMPUTED_VALUE"""),"Pork Fresh Loin Center Rib (Roasts) Boneless Separable Lean Only Cooked Roasted")</f>
        <v>Pork Fresh Loin Center Rib (Roasts) Boneless Separable Lean Only Cooked Roasted</v>
      </c>
      <c r="C105" t="str">
        <f>IFERROR(__xludf.DUMMYFUNCTION("""COMPUTED_VALUE"""),"Meats")</f>
        <v>Meats</v>
      </c>
      <c r="D105">
        <f>IFERROR(__xludf.DUMMYFUNCTION("""COMPUTED_VALUE"""),214.0)</f>
        <v>214</v>
      </c>
      <c r="E105">
        <f>IFERROR(__xludf.DUMMYFUNCTION("""COMPUTED_VALUE"""),10.13)</f>
        <v>10.13</v>
      </c>
      <c r="F105">
        <f>IFERROR(__xludf.DUMMYFUNCTION("""COMPUTED_VALUE"""),28.81)</f>
        <v>28.81</v>
      </c>
      <c r="G105">
        <f>IFERROR(__xludf.DUMMYFUNCTION("""COMPUTED_VALUE"""),0.0)</f>
        <v>0</v>
      </c>
    </row>
    <row r="106">
      <c r="A106">
        <f>IFERROR(__xludf.DUMMYFUNCTION("""COMPUTED_VALUE"""),167895.0)</f>
        <v>167895</v>
      </c>
      <c r="B106" t="str">
        <f>IFERROR(__xludf.DUMMYFUNCTION("""COMPUTED_VALUE"""),"Pork Fresh Loin Country-Style Ribs Separable Lean And Fat Raw")</f>
        <v>Pork Fresh Loin Country-Style Ribs Separable Lean And Fat Raw</v>
      </c>
      <c r="C106" t="str">
        <f>IFERROR(__xludf.DUMMYFUNCTION("""COMPUTED_VALUE"""),"Meats")</f>
        <v>Meats</v>
      </c>
      <c r="D106">
        <f>IFERROR(__xludf.DUMMYFUNCTION("""COMPUTED_VALUE"""),189.0)</f>
        <v>189</v>
      </c>
      <c r="E106">
        <f>IFERROR(__xludf.DUMMYFUNCTION("""COMPUTED_VALUE"""),11.82)</f>
        <v>11.82</v>
      </c>
      <c r="F106">
        <f>IFERROR(__xludf.DUMMYFUNCTION("""COMPUTED_VALUE"""),19.34)</f>
        <v>19.34</v>
      </c>
      <c r="G106">
        <f>IFERROR(__xludf.DUMMYFUNCTION("""COMPUTED_VALUE"""),0.0)</f>
        <v>0</v>
      </c>
    </row>
    <row r="107">
      <c r="A107">
        <f>IFERROR(__xludf.DUMMYFUNCTION("""COMPUTED_VALUE"""),167896.0)</f>
        <v>167896</v>
      </c>
      <c r="B107" t="str">
        <f>IFERROR(__xludf.DUMMYFUNCTION("""COMPUTED_VALUE"""),"Pork Fresh Loin Country-Style Ribs Separable Lean And Fat Cooked Braised")</f>
        <v>Pork Fresh Loin Country-Style Ribs Separable Lean And Fat Cooked Braised</v>
      </c>
      <c r="C107" t="str">
        <f>IFERROR(__xludf.DUMMYFUNCTION("""COMPUTED_VALUE"""),"Meats")</f>
        <v>Meats</v>
      </c>
      <c r="D107">
        <f>IFERROR(__xludf.DUMMYFUNCTION("""COMPUTED_VALUE"""),273.0)</f>
        <v>273</v>
      </c>
      <c r="E107">
        <f>IFERROR(__xludf.DUMMYFUNCTION("""COMPUTED_VALUE"""),17.71)</f>
        <v>17.71</v>
      </c>
      <c r="F107">
        <f>IFERROR(__xludf.DUMMYFUNCTION("""COMPUTED_VALUE"""),26.49)</f>
        <v>26.49</v>
      </c>
      <c r="G107">
        <f>IFERROR(__xludf.DUMMYFUNCTION("""COMPUTED_VALUE"""),0.0)</f>
        <v>0</v>
      </c>
    </row>
    <row r="108">
      <c r="A108">
        <f>IFERROR(__xludf.DUMMYFUNCTION("""COMPUTED_VALUE"""),167897.0)</f>
        <v>167897</v>
      </c>
      <c r="B108" t="str">
        <f>IFERROR(__xludf.DUMMYFUNCTION("""COMPUTED_VALUE"""),"Country-Style Roasted Pork Ribs")</f>
        <v>Country-Style Roasted Pork Ribs</v>
      </c>
      <c r="C108" t="str">
        <f>IFERROR(__xludf.DUMMYFUNCTION("""COMPUTED_VALUE"""),"Meats")</f>
        <v>Meats</v>
      </c>
      <c r="D108">
        <f>IFERROR(__xludf.DUMMYFUNCTION("""COMPUTED_VALUE"""),359.0)</f>
        <v>359</v>
      </c>
      <c r="E108">
        <f>IFERROR(__xludf.DUMMYFUNCTION("""COMPUTED_VALUE"""),29.46)</f>
        <v>29.46</v>
      </c>
      <c r="F108">
        <f>IFERROR(__xludf.DUMMYFUNCTION("""COMPUTED_VALUE"""),21.75)</f>
        <v>21.75</v>
      </c>
      <c r="G108">
        <f>IFERROR(__xludf.DUMMYFUNCTION("""COMPUTED_VALUE"""),0.0)</f>
        <v>0</v>
      </c>
    </row>
    <row r="109">
      <c r="A109">
        <f>IFERROR(__xludf.DUMMYFUNCTION("""COMPUTED_VALUE"""),167898.0)</f>
        <v>167898</v>
      </c>
      <c r="B109" t="str">
        <f>IFERROR(__xludf.DUMMYFUNCTION("""COMPUTED_VALUE"""),"Pork Fresh Loin Sirloin (Chops) Boneless Separable Lean And Fat Cooked Braised")</f>
        <v>Pork Fresh Loin Sirloin (Chops) Boneless Separable Lean And Fat Cooked Braised</v>
      </c>
      <c r="C109" t="str">
        <f>IFERROR(__xludf.DUMMYFUNCTION("""COMPUTED_VALUE"""),"Meats")</f>
        <v>Meats</v>
      </c>
      <c r="D109">
        <f>IFERROR(__xludf.DUMMYFUNCTION("""COMPUTED_VALUE"""),171.0)</f>
        <v>171</v>
      </c>
      <c r="E109">
        <f>IFERROR(__xludf.DUMMYFUNCTION("""COMPUTED_VALUE"""),5.47)</f>
        <v>5.47</v>
      </c>
      <c r="F109">
        <f>IFERROR(__xludf.DUMMYFUNCTION("""COMPUTED_VALUE"""),28.41)</f>
        <v>28.41</v>
      </c>
      <c r="G109">
        <f>IFERROR(__xludf.DUMMYFUNCTION("""COMPUTED_VALUE"""),0.0)</f>
        <v>0</v>
      </c>
    </row>
    <row r="110">
      <c r="A110">
        <f>IFERROR(__xludf.DUMMYFUNCTION("""COMPUTED_VALUE"""),167899.0)</f>
        <v>167899</v>
      </c>
      <c r="B110" t="str">
        <f>IFERROR(__xludf.DUMMYFUNCTION("""COMPUTED_VALUE"""),"Pork Fresh Loin Sirloin (Chops) Boneless Separable Lean And Fat Cooked Broiled")</f>
        <v>Pork Fresh Loin Sirloin (Chops) Boneless Separable Lean And Fat Cooked Broiled</v>
      </c>
      <c r="C110" t="str">
        <f>IFERROR(__xludf.DUMMYFUNCTION("""COMPUTED_VALUE"""),"Meats")</f>
        <v>Meats</v>
      </c>
      <c r="D110">
        <f>IFERROR(__xludf.DUMMYFUNCTION("""COMPUTED_VALUE"""),170.0)</f>
        <v>170</v>
      </c>
      <c r="E110">
        <f>IFERROR(__xludf.DUMMYFUNCTION("""COMPUTED_VALUE"""),5.53)</f>
        <v>5.53</v>
      </c>
      <c r="F110">
        <f>IFERROR(__xludf.DUMMYFUNCTION("""COMPUTED_VALUE"""),28.19)</f>
        <v>28.19</v>
      </c>
      <c r="G110">
        <f>IFERROR(__xludf.DUMMYFUNCTION("""COMPUTED_VALUE"""),0.0)</f>
        <v>0</v>
      </c>
    </row>
    <row r="111">
      <c r="A111">
        <f>IFERROR(__xludf.DUMMYFUNCTION("""COMPUTED_VALUE"""),167900.0)</f>
        <v>167900</v>
      </c>
      <c r="B111" t="str">
        <f>IFERROR(__xludf.DUMMYFUNCTION("""COMPUTED_VALUE"""),"Pork Fresh Loin Sirloin (Roasts) Boneless Separable Lean And Fat Cooked Roasted")</f>
        <v>Pork Fresh Loin Sirloin (Roasts) Boneless Separable Lean And Fat Cooked Roasted</v>
      </c>
      <c r="C111" t="str">
        <f>IFERROR(__xludf.DUMMYFUNCTION("""COMPUTED_VALUE"""),"Meats")</f>
        <v>Meats</v>
      </c>
      <c r="D111">
        <f>IFERROR(__xludf.DUMMYFUNCTION("""COMPUTED_VALUE"""),192.0)</f>
        <v>192</v>
      </c>
      <c r="E111">
        <f>IFERROR(__xludf.DUMMYFUNCTION("""COMPUTED_VALUE"""),7.32)</f>
        <v>7.32</v>
      </c>
      <c r="F111">
        <f>IFERROR(__xludf.DUMMYFUNCTION("""COMPUTED_VALUE"""),29.62)</f>
        <v>29.62</v>
      </c>
      <c r="G111">
        <f>IFERROR(__xludf.DUMMYFUNCTION("""COMPUTED_VALUE"""),0.0)</f>
        <v>0</v>
      </c>
    </row>
    <row r="112">
      <c r="A112">
        <f>IFERROR(__xludf.DUMMYFUNCTION("""COMPUTED_VALUE"""),167901.0)</f>
        <v>167901</v>
      </c>
      <c r="B112" t="str">
        <f>IFERROR(__xludf.DUMMYFUNCTION("""COMPUTED_VALUE"""),"Pork Fresh Loin Sirloin (Chops Or Roasts) Boneless Separable Lean Only Raw")</f>
        <v>Pork Fresh Loin Sirloin (Chops Or Roasts) Boneless Separable Lean Only Raw</v>
      </c>
      <c r="C112" t="str">
        <f>IFERROR(__xludf.DUMMYFUNCTION("""COMPUTED_VALUE"""),"Meats")</f>
        <v>Meats</v>
      </c>
      <c r="D112">
        <f>IFERROR(__xludf.DUMMYFUNCTION("""COMPUTED_VALUE"""),121.0)</f>
        <v>121</v>
      </c>
      <c r="E112">
        <f>IFERROR(__xludf.DUMMYFUNCTION("""COMPUTED_VALUE"""),2.59)</f>
        <v>2.59</v>
      </c>
      <c r="F112">
        <f>IFERROR(__xludf.DUMMYFUNCTION("""COMPUTED_VALUE"""),22.81)</f>
        <v>22.81</v>
      </c>
      <c r="G112">
        <f>IFERROR(__xludf.DUMMYFUNCTION("""COMPUTED_VALUE"""),0.0)</f>
        <v>0</v>
      </c>
    </row>
    <row r="113">
      <c r="A113">
        <f>IFERROR(__xludf.DUMMYFUNCTION("""COMPUTED_VALUE"""),167902.0)</f>
        <v>167902</v>
      </c>
      <c r="B113" t="str">
        <f>IFERROR(__xludf.DUMMYFUNCTION("""COMPUTED_VALUE"""),"Pork Fresh Ground Raw")</f>
        <v>Pork Fresh Ground Raw</v>
      </c>
      <c r="C113" t="str">
        <f>IFERROR(__xludf.DUMMYFUNCTION("""COMPUTED_VALUE"""),"Meats")</f>
        <v>Meats</v>
      </c>
      <c r="D113">
        <f>IFERROR(__xludf.DUMMYFUNCTION("""COMPUTED_VALUE"""),263.0)</f>
        <v>263</v>
      </c>
      <c r="E113">
        <f>IFERROR(__xludf.DUMMYFUNCTION("""COMPUTED_VALUE"""),21.19)</f>
        <v>21.19</v>
      </c>
      <c r="F113">
        <f>IFERROR(__xludf.DUMMYFUNCTION("""COMPUTED_VALUE"""),16.88)</f>
        <v>16.88</v>
      </c>
      <c r="G113">
        <f>IFERROR(__xludf.DUMMYFUNCTION("""COMPUTED_VALUE"""),0.0)</f>
        <v>0</v>
      </c>
    </row>
    <row r="114">
      <c r="A114">
        <f>IFERROR(__xludf.DUMMYFUNCTION("""COMPUTED_VALUE"""),167903.0)</f>
        <v>167903</v>
      </c>
      <c r="B114" t="str">
        <f>IFERROR(__xludf.DUMMYFUNCTION("""COMPUTED_VALUE"""),"Cooked Ground Pork")</f>
        <v>Cooked Ground Pork</v>
      </c>
      <c r="C114" t="str">
        <f>IFERROR(__xludf.DUMMYFUNCTION("""COMPUTED_VALUE"""),"Meats")</f>
        <v>Meats</v>
      </c>
      <c r="D114">
        <f>IFERROR(__xludf.DUMMYFUNCTION("""COMPUTED_VALUE"""),297.0)</f>
        <v>297</v>
      </c>
      <c r="E114">
        <f>IFERROR(__xludf.DUMMYFUNCTION("""COMPUTED_VALUE"""),20.77)</f>
        <v>20.77</v>
      </c>
      <c r="F114">
        <f>IFERROR(__xludf.DUMMYFUNCTION("""COMPUTED_VALUE"""),25.69)</f>
        <v>25.69</v>
      </c>
      <c r="G114">
        <f>IFERROR(__xludf.DUMMYFUNCTION("""COMPUTED_VALUE"""),0.0)</f>
        <v>0</v>
      </c>
    </row>
    <row r="115">
      <c r="A115">
        <f>IFERROR(__xludf.DUMMYFUNCTION("""COMPUTED_VALUE"""),167904.0)</f>
        <v>167904</v>
      </c>
      <c r="B115" t="str">
        <f>IFERROR(__xludf.DUMMYFUNCTION("""COMPUTED_VALUE"""),"Broiled Pork Tenderloin")</f>
        <v>Broiled Pork Tenderloin</v>
      </c>
      <c r="C115" t="str">
        <f>IFERROR(__xludf.DUMMYFUNCTION("""COMPUTED_VALUE"""),"Meats")</f>
        <v>Meats</v>
      </c>
      <c r="D115">
        <f>IFERROR(__xludf.DUMMYFUNCTION("""COMPUTED_VALUE"""),201.0)</f>
        <v>201</v>
      </c>
      <c r="E115">
        <f>IFERROR(__xludf.DUMMYFUNCTION("""COMPUTED_VALUE"""),8.11)</f>
        <v>8.11</v>
      </c>
      <c r="F115">
        <f>IFERROR(__xludf.DUMMYFUNCTION("""COMPUTED_VALUE"""),29.86)</f>
        <v>29.86</v>
      </c>
      <c r="G115">
        <f>IFERROR(__xludf.DUMMYFUNCTION("""COMPUTED_VALUE"""),0.0)</f>
        <v>0</v>
      </c>
    </row>
    <row r="116">
      <c r="A116">
        <f>IFERROR(__xludf.DUMMYFUNCTION("""COMPUTED_VALUE"""),167905.0)</f>
        <v>167905</v>
      </c>
      <c r="B116" t="str">
        <f>IFERROR(__xludf.DUMMYFUNCTION("""COMPUTED_VALUE"""),"Pork Fresh Loin Tenderloin Separable Lean And Fat Cooked Roasted")</f>
        <v>Pork Fresh Loin Tenderloin Separable Lean And Fat Cooked Roasted</v>
      </c>
      <c r="C116" t="str">
        <f>IFERROR(__xludf.DUMMYFUNCTION("""COMPUTED_VALUE"""),"Meats")</f>
        <v>Meats</v>
      </c>
      <c r="D116">
        <f>IFERROR(__xludf.DUMMYFUNCTION("""COMPUTED_VALUE"""),147.0)</f>
        <v>147</v>
      </c>
      <c r="E116">
        <f>IFERROR(__xludf.DUMMYFUNCTION("""COMPUTED_VALUE"""),3.96)</f>
        <v>3.96</v>
      </c>
      <c r="F116">
        <f>IFERROR(__xludf.DUMMYFUNCTION("""COMPUTED_VALUE"""),26.04)</f>
        <v>26.04</v>
      </c>
      <c r="G116">
        <f>IFERROR(__xludf.DUMMYFUNCTION("""COMPUTED_VALUE"""),0.0)</f>
        <v>0</v>
      </c>
    </row>
    <row r="117">
      <c r="A117">
        <f>IFERROR(__xludf.DUMMYFUNCTION("""COMPUTED_VALUE"""),167906.0)</f>
        <v>167906</v>
      </c>
      <c r="B117" t="str">
        <f>IFERROR(__xludf.DUMMYFUNCTION("""COMPUTED_VALUE"""),"Pork Fresh Composite Of Trimmed Retail Cuts (Loin And Shoulder Blade) Separable Lean And Fat Cooked")</f>
        <v>Pork Fresh Composite Of Trimmed Retail Cuts (Loin And Shoulder Blade) Separable Lean And Fat Cooked</v>
      </c>
      <c r="C117" t="str">
        <f>IFERROR(__xludf.DUMMYFUNCTION("""COMPUTED_VALUE"""),"Meats")</f>
        <v>Meats</v>
      </c>
      <c r="D117">
        <f>IFERROR(__xludf.DUMMYFUNCTION("""COMPUTED_VALUE"""),235.0)</f>
        <v>235</v>
      </c>
      <c r="E117">
        <f>IFERROR(__xludf.DUMMYFUNCTION("""COMPUTED_VALUE"""),13.66)</f>
        <v>13.66</v>
      </c>
      <c r="F117">
        <f>IFERROR(__xludf.DUMMYFUNCTION("""COMPUTED_VALUE"""),26.07)</f>
        <v>26.07</v>
      </c>
      <c r="G117">
        <f>IFERROR(__xludf.DUMMYFUNCTION("""COMPUTED_VALUE"""),0.0)</f>
        <v>0</v>
      </c>
    </row>
    <row r="118">
      <c r="A118">
        <f>IFERROR(__xludf.DUMMYFUNCTION("""COMPUTED_VALUE"""),167907.0)</f>
        <v>167907</v>
      </c>
      <c r="B118" t="str">
        <f>IFERROR(__xludf.DUMMYFUNCTION("""COMPUTED_VALUE"""),"Pork Fresh Composite Of Trimmed Retail Cuts (Loin And Shoulder Blade) Separable Lean Only Raw")</f>
        <v>Pork Fresh Composite Of Trimmed Retail Cuts (Loin And Shoulder Blade) Separable Lean Only Raw</v>
      </c>
      <c r="C118" t="str">
        <f>IFERROR(__xludf.DUMMYFUNCTION("""COMPUTED_VALUE"""),"Meats")</f>
        <v>Meats</v>
      </c>
      <c r="D118">
        <f>IFERROR(__xludf.DUMMYFUNCTION("""COMPUTED_VALUE"""),144.0)</f>
        <v>144</v>
      </c>
      <c r="E118">
        <f>IFERROR(__xludf.DUMMYFUNCTION("""COMPUTED_VALUE"""),5.88)</f>
        <v>5.88</v>
      </c>
      <c r="F118">
        <f>IFERROR(__xludf.DUMMYFUNCTION("""COMPUTED_VALUE"""),21.23)</f>
        <v>21.23</v>
      </c>
      <c r="G118">
        <f>IFERROR(__xludf.DUMMYFUNCTION("""COMPUTED_VALUE"""),0.0)</f>
        <v>0</v>
      </c>
    </row>
    <row r="119">
      <c r="A119">
        <f>IFERROR(__xludf.DUMMYFUNCTION("""COMPUTED_VALUE"""),167908.0)</f>
        <v>167908</v>
      </c>
      <c r="B119" t="str">
        <f>IFERROR(__xludf.DUMMYFUNCTION("""COMPUTED_VALUE"""),"Pork Fresh Composite Of Trimmed Retail Cuts (Loin And Shoulder Blade) Separable Lean Only Cooked")</f>
        <v>Pork Fresh Composite Of Trimmed Retail Cuts (Loin And Shoulder Blade) Separable Lean Only Cooked</v>
      </c>
      <c r="C119" t="str">
        <f>IFERROR(__xludf.DUMMYFUNCTION("""COMPUTED_VALUE"""),"Meats")</f>
        <v>Meats</v>
      </c>
      <c r="D119">
        <f>IFERROR(__xludf.DUMMYFUNCTION("""COMPUTED_VALUE"""),211.0)</f>
        <v>211</v>
      </c>
      <c r="E119">
        <f>IFERROR(__xludf.DUMMYFUNCTION("""COMPUTED_VALUE"""),9.44)</f>
        <v>9.44</v>
      </c>
      <c r="F119">
        <f>IFERROR(__xludf.DUMMYFUNCTION("""COMPUTED_VALUE"""),29.47)</f>
        <v>29.47</v>
      </c>
      <c r="G119">
        <f>IFERROR(__xludf.DUMMYFUNCTION("""COMPUTED_VALUE"""),0.0)</f>
        <v>0</v>
      </c>
    </row>
    <row r="120">
      <c r="A120">
        <f>IFERROR(__xludf.DUMMYFUNCTION("""COMPUTED_VALUE"""),167909.0)</f>
        <v>167909</v>
      </c>
      <c r="B120" t="str">
        <f>IFERROR(__xludf.DUMMYFUNCTION("""COMPUTED_VALUE"""),"Hormel Cure 81 Ham")</f>
        <v>Hormel Cure 81 Ham</v>
      </c>
      <c r="C120" t="str">
        <f>IFERROR(__xludf.DUMMYFUNCTION("""COMPUTED_VALUE"""),"Meats")</f>
        <v>Meats</v>
      </c>
      <c r="D120">
        <f>IFERROR(__xludf.DUMMYFUNCTION("""COMPUTED_VALUE"""),106.0)</f>
        <v>106</v>
      </c>
      <c r="E120">
        <f>IFERROR(__xludf.DUMMYFUNCTION("""COMPUTED_VALUE"""),3.59)</f>
        <v>3.59</v>
      </c>
      <c r="F120">
        <f>IFERROR(__xludf.DUMMYFUNCTION("""COMPUTED_VALUE"""),18.43)</f>
        <v>18.43</v>
      </c>
      <c r="G120">
        <f>IFERROR(__xludf.DUMMYFUNCTION("""COMPUTED_VALUE"""),0.21)</f>
        <v>0.21</v>
      </c>
    </row>
    <row r="121">
      <c r="A121">
        <f>IFERROR(__xludf.DUMMYFUNCTION("""COMPUTED_VALUE"""),167910.0)</f>
        <v>167910</v>
      </c>
      <c r="B121" t="str">
        <f>IFERROR(__xludf.DUMMYFUNCTION("""COMPUTED_VALUE"""),"Hormel Always Tender Pork Tenderloin Teriyaki-Flavored")</f>
        <v>Hormel Always Tender Pork Tenderloin Teriyaki-Flavored</v>
      </c>
      <c r="C121" t="str">
        <f>IFERROR(__xludf.DUMMYFUNCTION("""COMPUTED_VALUE"""),"Meats")</f>
        <v>Meats</v>
      </c>
      <c r="D121">
        <f>IFERROR(__xludf.DUMMYFUNCTION("""COMPUTED_VALUE"""),119.0)</f>
        <v>119</v>
      </c>
      <c r="E121">
        <f>IFERROR(__xludf.DUMMYFUNCTION("""COMPUTED_VALUE"""),3.07)</f>
        <v>3.07</v>
      </c>
      <c r="F121">
        <f>IFERROR(__xludf.DUMMYFUNCTION("""COMPUTED_VALUE"""),18.2)</f>
        <v>18.2</v>
      </c>
      <c r="G121">
        <f>IFERROR(__xludf.DUMMYFUNCTION("""COMPUTED_VALUE"""),4.63)</f>
        <v>4.63</v>
      </c>
    </row>
    <row r="122">
      <c r="A122">
        <f>IFERROR(__xludf.DUMMYFUNCTION("""COMPUTED_VALUE"""),167911.0)</f>
        <v>167911</v>
      </c>
      <c r="B122" t="str">
        <f>IFERROR(__xludf.DUMMYFUNCTION("""COMPUTED_VALUE"""),"Hormel Canadian Style Bacon")</f>
        <v>Hormel Canadian Style Bacon</v>
      </c>
      <c r="C122" t="str">
        <f>IFERROR(__xludf.DUMMYFUNCTION("""COMPUTED_VALUE"""),"Meats")</f>
        <v>Meats</v>
      </c>
      <c r="D122">
        <f>IFERROR(__xludf.DUMMYFUNCTION("""COMPUTED_VALUE"""),122.0)</f>
        <v>122</v>
      </c>
      <c r="E122">
        <f>IFERROR(__xludf.DUMMYFUNCTION("""COMPUTED_VALUE"""),4.94)</f>
        <v>4.94</v>
      </c>
      <c r="F122">
        <f>IFERROR(__xludf.DUMMYFUNCTION("""COMPUTED_VALUE"""),16.88)</f>
        <v>16.88</v>
      </c>
      <c r="G122">
        <f>IFERROR(__xludf.DUMMYFUNCTION("""COMPUTED_VALUE"""),1.87)</f>
        <v>1.87</v>
      </c>
    </row>
    <row r="123">
      <c r="A123">
        <f>IFERROR(__xludf.DUMMYFUNCTION("""COMPUTED_VALUE"""),167912.0)</f>
        <v>167912</v>
      </c>
      <c r="B123" t="str">
        <f>IFERROR(__xludf.DUMMYFUNCTION("""COMPUTED_VALUE"""),"Pork Fresh Loin Top Loin (Chops) Boneless Separable Lean Only With Added Solution Cooked Pan-Broiled")</f>
        <v>Pork Fresh Loin Top Loin (Chops) Boneless Separable Lean Only With Added Solution Cooked Pan-Broiled</v>
      </c>
      <c r="C123" t="str">
        <f>IFERROR(__xludf.DUMMYFUNCTION("""COMPUTED_VALUE"""),"Meats")</f>
        <v>Meats</v>
      </c>
      <c r="D123">
        <f>IFERROR(__xludf.DUMMYFUNCTION("""COMPUTED_VALUE"""),169.0)</f>
        <v>169</v>
      </c>
      <c r="E123">
        <f>IFERROR(__xludf.DUMMYFUNCTION("""COMPUTED_VALUE"""),5.0)</f>
        <v>5</v>
      </c>
      <c r="F123">
        <f>IFERROR(__xludf.DUMMYFUNCTION("""COMPUTED_VALUE"""),28.95)</f>
        <v>28.95</v>
      </c>
      <c r="G123">
        <f>IFERROR(__xludf.DUMMYFUNCTION("""COMPUTED_VALUE"""),0.0)</f>
        <v>0</v>
      </c>
    </row>
    <row r="124">
      <c r="A124">
        <f>IFERROR(__xludf.DUMMYFUNCTION("""COMPUTED_VALUE"""),167913.0)</f>
        <v>167913</v>
      </c>
      <c r="B124" t="str">
        <f>IFERROR(__xludf.DUMMYFUNCTION("""COMPUTED_VALUE"""),"Pork Fresh Loin Top Loin (Chops) Boneless Separable Lean And Fat With Added Solution Cooked Pan-Broiled")</f>
        <v>Pork Fresh Loin Top Loin (Chops) Boneless Separable Lean And Fat With Added Solution Cooked Pan-Broiled</v>
      </c>
      <c r="C124" t="str">
        <f>IFERROR(__xludf.DUMMYFUNCTION("""COMPUTED_VALUE"""),"Meats")</f>
        <v>Meats</v>
      </c>
      <c r="D124">
        <f>IFERROR(__xludf.DUMMYFUNCTION("""COMPUTED_VALUE"""),190.0)</f>
        <v>190</v>
      </c>
      <c r="E124">
        <f>IFERROR(__xludf.DUMMYFUNCTION("""COMPUTED_VALUE"""),7.66)</f>
        <v>7.66</v>
      </c>
      <c r="F124">
        <f>IFERROR(__xludf.DUMMYFUNCTION("""COMPUTED_VALUE"""),28.35)</f>
        <v>28.35</v>
      </c>
      <c r="G124">
        <f>IFERROR(__xludf.DUMMYFUNCTION("""COMPUTED_VALUE"""),0.0)</f>
        <v>0</v>
      </c>
    </row>
    <row r="125">
      <c r="A125">
        <f>IFERROR(__xludf.DUMMYFUNCTION("""COMPUTED_VALUE"""),167914.0)</f>
        <v>167914</v>
      </c>
      <c r="B125" t="str">
        <f>IFERROR(__xludf.DUMMYFUNCTION("""COMPUTED_VALUE"""),"Pork Cured Bacon Cooked Baked")</f>
        <v>Pork Cured Bacon Cooked Baked</v>
      </c>
      <c r="C125" t="str">
        <f>IFERROR(__xludf.DUMMYFUNCTION("""COMPUTED_VALUE"""),"Meats")</f>
        <v>Meats</v>
      </c>
      <c r="D125">
        <f>IFERROR(__xludf.DUMMYFUNCTION("""COMPUTED_VALUE"""),548.0)</f>
        <v>548</v>
      </c>
      <c r="E125">
        <f>IFERROR(__xludf.DUMMYFUNCTION("""COMPUTED_VALUE"""),43.27)</f>
        <v>43.27</v>
      </c>
      <c r="F125">
        <f>IFERROR(__xludf.DUMMYFUNCTION("""COMPUTED_VALUE"""),35.73)</f>
        <v>35.73</v>
      </c>
      <c r="G125">
        <f>IFERROR(__xludf.DUMMYFUNCTION("""COMPUTED_VALUE"""),1.35)</f>
        <v>1.35</v>
      </c>
    </row>
    <row r="126">
      <c r="A126">
        <f>IFERROR(__xludf.DUMMYFUNCTION("""COMPUTED_VALUE"""),167915.0)</f>
        <v>167915</v>
      </c>
      <c r="B126" t="str">
        <f>IFERROR(__xludf.DUMMYFUNCTION("""COMPUTED_VALUE"""),"Pork Cured Ham -- Water Added Rump Bone-In Separable Lean Only Heated Roasted")</f>
        <v>Pork Cured Ham -- Water Added Rump Bone-In Separable Lean Only Heated Roasted</v>
      </c>
      <c r="C126" t="str">
        <f>IFERROR(__xludf.DUMMYFUNCTION("""COMPUTED_VALUE"""),"Meats")</f>
        <v>Meats</v>
      </c>
      <c r="D126">
        <f>IFERROR(__xludf.DUMMYFUNCTION("""COMPUTED_VALUE"""),121.0)</f>
        <v>121</v>
      </c>
      <c r="E126">
        <f>IFERROR(__xludf.DUMMYFUNCTION("""COMPUTED_VALUE"""),3.56)</f>
        <v>3.56</v>
      </c>
      <c r="F126">
        <f>IFERROR(__xludf.DUMMYFUNCTION("""COMPUTED_VALUE"""),21.41)</f>
        <v>21.41</v>
      </c>
      <c r="G126">
        <f>IFERROR(__xludf.DUMMYFUNCTION("""COMPUTED_VALUE"""),0.87)</f>
        <v>0.87</v>
      </c>
    </row>
    <row r="127">
      <c r="A127">
        <f>IFERROR(__xludf.DUMMYFUNCTION("""COMPUTED_VALUE"""),167916.0)</f>
        <v>167916</v>
      </c>
      <c r="B127" t="str">
        <f>IFERROR(__xludf.DUMMYFUNCTION("""COMPUTED_VALUE"""),"Pork Cured Ham -- Water Added Rump Bone-In Separable Lean Only Unheated")</f>
        <v>Pork Cured Ham -- Water Added Rump Bone-In Separable Lean Only Unheated</v>
      </c>
      <c r="C127" t="str">
        <f>IFERROR(__xludf.DUMMYFUNCTION("""COMPUTED_VALUE"""),"Meats")</f>
        <v>Meats</v>
      </c>
      <c r="D127">
        <f>IFERROR(__xludf.DUMMYFUNCTION("""COMPUTED_VALUE"""),95.0)</f>
        <v>95</v>
      </c>
      <c r="E127">
        <f>IFERROR(__xludf.DUMMYFUNCTION("""COMPUTED_VALUE"""),3.48)</f>
        <v>3.48</v>
      </c>
      <c r="F127">
        <f>IFERROR(__xludf.DUMMYFUNCTION("""COMPUTED_VALUE"""),15.43)</f>
        <v>15.43</v>
      </c>
      <c r="G127">
        <f>IFERROR(__xludf.DUMMYFUNCTION("""COMPUTED_VALUE"""),0.67)</f>
        <v>0.67</v>
      </c>
    </row>
    <row r="128">
      <c r="A128">
        <f>IFERROR(__xludf.DUMMYFUNCTION("""COMPUTED_VALUE"""),167917.0)</f>
        <v>167917</v>
      </c>
      <c r="B128" t="str">
        <f>IFERROR(__xludf.DUMMYFUNCTION("""COMPUTED_VALUE"""),"Pork Cured Ham -- Water Added Shank Bone-In Separable Lean Only Heated Roasted")</f>
        <v>Pork Cured Ham -- Water Added Shank Bone-In Separable Lean Only Heated Roasted</v>
      </c>
      <c r="C128" t="str">
        <f>IFERROR(__xludf.DUMMYFUNCTION("""COMPUTED_VALUE"""),"Meats")</f>
        <v>Meats</v>
      </c>
      <c r="D128">
        <f>IFERROR(__xludf.DUMMYFUNCTION("""COMPUTED_VALUE"""),128.0)</f>
        <v>128</v>
      </c>
      <c r="E128">
        <f>IFERROR(__xludf.DUMMYFUNCTION("""COMPUTED_VALUE"""),4.43)</f>
        <v>4.43</v>
      </c>
      <c r="F128">
        <f>IFERROR(__xludf.DUMMYFUNCTION("""COMPUTED_VALUE"""),20.92)</f>
        <v>20.92</v>
      </c>
      <c r="G128">
        <f>IFERROR(__xludf.DUMMYFUNCTION("""COMPUTED_VALUE"""),1.2)</f>
        <v>1.2</v>
      </c>
    </row>
    <row r="129">
      <c r="A129">
        <f>IFERROR(__xludf.DUMMYFUNCTION("""COMPUTED_VALUE"""),167918.0)</f>
        <v>167918</v>
      </c>
      <c r="B129" t="str">
        <f>IFERROR(__xludf.DUMMYFUNCTION("""COMPUTED_VALUE"""),"Pork Cured Ham -- Water Added Slice Bone-In Separable Lean Only Heated Pan-Broil")</f>
        <v>Pork Cured Ham -- Water Added Slice Bone-In Separable Lean Only Heated Pan-Broil</v>
      </c>
      <c r="C129" t="str">
        <f>IFERROR(__xludf.DUMMYFUNCTION("""COMPUTED_VALUE"""),"Meats")</f>
        <v>Meats</v>
      </c>
      <c r="D129">
        <f>IFERROR(__xludf.DUMMYFUNCTION("""COMPUTED_VALUE"""),131.0)</f>
        <v>131</v>
      </c>
      <c r="E129">
        <f>IFERROR(__xludf.DUMMYFUNCTION("""COMPUTED_VALUE"""),4.3)</f>
        <v>4.3</v>
      </c>
      <c r="F129">
        <f>IFERROR(__xludf.DUMMYFUNCTION("""COMPUTED_VALUE"""),22.04)</f>
        <v>22.04</v>
      </c>
      <c r="G129">
        <f>IFERROR(__xludf.DUMMYFUNCTION("""COMPUTED_VALUE"""),1.48)</f>
        <v>1.48</v>
      </c>
    </row>
    <row r="130">
      <c r="A130">
        <f>IFERROR(__xludf.DUMMYFUNCTION("""COMPUTED_VALUE"""),167919.0)</f>
        <v>167919</v>
      </c>
      <c r="B130" t="str">
        <f>IFERROR(__xludf.DUMMYFUNCTION("""COMPUTED_VALUE"""),"Pork Cured Ham With Natural Juices Rump Bone-In Separable Lean Only Heated Roasted")</f>
        <v>Pork Cured Ham With Natural Juices Rump Bone-In Separable Lean Only Heated Roasted</v>
      </c>
      <c r="C130" t="str">
        <f>IFERROR(__xludf.DUMMYFUNCTION("""COMPUTED_VALUE"""),"Meats")</f>
        <v>Meats</v>
      </c>
      <c r="D130">
        <f>IFERROR(__xludf.DUMMYFUNCTION("""COMPUTED_VALUE"""),137.0)</f>
        <v>137</v>
      </c>
      <c r="E130">
        <f>IFERROR(__xludf.DUMMYFUNCTION("""COMPUTED_VALUE"""),4.25)</f>
        <v>4.25</v>
      </c>
      <c r="F130">
        <f>IFERROR(__xludf.DUMMYFUNCTION("""COMPUTED_VALUE"""),24.14)</f>
        <v>24.14</v>
      </c>
      <c r="G130">
        <f>IFERROR(__xludf.DUMMYFUNCTION("""COMPUTED_VALUE"""),0.48)</f>
        <v>0.48</v>
      </c>
    </row>
    <row r="131">
      <c r="A131">
        <f>IFERROR(__xludf.DUMMYFUNCTION("""COMPUTED_VALUE"""),167920.0)</f>
        <v>167920</v>
      </c>
      <c r="B131" t="str">
        <f>IFERROR(__xludf.DUMMYFUNCTION("""COMPUTED_VALUE"""),"Pork Cured Ham With Natural Juices Shank Bone-In Separable Lean Only Heated Roasted")</f>
        <v>Pork Cured Ham With Natural Juices Shank Bone-In Separable Lean Only Heated Roasted</v>
      </c>
      <c r="C131" t="str">
        <f>IFERROR(__xludf.DUMMYFUNCTION("""COMPUTED_VALUE"""),"Meats")</f>
        <v>Meats</v>
      </c>
      <c r="D131">
        <f>IFERROR(__xludf.DUMMYFUNCTION("""COMPUTED_VALUE"""),145.0)</f>
        <v>145</v>
      </c>
      <c r="E131">
        <f>IFERROR(__xludf.DUMMYFUNCTION("""COMPUTED_VALUE"""),4.97)</f>
        <v>4.97</v>
      </c>
      <c r="F131">
        <f>IFERROR(__xludf.DUMMYFUNCTION("""COMPUTED_VALUE"""),24.95)</f>
        <v>24.95</v>
      </c>
      <c r="G131">
        <f>IFERROR(__xludf.DUMMYFUNCTION("""COMPUTED_VALUE"""),0.34)</f>
        <v>0.34</v>
      </c>
    </row>
    <row r="132">
      <c r="A132">
        <f>IFERROR(__xludf.DUMMYFUNCTION("""COMPUTED_VALUE"""),168089.0)</f>
        <v>168089</v>
      </c>
      <c r="B132" t="str">
        <f>IFERROR(__xludf.DUMMYFUNCTION("""COMPUTED_VALUE"""),"Imitation Cheese American Or Cheddar Low Cholesterol")</f>
        <v>Imitation Cheese American Or Cheddar Low Cholesterol</v>
      </c>
      <c r="C132" t="str">
        <f>IFERROR(__xludf.DUMMYFUNCTION("""COMPUTED_VALUE"""),"Dairy and Egg Products")</f>
        <v>Dairy and Egg Products</v>
      </c>
      <c r="D132">
        <f>IFERROR(__xludf.DUMMYFUNCTION("""COMPUTED_VALUE"""),390.0)</f>
        <v>390</v>
      </c>
      <c r="E132">
        <f>IFERROR(__xludf.DUMMYFUNCTION("""COMPUTED_VALUE"""),32.0)</f>
        <v>32</v>
      </c>
      <c r="F132">
        <f>IFERROR(__xludf.DUMMYFUNCTION("""COMPUTED_VALUE"""),25.0)</f>
        <v>25</v>
      </c>
      <c r="G132">
        <f>IFERROR(__xludf.DUMMYFUNCTION("""COMPUTED_VALUE"""),1.0)</f>
        <v>1</v>
      </c>
    </row>
    <row r="133">
      <c r="A133">
        <f>IFERROR(__xludf.DUMMYFUNCTION("""COMPUTED_VALUE"""),168092.0)</f>
        <v>168092</v>
      </c>
      <c r="B133" t="str">
        <f>IFERROR(__xludf.DUMMYFUNCTION("""COMPUTED_VALUE"""),"Turkey Ham Sliced Extra Lean Prepackaged Or Deli-Sliced")</f>
        <v>Turkey Ham Sliced Extra Lean Prepackaged Or Deli-Sliced</v>
      </c>
      <c r="C133" t="str">
        <f>IFERROR(__xludf.DUMMYFUNCTION("""COMPUTED_VALUE"""),"Meats")</f>
        <v>Meats</v>
      </c>
      <c r="D133">
        <f>IFERROR(__xludf.DUMMYFUNCTION("""COMPUTED_VALUE"""),134.0)</f>
        <v>134</v>
      </c>
      <c r="E133">
        <f>IFERROR(__xludf.DUMMYFUNCTION("""COMPUTED_VALUE"""),5.8)</f>
        <v>5.8</v>
      </c>
      <c r="F133">
        <f>IFERROR(__xludf.DUMMYFUNCTION("""COMPUTED_VALUE"""),19.6)</f>
        <v>19.6</v>
      </c>
      <c r="G133">
        <f>IFERROR(__xludf.DUMMYFUNCTION("""COMPUTED_VALUE"""),0.93)</f>
        <v>0.93</v>
      </c>
    </row>
    <row r="134">
      <c r="A134">
        <f>IFERROR(__xludf.DUMMYFUNCTION("""COMPUTED_VALUE"""),168097.0)</f>
        <v>168097</v>
      </c>
      <c r="B134" t="str">
        <f>IFERROR(__xludf.DUMMYFUNCTION("""COMPUTED_VALUE"""),"Cream Substitute Liquid Light")</f>
        <v>Cream Substitute Liquid Light</v>
      </c>
      <c r="C134" t="str">
        <f>IFERROR(__xludf.DUMMYFUNCTION("""COMPUTED_VALUE"""),"Dairy and Egg Products")</f>
        <v>Dairy and Egg Products</v>
      </c>
      <c r="D134">
        <f>IFERROR(__xludf.DUMMYFUNCTION("""COMPUTED_VALUE"""),71.0)</f>
        <v>71</v>
      </c>
      <c r="E134">
        <f>IFERROR(__xludf.DUMMYFUNCTION("""COMPUTED_VALUE"""),3.5)</f>
        <v>3.5</v>
      </c>
      <c r="F134">
        <f>IFERROR(__xludf.DUMMYFUNCTION("""COMPUTED_VALUE"""),0.8)</f>
        <v>0.8</v>
      </c>
      <c r="G134">
        <f>IFERROR(__xludf.DUMMYFUNCTION("""COMPUTED_VALUE"""),9.1)</f>
        <v>9.1</v>
      </c>
    </row>
    <row r="135">
      <c r="A135">
        <f>IFERROR(__xludf.DUMMYFUNCTION("""COMPUTED_VALUE"""),168098.0)</f>
        <v>168098</v>
      </c>
      <c r="B135" t="str">
        <f>IFERROR(__xludf.DUMMYFUNCTION("""COMPUTED_VALUE"""),"Cheese Monterey Low Fat")</f>
        <v>Cheese Monterey Low Fat</v>
      </c>
      <c r="C135" t="str">
        <f>IFERROR(__xludf.DUMMYFUNCTION("""COMPUTED_VALUE"""),"Dairy and Egg Products")</f>
        <v>Dairy and Egg Products</v>
      </c>
      <c r="D135">
        <f>IFERROR(__xludf.DUMMYFUNCTION("""COMPUTED_VALUE"""),313.0)</f>
        <v>313</v>
      </c>
      <c r="E135">
        <f>IFERROR(__xludf.DUMMYFUNCTION("""COMPUTED_VALUE"""),21.6)</f>
        <v>21.6</v>
      </c>
      <c r="F135">
        <f>IFERROR(__xludf.DUMMYFUNCTION("""COMPUTED_VALUE"""),28.2)</f>
        <v>28.2</v>
      </c>
      <c r="G135">
        <f>IFERROR(__xludf.DUMMYFUNCTION("""COMPUTED_VALUE"""),0.7)</f>
        <v>0.7</v>
      </c>
    </row>
    <row r="136">
      <c r="A136">
        <f>IFERROR(__xludf.DUMMYFUNCTION("""COMPUTED_VALUE"""),168101.0)</f>
        <v>168101</v>
      </c>
      <c r="B136" t="str">
        <f>IFERROR(__xludf.DUMMYFUNCTION("""COMPUTED_VALUE"""),"Bologna Beef Low Fat")</f>
        <v>Bologna Beef Low Fat</v>
      </c>
      <c r="C136" t="str">
        <f>IFERROR(__xludf.DUMMYFUNCTION("""COMPUTED_VALUE"""),"Meats")</f>
        <v>Meats</v>
      </c>
      <c r="D136">
        <f>IFERROR(__xludf.DUMMYFUNCTION("""COMPUTED_VALUE"""),204.0)</f>
        <v>204</v>
      </c>
      <c r="E136">
        <f>IFERROR(__xludf.DUMMYFUNCTION("""COMPUTED_VALUE"""),14.8)</f>
        <v>14.8</v>
      </c>
      <c r="F136">
        <f>IFERROR(__xludf.DUMMYFUNCTION("""COMPUTED_VALUE"""),11.8)</f>
        <v>11.8</v>
      </c>
      <c r="G136">
        <f>IFERROR(__xludf.DUMMYFUNCTION("""COMPUTED_VALUE"""),5.2)</f>
        <v>5.2</v>
      </c>
    </row>
    <row r="137">
      <c r="A137">
        <f>IFERROR(__xludf.DUMMYFUNCTION("""COMPUTED_VALUE"""),168110.0)</f>
        <v>168110</v>
      </c>
      <c r="B137" t="str">
        <f>IFERROR(__xludf.DUMMYFUNCTION("""COMPUTED_VALUE"""),"Pork Cured Ham Low Sodium Lean And Fat Cooked")</f>
        <v>Pork Cured Ham Low Sodium Lean And Fat Cooked</v>
      </c>
      <c r="C137" t="str">
        <f>IFERROR(__xludf.DUMMYFUNCTION("""COMPUTED_VALUE"""),"Meats")</f>
        <v>Meats</v>
      </c>
      <c r="D137">
        <f>IFERROR(__xludf.DUMMYFUNCTION("""COMPUTED_VALUE"""),172.0)</f>
        <v>172</v>
      </c>
      <c r="E137">
        <f>IFERROR(__xludf.DUMMYFUNCTION("""COMPUTED_VALUE"""),8.3)</f>
        <v>8.3</v>
      </c>
      <c r="F137">
        <f>IFERROR(__xludf.DUMMYFUNCTION("""COMPUTED_VALUE"""),22.3)</f>
        <v>22.3</v>
      </c>
      <c r="G137">
        <f>IFERROR(__xludf.DUMMYFUNCTION("""COMPUTED_VALUE"""),0.3)</f>
        <v>0.3</v>
      </c>
    </row>
    <row r="138">
      <c r="A138">
        <f>IFERROR(__xludf.DUMMYFUNCTION("""COMPUTED_VALUE"""),168111.0)</f>
        <v>168111</v>
      </c>
      <c r="B138" t="str">
        <f>IFERROR(__xludf.DUMMYFUNCTION("""COMPUTED_VALUE"""),"Pork Cured Ham Boneless Low Sodium Extra Lean (Approximately 5% Fat) Roasted")</f>
        <v>Pork Cured Ham Boneless Low Sodium Extra Lean (Approximately 5% Fat) Roasted</v>
      </c>
      <c r="C138" t="str">
        <f>IFERROR(__xludf.DUMMYFUNCTION("""COMPUTED_VALUE"""),"Meats")</f>
        <v>Meats</v>
      </c>
      <c r="D138">
        <f>IFERROR(__xludf.DUMMYFUNCTION("""COMPUTED_VALUE"""),145.0)</f>
        <v>145</v>
      </c>
      <c r="E138">
        <f>IFERROR(__xludf.DUMMYFUNCTION("""COMPUTED_VALUE"""),5.5)</f>
        <v>5.5</v>
      </c>
      <c r="F138">
        <f>IFERROR(__xludf.DUMMYFUNCTION("""COMPUTED_VALUE"""),20.9)</f>
        <v>20.9</v>
      </c>
      <c r="G138">
        <f>IFERROR(__xludf.DUMMYFUNCTION("""COMPUTED_VALUE"""),1.5)</f>
        <v>1.5</v>
      </c>
    </row>
    <row r="139">
      <c r="A139">
        <f>IFERROR(__xludf.DUMMYFUNCTION("""COMPUTED_VALUE"""),168114.0)</f>
        <v>168114</v>
      </c>
      <c r="B139" t="str">
        <f>IFERROR(__xludf.DUMMYFUNCTION("""COMPUTED_VALUE"""),"Cheese Cottage Lowfat 1% Milkfat No Sodium Added")</f>
        <v>Cheese Cottage Lowfat 1% Milkfat No Sodium Added</v>
      </c>
      <c r="C139" t="str">
        <f>IFERROR(__xludf.DUMMYFUNCTION("""COMPUTED_VALUE"""),"Dairy and Egg Products")</f>
        <v>Dairy and Egg Products</v>
      </c>
      <c r="D139">
        <f>IFERROR(__xludf.DUMMYFUNCTION("""COMPUTED_VALUE"""),72.0)</f>
        <v>72</v>
      </c>
      <c r="E139">
        <f>IFERROR(__xludf.DUMMYFUNCTION("""COMPUTED_VALUE"""),1.0)</f>
        <v>1</v>
      </c>
      <c r="F139">
        <f>IFERROR(__xludf.DUMMYFUNCTION("""COMPUTED_VALUE"""),12.4)</f>
        <v>12.4</v>
      </c>
      <c r="G139">
        <f>IFERROR(__xludf.DUMMYFUNCTION("""COMPUTED_VALUE"""),2.7)</f>
        <v>2.7</v>
      </c>
    </row>
    <row r="140">
      <c r="A140">
        <f>IFERROR(__xludf.DUMMYFUNCTION("""COMPUTED_VALUE"""),168118.0)</f>
        <v>168118</v>
      </c>
      <c r="B140" t="str">
        <f>IFERROR(__xludf.DUMMYFUNCTION("""COMPUTED_VALUE"""),"Beef Bologna Reduced Sodium")</f>
        <v>Beef Bologna Reduced Sodium</v>
      </c>
      <c r="C140" t="str">
        <f>IFERROR(__xludf.DUMMYFUNCTION("""COMPUTED_VALUE"""),"Meats")</f>
        <v>Meats</v>
      </c>
      <c r="D140">
        <f>IFERROR(__xludf.DUMMYFUNCTION("""COMPUTED_VALUE"""),310.0)</f>
        <v>310</v>
      </c>
      <c r="E140">
        <f>IFERROR(__xludf.DUMMYFUNCTION("""COMPUTED_VALUE"""),28.4)</f>
        <v>28.4</v>
      </c>
      <c r="F140">
        <f>IFERROR(__xludf.DUMMYFUNCTION("""COMPUTED_VALUE"""),11.7)</f>
        <v>11.7</v>
      </c>
      <c r="G140">
        <f>IFERROR(__xludf.DUMMYFUNCTION("""COMPUTED_VALUE"""),2.0)</f>
        <v>2</v>
      </c>
    </row>
    <row r="141">
      <c r="A141">
        <f>IFERROR(__xludf.DUMMYFUNCTION("""COMPUTED_VALUE"""),168120.0)</f>
        <v>168120</v>
      </c>
      <c r="B141" t="str">
        <f>IFERROR(__xludf.DUMMYFUNCTION("""COMPUTED_VALUE"""),"Turkey Light Or Dark Meat Smoked Cooked With Skin Bone Removed")</f>
        <v>Turkey Light Or Dark Meat Smoked Cooked With Skin Bone Removed</v>
      </c>
      <c r="C141" t="str">
        <f>IFERROR(__xludf.DUMMYFUNCTION("""COMPUTED_VALUE"""),"Meats")</f>
        <v>Meats</v>
      </c>
      <c r="D141">
        <f>IFERROR(__xludf.DUMMYFUNCTION("""COMPUTED_VALUE"""),208.0)</f>
        <v>208</v>
      </c>
      <c r="E141">
        <f>IFERROR(__xludf.DUMMYFUNCTION("""COMPUTED_VALUE"""),9.7)</f>
        <v>9.7</v>
      </c>
      <c r="F141">
        <f>IFERROR(__xludf.DUMMYFUNCTION("""COMPUTED_VALUE"""),28.1)</f>
        <v>28.1</v>
      </c>
      <c r="G141">
        <f>IFERROR(__xludf.DUMMYFUNCTION("""COMPUTED_VALUE"""),0.0)</f>
        <v>0</v>
      </c>
    </row>
    <row r="142">
      <c r="A142">
        <f>IFERROR(__xludf.DUMMYFUNCTION("""COMPUTED_VALUE"""),168121.0)</f>
        <v>168121</v>
      </c>
      <c r="B142" t="str">
        <f>IFERROR(__xludf.DUMMYFUNCTION("""COMPUTED_VALUE"""),"Cheese Pasteurized Process Cheddar Or American Low Sodium")</f>
        <v>Cheese Pasteurized Process Cheddar Or American Low Sodium</v>
      </c>
      <c r="C142" t="str">
        <f>IFERROR(__xludf.DUMMYFUNCTION("""COMPUTED_VALUE"""),"Dairy and Egg Products")</f>
        <v>Dairy and Egg Products</v>
      </c>
      <c r="D142">
        <f>IFERROR(__xludf.DUMMYFUNCTION("""COMPUTED_VALUE"""),376.0)</f>
        <v>376</v>
      </c>
      <c r="E142">
        <f>IFERROR(__xludf.DUMMYFUNCTION("""COMPUTED_VALUE"""),31.19)</f>
        <v>31.19</v>
      </c>
      <c r="F142">
        <f>IFERROR(__xludf.DUMMYFUNCTION("""COMPUTED_VALUE"""),22.2)</f>
        <v>22.2</v>
      </c>
      <c r="G142">
        <f>IFERROR(__xludf.DUMMYFUNCTION("""COMPUTED_VALUE"""),1.6)</f>
        <v>1.6</v>
      </c>
    </row>
    <row r="143">
      <c r="A143">
        <f>IFERROR(__xludf.DUMMYFUNCTION("""COMPUTED_VALUE"""),168124.0)</f>
        <v>168124</v>
      </c>
      <c r="B143" t="str">
        <f>IFERROR(__xludf.DUMMYFUNCTION("""COMPUTED_VALUE"""),"Cheese Swiss Low Sodium")</f>
        <v>Cheese Swiss Low Sodium</v>
      </c>
      <c r="C143" t="str">
        <f>IFERROR(__xludf.DUMMYFUNCTION("""COMPUTED_VALUE"""),"Dairy and Egg Products")</f>
        <v>Dairy and Egg Products</v>
      </c>
      <c r="D143">
        <f>IFERROR(__xludf.DUMMYFUNCTION("""COMPUTED_VALUE"""),374.0)</f>
        <v>374</v>
      </c>
      <c r="E143">
        <f>IFERROR(__xludf.DUMMYFUNCTION("""COMPUTED_VALUE"""),27.4)</f>
        <v>27.4</v>
      </c>
      <c r="F143">
        <f>IFERROR(__xludf.DUMMYFUNCTION("""COMPUTED_VALUE"""),28.4)</f>
        <v>28.4</v>
      </c>
      <c r="G143">
        <f>IFERROR(__xludf.DUMMYFUNCTION("""COMPUTED_VALUE"""),3.4)</f>
        <v>3.4</v>
      </c>
    </row>
    <row r="144">
      <c r="A144">
        <f>IFERROR(__xludf.DUMMYFUNCTION("""COMPUTED_VALUE"""),168129.0)</f>
        <v>168129</v>
      </c>
      <c r="B144" t="str">
        <f>IFERROR(__xludf.DUMMYFUNCTION("""COMPUTED_VALUE"""),"Jellyfish Dried Salted")</f>
        <v>Jellyfish Dried Salted</v>
      </c>
      <c r="C144" t="str">
        <f>IFERROR(__xludf.DUMMYFUNCTION("""COMPUTED_VALUE"""),"Fish")</f>
        <v>Fish</v>
      </c>
      <c r="D144">
        <f>IFERROR(__xludf.DUMMYFUNCTION("""COMPUTED_VALUE"""),36.0)</f>
        <v>36</v>
      </c>
      <c r="E144">
        <f>IFERROR(__xludf.DUMMYFUNCTION("""COMPUTED_VALUE"""),1.4)</f>
        <v>1.4</v>
      </c>
      <c r="F144">
        <f>IFERROR(__xludf.DUMMYFUNCTION("""COMPUTED_VALUE"""),5.5)</f>
        <v>5.5</v>
      </c>
      <c r="G144">
        <f>IFERROR(__xludf.DUMMYFUNCTION("""COMPUTED_VALUE"""),0.0)</f>
        <v>0</v>
      </c>
    </row>
    <row r="145">
      <c r="A145">
        <f>IFERROR(__xludf.DUMMYFUNCTION("""COMPUTED_VALUE"""),168131.0)</f>
        <v>168131</v>
      </c>
      <c r="B145" t="str">
        <f>IFERROR(__xludf.DUMMYFUNCTION("""COMPUTED_VALUE"""),"Frankfurter Low Sodium")</f>
        <v>Frankfurter Low Sodium</v>
      </c>
      <c r="C145" t="str">
        <f>IFERROR(__xludf.DUMMYFUNCTION("""COMPUTED_VALUE"""),"Meats")</f>
        <v>Meats</v>
      </c>
      <c r="D145">
        <f>IFERROR(__xludf.DUMMYFUNCTION("""COMPUTED_VALUE"""),312.0)</f>
        <v>312</v>
      </c>
      <c r="E145">
        <f>IFERROR(__xludf.DUMMYFUNCTION("""COMPUTED_VALUE"""),28.51)</f>
        <v>28.51</v>
      </c>
      <c r="F145">
        <f>IFERROR(__xludf.DUMMYFUNCTION("""COMPUTED_VALUE"""),12.0)</f>
        <v>12</v>
      </c>
      <c r="G145">
        <f>IFERROR(__xludf.DUMMYFUNCTION("""COMPUTED_VALUE"""),1.8)</f>
        <v>1.8</v>
      </c>
    </row>
    <row r="146">
      <c r="A146">
        <f>IFERROR(__xludf.DUMMYFUNCTION("""COMPUTED_VALUE"""),168141.0)</f>
        <v>168141</v>
      </c>
      <c r="B146" t="str">
        <f>IFERROR(__xludf.DUMMYFUNCTION("""COMPUTED_VALUE"""),"Cheese Swiss Low Fat")</f>
        <v>Cheese Swiss Low Fat</v>
      </c>
      <c r="C146" t="str">
        <f>IFERROR(__xludf.DUMMYFUNCTION("""COMPUTED_VALUE"""),"Dairy and Egg Products")</f>
        <v>Dairy and Egg Products</v>
      </c>
      <c r="D146">
        <f>IFERROR(__xludf.DUMMYFUNCTION("""COMPUTED_VALUE"""),179.0)</f>
        <v>179</v>
      </c>
      <c r="E146">
        <f>IFERROR(__xludf.DUMMYFUNCTION("""COMPUTED_VALUE"""),5.1)</f>
        <v>5.1</v>
      </c>
      <c r="F146">
        <f>IFERROR(__xludf.DUMMYFUNCTION("""COMPUTED_VALUE"""),28.4)</f>
        <v>28.4</v>
      </c>
      <c r="G146">
        <f>IFERROR(__xludf.DUMMYFUNCTION("""COMPUTED_VALUE"""),3.4)</f>
        <v>3.4</v>
      </c>
    </row>
    <row r="147">
      <c r="A147">
        <f>IFERROR(__xludf.DUMMYFUNCTION("""COMPUTED_VALUE"""),168148.0)</f>
        <v>168148</v>
      </c>
      <c r="B147" t="str">
        <f>IFERROR(__xludf.DUMMYFUNCTION("""COMPUTED_VALUE"""),"Frog Legs Raw")</f>
        <v>Frog Legs Raw</v>
      </c>
      <c r="C147" t="str">
        <f>IFERROR(__xludf.DUMMYFUNCTION("""COMPUTED_VALUE"""),"Fish")</f>
        <v>Fish</v>
      </c>
      <c r="D147">
        <f>IFERROR(__xludf.DUMMYFUNCTION("""COMPUTED_VALUE"""),73.0)</f>
        <v>73</v>
      </c>
      <c r="E147">
        <f>IFERROR(__xludf.DUMMYFUNCTION("""COMPUTED_VALUE"""),0.3)</f>
        <v>0.3</v>
      </c>
      <c r="F147">
        <f>IFERROR(__xludf.DUMMYFUNCTION("""COMPUTED_VALUE"""),16.4)</f>
        <v>16.4</v>
      </c>
      <c r="G147">
        <f>IFERROR(__xludf.DUMMYFUNCTION("""COMPUTED_VALUE"""),0.0)</f>
        <v>0</v>
      </c>
    </row>
    <row r="148">
      <c r="A148">
        <f>IFERROR(__xludf.DUMMYFUNCTION("""COMPUTED_VALUE"""),168149.0)</f>
        <v>168149</v>
      </c>
      <c r="B148" t="str">
        <f>IFERROR(__xludf.DUMMYFUNCTION("""COMPUTED_VALUE"""),"Fish Mackerel Salted")</f>
        <v>Fish Mackerel Salted</v>
      </c>
      <c r="C148" t="str">
        <f>IFERROR(__xludf.DUMMYFUNCTION("""COMPUTED_VALUE"""),"Fish")</f>
        <v>Fish</v>
      </c>
      <c r="D148">
        <f>IFERROR(__xludf.DUMMYFUNCTION("""COMPUTED_VALUE"""),305.0)</f>
        <v>305</v>
      </c>
      <c r="E148">
        <f>IFERROR(__xludf.DUMMYFUNCTION("""COMPUTED_VALUE"""),25.1)</f>
        <v>25.1</v>
      </c>
      <c r="F148">
        <f>IFERROR(__xludf.DUMMYFUNCTION("""COMPUTED_VALUE"""),18.5)</f>
        <v>18.5</v>
      </c>
      <c r="G148">
        <f>IFERROR(__xludf.DUMMYFUNCTION("""COMPUTED_VALUE"""),0.0)</f>
        <v>0</v>
      </c>
    </row>
    <row r="149">
      <c r="A149">
        <f>IFERROR(__xludf.DUMMYFUNCTION("""COMPUTED_VALUE"""),168218.0)</f>
        <v>168218</v>
      </c>
      <c r="B149" t="str">
        <f>IFERROR(__xludf.DUMMYFUNCTION("""COMPUTED_VALUE"""),"Pork Fresh Composite Of Separable Fat With Added Solution Cooked")</f>
        <v>Pork Fresh Composite Of Separable Fat With Added Solution Cooked</v>
      </c>
      <c r="C149" t="str">
        <f>IFERROR(__xludf.DUMMYFUNCTION("""COMPUTED_VALUE"""),"Meats")</f>
        <v>Meats</v>
      </c>
      <c r="D149">
        <f>IFERROR(__xludf.DUMMYFUNCTION("""COMPUTED_VALUE"""),585.0)</f>
        <v>585</v>
      </c>
      <c r="E149">
        <f>IFERROR(__xludf.DUMMYFUNCTION("""COMPUTED_VALUE"""),60.42)</f>
        <v>60.42</v>
      </c>
      <c r="F149">
        <f>IFERROR(__xludf.DUMMYFUNCTION("""COMPUTED_VALUE"""),10.06)</f>
        <v>10.06</v>
      </c>
      <c r="G149">
        <f>IFERROR(__xludf.DUMMYFUNCTION("""COMPUTED_VALUE"""),0.32)</f>
        <v>0.32</v>
      </c>
    </row>
    <row r="150">
      <c r="A150">
        <f>IFERROR(__xludf.DUMMYFUNCTION("""COMPUTED_VALUE"""),168219.0)</f>
        <v>168219</v>
      </c>
      <c r="B150" t="str">
        <f>IFERROR(__xludf.DUMMYFUNCTION("""COMPUTED_VALUE"""),"Pork Fresh Carcass Separable Lean And Fat Raw")</f>
        <v>Pork Fresh Carcass Separable Lean And Fat Raw</v>
      </c>
      <c r="C150" t="str">
        <f>IFERROR(__xludf.DUMMYFUNCTION("""COMPUTED_VALUE"""),"Meats")</f>
        <v>Meats</v>
      </c>
      <c r="D150">
        <f>IFERROR(__xludf.DUMMYFUNCTION("""COMPUTED_VALUE"""),376.0)</f>
        <v>376</v>
      </c>
      <c r="E150">
        <f>IFERROR(__xludf.DUMMYFUNCTION("""COMPUTED_VALUE"""),35.07)</f>
        <v>35.07</v>
      </c>
      <c r="F150">
        <f>IFERROR(__xludf.DUMMYFUNCTION("""COMPUTED_VALUE"""),13.91)</f>
        <v>13.91</v>
      </c>
      <c r="G150">
        <f>IFERROR(__xludf.DUMMYFUNCTION("""COMPUTED_VALUE"""),0.0)</f>
        <v>0</v>
      </c>
    </row>
    <row r="151">
      <c r="A151">
        <f>IFERROR(__xludf.DUMMYFUNCTION("""COMPUTED_VALUE"""),168220.0)</f>
        <v>168220</v>
      </c>
      <c r="B151" t="str">
        <f>IFERROR(__xludf.DUMMYFUNCTION("""COMPUTED_VALUE"""),"Pork Fresh Composite Of Trimmed Retail Cuts (Leg Loin Shoulder) Separable Lean Only Raw")</f>
        <v>Pork Fresh Composite Of Trimmed Retail Cuts (Leg Loin Shoulder) Separable Lean Only Raw</v>
      </c>
      <c r="C151" t="str">
        <f>IFERROR(__xludf.DUMMYFUNCTION("""COMPUTED_VALUE"""),"Meats")</f>
        <v>Meats</v>
      </c>
      <c r="D151">
        <f>IFERROR(__xludf.DUMMYFUNCTION("""COMPUTED_VALUE"""),134.0)</f>
        <v>134</v>
      </c>
      <c r="E151">
        <f>IFERROR(__xludf.DUMMYFUNCTION("""COMPUTED_VALUE"""),4.86)</f>
        <v>4.86</v>
      </c>
      <c r="F151">
        <f>IFERROR(__xludf.DUMMYFUNCTION("""COMPUTED_VALUE"""),21.2)</f>
        <v>21.2</v>
      </c>
      <c r="G151">
        <f>IFERROR(__xludf.DUMMYFUNCTION("""COMPUTED_VALUE"""),0.0)</f>
        <v>0</v>
      </c>
    </row>
    <row r="152">
      <c r="A152">
        <f>IFERROR(__xludf.DUMMYFUNCTION("""COMPUTED_VALUE"""),168221.0)</f>
        <v>168221</v>
      </c>
      <c r="B152" t="str">
        <f>IFERROR(__xludf.DUMMYFUNCTION("""COMPUTED_VALUE"""),"Pork Fresh Separable Fat Cooked")</f>
        <v>Pork Fresh Separable Fat Cooked</v>
      </c>
      <c r="C152" t="str">
        <f>IFERROR(__xludf.DUMMYFUNCTION("""COMPUTED_VALUE"""),"Meats")</f>
        <v>Meats</v>
      </c>
      <c r="D152">
        <f>IFERROR(__xludf.DUMMYFUNCTION("""COMPUTED_VALUE"""),626.0)</f>
        <v>626</v>
      </c>
      <c r="E152">
        <f>IFERROR(__xludf.DUMMYFUNCTION("""COMPUTED_VALUE"""),66.1)</f>
        <v>66.1</v>
      </c>
      <c r="F152">
        <f>IFERROR(__xludf.DUMMYFUNCTION("""COMPUTED_VALUE"""),7.06)</f>
        <v>7.06</v>
      </c>
      <c r="G152">
        <f>IFERROR(__xludf.DUMMYFUNCTION("""COMPUTED_VALUE"""),0.0)</f>
        <v>0</v>
      </c>
    </row>
    <row r="153">
      <c r="A153">
        <f>IFERROR(__xludf.DUMMYFUNCTION("""COMPUTED_VALUE"""),168222.0)</f>
        <v>168222</v>
      </c>
      <c r="B153" t="str">
        <f>IFERROR(__xludf.DUMMYFUNCTION("""COMPUTED_VALUE"""),"Pork Fresh Leg (Ham) Whole Separable Lean And Fat Raw")</f>
        <v>Pork Fresh Leg (Ham) Whole Separable Lean And Fat Raw</v>
      </c>
      <c r="C153" t="str">
        <f>IFERROR(__xludf.DUMMYFUNCTION("""COMPUTED_VALUE"""),"Meats")</f>
        <v>Meats</v>
      </c>
      <c r="D153">
        <f>IFERROR(__xludf.DUMMYFUNCTION("""COMPUTED_VALUE"""),245.0)</f>
        <v>245</v>
      </c>
      <c r="E153">
        <f>IFERROR(__xludf.DUMMYFUNCTION("""COMPUTED_VALUE"""),18.87)</f>
        <v>18.87</v>
      </c>
      <c r="F153">
        <f>IFERROR(__xludf.DUMMYFUNCTION("""COMPUTED_VALUE"""),17.43)</f>
        <v>17.43</v>
      </c>
      <c r="G153">
        <f>IFERROR(__xludf.DUMMYFUNCTION("""COMPUTED_VALUE"""),0.0)</f>
        <v>0</v>
      </c>
    </row>
    <row r="154">
      <c r="A154">
        <f>IFERROR(__xludf.DUMMYFUNCTION("""COMPUTED_VALUE"""),168223.0)</f>
        <v>168223</v>
      </c>
      <c r="B154" t="str">
        <f>IFERROR(__xludf.DUMMYFUNCTION("""COMPUTED_VALUE"""),"Roasted Ham")</f>
        <v>Roasted Ham</v>
      </c>
      <c r="C154" t="str">
        <f>IFERROR(__xludf.DUMMYFUNCTION("""COMPUTED_VALUE"""),"Meats")</f>
        <v>Meats</v>
      </c>
      <c r="D154">
        <f>IFERROR(__xludf.DUMMYFUNCTION("""COMPUTED_VALUE"""),273.0)</f>
        <v>273</v>
      </c>
      <c r="E154">
        <f>IFERROR(__xludf.DUMMYFUNCTION("""COMPUTED_VALUE"""),17.61)</f>
        <v>17.61</v>
      </c>
      <c r="F154">
        <f>IFERROR(__xludf.DUMMYFUNCTION("""COMPUTED_VALUE"""),26.83)</f>
        <v>26.83</v>
      </c>
      <c r="G154">
        <f>IFERROR(__xludf.DUMMYFUNCTION("""COMPUTED_VALUE"""),0.0)</f>
        <v>0</v>
      </c>
    </row>
    <row r="155">
      <c r="A155">
        <f>IFERROR(__xludf.DUMMYFUNCTION("""COMPUTED_VALUE"""),168224.0)</f>
        <v>168224</v>
      </c>
      <c r="B155" t="str">
        <f>IFERROR(__xludf.DUMMYFUNCTION("""COMPUTED_VALUE"""),"Pork Fresh Leg (Ham) Whole Separable Lean Only Raw")</f>
        <v>Pork Fresh Leg (Ham) Whole Separable Lean Only Raw</v>
      </c>
      <c r="C155" t="str">
        <f>IFERROR(__xludf.DUMMYFUNCTION("""COMPUTED_VALUE"""),"Meats")</f>
        <v>Meats</v>
      </c>
      <c r="D155">
        <f>IFERROR(__xludf.DUMMYFUNCTION("""COMPUTED_VALUE"""),136.0)</f>
        <v>136</v>
      </c>
      <c r="E155">
        <f>IFERROR(__xludf.DUMMYFUNCTION("""COMPUTED_VALUE"""),5.41)</f>
        <v>5.41</v>
      </c>
      <c r="F155">
        <f>IFERROR(__xludf.DUMMYFUNCTION("""COMPUTED_VALUE"""),20.48)</f>
        <v>20.48</v>
      </c>
      <c r="G155">
        <f>IFERROR(__xludf.DUMMYFUNCTION("""COMPUTED_VALUE"""),0.0)</f>
        <v>0</v>
      </c>
    </row>
    <row r="156">
      <c r="A156">
        <f>IFERROR(__xludf.DUMMYFUNCTION("""COMPUTED_VALUE"""),168225.0)</f>
        <v>168225</v>
      </c>
      <c r="B156" t="str">
        <f>IFERROR(__xludf.DUMMYFUNCTION("""COMPUTED_VALUE"""),"Lean Roasted Ham")</f>
        <v>Lean Roasted Ham</v>
      </c>
      <c r="C156" t="str">
        <f>IFERROR(__xludf.DUMMYFUNCTION("""COMPUTED_VALUE"""),"Meats")</f>
        <v>Meats</v>
      </c>
      <c r="D156">
        <f>IFERROR(__xludf.DUMMYFUNCTION("""COMPUTED_VALUE"""),211.0)</f>
        <v>211</v>
      </c>
      <c r="E156">
        <f>IFERROR(__xludf.DUMMYFUNCTION("""COMPUTED_VALUE"""),9.44)</f>
        <v>9.44</v>
      </c>
      <c r="F156">
        <f>IFERROR(__xludf.DUMMYFUNCTION("""COMPUTED_VALUE"""),29.41)</f>
        <v>29.41</v>
      </c>
      <c r="G156">
        <f>IFERROR(__xludf.DUMMYFUNCTION("""COMPUTED_VALUE"""),0.0)</f>
        <v>0</v>
      </c>
    </row>
    <row r="157">
      <c r="A157">
        <f>IFERROR(__xludf.DUMMYFUNCTION("""COMPUTED_VALUE"""),168226.0)</f>
        <v>168226</v>
      </c>
      <c r="B157" t="str">
        <f>IFERROR(__xludf.DUMMYFUNCTION("""COMPUTED_VALUE"""),"Pork Fresh Leg (Ham) Shank Half Separable Lean And Fat Raw")</f>
        <v>Pork Fresh Leg (Ham) Shank Half Separable Lean And Fat Raw</v>
      </c>
      <c r="C157" t="str">
        <f>IFERROR(__xludf.DUMMYFUNCTION("""COMPUTED_VALUE"""),"Meats")</f>
        <v>Meats</v>
      </c>
      <c r="D157">
        <f>IFERROR(__xludf.DUMMYFUNCTION("""COMPUTED_VALUE"""),193.0)</f>
        <v>193</v>
      </c>
      <c r="E157">
        <f>IFERROR(__xludf.DUMMYFUNCTION("""COMPUTED_VALUE"""),11.96)</f>
        <v>11.96</v>
      </c>
      <c r="F157">
        <f>IFERROR(__xludf.DUMMYFUNCTION("""COMPUTED_VALUE"""),19.87)</f>
        <v>19.87</v>
      </c>
      <c r="G157">
        <f>IFERROR(__xludf.DUMMYFUNCTION("""COMPUTED_VALUE"""),0.0)</f>
        <v>0</v>
      </c>
    </row>
    <row r="158">
      <c r="A158">
        <f>IFERROR(__xludf.DUMMYFUNCTION("""COMPUTED_VALUE"""),168227.0)</f>
        <v>168227</v>
      </c>
      <c r="B158" t="str">
        <f>IFERROR(__xludf.DUMMYFUNCTION("""COMPUTED_VALUE"""),"Pork Fresh Leg (Ham) Shank Half Separable Lean And Fat Cooked Roasted")</f>
        <v>Pork Fresh Leg (Ham) Shank Half Separable Lean And Fat Cooked Roasted</v>
      </c>
      <c r="C158" t="str">
        <f>IFERROR(__xludf.DUMMYFUNCTION("""COMPUTED_VALUE"""),"Meats")</f>
        <v>Meats</v>
      </c>
      <c r="D158">
        <f>IFERROR(__xludf.DUMMYFUNCTION("""COMPUTED_VALUE"""),232.0)</f>
        <v>232</v>
      </c>
      <c r="E158">
        <f>IFERROR(__xludf.DUMMYFUNCTION("""COMPUTED_VALUE"""),13.42)</f>
        <v>13.42</v>
      </c>
      <c r="F158">
        <f>IFERROR(__xludf.DUMMYFUNCTION("""COMPUTED_VALUE"""),25.96)</f>
        <v>25.96</v>
      </c>
      <c r="G158">
        <f>IFERROR(__xludf.DUMMYFUNCTION("""COMPUTED_VALUE"""),0.0)</f>
        <v>0</v>
      </c>
    </row>
    <row r="159">
      <c r="A159">
        <f>IFERROR(__xludf.DUMMYFUNCTION("""COMPUTED_VALUE"""),168228.0)</f>
        <v>168228</v>
      </c>
      <c r="B159" t="str">
        <f>IFERROR(__xludf.DUMMYFUNCTION("""COMPUTED_VALUE"""),"Pork Fresh Leg (Ham) Shank Half Separable Lean Only Raw")</f>
        <v>Pork Fresh Leg (Ham) Shank Half Separable Lean Only Raw</v>
      </c>
      <c r="C159" t="str">
        <f>IFERROR(__xludf.DUMMYFUNCTION("""COMPUTED_VALUE"""),"Meats")</f>
        <v>Meats</v>
      </c>
      <c r="D159">
        <f>IFERROR(__xludf.DUMMYFUNCTION("""COMPUTED_VALUE"""),119.0)</f>
        <v>119</v>
      </c>
      <c r="E159">
        <f>IFERROR(__xludf.DUMMYFUNCTION("""COMPUTED_VALUE"""),2.95)</f>
        <v>2.95</v>
      </c>
      <c r="F159">
        <f>IFERROR(__xludf.DUMMYFUNCTION("""COMPUTED_VALUE"""),21.66)</f>
        <v>21.66</v>
      </c>
      <c r="G159">
        <f>IFERROR(__xludf.DUMMYFUNCTION("""COMPUTED_VALUE"""),0.0)</f>
        <v>0</v>
      </c>
    </row>
    <row r="160">
      <c r="A160">
        <f>IFERROR(__xludf.DUMMYFUNCTION("""COMPUTED_VALUE"""),168229.0)</f>
        <v>168229</v>
      </c>
      <c r="B160" t="str">
        <f>IFERROR(__xludf.DUMMYFUNCTION("""COMPUTED_VALUE"""),"Pork Fresh Leg (Ham) Shank Half Separable Lean Only Cooked Roasted")</f>
        <v>Pork Fresh Leg (Ham) Shank Half Separable Lean Only Cooked Roasted</v>
      </c>
      <c r="C160" t="str">
        <f>IFERROR(__xludf.DUMMYFUNCTION("""COMPUTED_VALUE"""),"Meats")</f>
        <v>Meats</v>
      </c>
      <c r="D160">
        <f>IFERROR(__xludf.DUMMYFUNCTION("""COMPUTED_VALUE"""),175.0)</f>
        <v>175</v>
      </c>
      <c r="E160">
        <f>IFERROR(__xludf.DUMMYFUNCTION("""COMPUTED_VALUE"""),5.83)</f>
        <v>5.83</v>
      </c>
      <c r="F160">
        <f>IFERROR(__xludf.DUMMYFUNCTION("""COMPUTED_VALUE"""),28.69)</f>
        <v>28.69</v>
      </c>
      <c r="G160">
        <f>IFERROR(__xludf.DUMMYFUNCTION("""COMPUTED_VALUE"""),0.0)</f>
        <v>0</v>
      </c>
    </row>
    <row r="161">
      <c r="A161">
        <f>IFERROR(__xludf.DUMMYFUNCTION("""COMPUTED_VALUE"""),168230.0)</f>
        <v>168230</v>
      </c>
      <c r="B161" t="str">
        <f>IFERROR(__xludf.DUMMYFUNCTION("""COMPUTED_VALUE"""),"Pork Fresh Loin Whole Separable Lean Only Raw")</f>
        <v>Pork Fresh Loin Whole Separable Lean Only Raw</v>
      </c>
      <c r="C161" t="str">
        <f>IFERROR(__xludf.DUMMYFUNCTION("""COMPUTED_VALUE"""),"Meats")</f>
        <v>Meats</v>
      </c>
      <c r="D161">
        <f>IFERROR(__xludf.DUMMYFUNCTION("""COMPUTED_VALUE"""),143.0)</f>
        <v>143</v>
      </c>
      <c r="E161">
        <f>IFERROR(__xludf.DUMMYFUNCTION("""COMPUTED_VALUE"""),5.66)</f>
        <v>5.66</v>
      </c>
      <c r="F161">
        <f>IFERROR(__xludf.DUMMYFUNCTION("""COMPUTED_VALUE"""),21.43)</f>
        <v>21.43</v>
      </c>
      <c r="G161">
        <f>IFERROR(__xludf.DUMMYFUNCTION("""COMPUTED_VALUE"""),0.0)</f>
        <v>0</v>
      </c>
    </row>
    <row r="162">
      <c r="A162">
        <f>IFERROR(__xludf.DUMMYFUNCTION("""COMPUTED_VALUE"""),168231.0)</f>
        <v>168231</v>
      </c>
      <c r="B162" t="str">
        <f>IFERROR(__xludf.DUMMYFUNCTION("""COMPUTED_VALUE"""),"Braised Pork Loin")</f>
        <v>Braised Pork Loin</v>
      </c>
      <c r="C162" t="str">
        <f>IFERROR(__xludf.DUMMYFUNCTION("""COMPUTED_VALUE"""),"Meats")</f>
        <v>Meats</v>
      </c>
      <c r="D162">
        <f>IFERROR(__xludf.DUMMYFUNCTION("""COMPUTED_VALUE"""),204.0)</f>
        <v>204</v>
      </c>
      <c r="E162">
        <f>IFERROR(__xludf.DUMMYFUNCTION("""COMPUTED_VALUE"""),9.12)</f>
        <v>9.12</v>
      </c>
      <c r="F162">
        <f>IFERROR(__xludf.DUMMYFUNCTION("""COMPUTED_VALUE"""),28.57)</f>
        <v>28.57</v>
      </c>
      <c r="G162">
        <f>IFERROR(__xludf.DUMMYFUNCTION("""COMPUTED_VALUE"""),0.0)</f>
        <v>0</v>
      </c>
    </row>
    <row r="163">
      <c r="A163">
        <f>IFERROR(__xludf.DUMMYFUNCTION("""COMPUTED_VALUE"""),168232.0)</f>
        <v>168232</v>
      </c>
      <c r="B163" t="str">
        <f>IFERROR(__xludf.DUMMYFUNCTION("""COMPUTED_VALUE"""),"Pork Fresh Loin Whole Separable Lean Only Cooked Broiled")</f>
        <v>Pork Fresh Loin Whole Separable Lean Only Cooked Broiled</v>
      </c>
      <c r="C163" t="str">
        <f>IFERROR(__xludf.DUMMYFUNCTION("""COMPUTED_VALUE"""),"Meats")</f>
        <v>Meats</v>
      </c>
      <c r="D163">
        <f>IFERROR(__xludf.DUMMYFUNCTION("""COMPUTED_VALUE"""),210.0)</f>
        <v>210</v>
      </c>
      <c r="E163">
        <f>IFERROR(__xludf.DUMMYFUNCTION("""COMPUTED_VALUE"""),9.8)</f>
        <v>9.8</v>
      </c>
      <c r="F163">
        <f>IFERROR(__xludf.DUMMYFUNCTION("""COMPUTED_VALUE"""),28.57)</f>
        <v>28.57</v>
      </c>
      <c r="G163">
        <f>IFERROR(__xludf.DUMMYFUNCTION("""COMPUTED_VALUE"""),0.0)</f>
        <v>0</v>
      </c>
    </row>
    <row r="164">
      <c r="A164">
        <f>IFERROR(__xludf.DUMMYFUNCTION("""COMPUTED_VALUE"""),168233.0)</f>
        <v>168233</v>
      </c>
      <c r="B164" t="str">
        <f>IFERROR(__xludf.DUMMYFUNCTION("""COMPUTED_VALUE"""),"Pork Fresh Loin Whole Separable Lean Only Cooked Roasted")</f>
        <v>Pork Fresh Loin Whole Separable Lean Only Cooked Roasted</v>
      </c>
      <c r="C164" t="str">
        <f>IFERROR(__xludf.DUMMYFUNCTION("""COMPUTED_VALUE"""),"Meats")</f>
        <v>Meats</v>
      </c>
      <c r="D164">
        <f>IFERROR(__xludf.DUMMYFUNCTION("""COMPUTED_VALUE"""),209.0)</f>
        <v>209</v>
      </c>
      <c r="E164">
        <f>IFERROR(__xludf.DUMMYFUNCTION("""COMPUTED_VALUE"""),9.63)</f>
        <v>9.63</v>
      </c>
      <c r="F164">
        <f>IFERROR(__xludf.DUMMYFUNCTION("""COMPUTED_VALUE"""),28.62)</f>
        <v>28.62</v>
      </c>
      <c r="G164">
        <f>IFERROR(__xludf.DUMMYFUNCTION("""COMPUTED_VALUE"""),0.0)</f>
        <v>0</v>
      </c>
    </row>
    <row r="165">
      <c r="A165">
        <f>IFERROR(__xludf.DUMMYFUNCTION("""COMPUTED_VALUE"""),168234.0)</f>
        <v>168234</v>
      </c>
      <c r="B165" t="str">
        <f>IFERROR(__xludf.DUMMYFUNCTION("""COMPUTED_VALUE"""),"Pork Fresh Loin Blade (Chops Or Roasts) Bone-In Separable Lean Only Raw")</f>
        <v>Pork Fresh Loin Blade (Chops Or Roasts) Bone-In Separable Lean Only Raw</v>
      </c>
      <c r="C165" t="str">
        <f>IFERROR(__xludf.DUMMYFUNCTION("""COMPUTED_VALUE"""),"Meats")</f>
        <v>Meats</v>
      </c>
      <c r="D165">
        <f>IFERROR(__xludf.DUMMYFUNCTION("""COMPUTED_VALUE"""),143.0)</f>
        <v>143</v>
      </c>
      <c r="E165">
        <f>IFERROR(__xludf.DUMMYFUNCTION("""COMPUTED_VALUE"""),5.84)</f>
        <v>5.84</v>
      </c>
      <c r="F165">
        <f>IFERROR(__xludf.DUMMYFUNCTION("""COMPUTED_VALUE"""),21.22)</f>
        <v>21.22</v>
      </c>
      <c r="G165">
        <f>IFERROR(__xludf.DUMMYFUNCTION("""COMPUTED_VALUE"""),0.0)</f>
        <v>0</v>
      </c>
    </row>
    <row r="166">
      <c r="A166">
        <f>IFERROR(__xludf.DUMMYFUNCTION("""COMPUTED_VALUE"""),168235.0)</f>
        <v>168235</v>
      </c>
      <c r="B166" t="str">
        <f>IFERROR(__xludf.DUMMYFUNCTION("""COMPUTED_VALUE"""),"Pork Fresh Loin Blade (Chops) Bone-In Separable Lean Only Cooked Braised")</f>
        <v>Pork Fresh Loin Blade (Chops) Bone-In Separable Lean Only Cooked Braised</v>
      </c>
      <c r="C166" t="str">
        <f>IFERROR(__xludf.DUMMYFUNCTION("""COMPUTED_VALUE"""),"Meats")</f>
        <v>Meats</v>
      </c>
      <c r="D166">
        <f>IFERROR(__xludf.DUMMYFUNCTION("""COMPUTED_VALUE"""),222.0)</f>
        <v>222</v>
      </c>
      <c r="E166">
        <f>IFERROR(__xludf.DUMMYFUNCTION("""COMPUTED_VALUE"""),11.29)</f>
        <v>11.29</v>
      </c>
      <c r="F166">
        <f>IFERROR(__xludf.DUMMYFUNCTION("""COMPUTED_VALUE"""),28.02)</f>
        <v>28.02</v>
      </c>
      <c r="G166">
        <f>IFERROR(__xludf.DUMMYFUNCTION("""COMPUTED_VALUE"""),0.0)</f>
        <v>0</v>
      </c>
    </row>
    <row r="167">
      <c r="A167">
        <f>IFERROR(__xludf.DUMMYFUNCTION("""COMPUTED_VALUE"""),168236.0)</f>
        <v>168236</v>
      </c>
      <c r="B167" t="str">
        <f>IFERROR(__xludf.DUMMYFUNCTION("""COMPUTED_VALUE"""),"Pork Fresh Loin Blade (Chops) Bone-In Separable Lean Only Cooked Broiled")</f>
        <v>Pork Fresh Loin Blade (Chops) Bone-In Separable Lean Only Cooked Broiled</v>
      </c>
      <c r="C167" t="str">
        <f>IFERROR(__xludf.DUMMYFUNCTION("""COMPUTED_VALUE"""),"Meats")</f>
        <v>Meats</v>
      </c>
      <c r="D167">
        <f>IFERROR(__xludf.DUMMYFUNCTION("""COMPUTED_VALUE"""),193.0)</f>
        <v>193</v>
      </c>
      <c r="E167">
        <f>IFERROR(__xludf.DUMMYFUNCTION("""COMPUTED_VALUE"""),9.56)</f>
        <v>9.56</v>
      </c>
      <c r="F167">
        <f>IFERROR(__xludf.DUMMYFUNCTION("""COMPUTED_VALUE"""),24.99)</f>
        <v>24.99</v>
      </c>
      <c r="G167">
        <f>IFERROR(__xludf.DUMMYFUNCTION("""COMPUTED_VALUE"""),0.0)</f>
        <v>0</v>
      </c>
    </row>
    <row r="168">
      <c r="A168">
        <f>IFERROR(__xludf.DUMMYFUNCTION("""COMPUTED_VALUE"""),168237.0)</f>
        <v>168237</v>
      </c>
      <c r="B168" t="str">
        <f>IFERROR(__xludf.DUMMYFUNCTION("""COMPUTED_VALUE"""),"Pork Fresh Loin Blade (Roasts) Bone-In Separable Lean Only Cooked Roasted")</f>
        <v>Pork Fresh Loin Blade (Roasts) Bone-In Separable Lean Only Cooked Roasted</v>
      </c>
      <c r="C168" t="str">
        <f>IFERROR(__xludf.DUMMYFUNCTION("""COMPUTED_VALUE"""),"Meats")</f>
        <v>Meats</v>
      </c>
      <c r="D168">
        <f>IFERROR(__xludf.DUMMYFUNCTION("""COMPUTED_VALUE"""),217.0)</f>
        <v>217</v>
      </c>
      <c r="E168">
        <f>IFERROR(__xludf.DUMMYFUNCTION("""COMPUTED_VALUE"""),11.89)</f>
        <v>11.89</v>
      </c>
      <c r="F168">
        <f>IFERROR(__xludf.DUMMYFUNCTION("""COMPUTED_VALUE"""),25.7)</f>
        <v>25.7</v>
      </c>
      <c r="G168">
        <f>IFERROR(__xludf.DUMMYFUNCTION("""COMPUTED_VALUE"""),0.0)</f>
        <v>0</v>
      </c>
    </row>
    <row r="169">
      <c r="A169">
        <f>IFERROR(__xludf.DUMMYFUNCTION("""COMPUTED_VALUE"""),168238.0)</f>
        <v>168238</v>
      </c>
      <c r="B169" t="str">
        <f>IFERROR(__xludf.DUMMYFUNCTION("""COMPUTED_VALUE"""),"Pork Fresh Loin Center Loin (Chops) Bone-In Separable Lean And Fat Raw")</f>
        <v>Pork Fresh Loin Center Loin (Chops) Bone-In Separable Lean And Fat Raw</v>
      </c>
      <c r="C169" t="str">
        <f>IFERROR(__xludf.DUMMYFUNCTION("""COMPUTED_VALUE"""),"Meats")</f>
        <v>Meats</v>
      </c>
      <c r="D169">
        <f>IFERROR(__xludf.DUMMYFUNCTION("""COMPUTED_VALUE"""),170.0)</f>
        <v>170</v>
      </c>
      <c r="E169">
        <f>IFERROR(__xludf.DUMMYFUNCTION("""COMPUTED_VALUE"""),9.03)</f>
        <v>9.03</v>
      </c>
      <c r="F169">
        <f>IFERROR(__xludf.DUMMYFUNCTION("""COMPUTED_VALUE"""),20.71)</f>
        <v>20.71</v>
      </c>
      <c r="G169">
        <f>IFERROR(__xludf.DUMMYFUNCTION("""COMPUTED_VALUE"""),0.0)</f>
        <v>0</v>
      </c>
    </row>
    <row r="170">
      <c r="A170">
        <f>IFERROR(__xludf.DUMMYFUNCTION("""COMPUTED_VALUE"""),168239.0)</f>
        <v>168239</v>
      </c>
      <c r="B170" t="str">
        <f>IFERROR(__xludf.DUMMYFUNCTION("""COMPUTED_VALUE"""),"Pork Fresh Loin Center Loin (Chops) Bone-In Separable Lean Only Cooked Braised")</f>
        <v>Pork Fresh Loin Center Loin (Chops) Bone-In Separable Lean Only Cooked Braised</v>
      </c>
      <c r="C170" t="str">
        <f>IFERROR(__xludf.DUMMYFUNCTION("""COMPUTED_VALUE"""),"Meats")</f>
        <v>Meats</v>
      </c>
      <c r="D170">
        <f>IFERROR(__xludf.DUMMYFUNCTION("""COMPUTED_VALUE"""),200.0)</f>
        <v>200</v>
      </c>
      <c r="E170">
        <f>IFERROR(__xludf.DUMMYFUNCTION("""COMPUTED_VALUE"""),7.86)</f>
        <v>7.86</v>
      </c>
      <c r="F170">
        <f>IFERROR(__xludf.DUMMYFUNCTION("""COMPUTED_VALUE"""),30.2)</f>
        <v>30.2</v>
      </c>
      <c r="G170">
        <f>IFERROR(__xludf.DUMMYFUNCTION("""COMPUTED_VALUE"""),0.0)</f>
        <v>0</v>
      </c>
    </row>
    <row r="171">
      <c r="A171">
        <f>IFERROR(__xludf.DUMMYFUNCTION("""COMPUTED_VALUE"""),168240.0)</f>
        <v>168240</v>
      </c>
      <c r="B171" t="str">
        <f>IFERROR(__xludf.DUMMYFUNCTION("""COMPUTED_VALUE"""),"Pork Fresh Loin Center Loin (Chops) Bone-In Separable Lean Only Cooked Broiled")</f>
        <v>Pork Fresh Loin Center Loin (Chops) Bone-In Separable Lean Only Cooked Broiled</v>
      </c>
      <c r="C171" t="str">
        <f>IFERROR(__xludf.DUMMYFUNCTION("""COMPUTED_VALUE"""),"Meats")</f>
        <v>Meats</v>
      </c>
      <c r="D171">
        <f>IFERROR(__xludf.DUMMYFUNCTION("""COMPUTED_VALUE"""),180.0)</f>
        <v>180</v>
      </c>
      <c r="E171">
        <f>IFERROR(__xludf.DUMMYFUNCTION("""COMPUTED_VALUE"""),7.29)</f>
        <v>7.29</v>
      </c>
      <c r="F171">
        <f>IFERROR(__xludf.DUMMYFUNCTION("""COMPUTED_VALUE"""),26.76)</f>
        <v>26.76</v>
      </c>
      <c r="G171">
        <f>IFERROR(__xludf.DUMMYFUNCTION("""COMPUTED_VALUE"""),0.0)</f>
        <v>0</v>
      </c>
    </row>
    <row r="172">
      <c r="A172">
        <f>IFERROR(__xludf.DUMMYFUNCTION("""COMPUTED_VALUE"""),168241.0)</f>
        <v>168241</v>
      </c>
      <c r="B172" t="str">
        <f>IFERROR(__xludf.DUMMYFUNCTION("""COMPUTED_VALUE"""),"Pork Fresh Loin Center Loin (Roasts) Bone-In Separable Lean Only Cooked Roasted")</f>
        <v>Pork Fresh Loin Center Loin (Roasts) Bone-In Separable Lean Only Cooked Roasted</v>
      </c>
      <c r="C172" t="str">
        <f>IFERROR(__xludf.DUMMYFUNCTION("""COMPUTED_VALUE"""),"Meats")</f>
        <v>Meats</v>
      </c>
      <c r="D172">
        <f>IFERROR(__xludf.DUMMYFUNCTION("""COMPUTED_VALUE"""),194.0)</f>
        <v>194</v>
      </c>
      <c r="E172">
        <f>IFERROR(__xludf.DUMMYFUNCTION("""COMPUTED_VALUE"""),7.95)</f>
        <v>7.95</v>
      </c>
      <c r="F172">
        <f>IFERROR(__xludf.DUMMYFUNCTION("""COMPUTED_VALUE"""),28.58)</f>
        <v>28.58</v>
      </c>
      <c r="G172">
        <f>IFERROR(__xludf.DUMMYFUNCTION("""COMPUTED_VALUE"""),0.0)</f>
        <v>0</v>
      </c>
    </row>
    <row r="173">
      <c r="A173">
        <f>IFERROR(__xludf.DUMMYFUNCTION("""COMPUTED_VALUE"""),168242.0)</f>
        <v>168242</v>
      </c>
      <c r="B173" t="str">
        <f>IFERROR(__xludf.DUMMYFUNCTION("""COMPUTED_VALUE"""),"Pork Fresh Loin Center Rib (Chops Or Roasts) Bone-In Separable Lean And Fat Raw")</f>
        <v>Pork Fresh Loin Center Rib (Chops Or Roasts) Bone-In Separable Lean And Fat Raw</v>
      </c>
      <c r="C173" t="str">
        <f>IFERROR(__xludf.DUMMYFUNCTION("""COMPUTED_VALUE"""),"Meats")</f>
        <v>Meats</v>
      </c>
      <c r="D173">
        <f>IFERROR(__xludf.DUMMYFUNCTION("""COMPUTED_VALUE"""),186.0)</f>
        <v>186</v>
      </c>
      <c r="E173">
        <f>IFERROR(__xludf.DUMMYFUNCTION("""COMPUTED_VALUE"""),11.04)</f>
        <v>11.04</v>
      </c>
      <c r="F173">
        <f>IFERROR(__xludf.DUMMYFUNCTION("""COMPUTED_VALUE"""),20.28)</f>
        <v>20.28</v>
      </c>
      <c r="G173">
        <f>IFERROR(__xludf.DUMMYFUNCTION("""COMPUTED_VALUE"""),0.0)</f>
        <v>0</v>
      </c>
    </row>
    <row r="174">
      <c r="A174">
        <f>IFERROR(__xludf.DUMMYFUNCTION("""COMPUTED_VALUE"""),168243.0)</f>
        <v>168243</v>
      </c>
      <c r="B174" t="str">
        <f>IFERROR(__xludf.DUMMYFUNCTION("""COMPUTED_VALUE"""),"Pork Fresh Loin Center Rib (Chops) Bone-In Separable Lean Only Cooked Braised")</f>
        <v>Pork Fresh Loin Center Rib (Chops) Bone-In Separable Lean Only Cooked Braised</v>
      </c>
      <c r="C174" t="str">
        <f>IFERROR(__xludf.DUMMYFUNCTION("""COMPUTED_VALUE"""),"Meats")</f>
        <v>Meats</v>
      </c>
      <c r="D174">
        <f>IFERROR(__xludf.DUMMYFUNCTION("""COMPUTED_VALUE"""),208.0)</f>
        <v>208</v>
      </c>
      <c r="E174">
        <f>IFERROR(__xludf.DUMMYFUNCTION("""COMPUTED_VALUE"""),9.32)</f>
        <v>9.32</v>
      </c>
      <c r="F174">
        <f>IFERROR(__xludf.DUMMYFUNCTION("""COMPUTED_VALUE"""),29.03)</f>
        <v>29.03</v>
      </c>
      <c r="G174">
        <f>IFERROR(__xludf.DUMMYFUNCTION("""COMPUTED_VALUE"""),0.0)</f>
        <v>0</v>
      </c>
    </row>
    <row r="175">
      <c r="A175">
        <f>IFERROR(__xludf.DUMMYFUNCTION("""COMPUTED_VALUE"""),168244.0)</f>
        <v>168244</v>
      </c>
      <c r="B175" t="str">
        <f>IFERROR(__xludf.DUMMYFUNCTION("""COMPUTED_VALUE"""),"Pork Fresh Loin Center Rib (Chops) Bone-In Separable Lean Only Cooked Broiled")</f>
        <v>Pork Fresh Loin Center Rib (Chops) Bone-In Separable Lean Only Cooked Broiled</v>
      </c>
      <c r="C175" t="str">
        <f>IFERROR(__xludf.DUMMYFUNCTION("""COMPUTED_VALUE"""),"Meats")</f>
        <v>Meats</v>
      </c>
      <c r="D175">
        <f>IFERROR(__xludf.DUMMYFUNCTION("""COMPUTED_VALUE"""),186.0)</f>
        <v>186</v>
      </c>
      <c r="E175">
        <f>IFERROR(__xludf.DUMMYFUNCTION("""COMPUTED_VALUE"""),8.36)</f>
        <v>8.36</v>
      </c>
      <c r="F175">
        <f>IFERROR(__xludf.DUMMYFUNCTION("""COMPUTED_VALUE"""),25.79)</f>
        <v>25.79</v>
      </c>
      <c r="G175">
        <f>IFERROR(__xludf.DUMMYFUNCTION("""COMPUTED_VALUE"""),0.0)</f>
        <v>0</v>
      </c>
    </row>
    <row r="176">
      <c r="A176">
        <f>IFERROR(__xludf.DUMMYFUNCTION("""COMPUTED_VALUE"""),168245.0)</f>
        <v>168245</v>
      </c>
      <c r="B176" t="str">
        <f>IFERROR(__xludf.DUMMYFUNCTION("""COMPUTED_VALUE"""),"Pork Fresh Loin Center Rib (Roasts) Bone-In Separable Lean Only Cooked Roasted")</f>
        <v>Pork Fresh Loin Center Rib (Roasts) Bone-In Separable Lean Only Cooked Roasted</v>
      </c>
      <c r="C176" t="str">
        <f>IFERROR(__xludf.DUMMYFUNCTION("""COMPUTED_VALUE"""),"Meats")</f>
        <v>Meats</v>
      </c>
      <c r="D176">
        <f>IFERROR(__xludf.DUMMYFUNCTION("""COMPUTED_VALUE"""),206.0)</f>
        <v>206</v>
      </c>
      <c r="E176">
        <f>IFERROR(__xludf.DUMMYFUNCTION("""COMPUTED_VALUE"""),9.21)</f>
        <v>9.21</v>
      </c>
      <c r="F176">
        <f>IFERROR(__xludf.DUMMYFUNCTION("""COMPUTED_VALUE"""),28.82)</f>
        <v>28.82</v>
      </c>
      <c r="G176">
        <f>IFERROR(__xludf.DUMMYFUNCTION("""COMPUTED_VALUE"""),0.0)</f>
        <v>0</v>
      </c>
    </row>
    <row r="177">
      <c r="A177">
        <f>IFERROR(__xludf.DUMMYFUNCTION("""COMPUTED_VALUE"""),168246.0)</f>
        <v>168246</v>
      </c>
      <c r="B177" t="str">
        <f>IFERROR(__xludf.DUMMYFUNCTION("""COMPUTED_VALUE"""),"Pork Fresh Loin Sirloin (Chops Or Roasts) Bone-In Separable Lean And Fat Raw")</f>
        <v>Pork Fresh Loin Sirloin (Chops Or Roasts) Bone-In Separable Lean And Fat Raw</v>
      </c>
      <c r="C177" t="str">
        <f>IFERROR(__xludf.DUMMYFUNCTION("""COMPUTED_VALUE"""),"Meats")</f>
        <v>Meats</v>
      </c>
      <c r="D177">
        <f>IFERROR(__xludf.DUMMYFUNCTION("""COMPUTED_VALUE"""),168.0)</f>
        <v>168</v>
      </c>
      <c r="E177">
        <f>IFERROR(__xludf.DUMMYFUNCTION("""COMPUTED_VALUE"""),8.96)</f>
        <v>8.96</v>
      </c>
      <c r="F177">
        <f>IFERROR(__xludf.DUMMYFUNCTION("""COMPUTED_VALUE"""),20.48)</f>
        <v>20.48</v>
      </c>
      <c r="G177">
        <f>IFERROR(__xludf.DUMMYFUNCTION("""COMPUTED_VALUE"""),0.0)</f>
        <v>0</v>
      </c>
    </row>
    <row r="178">
      <c r="A178">
        <f>IFERROR(__xludf.DUMMYFUNCTION("""COMPUTED_VALUE"""),168247.0)</f>
        <v>168247</v>
      </c>
      <c r="B178" t="str">
        <f>IFERROR(__xludf.DUMMYFUNCTION("""COMPUTED_VALUE"""),"Pork Fresh Loin Sirloin (Chops) Bone-In Separable Lean Only Cooked Broiled")</f>
        <v>Pork Fresh Loin Sirloin (Chops) Bone-In Separable Lean Only Cooked Broiled</v>
      </c>
      <c r="C178" t="str">
        <f>IFERROR(__xludf.DUMMYFUNCTION("""COMPUTED_VALUE"""),"Meats")</f>
        <v>Meats</v>
      </c>
      <c r="D178">
        <f>IFERROR(__xludf.DUMMYFUNCTION("""COMPUTED_VALUE"""),174.0)</f>
        <v>174</v>
      </c>
      <c r="E178">
        <f>IFERROR(__xludf.DUMMYFUNCTION("""COMPUTED_VALUE"""),5.45)</f>
        <v>5.45</v>
      </c>
      <c r="F178">
        <f>IFERROR(__xludf.DUMMYFUNCTION("""COMPUTED_VALUE"""),29.29)</f>
        <v>29.29</v>
      </c>
      <c r="G178">
        <f>IFERROR(__xludf.DUMMYFUNCTION("""COMPUTED_VALUE"""),0.0)</f>
        <v>0</v>
      </c>
    </row>
    <row r="179">
      <c r="A179">
        <f>IFERROR(__xludf.DUMMYFUNCTION("""COMPUTED_VALUE"""),168248.0)</f>
        <v>168248</v>
      </c>
      <c r="B179" t="str">
        <f>IFERROR(__xludf.DUMMYFUNCTION("""COMPUTED_VALUE"""),"Pork Fresh Loin Sirloin (Roasts) Bone-In Separable Lean Only Cooked Roasted")</f>
        <v>Pork Fresh Loin Sirloin (Roasts) Bone-In Separable Lean Only Cooked Roasted</v>
      </c>
      <c r="C179" t="str">
        <f>IFERROR(__xludf.DUMMYFUNCTION("""COMPUTED_VALUE"""),"Meats")</f>
        <v>Meats</v>
      </c>
      <c r="D179">
        <f>IFERROR(__xludf.DUMMYFUNCTION("""COMPUTED_VALUE"""),204.0)</f>
        <v>204</v>
      </c>
      <c r="E179">
        <f>IFERROR(__xludf.DUMMYFUNCTION("""COMPUTED_VALUE"""),9.44)</f>
        <v>9.44</v>
      </c>
      <c r="F179">
        <f>IFERROR(__xludf.DUMMYFUNCTION("""COMPUTED_VALUE"""),27.78)</f>
        <v>27.78</v>
      </c>
      <c r="G179">
        <f>IFERROR(__xludf.DUMMYFUNCTION("""COMPUTED_VALUE"""),0.0)</f>
        <v>0</v>
      </c>
    </row>
    <row r="180">
      <c r="A180">
        <f>IFERROR(__xludf.DUMMYFUNCTION("""COMPUTED_VALUE"""),168249.0)</f>
        <v>168249</v>
      </c>
      <c r="B180" t="str">
        <f>IFERROR(__xludf.DUMMYFUNCTION("""COMPUTED_VALUE"""),"Pork Fresh Loin Tenderloin Separable Lean Only Raw")</f>
        <v>Pork Fresh Loin Tenderloin Separable Lean Only Raw</v>
      </c>
      <c r="C180" t="str">
        <f>IFERROR(__xludf.DUMMYFUNCTION("""COMPUTED_VALUE"""),"Meats")</f>
        <v>Meats</v>
      </c>
      <c r="D180">
        <f>IFERROR(__xludf.DUMMYFUNCTION("""COMPUTED_VALUE"""),109.0)</f>
        <v>109</v>
      </c>
      <c r="E180">
        <f>IFERROR(__xludf.DUMMYFUNCTION("""COMPUTED_VALUE"""),2.17)</f>
        <v>2.17</v>
      </c>
      <c r="F180">
        <f>IFERROR(__xludf.DUMMYFUNCTION("""COMPUTED_VALUE"""),20.95)</f>
        <v>20.95</v>
      </c>
      <c r="G180">
        <f>IFERROR(__xludf.DUMMYFUNCTION("""COMPUTED_VALUE"""),0.0)</f>
        <v>0</v>
      </c>
    </row>
    <row r="181">
      <c r="A181">
        <f>IFERROR(__xludf.DUMMYFUNCTION("""COMPUTED_VALUE"""),168250.0)</f>
        <v>168250</v>
      </c>
      <c r="B181" t="str">
        <f>IFERROR(__xludf.DUMMYFUNCTION("""COMPUTED_VALUE"""),"Roasted Pork Tenderloin")</f>
        <v>Roasted Pork Tenderloin</v>
      </c>
      <c r="C181" t="str">
        <f>IFERROR(__xludf.DUMMYFUNCTION("""COMPUTED_VALUE"""),"Meats")</f>
        <v>Meats</v>
      </c>
      <c r="D181">
        <f>IFERROR(__xludf.DUMMYFUNCTION("""COMPUTED_VALUE"""),143.0)</f>
        <v>143</v>
      </c>
      <c r="E181">
        <f>IFERROR(__xludf.DUMMYFUNCTION("""COMPUTED_VALUE"""),3.51)</f>
        <v>3.51</v>
      </c>
      <c r="F181">
        <f>IFERROR(__xludf.DUMMYFUNCTION("""COMPUTED_VALUE"""),26.17)</f>
        <v>26.17</v>
      </c>
      <c r="G181">
        <f>IFERROR(__xludf.DUMMYFUNCTION("""COMPUTED_VALUE"""),0.0)</f>
        <v>0</v>
      </c>
    </row>
    <row r="182">
      <c r="A182">
        <f>IFERROR(__xludf.DUMMYFUNCTION("""COMPUTED_VALUE"""),168251.0)</f>
        <v>168251</v>
      </c>
      <c r="B182" t="str">
        <f>IFERROR(__xludf.DUMMYFUNCTION("""COMPUTED_VALUE"""),"Pork Fresh Loin Top Loin (Chops) Boneless Separable Lean Only Raw")</f>
        <v>Pork Fresh Loin Top Loin (Chops) Boneless Separable Lean Only Raw</v>
      </c>
      <c r="C182" t="str">
        <f>IFERROR(__xludf.DUMMYFUNCTION("""COMPUTED_VALUE"""),"Meats")</f>
        <v>Meats</v>
      </c>
      <c r="D182">
        <f>IFERROR(__xludf.DUMMYFUNCTION("""COMPUTED_VALUE"""),127.0)</f>
        <v>127</v>
      </c>
      <c r="E182">
        <f>IFERROR(__xludf.DUMMYFUNCTION("""COMPUTED_VALUE"""),3.42)</f>
        <v>3.42</v>
      </c>
      <c r="F182">
        <f>IFERROR(__xludf.DUMMYFUNCTION("""COMPUTED_VALUE"""),22.41)</f>
        <v>22.41</v>
      </c>
      <c r="G182">
        <f>IFERROR(__xludf.DUMMYFUNCTION("""COMPUTED_VALUE"""),0.0)</f>
        <v>0</v>
      </c>
    </row>
    <row r="183">
      <c r="A183">
        <f>IFERROR(__xludf.DUMMYFUNCTION("""COMPUTED_VALUE"""),168252.0)</f>
        <v>168252</v>
      </c>
      <c r="B183" t="str">
        <f>IFERROR(__xludf.DUMMYFUNCTION("""COMPUTED_VALUE"""),"Pork Fresh Loin Top Loin (Chops) Boneless Separable Lean Only Cooked Braised")</f>
        <v>Pork Fresh Loin Top Loin (Chops) Boneless Separable Lean Only Cooked Braised</v>
      </c>
      <c r="C183" t="str">
        <f>IFERROR(__xludf.DUMMYFUNCTION("""COMPUTED_VALUE"""),"Meats")</f>
        <v>Meats</v>
      </c>
      <c r="D183">
        <f>IFERROR(__xludf.DUMMYFUNCTION("""COMPUTED_VALUE"""),170.0)</f>
        <v>170</v>
      </c>
      <c r="E183">
        <f>IFERROR(__xludf.DUMMYFUNCTION("""COMPUTED_VALUE"""),4.34)</f>
        <v>4.34</v>
      </c>
      <c r="F183">
        <f>IFERROR(__xludf.DUMMYFUNCTION("""COMPUTED_VALUE"""),30.54)</f>
        <v>30.54</v>
      </c>
      <c r="G183">
        <f>IFERROR(__xludf.DUMMYFUNCTION("""COMPUTED_VALUE"""),0.0)</f>
        <v>0</v>
      </c>
    </row>
    <row r="184">
      <c r="A184">
        <f>IFERROR(__xludf.DUMMYFUNCTION("""COMPUTED_VALUE"""),168253.0)</f>
        <v>168253</v>
      </c>
      <c r="B184" t="str">
        <f>IFERROR(__xludf.DUMMYFUNCTION("""COMPUTED_VALUE"""),"Pork Fresh Loin Top Loin (Chops) Boneless Separable Lean Only Cooked Broiled")</f>
        <v>Pork Fresh Loin Top Loin (Chops) Boneless Separable Lean Only Cooked Broiled</v>
      </c>
      <c r="C184" t="str">
        <f>IFERROR(__xludf.DUMMYFUNCTION("""COMPUTED_VALUE"""),"Meats")</f>
        <v>Meats</v>
      </c>
      <c r="D184">
        <f>IFERROR(__xludf.DUMMYFUNCTION("""COMPUTED_VALUE"""),173.0)</f>
        <v>173</v>
      </c>
      <c r="E184">
        <f>IFERROR(__xludf.DUMMYFUNCTION("""COMPUTED_VALUE"""),6.08)</f>
        <v>6.08</v>
      </c>
      <c r="F184">
        <f>IFERROR(__xludf.DUMMYFUNCTION("""COMPUTED_VALUE"""),27.58)</f>
        <v>27.58</v>
      </c>
      <c r="G184">
        <f>IFERROR(__xludf.DUMMYFUNCTION("""COMPUTED_VALUE"""),0.0)</f>
        <v>0</v>
      </c>
    </row>
    <row r="185">
      <c r="A185">
        <f>IFERROR(__xludf.DUMMYFUNCTION("""COMPUTED_VALUE"""),168254.0)</f>
        <v>168254</v>
      </c>
      <c r="B185" t="str">
        <f>IFERROR(__xludf.DUMMYFUNCTION("""COMPUTED_VALUE"""),"Pork Fresh Loin Top Loin (Roasts) Boneless Separable Lean Only Cooked Roasted")</f>
        <v>Pork Fresh Loin Top Loin (Roasts) Boneless Separable Lean Only Cooked Roasted</v>
      </c>
      <c r="C185" t="str">
        <f>IFERROR(__xludf.DUMMYFUNCTION("""COMPUTED_VALUE"""),"Meats")</f>
        <v>Meats</v>
      </c>
      <c r="D185">
        <f>IFERROR(__xludf.DUMMYFUNCTION("""COMPUTED_VALUE"""),173.0)</f>
        <v>173</v>
      </c>
      <c r="E185">
        <f>IFERROR(__xludf.DUMMYFUNCTION("""COMPUTED_VALUE"""),6.28)</f>
        <v>6.28</v>
      </c>
      <c r="F185">
        <f>IFERROR(__xludf.DUMMYFUNCTION("""COMPUTED_VALUE"""),27.23)</f>
        <v>27.23</v>
      </c>
      <c r="G185">
        <f>IFERROR(__xludf.DUMMYFUNCTION("""COMPUTED_VALUE"""),0.0)</f>
        <v>0</v>
      </c>
    </row>
    <row r="186">
      <c r="A186">
        <f>IFERROR(__xludf.DUMMYFUNCTION("""COMPUTED_VALUE"""),168255.0)</f>
        <v>168255</v>
      </c>
      <c r="B186" t="str">
        <f>IFERROR(__xludf.DUMMYFUNCTION("""COMPUTED_VALUE"""),"Pork Fresh Shoulder Arm Picnic Separable Lean And Fat Raw")</f>
        <v>Pork Fresh Shoulder Arm Picnic Separable Lean And Fat Raw</v>
      </c>
      <c r="C186" t="str">
        <f>IFERROR(__xludf.DUMMYFUNCTION("""COMPUTED_VALUE"""),"Meats")</f>
        <v>Meats</v>
      </c>
      <c r="D186">
        <f>IFERROR(__xludf.DUMMYFUNCTION("""COMPUTED_VALUE"""),193.0)</f>
        <v>193</v>
      </c>
      <c r="E186">
        <f>IFERROR(__xludf.DUMMYFUNCTION("""COMPUTED_VALUE"""),12.51)</f>
        <v>12.51</v>
      </c>
      <c r="F186">
        <f>IFERROR(__xludf.DUMMYFUNCTION("""COMPUTED_VALUE"""),18.71)</f>
        <v>18.71</v>
      </c>
      <c r="G186">
        <f>IFERROR(__xludf.DUMMYFUNCTION("""COMPUTED_VALUE"""),0.0)</f>
        <v>0</v>
      </c>
    </row>
    <row r="187">
      <c r="A187">
        <f>IFERROR(__xludf.DUMMYFUNCTION("""COMPUTED_VALUE"""),168256.0)</f>
        <v>168256</v>
      </c>
      <c r="B187" t="str">
        <f>IFERROR(__xludf.DUMMYFUNCTION("""COMPUTED_VALUE"""),"Pork Fresh Shoulder Arm Picnic Separable Lean And Fat Cooked Braised")</f>
        <v>Pork Fresh Shoulder Arm Picnic Separable Lean And Fat Cooked Braised</v>
      </c>
      <c r="C187" t="str">
        <f>IFERROR(__xludf.DUMMYFUNCTION("""COMPUTED_VALUE"""),"Meats")</f>
        <v>Meats</v>
      </c>
      <c r="D187">
        <f>IFERROR(__xludf.DUMMYFUNCTION("""COMPUTED_VALUE"""),235.0)</f>
        <v>235</v>
      </c>
      <c r="E187">
        <f>IFERROR(__xludf.DUMMYFUNCTION("""COMPUTED_VALUE"""),14.33)</f>
        <v>14.33</v>
      </c>
      <c r="F187">
        <f>IFERROR(__xludf.DUMMYFUNCTION("""COMPUTED_VALUE"""),24.88)</f>
        <v>24.88</v>
      </c>
      <c r="G187">
        <f>IFERROR(__xludf.DUMMYFUNCTION("""COMPUTED_VALUE"""),0.0)</f>
        <v>0</v>
      </c>
    </row>
    <row r="188">
      <c r="A188">
        <f>IFERROR(__xludf.DUMMYFUNCTION("""COMPUTED_VALUE"""),168257.0)</f>
        <v>168257</v>
      </c>
      <c r="B188" t="str">
        <f>IFERROR(__xludf.DUMMYFUNCTION("""COMPUTED_VALUE"""),"Pork Fresh Shoulder Arm Picnic Separable Lean And Fat Cooked Roasted")</f>
        <v>Pork Fresh Shoulder Arm Picnic Separable Lean And Fat Cooked Roasted</v>
      </c>
      <c r="C188" t="str">
        <f>IFERROR(__xludf.DUMMYFUNCTION("""COMPUTED_VALUE"""),"Meats")</f>
        <v>Meats</v>
      </c>
      <c r="D188">
        <f>IFERROR(__xludf.DUMMYFUNCTION("""COMPUTED_VALUE"""),317.0)</f>
        <v>317</v>
      </c>
      <c r="E188">
        <f>IFERROR(__xludf.DUMMYFUNCTION("""COMPUTED_VALUE"""),24.01)</f>
        <v>24.01</v>
      </c>
      <c r="F188">
        <f>IFERROR(__xludf.DUMMYFUNCTION("""COMPUTED_VALUE"""),23.47)</f>
        <v>23.47</v>
      </c>
      <c r="G188">
        <f>IFERROR(__xludf.DUMMYFUNCTION("""COMPUTED_VALUE"""),0.0)</f>
        <v>0</v>
      </c>
    </row>
    <row r="189">
      <c r="A189">
        <f>IFERROR(__xludf.DUMMYFUNCTION("""COMPUTED_VALUE"""),168258.0)</f>
        <v>168258</v>
      </c>
      <c r="B189" t="str">
        <f>IFERROR(__xludf.DUMMYFUNCTION("""COMPUTED_VALUE"""),"Pork Fresh Shoulder Arm Picnic Separable Lean Only Raw")</f>
        <v>Pork Fresh Shoulder Arm Picnic Separable Lean Only Raw</v>
      </c>
      <c r="C189" t="str">
        <f>IFERROR(__xludf.DUMMYFUNCTION("""COMPUTED_VALUE"""),"Meats")</f>
        <v>Meats</v>
      </c>
      <c r="D189">
        <f>IFERROR(__xludf.DUMMYFUNCTION("""COMPUTED_VALUE"""),120.0)</f>
        <v>120</v>
      </c>
      <c r="E189">
        <f>IFERROR(__xludf.DUMMYFUNCTION("""COMPUTED_VALUE"""),3.77)</f>
        <v>3.77</v>
      </c>
      <c r="F189">
        <f>IFERROR(__xludf.DUMMYFUNCTION("""COMPUTED_VALUE"""),20.26)</f>
        <v>20.26</v>
      </c>
      <c r="G189">
        <f>IFERROR(__xludf.DUMMYFUNCTION("""COMPUTED_VALUE"""),0.0)</f>
        <v>0</v>
      </c>
    </row>
    <row r="190">
      <c r="A190">
        <f>IFERROR(__xludf.DUMMYFUNCTION("""COMPUTED_VALUE"""),168259.0)</f>
        <v>168259</v>
      </c>
      <c r="B190" t="str">
        <f>IFERROR(__xludf.DUMMYFUNCTION("""COMPUTED_VALUE"""),"Pork Fresh Shoulder Blade Boston (Roasts) Separable Lean And Fat Cooked Roasted")</f>
        <v>Pork Fresh Shoulder Blade Boston (Roasts) Separable Lean And Fat Cooked Roasted</v>
      </c>
      <c r="C190" t="str">
        <f>IFERROR(__xludf.DUMMYFUNCTION("""COMPUTED_VALUE"""),"Meats")</f>
        <v>Meats</v>
      </c>
      <c r="D190">
        <f>IFERROR(__xludf.DUMMYFUNCTION("""COMPUTED_VALUE"""),269.0)</f>
        <v>269</v>
      </c>
      <c r="E190">
        <f>IFERROR(__xludf.DUMMYFUNCTION("""COMPUTED_VALUE"""),18.86)</f>
        <v>18.86</v>
      </c>
      <c r="F190">
        <f>IFERROR(__xludf.DUMMYFUNCTION("""COMPUTED_VALUE"""),23.11)</f>
        <v>23.11</v>
      </c>
      <c r="G190">
        <f>IFERROR(__xludf.DUMMYFUNCTION("""COMPUTED_VALUE"""),0.0)</f>
        <v>0</v>
      </c>
    </row>
    <row r="191">
      <c r="A191">
        <f>IFERROR(__xludf.DUMMYFUNCTION("""COMPUTED_VALUE"""),168260.0)</f>
        <v>168260</v>
      </c>
      <c r="B191" t="str">
        <f>IFERROR(__xludf.DUMMYFUNCTION("""COMPUTED_VALUE"""),"Pork Fresh Shoulder (Boston Butt) Blade (Steaks) Separable Lean Only Raw")</f>
        <v>Pork Fresh Shoulder (Boston Butt) Blade (Steaks) Separable Lean Only Raw</v>
      </c>
      <c r="C191" t="str">
        <f>IFERROR(__xludf.DUMMYFUNCTION("""COMPUTED_VALUE"""),"Meats")</f>
        <v>Meats</v>
      </c>
      <c r="D191">
        <f>IFERROR(__xludf.DUMMYFUNCTION("""COMPUTED_VALUE"""),132.0)</f>
        <v>132</v>
      </c>
      <c r="E191">
        <f>IFERROR(__xludf.DUMMYFUNCTION("""COMPUTED_VALUE"""),5.71)</f>
        <v>5.71</v>
      </c>
      <c r="F191">
        <f>IFERROR(__xludf.DUMMYFUNCTION("""COMPUTED_VALUE"""),18.73)</f>
        <v>18.73</v>
      </c>
      <c r="G191">
        <f>IFERROR(__xludf.DUMMYFUNCTION("""COMPUTED_VALUE"""),0.0)</f>
        <v>0</v>
      </c>
    </row>
    <row r="192">
      <c r="A192">
        <f>IFERROR(__xludf.DUMMYFUNCTION("""COMPUTED_VALUE"""),168261.0)</f>
        <v>168261</v>
      </c>
      <c r="B192" t="str">
        <f>IFERROR(__xludf.DUMMYFUNCTION("""COMPUTED_VALUE"""),"Pork Fresh Shoulder (Boston Butt) Blade (Steaks) Separable Lean Only Cooked Braised")</f>
        <v>Pork Fresh Shoulder (Boston Butt) Blade (Steaks) Separable Lean Only Cooked Braised</v>
      </c>
      <c r="C192" t="str">
        <f>IFERROR(__xludf.DUMMYFUNCTION("""COMPUTED_VALUE"""),"Meats")</f>
        <v>Meats</v>
      </c>
      <c r="D192">
        <f>IFERROR(__xludf.DUMMYFUNCTION("""COMPUTED_VALUE"""),233.0)</f>
        <v>233</v>
      </c>
      <c r="E192">
        <f>IFERROR(__xludf.DUMMYFUNCTION("""COMPUTED_VALUE"""),13.2)</f>
        <v>13.2</v>
      </c>
      <c r="F192">
        <f>IFERROR(__xludf.DUMMYFUNCTION("""COMPUTED_VALUE"""),26.57)</f>
        <v>26.57</v>
      </c>
      <c r="G192">
        <f>IFERROR(__xludf.DUMMYFUNCTION("""COMPUTED_VALUE"""),0.0)</f>
        <v>0</v>
      </c>
    </row>
    <row r="193">
      <c r="A193">
        <f>IFERROR(__xludf.DUMMYFUNCTION("""COMPUTED_VALUE"""),168262.0)</f>
        <v>168262</v>
      </c>
      <c r="B193" t="str">
        <f>IFERROR(__xludf.DUMMYFUNCTION("""COMPUTED_VALUE"""),"Pork Fresh Shoulder Blade Boston (Steaks) Separable Lean Only Cooked Broiled")</f>
        <v>Pork Fresh Shoulder Blade Boston (Steaks) Separable Lean Only Cooked Broiled</v>
      </c>
      <c r="C193" t="str">
        <f>IFERROR(__xludf.DUMMYFUNCTION("""COMPUTED_VALUE"""),"Meats")</f>
        <v>Meats</v>
      </c>
      <c r="D193">
        <f>IFERROR(__xludf.DUMMYFUNCTION("""COMPUTED_VALUE"""),227.0)</f>
        <v>227</v>
      </c>
      <c r="E193">
        <f>IFERROR(__xludf.DUMMYFUNCTION("""COMPUTED_VALUE"""),12.54)</f>
        <v>12.54</v>
      </c>
      <c r="F193">
        <f>IFERROR(__xludf.DUMMYFUNCTION("""COMPUTED_VALUE"""),26.74)</f>
        <v>26.74</v>
      </c>
      <c r="G193">
        <f>IFERROR(__xludf.DUMMYFUNCTION("""COMPUTED_VALUE"""),0.0)</f>
        <v>0</v>
      </c>
    </row>
    <row r="194">
      <c r="A194">
        <f>IFERROR(__xludf.DUMMYFUNCTION("""COMPUTED_VALUE"""),168263.0)</f>
        <v>168263</v>
      </c>
      <c r="B194" t="str">
        <f>IFERROR(__xludf.DUMMYFUNCTION("""COMPUTED_VALUE"""),"Pork Fresh Loin Center Loin (Chops) Boneless Separable Lean Only Raw")</f>
        <v>Pork Fresh Loin Center Loin (Chops) Boneless Separable Lean Only Raw</v>
      </c>
      <c r="C194" t="str">
        <f>IFERROR(__xludf.DUMMYFUNCTION("""COMPUTED_VALUE"""),"Meats")</f>
        <v>Meats</v>
      </c>
      <c r="D194">
        <f>IFERROR(__xludf.DUMMYFUNCTION("""COMPUTED_VALUE"""),123.0)</f>
        <v>123</v>
      </c>
      <c r="E194">
        <f>IFERROR(__xludf.DUMMYFUNCTION("""COMPUTED_VALUE"""),3.09)</f>
        <v>3.09</v>
      </c>
      <c r="F194">
        <f>IFERROR(__xludf.DUMMYFUNCTION("""COMPUTED_VALUE"""),23.75)</f>
        <v>23.75</v>
      </c>
      <c r="G194">
        <f>IFERROR(__xludf.DUMMYFUNCTION("""COMPUTED_VALUE"""),0.0)</f>
        <v>0</v>
      </c>
    </row>
    <row r="195">
      <c r="A195">
        <f>IFERROR(__xludf.DUMMYFUNCTION("""COMPUTED_VALUE"""),168264.0)</f>
        <v>168264</v>
      </c>
      <c r="B195" t="str">
        <f>IFERROR(__xludf.DUMMYFUNCTION("""COMPUTED_VALUE"""),"Pork Fresh Variety Meats And By-Products Brain Raw")</f>
        <v>Pork Fresh Variety Meats And By-Products Brain Raw</v>
      </c>
      <c r="C195" t="str">
        <f>IFERROR(__xludf.DUMMYFUNCTION("""COMPUTED_VALUE"""),"Meats")</f>
        <v>Meats</v>
      </c>
      <c r="D195">
        <f>IFERROR(__xludf.DUMMYFUNCTION("""COMPUTED_VALUE"""),127.0)</f>
        <v>127</v>
      </c>
      <c r="E195">
        <f>IFERROR(__xludf.DUMMYFUNCTION("""COMPUTED_VALUE"""),9.21)</f>
        <v>9.21</v>
      </c>
      <c r="F195">
        <f>IFERROR(__xludf.DUMMYFUNCTION("""COMPUTED_VALUE"""),10.28)</f>
        <v>10.28</v>
      </c>
      <c r="G195">
        <f>IFERROR(__xludf.DUMMYFUNCTION("""COMPUTED_VALUE"""),0.0)</f>
        <v>0</v>
      </c>
    </row>
    <row r="196">
      <c r="A196">
        <f>IFERROR(__xludf.DUMMYFUNCTION("""COMPUTED_VALUE"""),168265.0)</f>
        <v>168265</v>
      </c>
      <c r="B196" t="str">
        <f>IFERROR(__xludf.DUMMYFUNCTION("""COMPUTED_VALUE"""),"Pork Fresh Variety Meats And By-Products Brain Cooked Braised")</f>
        <v>Pork Fresh Variety Meats And By-Products Brain Cooked Braised</v>
      </c>
      <c r="C196" t="str">
        <f>IFERROR(__xludf.DUMMYFUNCTION("""COMPUTED_VALUE"""),"Meats")</f>
        <v>Meats</v>
      </c>
      <c r="D196">
        <f>IFERROR(__xludf.DUMMYFUNCTION("""COMPUTED_VALUE"""),138.0)</f>
        <v>138</v>
      </c>
      <c r="E196">
        <f>IFERROR(__xludf.DUMMYFUNCTION("""COMPUTED_VALUE"""),9.51)</f>
        <v>9.51</v>
      </c>
      <c r="F196">
        <f>IFERROR(__xludf.DUMMYFUNCTION("""COMPUTED_VALUE"""),12.14)</f>
        <v>12.14</v>
      </c>
      <c r="G196">
        <f>IFERROR(__xludf.DUMMYFUNCTION("""COMPUTED_VALUE"""),0.0)</f>
        <v>0</v>
      </c>
    </row>
    <row r="197">
      <c r="A197">
        <f>IFERROR(__xludf.DUMMYFUNCTION("""COMPUTED_VALUE"""),168266.0)</f>
        <v>168266</v>
      </c>
      <c r="B197" t="str">
        <f>IFERROR(__xludf.DUMMYFUNCTION("""COMPUTED_VALUE"""),"Pork Fresh Variety Meats And By-Products Chitterlings Raw")</f>
        <v>Pork Fresh Variety Meats And By-Products Chitterlings Raw</v>
      </c>
      <c r="C197" t="str">
        <f>IFERROR(__xludf.DUMMYFUNCTION("""COMPUTED_VALUE"""),"Meats")</f>
        <v>Meats</v>
      </c>
      <c r="D197">
        <f>IFERROR(__xludf.DUMMYFUNCTION("""COMPUTED_VALUE"""),182.0)</f>
        <v>182</v>
      </c>
      <c r="E197">
        <f>IFERROR(__xludf.DUMMYFUNCTION("""COMPUTED_VALUE"""),16.61)</f>
        <v>16.61</v>
      </c>
      <c r="F197">
        <f>IFERROR(__xludf.DUMMYFUNCTION("""COMPUTED_VALUE"""),7.64)</f>
        <v>7.64</v>
      </c>
      <c r="G197">
        <f>IFERROR(__xludf.DUMMYFUNCTION("""COMPUTED_VALUE"""),0.0)</f>
        <v>0</v>
      </c>
    </row>
    <row r="198">
      <c r="A198">
        <f>IFERROR(__xludf.DUMMYFUNCTION("""COMPUTED_VALUE"""),168267.0)</f>
        <v>168267</v>
      </c>
      <c r="B198" t="str">
        <f>IFERROR(__xludf.DUMMYFUNCTION("""COMPUTED_VALUE"""),"Pork Fresh Variety Meats And By-Products Heart Raw")</f>
        <v>Pork Fresh Variety Meats And By-Products Heart Raw</v>
      </c>
      <c r="C198" t="str">
        <f>IFERROR(__xludf.DUMMYFUNCTION("""COMPUTED_VALUE"""),"Meats")</f>
        <v>Meats</v>
      </c>
      <c r="D198">
        <f>IFERROR(__xludf.DUMMYFUNCTION("""COMPUTED_VALUE"""),118.0)</f>
        <v>118</v>
      </c>
      <c r="E198">
        <f>IFERROR(__xludf.DUMMYFUNCTION("""COMPUTED_VALUE"""),4.36)</f>
        <v>4.36</v>
      </c>
      <c r="F198">
        <f>IFERROR(__xludf.DUMMYFUNCTION("""COMPUTED_VALUE"""),17.27)</f>
        <v>17.27</v>
      </c>
      <c r="G198">
        <f>IFERROR(__xludf.DUMMYFUNCTION("""COMPUTED_VALUE"""),1.33)</f>
        <v>1.33</v>
      </c>
    </row>
    <row r="199">
      <c r="A199">
        <f>IFERROR(__xludf.DUMMYFUNCTION("""COMPUTED_VALUE"""),168268.0)</f>
        <v>168268</v>
      </c>
      <c r="B199" t="str">
        <f>IFERROR(__xludf.DUMMYFUNCTION("""COMPUTED_VALUE"""),"Pork Fresh Variety Meats And By-Products Heart Cooked Braised")</f>
        <v>Pork Fresh Variety Meats And By-Products Heart Cooked Braised</v>
      </c>
      <c r="C199" t="str">
        <f>IFERROR(__xludf.DUMMYFUNCTION("""COMPUTED_VALUE"""),"Meats")</f>
        <v>Meats</v>
      </c>
      <c r="D199">
        <f>IFERROR(__xludf.DUMMYFUNCTION("""COMPUTED_VALUE"""),148.0)</f>
        <v>148</v>
      </c>
      <c r="E199">
        <f>IFERROR(__xludf.DUMMYFUNCTION("""COMPUTED_VALUE"""),5.05)</f>
        <v>5.05</v>
      </c>
      <c r="F199">
        <f>IFERROR(__xludf.DUMMYFUNCTION("""COMPUTED_VALUE"""),23.6)</f>
        <v>23.6</v>
      </c>
      <c r="G199">
        <f>IFERROR(__xludf.DUMMYFUNCTION("""COMPUTED_VALUE"""),0.4)</f>
        <v>0.4</v>
      </c>
    </row>
    <row r="200">
      <c r="A200">
        <f>IFERROR(__xludf.DUMMYFUNCTION("""COMPUTED_VALUE"""),168269.0)</f>
        <v>168269</v>
      </c>
      <c r="B200" t="str">
        <f>IFERROR(__xludf.DUMMYFUNCTION("""COMPUTED_VALUE"""),"Pork Fresh Variety Meats And By-Products Jowl Raw")</f>
        <v>Pork Fresh Variety Meats And By-Products Jowl Raw</v>
      </c>
      <c r="C200" t="str">
        <f>IFERROR(__xludf.DUMMYFUNCTION("""COMPUTED_VALUE"""),"Meats")</f>
        <v>Meats</v>
      </c>
      <c r="D200">
        <f>IFERROR(__xludf.DUMMYFUNCTION("""COMPUTED_VALUE"""),655.0)</f>
        <v>655</v>
      </c>
      <c r="E200">
        <f>IFERROR(__xludf.DUMMYFUNCTION("""COMPUTED_VALUE"""),69.61)</f>
        <v>69.61</v>
      </c>
      <c r="F200">
        <f>IFERROR(__xludf.DUMMYFUNCTION("""COMPUTED_VALUE"""),6.38)</f>
        <v>6.38</v>
      </c>
      <c r="G200">
        <f>IFERROR(__xludf.DUMMYFUNCTION("""COMPUTED_VALUE"""),0.0)</f>
        <v>0</v>
      </c>
    </row>
    <row r="201">
      <c r="A201">
        <f>IFERROR(__xludf.DUMMYFUNCTION("""COMPUTED_VALUE"""),168270.0)</f>
        <v>168270</v>
      </c>
      <c r="B201" t="str">
        <f>IFERROR(__xludf.DUMMYFUNCTION("""COMPUTED_VALUE"""),"Pork Fresh Variety Meats And By-Products Kidneys Raw")</f>
        <v>Pork Fresh Variety Meats And By-Products Kidneys Raw</v>
      </c>
      <c r="C201" t="str">
        <f>IFERROR(__xludf.DUMMYFUNCTION("""COMPUTED_VALUE"""),"Meats")</f>
        <v>Meats</v>
      </c>
      <c r="D201">
        <f>IFERROR(__xludf.DUMMYFUNCTION("""COMPUTED_VALUE"""),100.0)</f>
        <v>100</v>
      </c>
      <c r="E201">
        <f>IFERROR(__xludf.DUMMYFUNCTION("""COMPUTED_VALUE"""),3.25)</f>
        <v>3.25</v>
      </c>
      <c r="F201">
        <f>IFERROR(__xludf.DUMMYFUNCTION("""COMPUTED_VALUE"""),16.46)</f>
        <v>16.46</v>
      </c>
      <c r="G201">
        <f>IFERROR(__xludf.DUMMYFUNCTION("""COMPUTED_VALUE"""),0.0)</f>
        <v>0</v>
      </c>
    </row>
    <row r="202">
      <c r="A202">
        <f>IFERROR(__xludf.DUMMYFUNCTION("""COMPUTED_VALUE"""),168271.0)</f>
        <v>168271</v>
      </c>
      <c r="B202" t="str">
        <f>IFERROR(__xludf.DUMMYFUNCTION("""COMPUTED_VALUE"""),"Pork Fresh Variety Meats And By-Products Lungs Cooked Braised")</f>
        <v>Pork Fresh Variety Meats And By-Products Lungs Cooked Braised</v>
      </c>
      <c r="C202" t="str">
        <f>IFERROR(__xludf.DUMMYFUNCTION("""COMPUTED_VALUE"""),"Meats")</f>
        <v>Meats</v>
      </c>
      <c r="D202">
        <f>IFERROR(__xludf.DUMMYFUNCTION("""COMPUTED_VALUE"""),99.0)</f>
        <v>99</v>
      </c>
      <c r="E202">
        <f>IFERROR(__xludf.DUMMYFUNCTION("""COMPUTED_VALUE"""),3.1)</f>
        <v>3.1</v>
      </c>
      <c r="F202">
        <f>IFERROR(__xludf.DUMMYFUNCTION("""COMPUTED_VALUE"""),16.6)</f>
        <v>16.6</v>
      </c>
      <c r="G202">
        <f>IFERROR(__xludf.DUMMYFUNCTION("""COMPUTED_VALUE"""),0.0)</f>
        <v>0</v>
      </c>
    </row>
    <row r="203">
      <c r="A203">
        <f>IFERROR(__xludf.DUMMYFUNCTION("""COMPUTED_VALUE"""),168272.0)</f>
        <v>168272</v>
      </c>
      <c r="B203" t="str">
        <f>IFERROR(__xludf.DUMMYFUNCTION("""COMPUTED_VALUE"""),"Pork Fresh Variety Meats And By-Products Mechanically Separated Raw")</f>
        <v>Pork Fresh Variety Meats And By-Products Mechanically Separated Raw</v>
      </c>
      <c r="C203" t="str">
        <f>IFERROR(__xludf.DUMMYFUNCTION("""COMPUTED_VALUE"""),"Meats")</f>
        <v>Meats</v>
      </c>
      <c r="D203">
        <f>IFERROR(__xludf.DUMMYFUNCTION("""COMPUTED_VALUE"""),304.0)</f>
        <v>304</v>
      </c>
      <c r="E203">
        <f>IFERROR(__xludf.DUMMYFUNCTION("""COMPUTED_VALUE"""),26.54)</f>
        <v>26.54</v>
      </c>
      <c r="F203">
        <f>IFERROR(__xludf.DUMMYFUNCTION("""COMPUTED_VALUE"""),15.03)</f>
        <v>15.03</v>
      </c>
      <c r="G203">
        <f>IFERROR(__xludf.DUMMYFUNCTION("""COMPUTED_VALUE"""),0.0)</f>
        <v>0</v>
      </c>
    </row>
    <row r="204">
      <c r="A204">
        <f>IFERROR(__xludf.DUMMYFUNCTION("""COMPUTED_VALUE"""),168273.0)</f>
        <v>168273</v>
      </c>
      <c r="B204" t="str">
        <f>IFERROR(__xludf.DUMMYFUNCTION("""COMPUTED_VALUE"""),"Pork Fresh Variety Meats And By-Products Pancreas Raw")</f>
        <v>Pork Fresh Variety Meats And By-Products Pancreas Raw</v>
      </c>
      <c r="C204" t="str">
        <f>IFERROR(__xludf.DUMMYFUNCTION("""COMPUTED_VALUE"""),"Meats")</f>
        <v>Meats</v>
      </c>
      <c r="D204">
        <f>IFERROR(__xludf.DUMMYFUNCTION("""COMPUTED_VALUE"""),199.0)</f>
        <v>199</v>
      </c>
      <c r="E204">
        <f>IFERROR(__xludf.DUMMYFUNCTION("""COMPUTED_VALUE"""),13.24)</f>
        <v>13.24</v>
      </c>
      <c r="F204">
        <f>IFERROR(__xludf.DUMMYFUNCTION("""COMPUTED_VALUE"""),18.56)</f>
        <v>18.56</v>
      </c>
      <c r="G204">
        <f>IFERROR(__xludf.DUMMYFUNCTION("""COMPUTED_VALUE"""),0.0)</f>
        <v>0</v>
      </c>
    </row>
    <row r="205">
      <c r="A205">
        <f>IFERROR(__xludf.DUMMYFUNCTION("""COMPUTED_VALUE"""),168274.0)</f>
        <v>168274</v>
      </c>
      <c r="B205" t="str">
        <f>IFERROR(__xludf.DUMMYFUNCTION("""COMPUTED_VALUE"""),"Pork Fresh Variety Meats And By-Products Pancreas Cooked Braised")</f>
        <v>Pork Fresh Variety Meats And By-Products Pancreas Cooked Braised</v>
      </c>
      <c r="C205" t="str">
        <f>IFERROR(__xludf.DUMMYFUNCTION("""COMPUTED_VALUE"""),"Meats")</f>
        <v>Meats</v>
      </c>
      <c r="D205">
        <f>IFERROR(__xludf.DUMMYFUNCTION("""COMPUTED_VALUE"""),219.0)</f>
        <v>219</v>
      </c>
      <c r="E205">
        <f>IFERROR(__xludf.DUMMYFUNCTION("""COMPUTED_VALUE"""),10.8)</f>
        <v>10.8</v>
      </c>
      <c r="F205">
        <f>IFERROR(__xludf.DUMMYFUNCTION("""COMPUTED_VALUE"""),28.5)</f>
        <v>28.5</v>
      </c>
      <c r="G205">
        <f>IFERROR(__xludf.DUMMYFUNCTION("""COMPUTED_VALUE"""),0.0)</f>
        <v>0</v>
      </c>
    </row>
    <row r="206">
      <c r="A206">
        <f>IFERROR(__xludf.DUMMYFUNCTION("""COMPUTED_VALUE"""),168275.0)</f>
        <v>168275</v>
      </c>
      <c r="B206" t="str">
        <f>IFERROR(__xludf.DUMMYFUNCTION("""COMPUTED_VALUE"""),"Pork Fresh Variety Meats And By-Products Tongue Raw")</f>
        <v>Pork Fresh Variety Meats And By-Products Tongue Raw</v>
      </c>
      <c r="C206" t="str">
        <f>IFERROR(__xludf.DUMMYFUNCTION("""COMPUTED_VALUE"""),"Meats")</f>
        <v>Meats</v>
      </c>
      <c r="D206">
        <f>IFERROR(__xludf.DUMMYFUNCTION("""COMPUTED_VALUE"""),225.0)</f>
        <v>225</v>
      </c>
      <c r="E206">
        <f>IFERROR(__xludf.DUMMYFUNCTION("""COMPUTED_VALUE"""),17.2)</f>
        <v>17.2</v>
      </c>
      <c r="F206">
        <f>IFERROR(__xludf.DUMMYFUNCTION("""COMPUTED_VALUE"""),16.3)</f>
        <v>16.3</v>
      </c>
      <c r="G206">
        <f>IFERROR(__xludf.DUMMYFUNCTION("""COMPUTED_VALUE"""),0.0)</f>
        <v>0</v>
      </c>
    </row>
    <row r="207">
      <c r="A207">
        <f>IFERROR(__xludf.DUMMYFUNCTION("""COMPUTED_VALUE"""),168276.0)</f>
        <v>168276</v>
      </c>
      <c r="B207" t="str">
        <f>IFERROR(__xludf.DUMMYFUNCTION("""COMPUTED_VALUE"""),"Pork Fresh Variety Meats And By-Products Tongue Cooked Braised")</f>
        <v>Pork Fresh Variety Meats And By-Products Tongue Cooked Braised</v>
      </c>
      <c r="C207" t="str">
        <f>IFERROR(__xludf.DUMMYFUNCTION("""COMPUTED_VALUE"""),"Meats")</f>
        <v>Meats</v>
      </c>
      <c r="D207">
        <f>IFERROR(__xludf.DUMMYFUNCTION("""COMPUTED_VALUE"""),271.0)</f>
        <v>271</v>
      </c>
      <c r="E207">
        <f>IFERROR(__xludf.DUMMYFUNCTION("""COMPUTED_VALUE"""),18.6)</f>
        <v>18.6</v>
      </c>
      <c r="F207">
        <f>IFERROR(__xludf.DUMMYFUNCTION("""COMPUTED_VALUE"""),24.1)</f>
        <v>24.1</v>
      </c>
      <c r="G207">
        <f>IFERROR(__xludf.DUMMYFUNCTION("""COMPUTED_VALUE"""),0.0)</f>
        <v>0</v>
      </c>
    </row>
    <row r="208">
      <c r="A208">
        <f>IFERROR(__xludf.DUMMYFUNCTION("""COMPUTED_VALUE"""),168277.0)</f>
        <v>168277</v>
      </c>
      <c r="B208" t="str">
        <f>IFERROR(__xludf.DUMMYFUNCTION("""COMPUTED_VALUE"""),"Bacon (Raw)")</f>
        <v>Bacon (Raw)</v>
      </c>
      <c r="C208" t="str">
        <f>IFERROR(__xludf.DUMMYFUNCTION("""COMPUTED_VALUE"""),"Meats")</f>
        <v>Meats</v>
      </c>
      <c r="D208">
        <f>IFERROR(__xludf.DUMMYFUNCTION("""COMPUTED_VALUE"""),393.0)</f>
        <v>393</v>
      </c>
      <c r="E208">
        <f>IFERROR(__xludf.DUMMYFUNCTION("""COMPUTED_VALUE"""),37.13)</f>
        <v>37.13</v>
      </c>
      <c r="F208">
        <f>IFERROR(__xludf.DUMMYFUNCTION("""COMPUTED_VALUE"""),13.66)</f>
        <v>13.66</v>
      </c>
      <c r="G208">
        <f>IFERROR(__xludf.DUMMYFUNCTION("""COMPUTED_VALUE"""),0.0)</f>
        <v>0</v>
      </c>
    </row>
    <row r="209">
      <c r="A209">
        <f>IFERROR(__xludf.DUMMYFUNCTION("""COMPUTED_VALUE"""),168278.0)</f>
        <v>168278</v>
      </c>
      <c r="B209" t="str">
        <f>IFERROR(__xludf.DUMMYFUNCTION("""COMPUTED_VALUE"""),"Pork Cured Breakfast Strips Raw Or Unheated")</f>
        <v>Pork Cured Breakfast Strips Raw Or Unheated</v>
      </c>
      <c r="C209" t="str">
        <f>IFERROR(__xludf.DUMMYFUNCTION("""COMPUTED_VALUE"""),"Meats")</f>
        <v>Meats</v>
      </c>
      <c r="D209">
        <f>IFERROR(__xludf.DUMMYFUNCTION("""COMPUTED_VALUE"""),388.0)</f>
        <v>388</v>
      </c>
      <c r="E209">
        <f>IFERROR(__xludf.DUMMYFUNCTION("""COMPUTED_VALUE"""),37.16)</f>
        <v>37.16</v>
      </c>
      <c r="F209">
        <f>IFERROR(__xludf.DUMMYFUNCTION("""COMPUTED_VALUE"""),11.74)</f>
        <v>11.74</v>
      </c>
      <c r="G209">
        <f>IFERROR(__xludf.DUMMYFUNCTION("""COMPUTED_VALUE"""),0.7)</f>
        <v>0.7</v>
      </c>
    </row>
    <row r="210">
      <c r="A210">
        <f>IFERROR(__xludf.DUMMYFUNCTION("""COMPUTED_VALUE"""),168279.0)</f>
        <v>168279</v>
      </c>
      <c r="B210" t="str">
        <f>IFERROR(__xludf.DUMMYFUNCTION("""COMPUTED_VALUE"""),"Pork Cured Ham Extra Lean (Approximately 4% Fat) Canned Unheated")</f>
        <v>Pork Cured Ham Extra Lean (Approximately 4% Fat) Canned Unheated</v>
      </c>
      <c r="C210" t="str">
        <f>IFERROR(__xludf.DUMMYFUNCTION("""COMPUTED_VALUE"""),"Meats")</f>
        <v>Meats</v>
      </c>
      <c r="D210">
        <f>IFERROR(__xludf.DUMMYFUNCTION("""COMPUTED_VALUE"""),120.0)</f>
        <v>120</v>
      </c>
      <c r="E210">
        <f>IFERROR(__xludf.DUMMYFUNCTION("""COMPUTED_VALUE"""),4.56)</f>
        <v>4.56</v>
      </c>
      <c r="F210">
        <f>IFERROR(__xludf.DUMMYFUNCTION("""COMPUTED_VALUE"""),18.49)</f>
        <v>18.49</v>
      </c>
      <c r="G210">
        <f>IFERROR(__xludf.DUMMYFUNCTION("""COMPUTED_VALUE"""),0.0)</f>
        <v>0</v>
      </c>
    </row>
    <row r="211">
      <c r="A211">
        <f>IFERROR(__xludf.DUMMYFUNCTION("""COMPUTED_VALUE"""),168280.0)</f>
        <v>168280</v>
      </c>
      <c r="B211" t="str">
        <f>IFERROR(__xludf.DUMMYFUNCTION("""COMPUTED_VALUE"""),"Pork Cured Ham Extra Lean (Approximately 4% Fat) Canned Roasted")</f>
        <v>Pork Cured Ham Extra Lean (Approximately 4% Fat) Canned Roasted</v>
      </c>
      <c r="C211" t="str">
        <f>IFERROR(__xludf.DUMMYFUNCTION("""COMPUTED_VALUE"""),"Meats")</f>
        <v>Meats</v>
      </c>
      <c r="D211">
        <f>IFERROR(__xludf.DUMMYFUNCTION("""COMPUTED_VALUE"""),136.0)</f>
        <v>136</v>
      </c>
      <c r="E211">
        <f>IFERROR(__xludf.DUMMYFUNCTION("""COMPUTED_VALUE"""),4.88)</f>
        <v>4.88</v>
      </c>
      <c r="F211">
        <f>IFERROR(__xludf.DUMMYFUNCTION("""COMPUTED_VALUE"""),21.16)</f>
        <v>21.16</v>
      </c>
      <c r="G211">
        <f>IFERROR(__xludf.DUMMYFUNCTION("""COMPUTED_VALUE"""),0.52)</f>
        <v>0.52</v>
      </c>
    </row>
    <row r="212">
      <c r="A212">
        <f>IFERROR(__xludf.DUMMYFUNCTION("""COMPUTED_VALUE"""),168281.0)</f>
        <v>168281</v>
      </c>
      <c r="B212" t="str">
        <f>IFERROR(__xludf.DUMMYFUNCTION("""COMPUTED_VALUE"""),"Cured Ham")</f>
        <v>Cured Ham</v>
      </c>
      <c r="C212" t="str">
        <f>IFERROR(__xludf.DUMMYFUNCTION("""COMPUTED_VALUE"""),"Meats")</f>
        <v>Meats</v>
      </c>
      <c r="D212">
        <f>IFERROR(__xludf.DUMMYFUNCTION("""COMPUTED_VALUE"""),226.0)</f>
        <v>226</v>
      </c>
      <c r="E212">
        <f>IFERROR(__xludf.DUMMYFUNCTION("""COMPUTED_VALUE"""),15.2)</f>
        <v>15.2</v>
      </c>
      <c r="F212">
        <f>IFERROR(__xludf.DUMMYFUNCTION("""COMPUTED_VALUE"""),20.53)</f>
        <v>20.53</v>
      </c>
      <c r="G212">
        <f>IFERROR(__xludf.DUMMYFUNCTION("""COMPUTED_VALUE"""),0.42)</f>
        <v>0.42</v>
      </c>
    </row>
    <row r="213">
      <c r="A213">
        <f>IFERROR(__xludf.DUMMYFUNCTION("""COMPUTED_VALUE"""),168282.0)</f>
        <v>168282</v>
      </c>
      <c r="B213" t="str">
        <f>IFERROR(__xludf.DUMMYFUNCTION("""COMPUTED_VALUE"""),"Pork Cured Ham Center Slice Country-Style Separable Lean Only Raw")</f>
        <v>Pork Cured Ham Center Slice Country-Style Separable Lean Only Raw</v>
      </c>
      <c r="C213" t="str">
        <f>IFERROR(__xludf.DUMMYFUNCTION("""COMPUTED_VALUE"""),"Meats")</f>
        <v>Meats</v>
      </c>
      <c r="D213">
        <f>IFERROR(__xludf.DUMMYFUNCTION("""COMPUTED_VALUE"""),195.0)</f>
        <v>195</v>
      </c>
      <c r="E213">
        <f>IFERROR(__xludf.DUMMYFUNCTION("""COMPUTED_VALUE"""),8.32)</f>
        <v>8.32</v>
      </c>
      <c r="F213">
        <f>IFERROR(__xludf.DUMMYFUNCTION("""COMPUTED_VALUE"""),27.8)</f>
        <v>27.8</v>
      </c>
      <c r="G213">
        <f>IFERROR(__xludf.DUMMYFUNCTION("""COMPUTED_VALUE"""),0.3)</f>
        <v>0.3</v>
      </c>
    </row>
    <row r="214">
      <c r="A214">
        <f>IFERROR(__xludf.DUMMYFUNCTION("""COMPUTED_VALUE"""),168283.0)</f>
        <v>168283</v>
      </c>
      <c r="B214" t="str">
        <f>IFERROR(__xludf.DUMMYFUNCTION("""COMPUTED_VALUE"""),"Pork Cured Ham Center Slice Separable Lean And Fat Unheated")</f>
        <v>Pork Cured Ham Center Slice Separable Lean And Fat Unheated</v>
      </c>
      <c r="C214" t="str">
        <f>IFERROR(__xludf.DUMMYFUNCTION("""COMPUTED_VALUE"""),"Meats")</f>
        <v>Meats</v>
      </c>
      <c r="D214">
        <f>IFERROR(__xludf.DUMMYFUNCTION("""COMPUTED_VALUE"""),203.0)</f>
        <v>203</v>
      </c>
      <c r="E214">
        <f>IFERROR(__xludf.DUMMYFUNCTION("""COMPUTED_VALUE"""),12.9)</f>
        <v>12.9</v>
      </c>
      <c r="F214">
        <f>IFERROR(__xludf.DUMMYFUNCTION("""COMPUTED_VALUE"""),20.17)</f>
        <v>20.17</v>
      </c>
      <c r="G214">
        <f>IFERROR(__xludf.DUMMYFUNCTION("""COMPUTED_VALUE"""),0.05)</f>
        <v>0.05</v>
      </c>
    </row>
    <row r="215">
      <c r="A215">
        <f>IFERROR(__xludf.DUMMYFUNCTION("""COMPUTED_VALUE"""),168284.0)</f>
        <v>168284</v>
      </c>
      <c r="B215" t="str">
        <f>IFERROR(__xludf.DUMMYFUNCTION("""COMPUTED_VALUE"""),"Pork Cured Ham Whole Separable Lean Only Roasted")</f>
        <v>Pork Cured Ham Whole Separable Lean Only Roasted</v>
      </c>
      <c r="C215" t="str">
        <f>IFERROR(__xludf.DUMMYFUNCTION("""COMPUTED_VALUE"""),"Meats")</f>
        <v>Meats</v>
      </c>
      <c r="D215">
        <f>IFERROR(__xludf.DUMMYFUNCTION("""COMPUTED_VALUE"""),157.0)</f>
        <v>157</v>
      </c>
      <c r="E215">
        <f>IFERROR(__xludf.DUMMYFUNCTION("""COMPUTED_VALUE"""),5.5)</f>
        <v>5.5</v>
      </c>
      <c r="F215">
        <f>IFERROR(__xludf.DUMMYFUNCTION("""COMPUTED_VALUE"""),25.05)</f>
        <v>25.05</v>
      </c>
      <c r="G215">
        <f>IFERROR(__xludf.DUMMYFUNCTION("""COMPUTED_VALUE"""),0.0)</f>
        <v>0</v>
      </c>
    </row>
    <row r="216">
      <c r="A216">
        <f>IFERROR(__xludf.DUMMYFUNCTION("""COMPUTED_VALUE"""),168285.0)</f>
        <v>168285</v>
      </c>
      <c r="B216" t="str">
        <f>IFERROR(__xludf.DUMMYFUNCTION("""COMPUTED_VALUE"""),"Pork Fresh Loin Center Loin (Chops) Boneless Separable Lean Only Cooked Pan-Broiled")</f>
        <v>Pork Fresh Loin Center Loin (Chops) Boneless Separable Lean Only Cooked Pan-Broiled</v>
      </c>
      <c r="C216" t="str">
        <f>IFERROR(__xludf.DUMMYFUNCTION("""COMPUTED_VALUE"""),"Meats")</f>
        <v>Meats</v>
      </c>
      <c r="D216">
        <f>IFERROR(__xludf.DUMMYFUNCTION("""COMPUTED_VALUE"""),162.0)</f>
        <v>162</v>
      </c>
      <c r="E216">
        <f>IFERROR(__xludf.DUMMYFUNCTION("""COMPUTED_VALUE"""),4.65)</f>
        <v>4.65</v>
      </c>
      <c r="F216">
        <f>IFERROR(__xludf.DUMMYFUNCTION("""COMPUTED_VALUE"""),30.02)</f>
        <v>30.02</v>
      </c>
      <c r="G216">
        <f>IFERROR(__xludf.DUMMYFUNCTION("""COMPUTED_VALUE"""),0.0)</f>
        <v>0</v>
      </c>
    </row>
    <row r="217">
      <c r="A217">
        <f>IFERROR(__xludf.DUMMYFUNCTION("""COMPUTED_VALUE"""),168286.0)</f>
        <v>168286</v>
      </c>
      <c r="B217" t="str">
        <f>IFERROR(__xludf.DUMMYFUNCTION("""COMPUTED_VALUE"""),"Pork Fresh Loin Center Loin (Chops) Boneless Separable Lean And Fat Raw")</f>
        <v>Pork Fresh Loin Center Loin (Chops) Boneless Separable Lean And Fat Raw</v>
      </c>
      <c r="C217" t="str">
        <f>IFERROR(__xludf.DUMMYFUNCTION("""COMPUTED_VALUE"""),"Meats")</f>
        <v>Meats</v>
      </c>
      <c r="D217">
        <f>IFERROR(__xludf.DUMMYFUNCTION("""COMPUTED_VALUE"""),201.0)</f>
        <v>201</v>
      </c>
      <c r="E217">
        <f>IFERROR(__xludf.DUMMYFUNCTION("""COMPUTED_VALUE"""),12.96)</f>
        <v>12.96</v>
      </c>
      <c r="F217">
        <f>IFERROR(__xludf.DUMMYFUNCTION("""COMPUTED_VALUE"""),21.14)</f>
        <v>21.14</v>
      </c>
      <c r="G217">
        <f>IFERROR(__xludf.DUMMYFUNCTION("""COMPUTED_VALUE"""),0.0)</f>
        <v>0</v>
      </c>
    </row>
    <row r="218">
      <c r="A218">
        <f>IFERROR(__xludf.DUMMYFUNCTION("""COMPUTED_VALUE"""),168287.0)</f>
        <v>168287</v>
      </c>
      <c r="B218" t="str">
        <f>IFERROR(__xludf.DUMMYFUNCTION("""COMPUTED_VALUE"""),"Pork Cured Salt Pork Raw")</f>
        <v>Pork Cured Salt Pork Raw</v>
      </c>
      <c r="C218" t="str">
        <f>IFERROR(__xludf.DUMMYFUNCTION("""COMPUTED_VALUE"""),"Meats")</f>
        <v>Meats</v>
      </c>
      <c r="D218">
        <f>IFERROR(__xludf.DUMMYFUNCTION("""COMPUTED_VALUE"""),748.0)</f>
        <v>748</v>
      </c>
      <c r="E218">
        <f>IFERROR(__xludf.DUMMYFUNCTION("""COMPUTED_VALUE"""),80.5)</f>
        <v>80.5</v>
      </c>
      <c r="F218">
        <f>IFERROR(__xludf.DUMMYFUNCTION("""COMPUTED_VALUE"""),5.05)</f>
        <v>5.05</v>
      </c>
      <c r="G218">
        <f>IFERROR(__xludf.DUMMYFUNCTION("""COMPUTED_VALUE"""),0.0)</f>
        <v>0</v>
      </c>
    </row>
    <row r="219">
      <c r="A219">
        <f>IFERROR(__xludf.DUMMYFUNCTION("""COMPUTED_VALUE"""),168288.0)</f>
        <v>168288</v>
      </c>
      <c r="B219" t="str">
        <f>IFERROR(__xludf.DUMMYFUNCTION("""COMPUTED_VALUE"""),"Pork Cured Shoulder Blade Roll Separable Lean And Fat Unheated")</f>
        <v>Pork Cured Shoulder Blade Roll Separable Lean And Fat Unheated</v>
      </c>
      <c r="C219" t="str">
        <f>IFERROR(__xludf.DUMMYFUNCTION("""COMPUTED_VALUE"""),"Meats")</f>
        <v>Meats</v>
      </c>
      <c r="D219">
        <f>IFERROR(__xludf.DUMMYFUNCTION("""COMPUTED_VALUE"""),269.0)</f>
        <v>269</v>
      </c>
      <c r="E219">
        <f>IFERROR(__xludf.DUMMYFUNCTION("""COMPUTED_VALUE"""),21.98)</f>
        <v>21.98</v>
      </c>
      <c r="F219">
        <f>IFERROR(__xludf.DUMMYFUNCTION("""COMPUTED_VALUE"""),16.47)</f>
        <v>16.47</v>
      </c>
      <c r="G219">
        <f>IFERROR(__xludf.DUMMYFUNCTION("""COMPUTED_VALUE"""),0.0)</f>
        <v>0</v>
      </c>
    </row>
    <row r="220">
      <c r="A220">
        <f>IFERROR(__xludf.DUMMYFUNCTION("""COMPUTED_VALUE"""),168289.0)</f>
        <v>168289</v>
      </c>
      <c r="B220" t="str">
        <f>IFERROR(__xludf.DUMMYFUNCTION("""COMPUTED_VALUE"""),"Pork Cured Shoulder Blade Roll Separable Lean And Fat Roasted")</f>
        <v>Pork Cured Shoulder Blade Roll Separable Lean And Fat Roasted</v>
      </c>
      <c r="C220" t="str">
        <f>IFERROR(__xludf.DUMMYFUNCTION("""COMPUTED_VALUE"""),"Meats")</f>
        <v>Meats</v>
      </c>
      <c r="D220">
        <f>IFERROR(__xludf.DUMMYFUNCTION("""COMPUTED_VALUE"""),287.0)</f>
        <v>287</v>
      </c>
      <c r="E220">
        <f>IFERROR(__xludf.DUMMYFUNCTION("""COMPUTED_VALUE"""),23.48)</f>
        <v>23.48</v>
      </c>
      <c r="F220">
        <f>IFERROR(__xludf.DUMMYFUNCTION("""COMPUTED_VALUE"""),17.28)</f>
        <v>17.28</v>
      </c>
      <c r="G220">
        <f>IFERROR(__xludf.DUMMYFUNCTION("""COMPUTED_VALUE"""),0.37)</f>
        <v>0.37</v>
      </c>
    </row>
    <row r="221">
      <c r="A221">
        <f>IFERROR(__xludf.DUMMYFUNCTION("""COMPUTED_VALUE"""),168290.0)</f>
        <v>168290</v>
      </c>
      <c r="B221" t="str">
        <f>IFERROR(__xludf.DUMMYFUNCTION("""COMPUTED_VALUE"""),"Pork Fresh Variety Meats And By-Products Feet Cooked Simmered")</f>
        <v>Pork Fresh Variety Meats And By-Products Feet Cooked Simmered</v>
      </c>
      <c r="C221" t="str">
        <f>IFERROR(__xludf.DUMMYFUNCTION("""COMPUTED_VALUE"""),"Meats")</f>
        <v>Meats</v>
      </c>
      <c r="D221">
        <f>IFERROR(__xludf.DUMMYFUNCTION("""COMPUTED_VALUE"""),238.0)</f>
        <v>238</v>
      </c>
      <c r="E221">
        <f>IFERROR(__xludf.DUMMYFUNCTION("""COMPUTED_VALUE"""),16.05)</f>
        <v>16.05</v>
      </c>
      <c r="F221">
        <f>IFERROR(__xludf.DUMMYFUNCTION("""COMPUTED_VALUE"""),21.94)</f>
        <v>21.94</v>
      </c>
      <c r="G221">
        <f>IFERROR(__xludf.DUMMYFUNCTION("""COMPUTED_VALUE"""),0.0)</f>
        <v>0</v>
      </c>
    </row>
    <row r="222">
      <c r="A222">
        <f>IFERROR(__xludf.DUMMYFUNCTION("""COMPUTED_VALUE"""),168291.0)</f>
        <v>168291</v>
      </c>
      <c r="B222" t="str">
        <f>IFERROR(__xludf.DUMMYFUNCTION("""COMPUTED_VALUE"""),"Pork Fresh Variety Meats And By-Products Tail Raw")</f>
        <v>Pork Fresh Variety Meats And By-Products Tail Raw</v>
      </c>
      <c r="C222" t="str">
        <f>IFERROR(__xludf.DUMMYFUNCTION("""COMPUTED_VALUE"""),"Meats")</f>
        <v>Meats</v>
      </c>
      <c r="D222">
        <f>IFERROR(__xludf.DUMMYFUNCTION("""COMPUTED_VALUE"""),378.0)</f>
        <v>378</v>
      </c>
      <c r="E222">
        <f>IFERROR(__xludf.DUMMYFUNCTION("""COMPUTED_VALUE"""),33.5)</f>
        <v>33.5</v>
      </c>
      <c r="F222">
        <f>IFERROR(__xludf.DUMMYFUNCTION("""COMPUTED_VALUE"""),17.75)</f>
        <v>17.75</v>
      </c>
      <c r="G222">
        <f>IFERROR(__xludf.DUMMYFUNCTION("""COMPUTED_VALUE"""),0.0)</f>
        <v>0</v>
      </c>
    </row>
    <row r="223">
      <c r="A223">
        <f>IFERROR(__xludf.DUMMYFUNCTION("""COMPUTED_VALUE"""),168292.0)</f>
        <v>168292</v>
      </c>
      <c r="B223" t="str">
        <f>IFERROR(__xludf.DUMMYFUNCTION("""COMPUTED_VALUE"""),"Pork Fresh Loin Center Loin (Chops) Bone-In Separable Lean And Fat Cooked Pan-Fried")</f>
        <v>Pork Fresh Loin Center Loin (Chops) Bone-In Separable Lean And Fat Cooked Pan-Fried</v>
      </c>
      <c r="C223" t="str">
        <f>IFERROR(__xludf.DUMMYFUNCTION("""COMPUTED_VALUE"""),"Meats")</f>
        <v>Meats</v>
      </c>
      <c r="D223">
        <f>IFERROR(__xludf.DUMMYFUNCTION("""COMPUTED_VALUE"""),238.0)</f>
        <v>238</v>
      </c>
      <c r="E223">
        <f>IFERROR(__xludf.DUMMYFUNCTION("""COMPUTED_VALUE"""),13.32)</f>
        <v>13.32</v>
      </c>
      <c r="F223">
        <f>IFERROR(__xludf.DUMMYFUNCTION("""COMPUTED_VALUE"""),27.63)</f>
        <v>27.63</v>
      </c>
      <c r="G223">
        <f>IFERROR(__xludf.DUMMYFUNCTION("""COMPUTED_VALUE"""),0.0)</f>
        <v>0</v>
      </c>
    </row>
    <row r="224">
      <c r="A224">
        <f>IFERROR(__xludf.DUMMYFUNCTION("""COMPUTED_VALUE"""),168293.0)</f>
        <v>168293</v>
      </c>
      <c r="B224" t="str">
        <f>IFERROR(__xludf.DUMMYFUNCTION("""COMPUTED_VALUE"""),"Pork Fresh Loin Center Rib (Chops) Bone-In Separable Lean And Fat Cooked Pan-Fried")</f>
        <v>Pork Fresh Loin Center Rib (Chops) Bone-In Separable Lean And Fat Cooked Pan-Fried</v>
      </c>
      <c r="C224" t="str">
        <f>IFERROR(__xludf.DUMMYFUNCTION("""COMPUTED_VALUE"""),"Meats")</f>
        <v>Meats</v>
      </c>
      <c r="D224">
        <f>IFERROR(__xludf.DUMMYFUNCTION("""COMPUTED_VALUE"""),256.0)</f>
        <v>256</v>
      </c>
      <c r="E224">
        <f>IFERROR(__xludf.DUMMYFUNCTION("""COMPUTED_VALUE"""),15.71)</f>
        <v>15.71</v>
      </c>
      <c r="F224">
        <f>IFERROR(__xludf.DUMMYFUNCTION("""COMPUTED_VALUE"""),26.81)</f>
        <v>26.81</v>
      </c>
      <c r="G224">
        <f>IFERROR(__xludf.DUMMYFUNCTION("""COMPUTED_VALUE"""),0.0)</f>
        <v>0</v>
      </c>
    </row>
    <row r="225">
      <c r="A225">
        <f>IFERROR(__xludf.DUMMYFUNCTION("""COMPUTED_VALUE"""),168294.0)</f>
        <v>168294</v>
      </c>
      <c r="B225" t="str">
        <f>IFERROR(__xludf.DUMMYFUNCTION("""COMPUTED_VALUE"""),"Pork Fresh Loin Top Loin (Chops) Boneless Separable Lean Only Cooked Pan-Fried")</f>
        <v>Pork Fresh Loin Top Loin (Chops) Boneless Separable Lean Only Cooked Pan-Fried</v>
      </c>
      <c r="C225" t="str">
        <f>IFERROR(__xludf.DUMMYFUNCTION("""COMPUTED_VALUE"""),"Meats")</f>
        <v>Meats</v>
      </c>
      <c r="D225">
        <f>IFERROR(__xludf.DUMMYFUNCTION("""COMPUTED_VALUE"""),172.0)</f>
        <v>172</v>
      </c>
      <c r="E225">
        <f>IFERROR(__xludf.DUMMYFUNCTION("""COMPUTED_VALUE"""),4.62)</f>
        <v>4.62</v>
      </c>
      <c r="F225">
        <f>IFERROR(__xludf.DUMMYFUNCTION("""COMPUTED_VALUE"""),30.46)</f>
        <v>30.46</v>
      </c>
      <c r="G225">
        <f>IFERROR(__xludf.DUMMYFUNCTION("""COMPUTED_VALUE"""),0.0)</f>
        <v>0</v>
      </c>
    </row>
    <row r="226">
      <c r="A226">
        <f>IFERROR(__xludf.DUMMYFUNCTION("""COMPUTED_VALUE"""),168295.0)</f>
        <v>168295</v>
      </c>
      <c r="B226" t="str">
        <f>IFERROR(__xludf.DUMMYFUNCTION("""COMPUTED_VALUE"""),"Pork Cured Ham Boneless Extra Lean And Regular Unheated")</f>
        <v>Pork Cured Ham Boneless Extra Lean And Regular Unheated</v>
      </c>
      <c r="C226" t="str">
        <f>IFERROR(__xludf.DUMMYFUNCTION("""COMPUTED_VALUE"""),"Meats")</f>
        <v>Meats</v>
      </c>
      <c r="D226">
        <f>IFERROR(__xludf.DUMMYFUNCTION("""COMPUTED_VALUE"""),162.0)</f>
        <v>162</v>
      </c>
      <c r="E226">
        <f>IFERROR(__xludf.DUMMYFUNCTION("""COMPUTED_VALUE"""),8.39)</f>
        <v>8.39</v>
      </c>
      <c r="F226">
        <f>IFERROR(__xludf.DUMMYFUNCTION("""COMPUTED_VALUE"""),18.26)</f>
        <v>18.26</v>
      </c>
      <c r="G226">
        <f>IFERROR(__xludf.DUMMYFUNCTION("""COMPUTED_VALUE"""),2.28)</f>
        <v>2.28</v>
      </c>
    </row>
    <row r="227">
      <c r="A227">
        <f>IFERROR(__xludf.DUMMYFUNCTION("""COMPUTED_VALUE"""),168296.0)</f>
        <v>168296</v>
      </c>
      <c r="B227" t="str">
        <f>IFERROR(__xludf.DUMMYFUNCTION("""COMPUTED_VALUE"""),"Pork Cured Ham Boneless Extra Lean And Regular Roasted")</f>
        <v>Pork Cured Ham Boneless Extra Lean And Regular Roasted</v>
      </c>
      <c r="C227" t="str">
        <f>IFERROR(__xludf.DUMMYFUNCTION("""COMPUTED_VALUE"""),"Meats")</f>
        <v>Meats</v>
      </c>
      <c r="D227">
        <f>IFERROR(__xludf.DUMMYFUNCTION("""COMPUTED_VALUE"""),165.0)</f>
        <v>165</v>
      </c>
      <c r="E227">
        <f>IFERROR(__xludf.DUMMYFUNCTION("""COMPUTED_VALUE"""),7.66)</f>
        <v>7.66</v>
      </c>
      <c r="F227">
        <f>IFERROR(__xludf.DUMMYFUNCTION("""COMPUTED_VALUE"""),21.97)</f>
        <v>21.97</v>
      </c>
      <c r="G227">
        <f>IFERROR(__xludf.DUMMYFUNCTION("""COMPUTED_VALUE"""),0.5)</f>
        <v>0.5</v>
      </c>
    </row>
    <row r="228">
      <c r="A228">
        <f>IFERROR(__xludf.DUMMYFUNCTION("""COMPUTED_VALUE"""),168297.0)</f>
        <v>168297</v>
      </c>
      <c r="B228" t="str">
        <f>IFERROR(__xludf.DUMMYFUNCTION("""COMPUTED_VALUE"""),"Pork Fresh Composite Of Trimmed Retail Cuts (Leg Loin Shoulder And Spareribs) Separable Lean And Fat Cooked")</f>
        <v>Pork Fresh Composite Of Trimmed Retail Cuts (Leg Loin Shoulder And Spareribs) Separable Lean And Fat Cooked</v>
      </c>
      <c r="C228" t="str">
        <f>IFERROR(__xludf.DUMMYFUNCTION("""COMPUTED_VALUE"""),"Meats")</f>
        <v>Meats</v>
      </c>
      <c r="D228">
        <f>IFERROR(__xludf.DUMMYFUNCTION("""COMPUTED_VALUE"""),238.0)</f>
        <v>238</v>
      </c>
      <c r="E228">
        <f>IFERROR(__xludf.DUMMYFUNCTION("""COMPUTED_VALUE"""),13.89)</f>
        <v>13.89</v>
      </c>
      <c r="F228">
        <f>IFERROR(__xludf.DUMMYFUNCTION("""COMPUTED_VALUE"""),26.36)</f>
        <v>26.36</v>
      </c>
      <c r="G228">
        <f>IFERROR(__xludf.DUMMYFUNCTION("""COMPUTED_VALUE"""),0.0)</f>
        <v>0</v>
      </c>
    </row>
    <row r="229">
      <c r="A229">
        <f>IFERROR(__xludf.DUMMYFUNCTION("""COMPUTED_VALUE"""),168298.0)</f>
        <v>168298</v>
      </c>
      <c r="B229" t="str">
        <f>IFERROR(__xludf.DUMMYFUNCTION("""COMPUTED_VALUE"""),"Pork Fresh Loin Center Loin (Chops) Boneless Separable Lean And Fat Cooked Pan-Broiled")</f>
        <v>Pork Fresh Loin Center Loin (Chops) Boneless Separable Lean And Fat Cooked Pan-Broiled</v>
      </c>
      <c r="C229" t="str">
        <f>IFERROR(__xludf.DUMMYFUNCTION("""COMPUTED_VALUE"""),"Meats")</f>
        <v>Meats</v>
      </c>
      <c r="D229">
        <f>IFERROR(__xludf.DUMMYFUNCTION("""COMPUTED_VALUE"""),229.0)</f>
        <v>229</v>
      </c>
      <c r="E229">
        <f>IFERROR(__xludf.DUMMYFUNCTION("""COMPUTED_VALUE"""),13.6)</f>
        <v>13.6</v>
      </c>
      <c r="F229">
        <f>IFERROR(__xludf.DUMMYFUNCTION("""COMPUTED_VALUE"""),26.68)</f>
        <v>26.68</v>
      </c>
      <c r="G229">
        <f>IFERROR(__xludf.DUMMYFUNCTION("""COMPUTED_VALUE"""),0.0)</f>
        <v>0</v>
      </c>
    </row>
    <row r="230">
      <c r="A230">
        <f>IFERROR(__xludf.DUMMYFUNCTION("""COMPUTED_VALUE"""),168299.0)</f>
        <v>168299</v>
      </c>
      <c r="B230" t="str">
        <f>IFERROR(__xludf.DUMMYFUNCTION("""COMPUTED_VALUE"""),"Pork Fresh Backribs Separable Lean And Fat Raw")</f>
        <v>Pork Fresh Backribs Separable Lean And Fat Raw</v>
      </c>
      <c r="C230" t="str">
        <f>IFERROR(__xludf.DUMMYFUNCTION("""COMPUTED_VALUE"""),"Meats")</f>
        <v>Meats</v>
      </c>
      <c r="D230">
        <f>IFERROR(__xludf.DUMMYFUNCTION("""COMPUTED_VALUE"""),224.0)</f>
        <v>224</v>
      </c>
      <c r="E230">
        <f>IFERROR(__xludf.DUMMYFUNCTION("""COMPUTED_VALUE"""),16.33)</f>
        <v>16.33</v>
      </c>
      <c r="F230">
        <f>IFERROR(__xludf.DUMMYFUNCTION("""COMPUTED_VALUE"""),19.07)</f>
        <v>19.07</v>
      </c>
      <c r="G230">
        <f>IFERROR(__xludf.DUMMYFUNCTION("""COMPUTED_VALUE"""),0.0)</f>
        <v>0</v>
      </c>
    </row>
    <row r="231">
      <c r="A231">
        <f>IFERROR(__xludf.DUMMYFUNCTION("""COMPUTED_VALUE"""),168300.0)</f>
        <v>168300</v>
      </c>
      <c r="B231" t="str">
        <f>IFERROR(__xludf.DUMMYFUNCTION("""COMPUTED_VALUE"""),"Roasted Pork Backribs")</f>
        <v>Roasted Pork Backribs</v>
      </c>
      <c r="C231" t="str">
        <f>IFERROR(__xludf.DUMMYFUNCTION("""COMPUTED_VALUE"""),"Meats")</f>
        <v>Meats</v>
      </c>
      <c r="D231">
        <f>IFERROR(__xludf.DUMMYFUNCTION("""COMPUTED_VALUE"""),292.0)</f>
        <v>292</v>
      </c>
      <c r="E231">
        <f>IFERROR(__xludf.DUMMYFUNCTION("""COMPUTED_VALUE"""),21.51)</f>
        <v>21.51</v>
      </c>
      <c r="F231">
        <f>IFERROR(__xludf.DUMMYFUNCTION("""COMPUTED_VALUE"""),23.01)</f>
        <v>23.01</v>
      </c>
      <c r="G231">
        <f>IFERROR(__xludf.DUMMYFUNCTION("""COMPUTED_VALUE"""),0.0)</f>
        <v>0</v>
      </c>
    </row>
    <row r="232">
      <c r="A232">
        <f>IFERROR(__xludf.DUMMYFUNCTION("""COMPUTED_VALUE"""),168301.0)</f>
        <v>168301</v>
      </c>
      <c r="B232" t="str">
        <f>IFERROR(__xludf.DUMMYFUNCTION("""COMPUTED_VALUE"""),"Pork Fresh Loin Center Rib (Roasts) Boneless Separable Lean And Fat Cooked Roasted")</f>
        <v>Pork Fresh Loin Center Rib (Roasts) Boneless Separable Lean And Fat Cooked Roasted</v>
      </c>
      <c r="C232" t="str">
        <f>IFERROR(__xludf.DUMMYFUNCTION("""COMPUTED_VALUE"""),"Meats")</f>
        <v>Meats</v>
      </c>
      <c r="D232">
        <f>IFERROR(__xludf.DUMMYFUNCTION("""COMPUTED_VALUE"""),252.0)</f>
        <v>252</v>
      </c>
      <c r="E232">
        <f>IFERROR(__xludf.DUMMYFUNCTION("""COMPUTED_VALUE"""),15.15)</f>
        <v>15.15</v>
      </c>
      <c r="F232">
        <f>IFERROR(__xludf.DUMMYFUNCTION("""COMPUTED_VALUE"""),26.99)</f>
        <v>26.99</v>
      </c>
      <c r="G232">
        <f>IFERROR(__xludf.DUMMYFUNCTION("""COMPUTED_VALUE"""),0.0)</f>
        <v>0</v>
      </c>
    </row>
    <row r="233">
      <c r="A233">
        <f>IFERROR(__xludf.DUMMYFUNCTION("""COMPUTED_VALUE"""),168302.0)</f>
        <v>168302</v>
      </c>
      <c r="B233" t="str">
        <f>IFERROR(__xludf.DUMMYFUNCTION("""COMPUTED_VALUE"""),"Pork Fresh Loin Center Rib (Chops Or Roasts) Boneless Separable Lean Only Raw")</f>
        <v>Pork Fresh Loin Center Rib (Chops Or Roasts) Boneless Separable Lean Only Raw</v>
      </c>
      <c r="C233" t="str">
        <f>IFERROR(__xludf.DUMMYFUNCTION("""COMPUTED_VALUE"""),"Meats")</f>
        <v>Meats</v>
      </c>
      <c r="D233">
        <f>IFERROR(__xludf.DUMMYFUNCTION("""COMPUTED_VALUE"""),152.0)</f>
        <v>152</v>
      </c>
      <c r="E233">
        <f>IFERROR(__xludf.DUMMYFUNCTION("""COMPUTED_VALUE"""),6.48)</f>
        <v>6.48</v>
      </c>
      <c r="F233">
        <f>IFERROR(__xludf.DUMMYFUNCTION("""COMPUTED_VALUE"""),21.8)</f>
        <v>21.8</v>
      </c>
      <c r="G233">
        <f>IFERROR(__xludf.DUMMYFUNCTION("""COMPUTED_VALUE"""),0.0)</f>
        <v>0</v>
      </c>
    </row>
    <row r="234">
      <c r="A234">
        <f>IFERROR(__xludf.DUMMYFUNCTION("""COMPUTED_VALUE"""),168303.0)</f>
        <v>168303</v>
      </c>
      <c r="B234" t="str">
        <f>IFERROR(__xludf.DUMMYFUNCTION("""COMPUTED_VALUE"""),"Pork Fresh Loin Center Rib (Chops) Boneless Separable Lean Only Cooked Braised")</f>
        <v>Pork Fresh Loin Center Rib (Chops) Boneless Separable Lean Only Cooked Braised</v>
      </c>
      <c r="C234" t="str">
        <f>IFERROR(__xludf.DUMMYFUNCTION("""COMPUTED_VALUE"""),"Meats")</f>
        <v>Meats</v>
      </c>
      <c r="D234">
        <f>IFERROR(__xludf.DUMMYFUNCTION("""COMPUTED_VALUE"""),211.0)</f>
        <v>211</v>
      </c>
      <c r="E234">
        <f>IFERROR(__xludf.DUMMYFUNCTION("""COMPUTED_VALUE"""),10.14)</f>
        <v>10.14</v>
      </c>
      <c r="F234">
        <f>IFERROR(__xludf.DUMMYFUNCTION("""COMPUTED_VALUE"""),27.95)</f>
        <v>27.95</v>
      </c>
      <c r="G234">
        <f>IFERROR(__xludf.DUMMYFUNCTION("""COMPUTED_VALUE"""),0.0)</f>
        <v>0</v>
      </c>
    </row>
    <row r="235">
      <c r="A235">
        <f>IFERROR(__xludf.DUMMYFUNCTION("""COMPUTED_VALUE"""),168304.0)</f>
        <v>168304</v>
      </c>
      <c r="B235" t="str">
        <f>IFERROR(__xludf.DUMMYFUNCTION("""COMPUTED_VALUE"""),"Pork Fresh Loin Center Rib (Chops) Boneless Separable Lean Only Cooked Broiled")</f>
        <v>Pork Fresh Loin Center Rib (Chops) Boneless Separable Lean Only Cooked Broiled</v>
      </c>
      <c r="C235" t="str">
        <f>IFERROR(__xludf.DUMMYFUNCTION("""COMPUTED_VALUE"""),"Meats")</f>
        <v>Meats</v>
      </c>
      <c r="D235">
        <f>IFERROR(__xludf.DUMMYFUNCTION("""COMPUTED_VALUE"""),216.0)</f>
        <v>216</v>
      </c>
      <c r="E235">
        <f>IFERROR(__xludf.DUMMYFUNCTION("""COMPUTED_VALUE"""),10.05)</f>
        <v>10.05</v>
      </c>
      <c r="F235">
        <f>IFERROR(__xludf.DUMMYFUNCTION("""COMPUTED_VALUE"""),29.46)</f>
        <v>29.46</v>
      </c>
      <c r="G235">
        <f>IFERROR(__xludf.DUMMYFUNCTION("""COMPUTED_VALUE"""),0.0)</f>
        <v>0</v>
      </c>
    </row>
    <row r="236">
      <c r="A236">
        <f>IFERROR(__xludf.DUMMYFUNCTION("""COMPUTED_VALUE"""),168305.0)</f>
        <v>168305</v>
      </c>
      <c r="B236" t="str">
        <f>IFERROR(__xludf.DUMMYFUNCTION("""COMPUTED_VALUE"""),"Pork Fresh Loin Country-Style Ribs Separable Lean Only Raw")</f>
        <v>Pork Fresh Loin Country-Style Ribs Separable Lean Only Raw</v>
      </c>
      <c r="C236" t="str">
        <f>IFERROR(__xludf.DUMMYFUNCTION("""COMPUTED_VALUE"""),"Meats")</f>
        <v>Meats</v>
      </c>
      <c r="D236">
        <f>IFERROR(__xludf.DUMMYFUNCTION("""COMPUTED_VALUE"""),140.0)</f>
        <v>140</v>
      </c>
      <c r="E236">
        <f>IFERROR(__xludf.DUMMYFUNCTION("""COMPUTED_VALUE"""),5.64)</f>
        <v>5.64</v>
      </c>
      <c r="F236">
        <f>IFERROR(__xludf.DUMMYFUNCTION("""COMPUTED_VALUE"""),20.76)</f>
        <v>20.76</v>
      </c>
      <c r="G236">
        <f>IFERROR(__xludf.DUMMYFUNCTION("""COMPUTED_VALUE"""),0.0)</f>
        <v>0</v>
      </c>
    </row>
    <row r="237">
      <c r="A237">
        <f>IFERROR(__xludf.DUMMYFUNCTION("""COMPUTED_VALUE"""),168306.0)</f>
        <v>168306</v>
      </c>
      <c r="B237" t="str">
        <f>IFERROR(__xludf.DUMMYFUNCTION("""COMPUTED_VALUE"""),"Pork Fresh Loin Country-Style Ribs Separable Lean Only Cooked Braised")</f>
        <v>Pork Fresh Loin Country-Style Ribs Separable Lean Only Cooked Braised</v>
      </c>
      <c r="C237" t="str">
        <f>IFERROR(__xludf.DUMMYFUNCTION("""COMPUTED_VALUE"""),"Meats")</f>
        <v>Meats</v>
      </c>
      <c r="D237">
        <f>IFERROR(__xludf.DUMMYFUNCTION("""COMPUTED_VALUE"""),247.0)</f>
        <v>247</v>
      </c>
      <c r="E237">
        <f>IFERROR(__xludf.DUMMYFUNCTION("""COMPUTED_VALUE"""),14.26)</f>
        <v>14.26</v>
      </c>
      <c r="F237">
        <f>IFERROR(__xludf.DUMMYFUNCTION("""COMPUTED_VALUE"""),27.74)</f>
        <v>27.74</v>
      </c>
      <c r="G237">
        <f>IFERROR(__xludf.DUMMYFUNCTION("""COMPUTED_VALUE"""),0.0)</f>
        <v>0</v>
      </c>
    </row>
    <row r="238">
      <c r="A238">
        <f>IFERROR(__xludf.DUMMYFUNCTION("""COMPUTED_VALUE"""),168307.0)</f>
        <v>168307</v>
      </c>
      <c r="B238" t="str">
        <f>IFERROR(__xludf.DUMMYFUNCTION("""COMPUTED_VALUE"""),"Pork Fresh Loin Country-Style Ribs Separable Lean Only Bone-In Cooked Roasted")</f>
        <v>Pork Fresh Loin Country-Style Ribs Separable Lean Only Bone-In Cooked Roasted</v>
      </c>
      <c r="C238" t="str">
        <f>IFERROR(__xludf.DUMMYFUNCTION("""COMPUTED_VALUE"""),"Meats")</f>
        <v>Meats</v>
      </c>
      <c r="D238">
        <f>IFERROR(__xludf.DUMMYFUNCTION("""COMPUTED_VALUE"""),227.0)</f>
        <v>227</v>
      </c>
      <c r="E238">
        <f>IFERROR(__xludf.DUMMYFUNCTION("""COMPUTED_VALUE"""),11.38)</f>
        <v>11.38</v>
      </c>
      <c r="F238">
        <f>IFERROR(__xludf.DUMMYFUNCTION("""COMPUTED_VALUE"""),29.2)</f>
        <v>29.2</v>
      </c>
      <c r="G238">
        <f>IFERROR(__xludf.DUMMYFUNCTION("""COMPUTED_VALUE"""),0.0)</f>
        <v>0</v>
      </c>
    </row>
    <row r="239">
      <c r="A239">
        <f>IFERROR(__xludf.DUMMYFUNCTION("""COMPUTED_VALUE"""),168308.0)</f>
        <v>168308</v>
      </c>
      <c r="B239" t="str">
        <f>IFERROR(__xludf.DUMMYFUNCTION("""COMPUTED_VALUE"""),"Pork Fresh Loin Sirloin (Chops Or Roasts) Boneless Separable Lean And Fat Raw")</f>
        <v>Pork Fresh Loin Sirloin (Chops Or Roasts) Boneless Separable Lean And Fat Raw</v>
      </c>
      <c r="C239" t="str">
        <f>IFERROR(__xludf.DUMMYFUNCTION("""COMPUTED_VALUE"""),"Meats")</f>
        <v>Meats</v>
      </c>
      <c r="D239">
        <f>IFERROR(__xludf.DUMMYFUNCTION("""COMPUTED_VALUE"""),133.0)</f>
        <v>133</v>
      </c>
      <c r="E239">
        <f>IFERROR(__xludf.DUMMYFUNCTION("""COMPUTED_VALUE"""),4.05)</f>
        <v>4.05</v>
      </c>
      <c r="F239">
        <f>IFERROR(__xludf.DUMMYFUNCTION("""COMPUTED_VALUE"""),22.49)</f>
        <v>22.49</v>
      </c>
      <c r="G239">
        <f>IFERROR(__xludf.DUMMYFUNCTION("""COMPUTED_VALUE"""),0.0)</f>
        <v>0</v>
      </c>
    </row>
    <row r="240">
      <c r="A240">
        <f>IFERROR(__xludf.DUMMYFUNCTION("""COMPUTED_VALUE"""),168309.0)</f>
        <v>168309</v>
      </c>
      <c r="B240" t="str">
        <f>IFERROR(__xludf.DUMMYFUNCTION("""COMPUTED_VALUE"""),"Pork Fresh Loin Sirloin (Chops) Boneless Separable Lean Only Cooked Braised")</f>
        <v>Pork Fresh Loin Sirloin (Chops) Boneless Separable Lean Only Cooked Braised</v>
      </c>
      <c r="C240" t="str">
        <f>IFERROR(__xludf.DUMMYFUNCTION("""COMPUTED_VALUE"""),"Meats")</f>
        <v>Meats</v>
      </c>
      <c r="D240">
        <f>IFERROR(__xludf.DUMMYFUNCTION("""COMPUTED_VALUE"""),163.0)</f>
        <v>163</v>
      </c>
      <c r="E240">
        <f>IFERROR(__xludf.DUMMYFUNCTION("""COMPUTED_VALUE"""),4.5)</f>
        <v>4.5</v>
      </c>
      <c r="F240">
        <f>IFERROR(__xludf.DUMMYFUNCTION("""COMPUTED_VALUE"""),28.75)</f>
        <v>28.75</v>
      </c>
      <c r="G240">
        <f>IFERROR(__xludf.DUMMYFUNCTION("""COMPUTED_VALUE"""),0.0)</f>
        <v>0</v>
      </c>
    </row>
    <row r="241">
      <c r="A241">
        <f>IFERROR(__xludf.DUMMYFUNCTION("""COMPUTED_VALUE"""),168310.0)</f>
        <v>168310</v>
      </c>
      <c r="B241" t="str">
        <f>IFERROR(__xludf.DUMMYFUNCTION("""COMPUTED_VALUE"""),"Pork Fresh Loin Sirloin (Chops) Boneless Separable Lean Only Cooked Broiled")</f>
        <v>Pork Fresh Loin Sirloin (Chops) Boneless Separable Lean Only Cooked Broiled</v>
      </c>
      <c r="C241" t="str">
        <f>IFERROR(__xludf.DUMMYFUNCTION("""COMPUTED_VALUE"""),"Meats")</f>
        <v>Meats</v>
      </c>
      <c r="D241">
        <f>IFERROR(__xludf.DUMMYFUNCTION("""COMPUTED_VALUE"""),161.0)</f>
        <v>161</v>
      </c>
      <c r="E241">
        <f>IFERROR(__xludf.DUMMYFUNCTION("""COMPUTED_VALUE"""),4.36)</f>
        <v>4.36</v>
      </c>
      <c r="F241">
        <f>IFERROR(__xludf.DUMMYFUNCTION("""COMPUTED_VALUE"""),28.6)</f>
        <v>28.6</v>
      </c>
      <c r="G241">
        <f>IFERROR(__xludf.DUMMYFUNCTION("""COMPUTED_VALUE"""),0.0)</f>
        <v>0</v>
      </c>
    </row>
    <row r="242">
      <c r="A242">
        <f>IFERROR(__xludf.DUMMYFUNCTION("""COMPUTED_VALUE"""),168311.0)</f>
        <v>168311</v>
      </c>
      <c r="B242" t="str">
        <f>IFERROR(__xludf.DUMMYFUNCTION("""COMPUTED_VALUE"""),"Pork Fresh Loin Sirloin (Roasts) Boneless Separable Lean Only Cooked Roasted")</f>
        <v>Pork Fresh Loin Sirloin (Roasts) Boneless Separable Lean Only Cooked Roasted</v>
      </c>
      <c r="C242" t="str">
        <f>IFERROR(__xludf.DUMMYFUNCTION("""COMPUTED_VALUE"""),"Meats")</f>
        <v>Meats</v>
      </c>
      <c r="D242">
        <f>IFERROR(__xludf.DUMMYFUNCTION("""COMPUTED_VALUE"""),178.0)</f>
        <v>178</v>
      </c>
      <c r="E242">
        <f>IFERROR(__xludf.DUMMYFUNCTION("""COMPUTED_VALUE"""),5.31)</f>
        <v>5.31</v>
      </c>
      <c r="F242">
        <f>IFERROR(__xludf.DUMMYFUNCTION("""COMPUTED_VALUE"""),30.39)</f>
        <v>30.39</v>
      </c>
      <c r="G242">
        <f>IFERROR(__xludf.DUMMYFUNCTION("""COMPUTED_VALUE"""),0.0)</f>
        <v>0</v>
      </c>
    </row>
    <row r="243">
      <c r="A243">
        <f>IFERROR(__xludf.DUMMYFUNCTION("""COMPUTED_VALUE"""),168312.0)</f>
        <v>168312</v>
      </c>
      <c r="B243" t="str">
        <f>IFERROR(__xludf.DUMMYFUNCTION("""COMPUTED_VALUE"""),"Pork Fresh Loin Tenderloin Separable Lean And Fat Raw")</f>
        <v>Pork Fresh Loin Tenderloin Separable Lean And Fat Raw</v>
      </c>
      <c r="C243" t="str">
        <f>IFERROR(__xludf.DUMMYFUNCTION("""COMPUTED_VALUE"""),"Meats")</f>
        <v>Meats</v>
      </c>
      <c r="D243">
        <f>IFERROR(__xludf.DUMMYFUNCTION("""COMPUTED_VALUE"""),120.0)</f>
        <v>120</v>
      </c>
      <c r="E243">
        <f>IFERROR(__xludf.DUMMYFUNCTION("""COMPUTED_VALUE"""),3.53)</f>
        <v>3.53</v>
      </c>
      <c r="F243">
        <f>IFERROR(__xludf.DUMMYFUNCTION("""COMPUTED_VALUE"""),20.65)</f>
        <v>20.65</v>
      </c>
      <c r="G243">
        <f>IFERROR(__xludf.DUMMYFUNCTION("""COMPUTED_VALUE"""),0.0)</f>
        <v>0</v>
      </c>
    </row>
    <row r="244">
      <c r="A244">
        <f>IFERROR(__xludf.DUMMYFUNCTION("""COMPUTED_VALUE"""),168313.0)</f>
        <v>168313</v>
      </c>
      <c r="B244" t="str">
        <f>IFERROR(__xludf.DUMMYFUNCTION("""COMPUTED_VALUE"""),"Pork Fresh Loin Tenderloin Separable Lean Only Cooked Broiled")</f>
        <v>Pork Fresh Loin Tenderloin Separable Lean Only Cooked Broiled</v>
      </c>
      <c r="C244" t="str">
        <f>IFERROR(__xludf.DUMMYFUNCTION("""COMPUTED_VALUE"""),"Meats")</f>
        <v>Meats</v>
      </c>
      <c r="D244">
        <f>IFERROR(__xludf.DUMMYFUNCTION("""COMPUTED_VALUE"""),187.0)</f>
        <v>187</v>
      </c>
      <c r="E244">
        <f>IFERROR(__xludf.DUMMYFUNCTION("""COMPUTED_VALUE"""),6.33)</f>
        <v>6.33</v>
      </c>
      <c r="F244">
        <f>IFERROR(__xludf.DUMMYFUNCTION("""COMPUTED_VALUE"""),30.42)</f>
        <v>30.42</v>
      </c>
      <c r="G244">
        <f>IFERROR(__xludf.DUMMYFUNCTION("""COMPUTED_VALUE"""),0.0)</f>
        <v>0</v>
      </c>
    </row>
    <row r="245">
      <c r="A245">
        <f>IFERROR(__xludf.DUMMYFUNCTION("""COMPUTED_VALUE"""),168314.0)</f>
        <v>168314</v>
      </c>
      <c r="B245" t="str">
        <f>IFERROR(__xludf.DUMMYFUNCTION("""COMPUTED_VALUE"""),"Pork Fresh Loin Top Loin (Roasts) Boneless Separable Lean And Fat Raw")</f>
        <v>Pork Fresh Loin Top Loin (Roasts) Boneless Separable Lean And Fat Raw</v>
      </c>
      <c r="C245" t="str">
        <f>IFERROR(__xludf.DUMMYFUNCTION("""COMPUTED_VALUE"""),"Meats")</f>
        <v>Meats</v>
      </c>
      <c r="D245">
        <f>IFERROR(__xludf.DUMMYFUNCTION("""COMPUTED_VALUE"""),166.0)</f>
        <v>166</v>
      </c>
      <c r="E245">
        <f>IFERROR(__xludf.DUMMYFUNCTION("""COMPUTED_VALUE"""),8.33)</f>
        <v>8.33</v>
      </c>
      <c r="F245">
        <f>IFERROR(__xludf.DUMMYFUNCTION("""COMPUTED_VALUE"""),21.34)</f>
        <v>21.34</v>
      </c>
      <c r="G245">
        <f>IFERROR(__xludf.DUMMYFUNCTION("""COMPUTED_VALUE"""),0.0)</f>
        <v>0</v>
      </c>
    </row>
    <row r="246">
      <c r="A246">
        <f>IFERROR(__xludf.DUMMYFUNCTION("""COMPUTED_VALUE"""),168315.0)</f>
        <v>168315</v>
      </c>
      <c r="B246" t="str">
        <f>IFERROR(__xludf.DUMMYFUNCTION("""COMPUTED_VALUE"""),"Pork Fresh Loin Top Loin (Roasts) Boneless Separable Lean Only Raw")</f>
        <v>Pork Fresh Loin Top Loin (Roasts) Boneless Separable Lean Only Raw</v>
      </c>
      <c r="C246" t="str">
        <f>IFERROR(__xludf.DUMMYFUNCTION("""COMPUTED_VALUE"""),"Meats")</f>
        <v>Meats</v>
      </c>
      <c r="D246">
        <f>IFERROR(__xludf.DUMMYFUNCTION("""COMPUTED_VALUE"""),132.0)</f>
        <v>132</v>
      </c>
      <c r="E246">
        <f>IFERROR(__xludf.DUMMYFUNCTION("""COMPUTED_VALUE"""),4.06)</f>
        <v>4.06</v>
      </c>
      <c r="F246">
        <f>IFERROR(__xludf.DUMMYFUNCTION("""COMPUTED_VALUE"""),22.39)</f>
        <v>22.39</v>
      </c>
      <c r="G246">
        <f>IFERROR(__xludf.DUMMYFUNCTION("""COMPUTED_VALUE"""),0.0)</f>
        <v>0</v>
      </c>
    </row>
    <row r="247">
      <c r="A247">
        <f>IFERROR(__xludf.DUMMYFUNCTION("""COMPUTED_VALUE"""),168316.0)</f>
        <v>168316</v>
      </c>
      <c r="B247" t="str">
        <f>IFERROR(__xludf.DUMMYFUNCTION("""COMPUTED_VALUE"""),"Pork Fresh Composite Of Trimmed Retail Cuts (Loin And Shoulder Blade) Separable Lean And Fat Raw")</f>
        <v>Pork Fresh Composite Of Trimmed Retail Cuts (Loin And Shoulder Blade) Separable Lean And Fat Raw</v>
      </c>
      <c r="C247" t="str">
        <f>IFERROR(__xludf.DUMMYFUNCTION("""COMPUTED_VALUE"""),"Meats")</f>
        <v>Meats</v>
      </c>
      <c r="D247">
        <f>IFERROR(__xludf.DUMMYFUNCTION("""COMPUTED_VALUE"""),177.0)</f>
        <v>177</v>
      </c>
      <c r="E247">
        <f>IFERROR(__xludf.DUMMYFUNCTION("""COMPUTED_VALUE"""),10.14)</f>
        <v>10.14</v>
      </c>
      <c r="F247">
        <f>IFERROR(__xludf.DUMMYFUNCTION("""COMPUTED_VALUE"""),20.08)</f>
        <v>20.08</v>
      </c>
      <c r="G247">
        <f>IFERROR(__xludf.DUMMYFUNCTION("""COMPUTED_VALUE"""),0.0)</f>
        <v>0</v>
      </c>
    </row>
    <row r="248">
      <c r="A248">
        <f>IFERROR(__xludf.DUMMYFUNCTION("""COMPUTED_VALUE"""),168317.0)</f>
        <v>168317</v>
      </c>
      <c r="B248" t="str">
        <f>IFERROR(__xludf.DUMMYFUNCTION("""COMPUTED_VALUE"""),"Hormel Always Tender Pork Tenderloin Peppercorn-Flavored")</f>
        <v>Hormel Always Tender Pork Tenderloin Peppercorn-Flavored</v>
      </c>
      <c r="C248" t="str">
        <f>IFERROR(__xludf.DUMMYFUNCTION("""COMPUTED_VALUE"""),"Meats")</f>
        <v>Meats</v>
      </c>
      <c r="D248">
        <f>IFERROR(__xludf.DUMMYFUNCTION("""COMPUTED_VALUE"""),110.0)</f>
        <v>110</v>
      </c>
      <c r="E248">
        <f>IFERROR(__xludf.DUMMYFUNCTION("""COMPUTED_VALUE"""),3.8)</f>
        <v>3.8</v>
      </c>
      <c r="F248">
        <f>IFERROR(__xludf.DUMMYFUNCTION("""COMPUTED_VALUE"""),17.21)</f>
        <v>17.21</v>
      </c>
      <c r="G248">
        <f>IFERROR(__xludf.DUMMYFUNCTION("""COMPUTED_VALUE"""),1.82)</f>
        <v>1.82</v>
      </c>
    </row>
    <row r="249">
      <c r="A249">
        <f>IFERROR(__xludf.DUMMYFUNCTION("""COMPUTED_VALUE"""),168318.0)</f>
        <v>168318</v>
      </c>
      <c r="B249" t="str">
        <f>IFERROR(__xludf.DUMMYFUNCTION("""COMPUTED_VALUE"""),"Hormel Always Tender Pork Loin Filets Lemon Garlic-Flavored")</f>
        <v>Hormel Always Tender Pork Loin Filets Lemon Garlic-Flavored</v>
      </c>
      <c r="C249" t="str">
        <f>IFERROR(__xludf.DUMMYFUNCTION("""COMPUTED_VALUE"""),"Meats")</f>
        <v>Meats</v>
      </c>
      <c r="D249">
        <f>IFERROR(__xludf.DUMMYFUNCTION("""COMPUTED_VALUE"""),118.0)</f>
        <v>118</v>
      </c>
      <c r="E249">
        <f>IFERROR(__xludf.DUMMYFUNCTION("""COMPUTED_VALUE"""),4.16)</f>
        <v>4.16</v>
      </c>
      <c r="F249">
        <f>IFERROR(__xludf.DUMMYFUNCTION("""COMPUTED_VALUE"""),17.83)</f>
        <v>17.83</v>
      </c>
      <c r="G249">
        <f>IFERROR(__xludf.DUMMYFUNCTION("""COMPUTED_VALUE"""),1.79)</f>
        <v>1.79</v>
      </c>
    </row>
    <row r="250">
      <c r="A250">
        <f>IFERROR(__xludf.DUMMYFUNCTION("""COMPUTED_VALUE"""),168319.0)</f>
        <v>168319</v>
      </c>
      <c r="B250" t="str">
        <f>IFERROR(__xludf.DUMMYFUNCTION("""COMPUTED_VALUE"""),"Hormel Always Tender Center Cut Chops Fresh Pork")</f>
        <v>Hormel Always Tender Center Cut Chops Fresh Pork</v>
      </c>
      <c r="C250" t="str">
        <f>IFERROR(__xludf.DUMMYFUNCTION("""COMPUTED_VALUE"""),"Meats")</f>
        <v>Meats</v>
      </c>
      <c r="D250">
        <f>IFERROR(__xludf.DUMMYFUNCTION("""COMPUTED_VALUE"""),167.0)</f>
        <v>167</v>
      </c>
      <c r="E250">
        <f>IFERROR(__xludf.DUMMYFUNCTION("""COMPUTED_VALUE"""),9.62)</f>
        <v>9.62</v>
      </c>
      <c r="F250">
        <f>IFERROR(__xludf.DUMMYFUNCTION("""COMPUTED_VALUE"""),18.74)</f>
        <v>18.74</v>
      </c>
      <c r="G250">
        <f>IFERROR(__xludf.DUMMYFUNCTION("""COMPUTED_VALUE"""),0.84)</f>
        <v>0.84</v>
      </c>
    </row>
    <row r="251">
      <c r="A251">
        <f>IFERROR(__xludf.DUMMYFUNCTION("""COMPUTED_VALUE"""),168320.0)</f>
        <v>168320</v>
      </c>
      <c r="B251" t="str">
        <f>IFERROR(__xludf.DUMMYFUNCTION("""COMPUTED_VALUE"""),"Hormel Always Tender Boneless Pork Loin Fresh Pork")</f>
        <v>Hormel Always Tender Boneless Pork Loin Fresh Pork</v>
      </c>
      <c r="C251" t="str">
        <f>IFERROR(__xludf.DUMMYFUNCTION("""COMPUTED_VALUE"""),"Meats")</f>
        <v>Meats</v>
      </c>
      <c r="D251">
        <f>IFERROR(__xludf.DUMMYFUNCTION("""COMPUTED_VALUE"""),145.0)</f>
        <v>145</v>
      </c>
      <c r="E251">
        <f>IFERROR(__xludf.DUMMYFUNCTION("""COMPUTED_VALUE"""),7.18)</f>
        <v>7.18</v>
      </c>
      <c r="F251">
        <f>IFERROR(__xludf.DUMMYFUNCTION("""COMPUTED_VALUE"""),19.02)</f>
        <v>19.02</v>
      </c>
      <c r="G251">
        <f>IFERROR(__xludf.DUMMYFUNCTION("""COMPUTED_VALUE"""),0.76)</f>
        <v>0.76</v>
      </c>
    </row>
    <row r="252">
      <c r="A252">
        <f>IFERROR(__xludf.DUMMYFUNCTION("""COMPUTED_VALUE"""),168321.0)</f>
        <v>168321</v>
      </c>
      <c r="B252" t="str">
        <f>IFERROR(__xludf.DUMMYFUNCTION("""COMPUTED_VALUE"""),"Pork Cured Bacon Cooked Microwaved")</f>
        <v>Pork Cured Bacon Cooked Microwaved</v>
      </c>
      <c r="C252" t="str">
        <f>IFERROR(__xludf.DUMMYFUNCTION("""COMPUTED_VALUE"""),"Meats")</f>
        <v>Meats</v>
      </c>
      <c r="D252">
        <f>IFERROR(__xludf.DUMMYFUNCTION("""COMPUTED_VALUE"""),476.0)</f>
        <v>476</v>
      </c>
      <c r="E252">
        <f>IFERROR(__xludf.DUMMYFUNCTION("""COMPUTED_VALUE"""),34.12)</f>
        <v>34.12</v>
      </c>
      <c r="F252">
        <f>IFERROR(__xludf.DUMMYFUNCTION("""COMPUTED_VALUE"""),39.01)</f>
        <v>39.01</v>
      </c>
      <c r="G252">
        <f>IFERROR(__xludf.DUMMYFUNCTION("""COMPUTED_VALUE"""),0.48)</f>
        <v>0.48</v>
      </c>
    </row>
    <row r="253">
      <c r="A253">
        <f>IFERROR(__xludf.DUMMYFUNCTION("""COMPUTED_VALUE"""),168322.0)</f>
        <v>168322</v>
      </c>
      <c r="B253" t="str">
        <f>IFERROR(__xludf.DUMMYFUNCTION("""COMPUTED_VALUE"""),"Bacon (Pan-Fried)")</f>
        <v>Bacon (Pan-Fried)</v>
      </c>
      <c r="C253" t="str">
        <f>IFERROR(__xludf.DUMMYFUNCTION("""COMPUTED_VALUE"""),"Meats")</f>
        <v>Meats</v>
      </c>
      <c r="D253">
        <f>IFERROR(__xludf.DUMMYFUNCTION("""COMPUTED_VALUE"""),468.0)</f>
        <v>468</v>
      </c>
      <c r="E253">
        <f>IFERROR(__xludf.DUMMYFUNCTION("""COMPUTED_VALUE"""),35.09)</f>
        <v>35.09</v>
      </c>
      <c r="F253">
        <f>IFERROR(__xludf.DUMMYFUNCTION("""COMPUTED_VALUE"""),33.92)</f>
        <v>33.92</v>
      </c>
      <c r="G253">
        <f>IFERROR(__xludf.DUMMYFUNCTION("""COMPUTED_VALUE"""),1.7)</f>
        <v>1.7</v>
      </c>
    </row>
    <row r="254">
      <c r="A254">
        <f>IFERROR(__xludf.DUMMYFUNCTION("""COMPUTED_VALUE"""),168323.0)</f>
        <v>168323</v>
      </c>
      <c r="B254" t="str">
        <f>IFERROR(__xludf.DUMMYFUNCTION("""COMPUTED_VALUE"""),"Pork Fresh Variety Meats And By-Products Stomach Cooked Simmered")</f>
        <v>Pork Fresh Variety Meats And By-Products Stomach Cooked Simmered</v>
      </c>
      <c r="C254" t="str">
        <f>IFERROR(__xludf.DUMMYFUNCTION("""COMPUTED_VALUE"""),"Meats")</f>
        <v>Meats</v>
      </c>
      <c r="D254">
        <f>IFERROR(__xludf.DUMMYFUNCTION("""COMPUTED_VALUE"""),157.0)</f>
        <v>157</v>
      </c>
      <c r="E254">
        <f>IFERROR(__xludf.DUMMYFUNCTION("""COMPUTED_VALUE"""),7.26)</f>
        <v>7.26</v>
      </c>
      <c r="F254">
        <f>IFERROR(__xludf.DUMMYFUNCTION("""COMPUTED_VALUE"""),21.4)</f>
        <v>21.4</v>
      </c>
      <c r="G254">
        <f>IFERROR(__xludf.DUMMYFUNCTION("""COMPUTED_VALUE"""),0.09)</f>
        <v>0.09</v>
      </c>
    </row>
    <row r="255">
      <c r="A255">
        <f>IFERROR(__xludf.DUMMYFUNCTION("""COMPUTED_VALUE"""),168324.0)</f>
        <v>168324</v>
      </c>
      <c r="B255" t="str">
        <f>IFERROR(__xludf.DUMMYFUNCTION("""COMPUTED_VALUE"""),"Rendered Bacon Fat")</f>
        <v>Rendered Bacon Fat</v>
      </c>
      <c r="C255" t="str">
        <f>IFERROR(__xludf.DUMMYFUNCTION("""COMPUTED_VALUE"""),"Meats")</f>
        <v>Meats</v>
      </c>
      <c r="D255">
        <f>IFERROR(__xludf.DUMMYFUNCTION("""COMPUTED_VALUE"""),898.0)</f>
        <v>898</v>
      </c>
      <c r="E255">
        <f>IFERROR(__xludf.DUMMYFUNCTION("""COMPUTED_VALUE"""),99.5)</f>
        <v>99.5</v>
      </c>
      <c r="F255">
        <f>IFERROR(__xludf.DUMMYFUNCTION("""COMPUTED_VALUE"""),0.07)</f>
        <v>0.07</v>
      </c>
      <c r="G255">
        <f>IFERROR(__xludf.DUMMYFUNCTION("""COMPUTED_VALUE"""),0.0)</f>
        <v>0</v>
      </c>
    </row>
    <row r="256">
      <c r="A256">
        <f>IFERROR(__xludf.DUMMYFUNCTION("""COMPUTED_VALUE"""),168325.0)</f>
        <v>168325</v>
      </c>
      <c r="B256" t="str">
        <f>IFERROR(__xludf.DUMMYFUNCTION("""COMPUTED_VALUE"""),"Pork Cured Ham And Water Product Slice Bone-In Separable Lean Only Heated Pan-Broil")</f>
        <v>Pork Cured Ham And Water Product Slice Bone-In Separable Lean Only Heated Pan-Broil</v>
      </c>
      <c r="C256" t="str">
        <f>IFERROR(__xludf.DUMMYFUNCTION("""COMPUTED_VALUE"""),"Meats")</f>
        <v>Meats</v>
      </c>
      <c r="D256">
        <f>IFERROR(__xludf.DUMMYFUNCTION("""COMPUTED_VALUE"""),122.0)</f>
        <v>122</v>
      </c>
      <c r="E256">
        <f>IFERROR(__xludf.DUMMYFUNCTION("""COMPUTED_VALUE"""),3.63)</f>
        <v>3.63</v>
      </c>
      <c r="F256">
        <f>IFERROR(__xludf.DUMMYFUNCTION("""COMPUTED_VALUE"""),20.9)</f>
        <v>20.9</v>
      </c>
      <c r="G256">
        <f>IFERROR(__xludf.DUMMYFUNCTION("""COMPUTED_VALUE"""),1.35)</f>
        <v>1.35</v>
      </c>
    </row>
    <row r="257">
      <c r="A257">
        <f>IFERROR(__xludf.DUMMYFUNCTION("""COMPUTED_VALUE"""),168326.0)</f>
        <v>168326</v>
      </c>
      <c r="B257" t="str">
        <f>IFERROR(__xludf.DUMMYFUNCTION("""COMPUTED_VALUE"""),"Pan Broiled Cured Ham")</f>
        <v>Pan Broiled Cured Ham</v>
      </c>
      <c r="C257" t="str">
        <f>IFERROR(__xludf.DUMMYFUNCTION("""COMPUTED_VALUE"""),"Meats")</f>
        <v>Meats</v>
      </c>
      <c r="D257">
        <f>IFERROR(__xludf.DUMMYFUNCTION("""COMPUTED_VALUE"""),123.0)</f>
        <v>123</v>
      </c>
      <c r="E257">
        <f>IFERROR(__xludf.DUMMYFUNCTION("""COMPUTED_VALUE"""),5.06)</f>
        <v>5.06</v>
      </c>
      <c r="F257">
        <f>IFERROR(__xludf.DUMMYFUNCTION("""COMPUTED_VALUE"""),15.09)</f>
        <v>15.09</v>
      </c>
      <c r="G257">
        <f>IFERROR(__xludf.DUMMYFUNCTION("""COMPUTED_VALUE"""),4.69)</f>
        <v>4.69</v>
      </c>
    </row>
    <row r="258">
      <c r="A258">
        <f>IFERROR(__xludf.DUMMYFUNCTION("""COMPUTED_VALUE"""),168327.0)</f>
        <v>168327</v>
      </c>
      <c r="B258" t="str">
        <f>IFERROR(__xludf.DUMMYFUNCTION("""COMPUTED_VALUE"""),"Pork Cured Ham And Water Product Whole Boneless Separable Lean Only Heated Roasted")</f>
        <v>Pork Cured Ham And Water Product Whole Boneless Separable Lean Only Heated Roasted</v>
      </c>
      <c r="C258" t="str">
        <f>IFERROR(__xludf.DUMMYFUNCTION("""COMPUTED_VALUE"""),"Meats")</f>
        <v>Meats</v>
      </c>
      <c r="D258">
        <f>IFERROR(__xludf.DUMMYFUNCTION("""COMPUTED_VALUE"""),123.0)</f>
        <v>123</v>
      </c>
      <c r="E258">
        <f>IFERROR(__xludf.DUMMYFUNCTION("""COMPUTED_VALUE"""),5.46)</f>
        <v>5.46</v>
      </c>
      <c r="F258">
        <f>IFERROR(__xludf.DUMMYFUNCTION("""COMPUTED_VALUE"""),13.88)</f>
        <v>13.88</v>
      </c>
      <c r="G258">
        <f>IFERROR(__xludf.DUMMYFUNCTION("""COMPUTED_VALUE"""),4.61)</f>
        <v>4.61</v>
      </c>
    </row>
    <row r="259">
      <c r="A259">
        <f>IFERROR(__xludf.DUMMYFUNCTION("""COMPUTED_VALUE"""),168328.0)</f>
        <v>168328</v>
      </c>
      <c r="B259" t="str">
        <f>IFERROR(__xludf.DUMMYFUNCTION("""COMPUTED_VALUE"""),"Pork Cured Ham And Water Product Whole Boneless Separable Lean Only Unheated")</f>
        <v>Pork Cured Ham And Water Product Whole Boneless Separable Lean Only Unheated</v>
      </c>
      <c r="C259" t="str">
        <f>IFERROR(__xludf.DUMMYFUNCTION("""COMPUTED_VALUE"""),"Meats")</f>
        <v>Meats</v>
      </c>
      <c r="D259">
        <f>IFERROR(__xludf.DUMMYFUNCTION("""COMPUTED_VALUE"""),116.0)</f>
        <v>116</v>
      </c>
      <c r="E259">
        <f>IFERROR(__xludf.DUMMYFUNCTION("""COMPUTED_VALUE"""),4.86)</f>
        <v>4.86</v>
      </c>
      <c r="F259">
        <f>IFERROR(__xludf.DUMMYFUNCTION("""COMPUTED_VALUE"""),14.07)</f>
        <v>14.07</v>
      </c>
      <c r="G259">
        <f>IFERROR(__xludf.DUMMYFUNCTION("""COMPUTED_VALUE"""),4.22)</f>
        <v>4.22</v>
      </c>
    </row>
    <row r="260">
      <c r="A260">
        <f>IFERROR(__xludf.DUMMYFUNCTION("""COMPUTED_VALUE"""),168329.0)</f>
        <v>168329</v>
      </c>
      <c r="B260" t="str">
        <f>IFERROR(__xludf.DUMMYFUNCTION("""COMPUTED_VALUE"""),"Pork Cured Ham -- Water Added Slice Boneless Separable Lean Only Heated Pan-Broil")</f>
        <v>Pork Cured Ham -- Water Added Slice Boneless Separable Lean Only Heated Pan-Broil</v>
      </c>
      <c r="C260" t="str">
        <f>IFERROR(__xludf.DUMMYFUNCTION("""COMPUTED_VALUE"""),"Meats")</f>
        <v>Meats</v>
      </c>
      <c r="D260">
        <f>IFERROR(__xludf.DUMMYFUNCTION("""COMPUTED_VALUE"""),119.0)</f>
        <v>119</v>
      </c>
      <c r="E260">
        <f>IFERROR(__xludf.DUMMYFUNCTION("""COMPUTED_VALUE"""),4.09)</f>
        <v>4.09</v>
      </c>
      <c r="F260">
        <f>IFERROR(__xludf.DUMMYFUNCTION("""COMPUTED_VALUE"""),18.82)</f>
        <v>18.82</v>
      </c>
      <c r="G260">
        <f>IFERROR(__xludf.DUMMYFUNCTION("""COMPUTED_VALUE"""),1.75)</f>
        <v>1.75</v>
      </c>
    </row>
    <row r="261">
      <c r="A261">
        <f>IFERROR(__xludf.DUMMYFUNCTION("""COMPUTED_VALUE"""),168330.0)</f>
        <v>168330</v>
      </c>
      <c r="B261" t="str">
        <f>IFERROR(__xludf.DUMMYFUNCTION("""COMPUTED_VALUE"""),"Pork Cured Ham With Natural Juices Slice Bone-In Separable Lean Only Heated Pan-Broil")</f>
        <v>Pork Cured Ham With Natural Juices Slice Bone-In Separable Lean Only Heated Pan-Broil</v>
      </c>
      <c r="C261" t="str">
        <f>IFERROR(__xludf.DUMMYFUNCTION("""COMPUTED_VALUE"""),"Meats")</f>
        <v>Meats</v>
      </c>
      <c r="D261">
        <f>IFERROR(__xludf.DUMMYFUNCTION("""COMPUTED_VALUE"""),150.0)</f>
        <v>150</v>
      </c>
      <c r="E261">
        <f>IFERROR(__xludf.DUMMYFUNCTION("""COMPUTED_VALUE"""),4.38)</f>
        <v>4.38</v>
      </c>
      <c r="F261">
        <f>IFERROR(__xludf.DUMMYFUNCTION("""COMPUTED_VALUE"""),27.75)</f>
        <v>27.75</v>
      </c>
      <c r="G261">
        <f>IFERROR(__xludf.DUMMYFUNCTION("""COMPUTED_VALUE"""),0.0)</f>
        <v>0</v>
      </c>
    </row>
    <row r="262">
      <c r="A262">
        <f>IFERROR(__xludf.DUMMYFUNCTION("""COMPUTED_VALUE"""),168331.0)</f>
        <v>168331</v>
      </c>
      <c r="B262" t="str">
        <f>IFERROR(__xludf.DUMMYFUNCTION("""COMPUTED_VALUE"""),"Pork Cured Ham With Natural Juices Spiral Slice Meat Only Boneless Separable Lean Only Heated Roasted")</f>
        <v>Pork Cured Ham With Natural Juices Spiral Slice Meat Only Boneless Separable Lean Only Heated Roasted</v>
      </c>
      <c r="C262" t="str">
        <f>IFERROR(__xludf.DUMMYFUNCTION("""COMPUTED_VALUE"""),"Meats")</f>
        <v>Meats</v>
      </c>
      <c r="D262">
        <f>IFERROR(__xludf.DUMMYFUNCTION("""COMPUTED_VALUE"""),126.0)</f>
        <v>126</v>
      </c>
      <c r="E262">
        <f>IFERROR(__xludf.DUMMYFUNCTION("""COMPUTED_VALUE"""),3.78)</f>
        <v>3.78</v>
      </c>
      <c r="F262">
        <f>IFERROR(__xludf.DUMMYFUNCTION("""COMPUTED_VALUE"""),22.56)</f>
        <v>22.56</v>
      </c>
      <c r="G262">
        <f>IFERROR(__xludf.DUMMYFUNCTION("""COMPUTED_VALUE"""),1.08)</f>
        <v>1.08</v>
      </c>
    </row>
    <row r="263">
      <c r="A263">
        <f>IFERROR(__xludf.DUMMYFUNCTION("""COMPUTED_VALUE"""),168332.0)</f>
        <v>168332</v>
      </c>
      <c r="B263" t="str">
        <f>IFERROR(__xludf.DUMMYFUNCTION("""COMPUTED_VALUE"""),"Pork Cured Ham And Water Product Rump Bone-In Separable Lean Only Heated Roasted")</f>
        <v>Pork Cured Ham And Water Product Rump Bone-In Separable Lean Only Heated Roasted</v>
      </c>
      <c r="C263" t="str">
        <f>IFERROR(__xludf.DUMMYFUNCTION("""COMPUTED_VALUE"""),"Meats")</f>
        <v>Meats</v>
      </c>
      <c r="D263">
        <f>IFERROR(__xludf.DUMMYFUNCTION("""COMPUTED_VALUE"""),131.0)</f>
        <v>131</v>
      </c>
      <c r="E263">
        <f>IFERROR(__xludf.DUMMYFUNCTION("""COMPUTED_VALUE"""),4.7)</f>
        <v>4.7</v>
      </c>
      <c r="F263">
        <f>IFERROR(__xludf.DUMMYFUNCTION("""COMPUTED_VALUE"""),21.28)</f>
        <v>21.28</v>
      </c>
      <c r="G263">
        <f>IFERROR(__xludf.DUMMYFUNCTION("""COMPUTED_VALUE"""),1.15)</f>
        <v>1.15</v>
      </c>
    </row>
    <row r="264">
      <c r="A264">
        <f>IFERROR(__xludf.DUMMYFUNCTION("""COMPUTED_VALUE"""),168333.0)</f>
        <v>168333</v>
      </c>
      <c r="B264" t="str">
        <f>IFERROR(__xludf.DUMMYFUNCTION("""COMPUTED_VALUE"""),"Pork Cured Ham With Natural Juices Slice Boneless Separable Lean Only Heated Pan-Broil")</f>
        <v>Pork Cured Ham With Natural Juices Slice Boneless Separable Lean Only Heated Pan-Broil</v>
      </c>
      <c r="C264" t="str">
        <f>IFERROR(__xludf.DUMMYFUNCTION("""COMPUTED_VALUE"""),"Meats")</f>
        <v>Meats</v>
      </c>
      <c r="D264">
        <f>IFERROR(__xludf.DUMMYFUNCTION("""COMPUTED_VALUE"""),116.0)</f>
        <v>116</v>
      </c>
      <c r="E264">
        <f>IFERROR(__xludf.DUMMYFUNCTION("""COMPUTED_VALUE"""),3.16)</f>
        <v>3.16</v>
      </c>
      <c r="F264">
        <f>IFERROR(__xludf.DUMMYFUNCTION("""COMPUTED_VALUE"""),20.95)</f>
        <v>20.95</v>
      </c>
      <c r="G264">
        <f>IFERROR(__xludf.DUMMYFUNCTION("""COMPUTED_VALUE"""),1.05)</f>
        <v>1.05</v>
      </c>
    </row>
    <row r="265">
      <c r="A265">
        <f>IFERROR(__xludf.DUMMYFUNCTION("""COMPUTED_VALUE"""),168334.0)</f>
        <v>168334</v>
      </c>
      <c r="B265" t="str">
        <f>IFERROR(__xludf.DUMMYFUNCTION("""COMPUTED_VALUE"""),"Pork Cured Ham With Natural Juices Whole Boneless Separable Lean Only Heated Roasted")</f>
        <v>Pork Cured Ham With Natural Juices Whole Boneless Separable Lean Only Heated Roasted</v>
      </c>
      <c r="C265" t="str">
        <f>IFERROR(__xludf.DUMMYFUNCTION("""COMPUTED_VALUE"""),"Meats")</f>
        <v>Meats</v>
      </c>
      <c r="D265">
        <f>IFERROR(__xludf.DUMMYFUNCTION("""COMPUTED_VALUE"""),113.0)</f>
        <v>113</v>
      </c>
      <c r="E265">
        <f>IFERROR(__xludf.DUMMYFUNCTION("""COMPUTED_VALUE"""),3.01)</f>
        <v>3.01</v>
      </c>
      <c r="F265">
        <f>IFERROR(__xludf.DUMMYFUNCTION("""COMPUTED_VALUE"""),20.57)</f>
        <v>20.57</v>
      </c>
      <c r="G265">
        <f>IFERROR(__xludf.DUMMYFUNCTION("""COMPUTED_VALUE"""),0.84)</f>
        <v>0.84</v>
      </c>
    </row>
    <row r="266">
      <c r="A266">
        <f>IFERROR(__xludf.DUMMYFUNCTION("""COMPUTED_VALUE"""),168335.0)</f>
        <v>168335</v>
      </c>
      <c r="B266" t="str">
        <f>IFERROR(__xludf.DUMMYFUNCTION("""COMPUTED_VALUE"""),"Pork Cured Ham With Natural Juices Whole Boneless Separable Lean Only Unheated")</f>
        <v>Pork Cured Ham With Natural Juices Whole Boneless Separable Lean Only Unheated</v>
      </c>
      <c r="C266" t="str">
        <f>IFERROR(__xludf.DUMMYFUNCTION("""COMPUTED_VALUE"""),"Meats")</f>
        <v>Meats</v>
      </c>
      <c r="D266">
        <f>IFERROR(__xludf.DUMMYFUNCTION("""COMPUTED_VALUE"""),111.0)</f>
        <v>111</v>
      </c>
      <c r="E266">
        <f>IFERROR(__xludf.DUMMYFUNCTION("""COMPUTED_VALUE"""),3.21)</f>
        <v>3.21</v>
      </c>
      <c r="F266">
        <f>IFERROR(__xludf.DUMMYFUNCTION("""COMPUTED_VALUE"""),19.44)</f>
        <v>19.44</v>
      </c>
      <c r="G266">
        <f>IFERROR(__xludf.DUMMYFUNCTION("""COMPUTED_VALUE"""),1.03)</f>
        <v>1.03</v>
      </c>
    </row>
    <row r="267">
      <c r="A267">
        <f>IFERROR(__xludf.DUMMYFUNCTION("""COMPUTED_VALUE"""),168336.0)</f>
        <v>168336</v>
      </c>
      <c r="B267" t="str">
        <f>IFERROR(__xludf.DUMMYFUNCTION("""COMPUTED_VALUE"""),"Pork Cured Ham -- Water Added Shank Bone-In Separable Lean Only Unheated")</f>
        <v>Pork Cured Ham -- Water Added Shank Bone-In Separable Lean Only Unheated</v>
      </c>
      <c r="C267" t="str">
        <f>IFERROR(__xludf.DUMMYFUNCTION("""COMPUTED_VALUE"""),"Meats")</f>
        <v>Meats</v>
      </c>
      <c r="D267">
        <f>IFERROR(__xludf.DUMMYFUNCTION("""COMPUTED_VALUE"""),91.0)</f>
        <v>91</v>
      </c>
      <c r="E267">
        <f>IFERROR(__xludf.DUMMYFUNCTION("""COMPUTED_VALUE"""),1.87)</f>
        <v>1.87</v>
      </c>
      <c r="F267">
        <f>IFERROR(__xludf.DUMMYFUNCTION("""COMPUTED_VALUE"""),18.65)</f>
        <v>18.65</v>
      </c>
      <c r="G267">
        <f>IFERROR(__xludf.DUMMYFUNCTION("""COMPUTED_VALUE"""),0.71)</f>
        <v>0.71</v>
      </c>
    </row>
    <row r="268">
      <c r="A268">
        <f>IFERROR(__xludf.DUMMYFUNCTION("""COMPUTED_VALUE"""),168337.0)</f>
        <v>168337</v>
      </c>
      <c r="B268" t="str">
        <f>IFERROR(__xludf.DUMMYFUNCTION("""COMPUTED_VALUE"""),"Pork Cured Ham With Natural Juices Rump Bone-In Separable Lean Only Unheated")</f>
        <v>Pork Cured Ham With Natural Juices Rump Bone-In Separable Lean Only Unheated</v>
      </c>
      <c r="C268" t="str">
        <f>IFERROR(__xludf.DUMMYFUNCTION("""COMPUTED_VALUE"""),"Meats")</f>
        <v>Meats</v>
      </c>
      <c r="D268">
        <f>IFERROR(__xludf.DUMMYFUNCTION("""COMPUTED_VALUE"""),122.0)</f>
        <v>122</v>
      </c>
      <c r="E268">
        <f>IFERROR(__xludf.DUMMYFUNCTION("""COMPUTED_VALUE"""),3.47)</f>
        <v>3.47</v>
      </c>
      <c r="F268">
        <f>IFERROR(__xludf.DUMMYFUNCTION("""COMPUTED_VALUE"""),22.71)</f>
        <v>22.71</v>
      </c>
      <c r="G268">
        <f>IFERROR(__xludf.DUMMYFUNCTION("""COMPUTED_VALUE"""),0.43)</f>
        <v>0.43</v>
      </c>
    </row>
    <row r="269">
      <c r="A269">
        <f>IFERROR(__xludf.DUMMYFUNCTION("""COMPUTED_VALUE"""),168338.0)</f>
        <v>168338</v>
      </c>
      <c r="B269" t="str">
        <f>IFERROR(__xludf.DUMMYFUNCTION("""COMPUTED_VALUE"""),"Pork Cured Ham With Natural Juices Shank Bone-In Separable Lean Only Unheated")</f>
        <v>Pork Cured Ham With Natural Juices Shank Bone-In Separable Lean Only Unheated</v>
      </c>
      <c r="C269" t="str">
        <f>IFERROR(__xludf.DUMMYFUNCTION("""COMPUTED_VALUE"""),"Meats")</f>
        <v>Meats</v>
      </c>
      <c r="D269">
        <f>IFERROR(__xludf.DUMMYFUNCTION("""COMPUTED_VALUE"""),130.0)</f>
        <v>130</v>
      </c>
      <c r="E269">
        <f>IFERROR(__xludf.DUMMYFUNCTION("""COMPUTED_VALUE"""),3.33)</f>
        <v>3.33</v>
      </c>
      <c r="F269">
        <f>IFERROR(__xludf.DUMMYFUNCTION("""COMPUTED_VALUE"""),25.11)</f>
        <v>25.11</v>
      </c>
      <c r="G269">
        <f>IFERROR(__xludf.DUMMYFUNCTION("""COMPUTED_VALUE"""),0.3)</f>
        <v>0.3</v>
      </c>
    </row>
    <row r="270">
      <c r="A270">
        <f>IFERROR(__xludf.DUMMYFUNCTION("""COMPUTED_VALUE"""),168339.0)</f>
        <v>168339</v>
      </c>
      <c r="B270" t="str">
        <f>IFERROR(__xludf.DUMMYFUNCTION("""COMPUTED_VALUE"""),"Pork Cured Ham With Natural Juices Slice Bone-In Separable Lean Only Unheated")</f>
        <v>Pork Cured Ham With Natural Juices Slice Bone-In Separable Lean Only Unheated</v>
      </c>
      <c r="C270" t="str">
        <f>IFERROR(__xludf.DUMMYFUNCTION("""COMPUTED_VALUE"""),"Meats")</f>
        <v>Meats</v>
      </c>
      <c r="D270">
        <f>IFERROR(__xludf.DUMMYFUNCTION("""COMPUTED_VALUE"""),123.0)</f>
        <v>123</v>
      </c>
      <c r="E270">
        <f>IFERROR(__xludf.DUMMYFUNCTION("""COMPUTED_VALUE"""),2.87)</f>
        <v>2.87</v>
      </c>
      <c r="F270">
        <f>IFERROR(__xludf.DUMMYFUNCTION("""COMPUTED_VALUE"""),24.34)</f>
        <v>24.34</v>
      </c>
      <c r="G270">
        <f>IFERROR(__xludf.DUMMYFUNCTION("""COMPUTED_VALUE"""),0.0)</f>
        <v>0</v>
      </c>
    </row>
    <row r="271">
      <c r="A271">
        <f>IFERROR(__xludf.DUMMYFUNCTION("""COMPUTED_VALUE"""),168340.0)</f>
        <v>168340</v>
      </c>
      <c r="B271" t="str">
        <f>IFERROR(__xludf.DUMMYFUNCTION("""COMPUTED_VALUE"""),"Pork Cured Ham With Natural Juices Spiral Slice Boneless Separable Lean Only Unheated")</f>
        <v>Pork Cured Ham With Natural Juices Spiral Slice Boneless Separable Lean Only Unheated</v>
      </c>
      <c r="C271" t="str">
        <f>IFERROR(__xludf.DUMMYFUNCTION("""COMPUTED_VALUE"""),"Meats")</f>
        <v>Meats</v>
      </c>
      <c r="D271">
        <f>IFERROR(__xludf.DUMMYFUNCTION("""COMPUTED_VALUE"""),109.0)</f>
        <v>109</v>
      </c>
      <c r="E271">
        <f>IFERROR(__xludf.DUMMYFUNCTION("""COMPUTED_VALUE"""),3.26)</f>
        <v>3.26</v>
      </c>
      <c r="F271">
        <f>IFERROR(__xludf.DUMMYFUNCTION("""COMPUTED_VALUE"""),19.25)</f>
        <v>19.25</v>
      </c>
      <c r="G271">
        <f>IFERROR(__xludf.DUMMYFUNCTION("""COMPUTED_VALUE"""),1.22)</f>
        <v>1.22</v>
      </c>
    </row>
    <row r="272">
      <c r="A272">
        <f>IFERROR(__xludf.DUMMYFUNCTION("""COMPUTED_VALUE"""),168341.0)</f>
        <v>168341</v>
      </c>
      <c r="B272" t="str">
        <f>IFERROR(__xludf.DUMMYFUNCTION("""COMPUTED_VALUE"""),"Pork Cured Ham With Natural Juices Spiral Slice Boneless Separable Lean And Fat Unheated")</f>
        <v>Pork Cured Ham With Natural Juices Spiral Slice Boneless Separable Lean And Fat Unheated</v>
      </c>
      <c r="C272" t="str">
        <f>IFERROR(__xludf.DUMMYFUNCTION("""COMPUTED_VALUE"""),"Meats")</f>
        <v>Meats</v>
      </c>
      <c r="D272">
        <f>IFERROR(__xludf.DUMMYFUNCTION("""COMPUTED_VALUE"""),129.0)</f>
        <v>129</v>
      </c>
      <c r="E272">
        <f>IFERROR(__xludf.DUMMYFUNCTION("""COMPUTED_VALUE"""),5.75)</f>
        <v>5.75</v>
      </c>
      <c r="F272">
        <f>IFERROR(__xludf.DUMMYFUNCTION("""COMPUTED_VALUE"""),18.66)</f>
        <v>18.66</v>
      </c>
      <c r="G272">
        <f>IFERROR(__xludf.DUMMYFUNCTION("""COMPUTED_VALUE"""),1.18)</f>
        <v>1.18</v>
      </c>
    </row>
    <row r="273">
      <c r="A273">
        <f>IFERROR(__xludf.DUMMYFUNCTION("""COMPUTED_VALUE"""),168342.0)</f>
        <v>168342</v>
      </c>
      <c r="B273" t="str">
        <f>IFERROR(__xludf.DUMMYFUNCTION("""COMPUTED_VALUE"""),"Pork Cured Ham With Natural Juices Slice Bone-In Separable Lean And Fat Unheated")</f>
        <v>Pork Cured Ham With Natural Juices Slice Bone-In Separable Lean And Fat Unheated</v>
      </c>
      <c r="C273" t="str">
        <f>IFERROR(__xludf.DUMMYFUNCTION("""COMPUTED_VALUE"""),"Meats")</f>
        <v>Meats</v>
      </c>
      <c r="D273">
        <f>IFERROR(__xludf.DUMMYFUNCTION("""COMPUTED_VALUE"""),159.0)</f>
        <v>159</v>
      </c>
      <c r="E273">
        <f>IFERROR(__xludf.DUMMYFUNCTION("""COMPUTED_VALUE"""),7.4)</f>
        <v>7.4</v>
      </c>
      <c r="F273">
        <f>IFERROR(__xludf.DUMMYFUNCTION("""COMPUTED_VALUE"""),22.82)</f>
        <v>22.82</v>
      </c>
      <c r="G273">
        <f>IFERROR(__xludf.DUMMYFUNCTION("""COMPUTED_VALUE"""),0.17)</f>
        <v>0.17</v>
      </c>
    </row>
    <row r="274">
      <c r="A274">
        <f>IFERROR(__xludf.DUMMYFUNCTION("""COMPUTED_VALUE"""),168343.0)</f>
        <v>168343</v>
      </c>
      <c r="B274" t="str">
        <f>IFERROR(__xludf.DUMMYFUNCTION("""COMPUTED_VALUE"""),"Pork Cured Ham With Natural Juices Shank Bone-In Separable Lean And Fat Unheated")</f>
        <v>Pork Cured Ham With Natural Juices Shank Bone-In Separable Lean And Fat Unheated</v>
      </c>
      <c r="C274" t="str">
        <f>IFERROR(__xludf.DUMMYFUNCTION("""COMPUTED_VALUE"""),"Meats")</f>
        <v>Meats</v>
      </c>
      <c r="D274">
        <f>IFERROR(__xludf.DUMMYFUNCTION("""COMPUTED_VALUE"""),191.0)</f>
        <v>191</v>
      </c>
      <c r="E274">
        <f>IFERROR(__xludf.DUMMYFUNCTION("""COMPUTED_VALUE"""),11.11)</f>
        <v>11.11</v>
      </c>
      <c r="F274">
        <f>IFERROR(__xludf.DUMMYFUNCTION("""COMPUTED_VALUE"""),22.35)</f>
        <v>22.35</v>
      </c>
      <c r="G274">
        <f>IFERROR(__xludf.DUMMYFUNCTION("""COMPUTED_VALUE"""),0.32)</f>
        <v>0.32</v>
      </c>
    </row>
    <row r="275">
      <c r="A275">
        <f>IFERROR(__xludf.DUMMYFUNCTION("""COMPUTED_VALUE"""),168344.0)</f>
        <v>168344</v>
      </c>
      <c r="B275" t="str">
        <f>IFERROR(__xludf.DUMMYFUNCTION("""COMPUTED_VALUE"""),"Pork Cured Ham With Natural Juices Rump Bone-In Separable Lean And Fat Unheated")</f>
        <v>Pork Cured Ham With Natural Juices Rump Bone-In Separable Lean And Fat Unheated</v>
      </c>
      <c r="C275" t="str">
        <f>IFERROR(__xludf.DUMMYFUNCTION("""COMPUTED_VALUE"""),"Meats")</f>
        <v>Meats</v>
      </c>
      <c r="D275">
        <f>IFERROR(__xludf.DUMMYFUNCTION("""COMPUTED_VALUE"""),200.0)</f>
        <v>200</v>
      </c>
      <c r="E275">
        <f>IFERROR(__xludf.DUMMYFUNCTION("""COMPUTED_VALUE"""),13.26)</f>
        <v>13.26</v>
      </c>
      <c r="F275">
        <f>IFERROR(__xludf.DUMMYFUNCTION("""COMPUTED_VALUE"""),19.7)</f>
        <v>19.7</v>
      </c>
      <c r="G275">
        <f>IFERROR(__xludf.DUMMYFUNCTION("""COMPUTED_VALUE"""),0.43)</f>
        <v>0.43</v>
      </c>
    </row>
    <row r="276">
      <c r="A276">
        <f>IFERROR(__xludf.DUMMYFUNCTION("""COMPUTED_VALUE"""),168345.0)</f>
        <v>168345</v>
      </c>
      <c r="B276" t="str">
        <f>IFERROR(__xludf.DUMMYFUNCTION("""COMPUTED_VALUE"""),"Pork Cured Ham -- Water Added Whole Boneless Separable Lean And Fat Unheated")</f>
        <v>Pork Cured Ham -- Water Added Whole Boneless Separable Lean And Fat Unheated</v>
      </c>
      <c r="C276" t="str">
        <f>IFERROR(__xludf.DUMMYFUNCTION("""COMPUTED_VALUE"""),"Meats")</f>
        <v>Meats</v>
      </c>
      <c r="D276">
        <f>IFERROR(__xludf.DUMMYFUNCTION("""COMPUTED_VALUE"""),121.0)</f>
        <v>121</v>
      </c>
      <c r="E276">
        <f>IFERROR(__xludf.DUMMYFUNCTION("""COMPUTED_VALUE"""),5.38)</f>
        <v>5.38</v>
      </c>
      <c r="F276">
        <f>IFERROR(__xludf.DUMMYFUNCTION("""COMPUTED_VALUE"""),17.06)</f>
        <v>17.06</v>
      </c>
      <c r="G276">
        <f>IFERROR(__xludf.DUMMYFUNCTION("""COMPUTED_VALUE"""),1.42)</f>
        <v>1.42</v>
      </c>
    </row>
    <row r="277">
      <c r="A277">
        <f>IFERROR(__xludf.DUMMYFUNCTION("""COMPUTED_VALUE"""),168346.0)</f>
        <v>168346</v>
      </c>
      <c r="B277" t="str">
        <f>IFERROR(__xludf.DUMMYFUNCTION("""COMPUTED_VALUE"""),"Pork Cured Ham -- Water Added Slice Bone-In Separable Lean And Fat Unheated")</f>
        <v>Pork Cured Ham -- Water Added Slice Bone-In Separable Lean And Fat Unheated</v>
      </c>
      <c r="C277" t="str">
        <f>IFERROR(__xludf.DUMMYFUNCTION("""COMPUTED_VALUE"""),"Meats")</f>
        <v>Meats</v>
      </c>
      <c r="D277">
        <f>IFERROR(__xludf.DUMMYFUNCTION("""COMPUTED_VALUE"""),164.0)</f>
        <v>164</v>
      </c>
      <c r="E277">
        <f>IFERROR(__xludf.DUMMYFUNCTION("""COMPUTED_VALUE"""),10.77)</f>
        <v>10.77</v>
      </c>
      <c r="F277">
        <f>IFERROR(__xludf.DUMMYFUNCTION("""COMPUTED_VALUE"""),15.73)</f>
        <v>15.73</v>
      </c>
      <c r="G277">
        <f>IFERROR(__xludf.DUMMYFUNCTION("""COMPUTED_VALUE"""),1.1)</f>
        <v>1.1</v>
      </c>
    </row>
    <row r="278">
      <c r="A278">
        <f>IFERROR(__xludf.DUMMYFUNCTION("""COMPUTED_VALUE"""),168347.0)</f>
        <v>168347</v>
      </c>
      <c r="B278" t="str">
        <f>IFERROR(__xludf.DUMMYFUNCTION("""COMPUTED_VALUE"""),"Pork Cured Ham -- Water Added Shank Bone-In Separable Lean And Fat Unheated")</f>
        <v>Pork Cured Ham -- Water Added Shank Bone-In Separable Lean And Fat Unheated</v>
      </c>
      <c r="C278" t="str">
        <f>IFERROR(__xludf.DUMMYFUNCTION("""COMPUTED_VALUE"""),"Meats")</f>
        <v>Meats</v>
      </c>
      <c r="D278">
        <f>IFERROR(__xludf.DUMMYFUNCTION("""COMPUTED_VALUE"""),167.0)</f>
        <v>167</v>
      </c>
      <c r="E278">
        <f>IFERROR(__xludf.DUMMYFUNCTION("""COMPUTED_VALUE"""),11.02)</f>
        <v>11.02</v>
      </c>
      <c r="F278">
        <f>IFERROR(__xludf.DUMMYFUNCTION("""COMPUTED_VALUE"""),16.65)</f>
        <v>16.65</v>
      </c>
      <c r="G278">
        <f>IFERROR(__xludf.DUMMYFUNCTION("""COMPUTED_VALUE"""),0.66)</f>
        <v>0.66</v>
      </c>
    </row>
    <row r="279">
      <c r="A279">
        <f>IFERROR(__xludf.DUMMYFUNCTION("""COMPUTED_VALUE"""),168348.0)</f>
        <v>168348</v>
      </c>
      <c r="B279" t="str">
        <f>IFERROR(__xludf.DUMMYFUNCTION("""COMPUTED_VALUE"""),"Pork Cured Ham -- Water Added Rump Bone-In Separable Lean And Fat Unheated")</f>
        <v>Pork Cured Ham -- Water Added Rump Bone-In Separable Lean And Fat Unheated</v>
      </c>
      <c r="C279" t="str">
        <f>IFERROR(__xludf.DUMMYFUNCTION("""COMPUTED_VALUE"""),"Meats")</f>
        <v>Meats</v>
      </c>
      <c r="D279">
        <f>IFERROR(__xludf.DUMMYFUNCTION("""COMPUTED_VALUE"""),172.0)</f>
        <v>172</v>
      </c>
      <c r="E279">
        <f>IFERROR(__xludf.DUMMYFUNCTION("""COMPUTED_VALUE"""),12.5)</f>
        <v>12.5</v>
      </c>
      <c r="F279">
        <f>IFERROR(__xludf.DUMMYFUNCTION("""COMPUTED_VALUE"""),13.99)</f>
        <v>13.99</v>
      </c>
      <c r="G279">
        <f>IFERROR(__xludf.DUMMYFUNCTION("""COMPUTED_VALUE"""),0.8)</f>
        <v>0.8</v>
      </c>
    </row>
    <row r="280">
      <c r="A280">
        <f>IFERROR(__xludf.DUMMYFUNCTION("""COMPUTED_VALUE"""),168349.0)</f>
        <v>168349</v>
      </c>
      <c r="B280" t="str">
        <f>IFERROR(__xludf.DUMMYFUNCTION("""COMPUTED_VALUE"""),"Pork Cured Ham -- Water Added Whole Boneless Separable Lean And Fat Heated Roasted")</f>
        <v>Pork Cured Ham -- Water Added Whole Boneless Separable Lean And Fat Heated Roasted</v>
      </c>
      <c r="C280" t="str">
        <f>IFERROR(__xludf.DUMMYFUNCTION("""COMPUTED_VALUE"""),"Meats")</f>
        <v>Meats</v>
      </c>
      <c r="D280">
        <f>IFERROR(__xludf.DUMMYFUNCTION("""COMPUTED_VALUE"""),126.0)</f>
        <v>126</v>
      </c>
      <c r="E280">
        <f>IFERROR(__xludf.DUMMYFUNCTION("""COMPUTED_VALUE"""),5.48)</f>
        <v>5.48</v>
      </c>
      <c r="F280">
        <f>IFERROR(__xludf.DUMMYFUNCTION("""COMPUTED_VALUE"""),17.77)</f>
        <v>17.77</v>
      </c>
      <c r="G280">
        <f>IFERROR(__xludf.DUMMYFUNCTION("""COMPUTED_VALUE"""),1.54)</f>
        <v>1.54</v>
      </c>
    </row>
    <row r="281">
      <c r="A281">
        <f>IFERROR(__xludf.DUMMYFUNCTION("""COMPUTED_VALUE"""),168350.0)</f>
        <v>168350</v>
      </c>
      <c r="B281" t="str">
        <f>IFERROR(__xludf.DUMMYFUNCTION("""COMPUTED_VALUE"""),"Pork Cured Ham And Water Product Rump Bone-In Separable Lean And Fat Heated Roasted")</f>
        <v>Pork Cured Ham And Water Product Rump Bone-In Separable Lean And Fat Heated Roasted</v>
      </c>
      <c r="C281" t="str">
        <f>IFERROR(__xludf.DUMMYFUNCTION("""COMPUTED_VALUE"""),"Meats")</f>
        <v>Meats</v>
      </c>
      <c r="D281">
        <f>IFERROR(__xludf.DUMMYFUNCTION("""COMPUTED_VALUE"""),186.0)</f>
        <v>186</v>
      </c>
      <c r="E281">
        <f>IFERROR(__xludf.DUMMYFUNCTION("""COMPUTED_VALUE"""),11.48)</f>
        <v>11.48</v>
      </c>
      <c r="F281">
        <f>IFERROR(__xludf.DUMMYFUNCTION("""COMPUTED_VALUE"""),19.46)</f>
        <v>19.46</v>
      </c>
      <c r="G281">
        <f>IFERROR(__xludf.DUMMYFUNCTION("""COMPUTED_VALUE"""),1.15)</f>
        <v>1.15</v>
      </c>
    </row>
    <row r="282">
      <c r="A282">
        <f>IFERROR(__xludf.DUMMYFUNCTION("""COMPUTED_VALUE"""),168351.0)</f>
        <v>168351</v>
      </c>
      <c r="B282" t="str">
        <f>IFERROR(__xludf.DUMMYFUNCTION("""COMPUTED_VALUE"""),"Pork Cured Ham And Water Product Shank Bone-In Separable Lean And Fat Heated Roasted")</f>
        <v>Pork Cured Ham And Water Product Shank Bone-In Separable Lean And Fat Heated Roasted</v>
      </c>
      <c r="C282" t="str">
        <f>IFERROR(__xludf.DUMMYFUNCTION("""COMPUTED_VALUE"""),"Meats")</f>
        <v>Meats</v>
      </c>
      <c r="D282">
        <f>IFERROR(__xludf.DUMMYFUNCTION("""COMPUTED_VALUE"""),234.0)</f>
        <v>234</v>
      </c>
      <c r="E282">
        <f>IFERROR(__xludf.DUMMYFUNCTION("""COMPUTED_VALUE"""),17.29)</f>
        <v>17.29</v>
      </c>
      <c r="F282">
        <f>IFERROR(__xludf.DUMMYFUNCTION("""COMPUTED_VALUE"""),18.17)</f>
        <v>18.17</v>
      </c>
      <c r="G282">
        <f>IFERROR(__xludf.DUMMYFUNCTION("""COMPUTED_VALUE"""),1.42)</f>
        <v>1.42</v>
      </c>
    </row>
    <row r="283">
      <c r="A283">
        <f>IFERROR(__xludf.DUMMYFUNCTION("""COMPUTED_VALUE"""),168352.0)</f>
        <v>168352</v>
      </c>
      <c r="B283" t="str">
        <f>IFERROR(__xludf.DUMMYFUNCTION("""COMPUTED_VALUE"""),"Pork Cured Ham And Water Product Slice Bone-In Separable Lean And Fat Heated Pan-Broil")</f>
        <v>Pork Cured Ham And Water Product Slice Bone-In Separable Lean And Fat Heated Pan-Broil</v>
      </c>
      <c r="C283" t="str">
        <f>IFERROR(__xludf.DUMMYFUNCTION("""COMPUTED_VALUE"""),"Meats")</f>
        <v>Meats</v>
      </c>
      <c r="D283">
        <f>IFERROR(__xludf.DUMMYFUNCTION("""COMPUTED_VALUE"""),155.0)</f>
        <v>155</v>
      </c>
      <c r="E283">
        <f>IFERROR(__xludf.DUMMYFUNCTION("""COMPUTED_VALUE"""),7.78)</f>
        <v>7.78</v>
      </c>
      <c r="F283">
        <f>IFERROR(__xludf.DUMMYFUNCTION("""COMPUTED_VALUE"""),19.85)</f>
        <v>19.85</v>
      </c>
      <c r="G283">
        <f>IFERROR(__xludf.DUMMYFUNCTION("""COMPUTED_VALUE"""),1.41)</f>
        <v>1.41</v>
      </c>
    </row>
    <row r="284">
      <c r="A284">
        <f>IFERROR(__xludf.DUMMYFUNCTION("""COMPUTED_VALUE"""),168353.0)</f>
        <v>168353</v>
      </c>
      <c r="B284" t="str">
        <f>IFERROR(__xludf.DUMMYFUNCTION("""COMPUTED_VALUE"""),"Pork Cured Ham With Natural Juices Slice Boneless Separable Lean And Fat Heated Pan-Broil")</f>
        <v>Pork Cured Ham With Natural Juices Slice Boneless Separable Lean And Fat Heated Pan-Broil</v>
      </c>
      <c r="C284" t="str">
        <f>IFERROR(__xludf.DUMMYFUNCTION("""COMPUTED_VALUE"""),"Meats")</f>
        <v>Meats</v>
      </c>
      <c r="D284">
        <f>IFERROR(__xludf.DUMMYFUNCTION("""COMPUTED_VALUE"""),118.0)</f>
        <v>118</v>
      </c>
      <c r="E284">
        <f>IFERROR(__xludf.DUMMYFUNCTION("""COMPUTED_VALUE"""),3.4)</f>
        <v>3.4</v>
      </c>
      <c r="F284">
        <f>IFERROR(__xludf.DUMMYFUNCTION("""COMPUTED_VALUE"""),20.89)</f>
        <v>20.89</v>
      </c>
      <c r="G284">
        <f>IFERROR(__xludf.DUMMYFUNCTION("""COMPUTED_VALUE"""),1.04)</f>
        <v>1.04</v>
      </c>
    </row>
    <row r="285">
      <c r="A285">
        <f>IFERROR(__xludf.DUMMYFUNCTION("""COMPUTED_VALUE"""),168354.0)</f>
        <v>168354</v>
      </c>
      <c r="B285" t="str">
        <f>IFERROR(__xludf.DUMMYFUNCTION("""COMPUTED_VALUE"""),"Pork Cured Ham With Natural Juices Spiral Slice Boneless Separable Lean And Fat Heated Roasted")</f>
        <v>Pork Cured Ham With Natural Juices Spiral Slice Boneless Separable Lean And Fat Heated Roasted</v>
      </c>
      <c r="C285" t="str">
        <f>IFERROR(__xludf.DUMMYFUNCTION("""COMPUTED_VALUE"""),"Meats")</f>
        <v>Meats</v>
      </c>
      <c r="D285">
        <f>IFERROR(__xludf.DUMMYFUNCTION("""COMPUTED_VALUE"""),139.0)</f>
        <v>139</v>
      </c>
      <c r="E285">
        <f>IFERROR(__xludf.DUMMYFUNCTION("""COMPUTED_VALUE"""),5.1)</f>
        <v>5.1</v>
      </c>
      <c r="F285">
        <f>IFERROR(__xludf.DUMMYFUNCTION("""COMPUTED_VALUE"""),22.18)</f>
        <v>22.18</v>
      </c>
      <c r="G285">
        <f>IFERROR(__xludf.DUMMYFUNCTION("""COMPUTED_VALUE"""),1.06)</f>
        <v>1.06</v>
      </c>
    </row>
    <row r="286">
      <c r="A286">
        <f>IFERROR(__xludf.DUMMYFUNCTION("""COMPUTED_VALUE"""),168355.0)</f>
        <v>168355</v>
      </c>
      <c r="B286" t="str">
        <f>IFERROR(__xludf.DUMMYFUNCTION("""COMPUTED_VALUE"""),"Pork Cured Ham With Natural Juices Whole Boneless Separable Lean And Fat Heated Roasted")</f>
        <v>Pork Cured Ham With Natural Juices Whole Boneless Separable Lean And Fat Heated Roasted</v>
      </c>
      <c r="C286" t="str">
        <f>IFERROR(__xludf.DUMMYFUNCTION("""COMPUTED_VALUE"""),"Meats")</f>
        <v>Meats</v>
      </c>
      <c r="D286">
        <f>IFERROR(__xludf.DUMMYFUNCTION("""COMPUTED_VALUE"""),114.0)</f>
        <v>114</v>
      </c>
      <c r="E286">
        <f>IFERROR(__xludf.DUMMYFUNCTION("""COMPUTED_VALUE"""),3.13)</f>
        <v>3.13</v>
      </c>
      <c r="F286">
        <f>IFERROR(__xludf.DUMMYFUNCTION("""COMPUTED_VALUE"""),20.54)</f>
        <v>20.54</v>
      </c>
      <c r="G286">
        <f>IFERROR(__xludf.DUMMYFUNCTION("""COMPUTED_VALUE"""),0.84)</f>
        <v>0.84</v>
      </c>
    </row>
    <row r="287">
      <c r="A287">
        <f>IFERROR(__xludf.DUMMYFUNCTION("""COMPUTED_VALUE"""),168356.0)</f>
        <v>168356</v>
      </c>
      <c r="B287" t="str">
        <f>IFERROR(__xludf.DUMMYFUNCTION("""COMPUTED_VALUE"""),"Pork Cured Ham Rump Bone-In Separable Lean And Fat Heated Roasted")</f>
        <v>Pork Cured Ham Rump Bone-In Separable Lean And Fat Heated Roasted</v>
      </c>
      <c r="C287" t="str">
        <f>IFERROR(__xludf.DUMMYFUNCTION("""COMPUTED_VALUE"""),"Meats")</f>
        <v>Meats</v>
      </c>
      <c r="D287">
        <f>IFERROR(__xludf.DUMMYFUNCTION("""COMPUTED_VALUE"""),177.0)</f>
        <v>177</v>
      </c>
      <c r="E287">
        <f>IFERROR(__xludf.DUMMYFUNCTION("""COMPUTED_VALUE"""),8.88)</f>
        <v>8.88</v>
      </c>
      <c r="F287">
        <f>IFERROR(__xludf.DUMMYFUNCTION("""COMPUTED_VALUE"""),23.95)</f>
        <v>23.95</v>
      </c>
      <c r="G287">
        <f>IFERROR(__xludf.DUMMYFUNCTION("""COMPUTED_VALUE"""),0.64)</f>
        <v>0.64</v>
      </c>
    </row>
    <row r="288">
      <c r="A288">
        <f>IFERROR(__xludf.DUMMYFUNCTION("""COMPUTED_VALUE"""),168357.0)</f>
        <v>168357</v>
      </c>
      <c r="B288" t="str">
        <f>IFERROR(__xludf.DUMMYFUNCTION("""COMPUTED_VALUE"""),"Pork Cured Ham Shank Bone-In Separable Lean And Fat Heated Roasted")</f>
        <v>Pork Cured Ham Shank Bone-In Separable Lean And Fat Heated Roasted</v>
      </c>
      <c r="C288" t="str">
        <f>IFERROR(__xludf.DUMMYFUNCTION("""COMPUTED_VALUE"""),"Meats")</f>
        <v>Meats</v>
      </c>
      <c r="D288">
        <f>IFERROR(__xludf.DUMMYFUNCTION("""COMPUTED_VALUE"""),191.0)</f>
        <v>191</v>
      </c>
      <c r="E288">
        <f>IFERROR(__xludf.DUMMYFUNCTION("""COMPUTED_VALUE"""),9.35)</f>
        <v>9.35</v>
      </c>
      <c r="F288">
        <f>IFERROR(__xludf.DUMMYFUNCTION("""COMPUTED_VALUE"""),24.39)</f>
        <v>24.39</v>
      </c>
      <c r="G288">
        <f>IFERROR(__xludf.DUMMYFUNCTION("""COMPUTED_VALUE"""),0.64)</f>
        <v>0.64</v>
      </c>
    </row>
    <row r="289">
      <c r="A289">
        <f>IFERROR(__xludf.DUMMYFUNCTION("""COMPUTED_VALUE"""),168358.0)</f>
        <v>168358</v>
      </c>
      <c r="B289" t="str">
        <f>IFERROR(__xludf.DUMMYFUNCTION("""COMPUTED_VALUE"""),"Pork Cured Ham Shank Bone-In Separable Lean And Fat Unheated")</f>
        <v>Pork Cured Ham Shank Bone-In Separable Lean And Fat Unheated</v>
      </c>
      <c r="C289" t="str">
        <f>IFERROR(__xludf.DUMMYFUNCTION("""COMPUTED_VALUE"""),"Meats")</f>
        <v>Meats</v>
      </c>
      <c r="D289">
        <f>IFERROR(__xludf.DUMMYFUNCTION("""COMPUTED_VALUE"""),177.0)</f>
        <v>177</v>
      </c>
      <c r="E289">
        <f>IFERROR(__xludf.DUMMYFUNCTION("""COMPUTED_VALUE"""),9.85)</f>
        <v>9.85</v>
      </c>
      <c r="F289">
        <f>IFERROR(__xludf.DUMMYFUNCTION("""COMPUTED_VALUE"""),21.61)</f>
        <v>21.61</v>
      </c>
      <c r="G289">
        <f>IFERROR(__xludf.DUMMYFUNCTION("""COMPUTED_VALUE"""),0.41)</f>
        <v>0.41</v>
      </c>
    </row>
    <row r="290">
      <c r="A290">
        <f>IFERROR(__xludf.DUMMYFUNCTION("""COMPUTED_VALUE"""),168359.0)</f>
        <v>168359</v>
      </c>
      <c r="B290" t="str">
        <f>IFERROR(__xludf.DUMMYFUNCTION("""COMPUTED_VALUE"""),"Pork Cured Ham Slice Bone-In Separable Lean And Fat Heated Pan-Broil")</f>
        <v>Pork Cured Ham Slice Bone-In Separable Lean And Fat Heated Pan-Broil</v>
      </c>
      <c r="C290" t="str">
        <f>IFERROR(__xludf.DUMMYFUNCTION("""COMPUTED_VALUE"""),"Meats")</f>
        <v>Meats</v>
      </c>
      <c r="D290">
        <f>IFERROR(__xludf.DUMMYFUNCTION("""COMPUTED_VALUE"""),181.0)</f>
        <v>181</v>
      </c>
      <c r="E290">
        <f>IFERROR(__xludf.DUMMYFUNCTION("""COMPUTED_VALUE"""),8.48)</f>
        <v>8.48</v>
      </c>
      <c r="F290">
        <f>IFERROR(__xludf.DUMMYFUNCTION("""COMPUTED_VALUE"""),25.48)</f>
        <v>25.48</v>
      </c>
      <c r="G290">
        <f>IFERROR(__xludf.DUMMYFUNCTION("""COMPUTED_VALUE"""),0.7)</f>
        <v>0.7</v>
      </c>
    </row>
    <row r="291">
      <c r="A291">
        <f>IFERROR(__xludf.DUMMYFUNCTION("""COMPUTED_VALUE"""),168360.0)</f>
        <v>168360</v>
      </c>
      <c r="B291" t="str">
        <f>IFERROR(__xludf.DUMMYFUNCTION("""COMPUTED_VALUE"""),"Pork Cured Ham Slice Bone-In Separable Lean Only Unheated")</f>
        <v>Pork Cured Ham Slice Bone-In Separable Lean Only Unheated</v>
      </c>
      <c r="C291" t="str">
        <f>IFERROR(__xludf.DUMMYFUNCTION("""COMPUTED_VALUE"""),"Meats")</f>
        <v>Meats</v>
      </c>
      <c r="D291">
        <f>IFERROR(__xludf.DUMMYFUNCTION("""COMPUTED_VALUE"""),130.0)</f>
        <v>130</v>
      </c>
      <c r="E291">
        <f>IFERROR(__xludf.DUMMYFUNCTION("""COMPUTED_VALUE"""),3.59)</f>
        <v>3.59</v>
      </c>
      <c r="F291">
        <f>IFERROR(__xludf.DUMMYFUNCTION("""COMPUTED_VALUE"""),24.36)</f>
        <v>24.36</v>
      </c>
      <c r="G291">
        <f>IFERROR(__xludf.DUMMYFUNCTION("""COMPUTED_VALUE"""),0.0)</f>
        <v>0</v>
      </c>
    </row>
    <row r="292">
      <c r="A292">
        <f>IFERROR(__xludf.DUMMYFUNCTION("""COMPUTED_VALUE"""),168361.0)</f>
        <v>168361</v>
      </c>
      <c r="B292" t="str">
        <f>IFERROR(__xludf.DUMMYFUNCTION("""COMPUTED_VALUE"""),"Pork Fresh Enhanced Loin Tenderloin Separable Lean Only Raw")</f>
        <v>Pork Fresh Enhanced Loin Tenderloin Separable Lean Only Raw</v>
      </c>
      <c r="C292" t="str">
        <f>IFERROR(__xludf.DUMMYFUNCTION("""COMPUTED_VALUE"""),"Meats")</f>
        <v>Meats</v>
      </c>
      <c r="D292">
        <f>IFERROR(__xludf.DUMMYFUNCTION("""COMPUTED_VALUE"""),106.0)</f>
        <v>106</v>
      </c>
      <c r="E292">
        <f>IFERROR(__xludf.DUMMYFUNCTION("""COMPUTED_VALUE"""),2.09)</f>
        <v>2.09</v>
      </c>
      <c r="F292">
        <f>IFERROR(__xludf.DUMMYFUNCTION("""COMPUTED_VALUE"""),20.39)</f>
        <v>20.39</v>
      </c>
      <c r="G292">
        <f>IFERROR(__xludf.DUMMYFUNCTION("""COMPUTED_VALUE"""),0.0)</f>
        <v>0</v>
      </c>
    </row>
    <row r="293">
      <c r="A293">
        <f>IFERROR(__xludf.DUMMYFUNCTION("""COMPUTED_VALUE"""),168362.0)</f>
        <v>168362</v>
      </c>
      <c r="B293" t="str">
        <f>IFERROR(__xludf.DUMMYFUNCTION("""COMPUTED_VALUE"""),"Pork Fresh Shoulder (Boston Butt) Blade (Steaks) Separable Lean Only With Added Solution Cooked Braised")</f>
        <v>Pork Fresh Shoulder (Boston Butt) Blade (Steaks) Separable Lean Only With Added Solution Cooked Braised</v>
      </c>
      <c r="C293" t="str">
        <f>IFERROR(__xludf.DUMMYFUNCTION("""COMPUTED_VALUE"""),"Meats")</f>
        <v>Meats</v>
      </c>
      <c r="D293">
        <f>IFERROR(__xludf.DUMMYFUNCTION("""COMPUTED_VALUE"""),227.0)</f>
        <v>227</v>
      </c>
      <c r="E293">
        <f>IFERROR(__xludf.DUMMYFUNCTION("""COMPUTED_VALUE"""),12.14)</f>
        <v>12.14</v>
      </c>
      <c r="F293">
        <f>IFERROR(__xludf.DUMMYFUNCTION("""COMPUTED_VALUE"""),27.58)</f>
        <v>27.58</v>
      </c>
      <c r="G293">
        <f>IFERROR(__xludf.DUMMYFUNCTION("""COMPUTED_VALUE"""),0.0)</f>
        <v>0</v>
      </c>
    </row>
    <row r="294">
      <c r="A294">
        <f>IFERROR(__xludf.DUMMYFUNCTION("""COMPUTED_VALUE"""),168363.0)</f>
        <v>168363</v>
      </c>
      <c r="B294" t="str">
        <f>IFERROR(__xludf.DUMMYFUNCTION("""COMPUTED_VALUE"""),"Pork Fresh Shoulder (Boston Butt) Blade (Steaks) Separable Lean Only With Added Solution Raw")</f>
        <v>Pork Fresh Shoulder (Boston Butt) Blade (Steaks) Separable Lean Only With Added Solution Raw</v>
      </c>
      <c r="C294" t="str">
        <f>IFERROR(__xludf.DUMMYFUNCTION("""COMPUTED_VALUE"""),"Meats")</f>
        <v>Meats</v>
      </c>
      <c r="D294">
        <f>IFERROR(__xludf.DUMMYFUNCTION("""COMPUTED_VALUE"""),122.0)</f>
        <v>122</v>
      </c>
      <c r="E294">
        <f>IFERROR(__xludf.DUMMYFUNCTION("""COMPUTED_VALUE"""),5.36)</f>
        <v>5.36</v>
      </c>
      <c r="F294">
        <f>IFERROR(__xludf.DUMMYFUNCTION("""COMPUTED_VALUE"""),18.29)</f>
        <v>18.29</v>
      </c>
      <c r="G294">
        <f>IFERROR(__xludf.DUMMYFUNCTION("""COMPUTED_VALUE"""),0.18)</f>
        <v>0.18</v>
      </c>
    </row>
    <row r="295">
      <c r="A295">
        <f>IFERROR(__xludf.DUMMYFUNCTION("""COMPUTED_VALUE"""),168364.0)</f>
        <v>168364</v>
      </c>
      <c r="B295" t="str">
        <f>IFERROR(__xludf.DUMMYFUNCTION("""COMPUTED_VALUE"""),"Pork Fresh Loin Top Loin (Chops) Boneless Separable Lean Only With Added Solution Cooked Broiled")</f>
        <v>Pork Fresh Loin Top Loin (Chops) Boneless Separable Lean Only With Added Solution Cooked Broiled</v>
      </c>
      <c r="C295" t="str">
        <f>IFERROR(__xludf.DUMMYFUNCTION("""COMPUTED_VALUE"""),"Meats")</f>
        <v>Meats</v>
      </c>
      <c r="D295">
        <f>IFERROR(__xludf.DUMMYFUNCTION("""COMPUTED_VALUE"""),170.0)</f>
        <v>170</v>
      </c>
      <c r="E295">
        <f>IFERROR(__xludf.DUMMYFUNCTION("""COMPUTED_VALUE"""),5.73)</f>
        <v>5.73</v>
      </c>
      <c r="F295">
        <f>IFERROR(__xludf.DUMMYFUNCTION("""COMPUTED_VALUE"""),29.65)</f>
        <v>29.65</v>
      </c>
      <c r="G295">
        <f>IFERROR(__xludf.DUMMYFUNCTION("""COMPUTED_VALUE"""),0.0)</f>
        <v>0</v>
      </c>
    </row>
    <row r="296">
      <c r="A296">
        <f>IFERROR(__xludf.DUMMYFUNCTION("""COMPUTED_VALUE"""),168365.0)</f>
        <v>168365</v>
      </c>
      <c r="B296" t="str">
        <f>IFERROR(__xludf.DUMMYFUNCTION("""COMPUTED_VALUE"""),"Pork Fresh Shoulder (Boston Butt) Blade (Steaks) Separable Lean And Fatwith Added Solution Raw")</f>
        <v>Pork Fresh Shoulder (Boston Butt) Blade (Steaks) Separable Lean And Fatwith Added Solution Raw</v>
      </c>
      <c r="C296" t="str">
        <f>IFERROR(__xludf.DUMMYFUNCTION("""COMPUTED_VALUE"""),"Meats")</f>
        <v>Meats</v>
      </c>
      <c r="D296">
        <f>IFERROR(__xludf.DUMMYFUNCTION("""COMPUTED_VALUE"""),169.0)</f>
        <v>169</v>
      </c>
      <c r="E296">
        <f>IFERROR(__xludf.DUMMYFUNCTION("""COMPUTED_VALUE"""),11.12)</f>
        <v>11.12</v>
      </c>
      <c r="F296">
        <f>IFERROR(__xludf.DUMMYFUNCTION("""COMPUTED_VALUE"""),17.19)</f>
        <v>17.19</v>
      </c>
      <c r="G296">
        <f>IFERROR(__xludf.DUMMYFUNCTION("""COMPUTED_VALUE"""),0.16)</f>
        <v>0.16</v>
      </c>
    </row>
    <row r="297">
      <c r="A297">
        <f>IFERROR(__xludf.DUMMYFUNCTION("""COMPUTED_VALUE"""),168366.0)</f>
        <v>168366</v>
      </c>
      <c r="B297" t="str">
        <f>IFERROR(__xludf.DUMMYFUNCTION("""COMPUTED_VALUE"""),"Pork Fresh Shoulder (Boston Butt) Blade (Steaks) Separable Lean And Fat With Added Solution Cooked Braised")</f>
        <v>Pork Fresh Shoulder (Boston Butt) Blade (Steaks) Separable Lean And Fat With Added Solution Cooked Braised</v>
      </c>
      <c r="C297" t="str">
        <f>IFERROR(__xludf.DUMMYFUNCTION("""COMPUTED_VALUE"""),"Meats")</f>
        <v>Meats</v>
      </c>
      <c r="D297">
        <f>IFERROR(__xludf.DUMMYFUNCTION("""COMPUTED_VALUE"""),263.0)</f>
        <v>263</v>
      </c>
      <c r="E297">
        <f>IFERROR(__xludf.DUMMYFUNCTION("""COMPUTED_VALUE"""),16.94)</f>
        <v>16.94</v>
      </c>
      <c r="F297">
        <f>IFERROR(__xludf.DUMMYFUNCTION("""COMPUTED_VALUE"""),25.84)</f>
        <v>25.84</v>
      </c>
      <c r="G297">
        <f>IFERROR(__xludf.DUMMYFUNCTION("""COMPUTED_VALUE"""),0.03)</f>
        <v>0.03</v>
      </c>
    </row>
    <row r="298">
      <c r="A298">
        <f>IFERROR(__xludf.DUMMYFUNCTION("""COMPUTED_VALUE"""),168367.0)</f>
        <v>168367</v>
      </c>
      <c r="B298" t="str">
        <f>IFERROR(__xludf.DUMMYFUNCTION("""COMPUTED_VALUE"""),"Pork Cured Ham Rump Bone-In Separable Lean And Fat Unheated")</f>
        <v>Pork Cured Ham Rump Bone-In Separable Lean And Fat Unheated</v>
      </c>
      <c r="C298" t="str">
        <f>IFERROR(__xludf.DUMMYFUNCTION("""COMPUTED_VALUE"""),"Meats")</f>
        <v>Meats</v>
      </c>
      <c r="D298">
        <f>IFERROR(__xludf.DUMMYFUNCTION("""COMPUTED_VALUE"""),176.0)</f>
        <v>176</v>
      </c>
      <c r="E298">
        <f>IFERROR(__xludf.DUMMYFUNCTION("""COMPUTED_VALUE"""),9.38)</f>
        <v>9.38</v>
      </c>
      <c r="F298">
        <f>IFERROR(__xludf.DUMMYFUNCTION("""COMPUTED_VALUE"""),22.27)</f>
        <v>22.27</v>
      </c>
      <c r="G298">
        <f>IFERROR(__xludf.DUMMYFUNCTION("""COMPUTED_VALUE"""),0.52)</f>
        <v>0.52</v>
      </c>
    </row>
    <row r="299">
      <c r="A299">
        <f>IFERROR(__xludf.DUMMYFUNCTION("""COMPUTED_VALUE"""),168368.0)</f>
        <v>168368</v>
      </c>
      <c r="B299" t="str">
        <f>IFERROR(__xludf.DUMMYFUNCTION("""COMPUTED_VALUE"""),"Pork Loin Leg Cap Steak Boneless Separable Lean And Fat Cooked Broiled")</f>
        <v>Pork Loin Leg Cap Steak Boneless Separable Lean And Fat Cooked Broiled</v>
      </c>
      <c r="C299" t="str">
        <f>IFERROR(__xludf.DUMMYFUNCTION("""COMPUTED_VALUE"""),"Meats")</f>
        <v>Meats</v>
      </c>
      <c r="D299">
        <f>IFERROR(__xludf.DUMMYFUNCTION("""COMPUTED_VALUE"""),158.0)</f>
        <v>158</v>
      </c>
      <c r="E299">
        <f>IFERROR(__xludf.DUMMYFUNCTION("""COMPUTED_VALUE"""),4.41)</f>
        <v>4.41</v>
      </c>
      <c r="F299">
        <f>IFERROR(__xludf.DUMMYFUNCTION("""COMPUTED_VALUE"""),27.57)</f>
        <v>27.57</v>
      </c>
      <c r="G299">
        <f>IFERROR(__xludf.DUMMYFUNCTION("""COMPUTED_VALUE"""),0.0)</f>
        <v>0</v>
      </c>
    </row>
    <row r="300">
      <c r="A300">
        <f>IFERROR(__xludf.DUMMYFUNCTION("""COMPUTED_VALUE"""),168369.0)</f>
        <v>168369</v>
      </c>
      <c r="B300" t="str">
        <f>IFERROR(__xludf.DUMMYFUNCTION("""COMPUTED_VALUE"""),"Pork Shoulder Petite Tender Boneless Separable Lean And Fat Raw")</f>
        <v>Pork Shoulder Petite Tender Boneless Separable Lean And Fat Raw</v>
      </c>
      <c r="C300" t="str">
        <f>IFERROR(__xludf.DUMMYFUNCTION("""COMPUTED_VALUE"""),"Meats")</f>
        <v>Meats</v>
      </c>
      <c r="D300">
        <f>IFERROR(__xludf.DUMMYFUNCTION("""COMPUTED_VALUE"""),128.0)</f>
        <v>128</v>
      </c>
      <c r="E300">
        <f>IFERROR(__xludf.DUMMYFUNCTION("""COMPUTED_VALUE"""),3.91)</f>
        <v>3.91</v>
      </c>
      <c r="F300">
        <f>IFERROR(__xludf.DUMMYFUNCTION("""COMPUTED_VALUE"""),21.65)</f>
        <v>21.65</v>
      </c>
      <c r="G300">
        <f>IFERROR(__xludf.DUMMYFUNCTION("""COMPUTED_VALUE"""),0.0)</f>
        <v>0</v>
      </c>
    </row>
    <row r="301">
      <c r="A301">
        <f>IFERROR(__xludf.DUMMYFUNCTION("""COMPUTED_VALUE"""),168370.0)</f>
        <v>168370</v>
      </c>
      <c r="B301" t="str">
        <f>IFERROR(__xludf.DUMMYFUNCTION("""COMPUTED_VALUE"""),"Pork Leg Sirloin Tip Roast Boneless Separable Lean And Fat Cooked Braised")</f>
        <v>Pork Leg Sirloin Tip Roast Boneless Separable Lean And Fat Cooked Braised</v>
      </c>
      <c r="C301" t="str">
        <f>IFERROR(__xludf.DUMMYFUNCTION("""COMPUTED_VALUE"""),"Meats")</f>
        <v>Meats</v>
      </c>
      <c r="D301">
        <f>IFERROR(__xludf.DUMMYFUNCTION("""COMPUTED_VALUE"""),156.0)</f>
        <v>156</v>
      </c>
      <c r="E301">
        <f>IFERROR(__xludf.DUMMYFUNCTION("""COMPUTED_VALUE"""),2.56)</f>
        <v>2.56</v>
      </c>
      <c r="F301">
        <f>IFERROR(__xludf.DUMMYFUNCTION("""COMPUTED_VALUE"""),31.11)</f>
        <v>31.11</v>
      </c>
      <c r="G301">
        <f>IFERROR(__xludf.DUMMYFUNCTION("""COMPUTED_VALUE"""),0.0)</f>
        <v>0</v>
      </c>
    </row>
    <row r="302">
      <c r="A302">
        <f>IFERROR(__xludf.DUMMYFUNCTION("""COMPUTED_VALUE"""),168371.0)</f>
        <v>168371</v>
      </c>
      <c r="B302" t="str">
        <f>IFERROR(__xludf.DUMMYFUNCTION("""COMPUTED_VALUE"""),"Pork Leg Sirloin Tip Roast Boneless Separable Lean And Fat Raw")</f>
        <v>Pork Leg Sirloin Tip Roast Boneless Separable Lean And Fat Raw</v>
      </c>
      <c r="C302" t="str">
        <f>IFERROR(__xludf.DUMMYFUNCTION("""COMPUTED_VALUE"""),"Meats")</f>
        <v>Meats</v>
      </c>
      <c r="D302">
        <f>IFERROR(__xludf.DUMMYFUNCTION("""COMPUTED_VALUE"""),113.0)</f>
        <v>113</v>
      </c>
      <c r="E302">
        <f>IFERROR(__xludf.DUMMYFUNCTION("""COMPUTED_VALUE"""),1.71)</f>
        <v>1.71</v>
      </c>
      <c r="F302">
        <f>IFERROR(__xludf.DUMMYFUNCTION("""COMPUTED_VALUE"""),22.88)</f>
        <v>22.88</v>
      </c>
      <c r="G302">
        <f>IFERROR(__xludf.DUMMYFUNCTION("""COMPUTED_VALUE"""),0.0)</f>
        <v>0</v>
      </c>
    </row>
    <row r="303">
      <c r="A303">
        <f>IFERROR(__xludf.DUMMYFUNCTION("""COMPUTED_VALUE"""),168372.0)</f>
        <v>168372</v>
      </c>
      <c r="B303" t="str">
        <f>IFERROR(__xludf.DUMMYFUNCTION("""COMPUTED_VALUE"""),"Pork Ground 84% Lean / 16% Fat Raw")</f>
        <v>Pork Ground 84% Lean / 16% Fat Raw</v>
      </c>
      <c r="C303" t="str">
        <f>IFERROR(__xludf.DUMMYFUNCTION("""COMPUTED_VALUE"""),"Meats")</f>
        <v>Meats</v>
      </c>
      <c r="D303">
        <f>IFERROR(__xludf.DUMMYFUNCTION("""COMPUTED_VALUE"""),218.0)</f>
        <v>218</v>
      </c>
      <c r="E303">
        <f>IFERROR(__xludf.DUMMYFUNCTION("""COMPUTED_VALUE"""),16.0)</f>
        <v>16</v>
      </c>
      <c r="F303">
        <f>IFERROR(__xludf.DUMMYFUNCTION("""COMPUTED_VALUE"""),17.99)</f>
        <v>17.99</v>
      </c>
      <c r="G303">
        <f>IFERROR(__xludf.DUMMYFUNCTION("""COMPUTED_VALUE"""),0.44)</f>
        <v>0.44</v>
      </c>
    </row>
    <row r="304">
      <c r="A304">
        <f>IFERROR(__xludf.DUMMYFUNCTION("""COMPUTED_VALUE"""),168373.0)</f>
        <v>168373</v>
      </c>
      <c r="B304" t="str">
        <f>IFERROR(__xludf.DUMMYFUNCTION("""COMPUTED_VALUE"""),"Pork Ground 72% Lean / 28% Fat Cooked Pan-Broiled")</f>
        <v>Pork Ground 72% Lean / 28% Fat Cooked Pan-Broiled</v>
      </c>
      <c r="C304" t="str">
        <f>IFERROR(__xludf.DUMMYFUNCTION("""COMPUTED_VALUE"""),"Meats")</f>
        <v>Meats</v>
      </c>
      <c r="D304">
        <f>IFERROR(__xludf.DUMMYFUNCTION("""COMPUTED_VALUE"""),377.0)</f>
        <v>377</v>
      </c>
      <c r="E304">
        <f>IFERROR(__xludf.DUMMYFUNCTION("""COMPUTED_VALUE"""),31.42)</f>
        <v>31.42</v>
      </c>
      <c r="F304">
        <f>IFERROR(__xludf.DUMMYFUNCTION("""COMPUTED_VALUE"""),22.59)</f>
        <v>22.59</v>
      </c>
      <c r="G304">
        <f>IFERROR(__xludf.DUMMYFUNCTION("""COMPUTED_VALUE"""),1.08)</f>
        <v>1.08</v>
      </c>
    </row>
    <row r="305">
      <c r="A305">
        <f>IFERROR(__xludf.DUMMYFUNCTION("""COMPUTED_VALUE"""),168374.0)</f>
        <v>168374</v>
      </c>
      <c r="B305" t="str">
        <f>IFERROR(__xludf.DUMMYFUNCTION("""COMPUTED_VALUE"""),"Pork Ground 84% Lean / 16% Fat Cooked Pan-Broiled")</f>
        <v>Pork Ground 84% Lean / 16% Fat Cooked Pan-Broiled</v>
      </c>
      <c r="C305" t="str">
        <f>IFERROR(__xludf.DUMMYFUNCTION("""COMPUTED_VALUE"""),"Meats")</f>
        <v>Meats</v>
      </c>
      <c r="D305">
        <f>IFERROR(__xludf.DUMMYFUNCTION("""COMPUTED_VALUE"""),301.0)</f>
        <v>301</v>
      </c>
      <c r="E305">
        <f>IFERROR(__xludf.DUMMYFUNCTION("""COMPUTED_VALUE"""),21.39)</f>
        <v>21.39</v>
      </c>
      <c r="F305">
        <f>IFERROR(__xludf.DUMMYFUNCTION("""COMPUTED_VALUE"""),27.14)</f>
        <v>27.14</v>
      </c>
      <c r="G305">
        <f>IFERROR(__xludf.DUMMYFUNCTION("""COMPUTED_VALUE"""),0.0)</f>
        <v>0</v>
      </c>
    </row>
    <row r="306">
      <c r="A306">
        <f>IFERROR(__xludf.DUMMYFUNCTION("""COMPUTED_VALUE"""),168375.0)</f>
        <v>168375</v>
      </c>
      <c r="B306" t="str">
        <f>IFERROR(__xludf.DUMMYFUNCTION("""COMPUTED_VALUE"""),"Pork Ground 96% Lean / 4% Fat Cooked Pan-Broiled")</f>
        <v>Pork Ground 96% Lean / 4% Fat Cooked Pan-Broiled</v>
      </c>
      <c r="C306" t="str">
        <f>IFERROR(__xludf.DUMMYFUNCTION("""COMPUTED_VALUE"""),"Meats")</f>
        <v>Meats</v>
      </c>
      <c r="D306">
        <f>IFERROR(__xludf.DUMMYFUNCTION("""COMPUTED_VALUE"""),185.0)</f>
        <v>185</v>
      </c>
      <c r="E306">
        <f>IFERROR(__xludf.DUMMYFUNCTION("""COMPUTED_VALUE"""),6.2)</f>
        <v>6.2</v>
      </c>
      <c r="F306">
        <f>IFERROR(__xludf.DUMMYFUNCTION("""COMPUTED_VALUE"""),31.69)</f>
        <v>31.69</v>
      </c>
      <c r="G306">
        <f>IFERROR(__xludf.DUMMYFUNCTION("""COMPUTED_VALUE"""),0.57)</f>
        <v>0.57</v>
      </c>
    </row>
    <row r="307">
      <c r="A307">
        <f>IFERROR(__xludf.DUMMYFUNCTION("""COMPUTED_VALUE"""),168376.0)</f>
        <v>168376</v>
      </c>
      <c r="B307" t="str">
        <f>IFERROR(__xludf.DUMMYFUNCTION("""COMPUTED_VALUE"""),"Pork Loin Fresh Backribs Bone-In Raw Lean Only")</f>
        <v>Pork Loin Fresh Backribs Bone-In Raw Lean Only</v>
      </c>
      <c r="C307" t="str">
        <f>IFERROR(__xludf.DUMMYFUNCTION("""COMPUTED_VALUE"""),"Meats")</f>
        <v>Meats</v>
      </c>
      <c r="D307">
        <f>IFERROR(__xludf.DUMMYFUNCTION("""COMPUTED_VALUE"""),172.0)</f>
        <v>172</v>
      </c>
      <c r="E307">
        <f>IFERROR(__xludf.DUMMYFUNCTION("""COMPUTED_VALUE"""),9.84)</f>
        <v>9.84</v>
      </c>
      <c r="F307">
        <f>IFERROR(__xludf.DUMMYFUNCTION("""COMPUTED_VALUE"""),20.85)</f>
        <v>20.85</v>
      </c>
      <c r="G307">
        <f>IFERROR(__xludf.DUMMYFUNCTION("""COMPUTED_VALUE"""),0.0)</f>
        <v>0</v>
      </c>
    </row>
    <row r="308">
      <c r="A308">
        <f>IFERROR(__xludf.DUMMYFUNCTION("""COMPUTED_VALUE"""),168377.0)</f>
        <v>168377</v>
      </c>
      <c r="B308" t="str">
        <f>IFERROR(__xludf.DUMMYFUNCTION("""COMPUTED_VALUE"""),"Pork Loin Fresh Backribs Bone-In Cooked-Roasted Lean Only")</f>
        <v>Pork Loin Fresh Backribs Bone-In Cooked-Roasted Lean Only</v>
      </c>
      <c r="C308" t="str">
        <f>IFERROR(__xludf.DUMMYFUNCTION("""COMPUTED_VALUE"""),"Meats")</f>
        <v>Meats</v>
      </c>
      <c r="D308">
        <f>IFERROR(__xludf.DUMMYFUNCTION("""COMPUTED_VALUE"""),255.0)</f>
        <v>255</v>
      </c>
      <c r="E308">
        <f>IFERROR(__xludf.DUMMYFUNCTION("""COMPUTED_VALUE"""),17.65)</f>
        <v>17.65</v>
      </c>
      <c r="F308">
        <f>IFERROR(__xludf.DUMMYFUNCTION("""COMPUTED_VALUE"""),24.15)</f>
        <v>24.15</v>
      </c>
      <c r="G308">
        <f>IFERROR(__xludf.DUMMYFUNCTION("""COMPUTED_VALUE"""),0.0)</f>
        <v>0</v>
      </c>
    </row>
    <row r="309">
      <c r="A309">
        <f>IFERROR(__xludf.DUMMYFUNCTION("""COMPUTED_VALUE"""),168378.0)</f>
        <v>168378</v>
      </c>
      <c r="B309" t="str">
        <f>IFERROR(__xludf.DUMMYFUNCTION("""COMPUTED_VALUE"""),"Pork Fresh Loin Country-Style Ribs Separable Lean Only Bone-In Cooked Broiled")</f>
        <v>Pork Fresh Loin Country-Style Ribs Separable Lean Only Bone-In Cooked Broiled</v>
      </c>
      <c r="C309" t="str">
        <f>IFERROR(__xludf.DUMMYFUNCTION("""COMPUTED_VALUE"""),"Meats")</f>
        <v>Meats</v>
      </c>
      <c r="D309">
        <f>IFERROR(__xludf.DUMMYFUNCTION("""COMPUTED_VALUE"""),216.0)</f>
        <v>216</v>
      </c>
      <c r="E309">
        <f>IFERROR(__xludf.DUMMYFUNCTION("""COMPUTED_VALUE"""),11.65)</f>
        <v>11.65</v>
      </c>
      <c r="F309">
        <f>IFERROR(__xludf.DUMMYFUNCTION("""COMPUTED_VALUE"""),27.83)</f>
        <v>27.83</v>
      </c>
      <c r="G309">
        <f>IFERROR(__xludf.DUMMYFUNCTION("""COMPUTED_VALUE"""),0.0)</f>
        <v>0</v>
      </c>
    </row>
    <row r="310">
      <c r="A310">
        <f>IFERROR(__xludf.DUMMYFUNCTION("""COMPUTED_VALUE"""),168379.0)</f>
        <v>168379</v>
      </c>
      <c r="B310" t="str">
        <f>IFERROR(__xludf.DUMMYFUNCTION("""COMPUTED_VALUE"""),"Pork Fresh Loin Country-Style Ribs Separable Lean Only Boneless Cooked Roasted")</f>
        <v>Pork Fresh Loin Country-Style Ribs Separable Lean Only Boneless Cooked Roasted</v>
      </c>
      <c r="C310" t="str">
        <f>IFERROR(__xludf.DUMMYFUNCTION("""COMPUTED_VALUE"""),"Meats")</f>
        <v>Meats</v>
      </c>
      <c r="D310">
        <f>IFERROR(__xludf.DUMMYFUNCTION("""COMPUTED_VALUE"""),219.0)</f>
        <v>219</v>
      </c>
      <c r="E310">
        <f>IFERROR(__xludf.DUMMYFUNCTION("""COMPUTED_VALUE"""),11.38)</f>
        <v>11.38</v>
      </c>
      <c r="F310">
        <f>IFERROR(__xludf.DUMMYFUNCTION("""COMPUTED_VALUE"""),29.2)</f>
        <v>29.2</v>
      </c>
      <c r="G310">
        <f>IFERROR(__xludf.DUMMYFUNCTION("""COMPUTED_VALUE"""),0.0)</f>
        <v>0</v>
      </c>
    </row>
    <row r="311">
      <c r="A311">
        <f>IFERROR(__xludf.DUMMYFUNCTION("""COMPUTED_VALUE"""),168380.0)</f>
        <v>168380</v>
      </c>
      <c r="B311" t="str">
        <f>IFERROR(__xludf.DUMMYFUNCTION("""COMPUTED_VALUE"""),"Pork Fresh Blade (Chops) Boneless Separable Lean And Fat Cooked Broiled")</f>
        <v>Pork Fresh Blade (Chops) Boneless Separable Lean And Fat Cooked Broiled</v>
      </c>
      <c r="C311" t="str">
        <f>IFERROR(__xludf.DUMMYFUNCTION("""COMPUTED_VALUE"""),"Meats")</f>
        <v>Meats</v>
      </c>
      <c r="D311">
        <f>IFERROR(__xludf.DUMMYFUNCTION("""COMPUTED_VALUE"""),202.0)</f>
        <v>202</v>
      </c>
      <c r="E311">
        <f>IFERROR(__xludf.DUMMYFUNCTION("""COMPUTED_VALUE"""),11.13)</f>
        <v>11.13</v>
      </c>
      <c r="F311">
        <f>IFERROR(__xludf.DUMMYFUNCTION("""COMPUTED_VALUE"""),24.73)</f>
        <v>24.73</v>
      </c>
      <c r="G311">
        <f>IFERROR(__xludf.DUMMYFUNCTION("""COMPUTED_VALUE"""),0.83)</f>
        <v>0.83</v>
      </c>
    </row>
    <row r="312">
      <c r="A312">
        <f>IFERROR(__xludf.DUMMYFUNCTION("""COMPUTED_VALUE"""),168381.0)</f>
        <v>168381</v>
      </c>
      <c r="B312" t="str">
        <f>IFERROR(__xludf.DUMMYFUNCTION("""COMPUTED_VALUE"""),"Pork Fresh Loin Blade (Chops Or Roasts) Boneless Separable Lean And Fat Only Raw")</f>
        <v>Pork Fresh Loin Blade (Chops Or Roasts) Boneless Separable Lean And Fat Only Raw</v>
      </c>
      <c r="C312" t="str">
        <f>IFERROR(__xludf.DUMMYFUNCTION("""COMPUTED_VALUE"""),"Meats")</f>
        <v>Meats</v>
      </c>
      <c r="D312">
        <f>IFERROR(__xludf.DUMMYFUNCTION("""COMPUTED_VALUE"""),157.0)</f>
        <v>157</v>
      </c>
      <c r="E312">
        <f>IFERROR(__xludf.DUMMYFUNCTION("""COMPUTED_VALUE"""),7.94)</f>
        <v>7.94</v>
      </c>
      <c r="F312">
        <f>IFERROR(__xludf.DUMMYFUNCTION("""COMPUTED_VALUE"""),20.54)</f>
        <v>20.54</v>
      </c>
      <c r="G312">
        <f>IFERROR(__xludf.DUMMYFUNCTION("""COMPUTED_VALUE"""),0.76)</f>
        <v>0.76</v>
      </c>
    </row>
    <row r="313">
      <c r="A313">
        <f>IFERROR(__xludf.DUMMYFUNCTION("""COMPUTED_VALUE"""),168382.0)</f>
        <v>168382</v>
      </c>
      <c r="B313" t="str">
        <f>IFERROR(__xludf.DUMMYFUNCTION("""COMPUTED_VALUE"""),"Bacon Pre-Sliced Reduced/low Sodium Unprepared")</f>
        <v>Bacon Pre-Sliced Reduced/low Sodium Unprepared</v>
      </c>
      <c r="C313" t="str">
        <f>IFERROR(__xludf.DUMMYFUNCTION("""COMPUTED_VALUE"""),"Meats")</f>
        <v>Meats</v>
      </c>
      <c r="D313">
        <f>IFERROR(__xludf.DUMMYFUNCTION("""COMPUTED_VALUE"""),407.0)</f>
        <v>407</v>
      </c>
      <c r="E313">
        <f>IFERROR(__xludf.DUMMYFUNCTION("""COMPUTED_VALUE"""),39.27)</f>
        <v>39.27</v>
      </c>
      <c r="F313">
        <f>IFERROR(__xludf.DUMMYFUNCTION("""COMPUTED_VALUE"""),12.53)</f>
        <v>12.53</v>
      </c>
      <c r="G313">
        <f>IFERROR(__xludf.DUMMYFUNCTION("""COMPUTED_VALUE"""),0.83)</f>
        <v>0.83</v>
      </c>
    </row>
    <row r="314">
      <c r="A314">
        <f>IFERROR(__xludf.DUMMYFUNCTION("""COMPUTED_VALUE"""),168383.0)</f>
        <v>168383</v>
      </c>
      <c r="B314" t="str">
        <f>IFERROR(__xludf.DUMMYFUNCTION("""COMPUTED_VALUE"""),"Canadian Bacon (Pan-Fried)")</f>
        <v>Canadian Bacon (Pan-Fried)</v>
      </c>
      <c r="C314" t="str">
        <f>IFERROR(__xludf.DUMMYFUNCTION("""COMPUTED_VALUE"""),"Meats")</f>
        <v>Meats</v>
      </c>
      <c r="D314">
        <f>IFERROR(__xludf.DUMMYFUNCTION("""COMPUTED_VALUE"""),146.0)</f>
        <v>146</v>
      </c>
      <c r="E314">
        <f>IFERROR(__xludf.DUMMYFUNCTION("""COMPUTED_VALUE"""),2.78)</f>
        <v>2.78</v>
      </c>
      <c r="F314">
        <f>IFERROR(__xludf.DUMMYFUNCTION("""COMPUTED_VALUE"""),28.31)</f>
        <v>28.31</v>
      </c>
      <c r="G314">
        <f>IFERROR(__xludf.DUMMYFUNCTION("""COMPUTED_VALUE"""),1.8)</f>
        <v>1.8</v>
      </c>
    </row>
    <row r="315">
      <c r="A315">
        <f>IFERROR(__xludf.DUMMYFUNCTION("""COMPUTED_VALUE"""),168605.0)</f>
        <v>168605</v>
      </c>
      <c r="B315" t="str">
        <f>IFERROR(__xludf.DUMMYFUNCTION("""COMPUTED_VALUE"""),"Beef Retail Cuts Separable Fat Raw")</f>
        <v>Beef Retail Cuts Separable Fat Raw</v>
      </c>
      <c r="C315" t="str">
        <f>IFERROR(__xludf.DUMMYFUNCTION("""COMPUTED_VALUE"""),"Meats")</f>
        <v>Meats</v>
      </c>
      <c r="D315">
        <f>IFERROR(__xludf.DUMMYFUNCTION("""COMPUTED_VALUE"""),674.0)</f>
        <v>674</v>
      </c>
      <c r="E315">
        <f>IFERROR(__xludf.DUMMYFUNCTION("""COMPUTED_VALUE"""),70.89)</f>
        <v>70.89</v>
      </c>
      <c r="F315">
        <f>IFERROR(__xludf.DUMMYFUNCTION("""COMPUTED_VALUE"""),8.21)</f>
        <v>8.21</v>
      </c>
      <c r="G315">
        <f>IFERROR(__xludf.DUMMYFUNCTION("""COMPUTED_VALUE"""),0.0)</f>
        <v>0</v>
      </c>
    </row>
    <row r="316">
      <c r="A316">
        <f>IFERROR(__xludf.DUMMYFUNCTION("""COMPUTED_VALUE"""),168606.0)</f>
        <v>168606</v>
      </c>
      <c r="B316" t="str">
        <f>IFERROR(__xludf.DUMMYFUNCTION("""COMPUTED_VALUE"""),"Beef Retail Cuts Separable Fat Cooked")</f>
        <v>Beef Retail Cuts Separable Fat Cooked</v>
      </c>
      <c r="C316" t="str">
        <f>IFERROR(__xludf.DUMMYFUNCTION("""COMPUTED_VALUE"""),"Meats")</f>
        <v>Meats</v>
      </c>
      <c r="D316">
        <f>IFERROR(__xludf.DUMMYFUNCTION("""COMPUTED_VALUE"""),680.0)</f>
        <v>680</v>
      </c>
      <c r="E316">
        <f>IFERROR(__xludf.DUMMYFUNCTION("""COMPUTED_VALUE"""),70.33)</f>
        <v>70.33</v>
      </c>
      <c r="F316">
        <f>IFERROR(__xludf.DUMMYFUNCTION("""COMPUTED_VALUE"""),10.65)</f>
        <v>10.65</v>
      </c>
      <c r="G316">
        <f>IFERROR(__xludf.DUMMYFUNCTION("""COMPUTED_VALUE"""),0.0)</f>
        <v>0</v>
      </c>
    </row>
    <row r="317">
      <c r="A317">
        <f>IFERROR(__xludf.DUMMYFUNCTION("""COMPUTED_VALUE"""),168607.0)</f>
        <v>168607</v>
      </c>
      <c r="B317" t="str">
        <f>IFERROR(__xludf.DUMMYFUNCTION("""COMPUTED_VALUE"""),"Beef Brisket Whole Separable Lean Only All Grades Raw")</f>
        <v>Beef Brisket Whole Separable Lean Only All Grades Raw</v>
      </c>
      <c r="C317" t="str">
        <f>IFERROR(__xludf.DUMMYFUNCTION("""COMPUTED_VALUE"""),"Meats")</f>
        <v>Meats</v>
      </c>
      <c r="D317">
        <f>IFERROR(__xludf.DUMMYFUNCTION("""COMPUTED_VALUE"""),157.0)</f>
        <v>157</v>
      </c>
      <c r="E317">
        <f>IFERROR(__xludf.DUMMYFUNCTION("""COMPUTED_VALUE"""),7.37)</f>
        <v>7.37</v>
      </c>
      <c r="F317">
        <f>IFERROR(__xludf.DUMMYFUNCTION("""COMPUTED_VALUE"""),20.72)</f>
        <v>20.72</v>
      </c>
      <c r="G317">
        <f>IFERROR(__xludf.DUMMYFUNCTION("""COMPUTED_VALUE"""),0.6)</f>
        <v>0.6</v>
      </c>
    </row>
    <row r="318">
      <c r="A318">
        <f>IFERROR(__xludf.DUMMYFUNCTION("""COMPUTED_VALUE"""),168608.0)</f>
        <v>168608</v>
      </c>
      <c r="B318" t="str">
        <f>IFERROR(__xludf.DUMMYFUNCTION("""COMPUTED_VALUE"""),"Beef Grass-Fed Ground Raw")</f>
        <v>Beef Grass-Fed Ground Raw</v>
      </c>
      <c r="C318" t="str">
        <f>IFERROR(__xludf.DUMMYFUNCTION("""COMPUTED_VALUE"""),"Meats")</f>
        <v>Meats</v>
      </c>
      <c r="D318">
        <f>IFERROR(__xludf.DUMMYFUNCTION("""COMPUTED_VALUE"""),198.0)</f>
        <v>198</v>
      </c>
      <c r="E318">
        <f>IFERROR(__xludf.DUMMYFUNCTION("""COMPUTED_VALUE"""),12.73)</f>
        <v>12.73</v>
      </c>
      <c r="F318">
        <f>IFERROR(__xludf.DUMMYFUNCTION("""COMPUTED_VALUE"""),19.42)</f>
        <v>19.42</v>
      </c>
      <c r="G318">
        <f>IFERROR(__xludf.DUMMYFUNCTION("""COMPUTED_VALUE"""),0.0)</f>
        <v>0</v>
      </c>
    </row>
    <row r="319">
      <c r="A319">
        <f>IFERROR(__xludf.DUMMYFUNCTION("""COMPUTED_VALUE"""),168609.0)</f>
        <v>168609</v>
      </c>
      <c r="B319" t="str">
        <f>IFERROR(__xludf.DUMMYFUNCTION("""COMPUTED_VALUE"""),"Beef Flank Steak Separable Lean Only Trimmed To 0 Inch Fat Choice Raw")</f>
        <v>Beef Flank Steak Separable Lean Only Trimmed To 0 Inch Fat Choice Raw</v>
      </c>
      <c r="C319" t="str">
        <f>IFERROR(__xludf.DUMMYFUNCTION("""COMPUTED_VALUE"""),"Meats")</f>
        <v>Meats</v>
      </c>
      <c r="D319">
        <f>IFERROR(__xludf.DUMMYFUNCTION("""COMPUTED_VALUE"""),149.0)</f>
        <v>149</v>
      </c>
      <c r="E319">
        <f>IFERROR(__xludf.DUMMYFUNCTION("""COMPUTED_VALUE"""),6.29)</f>
        <v>6.29</v>
      </c>
      <c r="F319">
        <f>IFERROR(__xludf.DUMMYFUNCTION("""COMPUTED_VALUE"""),21.72)</f>
        <v>21.72</v>
      </c>
      <c r="G319">
        <f>IFERROR(__xludf.DUMMYFUNCTION("""COMPUTED_VALUE"""),0.0)</f>
        <v>0</v>
      </c>
    </row>
    <row r="320">
      <c r="A320">
        <f>IFERROR(__xludf.DUMMYFUNCTION("""COMPUTED_VALUE"""),168610.0)</f>
        <v>168610</v>
      </c>
      <c r="B320" t="str">
        <f>IFERROR(__xludf.DUMMYFUNCTION("""COMPUTED_VALUE"""),"Beef Flank Steak Separable Lean Only Trimmed To 0 Inch Fat Choice Cooked Braised")</f>
        <v>Beef Flank Steak Separable Lean Only Trimmed To 0 Inch Fat Choice Cooked Braised</v>
      </c>
      <c r="C320" t="str">
        <f>IFERROR(__xludf.DUMMYFUNCTION("""COMPUTED_VALUE"""),"Meats")</f>
        <v>Meats</v>
      </c>
      <c r="D320">
        <f>IFERROR(__xludf.DUMMYFUNCTION("""COMPUTED_VALUE"""),237.0)</f>
        <v>237</v>
      </c>
      <c r="E320">
        <f>IFERROR(__xludf.DUMMYFUNCTION("""COMPUTED_VALUE"""),13.0)</f>
        <v>13</v>
      </c>
      <c r="F320">
        <f>IFERROR(__xludf.DUMMYFUNCTION("""COMPUTED_VALUE"""),28.02)</f>
        <v>28.02</v>
      </c>
      <c r="G320">
        <f>IFERROR(__xludf.DUMMYFUNCTION("""COMPUTED_VALUE"""),0.0)</f>
        <v>0</v>
      </c>
    </row>
    <row r="321">
      <c r="A321">
        <f>IFERROR(__xludf.DUMMYFUNCTION("""COMPUTED_VALUE"""),168611.0)</f>
        <v>168611</v>
      </c>
      <c r="B321" t="str">
        <f>IFERROR(__xludf.DUMMYFUNCTION("""COMPUTED_VALUE"""),"Broiled Lean Beef Flank Steak")</f>
        <v>Broiled Lean Beef Flank Steak</v>
      </c>
      <c r="C321" t="str">
        <f>IFERROR(__xludf.DUMMYFUNCTION("""COMPUTED_VALUE"""),"Meats")</f>
        <v>Meats</v>
      </c>
      <c r="D321">
        <f>IFERROR(__xludf.DUMMYFUNCTION("""COMPUTED_VALUE"""),194.0)</f>
        <v>194</v>
      </c>
      <c r="E321">
        <f>IFERROR(__xludf.DUMMYFUNCTION("""COMPUTED_VALUE"""),8.32)</f>
        <v>8.32</v>
      </c>
      <c r="F321">
        <f>IFERROR(__xludf.DUMMYFUNCTION("""COMPUTED_VALUE"""),27.82)</f>
        <v>27.82</v>
      </c>
      <c r="G321">
        <f>IFERROR(__xludf.DUMMYFUNCTION("""COMPUTED_VALUE"""),0.0)</f>
        <v>0</v>
      </c>
    </row>
    <row r="322">
      <c r="A322">
        <f>IFERROR(__xludf.DUMMYFUNCTION("""COMPUTED_VALUE"""),168612.0)</f>
        <v>168612</v>
      </c>
      <c r="B322" t="str">
        <f>IFERROR(__xludf.DUMMYFUNCTION("""COMPUTED_VALUE"""),"Beef Rib Eye Small End (Ribs 10-12) Separable Lean And Fat Trimmed To 0 Inch Fat Choice Raw")</f>
        <v>Beef Rib Eye Small End (Ribs 10-12) Separable Lean And Fat Trimmed To 0 Inch Fat Choice Raw</v>
      </c>
      <c r="C322" t="str">
        <f>IFERROR(__xludf.DUMMYFUNCTION("""COMPUTED_VALUE"""),"Meats")</f>
        <v>Meats</v>
      </c>
      <c r="D322">
        <f>IFERROR(__xludf.DUMMYFUNCTION("""COMPUTED_VALUE"""),274.0)</f>
        <v>274</v>
      </c>
      <c r="E322">
        <f>IFERROR(__xludf.DUMMYFUNCTION("""COMPUTED_VALUE"""),22.07)</f>
        <v>22.07</v>
      </c>
      <c r="F322">
        <f>IFERROR(__xludf.DUMMYFUNCTION("""COMPUTED_VALUE"""),17.51)</f>
        <v>17.51</v>
      </c>
      <c r="G322">
        <f>IFERROR(__xludf.DUMMYFUNCTION("""COMPUTED_VALUE"""),0.0)</f>
        <v>0</v>
      </c>
    </row>
    <row r="323">
      <c r="A323">
        <f>IFERROR(__xludf.DUMMYFUNCTION("""COMPUTED_VALUE"""),168613.0)</f>
        <v>168613</v>
      </c>
      <c r="B323" t="str">
        <f>IFERROR(__xludf.DUMMYFUNCTION("""COMPUTED_VALUE"""),"Braised Beef Shortribs")</f>
        <v>Braised Beef Shortribs</v>
      </c>
      <c r="C323" t="str">
        <f>IFERROR(__xludf.DUMMYFUNCTION("""COMPUTED_VALUE"""),"Meats")</f>
        <v>Meats</v>
      </c>
      <c r="D323">
        <f>IFERROR(__xludf.DUMMYFUNCTION("""COMPUTED_VALUE"""),471.0)</f>
        <v>471</v>
      </c>
      <c r="E323">
        <f>IFERROR(__xludf.DUMMYFUNCTION("""COMPUTED_VALUE"""),41.98)</f>
        <v>41.98</v>
      </c>
      <c r="F323">
        <f>IFERROR(__xludf.DUMMYFUNCTION("""COMPUTED_VALUE"""),21.57)</f>
        <v>21.57</v>
      </c>
      <c r="G323">
        <f>IFERROR(__xludf.DUMMYFUNCTION("""COMPUTED_VALUE"""),0.0)</f>
        <v>0</v>
      </c>
    </row>
    <row r="324">
      <c r="A324">
        <f>IFERROR(__xludf.DUMMYFUNCTION("""COMPUTED_VALUE"""),168614.0)</f>
        <v>168614</v>
      </c>
      <c r="B324" t="str">
        <f>IFERROR(__xludf.DUMMYFUNCTION("""COMPUTED_VALUE"""),"Beef Rib Shortribs Separable Lean Only Choice Raw")</f>
        <v>Beef Rib Shortribs Separable Lean Only Choice Raw</v>
      </c>
      <c r="C324" t="str">
        <f>IFERROR(__xludf.DUMMYFUNCTION("""COMPUTED_VALUE"""),"Meats")</f>
        <v>Meats</v>
      </c>
      <c r="D324">
        <f>IFERROR(__xludf.DUMMYFUNCTION("""COMPUTED_VALUE"""),175.0)</f>
        <v>175</v>
      </c>
      <c r="E324">
        <f>IFERROR(__xludf.DUMMYFUNCTION("""COMPUTED_VALUE"""),10.19)</f>
        <v>10.19</v>
      </c>
      <c r="F324">
        <f>IFERROR(__xludf.DUMMYFUNCTION("""COMPUTED_VALUE"""),19.05)</f>
        <v>19.05</v>
      </c>
      <c r="G324">
        <f>IFERROR(__xludf.DUMMYFUNCTION("""COMPUTED_VALUE"""),0.4)</f>
        <v>0.4</v>
      </c>
    </row>
    <row r="325">
      <c r="A325">
        <f>IFERROR(__xludf.DUMMYFUNCTION("""COMPUTED_VALUE"""),168615.0)</f>
        <v>168615</v>
      </c>
      <c r="B325" t="str">
        <f>IFERROR(__xludf.DUMMYFUNCTION("""COMPUTED_VALUE"""),"Beef Rib Shortribs Separable Lean Only Choice Cooked Braised")</f>
        <v>Beef Rib Shortribs Separable Lean Only Choice Cooked Braised</v>
      </c>
      <c r="C325" t="str">
        <f>IFERROR(__xludf.DUMMYFUNCTION("""COMPUTED_VALUE"""),"Meats")</f>
        <v>Meats</v>
      </c>
      <c r="D325">
        <f>IFERROR(__xludf.DUMMYFUNCTION("""COMPUTED_VALUE"""),295.0)</f>
        <v>295</v>
      </c>
      <c r="E325">
        <f>IFERROR(__xludf.DUMMYFUNCTION("""COMPUTED_VALUE"""),18.13)</f>
        <v>18.13</v>
      </c>
      <c r="F325">
        <f>IFERROR(__xludf.DUMMYFUNCTION("""COMPUTED_VALUE"""),30.76)</f>
        <v>30.76</v>
      </c>
      <c r="G325">
        <f>IFERROR(__xludf.DUMMYFUNCTION("""COMPUTED_VALUE"""),0.0)</f>
        <v>0</v>
      </c>
    </row>
    <row r="326">
      <c r="A326">
        <f>IFERROR(__xludf.DUMMYFUNCTION("""COMPUTED_VALUE"""),168616.0)</f>
        <v>168616</v>
      </c>
      <c r="B326" t="str">
        <f>IFERROR(__xludf.DUMMYFUNCTION("""COMPUTED_VALUE"""),"Broiled Beef Round")</f>
        <v>Broiled Beef Round</v>
      </c>
      <c r="C326" t="str">
        <f>IFERROR(__xludf.DUMMYFUNCTION("""COMPUTED_VALUE"""),"Meats")</f>
        <v>Meats</v>
      </c>
      <c r="D326">
        <f>IFERROR(__xludf.DUMMYFUNCTION("""COMPUTED_VALUE"""),191.0)</f>
        <v>191</v>
      </c>
      <c r="E326">
        <f>IFERROR(__xludf.DUMMYFUNCTION("""COMPUTED_VALUE"""),7.31)</f>
        <v>7.31</v>
      </c>
      <c r="F326">
        <f>IFERROR(__xludf.DUMMYFUNCTION("""COMPUTED_VALUE"""),29.21)</f>
        <v>29.21</v>
      </c>
      <c r="G326">
        <f>IFERROR(__xludf.DUMMYFUNCTION("""COMPUTED_VALUE"""),0.0)</f>
        <v>0</v>
      </c>
    </row>
    <row r="327">
      <c r="A327">
        <f>IFERROR(__xludf.DUMMYFUNCTION("""COMPUTED_VALUE"""),168617.0)</f>
        <v>168617</v>
      </c>
      <c r="B327" t="str">
        <f>IFERROR(__xludf.DUMMYFUNCTION("""COMPUTED_VALUE"""),"Beef Round Full Cut Separable Lean Only Trimmed To 1/4 Inch Fat Select Cooked Broiled")</f>
        <v>Beef Round Full Cut Separable Lean Only Trimmed To 1/4 Inch Fat Select Cooked Broiled</v>
      </c>
      <c r="C327" t="str">
        <f>IFERROR(__xludf.DUMMYFUNCTION("""COMPUTED_VALUE"""),"Meats")</f>
        <v>Meats</v>
      </c>
      <c r="D327">
        <f>IFERROR(__xludf.DUMMYFUNCTION("""COMPUTED_VALUE"""),172.0)</f>
        <v>172</v>
      </c>
      <c r="E327">
        <f>IFERROR(__xludf.DUMMYFUNCTION("""COMPUTED_VALUE"""),5.22)</f>
        <v>5.22</v>
      </c>
      <c r="F327">
        <f>IFERROR(__xludf.DUMMYFUNCTION("""COMPUTED_VALUE"""),29.25)</f>
        <v>29.25</v>
      </c>
      <c r="G327">
        <f>IFERROR(__xludf.DUMMYFUNCTION("""COMPUTED_VALUE"""),0.0)</f>
        <v>0</v>
      </c>
    </row>
    <row r="328">
      <c r="A328">
        <f>IFERROR(__xludf.DUMMYFUNCTION("""COMPUTED_VALUE"""),168618.0)</f>
        <v>168618</v>
      </c>
      <c r="B328" t="str">
        <f>IFERROR(__xludf.DUMMYFUNCTION("""COMPUTED_VALUE"""),"Grilled Porterhouse Steak (Choice)")</f>
        <v>Grilled Porterhouse Steak (Choice)</v>
      </c>
      <c r="C328" t="str">
        <f>IFERROR(__xludf.DUMMYFUNCTION("""COMPUTED_VALUE"""),"Meats")</f>
        <v>Meats</v>
      </c>
      <c r="D328">
        <f>IFERROR(__xludf.DUMMYFUNCTION("""COMPUTED_VALUE"""),221.0)</f>
        <v>221</v>
      </c>
      <c r="E328">
        <f>IFERROR(__xludf.DUMMYFUNCTION("""COMPUTED_VALUE"""),11.36)</f>
        <v>11.36</v>
      </c>
      <c r="F328">
        <f>IFERROR(__xludf.DUMMYFUNCTION("""COMPUTED_VALUE"""),27.65)</f>
        <v>27.65</v>
      </c>
      <c r="G328">
        <f>IFERROR(__xludf.DUMMYFUNCTION("""COMPUTED_VALUE"""),0.0)</f>
        <v>0</v>
      </c>
    </row>
    <row r="329">
      <c r="A329">
        <f>IFERROR(__xludf.DUMMYFUNCTION("""COMPUTED_VALUE"""),168619.0)</f>
        <v>168619</v>
      </c>
      <c r="B329" t="str">
        <f>IFERROR(__xludf.DUMMYFUNCTION("""COMPUTED_VALUE"""),"Beef Short Loin T-Bone Steak Bone-In Separable Lean Only Trimmed To 1/8 Inch Fat Choice Raw")</f>
        <v>Beef Short Loin T-Bone Steak Bone-In Separable Lean Only Trimmed To 1/8 Inch Fat Choice Raw</v>
      </c>
      <c r="C329" t="str">
        <f>IFERROR(__xludf.DUMMYFUNCTION("""COMPUTED_VALUE"""),"Meats")</f>
        <v>Meats</v>
      </c>
      <c r="D329">
        <f>IFERROR(__xludf.DUMMYFUNCTION("""COMPUTED_VALUE"""),160.0)</f>
        <v>160</v>
      </c>
      <c r="E329">
        <f>IFERROR(__xludf.DUMMYFUNCTION("""COMPUTED_VALUE"""),7.27)</f>
        <v>7.27</v>
      </c>
      <c r="F329">
        <f>IFERROR(__xludf.DUMMYFUNCTION("""COMPUTED_VALUE"""),22.1)</f>
        <v>22.1</v>
      </c>
      <c r="G329">
        <f>IFERROR(__xludf.DUMMYFUNCTION("""COMPUTED_VALUE"""),0.0)</f>
        <v>0</v>
      </c>
    </row>
    <row r="330">
      <c r="A330">
        <f>IFERROR(__xludf.DUMMYFUNCTION("""COMPUTED_VALUE"""),168620.0)</f>
        <v>168620</v>
      </c>
      <c r="B330" t="str">
        <f>IFERROR(__xludf.DUMMYFUNCTION("""COMPUTED_VALUE"""),"Grilled T-Bone Steak (Choice)")</f>
        <v>Grilled T-Bone Steak (Choice)</v>
      </c>
      <c r="C330" t="str">
        <f>IFERROR(__xludf.DUMMYFUNCTION("""COMPUTED_VALUE"""),"Meats")</f>
        <v>Meats</v>
      </c>
      <c r="D330">
        <f>IFERROR(__xludf.DUMMYFUNCTION("""COMPUTED_VALUE"""),217.0)</f>
        <v>217</v>
      </c>
      <c r="E330">
        <f>IFERROR(__xludf.DUMMYFUNCTION("""COMPUTED_VALUE"""),11.05)</f>
        <v>11.05</v>
      </c>
      <c r="F330">
        <f>IFERROR(__xludf.DUMMYFUNCTION("""COMPUTED_VALUE"""),27.48)</f>
        <v>27.48</v>
      </c>
      <c r="G330">
        <f>IFERROR(__xludf.DUMMYFUNCTION("""COMPUTED_VALUE"""),0.0)</f>
        <v>0</v>
      </c>
    </row>
    <row r="331">
      <c r="A331">
        <f>IFERROR(__xludf.DUMMYFUNCTION("""COMPUTED_VALUE"""),168621.0)</f>
        <v>168621</v>
      </c>
      <c r="B331" t="str">
        <f>IFERROR(__xludf.DUMMYFUNCTION("""COMPUTED_VALUE"""),"Beef Rib Eye Small End (Ribs 10-12) Separable Lean Only Trimmed To 0 Inch Fat Select Raw")</f>
        <v>Beef Rib Eye Small End (Ribs 10-12) Separable Lean Only Trimmed To 0 Inch Fat Select Raw</v>
      </c>
      <c r="C331" t="str">
        <f>IFERROR(__xludf.DUMMYFUNCTION("""COMPUTED_VALUE"""),"Meats")</f>
        <v>Meats</v>
      </c>
      <c r="D331">
        <f>IFERROR(__xludf.DUMMYFUNCTION("""COMPUTED_VALUE"""),149.0)</f>
        <v>149</v>
      </c>
      <c r="E331">
        <f>IFERROR(__xludf.DUMMYFUNCTION("""COMPUTED_VALUE"""),6.57)</f>
        <v>6.57</v>
      </c>
      <c r="F331">
        <f>IFERROR(__xludf.DUMMYFUNCTION("""COMPUTED_VALUE"""),21.17)</f>
        <v>21.17</v>
      </c>
      <c r="G331">
        <f>IFERROR(__xludf.DUMMYFUNCTION("""COMPUTED_VALUE"""),0.0)</f>
        <v>0</v>
      </c>
    </row>
    <row r="332">
      <c r="A332">
        <f>IFERROR(__xludf.DUMMYFUNCTION("""COMPUTED_VALUE"""),168622.0)</f>
        <v>168622</v>
      </c>
      <c r="B332" t="str">
        <f>IFERROR(__xludf.DUMMYFUNCTION("""COMPUTED_VALUE"""),"Beef Variety Meats And By-Products Brain Raw")</f>
        <v>Beef Variety Meats And By-Products Brain Raw</v>
      </c>
      <c r="C332" t="str">
        <f>IFERROR(__xludf.DUMMYFUNCTION("""COMPUTED_VALUE"""),"Meats")</f>
        <v>Meats</v>
      </c>
      <c r="D332">
        <f>IFERROR(__xludf.DUMMYFUNCTION("""COMPUTED_VALUE"""),143.0)</f>
        <v>143</v>
      </c>
      <c r="E332">
        <f>IFERROR(__xludf.DUMMYFUNCTION("""COMPUTED_VALUE"""),10.3)</f>
        <v>10.3</v>
      </c>
      <c r="F332">
        <f>IFERROR(__xludf.DUMMYFUNCTION("""COMPUTED_VALUE"""),10.86)</f>
        <v>10.86</v>
      </c>
      <c r="G332">
        <f>IFERROR(__xludf.DUMMYFUNCTION("""COMPUTED_VALUE"""),1.05)</f>
        <v>1.05</v>
      </c>
    </row>
    <row r="333">
      <c r="A333">
        <f>IFERROR(__xludf.DUMMYFUNCTION("""COMPUTED_VALUE"""),168623.0)</f>
        <v>168623</v>
      </c>
      <c r="B333" t="str">
        <f>IFERROR(__xludf.DUMMYFUNCTION("""COMPUTED_VALUE"""),"Beef Variety Meats And By-Products Brain Cooked Pan-Fried")</f>
        <v>Beef Variety Meats And By-Products Brain Cooked Pan-Fried</v>
      </c>
      <c r="C333" t="str">
        <f>IFERROR(__xludf.DUMMYFUNCTION("""COMPUTED_VALUE"""),"Meats")</f>
        <v>Meats</v>
      </c>
      <c r="D333">
        <f>IFERROR(__xludf.DUMMYFUNCTION("""COMPUTED_VALUE"""),196.0)</f>
        <v>196</v>
      </c>
      <c r="E333">
        <f>IFERROR(__xludf.DUMMYFUNCTION("""COMPUTED_VALUE"""),15.83)</f>
        <v>15.83</v>
      </c>
      <c r="F333">
        <f>IFERROR(__xludf.DUMMYFUNCTION("""COMPUTED_VALUE"""),12.57)</f>
        <v>12.57</v>
      </c>
      <c r="G333">
        <f>IFERROR(__xludf.DUMMYFUNCTION("""COMPUTED_VALUE"""),0.0)</f>
        <v>0</v>
      </c>
    </row>
    <row r="334">
      <c r="A334">
        <f>IFERROR(__xludf.DUMMYFUNCTION("""COMPUTED_VALUE"""),168624.0)</f>
        <v>168624</v>
      </c>
      <c r="B334" t="str">
        <f>IFERROR(__xludf.DUMMYFUNCTION("""COMPUTED_VALUE"""),"Beef Variety Meats And By-Products Brain Cooked Simmered")</f>
        <v>Beef Variety Meats And By-Products Brain Cooked Simmered</v>
      </c>
      <c r="C334" t="str">
        <f>IFERROR(__xludf.DUMMYFUNCTION("""COMPUTED_VALUE"""),"Meats")</f>
        <v>Meats</v>
      </c>
      <c r="D334">
        <f>IFERROR(__xludf.DUMMYFUNCTION("""COMPUTED_VALUE"""),151.0)</f>
        <v>151</v>
      </c>
      <c r="E334">
        <f>IFERROR(__xludf.DUMMYFUNCTION("""COMPUTED_VALUE"""),10.53)</f>
        <v>10.53</v>
      </c>
      <c r="F334">
        <f>IFERROR(__xludf.DUMMYFUNCTION("""COMPUTED_VALUE"""),11.67)</f>
        <v>11.67</v>
      </c>
      <c r="G334">
        <f>IFERROR(__xludf.DUMMYFUNCTION("""COMPUTED_VALUE"""),1.48)</f>
        <v>1.48</v>
      </c>
    </row>
    <row r="335">
      <c r="A335">
        <f>IFERROR(__xludf.DUMMYFUNCTION("""COMPUTED_VALUE"""),168625.0)</f>
        <v>168625</v>
      </c>
      <c r="B335" t="str">
        <f>IFERROR(__xludf.DUMMYFUNCTION("""COMPUTED_VALUE"""),"Beef Variety Meats And By-Products Heart Raw")</f>
        <v>Beef Variety Meats And By-Products Heart Raw</v>
      </c>
      <c r="C335" t="str">
        <f>IFERROR(__xludf.DUMMYFUNCTION("""COMPUTED_VALUE"""),"Meats")</f>
        <v>Meats</v>
      </c>
      <c r="D335">
        <f>IFERROR(__xludf.DUMMYFUNCTION("""COMPUTED_VALUE"""),112.0)</f>
        <v>112</v>
      </c>
      <c r="E335">
        <f>IFERROR(__xludf.DUMMYFUNCTION("""COMPUTED_VALUE"""),3.94)</f>
        <v>3.94</v>
      </c>
      <c r="F335">
        <f>IFERROR(__xludf.DUMMYFUNCTION("""COMPUTED_VALUE"""),17.72)</f>
        <v>17.72</v>
      </c>
      <c r="G335">
        <f>IFERROR(__xludf.DUMMYFUNCTION("""COMPUTED_VALUE"""),0.14)</f>
        <v>0.14</v>
      </c>
    </row>
    <row r="336">
      <c r="A336">
        <f>IFERROR(__xludf.DUMMYFUNCTION("""COMPUTED_VALUE"""),168626.0)</f>
        <v>168626</v>
      </c>
      <c r="B336" t="str">
        <f>IFERROR(__xludf.DUMMYFUNCTION("""COMPUTED_VALUE"""),"Beef Variety Meats And By-Products Liver Cooked Braised")</f>
        <v>Beef Variety Meats And By-Products Liver Cooked Braised</v>
      </c>
      <c r="C336" t="str">
        <f>IFERROR(__xludf.DUMMYFUNCTION("""COMPUTED_VALUE"""),"Meats")</f>
        <v>Meats</v>
      </c>
      <c r="D336">
        <f>IFERROR(__xludf.DUMMYFUNCTION("""COMPUTED_VALUE"""),191.0)</f>
        <v>191</v>
      </c>
      <c r="E336">
        <f>IFERROR(__xludf.DUMMYFUNCTION("""COMPUTED_VALUE"""),5.26)</f>
        <v>5.26</v>
      </c>
      <c r="F336">
        <f>IFERROR(__xludf.DUMMYFUNCTION("""COMPUTED_VALUE"""),29.08)</f>
        <v>29.08</v>
      </c>
      <c r="G336">
        <f>IFERROR(__xludf.DUMMYFUNCTION("""COMPUTED_VALUE"""),5.13)</f>
        <v>5.13</v>
      </c>
    </row>
    <row r="337">
      <c r="A337">
        <f>IFERROR(__xludf.DUMMYFUNCTION("""COMPUTED_VALUE"""),168627.0)</f>
        <v>168627</v>
      </c>
      <c r="B337" t="str">
        <f>IFERROR(__xludf.DUMMYFUNCTION("""COMPUTED_VALUE"""),"Pan Fried Beef Liver")</f>
        <v>Pan Fried Beef Liver</v>
      </c>
      <c r="C337" t="str">
        <f>IFERROR(__xludf.DUMMYFUNCTION("""COMPUTED_VALUE"""),"Meats")</f>
        <v>Meats</v>
      </c>
      <c r="D337">
        <f>IFERROR(__xludf.DUMMYFUNCTION("""COMPUTED_VALUE"""),175.0)</f>
        <v>175</v>
      </c>
      <c r="E337">
        <f>IFERROR(__xludf.DUMMYFUNCTION("""COMPUTED_VALUE"""),4.68)</f>
        <v>4.68</v>
      </c>
      <c r="F337">
        <f>IFERROR(__xludf.DUMMYFUNCTION("""COMPUTED_VALUE"""),26.52)</f>
        <v>26.52</v>
      </c>
      <c r="G337">
        <f>IFERROR(__xludf.DUMMYFUNCTION("""COMPUTED_VALUE"""),5.16)</f>
        <v>5.16</v>
      </c>
    </row>
    <row r="338">
      <c r="A338">
        <f>IFERROR(__xludf.DUMMYFUNCTION("""COMPUTED_VALUE"""),168628.0)</f>
        <v>168628</v>
      </c>
      <c r="B338" t="str">
        <f>IFERROR(__xludf.DUMMYFUNCTION("""COMPUTED_VALUE"""),"Beef Variety Meats And By-Products Lungs Raw")</f>
        <v>Beef Variety Meats And By-Products Lungs Raw</v>
      </c>
      <c r="C338" t="str">
        <f>IFERROR(__xludf.DUMMYFUNCTION("""COMPUTED_VALUE"""),"Meats")</f>
        <v>Meats</v>
      </c>
      <c r="D338">
        <f>IFERROR(__xludf.DUMMYFUNCTION("""COMPUTED_VALUE"""),92.0)</f>
        <v>92</v>
      </c>
      <c r="E338">
        <f>IFERROR(__xludf.DUMMYFUNCTION("""COMPUTED_VALUE"""),2.5)</f>
        <v>2.5</v>
      </c>
      <c r="F338">
        <f>IFERROR(__xludf.DUMMYFUNCTION("""COMPUTED_VALUE"""),16.2)</f>
        <v>16.2</v>
      </c>
      <c r="G338">
        <f>IFERROR(__xludf.DUMMYFUNCTION("""COMPUTED_VALUE"""),0.0)</f>
        <v>0</v>
      </c>
    </row>
    <row r="339">
      <c r="A339">
        <f>IFERROR(__xludf.DUMMYFUNCTION("""COMPUTED_VALUE"""),168629.0)</f>
        <v>168629</v>
      </c>
      <c r="B339" t="str">
        <f>IFERROR(__xludf.DUMMYFUNCTION("""COMPUTED_VALUE"""),"Beef Variety Meats And By-Products Lungs Cooked Braised")</f>
        <v>Beef Variety Meats And By-Products Lungs Cooked Braised</v>
      </c>
      <c r="C339" t="str">
        <f>IFERROR(__xludf.DUMMYFUNCTION("""COMPUTED_VALUE"""),"Meats")</f>
        <v>Meats</v>
      </c>
      <c r="D339">
        <f>IFERROR(__xludf.DUMMYFUNCTION("""COMPUTED_VALUE"""),120.0)</f>
        <v>120</v>
      </c>
      <c r="E339">
        <f>IFERROR(__xludf.DUMMYFUNCTION("""COMPUTED_VALUE"""),3.7)</f>
        <v>3.7</v>
      </c>
      <c r="F339">
        <f>IFERROR(__xludf.DUMMYFUNCTION("""COMPUTED_VALUE"""),20.4)</f>
        <v>20.4</v>
      </c>
      <c r="G339">
        <f>IFERROR(__xludf.DUMMYFUNCTION("""COMPUTED_VALUE"""),0.0)</f>
        <v>0</v>
      </c>
    </row>
    <row r="340">
      <c r="A340">
        <f>IFERROR(__xludf.DUMMYFUNCTION("""COMPUTED_VALUE"""),168630.0)</f>
        <v>168630</v>
      </c>
      <c r="B340" t="str">
        <f>IFERROR(__xludf.DUMMYFUNCTION("""COMPUTED_VALUE"""),"Beef Variety Meats And By-Products Mechanically Separated Beef Raw")</f>
        <v>Beef Variety Meats And By-Products Mechanically Separated Beef Raw</v>
      </c>
      <c r="C340" t="str">
        <f>IFERROR(__xludf.DUMMYFUNCTION("""COMPUTED_VALUE"""),"Meats")</f>
        <v>Meats</v>
      </c>
      <c r="D340">
        <f>IFERROR(__xludf.DUMMYFUNCTION("""COMPUTED_VALUE"""),276.0)</f>
        <v>276</v>
      </c>
      <c r="E340">
        <f>IFERROR(__xludf.DUMMYFUNCTION("""COMPUTED_VALUE"""),23.52)</f>
        <v>23.52</v>
      </c>
      <c r="F340">
        <f>IFERROR(__xludf.DUMMYFUNCTION("""COMPUTED_VALUE"""),14.97)</f>
        <v>14.97</v>
      </c>
      <c r="G340">
        <f>IFERROR(__xludf.DUMMYFUNCTION("""COMPUTED_VALUE"""),0.0)</f>
        <v>0</v>
      </c>
    </row>
    <row r="341">
      <c r="A341">
        <f>IFERROR(__xludf.DUMMYFUNCTION("""COMPUTED_VALUE"""),168631.0)</f>
        <v>168631</v>
      </c>
      <c r="B341" t="str">
        <f>IFERROR(__xludf.DUMMYFUNCTION("""COMPUTED_VALUE"""),"Beef Loin Top Loin Steak Boneless Lip Off Separable Lean And Fat Trimmed To 0 Inch Fat Select Cooked Grilled")</f>
        <v>Beef Loin Top Loin Steak Boneless Lip Off Separable Lean And Fat Trimmed To 0 Inch Fat Select Cooked Grilled</v>
      </c>
      <c r="C341" t="str">
        <f>IFERROR(__xludf.DUMMYFUNCTION("""COMPUTED_VALUE"""),"Meats")</f>
        <v>Meats</v>
      </c>
      <c r="D341">
        <f>IFERROR(__xludf.DUMMYFUNCTION("""COMPUTED_VALUE"""),207.0)</f>
        <v>207</v>
      </c>
      <c r="E341">
        <f>IFERROR(__xludf.DUMMYFUNCTION("""COMPUTED_VALUE"""),9.12)</f>
        <v>9.12</v>
      </c>
      <c r="F341">
        <f>IFERROR(__xludf.DUMMYFUNCTION("""COMPUTED_VALUE"""),29.16)</f>
        <v>29.16</v>
      </c>
      <c r="G341">
        <f>IFERROR(__xludf.DUMMYFUNCTION("""COMPUTED_VALUE"""),0.0)</f>
        <v>0</v>
      </c>
    </row>
    <row r="342">
      <c r="A342">
        <f>IFERROR(__xludf.DUMMYFUNCTION("""COMPUTED_VALUE"""),168632.0)</f>
        <v>168632</v>
      </c>
      <c r="B342" t="str">
        <f>IFERROR(__xludf.DUMMYFUNCTION("""COMPUTED_VALUE"""),"Beef Loin Top Loin Steak Boneless Lip Off Separable Lean Only Trimmed To 0 Inch Fat All Grades Cooked Grilled")</f>
        <v>Beef Loin Top Loin Steak Boneless Lip Off Separable Lean Only Trimmed To 0 Inch Fat All Grades Cooked Grilled</v>
      </c>
      <c r="C342" t="str">
        <f>IFERROR(__xludf.DUMMYFUNCTION("""COMPUTED_VALUE"""),"Meats")</f>
        <v>Meats</v>
      </c>
      <c r="D342">
        <f>IFERROR(__xludf.DUMMYFUNCTION("""COMPUTED_VALUE"""),202.0)</f>
        <v>202</v>
      </c>
      <c r="E342">
        <f>IFERROR(__xludf.DUMMYFUNCTION("""COMPUTED_VALUE"""),8.41)</f>
        <v>8.41</v>
      </c>
      <c r="F342">
        <f>IFERROR(__xludf.DUMMYFUNCTION("""COMPUTED_VALUE"""),29.53)</f>
        <v>29.53</v>
      </c>
      <c r="G342">
        <f>IFERROR(__xludf.DUMMYFUNCTION("""COMPUTED_VALUE"""),0.0)</f>
        <v>0</v>
      </c>
    </row>
    <row r="343">
      <c r="A343">
        <f>IFERROR(__xludf.DUMMYFUNCTION("""COMPUTED_VALUE"""),168633.0)</f>
        <v>168633</v>
      </c>
      <c r="B343" t="str">
        <f>IFERROR(__xludf.DUMMYFUNCTION("""COMPUTED_VALUE"""),"Beef Top Sirloin Steak Separable Lean And Fat Trimmed To 0 Inch Fat Select Cooked Broiled")</f>
        <v>Beef Top Sirloin Steak Separable Lean And Fat Trimmed To 0 Inch Fat Select Cooked Broiled</v>
      </c>
      <c r="C343" t="str">
        <f>IFERROR(__xludf.DUMMYFUNCTION("""COMPUTED_VALUE"""),"Meats")</f>
        <v>Meats</v>
      </c>
      <c r="D343">
        <f>IFERROR(__xludf.DUMMYFUNCTION("""COMPUTED_VALUE"""),206.0)</f>
        <v>206</v>
      </c>
      <c r="E343">
        <f>IFERROR(__xludf.DUMMYFUNCTION("""COMPUTED_VALUE"""),8.8)</f>
        <v>8.8</v>
      </c>
      <c r="F343">
        <f>IFERROR(__xludf.DUMMYFUNCTION("""COMPUTED_VALUE"""),29.65)</f>
        <v>29.65</v>
      </c>
      <c r="G343">
        <f>IFERROR(__xludf.DUMMYFUNCTION("""COMPUTED_VALUE"""),0.0)</f>
        <v>0</v>
      </c>
    </row>
    <row r="344">
      <c r="A344">
        <f>IFERROR(__xludf.DUMMYFUNCTION("""COMPUTED_VALUE"""),168634.0)</f>
        <v>168634</v>
      </c>
      <c r="B344" t="str">
        <f>IFERROR(__xludf.DUMMYFUNCTION("""COMPUTED_VALUE"""),"Beef Top Sirloin Steak Separable Lean Only Trimmed To 0 Inch Fat All Grades Cooked Broiled")</f>
        <v>Beef Top Sirloin Steak Separable Lean Only Trimmed To 0 Inch Fat All Grades Cooked Broiled</v>
      </c>
      <c r="C344" t="str">
        <f>IFERROR(__xludf.DUMMYFUNCTION("""COMPUTED_VALUE"""),"Meats")</f>
        <v>Meats</v>
      </c>
      <c r="D344">
        <f>IFERROR(__xludf.DUMMYFUNCTION("""COMPUTED_VALUE"""),183.0)</f>
        <v>183</v>
      </c>
      <c r="E344">
        <f>IFERROR(__xludf.DUMMYFUNCTION("""COMPUTED_VALUE"""),5.79)</f>
        <v>5.79</v>
      </c>
      <c r="F344">
        <f>IFERROR(__xludf.DUMMYFUNCTION("""COMPUTED_VALUE"""),30.55)</f>
        <v>30.55</v>
      </c>
      <c r="G344">
        <f>IFERROR(__xludf.DUMMYFUNCTION("""COMPUTED_VALUE"""),0.0)</f>
        <v>0</v>
      </c>
    </row>
    <row r="345">
      <c r="A345">
        <f>IFERROR(__xludf.DUMMYFUNCTION("""COMPUTED_VALUE"""),168635.0)</f>
        <v>168635</v>
      </c>
      <c r="B345" t="str">
        <f>IFERROR(__xludf.DUMMYFUNCTION("""COMPUTED_VALUE"""),"Beef Top Sirloin Steak Separable Lean Only Trimmed To 0 Inch Fat Choice Cooked Broiled")</f>
        <v>Beef Top Sirloin Steak Separable Lean Only Trimmed To 0 Inch Fat Choice Cooked Broiled</v>
      </c>
      <c r="C345" t="str">
        <f>IFERROR(__xludf.DUMMYFUNCTION("""COMPUTED_VALUE"""),"Meats")</f>
        <v>Meats</v>
      </c>
      <c r="D345">
        <f>IFERROR(__xludf.DUMMYFUNCTION("""COMPUTED_VALUE"""),188.0)</f>
        <v>188</v>
      </c>
      <c r="E345">
        <f>IFERROR(__xludf.DUMMYFUNCTION("""COMPUTED_VALUE"""),6.55)</f>
        <v>6.55</v>
      </c>
      <c r="F345">
        <f>IFERROR(__xludf.DUMMYFUNCTION("""COMPUTED_VALUE"""),30.29)</f>
        <v>30.29</v>
      </c>
      <c r="G345">
        <f>IFERROR(__xludf.DUMMYFUNCTION("""COMPUTED_VALUE"""),0.0)</f>
        <v>0</v>
      </c>
    </row>
    <row r="346">
      <c r="A346">
        <f>IFERROR(__xludf.DUMMYFUNCTION("""COMPUTED_VALUE"""),168636.0)</f>
        <v>168636</v>
      </c>
      <c r="B346" t="str">
        <f>IFERROR(__xludf.DUMMYFUNCTION("""COMPUTED_VALUE"""),"Beef Top Sirloin Steak Separable Lean Only Trimmed To 0 Inch Fat Select Cooked Broiled")</f>
        <v>Beef Top Sirloin Steak Separable Lean Only Trimmed To 0 Inch Fat Select Cooked Broiled</v>
      </c>
      <c r="C346" t="str">
        <f>IFERROR(__xludf.DUMMYFUNCTION("""COMPUTED_VALUE"""),"Meats")</f>
        <v>Meats</v>
      </c>
      <c r="D346">
        <f>IFERROR(__xludf.DUMMYFUNCTION("""COMPUTED_VALUE"""),177.0)</f>
        <v>177</v>
      </c>
      <c r="E346">
        <f>IFERROR(__xludf.DUMMYFUNCTION("""COMPUTED_VALUE"""),5.03)</f>
        <v>5.03</v>
      </c>
      <c r="F346">
        <f>IFERROR(__xludf.DUMMYFUNCTION("""COMPUTED_VALUE"""),30.8)</f>
        <v>30.8</v>
      </c>
      <c r="G346">
        <f>IFERROR(__xludf.DUMMYFUNCTION("""COMPUTED_VALUE"""),0.0)</f>
        <v>0</v>
      </c>
    </row>
    <row r="347">
      <c r="A347">
        <f>IFERROR(__xludf.DUMMYFUNCTION("""COMPUTED_VALUE"""),168637.0)</f>
        <v>168637</v>
      </c>
      <c r="B347" t="str">
        <f>IFERROR(__xludf.DUMMYFUNCTION("""COMPUTED_VALUE"""),"Grilled Porterhouse Steak")</f>
        <v>Grilled Porterhouse Steak</v>
      </c>
      <c r="C347" t="str">
        <f>IFERROR(__xludf.DUMMYFUNCTION("""COMPUTED_VALUE"""),"Meats")</f>
        <v>Meats</v>
      </c>
      <c r="D347">
        <f>IFERROR(__xludf.DUMMYFUNCTION("""COMPUTED_VALUE"""),213.0)</f>
        <v>213</v>
      </c>
      <c r="E347">
        <f>IFERROR(__xludf.DUMMYFUNCTION("""COMPUTED_VALUE"""),10.32)</f>
        <v>10.32</v>
      </c>
      <c r="F347">
        <f>IFERROR(__xludf.DUMMYFUNCTION("""COMPUTED_VALUE"""),28.16)</f>
        <v>28.16</v>
      </c>
      <c r="G347">
        <f>IFERROR(__xludf.DUMMYFUNCTION("""COMPUTED_VALUE"""),0.0)</f>
        <v>0</v>
      </c>
    </row>
    <row r="348">
      <c r="A348">
        <f>IFERROR(__xludf.DUMMYFUNCTION("""COMPUTED_VALUE"""),168638.0)</f>
        <v>168638</v>
      </c>
      <c r="B348" t="str">
        <f>IFERROR(__xludf.DUMMYFUNCTION("""COMPUTED_VALUE"""),"Beef Short Loin Porterhouse Steak Separable Lean Only Trimmed To 0 Inch Fat All Grades Cooked Broiled")</f>
        <v>Beef Short Loin Porterhouse Steak Separable Lean Only Trimmed To 0 Inch Fat All Grades Cooked Broiled</v>
      </c>
      <c r="C348" t="str">
        <f>IFERROR(__xludf.DUMMYFUNCTION("""COMPUTED_VALUE"""),"Meats")</f>
        <v>Meats</v>
      </c>
      <c r="D348">
        <f>IFERROR(__xludf.DUMMYFUNCTION("""COMPUTED_VALUE"""),212.0)</f>
        <v>212</v>
      </c>
      <c r="E348">
        <f>IFERROR(__xludf.DUMMYFUNCTION("""COMPUTED_VALUE"""),11.18)</f>
        <v>11.18</v>
      </c>
      <c r="F348">
        <f>IFERROR(__xludf.DUMMYFUNCTION("""COMPUTED_VALUE"""),26.07)</f>
        <v>26.07</v>
      </c>
      <c r="G348">
        <f>IFERROR(__xludf.DUMMYFUNCTION("""COMPUTED_VALUE"""),0.0)</f>
        <v>0</v>
      </c>
    </row>
    <row r="349">
      <c r="A349">
        <f>IFERROR(__xludf.DUMMYFUNCTION("""COMPUTED_VALUE"""),168639.0)</f>
        <v>168639</v>
      </c>
      <c r="B349" t="str">
        <f>IFERROR(__xludf.DUMMYFUNCTION("""COMPUTED_VALUE"""),"Beef Short Loin Porterhouse Steak Separable Lean Only Trimmed To 0 Inch Fat Choice Cooked Broiled")</f>
        <v>Beef Short Loin Porterhouse Steak Separable Lean Only Trimmed To 0 Inch Fat Choice Cooked Broiled</v>
      </c>
      <c r="C349" t="str">
        <f>IFERROR(__xludf.DUMMYFUNCTION("""COMPUTED_VALUE"""),"Meats")</f>
        <v>Meats</v>
      </c>
      <c r="D349">
        <f>IFERROR(__xludf.DUMMYFUNCTION("""COMPUTED_VALUE"""),224.0)</f>
        <v>224</v>
      </c>
      <c r="E349">
        <f>IFERROR(__xludf.DUMMYFUNCTION("""COMPUTED_VALUE"""),12.8)</f>
        <v>12.8</v>
      </c>
      <c r="F349">
        <f>IFERROR(__xludf.DUMMYFUNCTION("""COMPUTED_VALUE"""),25.51)</f>
        <v>25.51</v>
      </c>
      <c r="G349">
        <f>IFERROR(__xludf.DUMMYFUNCTION("""COMPUTED_VALUE"""),0.0)</f>
        <v>0</v>
      </c>
    </row>
    <row r="350">
      <c r="A350">
        <f>IFERROR(__xludf.DUMMYFUNCTION("""COMPUTED_VALUE"""),168640.0)</f>
        <v>168640</v>
      </c>
      <c r="B350" t="str">
        <f>IFERROR(__xludf.DUMMYFUNCTION("""COMPUTED_VALUE"""),"Beef Short Loin Porterhouse Steak Separable Lean Only Trimmed To 1/8 Inch Fat Select Raw")</f>
        <v>Beef Short Loin Porterhouse Steak Separable Lean Only Trimmed To 1/8 Inch Fat Select Raw</v>
      </c>
      <c r="C350" t="str">
        <f>IFERROR(__xludf.DUMMYFUNCTION("""COMPUTED_VALUE"""),"Meats")</f>
        <v>Meats</v>
      </c>
      <c r="D350">
        <f>IFERROR(__xludf.DUMMYFUNCTION("""COMPUTED_VALUE"""),145.0)</f>
        <v>145</v>
      </c>
      <c r="E350">
        <f>IFERROR(__xludf.DUMMYFUNCTION("""COMPUTED_VALUE"""),5.41)</f>
        <v>5.41</v>
      </c>
      <c r="F350">
        <f>IFERROR(__xludf.DUMMYFUNCTION("""COMPUTED_VALUE"""),22.61)</f>
        <v>22.61</v>
      </c>
      <c r="G350">
        <f>IFERROR(__xludf.DUMMYFUNCTION("""COMPUTED_VALUE"""),0.0)</f>
        <v>0</v>
      </c>
    </row>
    <row r="351">
      <c r="A351">
        <f>IFERROR(__xludf.DUMMYFUNCTION("""COMPUTED_VALUE"""),168641.0)</f>
        <v>168641</v>
      </c>
      <c r="B351" t="str">
        <f>IFERROR(__xludf.DUMMYFUNCTION("""COMPUTED_VALUE"""),"Beef Short Loin Porterhouse Steak Separable Lean Only Trimmed To 1/8 Inch Fat Select Cooked Grilled")</f>
        <v>Beef Short Loin Porterhouse Steak Separable Lean Only Trimmed To 1/8 Inch Fat Select Cooked Grilled</v>
      </c>
      <c r="C351" t="str">
        <f>IFERROR(__xludf.DUMMYFUNCTION("""COMPUTED_VALUE"""),"Meats")</f>
        <v>Meats</v>
      </c>
      <c r="D351">
        <f>IFERROR(__xludf.DUMMYFUNCTION("""COMPUTED_VALUE"""),203.0)</f>
        <v>203</v>
      </c>
      <c r="E351">
        <f>IFERROR(__xludf.DUMMYFUNCTION("""COMPUTED_VALUE"""),8.76)</f>
        <v>8.76</v>
      </c>
      <c r="F351">
        <f>IFERROR(__xludf.DUMMYFUNCTION("""COMPUTED_VALUE"""),28.92)</f>
        <v>28.92</v>
      </c>
      <c r="G351">
        <f>IFERROR(__xludf.DUMMYFUNCTION("""COMPUTED_VALUE"""),0.0)</f>
        <v>0</v>
      </c>
    </row>
    <row r="352">
      <c r="A352">
        <f>IFERROR(__xludf.DUMMYFUNCTION("""COMPUTED_VALUE"""),168642.0)</f>
        <v>168642</v>
      </c>
      <c r="B352" t="str">
        <f>IFERROR(__xludf.DUMMYFUNCTION("""COMPUTED_VALUE"""),"Beef Short Loin T-Bone Steak Bone-In Separable Lean Only Trimmed To 1/8 Inch Fat All Grades Raw")</f>
        <v>Beef Short Loin T-Bone Steak Bone-In Separable Lean Only Trimmed To 1/8 Inch Fat All Grades Raw</v>
      </c>
      <c r="C352" t="str">
        <f>IFERROR(__xludf.DUMMYFUNCTION("""COMPUTED_VALUE"""),"Meats")</f>
        <v>Meats</v>
      </c>
      <c r="D352">
        <f>IFERROR(__xludf.DUMMYFUNCTION("""COMPUTED_VALUE"""),153.0)</f>
        <v>153</v>
      </c>
      <c r="E352">
        <f>IFERROR(__xludf.DUMMYFUNCTION("""COMPUTED_VALUE"""),6.5)</f>
        <v>6.5</v>
      </c>
      <c r="F352">
        <f>IFERROR(__xludf.DUMMYFUNCTION("""COMPUTED_VALUE"""),22.22)</f>
        <v>22.22</v>
      </c>
      <c r="G352">
        <f>IFERROR(__xludf.DUMMYFUNCTION("""COMPUTED_VALUE"""),0.0)</f>
        <v>0</v>
      </c>
    </row>
    <row r="353">
      <c r="A353">
        <f>IFERROR(__xludf.DUMMYFUNCTION("""COMPUTED_VALUE"""),168643.0)</f>
        <v>168643</v>
      </c>
      <c r="B353" t="str">
        <f>IFERROR(__xludf.DUMMYFUNCTION("""COMPUTED_VALUE"""),"Grilled T-Bone Steak")</f>
        <v>Grilled T-Bone Steak</v>
      </c>
      <c r="C353" t="str">
        <f>IFERROR(__xludf.DUMMYFUNCTION("""COMPUTED_VALUE"""),"Meats")</f>
        <v>Meats</v>
      </c>
      <c r="D353">
        <f>IFERROR(__xludf.DUMMYFUNCTION("""COMPUTED_VALUE"""),212.0)</f>
        <v>212</v>
      </c>
      <c r="E353">
        <f>IFERROR(__xludf.DUMMYFUNCTION("""COMPUTED_VALUE"""),10.37)</f>
        <v>10.37</v>
      </c>
      <c r="F353">
        <f>IFERROR(__xludf.DUMMYFUNCTION("""COMPUTED_VALUE"""),27.86)</f>
        <v>27.86</v>
      </c>
      <c r="G353">
        <f>IFERROR(__xludf.DUMMYFUNCTION("""COMPUTED_VALUE"""),0.0)</f>
        <v>0</v>
      </c>
    </row>
    <row r="354">
      <c r="A354">
        <f>IFERROR(__xludf.DUMMYFUNCTION("""COMPUTED_VALUE"""),168644.0)</f>
        <v>168644</v>
      </c>
      <c r="B354" t="str">
        <f>IFERROR(__xludf.DUMMYFUNCTION("""COMPUTED_VALUE"""),"Beef Short Loin T-Bone Steak Separable Lean Only Trimmed To 0 Inch Fat Choice Cooked Broiled")</f>
        <v>Beef Short Loin T-Bone Steak Separable Lean Only Trimmed To 0 Inch Fat Choice Cooked Broiled</v>
      </c>
      <c r="C354" t="str">
        <f>IFERROR(__xludf.DUMMYFUNCTION("""COMPUTED_VALUE"""),"Meats")</f>
        <v>Meats</v>
      </c>
      <c r="D354">
        <f>IFERROR(__xludf.DUMMYFUNCTION("""COMPUTED_VALUE"""),198.0)</f>
        <v>198</v>
      </c>
      <c r="E354">
        <f>IFERROR(__xludf.DUMMYFUNCTION("""COMPUTED_VALUE"""),9.61)</f>
        <v>9.61</v>
      </c>
      <c r="F354">
        <f>IFERROR(__xludf.DUMMYFUNCTION("""COMPUTED_VALUE"""),25.98)</f>
        <v>25.98</v>
      </c>
      <c r="G354">
        <f>IFERROR(__xludf.DUMMYFUNCTION("""COMPUTED_VALUE"""),0.0)</f>
        <v>0</v>
      </c>
    </row>
    <row r="355">
      <c r="A355">
        <f>IFERROR(__xludf.DUMMYFUNCTION("""COMPUTED_VALUE"""),168645.0)</f>
        <v>168645</v>
      </c>
      <c r="B355" t="str">
        <f>IFERROR(__xludf.DUMMYFUNCTION("""COMPUTED_VALUE"""),"Beef Short Loin T-Bone Steak Bone-In Separable Lean Only Trimmed To 1/8 Inch Fat Select Raw")</f>
        <v>Beef Short Loin T-Bone Steak Bone-In Separable Lean Only Trimmed To 1/8 Inch Fat Select Raw</v>
      </c>
      <c r="C355" t="str">
        <f>IFERROR(__xludf.DUMMYFUNCTION("""COMPUTED_VALUE"""),"Meats")</f>
        <v>Meats</v>
      </c>
      <c r="D355">
        <f>IFERROR(__xludf.DUMMYFUNCTION("""COMPUTED_VALUE"""),144.0)</f>
        <v>144</v>
      </c>
      <c r="E355">
        <f>IFERROR(__xludf.DUMMYFUNCTION("""COMPUTED_VALUE"""),5.34)</f>
        <v>5.34</v>
      </c>
      <c r="F355">
        <f>IFERROR(__xludf.DUMMYFUNCTION("""COMPUTED_VALUE"""),22.41)</f>
        <v>22.41</v>
      </c>
      <c r="G355">
        <f>IFERROR(__xludf.DUMMYFUNCTION("""COMPUTED_VALUE"""),0.0)</f>
        <v>0</v>
      </c>
    </row>
    <row r="356">
      <c r="A356">
        <f>IFERROR(__xludf.DUMMYFUNCTION("""COMPUTED_VALUE"""),168646.0)</f>
        <v>168646</v>
      </c>
      <c r="B356" t="str">
        <f>IFERROR(__xludf.DUMMYFUNCTION("""COMPUTED_VALUE"""),"Beef Round Tip Round Roast Separable Lean And Fat Trimmed To 0 Inch Fat Choice Raw")</f>
        <v>Beef Round Tip Round Roast Separable Lean And Fat Trimmed To 0 Inch Fat Choice Raw</v>
      </c>
      <c r="C356" t="str">
        <f>IFERROR(__xludf.DUMMYFUNCTION("""COMPUTED_VALUE"""),"Meats")</f>
        <v>Meats</v>
      </c>
      <c r="D356">
        <f>IFERROR(__xludf.DUMMYFUNCTION("""COMPUTED_VALUE"""),156.0)</f>
        <v>156</v>
      </c>
      <c r="E356">
        <f>IFERROR(__xludf.DUMMYFUNCTION("""COMPUTED_VALUE"""),7.73)</f>
        <v>7.73</v>
      </c>
      <c r="F356">
        <f>IFERROR(__xludf.DUMMYFUNCTION("""COMPUTED_VALUE"""),20.16)</f>
        <v>20.16</v>
      </c>
      <c r="G356">
        <f>IFERROR(__xludf.DUMMYFUNCTION("""COMPUTED_VALUE"""),0.0)</f>
        <v>0</v>
      </c>
    </row>
    <row r="357">
      <c r="A357">
        <f>IFERROR(__xludf.DUMMYFUNCTION("""COMPUTED_VALUE"""),168647.0)</f>
        <v>168647</v>
      </c>
      <c r="B357" t="str">
        <f>IFERROR(__xludf.DUMMYFUNCTION("""COMPUTED_VALUE"""),"Beef Round Tip Round Roast Separable Lean And Fat Trimmed To 0 Inch Fat Select Raw")</f>
        <v>Beef Round Tip Round Roast Separable Lean And Fat Trimmed To 0 Inch Fat Select Raw</v>
      </c>
      <c r="C357" t="str">
        <f>IFERROR(__xludf.DUMMYFUNCTION("""COMPUTED_VALUE"""),"Meats")</f>
        <v>Meats</v>
      </c>
      <c r="D357">
        <f>IFERROR(__xludf.DUMMYFUNCTION("""COMPUTED_VALUE"""),145.0)</f>
        <v>145</v>
      </c>
      <c r="E357">
        <f>IFERROR(__xludf.DUMMYFUNCTION("""COMPUTED_VALUE"""),6.28)</f>
        <v>6.28</v>
      </c>
      <c r="F357">
        <f>IFERROR(__xludf.DUMMYFUNCTION("""COMPUTED_VALUE"""),20.8)</f>
        <v>20.8</v>
      </c>
      <c r="G357">
        <f>IFERROR(__xludf.DUMMYFUNCTION("""COMPUTED_VALUE"""),0.0)</f>
        <v>0</v>
      </c>
    </row>
    <row r="358">
      <c r="A358">
        <f>IFERROR(__xludf.DUMMYFUNCTION("""COMPUTED_VALUE"""),168648.0)</f>
        <v>168648</v>
      </c>
      <c r="B358" t="str">
        <f>IFERROR(__xludf.DUMMYFUNCTION("""COMPUTED_VALUE"""),"Beef Rib Eye Small End (Ribs 10- 12) Separable Lean Only Trimmed To 0 Inch Fat Select Cooked Broiled")</f>
        <v>Beef Rib Eye Small End (Ribs 10- 12) Separable Lean Only Trimmed To 0 Inch Fat Select Cooked Broiled</v>
      </c>
      <c r="C358" t="str">
        <f>IFERROR(__xludf.DUMMYFUNCTION("""COMPUTED_VALUE"""),"Meats")</f>
        <v>Meats</v>
      </c>
      <c r="D358">
        <f>IFERROR(__xludf.DUMMYFUNCTION("""COMPUTED_VALUE"""),182.0)</f>
        <v>182</v>
      </c>
      <c r="E358">
        <f>IFERROR(__xludf.DUMMYFUNCTION("""COMPUTED_VALUE"""),6.05)</f>
        <v>6.05</v>
      </c>
      <c r="F358">
        <f>IFERROR(__xludf.DUMMYFUNCTION("""COMPUTED_VALUE"""),29.93)</f>
        <v>29.93</v>
      </c>
      <c r="G358">
        <f>IFERROR(__xludf.DUMMYFUNCTION("""COMPUTED_VALUE"""),0.0)</f>
        <v>0</v>
      </c>
    </row>
    <row r="359">
      <c r="A359">
        <f>IFERROR(__xludf.DUMMYFUNCTION("""COMPUTED_VALUE"""),168649.0)</f>
        <v>168649</v>
      </c>
      <c r="B359" t="str">
        <f>IFERROR(__xludf.DUMMYFUNCTION("""COMPUTED_VALUE"""),"Grilled Top Round Steak")</f>
        <v>Grilled Top Round Steak</v>
      </c>
      <c r="C359" t="str">
        <f>IFERROR(__xludf.DUMMYFUNCTION("""COMPUTED_VALUE"""),"Meats")</f>
        <v>Meats</v>
      </c>
      <c r="D359">
        <f>IFERROR(__xludf.DUMMYFUNCTION("""COMPUTED_VALUE"""),162.0)</f>
        <v>162</v>
      </c>
      <c r="E359">
        <f>IFERROR(__xludf.DUMMYFUNCTION("""COMPUTED_VALUE"""),3.77)</f>
        <v>3.77</v>
      </c>
      <c r="F359">
        <f>IFERROR(__xludf.DUMMYFUNCTION("""COMPUTED_VALUE"""),30.09)</f>
        <v>30.09</v>
      </c>
      <c r="G359">
        <f>IFERROR(__xludf.DUMMYFUNCTION("""COMPUTED_VALUE"""),0.0)</f>
        <v>0</v>
      </c>
    </row>
    <row r="360">
      <c r="A360">
        <f>IFERROR(__xludf.DUMMYFUNCTION("""COMPUTED_VALUE"""),168650.0)</f>
        <v>168650</v>
      </c>
      <c r="B360" t="str">
        <f>IFERROR(__xludf.DUMMYFUNCTION("""COMPUTED_VALUE"""),"Beef Ground 70% Lean Meat / 30% Fat Patty Cooked Pan-Broiled")</f>
        <v>Beef Ground 70% Lean Meat / 30% Fat Patty Cooked Pan-Broiled</v>
      </c>
      <c r="C360" t="str">
        <f>IFERROR(__xludf.DUMMYFUNCTION("""COMPUTED_VALUE"""),"Meats")</f>
        <v>Meats</v>
      </c>
      <c r="D360">
        <f>IFERROR(__xludf.DUMMYFUNCTION("""COMPUTED_VALUE"""),238.0)</f>
        <v>238</v>
      </c>
      <c r="E360">
        <f>IFERROR(__xludf.DUMMYFUNCTION("""COMPUTED_VALUE"""),15.54)</f>
        <v>15.54</v>
      </c>
      <c r="F360">
        <f>IFERROR(__xludf.DUMMYFUNCTION("""COMPUTED_VALUE"""),22.86)</f>
        <v>22.86</v>
      </c>
      <c r="G360">
        <f>IFERROR(__xludf.DUMMYFUNCTION("""COMPUTED_VALUE"""),0.0)</f>
        <v>0</v>
      </c>
    </row>
    <row r="361">
      <c r="A361">
        <f>IFERROR(__xludf.DUMMYFUNCTION("""COMPUTED_VALUE"""),168651.0)</f>
        <v>168651</v>
      </c>
      <c r="B361" t="str">
        <f>IFERROR(__xludf.DUMMYFUNCTION("""COMPUTED_VALUE"""),"Beef Ground 70% Lean Meat / 30% Fat Patty Cooked Broiled")</f>
        <v>Beef Ground 70% Lean Meat / 30% Fat Patty Cooked Broiled</v>
      </c>
      <c r="C361" t="str">
        <f>IFERROR(__xludf.DUMMYFUNCTION("""COMPUTED_VALUE"""),"Meats")</f>
        <v>Meats</v>
      </c>
      <c r="D361">
        <f>IFERROR(__xludf.DUMMYFUNCTION("""COMPUTED_VALUE"""),277.0)</f>
        <v>277</v>
      </c>
      <c r="E361">
        <f>IFERROR(__xludf.DUMMYFUNCTION("""COMPUTED_VALUE"""),18.66)</f>
        <v>18.66</v>
      </c>
      <c r="F361">
        <f>IFERROR(__xludf.DUMMYFUNCTION("""COMPUTED_VALUE"""),25.38)</f>
        <v>25.38</v>
      </c>
      <c r="G361">
        <f>IFERROR(__xludf.DUMMYFUNCTION("""COMPUTED_VALUE"""),0.0)</f>
        <v>0</v>
      </c>
    </row>
    <row r="362">
      <c r="A362">
        <f>IFERROR(__xludf.DUMMYFUNCTION("""COMPUTED_VALUE"""),168652.0)</f>
        <v>168652</v>
      </c>
      <c r="B362" t="str">
        <f>IFERROR(__xludf.DUMMYFUNCTION("""COMPUTED_VALUE"""),"Beef Ground 70% Lean Meat / 30% Fat Raw")</f>
        <v>Beef Ground 70% Lean Meat / 30% Fat Raw</v>
      </c>
      <c r="C362" t="str">
        <f>IFERROR(__xludf.DUMMYFUNCTION("""COMPUTED_VALUE"""),"Meats")</f>
        <v>Meats</v>
      </c>
      <c r="D362">
        <f>IFERROR(__xludf.DUMMYFUNCTION("""COMPUTED_VALUE"""),332.0)</f>
        <v>332</v>
      </c>
      <c r="E362">
        <f>IFERROR(__xludf.DUMMYFUNCTION("""COMPUTED_VALUE"""),30.0)</f>
        <v>30</v>
      </c>
      <c r="F362">
        <f>IFERROR(__xludf.DUMMYFUNCTION("""COMPUTED_VALUE"""),14.35)</f>
        <v>14.35</v>
      </c>
      <c r="G362">
        <f>IFERROR(__xludf.DUMMYFUNCTION("""COMPUTED_VALUE"""),0.0)</f>
        <v>0</v>
      </c>
    </row>
    <row r="363">
      <c r="A363">
        <f>IFERROR(__xludf.DUMMYFUNCTION("""COMPUTED_VALUE"""),168653.0)</f>
        <v>168653</v>
      </c>
      <c r="B363" t="str">
        <f>IFERROR(__xludf.DUMMYFUNCTION("""COMPUTED_VALUE"""),"Beef Chuck Under Blade Center Steak Boneless Denver Cut Separable Lean Only Trimmed To 0 Inch Fat Select Raw")</f>
        <v>Beef Chuck Under Blade Center Steak Boneless Denver Cut Separable Lean Only Trimmed To 0 Inch Fat Select Raw</v>
      </c>
      <c r="C363" t="str">
        <f>IFERROR(__xludf.DUMMYFUNCTION("""COMPUTED_VALUE"""),"Meats")</f>
        <v>Meats</v>
      </c>
      <c r="D363">
        <f>IFERROR(__xludf.DUMMYFUNCTION("""COMPUTED_VALUE"""),157.0)</f>
        <v>157</v>
      </c>
      <c r="E363">
        <f>IFERROR(__xludf.DUMMYFUNCTION("""COMPUTED_VALUE"""),8.54)</f>
        <v>8.54</v>
      </c>
      <c r="F363">
        <f>IFERROR(__xludf.DUMMYFUNCTION("""COMPUTED_VALUE"""),19.71)</f>
        <v>19.71</v>
      </c>
      <c r="G363">
        <f>IFERROR(__xludf.DUMMYFUNCTION("""COMPUTED_VALUE"""),0.21)</f>
        <v>0.21</v>
      </c>
    </row>
    <row r="364">
      <c r="A364">
        <f>IFERROR(__xludf.DUMMYFUNCTION("""COMPUTED_VALUE"""),168654.0)</f>
        <v>168654</v>
      </c>
      <c r="B364" t="str">
        <f>IFERROR(__xludf.DUMMYFUNCTION("""COMPUTED_VALUE"""),"Top Blade Chuck Steak")</f>
        <v>Top Blade Chuck Steak</v>
      </c>
      <c r="C364" t="str">
        <f>IFERROR(__xludf.DUMMYFUNCTION("""COMPUTED_VALUE"""),"Meats")</f>
        <v>Meats</v>
      </c>
      <c r="D364">
        <f>IFERROR(__xludf.DUMMYFUNCTION("""COMPUTED_VALUE"""),196.0)</f>
        <v>196</v>
      </c>
      <c r="E364">
        <f>IFERROR(__xludf.DUMMYFUNCTION("""COMPUTED_VALUE"""),9.23)</f>
        <v>9.23</v>
      </c>
      <c r="F364">
        <f>IFERROR(__xludf.DUMMYFUNCTION("""COMPUTED_VALUE"""),28.15)</f>
        <v>28.15</v>
      </c>
      <c r="G364">
        <f>IFERROR(__xludf.DUMMYFUNCTION("""COMPUTED_VALUE"""),0.0)</f>
        <v>0</v>
      </c>
    </row>
    <row r="365">
      <c r="A365">
        <f>IFERROR(__xludf.DUMMYFUNCTION("""COMPUTED_VALUE"""),168655.0)</f>
        <v>168655</v>
      </c>
      <c r="B365" t="str">
        <f>IFERROR(__xludf.DUMMYFUNCTION("""COMPUTED_VALUE"""),"Beef Shoulder Top Blade Steak Boneless Separable Lean Only Trimmed To 0 Inch Fat Select Raw")</f>
        <v>Beef Shoulder Top Blade Steak Boneless Separable Lean Only Trimmed To 0 Inch Fat Select Raw</v>
      </c>
      <c r="C365" t="str">
        <f>IFERROR(__xludf.DUMMYFUNCTION("""COMPUTED_VALUE"""),"Meats")</f>
        <v>Meats</v>
      </c>
      <c r="D365">
        <f>IFERROR(__xludf.DUMMYFUNCTION("""COMPUTED_VALUE"""),133.0)</f>
        <v>133</v>
      </c>
      <c r="E365">
        <f>IFERROR(__xludf.DUMMYFUNCTION("""COMPUTED_VALUE"""),5.73)</f>
        <v>5.73</v>
      </c>
      <c r="F365">
        <f>IFERROR(__xludf.DUMMYFUNCTION("""COMPUTED_VALUE"""),20.39)</f>
        <v>20.39</v>
      </c>
      <c r="G365">
        <f>IFERROR(__xludf.DUMMYFUNCTION("""COMPUTED_VALUE"""),0.0)</f>
        <v>0</v>
      </c>
    </row>
    <row r="366">
      <c r="A366">
        <f>IFERROR(__xludf.DUMMYFUNCTION("""COMPUTED_VALUE"""),168656.0)</f>
        <v>168656</v>
      </c>
      <c r="B366" t="str">
        <f>IFERROR(__xludf.DUMMYFUNCTION("""COMPUTED_VALUE"""),"Beef Brisket Flat Half Boneless Separable Lean Only Trimmed To 0 Inch Fat All Grades Raw")</f>
        <v>Beef Brisket Flat Half Boneless Separable Lean Only Trimmed To 0 Inch Fat All Grades Raw</v>
      </c>
      <c r="C366" t="str">
        <f>IFERROR(__xludf.DUMMYFUNCTION("""COMPUTED_VALUE"""),"Meats")</f>
        <v>Meats</v>
      </c>
      <c r="D366">
        <f>IFERROR(__xludf.DUMMYFUNCTION("""COMPUTED_VALUE"""),132.0)</f>
        <v>132</v>
      </c>
      <c r="E366">
        <f>IFERROR(__xludf.DUMMYFUNCTION("""COMPUTED_VALUE"""),5.11)</f>
        <v>5.11</v>
      </c>
      <c r="F366">
        <f>IFERROR(__xludf.DUMMYFUNCTION("""COMPUTED_VALUE"""),21.47)</f>
        <v>21.47</v>
      </c>
      <c r="G366">
        <f>IFERROR(__xludf.DUMMYFUNCTION("""COMPUTED_VALUE"""),0.0)</f>
        <v>0</v>
      </c>
    </row>
    <row r="367">
      <c r="A367">
        <f>IFERROR(__xludf.DUMMYFUNCTION("""COMPUTED_VALUE"""),168657.0)</f>
        <v>168657</v>
      </c>
      <c r="B367" t="str">
        <f>IFERROR(__xludf.DUMMYFUNCTION("""COMPUTED_VALUE"""),"Beef Brisket Flat Half Boneless Separable Lean Only Trimmed To 0 Inch Fat Choice Raw")</f>
        <v>Beef Brisket Flat Half Boneless Separable Lean Only Trimmed To 0 Inch Fat Choice Raw</v>
      </c>
      <c r="C367" t="str">
        <f>IFERROR(__xludf.DUMMYFUNCTION("""COMPUTED_VALUE"""),"Meats")</f>
        <v>Meats</v>
      </c>
      <c r="D367">
        <f>IFERROR(__xludf.DUMMYFUNCTION("""COMPUTED_VALUE"""),137.0)</f>
        <v>137</v>
      </c>
      <c r="E367">
        <f>IFERROR(__xludf.DUMMYFUNCTION("""COMPUTED_VALUE"""),5.75)</f>
        <v>5.75</v>
      </c>
      <c r="F367">
        <f>IFERROR(__xludf.DUMMYFUNCTION("""COMPUTED_VALUE"""),21.28)</f>
        <v>21.28</v>
      </c>
      <c r="G367">
        <f>IFERROR(__xludf.DUMMYFUNCTION("""COMPUTED_VALUE"""),0.0)</f>
        <v>0</v>
      </c>
    </row>
    <row r="368">
      <c r="A368">
        <f>IFERROR(__xludf.DUMMYFUNCTION("""COMPUTED_VALUE"""),168658.0)</f>
        <v>168658</v>
      </c>
      <c r="B368" t="str">
        <f>IFERROR(__xludf.DUMMYFUNCTION("""COMPUTED_VALUE"""),"Beef Brisket Flat Half Boneless Separable Lean Only Trimmed To 0 Inch Fat Select Raw")</f>
        <v>Beef Brisket Flat Half Boneless Separable Lean Only Trimmed To 0 Inch Fat Select Raw</v>
      </c>
      <c r="C368" t="str">
        <f>IFERROR(__xludf.DUMMYFUNCTION("""COMPUTED_VALUE"""),"Meats")</f>
        <v>Meats</v>
      </c>
      <c r="D368">
        <f>IFERROR(__xludf.DUMMYFUNCTION("""COMPUTED_VALUE"""),124.0)</f>
        <v>124</v>
      </c>
      <c r="E368">
        <f>IFERROR(__xludf.DUMMYFUNCTION("""COMPUTED_VALUE"""),4.14)</f>
        <v>4.14</v>
      </c>
      <c r="F368">
        <f>IFERROR(__xludf.DUMMYFUNCTION("""COMPUTED_VALUE"""),21.74)</f>
        <v>21.74</v>
      </c>
      <c r="G368">
        <f>IFERROR(__xludf.DUMMYFUNCTION("""COMPUTED_VALUE"""),0.0)</f>
        <v>0</v>
      </c>
    </row>
    <row r="369">
      <c r="A369">
        <f>IFERROR(__xludf.DUMMYFUNCTION("""COMPUTED_VALUE"""),168659.0)</f>
        <v>168659</v>
      </c>
      <c r="B369" t="str">
        <f>IFERROR(__xludf.DUMMYFUNCTION("""COMPUTED_VALUE"""),"Beef Shoulder Top Blade Steak Boneless Separable Lean And Fat Trimmed To 0 Inch Fat Choice Cooked Grilled")</f>
        <v>Beef Shoulder Top Blade Steak Boneless Separable Lean And Fat Trimmed To 0 Inch Fat Choice Cooked Grilled</v>
      </c>
      <c r="C369" t="str">
        <f>IFERROR(__xludf.DUMMYFUNCTION("""COMPUTED_VALUE"""),"Meats")</f>
        <v>Meats</v>
      </c>
      <c r="D369">
        <f>IFERROR(__xludf.DUMMYFUNCTION("""COMPUTED_VALUE"""),220.0)</f>
        <v>220</v>
      </c>
      <c r="E369">
        <f>IFERROR(__xludf.DUMMYFUNCTION("""COMPUTED_VALUE"""),12.26)</f>
        <v>12.26</v>
      </c>
      <c r="F369">
        <f>IFERROR(__xludf.DUMMYFUNCTION("""COMPUTED_VALUE"""),27.51)</f>
        <v>27.51</v>
      </c>
      <c r="G369">
        <f>IFERROR(__xludf.DUMMYFUNCTION("""COMPUTED_VALUE"""),0.0)</f>
        <v>0</v>
      </c>
    </row>
    <row r="370">
      <c r="A370">
        <f>IFERROR(__xludf.DUMMYFUNCTION("""COMPUTED_VALUE"""),168660.0)</f>
        <v>168660</v>
      </c>
      <c r="B370" t="str">
        <f>IFERROR(__xludf.DUMMYFUNCTION("""COMPUTED_VALUE"""),"Beef Chuck Eye Roast Boneless Americas Beef Roast Separable Lean And Fat Trimmed To 0 Inch Fat All Grades Raw")</f>
        <v>Beef Chuck Eye Roast Boneless Americas Beef Roast Separable Lean And Fat Trimmed To 0 Inch Fat All Grades Raw</v>
      </c>
      <c r="C370" t="str">
        <f>IFERROR(__xludf.DUMMYFUNCTION("""COMPUTED_VALUE"""),"Meats")</f>
        <v>Meats</v>
      </c>
      <c r="D370">
        <f>IFERROR(__xludf.DUMMYFUNCTION("""COMPUTED_VALUE"""),180.0)</f>
        <v>180</v>
      </c>
      <c r="E370">
        <f>IFERROR(__xludf.DUMMYFUNCTION("""COMPUTED_VALUE"""),11.48)</f>
        <v>11.48</v>
      </c>
      <c r="F370">
        <f>IFERROR(__xludf.DUMMYFUNCTION("""COMPUTED_VALUE"""),19.18)</f>
        <v>19.18</v>
      </c>
      <c r="G370">
        <f>IFERROR(__xludf.DUMMYFUNCTION("""COMPUTED_VALUE"""),0.0)</f>
        <v>0</v>
      </c>
    </row>
    <row r="371">
      <c r="A371">
        <f>IFERROR(__xludf.DUMMYFUNCTION("""COMPUTED_VALUE"""),168661.0)</f>
        <v>168661</v>
      </c>
      <c r="B371" t="str">
        <f>IFERROR(__xludf.DUMMYFUNCTION("""COMPUTED_VALUE"""),"Beef Chuck Eye Roast Boneless Americas Beef Roast Separable Lean And Fat Trimmed To 0 Inch Fat Choice Raw")</f>
        <v>Beef Chuck Eye Roast Boneless Americas Beef Roast Separable Lean And Fat Trimmed To 0 Inch Fat Choice Raw</v>
      </c>
      <c r="C371" t="str">
        <f>IFERROR(__xludf.DUMMYFUNCTION("""COMPUTED_VALUE"""),"Meats")</f>
        <v>Meats</v>
      </c>
      <c r="D371">
        <f>IFERROR(__xludf.DUMMYFUNCTION("""COMPUTED_VALUE"""),185.0)</f>
        <v>185</v>
      </c>
      <c r="E371">
        <f>IFERROR(__xludf.DUMMYFUNCTION("""COMPUTED_VALUE"""),12.02)</f>
        <v>12.02</v>
      </c>
      <c r="F371">
        <f>IFERROR(__xludf.DUMMYFUNCTION("""COMPUTED_VALUE"""),19.14)</f>
        <v>19.14</v>
      </c>
      <c r="G371">
        <f>IFERROR(__xludf.DUMMYFUNCTION("""COMPUTED_VALUE"""),0.0)</f>
        <v>0</v>
      </c>
    </row>
    <row r="372">
      <c r="A372">
        <f>IFERROR(__xludf.DUMMYFUNCTION("""COMPUTED_VALUE"""),168662.0)</f>
        <v>168662</v>
      </c>
      <c r="B372" t="str">
        <f>IFERROR(__xludf.DUMMYFUNCTION("""COMPUTED_VALUE"""),"Beef Chuck Eye Roast Boneless Americas Beef Roast Separable Lean And Fat Trimmed To 0 Inch Fat Select Raw")</f>
        <v>Beef Chuck Eye Roast Boneless Americas Beef Roast Separable Lean And Fat Trimmed To 0 Inch Fat Select Raw</v>
      </c>
      <c r="C372" t="str">
        <f>IFERROR(__xludf.DUMMYFUNCTION("""COMPUTED_VALUE"""),"Meats")</f>
        <v>Meats</v>
      </c>
      <c r="D372">
        <f>IFERROR(__xludf.DUMMYFUNCTION("""COMPUTED_VALUE"""),173.0)</f>
        <v>173</v>
      </c>
      <c r="E372">
        <f>IFERROR(__xludf.DUMMYFUNCTION("""COMPUTED_VALUE"""),10.67)</f>
        <v>10.67</v>
      </c>
      <c r="F372">
        <f>IFERROR(__xludf.DUMMYFUNCTION("""COMPUTED_VALUE"""),19.25)</f>
        <v>19.25</v>
      </c>
      <c r="G372">
        <f>IFERROR(__xludf.DUMMYFUNCTION("""COMPUTED_VALUE"""),0.0)</f>
        <v>0</v>
      </c>
    </row>
    <row r="373">
      <c r="A373">
        <f>IFERROR(__xludf.DUMMYFUNCTION("""COMPUTED_VALUE"""),168663.0)</f>
        <v>168663</v>
      </c>
      <c r="B373" t="str">
        <f>IFERROR(__xludf.DUMMYFUNCTION("""COMPUTED_VALUE"""),"Beef Composite Of Trimmed Retail Cuts Separable Lean And Fat Trimmed To 1/8 Inch Fat Select Cooked")</f>
        <v>Beef Composite Of Trimmed Retail Cuts Separable Lean And Fat Trimmed To 1/8 Inch Fat Select Cooked</v>
      </c>
      <c r="C373" t="str">
        <f>IFERROR(__xludf.DUMMYFUNCTION("""COMPUTED_VALUE"""),"Meats")</f>
        <v>Meats</v>
      </c>
      <c r="D373">
        <f>IFERROR(__xludf.DUMMYFUNCTION("""COMPUTED_VALUE"""),245.0)</f>
        <v>245</v>
      </c>
      <c r="E373">
        <f>IFERROR(__xludf.DUMMYFUNCTION("""COMPUTED_VALUE"""),15.09)</f>
        <v>15.09</v>
      </c>
      <c r="F373">
        <f>IFERROR(__xludf.DUMMYFUNCTION("""COMPUTED_VALUE"""),26.06)</f>
        <v>26.06</v>
      </c>
      <c r="G373">
        <f>IFERROR(__xludf.DUMMYFUNCTION("""COMPUTED_VALUE"""),0.0)</f>
        <v>0</v>
      </c>
    </row>
    <row r="374">
      <c r="A374">
        <f>IFERROR(__xludf.DUMMYFUNCTION("""COMPUTED_VALUE"""),168664.0)</f>
        <v>168664</v>
      </c>
      <c r="B374" t="str">
        <f>IFERROR(__xludf.DUMMYFUNCTION("""COMPUTED_VALUE"""),"Beef Brisket Whole Separable Lean And Fat Trimmed To 1/8 Inch Fat All Grades Raw")</f>
        <v>Beef Brisket Whole Separable Lean And Fat Trimmed To 1/8 Inch Fat All Grades Raw</v>
      </c>
      <c r="C374" t="str">
        <f>IFERROR(__xludf.DUMMYFUNCTION("""COMPUTED_VALUE"""),"Meats")</f>
        <v>Meats</v>
      </c>
      <c r="D374">
        <f>IFERROR(__xludf.DUMMYFUNCTION("""COMPUTED_VALUE"""),253.0)</f>
        <v>253</v>
      </c>
      <c r="E374">
        <f>IFERROR(__xludf.DUMMYFUNCTION("""COMPUTED_VALUE"""),19.06)</f>
        <v>19.06</v>
      </c>
      <c r="F374">
        <f>IFERROR(__xludf.DUMMYFUNCTION("""COMPUTED_VALUE"""),18.42)</f>
        <v>18.42</v>
      </c>
      <c r="G374">
        <f>IFERROR(__xludf.DUMMYFUNCTION("""COMPUTED_VALUE"""),0.56)</f>
        <v>0.56</v>
      </c>
    </row>
    <row r="375">
      <c r="A375">
        <f>IFERROR(__xludf.DUMMYFUNCTION("""COMPUTED_VALUE"""),168665.0)</f>
        <v>168665</v>
      </c>
      <c r="B375" t="str">
        <f>IFERROR(__xludf.DUMMYFUNCTION("""COMPUTED_VALUE"""),"Beef Brisket Whole Separable Lean And Fat Trimmed To 1/8 Inch Fat All Grades Cooked Braised")</f>
        <v>Beef Brisket Whole Separable Lean And Fat Trimmed To 1/8 Inch Fat All Grades Cooked Braised</v>
      </c>
      <c r="C375" t="str">
        <f>IFERROR(__xludf.DUMMYFUNCTION("""COMPUTED_VALUE"""),"Meats")</f>
        <v>Meats</v>
      </c>
      <c r="D375">
        <f>IFERROR(__xludf.DUMMYFUNCTION("""COMPUTED_VALUE"""),331.0)</f>
        <v>331</v>
      </c>
      <c r="E375">
        <f>IFERROR(__xludf.DUMMYFUNCTION("""COMPUTED_VALUE"""),24.5)</f>
        <v>24.5</v>
      </c>
      <c r="F375">
        <f>IFERROR(__xludf.DUMMYFUNCTION("""COMPUTED_VALUE"""),25.85)</f>
        <v>25.85</v>
      </c>
      <c r="G375">
        <f>IFERROR(__xludf.DUMMYFUNCTION("""COMPUTED_VALUE"""),0.0)</f>
        <v>0</v>
      </c>
    </row>
    <row r="376">
      <c r="A376">
        <f>IFERROR(__xludf.DUMMYFUNCTION("""COMPUTED_VALUE"""),168666.0)</f>
        <v>168666</v>
      </c>
      <c r="B376" t="str">
        <f>IFERROR(__xludf.DUMMYFUNCTION("""COMPUTED_VALUE"""),"Beef Brisket Flat Half Separable Lean And Fat Trimmed To 1/8 Inch Fat All Grades Raw")</f>
        <v>Beef Brisket Flat Half Separable Lean And Fat Trimmed To 1/8 Inch Fat All Grades Raw</v>
      </c>
      <c r="C376" t="str">
        <f>IFERROR(__xludf.DUMMYFUNCTION("""COMPUTED_VALUE"""),"Meats")</f>
        <v>Meats</v>
      </c>
      <c r="D376">
        <f>IFERROR(__xludf.DUMMYFUNCTION("""COMPUTED_VALUE"""),277.0)</f>
        <v>277</v>
      </c>
      <c r="E376">
        <f>IFERROR(__xludf.DUMMYFUNCTION("""COMPUTED_VALUE"""),22.18)</f>
        <v>22.18</v>
      </c>
      <c r="F376">
        <f>IFERROR(__xludf.DUMMYFUNCTION("""COMPUTED_VALUE"""),17.94)</f>
        <v>17.94</v>
      </c>
      <c r="G376">
        <f>IFERROR(__xludf.DUMMYFUNCTION("""COMPUTED_VALUE"""),0.0)</f>
        <v>0</v>
      </c>
    </row>
    <row r="377">
      <c r="A377">
        <f>IFERROR(__xludf.DUMMYFUNCTION("""COMPUTED_VALUE"""),168667.0)</f>
        <v>168667</v>
      </c>
      <c r="B377" t="str">
        <f>IFERROR(__xludf.DUMMYFUNCTION("""COMPUTED_VALUE"""),"Beef Chuck Arm Pot Roast Separable Lean And Fat Trimmed To 1/8 Inch Fat All Grades Cooked Braised")</f>
        <v>Beef Chuck Arm Pot Roast Separable Lean And Fat Trimmed To 1/8 Inch Fat All Grades Cooked Braised</v>
      </c>
      <c r="C377" t="str">
        <f>IFERROR(__xludf.DUMMYFUNCTION("""COMPUTED_VALUE"""),"Meats")</f>
        <v>Meats</v>
      </c>
      <c r="D377">
        <f>IFERROR(__xludf.DUMMYFUNCTION("""COMPUTED_VALUE"""),302.0)</f>
        <v>302</v>
      </c>
      <c r="E377">
        <f>IFERROR(__xludf.DUMMYFUNCTION("""COMPUTED_VALUE"""),19.22)</f>
        <v>19.22</v>
      </c>
      <c r="F377">
        <f>IFERROR(__xludf.DUMMYFUNCTION("""COMPUTED_VALUE"""),30.12)</f>
        <v>30.12</v>
      </c>
      <c r="G377">
        <f>IFERROR(__xludf.DUMMYFUNCTION("""COMPUTED_VALUE"""),0.0)</f>
        <v>0</v>
      </c>
    </row>
    <row r="378">
      <c r="A378">
        <f>IFERROR(__xludf.DUMMYFUNCTION("""COMPUTED_VALUE"""),168668.0)</f>
        <v>168668</v>
      </c>
      <c r="B378" t="str">
        <f>IFERROR(__xludf.DUMMYFUNCTION("""COMPUTED_VALUE"""),"Beef Chuck Arm Pot Roast Separable Lean And Fat Trimmed To 1/8 Inch Fat Choice Raw")</f>
        <v>Beef Chuck Arm Pot Roast Separable Lean And Fat Trimmed To 1/8 Inch Fat Choice Raw</v>
      </c>
      <c r="C378" t="str">
        <f>IFERROR(__xludf.DUMMYFUNCTION("""COMPUTED_VALUE"""),"Meats")</f>
        <v>Meats</v>
      </c>
      <c r="D378">
        <f>IFERROR(__xludf.DUMMYFUNCTION("""COMPUTED_VALUE"""),249.0)</f>
        <v>249</v>
      </c>
      <c r="E378">
        <f>IFERROR(__xludf.DUMMYFUNCTION("""COMPUTED_VALUE"""),18.57)</f>
        <v>18.57</v>
      </c>
      <c r="F378">
        <f>IFERROR(__xludf.DUMMYFUNCTION("""COMPUTED_VALUE"""),19.14)</f>
        <v>19.14</v>
      </c>
      <c r="G378">
        <f>IFERROR(__xludf.DUMMYFUNCTION("""COMPUTED_VALUE"""),0.0)</f>
        <v>0</v>
      </c>
    </row>
    <row r="379">
      <c r="A379">
        <f>IFERROR(__xludf.DUMMYFUNCTION("""COMPUTED_VALUE"""),168669.0)</f>
        <v>168669</v>
      </c>
      <c r="B379" t="str">
        <f>IFERROR(__xludf.DUMMYFUNCTION("""COMPUTED_VALUE"""),"Beef Chuck Arm Pot Roast Separable Lean And Fat Trimmed To 1/8 Inch Fat Choice Cooked Braised")</f>
        <v>Beef Chuck Arm Pot Roast Separable Lean And Fat Trimmed To 1/8 Inch Fat Choice Cooked Braised</v>
      </c>
      <c r="C379" t="str">
        <f>IFERROR(__xludf.DUMMYFUNCTION("""COMPUTED_VALUE"""),"Meats")</f>
        <v>Meats</v>
      </c>
      <c r="D379">
        <f>IFERROR(__xludf.DUMMYFUNCTION("""COMPUTED_VALUE"""),309.0)</f>
        <v>309</v>
      </c>
      <c r="E379">
        <f>IFERROR(__xludf.DUMMYFUNCTION("""COMPUTED_VALUE"""),19.93)</f>
        <v>19.93</v>
      </c>
      <c r="F379">
        <f>IFERROR(__xludf.DUMMYFUNCTION("""COMPUTED_VALUE"""),30.2)</f>
        <v>30.2</v>
      </c>
      <c r="G379">
        <f>IFERROR(__xludf.DUMMYFUNCTION("""COMPUTED_VALUE"""),0.0)</f>
        <v>0</v>
      </c>
    </row>
    <row r="380">
      <c r="A380">
        <f>IFERROR(__xludf.DUMMYFUNCTION("""COMPUTED_VALUE"""),168670.0)</f>
        <v>168670</v>
      </c>
      <c r="B380" t="str">
        <f>IFERROR(__xludf.DUMMYFUNCTION("""COMPUTED_VALUE"""),"Beef Chuck Arm Pot Roast Separable Lean And Fat Trimmed To 1/8 Inch Fat Select Raw")</f>
        <v>Beef Chuck Arm Pot Roast Separable Lean And Fat Trimmed To 1/8 Inch Fat Select Raw</v>
      </c>
      <c r="C380" t="str">
        <f>IFERROR(__xludf.DUMMYFUNCTION("""COMPUTED_VALUE"""),"Meats")</f>
        <v>Meats</v>
      </c>
      <c r="D380">
        <f>IFERROR(__xludf.DUMMYFUNCTION("""COMPUTED_VALUE"""),239.0)</f>
        <v>239</v>
      </c>
      <c r="E380">
        <f>IFERROR(__xludf.DUMMYFUNCTION("""COMPUTED_VALUE"""),17.39)</f>
        <v>17.39</v>
      </c>
      <c r="F380">
        <f>IFERROR(__xludf.DUMMYFUNCTION("""COMPUTED_VALUE"""),19.33)</f>
        <v>19.33</v>
      </c>
      <c r="G380">
        <f>IFERROR(__xludf.DUMMYFUNCTION("""COMPUTED_VALUE"""),0.0)</f>
        <v>0</v>
      </c>
    </row>
    <row r="381">
      <c r="A381">
        <f>IFERROR(__xludf.DUMMYFUNCTION("""COMPUTED_VALUE"""),168671.0)</f>
        <v>168671</v>
      </c>
      <c r="B381" t="str">
        <f>IFERROR(__xludf.DUMMYFUNCTION("""COMPUTED_VALUE"""),"Beef Chuck Blade Roast Separable Lean And Fat Trimmed To 1/8 Inch Fat Choice Cooked Braised")</f>
        <v>Beef Chuck Blade Roast Separable Lean And Fat Trimmed To 1/8 Inch Fat Choice Cooked Braised</v>
      </c>
      <c r="C381" t="str">
        <f>IFERROR(__xludf.DUMMYFUNCTION("""COMPUTED_VALUE"""),"Meats")</f>
        <v>Meats</v>
      </c>
      <c r="D381">
        <f>IFERROR(__xludf.DUMMYFUNCTION("""COMPUTED_VALUE"""),359.0)</f>
        <v>359</v>
      </c>
      <c r="E381">
        <f>IFERROR(__xludf.DUMMYFUNCTION("""COMPUTED_VALUE"""),27.26)</f>
        <v>27.26</v>
      </c>
      <c r="F381">
        <f>IFERROR(__xludf.DUMMYFUNCTION("""COMPUTED_VALUE"""),26.37)</f>
        <v>26.37</v>
      </c>
      <c r="G381">
        <f>IFERROR(__xludf.DUMMYFUNCTION("""COMPUTED_VALUE"""),0.0)</f>
        <v>0</v>
      </c>
    </row>
    <row r="382">
      <c r="A382">
        <f>IFERROR(__xludf.DUMMYFUNCTION("""COMPUTED_VALUE"""),168672.0)</f>
        <v>168672</v>
      </c>
      <c r="B382" t="str">
        <f>IFERROR(__xludf.DUMMYFUNCTION("""COMPUTED_VALUE"""),"Beef Chuck Blade Roast Separable Lean And Fat Trimmed To 1/8 Inch Fat Select Raw")</f>
        <v>Beef Chuck Blade Roast Separable Lean And Fat Trimmed To 1/8 Inch Fat Select Raw</v>
      </c>
      <c r="C382" t="str">
        <f>IFERROR(__xludf.DUMMYFUNCTION("""COMPUTED_VALUE"""),"Meats")</f>
        <v>Meats</v>
      </c>
      <c r="D382">
        <f>IFERROR(__xludf.DUMMYFUNCTION("""COMPUTED_VALUE"""),230.0)</f>
        <v>230</v>
      </c>
      <c r="E382">
        <f>IFERROR(__xludf.DUMMYFUNCTION("""COMPUTED_VALUE"""),17.33)</f>
        <v>17.33</v>
      </c>
      <c r="F382">
        <f>IFERROR(__xludf.DUMMYFUNCTION("""COMPUTED_VALUE"""),17.37)</f>
        <v>17.37</v>
      </c>
      <c r="G382">
        <f>IFERROR(__xludf.DUMMYFUNCTION("""COMPUTED_VALUE"""),0.0)</f>
        <v>0</v>
      </c>
    </row>
    <row r="383">
      <c r="A383">
        <f>IFERROR(__xludf.DUMMYFUNCTION("""COMPUTED_VALUE"""),168673.0)</f>
        <v>168673</v>
      </c>
      <c r="B383" t="str">
        <f>IFERROR(__xludf.DUMMYFUNCTION("""COMPUTED_VALUE"""),"Beef Chuck Blade Roast Separable Lean And Fat Trimmed To 1/8 Inch Fat Select Cooked Braised")</f>
        <v>Beef Chuck Blade Roast Separable Lean And Fat Trimmed To 1/8 Inch Fat Select Cooked Braised</v>
      </c>
      <c r="C383" t="str">
        <f>IFERROR(__xludf.DUMMYFUNCTION("""COMPUTED_VALUE"""),"Meats")</f>
        <v>Meats</v>
      </c>
      <c r="D383">
        <f>IFERROR(__xludf.DUMMYFUNCTION("""COMPUTED_VALUE"""),318.0)</f>
        <v>318</v>
      </c>
      <c r="E383">
        <f>IFERROR(__xludf.DUMMYFUNCTION("""COMPUTED_VALUE"""),22.35)</f>
        <v>22.35</v>
      </c>
      <c r="F383">
        <f>IFERROR(__xludf.DUMMYFUNCTION("""COMPUTED_VALUE"""),27.33)</f>
        <v>27.33</v>
      </c>
      <c r="G383">
        <f>IFERROR(__xludf.DUMMYFUNCTION("""COMPUTED_VALUE"""),0.0)</f>
        <v>0</v>
      </c>
    </row>
    <row r="384">
      <c r="A384">
        <f>IFERROR(__xludf.DUMMYFUNCTION("""COMPUTED_VALUE"""),168674.0)</f>
        <v>168674</v>
      </c>
      <c r="B384" t="str">
        <f>IFERROR(__xludf.DUMMYFUNCTION("""COMPUTED_VALUE"""),"Beef Chuck Eye Roast Boneless Americas Beef Roast Separable Lean Only Trimmed To 0 Inch Fat All Grades Cooked Roasted")</f>
        <v>Beef Chuck Eye Roast Boneless Americas Beef Roast Separable Lean Only Trimmed To 0 Inch Fat All Grades Cooked Roasted</v>
      </c>
      <c r="C384" t="str">
        <f>IFERROR(__xludf.DUMMYFUNCTION("""COMPUTED_VALUE"""),"Meats")</f>
        <v>Meats</v>
      </c>
      <c r="D384">
        <f>IFERROR(__xludf.DUMMYFUNCTION("""COMPUTED_VALUE"""),183.0)</f>
        <v>183</v>
      </c>
      <c r="E384">
        <f>IFERROR(__xludf.DUMMYFUNCTION("""COMPUTED_VALUE"""),8.46)</f>
        <v>8.46</v>
      </c>
      <c r="F384">
        <f>IFERROR(__xludf.DUMMYFUNCTION("""COMPUTED_VALUE"""),26.65)</f>
        <v>26.65</v>
      </c>
      <c r="G384">
        <f>IFERROR(__xludf.DUMMYFUNCTION("""COMPUTED_VALUE"""),0.0)</f>
        <v>0</v>
      </c>
    </row>
    <row r="385">
      <c r="A385">
        <f>IFERROR(__xludf.DUMMYFUNCTION("""COMPUTED_VALUE"""),168675.0)</f>
        <v>168675</v>
      </c>
      <c r="B385" t="str">
        <f>IFERROR(__xludf.DUMMYFUNCTION("""COMPUTED_VALUE"""),"Beef Rib Whole (Ribs 6-12) Separable Lean And Fat Trimmed To 1/8 Inch Fat Choice Raw")</f>
        <v>Beef Rib Whole (Ribs 6-12) Separable Lean And Fat Trimmed To 1/8 Inch Fat Choice Raw</v>
      </c>
      <c r="C385" t="str">
        <f>IFERROR(__xludf.DUMMYFUNCTION("""COMPUTED_VALUE"""),"Meats")</f>
        <v>Meats</v>
      </c>
      <c r="D385">
        <f>IFERROR(__xludf.DUMMYFUNCTION("""COMPUTED_VALUE"""),322.0)</f>
        <v>322</v>
      </c>
      <c r="E385">
        <f>IFERROR(__xludf.DUMMYFUNCTION("""COMPUTED_VALUE"""),27.93)</f>
        <v>27.93</v>
      </c>
      <c r="F385">
        <f>IFERROR(__xludf.DUMMYFUNCTION("""COMPUTED_VALUE"""),16.34)</f>
        <v>16.34</v>
      </c>
      <c r="G385">
        <f>IFERROR(__xludf.DUMMYFUNCTION("""COMPUTED_VALUE"""),0.0)</f>
        <v>0</v>
      </c>
    </row>
    <row r="386">
      <c r="A386">
        <f>IFERROR(__xludf.DUMMYFUNCTION("""COMPUTED_VALUE"""),168676.0)</f>
        <v>168676</v>
      </c>
      <c r="B386" t="str">
        <f>IFERROR(__xludf.DUMMYFUNCTION("""COMPUTED_VALUE"""),"Beef Rib Whole (Ribs 6-12) Separable Lean And Fat Trimmed To 1/8 Inch Fat Choice Cooked Broiled")</f>
        <v>Beef Rib Whole (Ribs 6-12) Separable Lean And Fat Trimmed To 1/8 Inch Fat Choice Cooked Broiled</v>
      </c>
      <c r="C386" t="str">
        <f>IFERROR(__xludf.DUMMYFUNCTION("""COMPUTED_VALUE"""),"Meats")</f>
        <v>Meats</v>
      </c>
      <c r="D386">
        <f>IFERROR(__xludf.DUMMYFUNCTION("""COMPUTED_VALUE"""),352.0)</f>
        <v>352</v>
      </c>
      <c r="E386">
        <f>IFERROR(__xludf.DUMMYFUNCTION("""COMPUTED_VALUE"""),28.5)</f>
        <v>28.5</v>
      </c>
      <c r="F386">
        <f>IFERROR(__xludf.DUMMYFUNCTION("""COMPUTED_VALUE"""),22.26)</f>
        <v>22.26</v>
      </c>
      <c r="G386">
        <f>IFERROR(__xludf.DUMMYFUNCTION("""COMPUTED_VALUE"""),0.0)</f>
        <v>0</v>
      </c>
    </row>
    <row r="387">
      <c r="A387">
        <f>IFERROR(__xludf.DUMMYFUNCTION("""COMPUTED_VALUE"""),168677.0)</f>
        <v>168677</v>
      </c>
      <c r="B387" t="str">
        <f>IFERROR(__xludf.DUMMYFUNCTION("""COMPUTED_VALUE"""),"Beef Rib Whole (Ribs 6-12) Separable Lean And Fat Trimmed To 1/8 Inch Fat Choice Cooked Roasted")</f>
        <v>Beef Rib Whole (Ribs 6-12) Separable Lean And Fat Trimmed To 1/8 Inch Fat Choice Cooked Roasted</v>
      </c>
      <c r="C387" t="str">
        <f>IFERROR(__xludf.DUMMYFUNCTION("""COMPUTED_VALUE"""),"Meats")</f>
        <v>Meats</v>
      </c>
      <c r="D387">
        <f>IFERROR(__xludf.DUMMYFUNCTION("""COMPUTED_VALUE"""),365.0)</f>
        <v>365</v>
      </c>
      <c r="E387">
        <f>IFERROR(__xludf.DUMMYFUNCTION("""COMPUTED_VALUE"""),29.79)</f>
        <v>29.79</v>
      </c>
      <c r="F387">
        <f>IFERROR(__xludf.DUMMYFUNCTION("""COMPUTED_VALUE"""),22.6)</f>
        <v>22.6</v>
      </c>
      <c r="G387">
        <f>IFERROR(__xludf.DUMMYFUNCTION("""COMPUTED_VALUE"""),0.0)</f>
        <v>0</v>
      </c>
    </row>
    <row r="388">
      <c r="A388">
        <f>IFERROR(__xludf.DUMMYFUNCTION("""COMPUTED_VALUE"""),168678.0)</f>
        <v>168678</v>
      </c>
      <c r="B388" t="str">
        <f>IFERROR(__xludf.DUMMYFUNCTION("""COMPUTED_VALUE"""),"Beef Rib Whole (Ribs 6-12) Separable Lean And Fat Trimmed To 1/8 Inch Fat Select Raw")</f>
        <v>Beef Rib Whole (Ribs 6-12) Separable Lean And Fat Trimmed To 1/8 Inch Fat Select Raw</v>
      </c>
      <c r="C388" t="str">
        <f>IFERROR(__xludf.DUMMYFUNCTION("""COMPUTED_VALUE"""),"Meats")</f>
        <v>Meats</v>
      </c>
      <c r="D388">
        <f>IFERROR(__xludf.DUMMYFUNCTION("""COMPUTED_VALUE"""),288.0)</f>
        <v>288</v>
      </c>
      <c r="E388">
        <f>IFERROR(__xludf.DUMMYFUNCTION("""COMPUTED_VALUE"""),23.95)</f>
        <v>23.95</v>
      </c>
      <c r="F388">
        <f>IFERROR(__xludf.DUMMYFUNCTION("""COMPUTED_VALUE"""),16.75)</f>
        <v>16.75</v>
      </c>
      <c r="G388">
        <f>IFERROR(__xludf.DUMMYFUNCTION("""COMPUTED_VALUE"""),0.0)</f>
        <v>0</v>
      </c>
    </row>
    <row r="389">
      <c r="A389">
        <f>IFERROR(__xludf.DUMMYFUNCTION("""COMPUTED_VALUE"""),168679.0)</f>
        <v>168679</v>
      </c>
      <c r="B389" t="str">
        <f>IFERROR(__xludf.DUMMYFUNCTION("""COMPUTED_VALUE"""),"Beef Rib Whole (Ribs 6-12) Separable Lean And Fat Trimmed To 1/8 Inch Fat Prime Cooked Roasted")</f>
        <v>Beef Rib Whole (Ribs 6-12) Separable Lean And Fat Trimmed To 1/8 Inch Fat Prime Cooked Roasted</v>
      </c>
      <c r="C389" t="str">
        <f>IFERROR(__xludf.DUMMYFUNCTION("""COMPUTED_VALUE"""),"Meats")</f>
        <v>Meats</v>
      </c>
      <c r="D389">
        <f>IFERROR(__xludf.DUMMYFUNCTION("""COMPUTED_VALUE"""),400.0)</f>
        <v>400</v>
      </c>
      <c r="E389">
        <f>IFERROR(__xludf.DUMMYFUNCTION("""COMPUTED_VALUE"""),33.7)</f>
        <v>33.7</v>
      </c>
      <c r="F389">
        <f>IFERROR(__xludf.DUMMYFUNCTION("""COMPUTED_VALUE"""),22.57)</f>
        <v>22.57</v>
      </c>
      <c r="G389">
        <f>IFERROR(__xludf.DUMMYFUNCTION("""COMPUTED_VALUE"""),0.0)</f>
        <v>0</v>
      </c>
    </row>
    <row r="390">
      <c r="A390">
        <f>IFERROR(__xludf.DUMMYFUNCTION("""COMPUTED_VALUE"""),168680.0)</f>
        <v>168680</v>
      </c>
      <c r="B390" t="str">
        <f>IFERROR(__xludf.DUMMYFUNCTION("""COMPUTED_VALUE"""),"Beef Rib Large End (Ribs 6-9) Separable Lean And Fat Trimmed To 1/8 Inch Fat All Grades Raw")</f>
        <v>Beef Rib Large End (Ribs 6-9) Separable Lean And Fat Trimmed To 1/8 Inch Fat All Grades Raw</v>
      </c>
      <c r="C390" t="str">
        <f>IFERROR(__xludf.DUMMYFUNCTION("""COMPUTED_VALUE"""),"Meats")</f>
        <v>Meats</v>
      </c>
      <c r="D390">
        <f>IFERROR(__xludf.DUMMYFUNCTION("""COMPUTED_VALUE"""),316.0)</f>
        <v>316</v>
      </c>
      <c r="E390">
        <f>IFERROR(__xludf.DUMMYFUNCTION("""COMPUTED_VALUE"""),27.29)</f>
        <v>27.29</v>
      </c>
      <c r="F390">
        <f>IFERROR(__xludf.DUMMYFUNCTION("""COMPUTED_VALUE"""),16.26)</f>
        <v>16.26</v>
      </c>
      <c r="G390">
        <f>IFERROR(__xludf.DUMMYFUNCTION("""COMPUTED_VALUE"""),0.0)</f>
        <v>0</v>
      </c>
    </row>
    <row r="391">
      <c r="A391">
        <f>IFERROR(__xludf.DUMMYFUNCTION("""COMPUTED_VALUE"""),168681.0)</f>
        <v>168681</v>
      </c>
      <c r="B391" t="str">
        <f>IFERROR(__xludf.DUMMYFUNCTION("""COMPUTED_VALUE"""),"Beef Rib Large End (Ribs 6-9) Separable Lean And Fat Trimmed To 1/8 Inch Fat All Grades Cooked Broiled")</f>
        <v>Beef Rib Large End (Ribs 6-9) Separable Lean And Fat Trimmed To 1/8 Inch Fat All Grades Cooked Broiled</v>
      </c>
      <c r="C391" t="str">
        <f>IFERROR(__xludf.DUMMYFUNCTION("""COMPUTED_VALUE"""),"Meats")</f>
        <v>Meats</v>
      </c>
      <c r="D391">
        <f>IFERROR(__xludf.DUMMYFUNCTION("""COMPUTED_VALUE"""),338.0)</f>
        <v>338</v>
      </c>
      <c r="E391">
        <f>IFERROR(__xludf.DUMMYFUNCTION("""COMPUTED_VALUE"""),27.22)</f>
        <v>27.22</v>
      </c>
      <c r="F391">
        <f>IFERROR(__xludf.DUMMYFUNCTION("""COMPUTED_VALUE"""),21.55)</f>
        <v>21.55</v>
      </c>
      <c r="G391">
        <f>IFERROR(__xludf.DUMMYFUNCTION("""COMPUTED_VALUE"""),0.0)</f>
        <v>0</v>
      </c>
    </row>
    <row r="392">
      <c r="A392">
        <f>IFERROR(__xludf.DUMMYFUNCTION("""COMPUTED_VALUE"""),168682.0)</f>
        <v>168682</v>
      </c>
      <c r="B392" t="str">
        <f>IFERROR(__xludf.DUMMYFUNCTION("""COMPUTED_VALUE"""),"Beef Rib Large End (Ribs 6-9) Separable Lean And Fat Trimmed To 1/8 Inch Fat All Grades Cooked Roasted")</f>
        <v>Beef Rib Large End (Ribs 6-9) Separable Lean And Fat Trimmed To 1/8 Inch Fat All Grades Cooked Roasted</v>
      </c>
      <c r="C392" t="str">
        <f>IFERROR(__xludf.DUMMYFUNCTION("""COMPUTED_VALUE"""),"Meats")</f>
        <v>Meats</v>
      </c>
      <c r="D392">
        <f>IFERROR(__xludf.DUMMYFUNCTION("""COMPUTED_VALUE"""),355.0)</f>
        <v>355</v>
      </c>
      <c r="E392">
        <f>IFERROR(__xludf.DUMMYFUNCTION("""COMPUTED_VALUE"""),28.51)</f>
        <v>28.51</v>
      </c>
      <c r="F392">
        <f>IFERROR(__xludf.DUMMYFUNCTION("""COMPUTED_VALUE"""),23.01)</f>
        <v>23.01</v>
      </c>
      <c r="G392">
        <f>IFERROR(__xludf.DUMMYFUNCTION("""COMPUTED_VALUE"""),0.0)</f>
        <v>0</v>
      </c>
    </row>
    <row r="393">
      <c r="A393">
        <f>IFERROR(__xludf.DUMMYFUNCTION("""COMPUTED_VALUE"""),168683.0)</f>
        <v>168683</v>
      </c>
      <c r="B393" t="str">
        <f>IFERROR(__xludf.DUMMYFUNCTION("""COMPUTED_VALUE"""),"Beef Rib Large End (Ribs 6-9) Separable Lean And Fat Trimmed To 1/8 Inch Fat Select Cooked Broiled")</f>
        <v>Beef Rib Large End (Ribs 6-9) Separable Lean And Fat Trimmed To 1/8 Inch Fat Select Cooked Broiled</v>
      </c>
      <c r="C393" t="str">
        <f>IFERROR(__xludf.DUMMYFUNCTION("""COMPUTED_VALUE"""),"Meats")</f>
        <v>Meats</v>
      </c>
      <c r="D393">
        <f>IFERROR(__xludf.DUMMYFUNCTION("""COMPUTED_VALUE"""),324.0)</f>
        <v>324</v>
      </c>
      <c r="E393">
        <f>IFERROR(__xludf.DUMMYFUNCTION("""COMPUTED_VALUE"""),25.71)</f>
        <v>25.71</v>
      </c>
      <c r="F393">
        <f>IFERROR(__xludf.DUMMYFUNCTION("""COMPUTED_VALUE"""),21.55)</f>
        <v>21.55</v>
      </c>
      <c r="G393">
        <f>IFERROR(__xludf.DUMMYFUNCTION("""COMPUTED_VALUE"""),0.0)</f>
        <v>0</v>
      </c>
    </row>
    <row r="394">
      <c r="A394">
        <f>IFERROR(__xludf.DUMMYFUNCTION("""COMPUTED_VALUE"""),168684.0)</f>
        <v>168684</v>
      </c>
      <c r="B394" t="str">
        <f>IFERROR(__xludf.DUMMYFUNCTION("""COMPUTED_VALUE"""),"Beef Rib Large End (Ribs 6-9) Separable Lean And Fat Trimmed To 1/8 Inch Fat Select Cooked Roasted")</f>
        <v>Beef Rib Large End (Ribs 6-9) Separable Lean And Fat Trimmed To 1/8 Inch Fat Select Cooked Roasted</v>
      </c>
      <c r="C394" t="str">
        <f>IFERROR(__xludf.DUMMYFUNCTION("""COMPUTED_VALUE"""),"Meats")</f>
        <v>Meats</v>
      </c>
      <c r="D394">
        <f>IFERROR(__xludf.DUMMYFUNCTION("""COMPUTED_VALUE"""),333.0)</f>
        <v>333</v>
      </c>
      <c r="E394">
        <f>IFERROR(__xludf.DUMMYFUNCTION("""COMPUTED_VALUE"""),25.84)</f>
        <v>25.84</v>
      </c>
      <c r="F394">
        <f>IFERROR(__xludf.DUMMYFUNCTION("""COMPUTED_VALUE"""),23.4)</f>
        <v>23.4</v>
      </c>
      <c r="G394">
        <f>IFERROR(__xludf.DUMMYFUNCTION("""COMPUTED_VALUE"""),0.0)</f>
        <v>0</v>
      </c>
    </row>
    <row r="395">
      <c r="A395">
        <f>IFERROR(__xludf.DUMMYFUNCTION("""COMPUTED_VALUE"""),168685.0)</f>
        <v>168685</v>
      </c>
      <c r="B395" t="str">
        <f>IFERROR(__xludf.DUMMYFUNCTION("""COMPUTED_VALUE"""),"Beef Rib Large End (Ribs 6-9) Separable Lean And Fat Trimmed To 1/8 Inch Fat Prime Raw")</f>
        <v>Beef Rib Large End (Ribs 6-9) Separable Lean And Fat Trimmed To 1/8 Inch Fat Prime Raw</v>
      </c>
      <c r="C395" t="str">
        <f>IFERROR(__xludf.DUMMYFUNCTION("""COMPUTED_VALUE"""),"Meats")</f>
        <v>Meats</v>
      </c>
      <c r="D395">
        <f>IFERROR(__xludf.DUMMYFUNCTION("""COMPUTED_VALUE"""),367.0)</f>
        <v>367</v>
      </c>
      <c r="E395">
        <f>IFERROR(__xludf.DUMMYFUNCTION("""COMPUTED_VALUE"""),33.26)</f>
        <v>33.26</v>
      </c>
      <c r="F395">
        <f>IFERROR(__xludf.DUMMYFUNCTION("""COMPUTED_VALUE"""),15.77)</f>
        <v>15.77</v>
      </c>
      <c r="G395">
        <f>IFERROR(__xludf.DUMMYFUNCTION("""COMPUTED_VALUE"""),0.0)</f>
        <v>0</v>
      </c>
    </row>
    <row r="396">
      <c r="A396">
        <f>IFERROR(__xludf.DUMMYFUNCTION("""COMPUTED_VALUE"""),168686.0)</f>
        <v>168686</v>
      </c>
      <c r="B396" t="str">
        <f>IFERROR(__xludf.DUMMYFUNCTION("""COMPUTED_VALUE"""),"Beef Rib Large End (Ribs 6-9) Separable Lean And Fat Trimmed To 1/8 Inch Fat Prime Cooked Broiled")</f>
        <v>Beef Rib Large End (Ribs 6-9) Separable Lean And Fat Trimmed To 1/8 Inch Fat Prime Cooked Broiled</v>
      </c>
      <c r="C396" t="str">
        <f>IFERROR(__xludf.DUMMYFUNCTION("""COMPUTED_VALUE"""),"Meats")</f>
        <v>Meats</v>
      </c>
      <c r="D396">
        <f>IFERROR(__xludf.DUMMYFUNCTION("""COMPUTED_VALUE"""),404.0)</f>
        <v>404</v>
      </c>
      <c r="E396">
        <f>IFERROR(__xludf.DUMMYFUNCTION("""COMPUTED_VALUE"""),34.97)</f>
        <v>34.97</v>
      </c>
      <c r="F396">
        <f>IFERROR(__xludf.DUMMYFUNCTION("""COMPUTED_VALUE"""),20.65)</f>
        <v>20.65</v>
      </c>
      <c r="G396">
        <f>IFERROR(__xludf.DUMMYFUNCTION("""COMPUTED_VALUE"""),0.0)</f>
        <v>0</v>
      </c>
    </row>
    <row r="397">
      <c r="A397">
        <f>IFERROR(__xludf.DUMMYFUNCTION("""COMPUTED_VALUE"""),168687.0)</f>
        <v>168687</v>
      </c>
      <c r="B397" t="str">
        <f>IFERROR(__xludf.DUMMYFUNCTION("""COMPUTED_VALUE"""),"Beef Rib Large End (Ribs 6-9) Separable Lean And Fat Trimmed To 1/8 Inch Fat Prime Cooked Roasted")</f>
        <v>Beef Rib Large End (Ribs 6-9) Separable Lean And Fat Trimmed To 1/8 Inch Fat Prime Cooked Roasted</v>
      </c>
      <c r="C397" t="str">
        <f>IFERROR(__xludf.DUMMYFUNCTION("""COMPUTED_VALUE"""),"Meats")</f>
        <v>Meats</v>
      </c>
      <c r="D397">
        <f>IFERROR(__xludf.DUMMYFUNCTION("""COMPUTED_VALUE"""),393.0)</f>
        <v>393</v>
      </c>
      <c r="E397">
        <f>IFERROR(__xludf.DUMMYFUNCTION("""COMPUTED_VALUE"""),32.74)</f>
        <v>32.74</v>
      </c>
      <c r="F397">
        <f>IFERROR(__xludf.DUMMYFUNCTION("""COMPUTED_VALUE"""),22.86)</f>
        <v>22.86</v>
      </c>
      <c r="G397">
        <f>IFERROR(__xludf.DUMMYFUNCTION("""COMPUTED_VALUE"""),0.0)</f>
        <v>0</v>
      </c>
    </row>
    <row r="398">
      <c r="A398">
        <f>IFERROR(__xludf.DUMMYFUNCTION("""COMPUTED_VALUE"""),168688.0)</f>
        <v>168688</v>
      </c>
      <c r="B398" t="str">
        <f>IFERROR(__xludf.DUMMYFUNCTION("""COMPUTED_VALUE"""),"Beef Rib Small End (Ribs 10-12) Separable Lean And Fat Trimmed To 1/8 Inch Fat Choice Cooked Broiled")</f>
        <v>Beef Rib Small End (Ribs 10-12) Separable Lean And Fat Trimmed To 1/8 Inch Fat Choice Cooked Broiled</v>
      </c>
      <c r="C398" t="str">
        <f>IFERROR(__xludf.DUMMYFUNCTION("""COMPUTED_VALUE"""),"Meats")</f>
        <v>Meats</v>
      </c>
      <c r="D398">
        <f>IFERROR(__xludf.DUMMYFUNCTION("""COMPUTED_VALUE"""),304.0)</f>
        <v>304</v>
      </c>
      <c r="E398">
        <f>IFERROR(__xludf.DUMMYFUNCTION("""COMPUTED_VALUE"""),22.09)</f>
        <v>22.09</v>
      </c>
      <c r="F398">
        <f>IFERROR(__xludf.DUMMYFUNCTION("""COMPUTED_VALUE"""),24.53)</f>
        <v>24.53</v>
      </c>
      <c r="G398">
        <f>IFERROR(__xludf.DUMMYFUNCTION("""COMPUTED_VALUE"""),0.0)</f>
        <v>0</v>
      </c>
    </row>
    <row r="399">
      <c r="A399">
        <f>IFERROR(__xludf.DUMMYFUNCTION("""COMPUTED_VALUE"""),168689.0)</f>
        <v>168689</v>
      </c>
      <c r="B399" t="str">
        <f>IFERROR(__xludf.DUMMYFUNCTION("""COMPUTED_VALUE"""),"Beef Rib Small End (Ribs 10-12) Separable Lean And Fat Trimmed To 1/8 Inch Fat Choice Cooked Roasted")</f>
        <v>Beef Rib Small End (Ribs 10-12) Separable Lean And Fat Trimmed To 1/8 Inch Fat Choice Cooked Roasted</v>
      </c>
      <c r="C399" t="str">
        <f>IFERROR(__xludf.DUMMYFUNCTION("""COMPUTED_VALUE"""),"Meats")</f>
        <v>Meats</v>
      </c>
      <c r="D399">
        <f>IFERROR(__xludf.DUMMYFUNCTION("""COMPUTED_VALUE"""),359.0)</f>
        <v>359</v>
      </c>
      <c r="E399">
        <f>IFERROR(__xludf.DUMMYFUNCTION("""COMPUTED_VALUE"""),29.21)</f>
        <v>29.21</v>
      </c>
      <c r="F399">
        <f>IFERROR(__xludf.DUMMYFUNCTION("""COMPUTED_VALUE"""),22.28)</f>
        <v>22.28</v>
      </c>
      <c r="G399">
        <f>IFERROR(__xludf.DUMMYFUNCTION("""COMPUTED_VALUE"""),0.0)</f>
        <v>0</v>
      </c>
    </row>
    <row r="400">
      <c r="A400">
        <f>IFERROR(__xludf.DUMMYFUNCTION("""COMPUTED_VALUE"""),168690.0)</f>
        <v>168690</v>
      </c>
      <c r="B400" t="str">
        <f>IFERROR(__xludf.DUMMYFUNCTION("""COMPUTED_VALUE"""),"Beef Rib Small End (Ribs 10-12) Separable Lean And Fat Trimmed To 1/8 Inch Fat Select Raw")</f>
        <v>Beef Rib Small End (Ribs 10-12) Separable Lean And Fat Trimmed To 1/8 Inch Fat Select Raw</v>
      </c>
      <c r="C400" t="str">
        <f>IFERROR(__xludf.DUMMYFUNCTION("""COMPUTED_VALUE"""),"Meats")</f>
        <v>Meats</v>
      </c>
      <c r="D400">
        <f>IFERROR(__xludf.DUMMYFUNCTION("""COMPUTED_VALUE"""),246.0)</f>
        <v>246</v>
      </c>
      <c r="E400">
        <f>IFERROR(__xludf.DUMMYFUNCTION("""COMPUTED_VALUE"""),18.0)</f>
        <v>18</v>
      </c>
      <c r="F400">
        <f>IFERROR(__xludf.DUMMYFUNCTION("""COMPUTED_VALUE"""),19.56)</f>
        <v>19.56</v>
      </c>
      <c r="G400">
        <f>IFERROR(__xludf.DUMMYFUNCTION("""COMPUTED_VALUE"""),0.0)</f>
        <v>0</v>
      </c>
    </row>
    <row r="401">
      <c r="A401">
        <f>IFERROR(__xludf.DUMMYFUNCTION("""COMPUTED_VALUE"""),168691.0)</f>
        <v>168691</v>
      </c>
      <c r="B401" t="str">
        <f>IFERROR(__xludf.DUMMYFUNCTION("""COMPUTED_VALUE"""),"Beef Rib Small End (Ribs 10-12) Separable Lean And Fat Trimmed To 1/8 Inch Fat Select Cooked Broiled")</f>
        <v>Beef Rib Small End (Ribs 10-12) Separable Lean And Fat Trimmed To 1/8 Inch Fat Select Cooked Broiled</v>
      </c>
      <c r="C401" t="str">
        <f>IFERROR(__xludf.DUMMYFUNCTION("""COMPUTED_VALUE"""),"Meats")</f>
        <v>Meats</v>
      </c>
      <c r="D401">
        <f>IFERROR(__xludf.DUMMYFUNCTION("""COMPUTED_VALUE"""),278.0)</f>
        <v>278</v>
      </c>
      <c r="E401">
        <f>IFERROR(__xludf.DUMMYFUNCTION("""COMPUTED_VALUE"""),18.0)</f>
        <v>18</v>
      </c>
      <c r="F401">
        <f>IFERROR(__xludf.DUMMYFUNCTION("""COMPUTED_VALUE"""),27.17)</f>
        <v>27.17</v>
      </c>
      <c r="G401">
        <f>IFERROR(__xludf.DUMMYFUNCTION("""COMPUTED_VALUE"""),0.0)</f>
        <v>0</v>
      </c>
    </row>
    <row r="402">
      <c r="A402">
        <f>IFERROR(__xludf.DUMMYFUNCTION("""COMPUTED_VALUE"""),168692.0)</f>
        <v>168692</v>
      </c>
      <c r="B402" t="str">
        <f>IFERROR(__xludf.DUMMYFUNCTION("""COMPUTED_VALUE"""),"Beef Shoulder Top Blade Steak Boneless Separable Lean And Fat Trimmed To 0 Inch Fat Select Cooked Grilled")</f>
        <v>Beef Shoulder Top Blade Steak Boneless Separable Lean And Fat Trimmed To 0 Inch Fat Select Cooked Grilled</v>
      </c>
      <c r="C402" t="str">
        <f>IFERROR(__xludf.DUMMYFUNCTION("""COMPUTED_VALUE"""),"Meats")</f>
        <v>Meats</v>
      </c>
      <c r="D402">
        <f>IFERROR(__xludf.DUMMYFUNCTION("""COMPUTED_VALUE"""),194.0)</f>
        <v>194</v>
      </c>
      <c r="E402">
        <f>IFERROR(__xludf.DUMMYFUNCTION("""COMPUTED_VALUE"""),9.29)</f>
        <v>9.29</v>
      </c>
      <c r="F402">
        <f>IFERROR(__xludf.DUMMYFUNCTION("""COMPUTED_VALUE"""),27.7)</f>
        <v>27.7</v>
      </c>
      <c r="G402">
        <f>IFERROR(__xludf.DUMMYFUNCTION("""COMPUTED_VALUE"""),0.0)</f>
        <v>0</v>
      </c>
    </row>
    <row r="403">
      <c r="A403">
        <f>IFERROR(__xludf.DUMMYFUNCTION("""COMPUTED_VALUE"""),168693.0)</f>
        <v>168693</v>
      </c>
      <c r="B403" t="str">
        <f>IFERROR(__xludf.DUMMYFUNCTION("""COMPUTED_VALUE"""),"Beef Shoulder Top Blade Steak Boneless Separable Lean And Fat Trimmed To 0 Inch Fat All Grades Raw")</f>
        <v>Beef Shoulder Top Blade Steak Boneless Separable Lean And Fat Trimmed To 0 Inch Fat All Grades Raw</v>
      </c>
      <c r="C403" t="str">
        <f>IFERROR(__xludf.DUMMYFUNCTION("""COMPUTED_VALUE"""),"Meats")</f>
        <v>Meats</v>
      </c>
      <c r="D403">
        <f>IFERROR(__xludf.DUMMYFUNCTION("""COMPUTED_VALUE"""),146.0)</f>
        <v>146</v>
      </c>
      <c r="E403">
        <f>IFERROR(__xludf.DUMMYFUNCTION("""COMPUTED_VALUE"""),7.25)</f>
        <v>7.25</v>
      </c>
      <c r="F403">
        <f>IFERROR(__xludf.DUMMYFUNCTION("""COMPUTED_VALUE"""),20.16)</f>
        <v>20.16</v>
      </c>
      <c r="G403">
        <f>IFERROR(__xludf.DUMMYFUNCTION("""COMPUTED_VALUE"""),0.0)</f>
        <v>0</v>
      </c>
    </row>
    <row r="404">
      <c r="A404">
        <f>IFERROR(__xludf.DUMMYFUNCTION("""COMPUTED_VALUE"""),168694.0)</f>
        <v>168694</v>
      </c>
      <c r="B404" t="str">
        <f>IFERROR(__xludf.DUMMYFUNCTION("""COMPUTED_VALUE"""),"Beef Round Full Cut Separable Lean And Fat Trimmed To 1/8 Inch Fat Choice Raw")</f>
        <v>Beef Round Full Cut Separable Lean And Fat Trimmed To 1/8 Inch Fat Choice Raw</v>
      </c>
      <c r="C404" t="str">
        <f>IFERROR(__xludf.DUMMYFUNCTION("""COMPUTED_VALUE"""),"Meats")</f>
        <v>Meats</v>
      </c>
      <c r="D404">
        <f>IFERROR(__xludf.DUMMYFUNCTION("""COMPUTED_VALUE"""),195.0)</f>
        <v>195</v>
      </c>
      <c r="E404">
        <f>IFERROR(__xludf.DUMMYFUNCTION("""COMPUTED_VALUE"""),11.92)</f>
        <v>11.92</v>
      </c>
      <c r="F404">
        <f>IFERROR(__xludf.DUMMYFUNCTION("""COMPUTED_VALUE"""),20.56)</f>
        <v>20.56</v>
      </c>
      <c r="G404">
        <f>IFERROR(__xludf.DUMMYFUNCTION("""COMPUTED_VALUE"""),0.0)</f>
        <v>0</v>
      </c>
    </row>
    <row r="405">
      <c r="A405">
        <f>IFERROR(__xludf.DUMMYFUNCTION("""COMPUTED_VALUE"""),168695.0)</f>
        <v>168695</v>
      </c>
      <c r="B405" t="str">
        <f>IFERROR(__xludf.DUMMYFUNCTION("""COMPUTED_VALUE"""),"Beef Round Full Cut Separable Lean And Fat Trimmed To 1/8 Inch Fat Choice Cooked Broiled")</f>
        <v>Beef Round Full Cut Separable Lean And Fat Trimmed To 1/8 Inch Fat Choice Cooked Broiled</v>
      </c>
      <c r="C405" t="str">
        <f>IFERROR(__xludf.DUMMYFUNCTION("""COMPUTED_VALUE"""),"Meats")</f>
        <v>Meats</v>
      </c>
      <c r="D405">
        <f>IFERROR(__xludf.DUMMYFUNCTION("""COMPUTED_VALUE"""),235.0)</f>
        <v>235</v>
      </c>
      <c r="E405">
        <f>IFERROR(__xludf.DUMMYFUNCTION("""COMPUTED_VALUE"""),12.98)</f>
        <v>12.98</v>
      </c>
      <c r="F405">
        <f>IFERROR(__xludf.DUMMYFUNCTION("""COMPUTED_VALUE"""),27.54)</f>
        <v>27.54</v>
      </c>
      <c r="G405">
        <f>IFERROR(__xludf.DUMMYFUNCTION("""COMPUTED_VALUE"""),0.0)</f>
        <v>0</v>
      </c>
    </row>
    <row r="406">
      <c r="A406">
        <f>IFERROR(__xludf.DUMMYFUNCTION("""COMPUTED_VALUE"""),168696.0)</f>
        <v>168696</v>
      </c>
      <c r="B406" t="str">
        <f>IFERROR(__xludf.DUMMYFUNCTION("""COMPUTED_VALUE"""),"Beef Round Bottom Round Roast Separable Lean And Fat Trimmed To 1/8 Inch Fat All Grades Cooked Roasted")</f>
        <v>Beef Round Bottom Round Roast Separable Lean And Fat Trimmed To 1/8 Inch Fat All Grades Cooked Roasted</v>
      </c>
      <c r="C406" t="str">
        <f>IFERROR(__xludf.DUMMYFUNCTION("""COMPUTED_VALUE"""),"Meats")</f>
        <v>Meats</v>
      </c>
      <c r="D406">
        <f>IFERROR(__xludf.DUMMYFUNCTION("""COMPUTED_VALUE"""),218.0)</f>
        <v>218</v>
      </c>
      <c r="E406">
        <f>IFERROR(__xludf.DUMMYFUNCTION("""COMPUTED_VALUE"""),11.64)</f>
        <v>11.64</v>
      </c>
      <c r="F406">
        <f>IFERROR(__xludf.DUMMYFUNCTION("""COMPUTED_VALUE"""),26.41)</f>
        <v>26.41</v>
      </c>
      <c r="G406">
        <f>IFERROR(__xludf.DUMMYFUNCTION("""COMPUTED_VALUE"""),0.0)</f>
        <v>0</v>
      </c>
    </row>
    <row r="407">
      <c r="A407">
        <f>IFERROR(__xludf.DUMMYFUNCTION("""COMPUTED_VALUE"""),168697.0)</f>
        <v>168697</v>
      </c>
      <c r="B407" t="str">
        <f>IFERROR(__xludf.DUMMYFUNCTION("""COMPUTED_VALUE"""),"Beef Round Bottom Round Steak Separable Lean And Fat Trimmed To 1/8 Inch Fat Choice Raw")</f>
        <v>Beef Round Bottom Round Steak Separable Lean And Fat Trimmed To 1/8 Inch Fat Choice Raw</v>
      </c>
      <c r="C407" t="str">
        <f>IFERROR(__xludf.DUMMYFUNCTION("""COMPUTED_VALUE"""),"Meats")</f>
        <v>Meats</v>
      </c>
      <c r="D407">
        <f>IFERROR(__xludf.DUMMYFUNCTION("""COMPUTED_VALUE"""),198.0)</f>
        <v>198</v>
      </c>
      <c r="E407">
        <f>IFERROR(__xludf.DUMMYFUNCTION("""COMPUTED_VALUE"""),12.15)</f>
        <v>12.15</v>
      </c>
      <c r="F407">
        <f>IFERROR(__xludf.DUMMYFUNCTION("""COMPUTED_VALUE"""),20.71)</f>
        <v>20.71</v>
      </c>
      <c r="G407">
        <f>IFERROR(__xludf.DUMMYFUNCTION("""COMPUTED_VALUE"""),0.0)</f>
        <v>0</v>
      </c>
    </row>
    <row r="408">
      <c r="A408">
        <f>IFERROR(__xludf.DUMMYFUNCTION("""COMPUTED_VALUE"""),168698.0)</f>
        <v>168698</v>
      </c>
      <c r="B408" t="str">
        <f>IFERROR(__xludf.DUMMYFUNCTION("""COMPUTED_VALUE"""),"Beef Round Bottom Round Steak Separable Lean And Fat Trimmed To 1/8 Inch Fat Choice Cooked Braised")</f>
        <v>Beef Round Bottom Round Steak Separable Lean And Fat Trimmed To 1/8 Inch Fat Choice Cooked Braised</v>
      </c>
      <c r="C408" t="str">
        <f>IFERROR(__xludf.DUMMYFUNCTION("""COMPUTED_VALUE"""),"Meats")</f>
        <v>Meats</v>
      </c>
      <c r="D408">
        <f>IFERROR(__xludf.DUMMYFUNCTION("""COMPUTED_VALUE"""),254.0)</f>
        <v>254</v>
      </c>
      <c r="E408">
        <f>IFERROR(__xludf.DUMMYFUNCTION("""COMPUTED_VALUE"""),12.56)</f>
        <v>12.56</v>
      </c>
      <c r="F408">
        <f>IFERROR(__xludf.DUMMYFUNCTION("""COMPUTED_VALUE"""),32.85)</f>
        <v>32.85</v>
      </c>
      <c r="G408">
        <f>IFERROR(__xludf.DUMMYFUNCTION("""COMPUTED_VALUE"""),0.0)</f>
        <v>0</v>
      </c>
    </row>
    <row r="409">
      <c r="A409">
        <f>IFERROR(__xludf.DUMMYFUNCTION("""COMPUTED_VALUE"""),168699.0)</f>
        <v>168699</v>
      </c>
      <c r="B409" t="str">
        <f>IFERROR(__xludf.DUMMYFUNCTION("""COMPUTED_VALUE"""),"Beef Round Bottom Round Roast Separable Lean And Fat Trimmed To 1/8 Inch Fat Choice Cooked Roasted")</f>
        <v>Beef Round Bottom Round Roast Separable Lean And Fat Trimmed To 1/8 Inch Fat Choice Cooked Roasted</v>
      </c>
      <c r="C409" t="str">
        <f>IFERROR(__xludf.DUMMYFUNCTION("""COMPUTED_VALUE"""),"Meats")</f>
        <v>Meats</v>
      </c>
      <c r="D409">
        <f>IFERROR(__xludf.DUMMYFUNCTION("""COMPUTED_VALUE"""),223.0)</f>
        <v>223</v>
      </c>
      <c r="E409">
        <f>IFERROR(__xludf.DUMMYFUNCTION("""COMPUTED_VALUE"""),12.44)</f>
        <v>12.44</v>
      </c>
      <c r="F409">
        <f>IFERROR(__xludf.DUMMYFUNCTION("""COMPUTED_VALUE"""),26.05)</f>
        <v>26.05</v>
      </c>
      <c r="G409">
        <f>IFERROR(__xludf.DUMMYFUNCTION("""COMPUTED_VALUE"""),0.0)</f>
        <v>0</v>
      </c>
    </row>
    <row r="410">
      <c r="A410">
        <f>IFERROR(__xludf.DUMMYFUNCTION("""COMPUTED_VALUE"""),168700.0)</f>
        <v>168700</v>
      </c>
      <c r="B410" t="str">
        <f>IFERROR(__xludf.DUMMYFUNCTION("""COMPUTED_VALUE"""),"Beef Round Bottom Round Steak Separable Lean And Fat Trimmed To 1/8 Inch Fat Select Raw")</f>
        <v>Beef Round Bottom Round Steak Separable Lean And Fat Trimmed To 1/8 Inch Fat Select Raw</v>
      </c>
      <c r="C410" t="str">
        <f>IFERROR(__xludf.DUMMYFUNCTION("""COMPUTED_VALUE"""),"Meats")</f>
        <v>Meats</v>
      </c>
      <c r="D410">
        <f>IFERROR(__xludf.DUMMYFUNCTION("""COMPUTED_VALUE"""),187.0)</f>
        <v>187</v>
      </c>
      <c r="E410">
        <f>IFERROR(__xludf.DUMMYFUNCTION("""COMPUTED_VALUE"""),10.93)</f>
        <v>10.93</v>
      </c>
      <c r="F410">
        <f>IFERROR(__xludf.DUMMYFUNCTION("""COMPUTED_VALUE"""),20.68)</f>
        <v>20.68</v>
      </c>
      <c r="G410">
        <f>IFERROR(__xludf.DUMMYFUNCTION("""COMPUTED_VALUE"""),0.0)</f>
        <v>0</v>
      </c>
    </row>
    <row r="411">
      <c r="A411">
        <f>IFERROR(__xludf.DUMMYFUNCTION("""COMPUTED_VALUE"""),168701.0)</f>
        <v>168701</v>
      </c>
      <c r="B411" t="str">
        <f>IFERROR(__xludf.DUMMYFUNCTION("""COMPUTED_VALUE"""),"Beef Round Eye Of Round Roast Separable Lean And Fat Trimmed To 1/8 Inch Fat Choice Raw")</f>
        <v>Beef Round Eye Of Round Roast Separable Lean And Fat Trimmed To 1/8 Inch Fat Choice Raw</v>
      </c>
      <c r="C411" t="str">
        <f>IFERROR(__xludf.DUMMYFUNCTION("""COMPUTED_VALUE"""),"Meats")</f>
        <v>Meats</v>
      </c>
      <c r="D411">
        <f>IFERROR(__xludf.DUMMYFUNCTION("""COMPUTED_VALUE"""),173.0)</f>
        <v>173</v>
      </c>
      <c r="E411">
        <f>IFERROR(__xludf.DUMMYFUNCTION("""COMPUTED_VALUE"""),8.91)</f>
        <v>8.91</v>
      </c>
      <c r="F411">
        <f>IFERROR(__xludf.DUMMYFUNCTION("""COMPUTED_VALUE"""),21.68)</f>
        <v>21.68</v>
      </c>
      <c r="G411">
        <f>IFERROR(__xludf.DUMMYFUNCTION("""COMPUTED_VALUE"""),0.0)</f>
        <v>0</v>
      </c>
    </row>
    <row r="412">
      <c r="A412">
        <f>IFERROR(__xludf.DUMMYFUNCTION("""COMPUTED_VALUE"""),168702.0)</f>
        <v>168702</v>
      </c>
      <c r="B412" t="str">
        <f>IFERROR(__xludf.DUMMYFUNCTION("""COMPUTED_VALUE"""),"Beef Round Eye Of Round Roast Separable Lean And Fat Trimmed To 1/8 Inch Fat Choice Cooked Roasted")</f>
        <v>Beef Round Eye Of Round Roast Separable Lean And Fat Trimmed To 1/8 Inch Fat Choice Cooked Roasted</v>
      </c>
      <c r="C412" t="str">
        <f>IFERROR(__xludf.DUMMYFUNCTION("""COMPUTED_VALUE"""),"Meats")</f>
        <v>Meats</v>
      </c>
      <c r="D412">
        <f>IFERROR(__xludf.DUMMYFUNCTION("""COMPUTED_VALUE"""),212.0)</f>
        <v>212</v>
      </c>
      <c r="E412">
        <f>IFERROR(__xludf.DUMMYFUNCTION("""COMPUTED_VALUE"""),10.05)</f>
        <v>10.05</v>
      </c>
      <c r="F412">
        <f>IFERROR(__xludf.DUMMYFUNCTION("""COMPUTED_VALUE"""),28.48)</f>
        <v>28.48</v>
      </c>
      <c r="G412">
        <f>IFERROR(__xludf.DUMMYFUNCTION("""COMPUTED_VALUE"""),0.0)</f>
        <v>0</v>
      </c>
    </row>
    <row r="413">
      <c r="A413">
        <f>IFERROR(__xludf.DUMMYFUNCTION("""COMPUTED_VALUE"""),168703.0)</f>
        <v>168703</v>
      </c>
      <c r="B413" t="str">
        <f>IFERROR(__xludf.DUMMYFUNCTION("""COMPUTED_VALUE"""),"Beef Round Eye Of Round Roast Separable Lean And Fat Trimmed To 1/8 Inch Fat Select Raw")</f>
        <v>Beef Round Eye Of Round Roast Separable Lean And Fat Trimmed To 1/8 Inch Fat Select Raw</v>
      </c>
      <c r="C413" t="str">
        <f>IFERROR(__xludf.DUMMYFUNCTION("""COMPUTED_VALUE"""),"Meats")</f>
        <v>Meats</v>
      </c>
      <c r="D413">
        <f>IFERROR(__xludf.DUMMYFUNCTION("""COMPUTED_VALUE"""),160.0)</f>
        <v>160</v>
      </c>
      <c r="E413">
        <f>IFERROR(__xludf.DUMMYFUNCTION("""COMPUTED_VALUE"""),7.57)</f>
        <v>7.57</v>
      </c>
      <c r="F413">
        <f>IFERROR(__xludf.DUMMYFUNCTION("""COMPUTED_VALUE"""),21.3)</f>
        <v>21.3</v>
      </c>
      <c r="G413">
        <f>IFERROR(__xludf.DUMMYFUNCTION("""COMPUTED_VALUE"""),0.08)</f>
        <v>0.08</v>
      </c>
    </row>
    <row r="414">
      <c r="A414">
        <f>IFERROR(__xludf.DUMMYFUNCTION("""COMPUTED_VALUE"""),168704.0)</f>
        <v>168704</v>
      </c>
      <c r="B414" t="str">
        <f>IFERROR(__xludf.DUMMYFUNCTION("""COMPUTED_VALUE"""),"Beef Round Eye Of Round Roast Separable Lean And Fat Trimmed To 1/8 Inch Fat Select Cooked Roasted")</f>
        <v>Beef Round Eye Of Round Roast Separable Lean And Fat Trimmed To 1/8 Inch Fat Select Cooked Roasted</v>
      </c>
      <c r="C414" t="str">
        <f>IFERROR(__xludf.DUMMYFUNCTION("""COMPUTED_VALUE"""),"Meats")</f>
        <v>Meats</v>
      </c>
      <c r="D414">
        <f>IFERROR(__xludf.DUMMYFUNCTION("""COMPUTED_VALUE"""),204.0)</f>
        <v>204</v>
      </c>
      <c r="E414">
        <f>IFERROR(__xludf.DUMMYFUNCTION("""COMPUTED_VALUE"""),9.26)</f>
        <v>9.26</v>
      </c>
      <c r="F414">
        <f>IFERROR(__xludf.DUMMYFUNCTION("""COMPUTED_VALUE"""),28.13)</f>
        <v>28.13</v>
      </c>
      <c r="G414">
        <f>IFERROR(__xludf.DUMMYFUNCTION("""COMPUTED_VALUE"""),0.0)</f>
        <v>0</v>
      </c>
    </row>
    <row r="415">
      <c r="A415">
        <f>IFERROR(__xludf.DUMMYFUNCTION("""COMPUTED_VALUE"""),168705.0)</f>
        <v>168705</v>
      </c>
      <c r="B415" t="str">
        <f>IFERROR(__xludf.DUMMYFUNCTION("""COMPUTED_VALUE"""),"Beef Round Tip Round Separable Lean And Fat Trimmed To 1/8 Inch Fat Select Raw")</f>
        <v>Beef Round Tip Round Separable Lean And Fat Trimmed To 1/8 Inch Fat Select Raw</v>
      </c>
      <c r="C415" t="str">
        <f>IFERROR(__xludf.DUMMYFUNCTION("""COMPUTED_VALUE"""),"Meats")</f>
        <v>Meats</v>
      </c>
      <c r="D415">
        <f>IFERROR(__xludf.DUMMYFUNCTION("""COMPUTED_VALUE"""),178.0)</f>
        <v>178</v>
      </c>
      <c r="E415">
        <f>IFERROR(__xludf.DUMMYFUNCTION("""COMPUTED_VALUE"""),10.39)</f>
        <v>10.39</v>
      </c>
      <c r="F415">
        <f>IFERROR(__xludf.DUMMYFUNCTION("""COMPUTED_VALUE"""),19.74)</f>
        <v>19.74</v>
      </c>
      <c r="G415">
        <f>IFERROR(__xludf.DUMMYFUNCTION("""COMPUTED_VALUE"""),0.0)</f>
        <v>0</v>
      </c>
    </row>
    <row r="416">
      <c r="A416">
        <f>IFERROR(__xludf.DUMMYFUNCTION("""COMPUTED_VALUE"""),168706.0)</f>
        <v>168706</v>
      </c>
      <c r="B416" t="str">
        <f>IFERROR(__xludf.DUMMYFUNCTION("""COMPUTED_VALUE"""),"Beef Round Tip Round Roast Separable Lean And Fat Trimmed To 1/8 Inch Fat Select Cooked Roasted")</f>
        <v>Beef Round Tip Round Roast Separable Lean And Fat Trimmed To 1/8 Inch Fat Select Cooked Roasted</v>
      </c>
      <c r="C416" t="str">
        <f>IFERROR(__xludf.DUMMYFUNCTION("""COMPUTED_VALUE"""),"Meats")</f>
        <v>Meats</v>
      </c>
      <c r="D416">
        <f>IFERROR(__xludf.DUMMYFUNCTION("""COMPUTED_VALUE"""),210.0)</f>
        <v>210</v>
      </c>
      <c r="E416">
        <f>IFERROR(__xludf.DUMMYFUNCTION("""COMPUTED_VALUE"""),10.24)</f>
        <v>10.24</v>
      </c>
      <c r="F416">
        <f>IFERROR(__xludf.DUMMYFUNCTION("""COMPUTED_VALUE"""),27.63)</f>
        <v>27.63</v>
      </c>
      <c r="G416">
        <f>IFERROR(__xludf.DUMMYFUNCTION("""COMPUTED_VALUE"""),0.0)</f>
        <v>0</v>
      </c>
    </row>
    <row r="417">
      <c r="A417">
        <f>IFERROR(__xludf.DUMMYFUNCTION("""COMPUTED_VALUE"""),168707.0)</f>
        <v>168707</v>
      </c>
      <c r="B417" t="str">
        <f>IFERROR(__xludf.DUMMYFUNCTION("""COMPUTED_VALUE"""),"Beef Shoulder Top Blade Steak Boneless Separable Lean And Fat Trimmed To 0 Inch Fat Choice Raw")</f>
        <v>Beef Shoulder Top Blade Steak Boneless Separable Lean And Fat Trimmed To 0 Inch Fat Choice Raw</v>
      </c>
      <c r="C417" t="str">
        <f>IFERROR(__xludf.DUMMYFUNCTION("""COMPUTED_VALUE"""),"Meats")</f>
        <v>Meats</v>
      </c>
      <c r="D417">
        <f>IFERROR(__xludf.DUMMYFUNCTION("""COMPUTED_VALUE"""),152.0)</f>
        <v>152</v>
      </c>
      <c r="E417">
        <f>IFERROR(__xludf.DUMMYFUNCTION("""COMPUTED_VALUE"""),7.94)</f>
        <v>7.94</v>
      </c>
      <c r="F417">
        <f>IFERROR(__xludf.DUMMYFUNCTION("""COMPUTED_VALUE"""),20.07)</f>
        <v>20.07</v>
      </c>
      <c r="G417">
        <f>IFERROR(__xludf.DUMMYFUNCTION("""COMPUTED_VALUE"""),0.0)</f>
        <v>0</v>
      </c>
    </row>
    <row r="418">
      <c r="A418">
        <f>IFERROR(__xludf.DUMMYFUNCTION("""COMPUTED_VALUE"""),168708.0)</f>
        <v>168708</v>
      </c>
      <c r="B418" t="str">
        <f>IFERROR(__xludf.DUMMYFUNCTION("""COMPUTED_VALUE"""),"Beef Round Top Round Separable Lean Only Trimmed To 1/8 Inch Fat Choice Cooked Pan-Fried")</f>
        <v>Beef Round Top Round Separable Lean Only Trimmed To 1/8 Inch Fat Choice Cooked Pan-Fried</v>
      </c>
      <c r="C418" t="str">
        <f>IFERROR(__xludf.DUMMYFUNCTION("""COMPUTED_VALUE"""),"Meats")</f>
        <v>Meats</v>
      </c>
      <c r="D418">
        <f>IFERROR(__xludf.DUMMYFUNCTION("""COMPUTED_VALUE"""),228.0)</f>
        <v>228</v>
      </c>
      <c r="E418">
        <f>IFERROR(__xludf.DUMMYFUNCTION("""COMPUTED_VALUE"""),8.33)</f>
        <v>8.33</v>
      </c>
      <c r="F418">
        <f>IFERROR(__xludf.DUMMYFUNCTION("""COMPUTED_VALUE"""),33.93)</f>
        <v>33.93</v>
      </c>
      <c r="G418">
        <f>IFERROR(__xludf.DUMMYFUNCTION("""COMPUTED_VALUE"""),2.03)</f>
        <v>2.03</v>
      </c>
    </row>
    <row r="419">
      <c r="A419">
        <f>IFERROR(__xludf.DUMMYFUNCTION("""COMPUTED_VALUE"""),168709.0)</f>
        <v>168709</v>
      </c>
      <c r="B419" t="str">
        <f>IFERROR(__xludf.DUMMYFUNCTION("""COMPUTED_VALUE"""),"Beef Round Top Round Separable Lean And Fat Trimmed To 1/8 Inch Fat Choice Cooked Braised")</f>
        <v>Beef Round Top Round Separable Lean And Fat Trimmed To 1/8 Inch Fat Choice Cooked Braised</v>
      </c>
      <c r="C419" t="str">
        <f>IFERROR(__xludf.DUMMYFUNCTION("""COMPUTED_VALUE"""),"Meats")</f>
        <v>Meats</v>
      </c>
      <c r="D419">
        <f>IFERROR(__xludf.DUMMYFUNCTION("""COMPUTED_VALUE"""),250.0)</f>
        <v>250</v>
      </c>
      <c r="E419">
        <f>IFERROR(__xludf.DUMMYFUNCTION("""COMPUTED_VALUE"""),11.61)</f>
        <v>11.61</v>
      </c>
      <c r="F419">
        <f>IFERROR(__xludf.DUMMYFUNCTION("""COMPUTED_VALUE"""),34.09)</f>
        <v>34.09</v>
      </c>
      <c r="G419">
        <f>IFERROR(__xludf.DUMMYFUNCTION("""COMPUTED_VALUE"""),0.0)</f>
        <v>0</v>
      </c>
    </row>
    <row r="420">
      <c r="A420">
        <f>IFERROR(__xludf.DUMMYFUNCTION("""COMPUTED_VALUE"""),168710.0)</f>
        <v>168710</v>
      </c>
      <c r="B420" t="str">
        <f>IFERROR(__xludf.DUMMYFUNCTION("""COMPUTED_VALUE"""),"Beef Round Top Round Steak Separable Lean And Fat Trimmed To 1/8 Inch Fat Choice Cooked Broiled")</f>
        <v>Beef Round Top Round Steak Separable Lean And Fat Trimmed To 1/8 Inch Fat Choice Cooked Broiled</v>
      </c>
      <c r="C420" t="str">
        <f>IFERROR(__xludf.DUMMYFUNCTION("""COMPUTED_VALUE"""),"Meats")</f>
        <v>Meats</v>
      </c>
      <c r="D420">
        <f>IFERROR(__xludf.DUMMYFUNCTION("""COMPUTED_VALUE"""),224.0)</f>
        <v>224</v>
      </c>
      <c r="E420">
        <f>IFERROR(__xludf.DUMMYFUNCTION("""COMPUTED_VALUE"""),10.27)</f>
        <v>10.27</v>
      </c>
      <c r="F420">
        <f>IFERROR(__xludf.DUMMYFUNCTION("""COMPUTED_VALUE"""),30.7)</f>
        <v>30.7</v>
      </c>
      <c r="G420">
        <f>IFERROR(__xludf.DUMMYFUNCTION("""COMPUTED_VALUE"""),0.0)</f>
        <v>0</v>
      </c>
    </row>
    <row r="421">
      <c r="A421">
        <f>IFERROR(__xludf.DUMMYFUNCTION("""COMPUTED_VALUE"""),168711.0)</f>
        <v>168711</v>
      </c>
      <c r="B421" t="str">
        <f>IFERROR(__xludf.DUMMYFUNCTION("""COMPUTED_VALUE"""),"Beef Round Top Round Separable Lean And Fat Trimmed To 1/8 Inch Fat Choice Cooked Pan-Fried")</f>
        <v>Beef Round Top Round Separable Lean And Fat Trimmed To 1/8 Inch Fat Choice Cooked Pan-Fried</v>
      </c>
      <c r="C421" t="str">
        <f>IFERROR(__xludf.DUMMYFUNCTION("""COMPUTED_VALUE"""),"Meats")</f>
        <v>Meats</v>
      </c>
      <c r="D421">
        <f>IFERROR(__xludf.DUMMYFUNCTION("""COMPUTED_VALUE"""),266.0)</f>
        <v>266</v>
      </c>
      <c r="E421">
        <f>IFERROR(__xludf.DUMMYFUNCTION("""COMPUTED_VALUE"""),13.83)</f>
        <v>13.83</v>
      </c>
      <c r="F421">
        <f>IFERROR(__xludf.DUMMYFUNCTION("""COMPUTED_VALUE"""),32.99)</f>
        <v>32.99</v>
      </c>
      <c r="G421">
        <f>IFERROR(__xludf.DUMMYFUNCTION("""COMPUTED_VALUE"""),0.0)</f>
        <v>0</v>
      </c>
    </row>
    <row r="422">
      <c r="A422">
        <f>IFERROR(__xludf.DUMMYFUNCTION("""COMPUTED_VALUE"""),168712.0)</f>
        <v>168712</v>
      </c>
      <c r="B422" t="str">
        <f>IFERROR(__xludf.DUMMYFUNCTION("""COMPUTED_VALUE"""),"Beef Round Top Round Steak Separable Lean And Fat Trimmed To 1/8 Inch Fat Select Raw")</f>
        <v>Beef Round Top Round Steak Separable Lean And Fat Trimmed To 1/8 Inch Fat Select Raw</v>
      </c>
      <c r="C422" t="str">
        <f>IFERROR(__xludf.DUMMYFUNCTION("""COMPUTED_VALUE"""),"Meats")</f>
        <v>Meats</v>
      </c>
      <c r="D422">
        <f>IFERROR(__xludf.DUMMYFUNCTION("""COMPUTED_VALUE"""),164.0)</f>
        <v>164</v>
      </c>
      <c r="E422">
        <f>IFERROR(__xludf.DUMMYFUNCTION("""COMPUTED_VALUE"""),7.68)</f>
        <v>7.68</v>
      </c>
      <c r="F422">
        <f>IFERROR(__xludf.DUMMYFUNCTION("""COMPUTED_VALUE"""),22.18)</f>
        <v>22.18</v>
      </c>
      <c r="G422">
        <f>IFERROR(__xludf.DUMMYFUNCTION("""COMPUTED_VALUE"""),0.0)</f>
        <v>0</v>
      </c>
    </row>
    <row r="423">
      <c r="A423">
        <f>IFERROR(__xludf.DUMMYFUNCTION("""COMPUTED_VALUE"""),168713.0)</f>
        <v>168713</v>
      </c>
      <c r="B423" t="str">
        <f>IFERROR(__xludf.DUMMYFUNCTION("""COMPUTED_VALUE"""),"Beef Round Top Round Separable Lean And Fat Trimmed To 1/8 Inch Fat Select Cooked Braised")</f>
        <v>Beef Round Top Round Separable Lean And Fat Trimmed To 1/8 Inch Fat Select Cooked Braised</v>
      </c>
      <c r="C423" t="str">
        <f>IFERROR(__xludf.DUMMYFUNCTION("""COMPUTED_VALUE"""),"Meats")</f>
        <v>Meats</v>
      </c>
      <c r="D423">
        <f>IFERROR(__xludf.DUMMYFUNCTION("""COMPUTED_VALUE"""),225.0)</f>
        <v>225</v>
      </c>
      <c r="E423">
        <f>IFERROR(__xludf.DUMMYFUNCTION("""COMPUTED_VALUE"""),8.54)</f>
        <v>8.54</v>
      </c>
      <c r="F423">
        <f>IFERROR(__xludf.DUMMYFUNCTION("""COMPUTED_VALUE"""),34.6)</f>
        <v>34.6</v>
      </c>
      <c r="G423">
        <f>IFERROR(__xludf.DUMMYFUNCTION("""COMPUTED_VALUE"""),0.0)</f>
        <v>0</v>
      </c>
    </row>
    <row r="424">
      <c r="A424">
        <f>IFERROR(__xludf.DUMMYFUNCTION("""COMPUTED_VALUE"""),168714.0)</f>
        <v>168714</v>
      </c>
      <c r="B424" t="str">
        <f>IFERROR(__xludf.DUMMYFUNCTION("""COMPUTED_VALUE"""),"Beef Brisket Flat Half Boneless Separable Lean And Fat Trimmed To 0 Inch Fat All Grades Raw")</f>
        <v>Beef Brisket Flat Half Boneless Separable Lean And Fat Trimmed To 0 Inch Fat All Grades Raw</v>
      </c>
      <c r="C424" t="str">
        <f>IFERROR(__xludf.DUMMYFUNCTION("""COMPUTED_VALUE"""),"Meats")</f>
        <v>Meats</v>
      </c>
      <c r="D424">
        <f>IFERROR(__xludf.DUMMYFUNCTION("""COMPUTED_VALUE"""),165.0)</f>
        <v>165</v>
      </c>
      <c r="E424">
        <f>IFERROR(__xludf.DUMMYFUNCTION("""COMPUTED_VALUE"""),9.29)</f>
        <v>9.29</v>
      </c>
      <c r="F424">
        <f>IFERROR(__xludf.DUMMYFUNCTION("""COMPUTED_VALUE"""),20.32)</f>
        <v>20.32</v>
      </c>
      <c r="G424">
        <f>IFERROR(__xludf.DUMMYFUNCTION("""COMPUTED_VALUE"""),0.0)</f>
        <v>0</v>
      </c>
    </row>
    <row r="425">
      <c r="A425">
        <f>IFERROR(__xludf.DUMMYFUNCTION("""COMPUTED_VALUE"""),168715.0)</f>
        <v>168715</v>
      </c>
      <c r="B425" t="str">
        <f>IFERROR(__xludf.DUMMYFUNCTION("""COMPUTED_VALUE"""),"Beef Short Loin Porterhouse Steak Separable Lean And Fat Trimmed To 1/8 Inch Fat Choice Raw")</f>
        <v>Beef Short Loin Porterhouse Steak Separable Lean And Fat Trimmed To 1/8 Inch Fat Choice Raw</v>
      </c>
      <c r="C425" t="str">
        <f>IFERROR(__xludf.DUMMYFUNCTION("""COMPUTED_VALUE"""),"Meats")</f>
        <v>Meats</v>
      </c>
      <c r="D425">
        <f>IFERROR(__xludf.DUMMYFUNCTION("""COMPUTED_VALUE"""),218.0)</f>
        <v>218</v>
      </c>
      <c r="E425">
        <f>IFERROR(__xludf.DUMMYFUNCTION("""COMPUTED_VALUE"""),14.58)</f>
        <v>14.58</v>
      </c>
      <c r="F425">
        <f>IFERROR(__xludf.DUMMYFUNCTION("""COMPUTED_VALUE"""),20.36)</f>
        <v>20.36</v>
      </c>
      <c r="G425">
        <f>IFERROR(__xludf.DUMMYFUNCTION("""COMPUTED_VALUE"""),0.0)</f>
        <v>0</v>
      </c>
    </row>
    <row r="426">
      <c r="A426">
        <f>IFERROR(__xludf.DUMMYFUNCTION("""COMPUTED_VALUE"""),168716.0)</f>
        <v>168716</v>
      </c>
      <c r="B426" t="str">
        <f>IFERROR(__xludf.DUMMYFUNCTION("""COMPUTED_VALUE"""),"Beef Short Loin Porterhouse Steak Separable Lean And Fat Trimmed To 1/8 Inch Fat Choice Cooked Grilled")</f>
        <v>Beef Short Loin Porterhouse Steak Separable Lean And Fat Trimmed To 1/8 Inch Fat Choice Cooked Grilled</v>
      </c>
      <c r="C426" t="str">
        <f>IFERROR(__xludf.DUMMYFUNCTION("""COMPUTED_VALUE"""),"Meats")</f>
        <v>Meats</v>
      </c>
      <c r="D426">
        <f>IFERROR(__xludf.DUMMYFUNCTION("""COMPUTED_VALUE"""),284.0)</f>
        <v>284</v>
      </c>
      <c r="E426">
        <f>IFERROR(__xludf.DUMMYFUNCTION("""COMPUTED_VALUE"""),19.78)</f>
        <v>19.78</v>
      </c>
      <c r="F426">
        <f>IFERROR(__xludf.DUMMYFUNCTION("""COMPUTED_VALUE"""),24.85)</f>
        <v>24.85</v>
      </c>
      <c r="G426">
        <f>IFERROR(__xludf.DUMMYFUNCTION("""COMPUTED_VALUE"""),0.0)</f>
        <v>0</v>
      </c>
    </row>
    <row r="427">
      <c r="A427">
        <f>IFERROR(__xludf.DUMMYFUNCTION("""COMPUTED_VALUE"""),168717.0)</f>
        <v>168717</v>
      </c>
      <c r="B427" t="str">
        <f>IFERROR(__xludf.DUMMYFUNCTION("""COMPUTED_VALUE"""),"Beef Short Loin T-Bone Steak Separable Lean And Fat Trimmed To 1/8 Inch Fat Choice Raw")</f>
        <v>Beef Short Loin T-Bone Steak Separable Lean And Fat Trimmed To 1/8 Inch Fat Choice Raw</v>
      </c>
      <c r="C427" t="str">
        <f>IFERROR(__xludf.DUMMYFUNCTION("""COMPUTED_VALUE"""),"Meats")</f>
        <v>Meats</v>
      </c>
      <c r="D427">
        <f>IFERROR(__xludf.DUMMYFUNCTION("""COMPUTED_VALUE"""),228.0)</f>
        <v>228</v>
      </c>
      <c r="E427">
        <f>IFERROR(__xludf.DUMMYFUNCTION("""COMPUTED_VALUE"""),15.83)</f>
        <v>15.83</v>
      </c>
      <c r="F427">
        <f>IFERROR(__xludf.DUMMYFUNCTION("""COMPUTED_VALUE"""),20.0)</f>
        <v>20</v>
      </c>
      <c r="G427">
        <f>IFERROR(__xludf.DUMMYFUNCTION("""COMPUTED_VALUE"""),0.0)</f>
        <v>0</v>
      </c>
    </row>
    <row r="428">
      <c r="A428">
        <f>IFERROR(__xludf.DUMMYFUNCTION("""COMPUTED_VALUE"""),168718.0)</f>
        <v>168718</v>
      </c>
      <c r="B428" t="str">
        <f>IFERROR(__xludf.DUMMYFUNCTION("""COMPUTED_VALUE"""),"Beef Short Loin Top Loin Steak Separable Lean And Fat Trimmed To 1/8 Inch Fat Choice Cooked Grilled")</f>
        <v>Beef Short Loin Top Loin Steak Separable Lean And Fat Trimmed To 1/8 Inch Fat Choice Cooked Grilled</v>
      </c>
      <c r="C428" t="str">
        <f>IFERROR(__xludf.DUMMYFUNCTION("""COMPUTED_VALUE"""),"Meats")</f>
        <v>Meats</v>
      </c>
      <c r="D428">
        <f>IFERROR(__xludf.DUMMYFUNCTION("""COMPUTED_VALUE"""),278.0)</f>
        <v>278</v>
      </c>
      <c r="E428">
        <f>IFERROR(__xludf.DUMMYFUNCTION("""COMPUTED_VALUE"""),18.45)</f>
        <v>18.45</v>
      </c>
      <c r="F428">
        <f>IFERROR(__xludf.DUMMYFUNCTION("""COMPUTED_VALUE"""),26.16)</f>
        <v>26.16</v>
      </c>
      <c r="G428">
        <f>IFERROR(__xludf.DUMMYFUNCTION("""COMPUTED_VALUE"""),0.0)</f>
        <v>0</v>
      </c>
    </row>
    <row r="429">
      <c r="A429">
        <f>IFERROR(__xludf.DUMMYFUNCTION("""COMPUTED_VALUE"""),168719.0)</f>
        <v>168719</v>
      </c>
      <c r="B429" t="str">
        <f>IFERROR(__xludf.DUMMYFUNCTION("""COMPUTED_VALUE"""),"Beef Loin Top Loin Separable Lean And Fat Trimmed To 1/8 Inch Fat Select Raw")</f>
        <v>Beef Loin Top Loin Separable Lean And Fat Trimmed To 1/8 Inch Fat Select Raw</v>
      </c>
      <c r="C429" t="str">
        <f>IFERROR(__xludf.DUMMYFUNCTION("""COMPUTED_VALUE"""),"Meats")</f>
        <v>Meats</v>
      </c>
      <c r="D429">
        <f>IFERROR(__xludf.DUMMYFUNCTION("""COMPUTED_VALUE"""),224.0)</f>
        <v>224</v>
      </c>
      <c r="E429">
        <f>IFERROR(__xludf.DUMMYFUNCTION("""COMPUTED_VALUE"""),15.04)</f>
        <v>15.04</v>
      </c>
      <c r="F429">
        <f>IFERROR(__xludf.DUMMYFUNCTION("""COMPUTED_VALUE"""),20.59)</f>
        <v>20.59</v>
      </c>
      <c r="G429">
        <f>IFERROR(__xludf.DUMMYFUNCTION("""COMPUTED_VALUE"""),0.0)</f>
        <v>0</v>
      </c>
    </row>
    <row r="430">
      <c r="A430">
        <f>IFERROR(__xludf.DUMMYFUNCTION("""COMPUTED_VALUE"""),168720.0)</f>
        <v>168720</v>
      </c>
      <c r="B430" t="str">
        <f>IFERROR(__xludf.DUMMYFUNCTION("""COMPUTED_VALUE"""),"Beef Loin Top Loin Separable Lean And Fat Trimmed To 1/8 Inch Fat Select Cooked Grilled")</f>
        <v>Beef Loin Top Loin Separable Lean And Fat Trimmed To 1/8 Inch Fat Select Cooked Grilled</v>
      </c>
      <c r="C430" t="str">
        <f>IFERROR(__xludf.DUMMYFUNCTION("""COMPUTED_VALUE"""),"Meats")</f>
        <v>Meats</v>
      </c>
      <c r="D430">
        <f>IFERROR(__xludf.DUMMYFUNCTION("""COMPUTED_VALUE"""),250.0)</f>
        <v>250</v>
      </c>
      <c r="E430">
        <f>IFERROR(__xludf.DUMMYFUNCTION("""COMPUTED_VALUE"""),15.11)</f>
        <v>15.11</v>
      </c>
      <c r="F430">
        <f>IFERROR(__xludf.DUMMYFUNCTION("""COMPUTED_VALUE"""),26.72)</f>
        <v>26.72</v>
      </c>
      <c r="G430">
        <f>IFERROR(__xludf.DUMMYFUNCTION("""COMPUTED_VALUE"""),0.0)</f>
        <v>0</v>
      </c>
    </row>
    <row r="431">
      <c r="A431">
        <f>IFERROR(__xludf.DUMMYFUNCTION("""COMPUTED_VALUE"""),168721.0)</f>
        <v>168721</v>
      </c>
      <c r="B431" t="str">
        <f>IFERROR(__xludf.DUMMYFUNCTION("""COMPUTED_VALUE"""),"Beef Short Loin Top Loin Steak Separable Lean And Fat Trimmed To 1/8 Inch Fat Prime Raw")</f>
        <v>Beef Short Loin Top Loin Steak Separable Lean And Fat Trimmed To 1/8 Inch Fat Prime Raw</v>
      </c>
      <c r="C431" t="str">
        <f>IFERROR(__xludf.DUMMYFUNCTION("""COMPUTED_VALUE"""),"Meats")</f>
        <v>Meats</v>
      </c>
      <c r="D431">
        <f>IFERROR(__xludf.DUMMYFUNCTION("""COMPUTED_VALUE"""),281.0)</f>
        <v>281</v>
      </c>
      <c r="E431">
        <f>IFERROR(__xludf.DUMMYFUNCTION("""COMPUTED_VALUE"""),22.17)</f>
        <v>22.17</v>
      </c>
      <c r="F431">
        <f>IFERROR(__xludf.DUMMYFUNCTION("""COMPUTED_VALUE"""),19.0)</f>
        <v>19</v>
      </c>
      <c r="G431">
        <f>IFERROR(__xludf.DUMMYFUNCTION("""COMPUTED_VALUE"""),0.0)</f>
        <v>0</v>
      </c>
    </row>
    <row r="432">
      <c r="A432">
        <f>IFERROR(__xludf.DUMMYFUNCTION("""COMPUTED_VALUE"""),168722.0)</f>
        <v>168722</v>
      </c>
      <c r="B432" t="str">
        <f>IFERROR(__xludf.DUMMYFUNCTION("""COMPUTED_VALUE"""),"Beef Tenderloin Steak Separable Lean And Fat Trimmed To 1/8 Inch Fat Choice Cooked Broiled")</f>
        <v>Beef Tenderloin Steak Separable Lean And Fat Trimmed To 1/8 Inch Fat Choice Cooked Broiled</v>
      </c>
      <c r="C432" t="str">
        <f>IFERROR(__xludf.DUMMYFUNCTION("""COMPUTED_VALUE"""),"Meats")</f>
        <v>Meats</v>
      </c>
      <c r="D432">
        <f>IFERROR(__xludf.DUMMYFUNCTION("""COMPUTED_VALUE"""),273.0)</f>
        <v>273</v>
      </c>
      <c r="E432">
        <f>IFERROR(__xludf.DUMMYFUNCTION("""COMPUTED_VALUE"""),17.78)</f>
        <v>17.78</v>
      </c>
      <c r="F432">
        <f>IFERROR(__xludf.DUMMYFUNCTION("""COMPUTED_VALUE"""),26.43)</f>
        <v>26.43</v>
      </c>
      <c r="G432">
        <f>IFERROR(__xludf.DUMMYFUNCTION("""COMPUTED_VALUE"""),0.0)</f>
        <v>0</v>
      </c>
    </row>
    <row r="433">
      <c r="A433">
        <f>IFERROR(__xludf.DUMMYFUNCTION("""COMPUTED_VALUE"""),168723.0)</f>
        <v>168723</v>
      </c>
      <c r="B433" t="str">
        <f>IFERROR(__xludf.DUMMYFUNCTION("""COMPUTED_VALUE"""),"Beef Tenderloin Roast Separable Lean And Fat Trimmed To 1/8 Inch Fat Choice Cooked Roasted")</f>
        <v>Beef Tenderloin Roast Separable Lean And Fat Trimmed To 1/8 Inch Fat Choice Cooked Roasted</v>
      </c>
      <c r="C433" t="str">
        <f>IFERROR(__xludf.DUMMYFUNCTION("""COMPUTED_VALUE"""),"Meats")</f>
        <v>Meats</v>
      </c>
      <c r="D433">
        <f>IFERROR(__xludf.DUMMYFUNCTION("""COMPUTED_VALUE"""),331.0)</f>
        <v>331</v>
      </c>
      <c r="E433">
        <f>IFERROR(__xludf.DUMMYFUNCTION("""COMPUTED_VALUE"""),25.39)</f>
        <v>25.39</v>
      </c>
      <c r="F433">
        <f>IFERROR(__xludf.DUMMYFUNCTION("""COMPUTED_VALUE"""),23.9)</f>
        <v>23.9</v>
      </c>
      <c r="G433">
        <f>IFERROR(__xludf.DUMMYFUNCTION("""COMPUTED_VALUE"""),0.0)</f>
        <v>0</v>
      </c>
    </row>
    <row r="434">
      <c r="A434">
        <f>IFERROR(__xludf.DUMMYFUNCTION("""COMPUTED_VALUE"""),168724.0)</f>
        <v>168724</v>
      </c>
      <c r="B434" t="str">
        <f>IFERROR(__xludf.DUMMYFUNCTION("""COMPUTED_VALUE"""),"Beef Tenderloin Steak Separable Lean And Fat Trimmed To 1/8 Inch Fat Select Raw")</f>
        <v>Beef Tenderloin Steak Separable Lean And Fat Trimmed To 1/8 Inch Fat Select Raw</v>
      </c>
      <c r="C434" t="str">
        <f>IFERROR(__xludf.DUMMYFUNCTION("""COMPUTED_VALUE"""),"Meats")</f>
        <v>Meats</v>
      </c>
      <c r="D434">
        <f>IFERROR(__xludf.DUMMYFUNCTION("""COMPUTED_VALUE"""),249.0)</f>
        <v>249</v>
      </c>
      <c r="E434">
        <f>IFERROR(__xludf.DUMMYFUNCTION("""COMPUTED_VALUE"""),18.46)</f>
        <v>18.46</v>
      </c>
      <c r="F434">
        <f>IFERROR(__xludf.DUMMYFUNCTION("""COMPUTED_VALUE"""),19.37)</f>
        <v>19.37</v>
      </c>
      <c r="G434">
        <f>IFERROR(__xludf.DUMMYFUNCTION("""COMPUTED_VALUE"""),0.0)</f>
        <v>0</v>
      </c>
    </row>
    <row r="435">
      <c r="A435">
        <f>IFERROR(__xludf.DUMMYFUNCTION("""COMPUTED_VALUE"""),168725.0)</f>
        <v>168725</v>
      </c>
      <c r="B435" t="str">
        <f>IFERROR(__xludf.DUMMYFUNCTION("""COMPUTED_VALUE"""),"Beef Tenderloin Steak Separable Lean And Fat Trimmed To 1/8 Inch Fat Select Cooked Broiled")</f>
        <v>Beef Tenderloin Steak Separable Lean And Fat Trimmed To 1/8 Inch Fat Select Cooked Broiled</v>
      </c>
      <c r="C435" t="str">
        <f>IFERROR(__xludf.DUMMYFUNCTION("""COMPUTED_VALUE"""),"Meats")</f>
        <v>Meats</v>
      </c>
      <c r="D435">
        <f>IFERROR(__xludf.DUMMYFUNCTION("""COMPUTED_VALUE"""),262.0)</f>
        <v>262</v>
      </c>
      <c r="E435">
        <f>IFERROR(__xludf.DUMMYFUNCTION("""COMPUTED_VALUE"""),16.53)</f>
        <v>16.53</v>
      </c>
      <c r="F435">
        <f>IFERROR(__xludf.DUMMYFUNCTION("""COMPUTED_VALUE"""),26.48)</f>
        <v>26.48</v>
      </c>
      <c r="G435">
        <f>IFERROR(__xludf.DUMMYFUNCTION("""COMPUTED_VALUE"""),0.0)</f>
        <v>0</v>
      </c>
    </row>
    <row r="436">
      <c r="A436">
        <f>IFERROR(__xludf.DUMMYFUNCTION("""COMPUTED_VALUE"""),168726.0)</f>
        <v>168726</v>
      </c>
      <c r="B436" t="str">
        <f>IFERROR(__xludf.DUMMYFUNCTION("""COMPUTED_VALUE"""),"Beef Top Sirloin Steak Separable Lean And Fat Trimmed To 1/8 Inch Fat All Grades Raw")</f>
        <v>Beef Top Sirloin Steak Separable Lean And Fat Trimmed To 1/8 Inch Fat All Grades Raw</v>
      </c>
      <c r="C436" t="str">
        <f>IFERROR(__xludf.DUMMYFUNCTION("""COMPUTED_VALUE"""),"Meats")</f>
        <v>Meats</v>
      </c>
      <c r="D436">
        <f>IFERROR(__xludf.DUMMYFUNCTION("""COMPUTED_VALUE"""),201.0)</f>
        <v>201</v>
      </c>
      <c r="E436">
        <f>IFERROR(__xludf.DUMMYFUNCTION("""COMPUTED_VALUE"""),12.71)</f>
        <v>12.71</v>
      </c>
      <c r="F436">
        <f>IFERROR(__xludf.DUMMYFUNCTION("""COMPUTED_VALUE"""),20.3)</f>
        <v>20.3</v>
      </c>
      <c r="G436">
        <f>IFERROR(__xludf.DUMMYFUNCTION("""COMPUTED_VALUE"""),0.0)</f>
        <v>0</v>
      </c>
    </row>
    <row r="437">
      <c r="A437">
        <f>IFERROR(__xludf.DUMMYFUNCTION("""COMPUTED_VALUE"""),168727.0)</f>
        <v>168727</v>
      </c>
      <c r="B437" t="str">
        <f>IFERROR(__xludf.DUMMYFUNCTION("""COMPUTED_VALUE"""),"Beef Top Sirloin Steak Separable Lean And Fat Trimmed To 1/8 Inch Fat All Grades Cooked Broiled")</f>
        <v>Beef Top Sirloin Steak Separable Lean And Fat Trimmed To 1/8 Inch Fat All Grades Cooked Broiled</v>
      </c>
      <c r="C437" t="str">
        <f>IFERROR(__xludf.DUMMYFUNCTION("""COMPUTED_VALUE"""),"Meats")</f>
        <v>Meats</v>
      </c>
      <c r="D437">
        <f>IFERROR(__xludf.DUMMYFUNCTION("""COMPUTED_VALUE"""),243.0)</f>
        <v>243</v>
      </c>
      <c r="E437">
        <f>IFERROR(__xludf.DUMMYFUNCTION("""COMPUTED_VALUE"""),14.23)</f>
        <v>14.23</v>
      </c>
      <c r="F437">
        <f>IFERROR(__xludf.DUMMYFUNCTION("""COMPUTED_VALUE"""),26.96)</f>
        <v>26.96</v>
      </c>
      <c r="G437">
        <f>IFERROR(__xludf.DUMMYFUNCTION("""COMPUTED_VALUE"""),0.0)</f>
        <v>0</v>
      </c>
    </row>
    <row r="438">
      <c r="A438">
        <f>IFERROR(__xludf.DUMMYFUNCTION("""COMPUTED_VALUE"""),168728.0)</f>
        <v>168728</v>
      </c>
      <c r="B438" t="str">
        <f>IFERROR(__xludf.DUMMYFUNCTION("""COMPUTED_VALUE"""),"Beef Top Sirloin Steak Separable Lean And Fat Trimmed To 1/8 Inch Fat Choice Raw")</f>
        <v>Beef Top Sirloin Steak Separable Lean And Fat Trimmed To 1/8 Inch Fat Choice Raw</v>
      </c>
      <c r="C438" t="str">
        <f>IFERROR(__xludf.DUMMYFUNCTION("""COMPUTED_VALUE"""),"Meats")</f>
        <v>Meats</v>
      </c>
      <c r="D438">
        <f>IFERROR(__xludf.DUMMYFUNCTION("""COMPUTED_VALUE"""),214.0)</f>
        <v>214</v>
      </c>
      <c r="E438">
        <f>IFERROR(__xludf.DUMMYFUNCTION("""COMPUTED_VALUE"""),14.28)</f>
        <v>14.28</v>
      </c>
      <c r="F438">
        <f>IFERROR(__xludf.DUMMYFUNCTION("""COMPUTED_VALUE"""),19.92)</f>
        <v>19.92</v>
      </c>
      <c r="G438">
        <f>IFERROR(__xludf.DUMMYFUNCTION("""COMPUTED_VALUE"""),0.0)</f>
        <v>0</v>
      </c>
    </row>
    <row r="439">
      <c r="A439">
        <f>IFERROR(__xludf.DUMMYFUNCTION("""COMPUTED_VALUE"""),168729.0)</f>
        <v>168729</v>
      </c>
      <c r="B439" t="str">
        <f>IFERROR(__xludf.DUMMYFUNCTION("""COMPUTED_VALUE"""),"Beef Top Sirloin Steak Separable Lean And Fat Trimmed To 1/8 Inch Fat Choice Cooked Broiled")</f>
        <v>Beef Top Sirloin Steak Separable Lean And Fat Trimmed To 1/8 Inch Fat Choice Cooked Broiled</v>
      </c>
      <c r="C439" t="str">
        <f>IFERROR(__xludf.DUMMYFUNCTION("""COMPUTED_VALUE"""),"Meats")</f>
        <v>Meats</v>
      </c>
      <c r="D439">
        <f>IFERROR(__xludf.DUMMYFUNCTION("""COMPUTED_VALUE"""),257.0)</f>
        <v>257</v>
      </c>
      <c r="E439">
        <f>IFERROR(__xludf.DUMMYFUNCTION("""COMPUTED_VALUE"""),15.75)</f>
        <v>15.75</v>
      </c>
      <c r="F439">
        <f>IFERROR(__xludf.DUMMYFUNCTION("""COMPUTED_VALUE"""),26.8)</f>
        <v>26.8</v>
      </c>
      <c r="G439">
        <f>IFERROR(__xludf.DUMMYFUNCTION("""COMPUTED_VALUE"""),0.0)</f>
        <v>0</v>
      </c>
    </row>
    <row r="440">
      <c r="A440">
        <f>IFERROR(__xludf.DUMMYFUNCTION("""COMPUTED_VALUE"""),168730.0)</f>
        <v>168730</v>
      </c>
      <c r="B440" t="str">
        <f>IFERROR(__xludf.DUMMYFUNCTION("""COMPUTED_VALUE"""),"Beef Chuck Clod Roast Separable Lean Only Trimmed To 0 Inch Fat Select Cooked Roasted")</f>
        <v>Beef Chuck Clod Roast Separable Lean Only Trimmed To 0 Inch Fat Select Cooked Roasted</v>
      </c>
      <c r="C440" t="str">
        <f>IFERROR(__xludf.DUMMYFUNCTION("""COMPUTED_VALUE"""),"Meats")</f>
        <v>Meats</v>
      </c>
      <c r="D440">
        <f>IFERROR(__xludf.DUMMYFUNCTION("""COMPUTED_VALUE"""),172.0)</f>
        <v>172</v>
      </c>
      <c r="E440">
        <f>IFERROR(__xludf.DUMMYFUNCTION("""COMPUTED_VALUE"""),5.82)</f>
        <v>5.82</v>
      </c>
      <c r="F440">
        <f>IFERROR(__xludf.DUMMYFUNCTION("""COMPUTED_VALUE"""),28.09)</f>
        <v>28.09</v>
      </c>
      <c r="G440">
        <f>IFERROR(__xludf.DUMMYFUNCTION("""COMPUTED_VALUE"""),0.0)</f>
        <v>0</v>
      </c>
    </row>
    <row r="441">
      <c r="A441">
        <f>IFERROR(__xludf.DUMMYFUNCTION("""COMPUTED_VALUE"""),168731.0)</f>
        <v>168731</v>
      </c>
      <c r="B441" t="str">
        <f>IFERROR(__xludf.DUMMYFUNCTION("""COMPUTED_VALUE"""),"Beef Shoulder Steak Boneless Separable Lean Only Trimmed To 0 Inch Fat Choice Cooked Grilled")</f>
        <v>Beef Shoulder Steak Boneless Separable Lean Only Trimmed To 0 Inch Fat Choice Cooked Grilled</v>
      </c>
      <c r="C441" t="str">
        <f>IFERROR(__xludf.DUMMYFUNCTION("""COMPUTED_VALUE"""),"Meats")</f>
        <v>Meats</v>
      </c>
      <c r="D441">
        <f>IFERROR(__xludf.DUMMYFUNCTION("""COMPUTED_VALUE"""),178.0)</f>
        <v>178</v>
      </c>
      <c r="E441">
        <f>IFERROR(__xludf.DUMMYFUNCTION("""COMPUTED_VALUE"""),6.25)</f>
        <v>6.25</v>
      </c>
      <c r="F441">
        <f>IFERROR(__xludf.DUMMYFUNCTION("""COMPUTED_VALUE"""),28.54)</f>
        <v>28.54</v>
      </c>
      <c r="G441">
        <f>IFERROR(__xludf.DUMMYFUNCTION("""COMPUTED_VALUE"""),0.0)</f>
        <v>0</v>
      </c>
    </row>
    <row r="442">
      <c r="A442">
        <f>IFERROR(__xludf.DUMMYFUNCTION("""COMPUTED_VALUE"""),168732.0)</f>
        <v>168732</v>
      </c>
      <c r="B442" t="str">
        <f>IFERROR(__xludf.DUMMYFUNCTION("""COMPUTED_VALUE"""),"Beef Shoulder Steak Boneless Separable Lean Only Trimmed To 0 Inch Fat Select Cooked Grilled")</f>
        <v>Beef Shoulder Steak Boneless Separable Lean Only Trimmed To 0 Inch Fat Select Cooked Grilled</v>
      </c>
      <c r="C442" t="str">
        <f>IFERROR(__xludf.DUMMYFUNCTION("""COMPUTED_VALUE"""),"Meats")</f>
        <v>Meats</v>
      </c>
      <c r="D442">
        <f>IFERROR(__xludf.DUMMYFUNCTION("""COMPUTED_VALUE"""),169.0)</f>
        <v>169</v>
      </c>
      <c r="E442">
        <f>IFERROR(__xludf.DUMMYFUNCTION("""COMPUTED_VALUE"""),5.17)</f>
        <v>5.17</v>
      </c>
      <c r="F442">
        <f>IFERROR(__xludf.DUMMYFUNCTION("""COMPUTED_VALUE"""),28.71)</f>
        <v>28.71</v>
      </c>
      <c r="G442">
        <f>IFERROR(__xludf.DUMMYFUNCTION("""COMPUTED_VALUE"""),0.0)</f>
        <v>0</v>
      </c>
    </row>
    <row r="443">
      <c r="A443">
        <f>IFERROR(__xludf.DUMMYFUNCTION("""COMPUTED_VALUE"""),168733.0)</f>
        <v>168733</v>
      </c>
      <c r="B443" t="str">
        <f>IFERROR(__xludf.DUMMYFUNCTION("""COMPUTED_VALUE"""),"Beef Flank Steak Separable Lean And Fat Trimmed To 0 Inch Fat All Grades Cooked Broiled")</f>
        <v>Beef Flank Steak Separable Lean And Fat Trimmed To 0 Inch Fat All Grades Cooked Broiled</v>
      </c>
      <c r="C443" t="str">
        <f>IFERROR(__xludf.DUMMYFUNCTION("""COMPUTED_VALUE"""),"Meats")</f>
        <v>Meats</v>
      </c>
      <c r="D443">
        <f>IFERROR(__xludf.DUMMYFUNCTION("""COMPUTED_VALUE"""),192.0)</f>
        <v>192</v>
      </c>
      <c r="E443">
        <f>IFERROR(__xludf.DUMMYFUNCTION("""COMPUTED_VALUE"""),8.23)</f>
        <v>8.23</v>
      </c>
      <c r="F443">
        <f>IFERROR(__xludf.DUMMYFUNCTION("""COMPUTED_VALUE"""),27.66)</f>
        <v>27.66</v>
      </c>
      <c r="G443">
        <f>IFERROR(__xludf.DUMMYFUNCTION("""COMPUTED_VALUE"""),0.0)</f>
        <v>0</v>
      </c>
    </row>
    <row r="444">
      <c r="A444">
        <f>IFERROR(__xludf.DUMMYFUNCTION("""COMPUTED_VALUE"""),168734.0)</f>
        <v>168734</v>
      </c>
      <c r="B444" t="str">
        <f>IFERROR(__xludf.DUMMYFUNCTION("""COMPUTED_VALUE"""),"Beef Bottom Sirloin Tri-Tip Roast Separable Lean And Fat Trimmed To 0 Inch Fat All Grades Raw")</f>
        <v>Beef Bottom Sirloin Tri-Tip Roast Separable Lean And Fat Trimmed To 0 Inch Fat All Grades Raw</v>
      </c>
      <c r="C444" t="str">
        <f>IFERROR(__xludf.DUMMYFUNCTION("""COMPUTED_VALUE"""),"Meats")</f>
        <v>Meats</v>
      </c>
      <c r="D444">
        <f>IFERROR(__xludf.DUMMYFUNCTION("""COMPUTED_VALUE"""),165.0)</f>
        <v>165</v>
      </c>
      <c r="E444">
        <f>IFERROR(__xludf.DUMMYFUNCTION("""COMPUTED_VALUE"""),8.55)</f>
        <v>8.55</v>
      </c>
      <c r="F444">
        <f>IFERROR(__xludf.DUMMYFUNCTION("""COMPUTED_VALUE"""),20.64)</f>
        <v>20.64</v>
      </c>
      <c r="G444">
        <f>IFERROR(__xludf.DUMMYFUNCTION("""COMPUTED_VALUE"""),0.0)</f>
        <v>0</v>
      </c>
    </row>
    <row r="445">
      <c r="A445">
        <f>IFERROR(__xludf.DUMMYFUNCTION("""COMPUTED_VALUE"""),168735.0)</f>
        <v>168735</v>
      </c>
      <c r="B445" t="str">
        <f>IFERROR(__xludf.DUMMYFUNCTION("""COMPUTED_VALUE"""),"Beef Bottom Sirloin Tri-Tip Roast Separable Lean And Fat Trimmed To 0 Inch Fat Choice Cooked Roasted")</f>
        <v>Beef Bottom Sirloin Tri-Tip Roast Separable Lean And Fat Trimmed To 0 Inch Fat Choice Cooked Roasted</v>
      </c>
      <c r="C445" t="str">
        <f>IFERROR(__xludf.DUMMYFUNCTION("""COMPUTED_VALUE"""),"Meats")</f>
        <v>Meats</v>
      </c>
      <c r="D445">
        <f>IFERROR(__xludf.DUMMYFUNCTION("""COMPUTED_VALUE"""),221.0)</f>
        <v>221</v>
      </c>
      <c r="E445">
        <f>IFERROR(__xludf.DUMMYFUNCTION("""COMPUTED_VALUE"""),12.36)</f>
        <v>12.36</v>
      </c>
      <c r="F445">
        <f>IFERROR(__xludf.DUMMYFUNCTION("""COMPUTED_VALUE"""),25.66)</f>
        <v>25.66</v>
      </c>
      <c r="G445">
        <f>IFERROR(__xludf.DUMMYFUNCTION("""COMPUTED_VALUE"""),0.0)</f>
        <v>0</v>
      </c>
    </row>
    <row r="446">
      <c r="A446">
        <f>IFERROR(__xludf.DUMMYFUNCTION("""COMPUTED_VALUE"""),168736.0)</f>
        <v>168736</v>
      </c>
      <c r="B446" t="str">
        <f>IFERROR(__xludf.DUMMYFUNCTION("""COMPUTED_VALUE"""),"Beef Bottom Sirloin Tri-Tip Roast Separable Lean And Fat Trimmed To 0 Inch Fat Choice Raw")</f>
        <v>Beef Bottom Sirloin Tri-Tip Roast Separable Lean And Fat Trimmed To 0 Inch Fat Choice Raw</v>
      </c>
      <c r="C446" t="str">
        <f>IFERROR(__xludf.DUMMYFUNCTION("""COMPUTED_VALUE"""),"Meats")</f>
        <v>Meats</v>
      </c>
      <c r="D446">
        <f>IFERROR(__xludf.DUMMYFUNCTION("""COMPUTED_VALUE"""),174.0)</f>
        <v>174</v>
      </c>
      <c r="E446">
        <f>IFERROR(__xludf.DUMMYFUNCTION("""COMPUTED_VALUE"""),9.51)</f>
        <v>9.51</v>
      </c>
      <c r="F446">
        <f>IFERROR(__xludf.DUMMYFUNCTION("""COMPUTED_VALUE"""),20.64)</f>
        <v>20.64</v>
      </c>
      <c r="G446">
        <f>IFERROR(__xludf.DUMMYFUNCTION("""COMPUTED_VALUE"""),0.0)</f>
        <v>0</v>
      </c>
    </row>
    <row r="447">
      <c r="A447">
        <f>IFERROR(__xludf.DUMMYFUNCTION("""COMPUTED_VALUE"""),168737.0)</f>
        <v>168737</v>
      </c>
      <c r="B447" t="str">
        <f>IFERROR(__xludf.DUMMYFUNCTION("""COMPUTED_VALUE"""),"Beef Bottom Sirloin Tri-Tip Roast Separable Lean And Fat Trimmed To 0 Inch Fat Select Cooked Roasted")</f>
        <v>Beef Bottom Sirloin Tri-Tip Roast Separable Lean And Fat Trimmed To 0 Inch Fat Select Cooked Roasted</v>
      </c>
      <c r="C447" t="str">
        <f>IFERROR(__xludf.DUMMYFUNCTION("""COMPUTED_VALUE"""),"Meats")</f>
        <v>Meats</v>
      </c>
      <c r="D447">
        <f>IFERROR(__xludf.DUMMYFUNCTION("""COMPUTED_VALUE"""),201.0)</f>
        <v>201</v>
      </c>
      <c r="E447">
        <f>IFERROR(__xludf.DUMMYFUNCTION("""COMPUTED_VALUE"""),9.78)</f>
        <v>9.78</v>
      </c>
      <c r="F447">
        <f>IFERROR(__xludf.DUMMYFUNCTION("""COMPUTED_VALUE"""),26.44)</f>
        <v>26.44</v>
      </c>
      <c r="G447">
        <f>IFERROR(__xludf.DUMMYFUNCTION("""COMPUTED_VALUE"""),0.0)</f>
        <v>0</v>
      </c>
    </row>
    <row r="448">
      <c r="A448">
        <f>IFERROR(__xludf.DUMMYFUNCTION("""COMPUTED_VALUE"""),168738.0)</f>
        <v>168738</v>
      </c>
      <c r="B448" t="str">
        <f>IFERROR(__xludf.DUMMYFUNCTION("""COMPUTED_VALUE"""),"Beef Chuck Top Blade Separable Lean Only Trimmed To 0 Inch Fat Choice Cooked Broiled")</f>
        <v>Beef Chuck Top Blade Separable Lean Only Trimmed To 0 Inch Fat Choice Cooked Broiled</v>
      </c>
      <c r="C448" t="str">
        <f>IFERROR(__xludf.DUMMYFUNCTION("""COMPUTED_VALUE"""),"Meats")</f>
        <v>Meats</v>
      </c>
      <c r="D448">
        <f>IFERROR(__xludf.DUMMYFUNCTION("""COMPUTED_VALUE"""),217.0)</f>
        <v>217</v>
      </c>
      <c r="E448">
        <f>IFERROR(__xludf.DUMMYFUNCTION("""COMPUTED_VALUE"""),11.65)</f>
        <v>11.65</v>
      </c>
      <c r="F448">
        <f>IFERROR(__xludf.DUMMYFUNCTION("""COMPUTED_VALUE"""),26.11)</f>
        <v>26.11</v>
      </c>
      <c r="G448">
        <f>IFERROR(__xludf.DUMMYFUNCTION("""COMPUTED_VALUE"""),0.0)</f>
        <v>0</v>
      </c>
    </row>
    <row r="449">
      <c r="A449">
        <f>IFERROR(__xludf.DUMMYFUNCTION("""COMPUTED_VALUE"""),168739.0)</f>
        <v>168739</v>
      </c>
      <c r="B449" t="str">
        <f>IFERROR(__xludf.DUMMYFUNCTION("""COMPUTED_VALUE"""),"Beef Chuck Top Blade Separable Lean Only Trimmed To 0 Inch Fat Select Cooked Broiled")</f>
        <v>Beef Chuck Top Blade Separable Lean Only Trimmed To 0 Inch Fat Select Cooked Broiled</v>
      </c>
      <c r="C449" t="str">
        <f>IFERROR(__xludf.DUMMYFUNCTION("""COMPUTED_VALUE"""),"Meats")</f>
        <v>Meats</v>
      </c>
      <c r="D449">
        <f>IFERROR(__xludf.DUMMYFUNCTION("""COMPUTED_VALUE"""),184.0)</f>
        <v>184</v>
      </c>
      <c r="E449">
        <f>IFERROR(__xludf.DUMMYFUNCTION("""COMPUTED_VALUE"""),8.0)</f>
        <v>8</v>
      </c>
      <c r="F449">
        <f>IFERROR(__xludf.DUMMYFUNCTION("""COMPUTED_VALUE"""),26.16)</f>
        <v>26.16</v>
      </c>
      <c r="G449">
        <f>IFERROR(__xludf.DUMMYFUNCTION("""COMPUTED_VALUE"""),0.0)</f>
        <v>0</v>
      </c>
    </row>
    <row r="450">
      <c r="A450">
        <f>IFERROR(__xludf.DUMMYFUNCTION("""COMPUTED_VALUE"""),168740.0)</f>
        <v>168740</v>
      </c>
      <c r="B450" t="str">
        <f>IFERROR(__xludf.DUMMYFUNCTION("""COMPUTED_VALUE"""),"Beef Round Top Round Steak Boneless Separable Lean And Fat Trimmed To 0 Inch Fat Choice Cooked Grilled")</f>
        <v>Beef Round Top Round Steak Boneless Separable Lean And Fat Trimmed To 0 Inch Fat Choice Cooked Grilled</v>
      </c>
      <c r="C450" t="str">
        <f>IFERROR(__xludf.DUMMYFUNCTION("""COMPUTED_VALUE"""),"Meats")</f>
        <v>Meats</v>
      </c>
      <c r="D450">
        <f>IFERROR(__xludf.DUMMYFUNCTION("""COMPUTED_VALUE"""),170.0)</f>
        <v>170</v>
      </c>
      <c r="E450">
        <f>IFERROR(__xludf.DUMMYFUNCTION("""COMPUTED_VALUE"""),4.62)</f>
        <v>4.62</v>
      </c>
      <c r="F450">
        <f>IFERROR(__xludf.DUMMYFUNCTION("""COMPUTED_VALUE"""),30.12)</f>
        <v>30.12</v>
      </c>
      <c r="G450">
        <f>IFERROR(__xludf.DUMMYFUNCTION("""COMPUTED_VALUE"""),0.0)</f>
        <v>0</v>
      </c>
    </row>
    <row r="451">
      <c r="A451">
        <f>IFERROR(__xludf.DUMMYFUNCTION("""COMPUTED_VALUE"""),168741.0)</f>
        <v>168741</v>
      </c>
      <c r="B451" t="str">
        <f>IFERROR(__xludf.DUMMYFUNCTION("""COMPUTED_VALUE"""),"Beef Round Top Round Steak Boneless Separable Lean And Fat Trimmed To 0 Inch Fat Select Cooked Grilled")</f>
        <v>Beef Round Top Round Steak Boneless Separable Lean And Fat Trimmed To 0 Inch Fat Select Cooked Grilled</v>
      </c>
      <c r="C451" t="str">
        <f>IFERROR(__xludf.DUMMYFUNCTION("""COMPUTED_VALUE"""),"Meats")</f>
        <v>Meats</v>
      </c>
      <c r="D451">
        <f>IFERROR(__xludf.DUMMYFUNCTION("""COMPUTED_VALUE"""),162.0)</f>
        <v>162</v>
      </c>
      <c r="E451">
        <f>IFERROR(__xludf.DUMMYFUNCTION("""COMPUTED_VALUE"""),3.85)</f>
        <v>3.85</v>
      </c>
      <c r="F451">
        <f>IFERROR(__xludf.DUMMYFUNCTION("""COMPUTED_VALUE"""),29.7)</f>
        <v>29.7</v>
      </c>
      <c r="G451">
        <f>IFERROR(__xludf.DUMMYFUNCTION("""COMPUTED_VALUE"""),0.0)</f>
        <v>0</v>
      </c>
    </row>
    <row r="452">
      <c r="A452">
        <f>IFERROR(__xludf.DUMMYFUNCTION("""COMPUTED_VALUE"""),168742.0)</f>
        <v>168742</v>
      </c>
      <c r="B452" t="str">
        <f>IFERROR(__xludf.DUMMYFUNCTION("""COMPUTED_VALUE"""),"Beef Chuck Eye Roast Boneless Americas Beef Roast Separable Lean Only Trimmed To 0 Inch Fat Select Raw")</f>
        <v>Beef Chuck Eye Roast Boneless Americas Beef Roast Separable Lean Only Trimmed To 0 Inch Fat Select Raw</v>
      </c>
      <c r="C452" t="str">
        <f>IFERROR(__xludf.DUMMYFUNCTION("""COMPUTED_VALUE"""),"Meats")</f>
        <v>Meats</v>
      </c>
      <c r="D452">
        <f>IFERROR(__xludf.DUMMYFUNCTION("""COMPUTED_VALUE"""),133.0)</f>
        <v>133</v>
      </c>
      <c r="E452">
        <f>IFERROR(__xludf.DUMMYFUNCTION("""COMPUTED_VALUE"""),5.71)</f>
        <v>5.71</v>
      </c>
      <c r="F452">
        <f>IFERROR(__xludf.DUMMYFUNCTION("""COMPUTED_VALUE"""),20.52)</f>
        <v>20.52</v>
      </c>
      <c r="G452">
        <f>IFERROR(__xludf.DUMMYFUNCTION("""COMPUTED_VALUE"""),0.0)</f>
        <v>0</v>
      </c>
    </row>
    <row r="453">
      <c r="A453">
        <f>IFERROR(__xludf.DUMMYFUNCTION("""COMPUTED_VALUE"""),168743.0)</f>
        <v>168743</v>
      </c>
      <c r="B453" t="str">
        <f>IFERROR(__xludf.DUMMYFUNCTION("""COMPUTED_VALUE"""),"Beef Brisket Flat Half Boneless Separable Lean And Fat Trimmed To 0 Inch Fat Choice Raw")</f>
        <v>Beef Brisket Flat Half Boneless Separable Lean And Fat Trimmed To 0 Inch Fat Choice Raw</v>
      </c>
      <c r="C453" t="str">
        <f>IFERROR(__xludf.DUMMYFUNCTION("""COMPUTED_VALUE"""),"Meats")</f>
        <v>Meats</v>
      </c>
      <c r="D453">
        <f>IFERROR(__xludf.DUMMYFUNCTION("""COMPUTED_VALUE"""),169.0)</f>
        <v>169</v>
      </c>
      <c r="E453">
        <f>IFERROR(__xludf.DUMMYFUNCTION("""COMPUTED_VALUE"""),9.86)</f>
        <v>9.86</v>
      </c>
      <c r="F453">
        <f>IFERROR(__xludf.DUMMYFUNCTION("""COMPUTED_VALUE"""),20.15)</f>
        <v>20.15</v>
      </c>
      <c r="G453">
        <f>IFERROR(__xludf.DUMMYFUNCTION("""COMPUTED_VALUE"""),0.0)</f>
        <v>0</v>
      </c>
    </row>
    <row r="454">
      <c r="A454">
        <f>IFERROR(__xludf.DUMMYFUNCTION("""COMPUTED_VALUE"""),168744.0)</f>
        <v>168744</v>
      </c>
      <c r="B454" t="str">
        <f>IFERROR(__xludf.DUMMYFUNCTION("""COMPUTED_VALUE"""),"Beef Plate Inside Skirt Steak Separable Lean Only Trimmed To 0 Inch Fat All Grades Cooked Broiled")</f>
        <v>Beef Plate Inside Skirt Steak Separable Lean Only Trimmed To 0 Inch Fat All Grades Cooked Broiled</v>
      </c>
      <c r="C454" t="str">
        <f>IFERROR(__xludf.DUMMYFUNCTION("""COMPUTED_VALUE"""),"Meats")</f>
        <v>Meats</v>
      </c>
      <c r="D454">
        <f>IFERROR(__xludf.DUMMYFUNCTION("""COMPUTED_VALUE"""),205.0)</f>
        <v>205</v>
      </c>
      <c r="E454">
        <f>IFERROR(__xludf.DUMMYFUNCTION("""COMPUTED_VALUE"""),10.06)</f>
        <v>10.06</v>
      </c>
      <c r="F454">
        <f>IFERROR(__xludf.DUMMYFUNCTION("""COMPUTED_VALUE"""),26.66)</f>
        <v>26.66</v>
      </c>
      <c r="G454">
        <f>IFERROR(__xludf.DUMMYFUNCTION("""COMPUTED_VALUE"""),0.0)</f>
        <v>0</v>
      </c>
    </row>
    <row r="455">
      <c r="A455">
        <f>IFERROR(__xludf.DUMMYFUNCTION("""COMPUTED_VALUE"""),168745.0)</f>
        <v>168745</v>
      </c>
      <c r="B455" t="str">
        <f>IFERROR(__xludf.DUMMYFUNCTION("""COMPUTED_VALUE"""),"Beef Plate Outside Skirt Steak Separable Lean Only Trimmed To 0 Inch Fat All Grades Cooked Broiled")</f>
        <v>Beef Plate Outside Skirt Steak Separable Lean Only Trimmed To 0 Inch Fat All Grades Cooked Broiled</v>
      </c>
      <c r="C455" t="str">
        <f>IFERROR(__xludf.DUMMYFUNCTION("""COMPUTED_VALUE"""),"Meats")</f>
        <v>Meats</v>
      </c>
      <c r="D455">
        <f>IFERROR(__xludf.DUMMYFUNCTION("""COMPUTED_VALUE"""),233.0)</f>
        <v>233</v>
      </c>
      <c r="E455">
        <f>IFERROR(__xludf.DUMMYFUNCTION("""COMPUTED_VALUE"""),14.37)</f>
        <v>14.37</v>
      </c>
      <c r="F455">
        <f>IFERROR(__xludf.DUMMYFUNCTION("""COMPUTED_VALUE"""),24.18)</f>
        <v>24.18</v>
      </c>
      <c r="G455">
        <f>IFERROR(__xludf.DUMMYFUNCTION("""COMPUTED_VALUE"""),0.0)</f>
        <v>0</v>
      </c>
    </row>
    <row r="456">
      <c r="A456">
        <f>IFERROR(__xludf.DUMMYFUNCTION("""COMPUTED_VALUE"""),169050.0)</f>
        <v>169050</v>
      </c>
      <c r="B456" t="str">
        <f>IFERROR(__xludf.DUMMYFUNCTION("""COMPUTED_VALUE"""),"Cheese Muenster Low Fat")</f>
        <v>Cheese Muenster Low Fat</v>
      </c>
      <c r="C456" t="str">
        <f>IFERROR(__xludf.DUMMYFUNCTION("""COMPUTED_VALUE"""),"Dairy and Egg Products")</f>
        <v>Dairy and Egg Products</v>
      </c>
      <c r="D456">
        <f>IFERROR(__xludf.DUMMYFUNCTION("""COMPUTED_VALUE"""),271.0)</f>
        <v>271</v>
      </c>
      <c r="E456">
        <f>IFERROR(__xludf.DUMMYFUNCTION("""COMPUTED_VALUE"""),17.6)</f>
        <v>17.6</v>
      </c>
      <c r="F456">
        <f>IFERROR(__xludf.DUMMYFUNCTION("""COMPUTED_VALUE"""),24.7)</f>
        <v>24.7</v>
      </c>
      <c r="G456">
        <f>IFERROR(__xludf.DUMMYFUNCTION("""COMPUTED_VALUE"""),3.5)</f>
        <v>3.5</v>
      </c>
    </row>
    <row r="457">
      <c r="A457">
        <f>IFERROR(__xludf.DUMMYFUNCTION("""COMPUTED_VALUE"""),169051.0)</f>
        <v>169051</v>
      </c>
      <c r="B457" t="str">
        <f>IFERROR(__xludf.DUMMYFUNCTION("""COMPUTED_VALUE"""),"Mozzarella Cheese (Non-Fat Or Fat Free)")</f>
        <v>Mozzarella Cheese (Non-Fat Or Fat Free)</v>
      </c>
      <c r="C457" t="str">
        <f>IFERROR(__xludf.DUMMYFUNCTION("""COMPUTED_VALUE"""),"Dairy and Egg Products")</f>
        <v>Dairy and Egg Products</v>
      </c>
      <c r="D457">
        <f>IFERROR(__xludf.DUMMYFUNCTION("""COMPUTED_VALUE"""),141.0)</f>
        <v>141</v>
      </c>
      <c r="E457">
        <f>IFERROR(__xludf.DUMMYFUNCTION("""COMPUTED_VALUE"""),0.0)</f>
        <v>0</v>
      </c>
      <c r="F457">
        <f>IFERROR(__xludf.DUMMYFUNCTION("""COMPUTED_VALUE"""),31.7)</f>
        <v>31.7</v>
      </c>
      <c r="G457">
        <f>IFERROR(__xludf.DUMMYFUNCTION("""COMPUTED_VALUE"""),3.5)</f>
        <v>3.5</v>
      </c>
    </row>
    <row r="458">
      <c r="A458">
        <f>IFERROR(__xludf.DUMMYFUNCTION("""COMPUTED_VALUE"""),169073.0)</f>
        <v>169073</v>
      </c>
      <c r="B458" t="str">
        <f>IFERROR(__xludf.DUMMYFUNCTION("""COMPUTED_VALUE"""),"Beverage Instant Breakfast Powder Chocolate Not Reconstituted")</f>
        <v>Beverage Instant Breakfast Powder Chocolate Not Reconstituted</v>
      </c>
      <c r="C458" t="str">
        <f>IFERROR(__xludf.DUMMYFUNCTION("""COMPUTED_VALUE"""),"Dairy and Egg Products")</f>
        <v>Dairy and Egg Products</v>
      </c>
      <c r="D458">
        <f>IFERROR(__xludf.DUMMYFUNCTION("""COMPUTED_VALUE"""),353.0)</f>
        <v>353</v>
      </c>
      <c r="E458">
        <f>IFERROR(__xludf.DUMMYFUNCTION("""COMPUTED_VALUE"""),1.4)</f>
        <v>1.4</v>
      </c>
      <c r="F458">
        <f>IFERROR(__xludf.DUMMYFUNCTION("""COMPUTED_VALUE"""),19.9)</f>
        <v>19.9</v>
      </c>
      <c r="G458">
        <f>IFERROR(__xludf.DUMMYFUNCTION("""COMPUTED_VALUE"""),66.2)</f>
        <v>66.2</v>
      </c>
    </row>
    <row r="459">
      <c r="A459">
        <f>IFERROR(__xludf.DUMMYFUNCTION("""COMPUTED_VALUE"""),169078.0)</f>
        <v>169078</v>
      </c>
      <c r="B459" t="str">
        <f>IFERROR(__xludf.DUMMYFUNCTION("""COMPUTED_VALUE"""),"Cheese Cottage With Vegetables")</f>
        <v>Cheese Cottage With Vegetables</v>
      </c>
      <c r="C459" t="str">
        <f>IFERROR(__xludf.DUMMYFUNCTION("""COMPUTED_VALUE"""),"Dairy and Egg Products")</f>
        <v>Dairy and Egg Products</v>
      </c>
      <c r="D459">
        <f>IFERROR(__xludf.DUMMYFUNCTION("""COMPUTED_VALUE"""),95.0)</f>
        <v>95</v>
      </c>
      <c r="E459">
        <f>IFERROR(__xludf.DUMMYFUNCTION("""COMPUTED_VALUE"""),4.2)</f>
        <v>4.2</v>
      </c>
      <c r="F459">
        <f>IFERROR(__xludf.DUMMYFUNCTION("""COMPUTED_VALUE"""),10.9)</f>
        <v>10.9</v>
      </c>
      <c r="G459">
        <f>IFERROR(__xludf.DUMMYFUNCTION("""COMPUTED_VALUE"""),3.0)</f>
        <v>3</v>
      </c>
    </row>
    <row r="460">
      <c r="A460">
        <f>IFERROR(__xludf.DUMMYFUNCTION("""COMPUTED_VALUE"""),169079.0)</f>
        <v>169079</v>
      </c>
      <c r="B460" t="str">
        <f>IFERROR(__xludf.DUMMYFUNCTION("""COMPUTED_VALUE"""),"Cheese Cream Low Fat")</f>
        <v>Cheese Cream Low Fat</v>
      </c>
      <c r="C460" t="str">
        <f>IFERROR(__xludf.DUMMYFUNCTION("""COMPUTED_VALUE"""),"Dairy and Egg Products")</f>
        <v>Dairy and Egg Products</v>
      </c>
      <c r="D460">
        <f>IFERROR(__xludf.DUMMYFUNCTION("""COMPUTED_VALUE"""),208.0)</f>
        <v>208</v>
      </c>
      <c r="E460">
        <f>IFERROR(__xludf.DUMMYFUNCTION("""COMPUTED_VALUE"""),16.67)</f>
        <v>16.67</v>
      </c>
      <c r="F460">
        <f>IFERROR(__xludf.DUMMYFUNCTION("""COMPUTED_VALUE"""),7.85)</f>
        <v>7.85</v>
      </c>
      <c r="G460">
        <f>IFERROR(__xludf.DUMMYFUNCTION("""COMPUTED_VALUE"""),6.73)</f>
        <v>6.73</v>
      </c>
    </row>
    <row r="461">
      <c r="A461">
        <f>IFERROR(__xludf.DUMMYFUNCTION("""COMPUTED_VALUE"""),169080.0)</f>
        <v>169080</v>
      </c>
      <c r="B461" t="str">
        <f>IFERROR(__xludf.DUMMYFUNCTION("""COMPUTED_VALUE"""),"Cheese Pasteurized Process American Low Fat")</f>
        <v>Cheese Pasteurized Process American Low Fat</v>
      </c>
      <c r="C461" t="str">
        <f>IFERROR(__xludf.DUMMYFUNCTION("""COMPUTED_VALUE"""),"Dairy and Egg Products")</f>
        <v>Dairy and Egg Products</v>
      </c>
      <c r="D461">
        <f>IFERROR(__xludf.DUMMYFUNCTION("""COMPUTED_VALUE"""),180.0)</f>
        <v>180</v>
      </c>
      <c r="E461">
        <f>IFERROR(__xludf.DUMMYFUNCTION("""COMPUTED_VALUE"""),7.0)</f>
        <v>7</v>
      </c>
      <c r="F461">
        <f>IFERROR(__xludf.DUMMYFUNCTION("""COMPUTED_VALUE"""),24.6)</f>
        <v>24.6</v>
      </c>
      <c r="G461">
        <f>IFERROR(__xludf.DUMMYFUNCTION("""COMPUTED_VALUE"""),3.5)</f>
        <v>3.5</v>
      </c>
    </row>
    <row r="462">
      <c r="A462">
        <f>IFERROR(__xludf.DUMMYFUNCTION("""COMPUTED_VALUE"""),169081.0)</f>
        <v>169081</v>
      </c>
      <c r="B462" t="str">
        <f>IFERROR(__xludf.DUMMYFUNCTION("""COMPUTED_VALUE"""),"Cheese Spread Cream Cheese Base")</f>
        <v>Cheese Spread Cream Cheese Base</v>
      </c>
      <c r="C462" t="str">
        <f>IFERROR(__xludf.DUMMYFUNCTION("""COMPUTED_VALUE"""),"Dairy and Egg Products")</f>
        <v>Dairy and Egg Products</v>
      </c>
      <c r="D462">
        <f>IFERROR(__xludf.DUMMYFUNCTION("""COMPUTED_VALUE"""),295.0)</f>
        <v>295</v>
      </c>
      <c r="E462">
        <f>IFERROR(__xludf.DUMMYFUNCTION("""COMPUTED_VALUE"""),28.6)</f>
        <v>28.6</v>
      </c>
      <c r="F462">
        <f>IFERROR(__xludf.DUMMYFUNCTION("""COMPUTED_VALUE"""),7.1)</f>
        <v>7.1</v>
      </c>
      <c r="G462">
        <f>IFERROR(__xludf.DUMMYFUNCTION("""COMPUTED_VALUE"""),3.5)</f>
        <v>3.5</v>
      </c>
    </row>
    <row r="463">
      <c r="A463">
        <f>IFERROR(__xludf.DUMMYFUNCTION("""COMPUTED_VALUE"""),169082.0)</f>
        <v>169082</v>
      </c>
      <c r="B463" t="str">
        <f>IFERROR(__xludf.DUMMYFUNCTION("""COMPUTED_VALUE"""),"Pork Oriental Style Dehydrated")</f>
        <v>Pork Oriental Style Dehydrated</v>
      </c>
      <c r="C463" t="str">
        <f>IFERROR(__xludf.DUMMYFUNCTION("""COMPUTED_VALUE"""),"Meats")</f>
        <v>Meats</v>
      </c>
      <c r="D463">
        <f>IFERROR(__xludf.DUMMYFUNCTION("""COMPUTED_VALUE"""),615.0)</f>
        <v>615</v>
      </c>
      <c r="E463">
        <f>IFERROR(__xludf.DUMMYFUNCTION("""COMPUTED_VALUE"""),62.4)</f>
        <v>62.4</v>
      </c>
      <c r="F463">
        <f>IFERROR(__xludf.DUMMYFUNCTION("""COMPUTED_VALUE"""),11.8)</f>
        <v>11.8</v>
      </c>
      <c r="G463">
        <f>IFERROR(__xludf.DUMMYFUNCTION("""COMPUTED_VALUE"""),1.4)</f>
        <v>1.4</v>
      </c>
    </row>
    <row r="464">
      <c r="A464">
        <f>IFERROR(__xludf.DUMMYFUNCTION("""COMPUTED_VALUE"""),169148.0)</f>
        <v>169148</v>
      </c>
      <c r="B464" t="str">
        <f>IFERROR(__xludf.DUMMYFUNCTION("""COMPUTED_VALUE"""),"Pork Cured Ham -- Water Added Whole Boneless Separable Lean Only Heated Roasted")</f>
        <v>Pork Cured Ham -- Water Added Whole Boneless Separable Lean Only Heated Roasted</v>
      </c>
      <c r="C464" t="str">
        <f>IFERROR(__xludf.DUMMYFUNCTION("""COMPUTED_VALUE"""),"Meats")</f>
        <v>Meats</v>
      </c>
      <c r="D464">
        <f>IFERROR(__xludf.DUMMYFUNCTION("""COMPUTED_VALUE"""),117.0)</f>
        <v>117</v>
      </c>
      <c r="E464">
        <f>IFERROR(__xludf.DUMMYFUNCTION("""COMPUTED_VALUE"""),4.39)</f>
        <v>4.39</v>
      </c>
      <c r="F464">
        <f>IFERROR(__xludf.DUMMYFUNCTION("""COMPUTED_VALUE"""),17.99)</f>
        <v>17.99</v>
      </c>
      <c r="G464">
        <f>IFERROR(__xludf.DUMMYFUNCTION("""COMPUTED_VALUE"""),1.57)</f>
        <v>1.57</v>
      </c>
    </row>
    <row r="465">
      <c r="A465">
        <f>IFERROR(__xludf.DUMMYFUNCTION("""COMPUTED_VALUE"""),169149.0)</f>
        <v>169149</v>
      </c>
      <c r="B465" t="str">
        <f>IFERROR(__xludf.DUMMYFUNCTION("""COMPUTED_VALUE"""),"Pork Cured Ham -- Water Added Whole Boneless Separable Lean Only Unheated")</f>
        <v>Pork Cured Ham -- Water Added Whole Boneless Separable Lean Only Unheated</v>
      </c>
      <c r="C465" t="str">
        <f>IFERROR(__xludf.DUMMYFUNCTION("""COMPUTED_VALUE"""),"Meats")</f>
        <v>Meats</v>
      </c>
      <c r="D465">
        <f>IFERROR(__xludf.DUMMYFUNCTION("""COMPUTED_VALUE"""),110.0)</f>
        <v>110</v>
      </c>
      <c r="E465">
        <f>IFERROR(__xludf.DUMMYFUNCTION("""COMPUTED_VALUE"""),3.97)</f>
        <v>3.97</v>
      </c>
      <c r="F465">
        <f>IFERROR(__xludf.DUMMYFUNCTION("""COMPUTED_VALUE"""),17.34)</f>
        <v>17.34</v>
      </c>
      <c r="G465">
        <f>IFERROR(__xludf.DUMMYFUNCTION("""COMPUTED_VALUE"""),1.45)</f>
        <v>1.45</v>
      </c>
    </row>
    <row r="466">
      <c r="A466">
        <f>IFERROR(__xludf.DUMMYFUNCTION("""COMPUTED_VALUE"""),169150.0)</f>
        <v>169150</v>
      </c>
      <c r="B466" t="str">
        <f>IFERROR(__xludf.DUMMYFUNCTION("""COMPUTED_VALUE"""),"Pork Cured Ham And Water Product Shank Bone-In Separable Lean Only Heated Roasted")</f>
        <v>Pork Cured Ham And Water Product Shank Bone-In Separable Lean Only Heated Roasted</v>
      </c>
      <c r="C466" t="str">
        <f>IFERROR(__xludf.DUMMYFUNCTION("""COMPUTED_VALUE"""),"Meats")</f>
        <v>Meats</v>
      </c>
      <c r="D466">
        <f>IFERROR(__xludf.DUMMYFUNCTION("""COMPUTED_VALUE"""),132.0)</f>
        <v>132</v>
      </c>
      <c r="E466">
        <f>IFERROR(__xludf.DUMMYFUNCTION("""COMPUTED_VALUE"""),4.45)</f>
        <v>4.45</v>
      </c>
      <c r="F466">
        <f>IFERROR(__xludf.DUMMYFUNCTION("""COMPUTED_VALUE"""),21.69)</f>
        <v>21.69</v>
      </c>
      <c r="G466">
        <f>IFERROR(__xludf.DUMMYFUNCTION("""COMPUTED_VALUE"""),1.26)</f>
        <v>1.26</v>
      </c>
    </row>
    <row r="467">
      <c r="A467">
        <f>IFERROR(__xludf.DUMMYFUNCTION("""COMPUTED_VALUE"""),169151.0)</f>
        <v>169151</v>
      </c>
      <c r="B467" t="str">
        <f>IFERROR(__xludf.DUMMYFUNCTION("""COMPUTED_VALUE"""),"Pork Cured Ham -- Water Added Slice Bone-In Separable Lean Only Unheated")</f>
        <v>Pork Cured Ham -- Water Added Slice Bone-In Separable Lean Only Unheated</v>
      </c>
      <c r="C467" t="str">
        <f>IFERROR(__xludf.DUMMYFUNCTION("""COMPUTED_VALUE"""),"Meats")</f>
        <v>Meats</v>
      </c>
      <c r="D467">
        <f>IFERROR(__xludf.DUMMYFUNCTION("""COMPUTED_VALUE"""),95.0)</f>
        <v>95</v>
      </c>
      <c r="E467">
        <f>IFERROR(__xludf.DUMMYFUNCTION("""COMPUTED_VALUE"""),2.29)</f>
        <v>2.29</v>
      </c>
      <c r="F467">
        <f>IFERROR(__xludf.DUMMYFUNCTION("""COMPUTED_VALUE"""),17.38)</f>
        <v>17.38</v>
      </c>
      <c r="G467">
        <f>IFERROR(__xludf.DUMMYFUNCTION("""COMPUTED_VALUE"""),1.23)</f>
        <v>1.23</v>
      </c>
    </row>
    <row r="468">
      <c r="A468">
        <f>IFERROR(__xludf.DUMMYFUNCTION("""COMPUTED_VALUE"""),169152.0)</f>
        <v>169152</v>
      </c>
      <c r="B468" t="str">
        <f>IFERROR(__xludf.DUMMYFUNCTION("""COMPUTED_VALUE"""),"Pork Cured Ham And Water Product Rump Bone-In Separable Lean Only Unheated")</f>
        <v>Pork Cured Ham And Water Product Rump Bone-In Separable Lean Only Unheated</v>
      </c>
      <c r="C468" t="str">
        <f>IFERROR(__xludf.DUMMYFUNCTION("""COMPUTED_VALUE"""),"Meats")</f>
        <v>Meats</v>
      </c>
      <c r="D468">
        <f>IFERROR(__xludf.DUMMYFUNCTION("""COMPUTED_VALUE"""),107.0)</f>
        <v>107</v>
      </c>
      <c r="E468">
        <f>IFERROR(__xludf.DUMMYFUNCTION("""COMPUTED_VALUE"""),3.38)</f>
        <v>3.38</v>
      </c>
      <c r="F468">
        <f>IFERROR(__xludf.DUMMYFUNCTION("""COMPUTED_VALUE"""),17.93)</f>
        <v>17.93</v>
      </c>
      <c r="G468">
        <f>IFERROR(__xludf.DUMMYFUNCTION("""COMPUTED_VALUE"""),1.24)</f>
        <v>1.24</v>
      </c>
    </row>
    <row r="469">
      <c r="A469">
        <f>IFERROR(__xludf.DUMMYFUNCTION("""COMPUTED_VALUE"""),169153.0)</f>
        <v>169153</v>
      </c>
      <c r="B469" t="str">
        <f>IFERROR(__xludf.DUMMYFUNCTION("""COMPUTED_VALUE"""),"Pork Cured Ham And Water Product Slice Bone-In Separable Lean Only Unheated")</f>
        <v>Pork Cured Ham And Water Product Slice Bone-In Separable Lean Only Unheated</v>
      </c>
      <c r="C469" t="str">
        <f>IFERROR(__xludf.DUMMYFUNCTION("""COMPUTED_VALUE"""),"Meats")</f>
        <v>Meats</v>
      </c>
      <c r="D469">
        <f>IFERROR(__xludf.DUMMYFUNCTION("""COMPUTED_VALUE"""),103.0)</f>
        <v>103</v>
      </c>
      <c r="E469">
        <f>IFERROR(__xludf.DUMMYFUNCTION("""COMPUTED_VALUE"""),3.78)</f>
        <v>3.78</v>
      </c>
      <c r="F469">
        <f>IFERROR(__xludf.DUMMYFUNCTION("""COMPUTED_VALUE"""),14.47)</f>
        <v>14.47</v>
      </c>
      <c r="G469">
        <f>IFERROR(__xludf.DUMMYFUNCTION("""COMPUTED_VALUE"""),2.82)</f>
        <v>2.82</v>
      </c>
    </row>
    <row r="470">
      <c r="A470">
        <f>IFERROR(__xludf.DUMMYFUNCTION("""COMPUTED_VALUE"""),169154.0)</f>
        <v>169154</v>
      </c>
      <c r="B470" t="str">
        <f>IFERROR(__xludf.DUMMYFUNCTION("""COMPUTED_VALUE"""),"Pork Cured Ham And Water Product Shank Bone-In Unheated Separable Lean Only")</f>
        <v>Pork Cured Ham And Water Product Shank Bone-In Unheated Separable Lean Only</v>
      </c>
      <c r="C470" t="str">
        <f>IFERROR(__xludf.DUMMYFUNCTION("""COMPUTED_VALUE"""),"Meats")</f>
        <v>Meats</v>
      </c>
      <c r="D470">
        <f>IFERROR(__xludf.DUMMYFUNCTION("""COMPUTED_VALUE"""),113.0)</f>
        <v>113</v>
      </c>
      <c r="E470">
        <f>IFERROR(__xludf.DUMMYFUNCTION("""COMPUTED_VALUE"""),4.18)</f>
        <v>4.18</v>
      </c>
      <c r="F470">
        <f>IFERROR(__xludf.DUMMYFUNCTION("""COMPUTED_VALUE"""),17.53)</f>
        <v>17.53</v>
      </c>
      <c r="G470">
        <f>IFERROR(__xludf.DUMMYFUNCTION("""COMPUTED_VALUE"""),1.2)</f>
        <v>1.2</v>
      </c>
    </row>
    <row r="471">
      <c r="A471">
        <f>IFERROR(__xludf.DUMMYFUNCTION("""COMPUTED_VALUE"""),169155.0)</f>
        <v>169155</v>
      </c>
      <c r="B471" t="str">
        <f>IFERROR(__xludf.DUMMYFUNCTION("""COMPUTED_VALUE"""),"Pork Cured Ham Separable Fat Boneless Heated")</f>
        <v>Pork Cured Ham Separable Fat Boneless Heated</v>
      </c>
      <c r="C471" t="str">
        <f>IFERROR(__xludf.DUMMYFUNCTION("""COMPUTED_VALUE"""),"Meats")</f>
        <v>Meats</v>
      </c>
      <c r="D471">
        <f>IFERROR(__xludf.DUMMYFUNCTION("""COMPUTED_VALUE"""),507.0)</f>
        <v>507</v>
      </c>
      <c r="E471">
        <f>IFERROR(__xludf.DUMMYFUNCTION("""COMPUTED_VALUE"""),51.57)</f>
        <v>51.57</v>
      </c>
      <c r="F471">
        <f>IFERROR(__xludf.DUMMYFUNCTION("""COMPUTED_VALUE"""),8.77)</f>
        <v>8.77</v>
      </c>
      <c r="G471">
        <f>IFERROR(__xludf.DUMMYFUNCTION("""COMPUTED_VALUE"""),2.0)</f>
        <v>2</v>
      </c>
    </row>
    <row r="472">
      <c r="A472">
        <f>IFERROR(__xludf.DUMMYFUNCTION("""COMPUTED_VALUE"""),169156.0)</f>
        <v>169156</v>
      </c>
      <c r="B472" t="str">
        <f>IFERROR(__xludf.DUMMYFUNCTION("""COMPUTED_VALUE"""),"Pork Cured Ham Separable Fat Boneless Unheated")</f>
        <v>Pork Cured Ham Separable Fat Boneless Unheated</v>
      </c>
      <c r="C472" t="str">
        <f>IFERROR(__xludf.DUMMYFUNCTION("""COMPUTED_VALUE"""),"Meats")</f>
        <v>Meats</v>
      </c>
      <c r="D472">
        <f>IFERROR(__xludf.DUMMYFUNCTION("""COMPUTED_VALUE"""),515.0)</f>
        <v>515</v>
      </c>
      <c r="E472">
        <f>IFERROR(__xludf.DUMMYFUNCTION("""COMPUTED_VALUE"""),53.0)</f>
        <v>53</v>
      </c>
      <c r="F472">
        <f>IFERROR(__xludf.DUMMYFUNCTION("""COMPUTED_VALUE"""),7.5)</f>
        <v>7.5</v>
      </c>
      <c r="G472">
        <f>IFERROR(__xludf.DUMMYFUNCTION("""COMPUTED_VALUE"""),1.87)</f>
        <v>1.87</v>
      </c>
    </row>
    <row r="473">
      <c r="A473">
        <f>IFERROR(__xludf.DUMMYFUNCTION("""COMPUTED_VALUE"""),169157.0)</f>
        <v>169157</v>
      </c>
      <c r="B473" t="str">
        <f>IFERROR(__xludf.DUMMYFUNCTION("""COMPUTED_VALUE"""),"Pork Pickled Pork Hocks")</f>
        <v>Pork Pickled Pork Hocks</v>
      </c>
      <c r="C473" t="str">
        <f>IFERROR(__xludf.DUMMYFUNCTION("""COMPUTED_VALUE"""),"Meats")</f>
        <v>Meats</v>
      </c>
      <c r="D473">
        <f>IFERROR(__xludf.DUMMYFUNCTION("""COMPUTED_VALUE"""),171.0)</f>
        <v>171</v>
      </c>
      <c r="E473">
        <f>IFERROR(__xludf.DUMMYFUNCTION("""COMPUTED_VALUE"""),10.54)</f>
        <v>10.54</v>
      </c>
      <c r="F473">
        <f>IFERROR(__xludf.DUMMYFUNCTION("""COMPUTED_VALUE"""),19.11)</f>
        <v>19.11</v>
      </c>
      <c r="G473">
        <f>IFERROR(__xludf.DUMMYFUNCTION("""COMPUTED_VALUE"""),0.0)</f>
        <v>0</v>
      </c>
    </row>
    <row r="474">
      <c r="A474">
        <f>IFERROR(__xludf.DUMMYFUNCTION("""COMPUTED_VALUE"""),169158.0)</f>
        <v>169158</v>
      </c>
      <c r="B474" t="str">
        <f>IFERROR(__xludf.DUMMYFUNCTION("""COMPUTED_VALUE"""),"Pork Cured Ham Slice Bone-In Separable Lean Only Heated Pan-Broil")</f>
        <v>Pork Cured Ham Slice Bone-In Separable Lean Only Heated Pan-Broil</v>
      </c>
      <c r="C474" t="str">
        <f>IFERROR(__xludf.DUMMYFUNCTION("""COMPUTED_VALUE"""),"Meats")</f>
        <v>Meats</v>
      </c>
      <c r="D474">
        <f>IFERROR(__xludf.DUMMYFUNCTION("""COMPUTED_VALUE"""),148.0)</f>
        <v>148</v>
      </c>
      <c r="E474">
        <f>IFERROR(__xludf.DUMMYFUNCTION("""COMPUTED_VALUE"""),4.09)</f>
        <v>4.09</v>
      </c>
      <c r="F474">
        <f>IFERROR(__xludf.DUMMYFUNCTION("""COMPUTED_VALUE"""),27.18)</f>
        <v>27.18</v>
      </c>
      <c r="G474">
        <f>IFERROR(__xludf.DUMMYFUNCTION("""COMPUTED_VALUE"""),0.74)</f>
        <v>0.74</v>
      </c>
    </row>
    <row r="475">
      <c r="A475">
        <f>IFERROR(__xludf.DUMMYFUNCTION("""COMPUTED_VALUE"""),169159.0)</f>
        <v>169159</v>
      </c>
      <c r="B475" t="str">
        <f>IFERROR(__xludf.DUMMYFUNCTION("""COMPUTED_VALUE"""),"Pork Cured Ham With Natural Juices Whole Boneless Separable Lean And Fat Unheated")</f>
        <v>Pork Cured Ham With Natural Juices Whole Boneless Separable Lean And Fat Unheated</v>
      </c>
      <c r="C475" t="str">
        <f>IFERROR(__xludf.DUMMYFUNCTION("""COMPUTED_VALUE"""),"Meats")</f>
        <v>Meats</v>
      </c>
      <c r="D475">
        <f>IFERROR(__xludf.DUMMYFUNCTION("""COMPUTED_VALUE"""),112.0)</f>
        <v>112</v>
      </c>
      <c r="E475">
        <f>IFERROR(__xludf.DUMMYFUNCTION("""COMPUTED_VALUE"""),3.43)</f>
        <v>3.43</v>
      </c>
      <c r="F475">
        <f>IFERROR(__xludf.DUMMYFUNCTION("""COMPUTED_VALUE"""),19.38)</f>
        <v>19.38</v>
      </c>
      <c r="G475">
        <f>IFERROR(__xludf.DUMMYFUNCTION("""COMPUTED_VALUE"""),1.02)</f>
        <v>1.02</v>
      </c>
    </row>
    <row r="476">
      <c r="A476">
        <f>IFERROR(__xludf.DUMMYFUNCTION("""COMPUTED_VALUE"""),169160.0)</f>
        <v>169160</v>
      </c>
      <c r="B476" t="str">
        <f>IFERROR(__xludf.DUMMYFUNCTION("""COMPUTED_VALUE"""),"Pork Cured Ham And Water Product Whole Boneless Separable Lean And Fat Unheated")</f>
        <v>Pork Cured Ham And Water Product Whole Boneless Separable Lean And Fat Unheated</v>
      </c>
      <c r="C476" t="str">
        <f>IFERROR(__xludf.DUMMYFUNCTION("""COMPUTED_VALUE"""),"Meats")</f>
        <v>Meats</v>
      </c>
      <c r="D476">
        <f>IFERROR(__xludf.DUMMYFUNCTION("""COMPUTED_VALUE"""),117.0)</f>
        <v>117</v>
      </c>
      <c r="E476">
        <f>IFERROR(__xludf.DUMMYFUNCTION("""COMPUTED_VALUE"""),4.99)</f>
        <v>4.99</v>
      </c>
      <c r="F476">
        <f>IFERROR(__xludf.DUMMYFUNCTION("""COMPUTED_VALUE"""),14.05)</f>
        <v>14.05</v>
      </c>
      <c r="G476">
        <f>IFERROR(__xludf.DUMMYFUNCTION("""COMPUTED_VALUE"""),4.21)</f>
        <v>4.21</v>
      </c>
    </row>
    <row r="477">
      <c r="A477">
        <f>IFERROR(__xludf.DUMMYFUNCTION("""COMPUTED_VALUE"""),169161.0)</f>
        <v>169161</v>
      </c>
      <c r="B477" t="str">
        <f>IFERROR(__xludf.DUMMYFUNCTION("""COMPUTED_VALUE"""),"Pork Cured Ham And Water Product Slice Bone-In Separable Lean And Fat Unheated")</f>
        <v>Pork Cured Ham And Water Product Slice Bone-In Separable Lean And Fat Unheated</v>
      </c>
      <c r="C477" t="str">
        <f>IFERROR(__xludf.DUMMYFUNCTION("""COMPUTED_VALUE"""),"Meats")</f>
        <v>Meats</v>
      </c>
      <c r="D477">
        <f>IFERROR(__xludf.DUMMYFUNCTION("""COMPUTED_VALUE"""),149.0)</f>
        <v>149</v>
      </c>
      <c r="E477">
        <f>IFERROR(__xludf.DUMMYFUNCTION("""COMPUTED_VALUE"""),9.29)</f>
        <v>9.29</v>
      </c>
      <c r="F477">
        <f>IFERROR(__xludf.DUMMYFUNCTION("""COMPUTED_VALUE"""),13.69)</f>
        <v>13.69</v>
      </c>
      <c r="G477">
        <f>IFERROR(__xludf.DUMMYFUNCTION("""COMPUTED_VALUE"""),2.72)</f>
        <v>2.72</v>
      </c>
    </row>
    <row r="478">
      <c r="A478">
        <f>IFERROR(__xludf.DUMMYFUNCTION("""COMPUTED_VALUE"""),169162.0)</f>
        <v>169162</v>
      </c>
      <c r="B478" t="str">
        <f>IFERROR(__xludf.DUMMYFUNCTION("""COMPUTED_VALUE"""),"Pork Cured Ham And Water Product Shank Bone-In Separable Lean And Fat Unheated")</f>
        <v>Pork Cured Ham And Water Product Shank Bone-In Separable Lean And Fat Unheated</v>
      </c>
      <c r="C478" t="str">
        <f>IFERROR(__xludf.DUMMYFUNCTION("""COMPUTED_VALUE"""),"Meats")</f>
        <v>Meats</v>
      </c>
      <c r="D478">
        <f>IFERROR(__xludf.DUMMYFUNCTION("""COMPUTED_VALUE"""),243.0)</f>
        <v>243</v>
      </c>
      <c r="E478">
        <f>IFERROR(__xludf.DUMMYFUNCTION("""COMPUTED_VALUE"""),20.0)</f>
        <v>20</v>
      </c>
      <c r="F478">
        <f>IFERROR(__xludf.DUMMYFUNCTION("""COMPUTED_VALUE"""),14.28)</f>
        <v>14.28</v>
      </c>
      <c r="G478">
        <f>IFERROR(__xludf.DUMMYFUNCTION("""COMPUTED_VALUE"""),1.42)</f>
        <v>1.42</v>
      </c>
    </row>
    <row r="479">
      <c r="A479">
        <f>IFERROR(__xludf.DUMMYFUNCTION("""COMPUTED_VALUE"""),169163.0)</f>
        <v>169163</v>
      </c>
      <c r="B479" t="str">
        <f>IFERROR(__xludf.DUMMYFUNCTION("""COMPUTED_VALUE"""),"Pork Cured Ham And Water Product Rump Bone-In Separable Lean And Fat Unheated")</f>
        <v>Pork Cured Ham And Water Product Rump Bone-In Separable Lean And Fat Unheated</v>
      </c>
      <c r="C479" t="str">
        <f>IFERROR(__xludf.DUMMYFUNCTION("""COMPUTED_VALUE"""),"Meats")</f>
        <v>Meats</v>
      </c>
      <c r="D479">
        <f>IFERROR(__xludf.DUMMYFUNCTION("""COMPUTED_VALUE"""),179.0)</f>
        <v>179</v>
      </c>
      <c r="E479">
        <f>IFERROR(__xludf.DUMMYFUNCTION("""COMPUTED_VALUE"""),12.13)</f>
        <v>12.13</v>
      </c>
      <c r="F479">
        <f>IFERROR(__xludf.DUMMYFUNCTION("""COMPUTED_VALUE"""),16.09)</f>
        <v>16.09</v>
      </c>
      <c r="G479">
        <f>IFERROR(__xludf.DUMMYFUNCTION("""COMPUTED_VALUE"""),1.35)</f>
        <v>1.35</v>
      </c>
    </row>
    <row r="480">
      <c r="A480">
        <f>IFERROR(__xludf.DUMMYFUNCTION("""COMPUTED_VALUE"""),169164.0)</f>
        <v>169164</v>
      </c>
      <c r="B480" t="str">
        <f>IFERROR(__xludf.DUMMYFUNCTION("""COMPUTED_VALUE"""),"Pork Cured Ham -- Water Added Rump Bone-In Separable Lean And Fat Heated Roasted")</f>
        <v>Pork Cured Ham -- Water Added Rump Bone-In Separable Lean And Fat Heated Roasted</v>
      </c>
      <c r="C480" t="str">
        <f>IFERROR(__xludf.DUMMYFUNCTION("""COMPUTED_VALUE"""),"Meats")</f>
        <v>Meats</v>
      </c>
      <c r="D480">
        <f>IFERROR(__xludf.DUMMYFUNCTION("""COMPUTED_VALUE"""),161.0)</f>
        <v>161</v>
      </c>
      <c r="E480">
        <f>IFERROR(__xludf.DUMMYFUNCTION("""COMPUTED_VALUE"""),8.56)</f>
        <v>8.56</v>
      </c>
      <c r="F480">
        <f>IFERROR(__xludf.DUMMYFUNCTION("""COMPUTED_VALUE"""),20.1)</f>
        <v>20.1</v>
      </c>
      <c r="G480">
        <f>IFERROR(__xludf.DUMMYFUNCTION("""COMPUTED_VALUE"""),0.99)</f>
        <v>0.99</v>
      </c>
    </row>
    <row r="481">
      <c r="A481">
        <f>IFERROR(__xludf.DUMMYFUNCTION("""COMPUTED_VALUE"""),169165.0)</f>
        <v>169165</v>
      </c>
      <c r="B481" t="str">
        <f>IFERROR(__xludf.DUMMYFUNCTION("""COMPUTED_VALUE"""),"Pork Cured Ham -- Water Added Shank Bone-In Separable Lean And Fat Heated Roasted")</f>
        <v>Pork Cured Ham -- Water Added Shank Bone-In Separable Lean And Fat Heated Roasted</v>
      </c>
      <c r="C481" t="str">
        <f>IFERROR(__xludf.DUMMYFUNCTION("""COMPUTED_VALUE"""),"Meats")</f>
        <v>Meats</v>
      </c>
      <c r="D481">
        <f>IFERROR(__xludf.DUMMYFUNCTION("""COMPUTED_VALUE"""),200.0)</f>
        <v>200</v>
      </c>
      <c r="E481">
        <f>IFERROR(__xludf.DUMMYFUNCTION("""COMPUTED_VALUE"""),13.37)</f>
        <v>13.37</v>
      </c>
      <c r="F481">
        <f>IFERROR(__xludf.DUMMYFUNCTION("""COMPUTED_VALUE"""),18.62)</f>
        <v>18.62</v>
      </c>
      <c r="G481">
        <f>IFERROR(__xludf.DUMMYFUNCTION("""COMPUTED_VALUE"""),1.35)</f>
        <v>1.35</v>
      </c>
    </row>
    <row r="482">
      <c r="A482">
        <f>IFERROR(__xludf.DUMMYFUNCTION("""COMPUTED_VALUE"""),169166.0)</f>
        <v>169166</v>
      </c>
      <c r="B482" t="str">
        <f>IFERROR(__xludf.DUMMYFUNCTION("""COMPUTED_VALUE"""),"Pork Cured Ham -- Water Added Slice Bone-In Separable Lean And Fat Heated Pan-Broil")</f>
        <v>Pork Cured Ham -- Water Added Slice Bone-In Separable Lean And Fat Heated Pan-Broil</v>
      </c>
      <c r="C482" t="str">
        <f>IFERROR(__xludf.DUMMYFUNCTION("""COMPUTED_VALUE"""),"Meats")</f>
        <v>Meats</v>
      </c>
      <c r="D482">
        <f>IFERROR(__xludf.DUMMYFUNCTION("""COMPUTED_VALUE"""),166.0)</f>
        <v>166</v>
      </c>
      <c r="E482">
        <f>IFERROR(__xludf.DUMMYFUNCTION("""COMPUTED_VALUE"""),8.73)</f>
        <v>8.73</v>
      </c>
      <c r="F482">
        <f>IFERROR(__xludf.DUMMYFUNCTION("""COMPUTED_VALUE"""),20.8)</f>
        <v>20.8</v>
      </c>
      <c r="G482">
        <f>IFERROR(__xludf.DUMMYFUNCTION("""COMPUTED_VALUE"""),1.54)</f>
        <v>1.54</v>
      </c>
    </row>
    <row r="483">
      <c r="A483">
        <f>IFERROR(__xludf.DUMMYFUNCTION("""COMPUTED_VALUE"""),169167.0)</f>
        <v>169167</v>
      </c>
      <c r="B483" t="str">
        <f>IFERROR(__xludf.DUMMYFUNCTION("""COMPUTED_VALUE"""),"Pork Cured Ham -- Water Added Slice Boneless Separable Lean And Fat Heated Pan-Broil")</f>
        <v>Pork Cured Ham -- Water Added Slice Boneless Separable Lean And Fat Heated Pan-Broil</v>
      </c>
      <c r="C483" t="str">
        <f>IFERROR(__xludf.DUMMYFUNCTION("""COMPUTED_VALUE"""),"Meats")</f>
        <v>Meats</v>
      </c>
      <c r="D483">
        <f>IFERROR(__xludf.DUMMYFUNCTION("""COMPUTED_VALUE"""),125.0)</f>
        <v>125</v>
      </c>
      <c r="E483">
        <f>IFERROR(__xludf.DUMMYFUNCTION("""COMPUTED_VALUE"""),5.05)</f>
        <v>5.05</v>
      </c>
      <c r="F483">
        <f>IFERROR(__xludf.DUMMYFUNCTION("""COMPUTED_VALUE"""),18.62)</f>
        <v>18.62</v>
      </c>
      <c r="G483">
        <f>IFERROR(__xludf.DUMMYFUNCTION("""COMPUTED_VALUE"""),1.72)</f>
        <v>1.72</v>
      </c>
    </row>
    <row r="484">
      <c r="A484">
        <f>IFERROR(__xludf.DUMMYFUNCTION("""COMPUTED_VALUE"""),169168.0)</f>
        <v>169168</v>
      </c>
      <c r="B484" t="str">
        <f>IFERROR(__xludf.DUMMYFUNCTION("""COMPUTED_VALUE"""),"Pork Cured Ham And Water Product Slice Boneless Separable Lean And Fat Heated Pan-Broil")</f>
        <v>Pork Cured Ham And Water Product Slice Boneless Separable Lean And Fat Heated Pan-Broil</v>
      </c>
      <c r="C484" t="str">
        <f>IFERROR(__xludf.DUMMYFUNCTION("""COMPUTED_VALUE"""),"Meats")</f>
        <v>Meats</v>
      </c>
      <c r="D484">
        <f>IFERROR(__xludf.DUMMYFUNCTION("""COMPUTED_VALUE"""),124.0)</f>
        <v>124</v>
      </c>
      <c r="E484">
        <f>IFERROR(__xludf.DUMMYFUNCTION("""COMPUTED_VALUE"""),5.13)</f>
        <v>5.13</v>
      </c>
      <c r="F484">
        <f>IFERROR(__xludf.DUMMYFUNCTION("""COMPUTED_VALUE"""),15.08)</f>
        <v>15.08</v>
      </c>
      <c r="G484">
        <f>IFERROR(__xludf.DUMMYFUNCTION("""COMPUTED_VALUE"""),4.69)</f>
        <v>4.69</v>
      </c>
    </row>
    <row r="485">
      <c r="A485">
        <f>IFERROR(__xludf.DUMMYFUNCTION("""COMPUTED_VALUE"""),169169.0)</f>
        <v>169169</v>
      </c>
      <c r="B485" t="str">
        <f>IFERROR(__xludf.DUMMYFUNCTION("""COMPUTED_VALUE"""),"Pork Cured Ham And Water Product Whole Boneless Separable Lean And Fat Heated Roasted")</f>
        <v>Pork Cured Ham And Water Product Whole Boneless Separable Lean And Fat Heated Roasted</v>
      </c>
      <c r="C485" t="str">
        <f>IFERROR(__xludf.DUMMYFUNCTION("""COMPUTED_VALUE"""),"Meats")</f>
        <v>Meats</v>
      </c>
      <c r="D485">
        <f>IFERROR(__xludf.DUMMYFUNCTION("""COMPUTED_VALUE"""),123.0)</f>
        <v>123</v>
      </c>
      <c r="E485">
        <f>IFERROR(__xludf.DUMMYFUNCTION("""COMPUTED_VALUE"""),5.46)</f>
        <v>5.46</v>
      </c>
      <c r="F485">
        <f>IFERROR(__xludf.DUMMYFUNCTION("""COMPUTED_VALUE"""),13.88)</f>
        <v>13.88</v>
      </c>
      <c r="G485">
        <f>IFERROR(__xludf.DUMMYFUNCTION("""COMPUTED_VALUE"""),4.61)</f>
        <v>4.61</v>
      </c>
    </row>
    <row r="486">
      <c r="A486">
        <f>IFERROR(__xludf.DUMMYFUNCTION("""COMPUTED_VALUE"""),169170.0)</f>
        <v>169170</v>
      </c>
      <c r="B486" t="str">
        <f>IFERROR(__xludf.DUMMYFUNCTION("""COMPUTED_VALUE"""),"Pork Cured Ham With Natural Juices Rump Bone-In Separable Lean And Fat Heated Roasted")</f>
        <v>Pork Cured Ham With Natural Juices Rump Bone-In Separable Lean And Fat Heated Roasted</v>
      </c>
      <c r="C486" t="str">
        <f>IFERROR(__xludf.DUMMYFUNCTION("""COMPUTED_VALUE"""),"Meats")</f>
        <v>Meats</v>
      </c>
      <c r="D486">
        <f>IFERROR(__xludf.DUMMYFUNCTION("""COMPUTED_VALUE"""),177.0)</f>
        <v>177</v>
      </c>
      <c r="E486">
        <f>IFERROR(__xludf.DUMMYFUNCTION("""COMPUTED_VALUE"""),9.39)</f>
        <v>9.39</v>
      </c>
      <c r="F486">
        <f>IFERROR(__xludf.DUMMYFUNCTION("""COMPUTED_VALUE"""),22.47)</f>
        <v>22.47</v>
      </c>
      <c r="G486">
        <f>IFERROR(__xludf.DUMMYFUNCTION("""COMPUTED_VALUE"""),0.6)</f>
        <v>0.6</v>
      </c>
    </row>
    <row r="487">
      <c r="A487">
        <f>IFERROR(__xludf.DUMMYFUNCTION("""COMPUTED_VALUE"""),169171.0)</f>
        <v>169171</v>
      </c>
      <c r="B487" t="str">
        <f>IFERROR(__xludf.DUMMYFUNCTION("""COMPUTED_VALUE"""),"Pork Cured Ham With Natural Juices Shank Bone-In Separable Lean And Fat Heated Roasted")</f>
        <v>Pork Cured Ham With Natural Juices Shank Bone-In Separable Lean And Fat Heated Roasted</v>
      </c>
      <c r="C487" t="str">
        <f>IFERROR(__xludf.DUMMYFUNCTION("""COMPUTED_VALUE"""),"Meats")</f>
        <v>Meats</v>
      </c>
      <c r="D487">
        <f>IFERROR(__xludf.DUMMYFUNCTION("""COMPUTED_VALUE"""),191.0)</f>
        <v>191</v>
      </c>
      <c r="E487">
        <f>IFERROR(__xludf.DUMMYFUNCTION("""COMPUTED_VALUE"""),10.93)</f>
        <v>10.93</v>
      </c>
      <c r="F487">
        <f>IFERROR(__xludf.DUMMYFUNCTION("""COMPUTED_VALUE"""),22.88)</f>
        <v>22.88</v>
      </c>
      <c r="G487">
        <f>IFERROR(__xludf.DUMMYFUNCTION("""COMPUTED_VALUE"""),0.33)</f>
        <v>0.33</v>
      </c>
    </row>
    <row r="488">
      <c r="A488">
        <f>IFERROR(__xludf.DUMMYFUNCTION("""COMPUTED_VALUE"""),169172.0)</f>
        <v>169172</v>
      </c>
      <c r="B488" t="str">
        <f>IFERROR(__xludf.DUMMYFUNCTION("""COMPUTED_VALUE"""),"Pork Cured Ham With Natural Juices Slice Bone-In Separable Lean And Fat Heated Pan-Broil")</f>
        <v>Pork Cured Ham With Natural Juices Slice Bone-In Separable Lean And Fat Heated Pan-Broil</v>
      </c>
      <c r="C488" t="str">
        <f>IFERROR(__xludf.DUMMYFUNCTION("""COMPUTED_VALUE"""),"Meats")</f>
        <v>Meats</v>
      </c>
      <c r="D488">
        <f>IFERROR(__xludf.DUMMYFUNCTION("""COMPUTED_VALUE"""),180.0)</f>
        <v>180</v>
      </c>
      <c r="E488">
        <f>IFERROR(__xludf.DUMMYFUNCTION("""COMPUTED_VALUE"""),8.28)</f>
        <v>8.28</v>
      </c>
      <c r="F488">
        <f>IFERROR(__xludf.DUMMYFUNCTION("""COMPUTED_VALUE"""),26.18)</f>
        <v>26.18</v>
      </c>
      <c r="G488">
        <f>IFERROR(__xludf.DUMMYFUNCTION("""COMPUTED_VALUE"""),0.17)</f>
        <v>0.17</v>
      </c>
    </row>
    <row r="489">
      <c r="A489">
        <f>IFERROR(__xludf.DUMMYFUNCTION("""COMPUTED_VALUE"""),169173.0)</f>
        <v>169173</v>
      </c>
      <c r="B489" t="str">
        <f>IFERROR(__xludf.DUMMYFUNCTION("""COMPUTED_VALUE"""),"Pork Cured Ham Rump Bone-In Separable Lean Only Heated Roasted")</f>
        <v>Pork Cured Ham Rump Bone-In Separable Lean Only Heated Roasted</v>
      </c>
      <c r="C489" t="str">
        <f>IFERROR(__xludf.DUMMYFUNCTION("""COMPUTED_VALUE"""),"Meats")</f>
        <v>Meats</v>
      </c>
      <c r="D489">
        <f>IFERROR(__xludf.DUMMYFUNCTION("""COMPUTED_VALUE"""),132.0)</f>
        <v>132</v>
      </c>
      <c r="E489">
        <f>IFERROR(__xludf.DUMMYFUNCTION("""COMPUTED_VALUE"""),3.07)</f>
        <v>3.07</v>
      </c>
      <c r="F489">
        <f>IFERROR(__xludf.DUMMYFUNCTION("""COMPUTED_VALUE"""),26.02)</f>
        <v>26.02</v>
      </c>
      <c r="G489">
        <f>IFERROR(__xludf.DUMMYFUNCTION("""COMPUTED_VALUE"""),0.68)</f>
        <v>0.68</v>
      </c>
    </row>
    <row r="490">
      <c r="A490">
        <f>IFERROR(__xludf.DUMMYFUNCTION("""COMPUTED_VALUE"""),169174.0)</f>
        <v>169174</v>
      </c>
      <c r="B490" t="str">
        <f>IFERROR(__xludf.DUMMYFUNCTION("""COMPUTED_VALUE"""),"Pork Cured Ham Rump Bone-In Separable Lean Only Unheated")</f>
        <v>Pork Cured Ham Rump Bone-In Separable Lean Only Unheated</v>
      </c>
      <c r="C490" t="str">
        <f>IFERROR(__xludf.DUMMYFUNCTION("""COMPUTED_VALUE"""),"Meats")</f>
        <v>Meats</v>
      </c>
      <c r="D490">
        <f>IFERROR(__xludf.DUMMYFUNCTION("""COMPUTED_VALUE"""),125.0)</f>
        <v>125</v>
      </c>
      <c r="E490">
        <f>IFERROR(__xludf.DUMMYFUNCTION("""COMPUTED_VALUE"""),2.92)</f>
        <v>2.92</v>
      </c>
      <c r="F490">
        <f>IFERROR(__xludf.DUMMYFUNCTION("""COMPUTED_VALUE"""),24.46)</f>
        <v>24.46</v>
      </c>
      <c r="G490">
        <f>IFERROR(__xludf.DUMMYFUNCTION("""COMPUTED_VALUE"""),0.32)</f>
        <v>0.32</v>
      </c>
    </row>
    <row r="491">
      <c r="A491">
        <f>IFERROR(__xludf.DUMMYFUNCTION("""COMPUTED_VALUE"""),169175.0)</f>
        <v>169175</v>
      </c>
      <c r="B491" t="str">
        <f>IFERROR(__xludf.DUMMYFUNCTION("""COMPUTED_VALUE"""),"Pork Cured Ham Shank Bone-In Separable Lean Only Heated Roasted")</f>
        <v>Pork Cured Ham Shank Bone-In Separable Lean Only Heated Roasted</v>
      </c>
      <c r="C491" t="str">
        <f>IFERROR(__xludf.DUMMYFUNCTION("""COMPUTED_VALUE"""),"Meats")</f>
        <v>Meats</v>
      </c>
      <c r="D491">
        <f>IFERROR(__xludf.DUMMYFUNCTION("""COMPUTED_VALUE"""),139.0)</f>
        <v>139</v>
      </c>
      <c r="E491">
        <f>IFERROR(__xludf.DUMMYFUNCTION("""COMPUTED_VALUE"""),3.68)</f>
        <v>3.68</v>
      </c>
      <c r="F491">
        <f>IFERROR(__xludf.DUMMYFUNCTION("""COMPUTED_VALUE"""),26.49)</f>
        <v>26.49</v>
      </c>
      <c r="G491">
        <f>IFERROR(__xludf.DUMMYFUNCTION("""COMPUTED_VALUE"""),0.68)</f>
        <v>0.68</v>
      </c>
    </row>
    <row r="492">
      <c r="A492">
        <f>IFERROR(__xludf.DUMMYFUNCTION("""COMPUTED_VALUE"""),169176.0)</f>
        <v>169176</v>
      </c>
      <c r="B492" t="str">
        <f>IFERROR(__xludf.DUMMYFUNCTION("""COMPUTED_VALUE"""),"Pork Cured Ham Shank Bone-In Separable Lean Only Unheated")</f>
        <v>Pork Cured Ham Shank Bone-In Separable Lean Only Unheated</v>
      </c>
      <c r="C492" t="str">
        <f>IFERROR(__xludf.DUMMYFUNCTION("""COMPUTED_VALUE"""),"Meats")</f>
        <v>Meats</v>
      </c>
      <c r="D492">
        <f>IFERROR(__xludf.DUMMYFUNCTION("""COMPUTED_VALUE"""),125.0)</f>
        <v>125</v>
      </c>
      <c r="E492">
        <f>IFERROR(__xludf.DUMMYFUNCTION("""COMPUTED_VALUE"""),3.19)</f>
        <v>3.19</v>
      </c>
      <c r="F492">
        <f>IFERROR(__xludf.DUMMYFUNCTION("""COMPUTED_VALUE"""),23.79)</f>
        <v>23.79</v>
      </c>
      <c r="G492">
        <f>IFERROR(__xludf.DUMMYFUNCTION("""COMPUTED_VALUE"""),0.18)</f>
        <v>0.18</v>
      </c>
    </row>
    <row r="493">
      <c r="A493">
        <f>IFERROR(__xludf.DUMMYFUNCTION("""COMPUTED_VALUE"""),169177.0)</f>
        <v>169177</v>
      </c>
      <c r="B493" t="str">
        <f>IFERROR(__xludf.DUMMYFUNCTION("""COMPUTED_VALUE"""),"Pork Cured Ham Slice Bone-In Separable Lean And Fat Unheated")</f>
        <v>Pork Cured Ham Slice Bone-In Separable Lean And Fat Unheated</v>
      </c>
      <c r="C493" t="str">
        <f>IFERROR(__xludf.DUMMYFUNCTION("""COMPUTED_VALUE"""),"Meats")</f>
        <v>Meats</v>
      </c>
      <c r="D493">
        <f>IFERROR(__xludf.DUMMYFUNCTION("""COMPUTED_VALUE"""),173.0)</f>
        <v>173</v>
      </c>
      <c r="E493">
        <f>IFERROR(__xludf.DUMMYFUNCTION("""COMPUTED_VALUE"""),9.17)</f>
        <v>9.17</v>
      </c>
      <c r="F493">
        <f>IFERROR(__xludf.DUMMYFUNCTION("""COMPUTED_VALUE"""),22.45)</f>
        <v>22.45</v>
      </c>
      <c r="G493">
        <f>IFERROR(__xludf.DUMMYFUNCTION("""COMPUTED_VALUE"""),0.21)</f>
        <v>0.21</v>
      </c>
    </row>
    <row r="494">
      <c r="A494">
        <f>IFERROR(__xludf.DUMMYFUNCTION("""COMPUTED_VALUE"""),169178.0)</f>
        <v>169178</v>
      </c>
      <c r="B494" t="str">
        <f>IFERROR(__xludf.DUMMYFUNCTION("""COMPUTED_VALUE"""),"Pork Fresh Spareribs Separable Lean And Fat Cooked Roasted")</f>
        <v>Pork Fresh Spareribs Separable Lean And Fat Cooked Roasted</v>
      </c>
      <c r="C494" t="str">
        <f>IFERROR(__xludf.DUMMYFUNCTION("""COMPUTED_VALUE"""),"Meats")</f>
        <v>Meats</v>
      </c>
      <c r="D494">
        <f>IFERROR(__xludf.DUMMYFUNCTION("""COMPUTED_VALUE"""),361.0)</f>
        <v>361</v>
      </c>
      <c r="E494">
        <f>IFERROR(__xludf.DUMMYFUNCTION("""COMPUTED_VALUE"""),30.86)</f>
        <v>30.86</v>
      </c>
      <c r="F494">
        <f>IFERROR(__xludf.DUMMYFUNCTION("""COMPUTED_VALUE"""),20.89)</f>
        <v>20.89</v>
      </c>
      <c r="G494">
        <f>IFERROR(__xludf.DUMMYFUNCTION("""COMPUTED_VALUE"""),0.0)</f>
        <v>0</v>
      </c>
    </row>
    <row r="495">
      <c r="A495">
        <f>IFERROR(__xludf.DUMMYFUNCTION("""COMPUTED_VALUE"""),169179.0)</f>
        <v>169179</v>
      </c>
      <c r="B495" t="str">
        <f>IFERROR(__xludf.DUMMYFUNCTION("""COMPUTED_VALUE"""),"Pork Fresh Composite Of Separable Fat With Added Solution Raw")</f>
        <v>Pork Fresh Composite Of Separable Fat With Added Solution Raw</v>
      </c>
      <c r="C495" t="str">
        <f>IFERROR(__xludf.DUMMYFUNCTION("""COMPUTED_VALUE"""),"Meats")</f>
        <v>Meats</v>
      </c>
      <c r="D495">
        <f>IFERROR(__xludf.DUMMYFUNCTION("""COMPUTED_VALUE"""),508.0)</f>
        <v>508</v>
      </c>
      <c r="E495">
        <f>IFERROR(__xludf.DUMMYFUNCTION("""COMPUTED_VALUE"""),52.33)</f>
        <v>52.33</v>
      </c>
      <c r="F495">
        <f>IFERROR(__xludf.DUMMYFUNCTION("""COMPUTED_VALUE"""),9.27)</f>
        <v>9.27</v>
      </c>
      <c r="G495">
        <f>IFERROR(__xludf.DUMMYFUNCTION("""COMPUTED_VALUE"""),0.0)</f>
        <v>0</v>
      </c>
    </row>
    <row r="496">
      <c r="A496">
        <f>IFERROR(__xludf.DUMMYFUNCTION("""COMPUTED_VALUE"""),169180.0)</f>
        <v>169180</v>
      </c>
      <c r="B496" t="str">
        <f>IFERROR(__xludf.DUMMYFUNCTION("""COMPUTED_VALUE"""),"Pork Fresh Loin Tenderloin Separable Lean Only With Added Solution Cooked Roasted")</f>
        <v>Pork Fresh Loin Tenderloin Separable Lean Only With Added Solution Cooked Roasted</v>
      </c>
      <c r="C496" t="str">
        <f>IFERROR(__xludf.DUMMYFUNCTION("""COMPUTED_VALUE"""),"Meats")</f>
        <v>Meats</v>
      </c>
      <c r="D496">
        <f>IFERROR(__xludf.DUMMYFUNCTION("""COMPUTED_VALUE"""),116.0)</f>
        <v>116</v>
      </c>
      <c r="E496">
        <f>IFERROR(__xludf.DUMMYFUNCTION("""COMPUTED_VALUE"""),3.15)</f>
        <v>3.15</v>
      </c>
      <c r="F496">
        <f>IFERROR(__xludf.DUMMYFUNCTION("""COMPUTED_VALUE"""),21.61)</f>
        <v>21.61</v>
      </c>
      <c r="G496">
        <f>IFERROR(__xludf.DUMMYFUNCTION("""COMPUTED_VALUE"""),0.31)</f>
        <v>0.31</v>
      </c>
    </row>
    <row r="497">
      <c r="A497">
        <f>IFERROR(__xludf.DUMMYFUNCTION("""COMPUTED_VALUE"""),169181.0)</f>
        <v>169181</v>
      </c>
      <c r="B497" t="str">
        <f>IFERROR(__xludf.DUMMYFUNCTION("""COMPUTED_VALUE"""),"Pork Fresh Loin Top Loin (Chops) Boneless Separable Lean Only With Added Solution Raw")</f>
        <v>Pork Fresh Loin Top Loin (Chops) Boneless Separable Lean Only With Added Solution Raw</v>
      </c>
      <c r="C497" t="str">
        <f>IFERROR(__xludf.DUMMYFUNCTION("""COMPUTED_VALUE"""),"Meats")</f>
        <v>Meats</v>
      </c>
      <c r="D497">
        <f>IFERROR(__xludf.DUMMYFUNCTION("""COMPUTED_VALUE"""),117.0)</f>
        <v>117</v>
      </c>
      <c r="E497">
        <f>IFERROR(__xludf.DUMMYFUNCTION("""COMPUTED_VALUE"""),3.48)</f>
        <v>3.48</v>
      </c>
      <c r="F497">
        <f>IFERROR(__xludf.DUMMYFUNCTION("""COMPUTED_VALUE"""),21.09)</f>
        <v>21.09</v>
      </c>
      <c r="G497">
        <f>IFERROR(__xludf.DUMMYFUNCTION("""COMPUTED_VALUE"""),0.22)</f>
        <v>0.22</v>
      </c>
    </row>
    <row r="498">
      <c r="A498">
        <f>IFERROR(__xludf.DUMMYFUNCTION("""COMPUTED_VALUE"""),169182.0)</f>
        <v>169182</v>
      </c>
      <c r="B498" t="str">
        <f>IFERROR(__xludf.DUMMYFUNCTION("""COMPUTED_VALUE"""),"Pork Fresh Loin Top Loin (Chops) Boneless Separable Lean And Fat With Added Solution Raw")</f>
        <v>Pork Fresh Loin Top Loin (Chops) Boneless Separable Lean And Fat With Added Solution Raw</v>
      </c>
      <c r="C498" t="str">
        <f>IFERROR(__xludf.DUMMYFUNCTION("""COMPUTED_VALUE"""),"Meats")</f>
        <v>Meats</v>
      </c>
      <c r="D498">
        <f>IFERROR(__xludf.DUMMYFUNCTION("""COMPUTED_VALUE"""),171.0)</f>
        <v>171</v>
      </c>
      <c r="E498">
        <f>IFERROR(__xludf.DUMMYFUNCTION("""COMPUTED_VALUE"""),10.26)</f>
        <v>10.26</v>
      </c>
      <c r="F498">
        <f>IFERROR(__xludf.DUMMYFUNCTION("""COMPUTED_VALUE"""),19.45)</f>
        <v>19.45</v>
      </c>
      <c r="G498">
        <f>IFERROR(__xludf.DUMMYFUNCTION("""COMPUTED_VALUE"""),0.0)</f>
        <v>0</v>
      </c>
    </row>
    <row r="499">
      <c r="A499">
        <f>IFERROR(__xludf.DUMMYFUNCTION("""COMPUTED_VALUE"""),169183.0)</f>
        <v>169183</v>
      </c>
      <c r="B499" t="str">
        <f>IFERROR(__xludf.DUMMYFUNCTION("""COMPUTED_VALUE"""),"Pork Fresh Loin Top Loin (Chops) Boneless Separable Lean And Fat With Added Solution Cooked Broiled")</f>
        <v>Pork Fresh Loin Top Loin (Chops) Boneless Separable Lean And Fat With Added Solution Cooked Broiled</v>
      </c>
      <c r="C499" t="str">
        <f>IFERROR(__xludf.DUMMYFUNCTION("""COMPUTED_VALUE"""),"Meats")</f>
        <v>Meats</v>
      </c>
      <c r="D499">
        <f>IFERROR(__xludf.DUMMYFUNCTION("""COMPUTED_VALUE"""),198.0)</f>
        <v>198</v>
      </c>
      <c r="E499">
        <f>IFERROR(__xludf.DUMMYFUNCTION("""COMPUTED_VALUE"""),9.42)</f>
        <v>9.42</v>
      </c>
      <c r="F499">
        <f>IFERROR(__xludf.DUMMYFUNCTION("""COMPUTED_VALUE"""),28.33)</f>
        <v>28.33</v>
      </c>
      <c r="G499">
        <f>IFERROR(__xludf.DUMMYFUNCTION("""COMPUTED_VALUE"""),0.02)</f>
        <v>0.02</v>
      </c>
    </row>
    <row r="500">
      <c r="A500">
        <f>IFERROR(__xludf.DUMMYFUNCTION("""COMPUTED_VALUE"""),169184.0)</f>
        <v>169184</v>
      </c>
      <c r="B500" t="str">
        <f>IFERROR(__xludf.DUMMYFUNCTION("""COMPUTED_VALUE"""),"Pork Fresh Loin Tenderloin Separable Lean And Fat With Added Solution Raw")</f>
        <v>Pork Fresh Loin Tenderloin Separable Lean And Fat With Added Solution Raw</v>
      </c>
      <c r="C500" t="str">
        <f>IFERROR(__xludf.DUMMYFUNCTION("""COMPUTED_VALUE"""),"Meats")</f>
        <v>Meats</v>
      </c>
      <c r="D500">
        <f>IFERROR(__xludf.DUMMYFUNCTION("""COMPUTED_VALUE"""),114.0)</f>
        <v>114</v>
      </c>
      <c r="E500">
        <f>IFERROR(__xludf.DUMMYFUNCTION("""COMPUTED_VALUE"""),3.14)</f>
        <v>3.14</v>
      </c>
      <c r="F500">
        <f>IFERROR(__xludf.DUMMYFUNCTION("""COMPUTED_VALUE"""),20.16)</f>
        <v>20.16</v>
      </c>
      <c r="G500">
        <f>IFERROR(__xludf.DUMMYFUNCTION("""COMPUTED_VALUE"""),0.0)</f>
        <v>0</v>
      </c>
    </row>
    <row r="501">
      <c r="A501">
        <f>IFERROR(__xludf.DUMMYFUNCTION("""COMPUTED_VALUE"""),169185.0)</f>
        <v>169185</v>
      </c>
      <c r="B501" t="str">
        <f>IFERROR(__xludf.DUMMYFUNCTION("""COMPUTED_VALUE"""),"Pork Fresh Loin Tenderloin Separable Lean And Fat With Added Solution Cooked Roasted")</f>
        <v>Pork Fresh Loin Tenderloin Separable Lean And Fat With Added Solution Cooked Roasted</v>
      </c>
      <c r="C501" t="str">
        <f>IFERROR(__xludf.DUMMYFUNCTION("""COMPUTED_VALUE"""),"Meats")</f>
        <v>Meats</v>
      </c>
      <c r="D501">
        <f>IFERROR(__xludf.DUMMYFUNCTION("""COMPUTED_VALUE"""),121.0)</f>
        <v>121</v>
      </c>
      <c r="E501">
        <f>IFERROR(__xludf.DUMMYFUNCTION("""COMPUTED_VALUE"""),3.7)</f>
        <v>3.7</v>
      </c>
      <c r="F501">
        <f>IFERROR(__xludf.DUMMYFUNCTION("""COMPUTED_VALUE"""),21.5)</f>
        <v>21.5</v>
      </c>
      <c r="G501">
        <f>IFERROR(__xludf.DUMMYFUNCTION("""COMPUTED_VALUE"""),0.31)</f>
        <v>0.31</v>
      </c>
    </row>
    <row r="502">
      <c r="A502">
        <f>IFERROR(__xludf.DUMMYFUNCTION("""COMPUTED_VALUE"""),169186.0)</f>
        <v>169186</v>
      </c>
      <c r="B502" t="str">
        <f>IFERROR(__xludf.DUMMYFUNCTION("""COMPUTED_VALUE"""),"Pork Leg Cap Steak Boneless Separable Lean And Fat Raw")</f>
        <v>Pork Leg Cap Steak Boneless Separable Lean And Fat Raw</v>
      </c>
      <c r="C502" t="str">
        <f>IFERROR(__xludf.DUMMYFUNCTION("""COMPUTED_VALUE"""),"Meats")</f>
        <v>Meats</v>
      </c>
      <c r="D502">
        <f>IFERROR(__xludf.DUMMYFUNCTION("""COMPUTED_VALUE"""),123.0)</f>
        <v>123</v>
      </c>
      <c r="E502">
        <f>IFERROR(__xludf.DUMMYFUNCTION("""COMPUTED_VALUE"""),3.39)</f>
        <v>3.39</v>
      </c>
      <c r="F502">
        <f>IFERROR(__xludf.DUMMYFUNCTION("""COMPUTED_VALUE"""),21.64)</f>
        <v>21.64</v>
      </c>
      <c r="G502">
        <f>IFERROR(__xludf.DUMMYFUNCTION("""COMPUTED_VALUE"""),0.0)</f>
        <v>0</v>
      </c>
    </row>
    <row r="503">
      <c r="A503">
        <f>IFERROR(__xludf.DUMMYFUNCTION("""COMPUTED_VALUE"""),169187.0)</f>
        <v>169187</v>
      </c>
      <c r="B503" t="str">
        <f>IFERROR(__xludf.DUMMYFUNCTION("""COMPUTED_VALUE"""),"Pork Shoulder Breast Boneless Separable Lean And Fat Raw")</f>
        <v>Pork Shoulder Breast Boneless Separable Lean And Fat Raw</v>
      </c>
      <c r="C503" t="str">
        <f>IFERROR(__xludf.DUMMYFUNCTION("""COMPUTED_VALUE"""),"Meats")</f>
        <v>Meats</v>
      </c>
      <c r="D503">
        <f>IFERROR(__xludf.DUMMYFUNCTION("""COMPUTED_VALUE"""),127.0)</f>
        <v>127</v>
      </c>
      <c r="E503">
        <f>IFERROR(__xludf.DUMMYFUNCTION("""COMPUTED_VALUE"""),3.4)</f>
        <v>3.4</v>
      </c>
      <c r="F503">
        <f>IFERROR(__xludf.DUMMYFUNCTION("""COMPUTED_VALUE"""),22.54)</f>
        <v>22.54</v>
      </c>
      <c r="G503">
        <f>IFERROR(__xludf.DUMMYFUNCTION("""COMPUTED_VALUE"""),0.0)</f>
        <v>0</v>
      </c>
    </row>
    <row r="504">
      <c r="A504">
        <f>IFERROR(__xludf.DUMMYFUNCTION("""COMPUTED_VALUE"""),169188.0)</f>
        <v>169188</v>
      </c>
      <c r="B504" t="str">
        <f>IFERROR(__xludf.DUMMYFUNCTION("""COMPUTED_VALUE"""),"Pork Shoulder Breast Boneless Separable Lean And Fat Cooked Broiled")</f>
        <v>Pork Shoulder Breast Boneless Separable Lean And Fat Cooked Broiled</v>
      </c>
      <c r="C504" t="str">
        <f>IFERROR(__xludf.DUMMYFUNCTION("""COMPUTED_VALUE"""),"Meats")</f>
        <v>Meats</v>
      </c>
      <c r="D504">
        <f>IFERROR(__xludf.DUMMYFUNCTION("""COMPUTED_VALUE"""),162.0)</f>
        <v>162</v>
      </c>
      <c r="E504">
        <f>IFERROR(__xludf.DUMMYFUNCTION("""COMPUTED_VALUE"""),4.49)</f>
        <v>4.49</v>
      </c>
      <c r="F504">
        <f>IFERROR(__xludf.DUMMYFUNCTION("""COMPUTED_VALUE"""),28.47)</f>
        <v>28.47</v>
      </c>
      <c r="G504">
        <f>IFERROR(__xludf.DUMMYFUNCTION("""COMPUTED_VALUE"""),0.0)</f>
        <v>0</v>
      </c>
    </row>
    <row r="505">
      <c r="A505">
        <f>IFERROR(__xludf.DUMMYFUNCTION("""COMPUTED_VALUE"""),169189.0)</f>
        <v>169189</v>
      </c>
      <c r="B505" t="str">
        <f>IFERROR(__xludf.DUMMYFUNCTION("""COMPUTED_VALUE"""),"Pork Shoulder Petite Tender Boneless Separable Lean And Fat Cooked Broiled")</f>
        <v>Pork Shoulder Petite Tender Boneless Separable Lean And Fat Cooked Broiled</v>
      </c>
      <c r="C505" t="str">
        <f>IFERROR(__xludf.DUMMYFUNCTION("""COMPUTED_VALUE"""),"Meats")</f>
        <v>Meats</v>
      </c>
      <c r="D505">
        <f>IFERROR(__xludf.DUMMYFUNCTION("""COMPUTED_VALUE"""),155.0)</f>
        <v>155</v>
      </c>
      <c r="E505">
        <f>IFERROR(__xludf.DUMMYFUNCTION("""COMPUTED_VALUE"""),4.23)</f>
        <v>4.23</v>
      </c>
      <c r="F505">
        <f>IFERROR(__xludf.DUMMYFUNCTION("""COMPUTED_VALUE"""),27.47)</f>
        <v>27.47</v>
      </c>
      <c r="G505">
        <f>IFERROR(__xludf.DUMMYFUNCTION("""COMPUTED_VALUE"""),0.0)</f>
        <v>0</v>
      </c>
    </row>
    <row r="506">
      <c r="A506">
        <f>IFERROR(__xludf.DUMMYFUNCTION("""COMPUTED_VALUE"""),169190.0)</f>
        <v>169190</v>
      </c>
      <c r="B506" t="str">
        <f>IFERROR(__xludf.DUMMYFUNCTION("""COMPUTED_VALUE"""),"Pork Ground 96% Lean / 4% Fat Raw")</f>
        <v>Pork Ground 96% Lean / 4% Fat Raw</v>
      </c>
      <c r="C506" t="str">
        <f>IFERROR(__xludf.DUMMYFUNCTION("""COMPUTED_VALUE"""),"Meats")</f>
        <v>Meats</v>
      </c>
      <c r="D506">
        <f>IFERROR(__xludf.DUMMYFUNCTION("""COMPUTED_VALUE"""),121.0)</f>
        <v>121</v>
      </c>
      <c r="E506">
        <f>IFERROR(__xludf.DUMMYFUNCTION("""COMPUTED_VALUE"""),4.0)</f>
        <v>4</v>
      </c>
      <c r="F506">
        <f>IFERROR(__xludf.DUMMYFUNCTION("""COMPUTED_VALUE"""),21.1)</f>
        <v>21.1</v>
      </c>
      <c r="G506">
        <f>IFERROR(__xludf.DUMMYFUNCTION("""COMPUTED_VALUE"""),0.21)</f>
        <v>0.21</v>
      </c>
    </row>
    <row r="507">
      <c r="A507">
        <f>IFERROR(__xludf.DUMMYFUNCTION("""COMPUTED_VALUE"""),169191.0)</f>
        <v>169191</v>
      </c>
      <c r="B507" t="str">
        <f>IFERROR(__xludf.DUMMYFUNCTION("""COMPUTED_VALUE"""),"Pork Ground 72% Lean / 28% Fat Cooked Crumbles")</f>
        <v>Pork Ground 72% Lean / 28% Fat Cooked Crumbles</v>
      </c>
      <c r="C507" t="str">
        <f>IFERROR(__xludf.DUMMYFUNCTION("""COMPUTED_VALUE"""),"Meats")</f>
        <v>Meats</v>
      </c>
      <c r="D507">
        <f>IFERROR(__xludf.DUMMYFUNCTION("""COMPUTED_VALUE"""),393.0)</f>
        <v>393</v>
      </c>
      <c r="E507">
        <f>IFERROR(__xludf.DUMMYFUNCTION("""COMPUTED_VALUE"""),32.93)</f>
        <v>32.93</v>
      </c>
      <c r="F507">
        <f>IFERROR(__xludf.DUMMYFUNCTION("""COMPUTED_VALUE"""),22.83)</f>
        <v>22.83</v>
      </c>
      <c r="G507">
        <f>IFERROR(__xludf.DUMMYFUNCTION("""COMPUTED_VALUE"""),1.39)</f>
        <v>1.39</v>
      </c>
    </row>
    <row r="508">
      <c r="A508">
        <f>IFERROR(__xludf.DUMMYFUNCTION("""COMPUTED_VALUE"""),169192.0)</f>
        <v>169192</v>
      </c>
      <c r="B508" t="str">
        <f>IFERROR(__xludf.DUMMYFUNCTION("""COMPUTED_VALUE"""),"Pork Ground 84% Lean / 16% Fat Cooked Crumbles")</f>
        <v>Pork Ground 84% Lean / 16% Fat Cooked Crumbles</v>
      </c>
      <c r="C508" t="str">
        <f>IFERROR(__xludf.DUMMYFUNCTION("""COMPUTED_VALUE"""),"Meats")</f>
        <v>Meats</v>
      </c>
      <c r="D508">
        <f>IFERROR(__xludf.DUMMYFUNCTION("""COMPUTED_VALUE"""),289.0)</f>
        <v>289</v>
      </c>
      <c r="E508">
        <f>IFERROR(__xludf.DUMMYFUNCTION("""COMPUTED_VALUE"""),20.04)</f>
        <v>20.04</v>
      </c>
      <c r="F508">
        <f>IFERROR(__xludf.DUMMYFUNCTION("""COMPUTED_VALUE"""),26.69)</f>
        <v>26.69</v>
      </c>
      <c r="G508">
        <f>IFERROR(__xludf.DUMMYFUNCTION("""COMPUTED_VALUE"""),0.58)</f>
        <v>0.58</v>
      </c>
    </row>
    <row r="509">
      <c r="A509">
        <f>IFERROR(__xludf.DUMMYFUNCTION("""COMPUTED_VALUE"""),169193.0)</f>
        <v>169193</v>
      </c>
      <c r="B509" t="str">
        <f>IFERROR(__xludf.DUMMYFUNCTION("""COMPUTED_VALUE"""),"Pork Ground 96% Lean / 4% Fat Cooked Crumbles")</f>
        <v>Pork Ground 96% Lean / 4% Fat Cooked Crumbles</v>
      </c>
      <c r="C509" t="str">
        <f>IFERROR(__xludf.DUMMYFUNCTION("""COMPUTED_VALUE"""),"Meats")</f>
        <v>Meats</v>
      </c>
      <c r="D509">
        <f>IFERROR(__xludf.DUMMYFUNCTION("""COMPUTED_VALUE"""),187.0)</f>
        <v>187</v>
      </c>
      <c r="E509">
        <f>IFERROR(__xludf.DUMMYFUNCTION("""COMPUTED_VALUE"""),7.15)</f>
        <v>7.15</v>
      </c>
      <c r="F509">
        <f>IFERROR(__xludf.DUMMYFUNCTION("""COMPUTED_VALUE"""),30.55)</f>
        <v>30.55</v>
      </c>
      <c r="G509">
        <f>IFERROR(__xludf.DUMMYFUNCTION("""COMPUTED_VALUE"""),0.0)</f>
        <v>0</v>
      </c>
    </row>
    <row r="510">
      <c r="A510">
        <f>IFERROR(__xludf.DUMMYFUNCTION("""COMPUTED_VALUE"""),169194.0)</f>
        <v>169194</v>
      </c>
      <c r="B510" t="str">
        <f>IFERROR(__xludf.DUMMYFUNCTION("""COMPUTED_VALUE"""),"Pork Fresh Loin Blade (Chops Or Roasts) Boneless Separable Lean Only Raw")</f>
        <v>Pork Fresh Loin Blade (Chops Or Roasts) Boneless Separable Lean Only Raw</v>
      </c>
      <c r="C510" t="str">
        <f>IFERROR(__xludf.DUMMYFUNCTION("""COMPUTED_VALUE"""),"Meats")</f>
        <v>Meats</v>
      </c>
      <c r="D510">
        <f>IFERROR(__xludf.DUMMYFUNCTION("""COMPUTED_VALUE"""),123.0)</f>
        <v>123</v>
      </c>
      <c r="E510">
        <f>IFERROR(__xludf.DUMMYFUNCTION("""COMPUTED_VALUE"""),3.78)</f>
        <v>3.78</v>
      </c>
      <c r="F510">
        <f>IFERROR(__xludf.DUMMYFUNCTION("""COMPUTED_VALUE"""),21.35)</f>
        <v>21.35</v>
      </c>
      <c r="G510">
        <f>IFERROR(__xludf.DUMMYFUNCTION("""COMPUTED_VALUE"""),0.82)</f>
        <v>0.82</v>
      </c>
    </row>
    <row r="511">
      <c r="A511">
        <f>IFERROR(__xludf.DUMMYFUNCTION("""COMPUTED_VALUE"""),169195.0)</f>
        <v>169195</v>
      </c>
      <c r="B511" t="str">
        <f>IFERROR(__xludf.DUMMYFUNCTION("""COMPUTED_VALUE"""),"Pork Fresh Loin Blade (Roasts) Boneless Separable Lean Only Cooked Roasted")</f>
        <v>Pork Fresh Loin Blade (Roasts) Boneless Separable Lean Only Cooked Roasted</v>
      </c>
      <c r="C511" t="str">
        <f>IFERROR(__xludf.DUMMYFUNCTION("""COMPUTED_VALUE"""),"Meats")</f>
        <v>Meats</v>
      </c>
      <c r="D511">
        <f>IFERROR(__xludf.DUMMYFUNCTION("""COMPUTED_VALUE"""),175.0)</f>
        <v>175</v>
      </c>
      <c r="E511">
        <f>IFERROR(__xludf.DUMMYFUNCTION("""COMPUTED_VALUE"""),7.14)</f>
        <v>7.14</v>
      </c>
      <c r="F511">
        <f>IFERROR(__xludf.DUMMYFUNCTION("""COMPUTED_VALUE"""),27.58)</f>
        <v>27.58</v>
      </c>
      <c r="G511">
        <f>IFERROR(__xludf.DUMMYFUNCTION("""COMPUTED_VALUE"""),0.0)</f>
        <v>0</v>
      </c>
    </row>
    <row r="512">
      <c r="A512">
        <f>IFERROR(__xludf.DUMMYFUNCTION("""COMPUTED_VALUE"""),169196.0)</f>
        <v>169196</v>
      </c>
      <c r="B512" t="str">
        <f>IFERROR(__xludf.DUMMYFUNCTION("""COMPUTED_VALUE"""),"Pork Fresh Loin Blade (Chops) Boneless Separable Lean Only Boneless Cooked Broiled")</f>
        <v>Pork Fresh Loin Blade (Chops) Boneless Separable Lean Only Boneless Cooked Broiled</v>
      </c>
      <c r="C512" t="str">
        <f>IFERROR(__xludf.DUMMYFUNCTION("""COMPUTED_VALUE"""),"Meats")</f>
        <v>Meats</v>
      </c>
      <c r="D512">
        <f>IFERROR(__xludf.DUMMYFUNCTION("""COMPUTED_VALUE"""),169.0)</f>
        <v>169</v>
      </c>
      <c r="E512">
        <f>IFERROR(__xludf.DUMMYFUNCTION("""COMPUTED_VALUE"""),6.74)</f>
        <v>6.74</v>
      </c>
      <c r="F512">
        <f>IFERROR(__xludf.DUMMYFUNCTION("""COMPUTED_VALUE"""),26.14)</f>
        <v>26.14</v>
      </c>
      <c r="G512">
        <f>IFERROR(__xludf.DUMMYFUNCTION("""COMPUTED_VALUE"""),0.89)</f>
        <v>0.89</v>
      </c>
    </row>
    <row r="513">
      <c r="A513">
        <f>IFERROR(__xludf.DUMMYFUNCTION("""COMPUTED_VALUE"""),169197.0)</f>
        <v>169197</v>
      </c>
      <c r="B513" t="str">
        <f>IFERROR(__xludf.DUMMYFUNCTION("""COMPUTED_VALUE"""),"Pork Fresh Loin Country-Style Ribs Separable Lean Only Boneless Cooked Broiled")</f>
        <v>Pork Fresh Loin Country-Style Ribs Separable Lean Only Boneless Cooked Broiled</v>
      </c>
      <c r="C513" t="str">
        <f>IFERROR(__xludf.DUMMYFUNCTION("""COMPUTED_VALUE"""),"Meats")</f>
        <v>Meats</v>
      </c>
      <c r="D513">
        <f>IFERROR(__xludf.DUMMYFUNCTION("""COMPUTED_VALUE"""),216.0)</f>
        <v>216</v>
      </c>
      <c r="E513">
        <f>IFERROR(__xludf.DUMMYFUNCTION("""COMPUTED_VALUE"""),11.65)</f>
        <v>11.65</v>
      </c>
      <c r="F513">
        <f>IFERROR(__xludf.DUMMYFUNCTION("""COMPUTED_VALUE"""),27.83)</f>
        <v>27.83</v>
      </c>
      <c r="G513">
        <f>IFERROR(__xludf.DUMMYFUNCTION("""COMPUTED_VALUE"""),0.0)</f>
        <v>0</v>
      </c>
    </row>
    <row r="514">
      <c r="A514">
        <f>IFERROR(__xludf.DUMMYFUNCTION("""COMPUTED_VALUE"""),169198.0)</f>
        <v>169198</v>
      </c>
      <c r="B514" t="str">
        <f>IFERROR(__xludf.DUMMYFUNCTION("""COMPUTED_VALUE"""),"Pork Fresh Loin Blade (Roasts) Boneless Separable Lean And Fat Cooked Roasted")</f>
        <v>Pork Fresh Loin Blade (Roasts) Boneless Separable Lean And Fat Cooked Roasted</v>
      </c>
      <c r="C514" t="str">
        <f>IFERROR(__xludf.DUMMYFUNCTION("""COMPUTED_VALUE"""),"Meats")</f>
        <v>Meats</v>
      </c>
      <c r="D514">
        <f>IFERROR(__xludf.DUMMYFUNCTION("""COMPUTED_VALUE"""),199.0)</f>
        <v>199</v>
      </c>
      <c r="E514">
        <f>IFERROR(__xludf.DUMMYFUNCTION("""COMPUTED_VALUE"""),10.32)</f>
        <v>10.32</v>
      </c>
      <c r="F514">
        <f>IFERROR(__xludf.DUMMYFUNCTION("""COMPUTED_VALUE"""),26.48)</f>
        <v>26.48</v>
      </c>
      <c r="G514">
        <f>IFERROR(__xludf.DUMMYFUNCTION("""COMPUTED_VALUE"""),0.0)</f>
        <v>0</v>
      </c>
    </row>
    <row r="515">
      <c r="A515">
        <f>IFERROR(__xludf.DUMMYFUNCTION("""COMPUTED_VALUE"""),169199.0)</f>
        <v>169199</v>
      </c>
      <c r="B515" t="str">
        <f>IFERROR(__xludf.DUMMYFUNCTION("""COMPUTED_VALUE"""),"Pork Fresh Loin Country-Style Ribs Separable Lean And Fat Boneless Cooked Broiled")</f>
        <v>Pork Fresh Loin Country-Style Ribs Separable Lean And Fat Boneless Cooked Broiled</v>
      </c>
      <c r="C515" t="str">
        <f>IFERROR(__xludf.DUMMYFUNCTION("""COMPUTED_VALUE"""),"Meats")</f>
        <v>Meats</v>
      </c>
      <c r="D515">
        <f>IFERROR(__xludf.DUMMYFUNCTION("""COMPUTED_VALUE"""),247.0)</f>
        <v>247</v>
      </c>
      <c r="E515">
        <f>IFERROR(__xludf.DUMMYFUNCTION("""COMPUTED_VALUE"""),15.73)</f>
        <v>15.73</v>
      </c>
      <c r="F515">
        <f>IFERROR(__xludf.DUMMYFUNCTION("""COMPUTED_VALUE"""),26.28)</f>
        <v>26.28</v>
      </c>
      <c r="G515">
        <f>IFERROR(__xludf.DUMMYFUNCTION("""COMPUTED_VALUE"""),0.0)</f>
        <v>0</v>
      </c>
    </row>
    <row r="516">
      <c r="A516">
        <f>IFERROR(__xludf.DUMMYFUNCTION("""COMPUTED_VALUE"""),169200.0)</f>
        <v>169200</v>
      </c>
      <c r="B516" t="str">
        <f>IFERROR(__xludf.DUMMYFUNCTION("""COMPUTED_VALUE"""),"Pork Fresh Loin Country-Style Ribs Separable Lean And Fat Bone-In Cooked Broiled")</f>
        <v>Pork Fresh Loin Country-Style Ribs Separable Lean And Fat Bone-In Cooked Broiled</v>
      </c>
      <c r="C516" t="str">
        <f>IFERROR(__xludf.DUMMYFUNCTION("""COMPUTED_VALUE"""),"Meats")</f>
        <v>Meats</v>
      </c>
      <c r="D516">
        <f>IFERROR(__xludf.DUMMYFUNCTION("""COMPUTED_VALUE"""),260.0)</f>
        <v>260</v>
      </c>
      <c r="E516">
        <f>IFERROR(__xludf.DUMMYFUNCTION("""COMPUTED_VALUE"""),17.56)</f>
        <v>17.56</v>
      </c>
      <c r="F516">
        <f>IFERROR(__xludf.DUMMYFUNCTION("""COMPUTED_VALUE"""),25.58)</f>
        <v>25.58</v>
      </c>
      <c r="G516">
        <f>IFERROR(__xludf.DUMMYFUNCTION("""COMPUTED_VALUE"""),0.0)</f>
        <v>0</v>
      </c>
    </row>
    <row r="517">
      <c r="A517">
        <f>IFERROR(__xludf.DUMMYFUNCTION("""COMPUTED_VALUE"""),169201.0)</f>
        <v>169201</v>
      </c>
      <c r="B517" t="str">
        <f>IFERROR(__xludf.DUMMYFUNCTION("""COMPUTED_VALUE"""),"Pork Fresh Loin Country-Style Ribs Separable Lean And Fat Boneless Cooked Roasted")</f>
        <v>Pork Fresh Loin Country-Style Ribs Separable Lean And Fat Boneless Cooked Roasted</v>
      </c>
      <c r="C517" t="str">
        <f>IFERROR(__xludf.DUMMYFUNCTION("""COMPUTED_VALUE"""),"Meats")</f>
        <v>Meats</v>
      </c>
      <c r="D517">
        <f>IFERROR(__xludf.DUMMYFUNCTION("""COMPUTED_VALUE"""),270.0)</f>
        <v>270</v>
      </c>
      <c r="E517">
        <f>IFERROR(__xludf.DUMMYFUNCTION("""COMPUTED_VALUE"""),18.31)</f>
        <v>18.31</v>
      </c>
      <c r="F517">
        <f>IFERROR(__xludf.DUMMYFUNCTION("""COMPUTED_VALUE"""),26.4)</f>
        <v>26.4</v>
      </c>
      <c r="G517">
        <f>IFERROR(__xludf.DUMMYFUNCTION("""COMPUTED_VALUE"""),0.0)</f>
        <v>0</v>
      </c>
    </row>
    <row r="518">
      <c r="A518">
        <f>IFERROR(__xludf.DUMMYFUNCTION("""COMPUTED_VALUE"""),169429.0)</f>
        <v>169429</v>
      </c>
      <c r="B518" t="str">
        <f>IFERROR(__xludf.DUMMYFUNCTION("""COMPUTED_VALUE"""),"Lean Grass Fed Beef Strip Steak")</f>
        <v>Lean Grass Fed Beef Strip Steak</v>
      </c>
      <c r="C518" t="str">
        <f>IFERROR(__xludf.DUMMYFUNCTION("""COMPUTED_VALUE"""),"Meats")</f>
        <v>Meats</v>
      </c>
      <c r="D518">
        <f>IFERROR(__xludf.DUMMYFUNCTION("""COMPUTED_VALUE"""),117.0)</f>
        <v>117</v>
      </c>
      <c r="E518">
        <f>IFERROR(__xludf.DUMMYFUNCTION("""COMPUTED_VALUE"""),2.69)</f>
        <v>2.69</v>
      </c>
      <c r="F518">
        <f>IFERROR(__xludf.DUMMYFUNCTION("""COMPUTED_VALUE"""),23.07)</f>
        <v>23.07</v>
      </c>
      <c r="G518">
        <f>IFERROR(__xludf.DUMMYFUNCTION("""COMPUTED_VALUE"""),0.0)</f>
        <v>0</v>
      </c>
    </row>
    <row r="519">
      <c r="A519">
        <f>IFERROR(__xludf.DUMMYFUNCTION("""COMPUTED_VALUE"""),169430.0)</f>
        <v>169430</v>
      </c>
      <c r="B519" t="str">
        <f>IFERROR(__xludf.DUMMYFUNCTION("""COMPUTED_VALUE"""),"Beef Carcass Separable Lean And Fat Choice Raw")</f>
        <v>Beef Carcass Separable Lean And Fat Choice Raw</v>
      </c>
      <c r="C519" t="str">
        <f>IFERROR(__xludf.DUMMYFUNCTION("""COMPUTED_VALUE"""),"Meats")</f>
        <v>Meats</v>
      </c>
      <c r="D519">
        <f>IFERROR(__xludf.DUMMYFUNCTION("""COMPUTED_VALUE"""),291.0)</f>
        <v>291</v>
      </c>
      <c r="E519">
        <f>IFERROR(__xludf.DUMMYFUNCTION("""COMPUTED_VALUE"""),24.05)</f>
        <v>24.05</v>
      </c>
      <c r="F519">
        <f>IFERROR(__xludf.DUMMYFUNCTION("""COMPUTED_VALUE"""),17.32)</f>
        <v>17.32</v>
      </c>
      <c r="G519">
        <f>IFERROR(__xludf.DUMMYFUNCTION("""COMPUTED_VALUE"""),0.0)</f>
        <v>0</v>
      </c>
    </row>
    <row r="520">
      <c r="A520">
        <f>IFERROR(__xludf.DUMMYFUNCTION("""COMPUTED_VALUE"""),169431.0)</f>
        <v>169431</v>
      </c>
      <c r="B520" t="str">
        <f>IFERROR(__xludf.DUMMYFUNCTION("""COMPUTED_VALUE"""),"Beef Carcass Separable Lean And Fat Select Raw")</f>
        <v>Beef Carcass Separable Lean And Fat Select Raw</v>
      </c>
      <c r="C520" t="str">
        <f>IFERROR(__xludf.DUMMYFUNCTION("""COMPUTED_VALUE"""),"Meats")</f>
        <v>Meats</v>
      </c>
      <c r="D520">
        <f>IFERROR(__xludf.DUMMYFUNCTION("""COMPUTED_VALUE"""),278.0)</f>
        <v>278</v>
      </c>
      <c r="E520">
        <f>IFERROR(__xludf.DUMMYFUNCTION("""COMPUTED_VALUE"""),22.55)</f>
        <v>22.55</v>
      </c>
      <c r="F520">
        <f>IFERROR(__xludf.DUMMYFUNCTION("""COMPUTED_VALUE"""),17.48)</f>
        <v>17.48</v>
      </c>
      <c r="G520">
        <f>IFERROR(__xludf.DUMMYFUNCTION("""COMPUTED_VALUE"""),0.0)</f>
        <v>0</v>
      </c>
    </row>
    <row r="521">
      <c r="A521">
        <f>IFERROR(__xludf.DUMMYFUNCTION("""COMPUTED_VALUE"""),169432.0)</f>
        <v>169432</v>
      </c>
      <c r="B521" t="str">
        <f>IFERROR(__xludf.DUMMYFUNCTION("""COMPUTED_VALUE"""),"Beef Brisket Flat Half Separable Lean And Fat Trimmed To 1/8 Inch Fat Select Cooked Braised")</f>
        <v>Beef Brisket Flat Half Separable Lean And Fat Trimmed To 1/8 Inch Fat Select Cooked Braised</v>
      </c>
      <c r="C521" t="str">
        <f>IFERROR(__xludf.DUMMYFUNCTION("""COMPUTED_VALUE"""),"Meats")</f>
        <v>Meats</v>
      </c>
      <c r="D521">
        <f>IFERROR(__xludf.DUMMYFUNCTION("""COMPUTED_VALUE"""),280.0)</f>
        <v>280</v>
      </c>
      <c r="E521">
        <f>IFERROR(__xludf.DUMMYFUNCTION("""COMPUTED_VALUE"""),17.37)</f>
        <v>17.37</v>
      </c>
      <c r="F521">
        <f>IFERROR(__xludf.DUMMYFUNCTION("""COMPUTED_VALUE"""),28.97)</f>
        <v>28.97</v>
      </c>
      <c r="G521">
        <f>IFERROR(__xludf.DUMMYFUNCTION("""COMPUTED_VALUE"""),0.0)</f>
        <v>0</v>
      </c>
    </row>
    <row r="522">
      <c r="A522">
        <f>IFERROR(__xludf.DUMMYFUNCTION("""COMPUTED_VALUE"""),169433.0)</f>
        <v>169433</v>
      </c>
      <c r="B522" t="str">
        <f>IFERROR(__xludf.DUMMYFUNCTION("""COMPUTED_VALUE"""),"Beef Flank Steak Separable Lean And Fat Trimmed To 0 Inch Fat Choice Raw")</f>
        <v>Beef Flank Steak Separable Lean And Fat Trimmed To 0 Inch Fat Choice Raw</v>
      </c>
      <c r="C522" t="str">
        <f>IFERROR(__xludf.DUMMYFUNCTION("""COMPUTED_VALUE"""),"Meats")</f>
        <v>Meats</v>
      </c>
      <c r="D522">
        <f>IFERROR(__xludf.DUMMYFUNCTION("""COMPUTED_VALUE"""),165.0)</f>
        <v>165</v>
      </c>
      <c r="E522">
        <f>IFERROR(__xludf.DUMMYFUNCTION("""COMPUTED_VALUE"""),8.29)</f>
        <v>8.29</v>
      </c>
      <c r="F522">
        <f>IFERROR(__xludf.DUMMYFUNCTION("""COMPUTED_VALUE"""),21.22)</f>
        <v>21.22</v>
      </c>
      <c r="G522">
        <f>IFERROR(__xludf.DUMMYFUNCTION("""COMPUTED_VALUE"""),0.0)</f>
        <v>0</v>
      </c>
    </row>
    <row r="523">
      <c r="A523">
        <f>IFERROR(__xludf.DUMMYFUNCTION("""COMPUTED_VALUE"""),169434.0)</f>
        <v>169434</v>
      </c>
      <c r="B523" t="str">
        <f>IFERROR(__xludf.DUMMYFUNCTION("""COMPUTED_VALUE"""),"Beef Flank Steak Separable Lean And Fat Trimmed To 0 Inch Fat Choice Cooked Braised")</f>
        <v>Beef Flank Steak Separable Lean And Fat Trimmed To 0 Inch Fat Choice Cooked Braised</v>
      </c>
      <c r="C523" t="str">
        <f>IFERROR(__xludf.DUMMYFUNCTION("""COMPUTED_VALUE"""),"Meats")</f>
        <v>Meats</v>
      </c>
      <c r="D523">
        <f>IFERROR(__xludf.DUMMYFUNCTION("""COMPUTED_VALUE"""),263.0)</f>
        <v>263</v>
      </c>
      <c r="E523">
        <f>IFERROR(__xludf.DUMMYFUNCTION("""COMPUTED_VALUE"""),16.44)</f>
        <v>16.44</v>
      </c>
      <c r="F523">
        <f>IFERROR(__xludf.DUMMYFUNCTION("""COMPUTED_VALUE"""),26.98)</f>
        <v>26.98</v>
      </c>
      <c r="G523">
        <f>IFERROR(__xludf.DUMMYFUNCTION("""COMPUTED_VALUE"""),0.0)</f>
        <v>0</v>
      </c>
    </row>
    <row r="524">
      <c r="A524">
        <f>IFERROR(__xludf.DUMMYFUNCTION("""COMPUTED_VALUE"""),169435.0)</f>
        <v>169435</v>
      </c>
      <c r="B524" t="str">
        <f>IFERROR(__xludf.DUMMYFUNCTION("""COMPUTED_VALUE"""),"Beef Flank Steak Separable Lean And Fat Trimmed To 0 Inch Fat Choice Cooked Broiled")</f>
        <v>Beef Flank Steak Separable Lean And Fat Trimmed To 0 Inch Fat Choice Cooked Broiled</v>
      </c>
      <c r="C524" t="str">
        <f>IFERROR(__xludf.DUMMYFUNCTION("""COMPUTED_VALUE"""),"Meats")</f>
        <v>Meats</v>
      </c>
      <c r="D524">
        <f>IFERROR(__xludf.DUMMYFUNCTION("""COMPUTED_VALUE"""),202.0)</f>
        <v>202</v>
      </c>
      <c r="E524">
        <f>IFERROR(__xludf.DUMMYFUNCTION("""COMPUTED_VALUE"""),9.31)</f>
        <v>9.31</v>
      </c>
      <c r="F524">
        <f>IFERROR(__xludf.DUMMYFUNCTION("""COMPUTED_VALUE"""),27.55)</f>
        <v>27.55</v>
      </c>
      <c r="G524">
        <f>IFERROR(__xludf.DUMMYFUNCTION("""COMPUTED_VALUE"""),0.0)</f>
        <v>0</v>
      </c>
    </row>
    <row r="525">
      <c r="A525">
        <f>IFERROR(__xludf.DUMMYFUNCTION("""COMPUTED_VALUE"""),169436.0)</f>
        <v>169436</v>
      </c>
      <c r="B525" t="str">
        <f>IFERROR(__xludf.DUMMYFUNCTION("""COMPUTED_VALUE"""),"Beef Rib Eye Small End (Ribs 10-12) Separable Lean And Fat Trimmed To 0 Inch Fat Choice Cooked Broiled")</f>
        <v>Beef Rib Eye Small End (Ribs 10-12) Separable Lean And Fat Trimmed To 0 Inch Fat Choice Cooked Broiled</v>
      </c>
      <c r="C525" t="str">
        <f>IFERROR(__xludf.DUMMYFUNCTION("""COMPUTED_VALUE"""),"Meats")</f>
        <v>Meats</v>
      </c>
      <c r="D525">
        <f>IFERROR(__xludf.DUMMYFUNCTION("""COMPUTED_VALUE"""),265.0)</f>
        <v>265</v>
      </c>
      <c r="E525">
        <f>IFERROR(__xludf.DUMMYFUNCTION("""COMPUTED_VALUE"""),16.76)</f>
        <v>16.76</v>
      </c>
      <c r="F525">
        <f>IFERROR(__xludf.DUMMYFUNCTION("""COMPUTED_VALUE"""),26.58)</f>
        <v>26.58</v>
      </c>
      <c r="G525">
        <f>IFERROR(__xludf.DUMMYFUNCTION("""COMPUTED_VALUE"""),0.0)</f>
        <v>0</v>
      </c>
    </row>
    <row r="526">
      <c r="A526">
        <f>IFERROR(__xludf.DUMMYFUNCTION("""COMPUTED_VALUE"""),169437.0)</f>
        <v>169437</v>
      </c>
      <c r="B526" t="str">
        <f>IFERROR(__xludf.DUMMYFUNCTION("""COMPUTED_VALUE"""),"Beef Rib Eye Small End (Ribs 10-12) Separable Lean Only Trimmed To 0 Inch Fat Choice Raw")</f>
        <v>Beef Rib Eye Small End (Ribs 10-12) Separable Lean Only Trimmed To 0 Inch Fat Choice Raw</v>
      </c>
      <c r="C526" t="str">
        <f>IFERROR(__xludf.DUMMYFUNCTION("""COMPUTED_VALUE"""),"Meats")</f>
        <v>Meats</v>
      </c>
      <c r="D526">
        <f>IFERROR(__xludf.DUMMYFUNCTION("""COMPUTED_VALUE"""),161.0)</f>
        <v>161</v>
      </c>
      <c r="E526">
        <f>IFERROR(__xludf.DUMMYFUNCTION("""COMPUTED_VALUE"""),8.3)</f>
        <v>8.3</v>
      </c>
      <c r="F526">
        <f>IFERROR(__xludf.DUMMYFUNCTION("""COMPUTED_VALUE"""),20.13)</f>
        <v>20.13</v>
      </c>
      <c r="G526">
        <f>IFERROR(__xludf.DUMMYFUNCTION("""COMPUTED_VALUE"""),0.0)</f>
        <v>0</v>
      </c>
    </row>
    <row r="527">
      <c r="A527">
        <f>IFERROR(__xludf.DUMMYFUNCTION("""COMPUTED_VALUE"""),169438.0)</f>
        <v>169438</v>
      </c>
      <c r="B527" t="str">
        <f>IFERROR(__xludf.DUMMYFUNCTION("""COMPUTED_VALUE"""),"Beef Rib Eye Small End (Ribs 10-12) Separable Lean Only Trimmed To 0 Inch Fat Choice Cooked Broiled")</f>
        <v>Beef Rib Eye Small End (Ribs 10-12) Separable Lean Only Trimmed To 0 Inch Fat Choice Cooked Broiled</v>
      </c>
      <c r="C527" t="str">
        <f>IFERROR(__xludf.DUMMYFUNCTION("""COMPUTED_VALUE"""),"Meats")</f>
        <v>Meats</v>
      </c>
      <c r="D527">
        <f>IFERROR(__xludf.DUMMYFUNCTION("""COMPUTED_VALUE"""),205.0)</f>
        <v>205</v>
      </c>
      <c r="E527">
        <f>IFERROR(__xludf.DUMMYFUNCTION("""COMPUTED_VALUE"""),9.01)</f>
        <v>9.01</v>
      </c>
      <c r="F527">
        <f>IFERROR(__xludf.DUMMYFUNCTION("""COMPUTED_VALUE"""),28.88)</f>
        <v>28.88</v>
      </c>
      <c r="G527">
        <f>IFERROR(__xludf.DUMMYFUNCTION("""COMPUTED_VALUE"""),0.0)</f>
        <v>0</v>
      </c>
    </row>
    <row r="528">
      <c r="A528">
        <f>IFERROR(__xludf.DUMMYFUNCTION("""COMPUTED_VALUE"""),169439.0)</f>
        <v>169439</v>
      </c>
      <c r="B528" t="str">
        <f>IFERROR(__xludf.DUMMYFUNCTION("""COMPUTED_VALUE"""),"Beef Rib Shortribs Separable Lean And Fat Choice Raw")</f>
        <v>Beef Rib Shortribs Separable Lean And Fat Choice Raw</v>
      </c>
      <c r="C528" t="str">
        <f>IFERROR(__xludf.DUMMYFUNCTION("""COMPUTED_VALUE"""),"Meats")</f>
        <v>Meats</v>
      </c>
      <c r="D528">
        <f>IFERROR(__xludf.DUMMYFUNCTION("""COMPUTED_VALUE"""),390.0)</f>
        <v>390</v>
      </c>
      <c r="E528">
        <f>IFERROR(__xludf.DUMMYFUNCTION("""COMPUTED_VALUE"""),36.23)</f>
        <v>36.23</v>
      </c>
      <c r="F528">
        <f>IFERROR(__xludf.DUMMYFUNCTION("""COMPUTED_VALUE"""),14.4)</f>
        <v>14.4</v>
      </c>
      <c r="G528">
        <f>IFERROR(__xludf.DUMMYFUNCTION("""COMPUTED_VALUE"""),0.4)</f>
        <v>0.4</v>
      </c>
    </row>
    <row r="529">
      <c r="A529">
        <f>IFERROR(__xludf.DUMMYFUNCTION("""COMPUTED_VALUE"""),169440.0)</f>
        <v>169440</v>
      </c>
      <c r="B529" t="str">
        <f>IFERROR(__xludf.DUMMYFUNCTION("""COMPUTED_VALUE"""),"Beef Brisket Flat Half Separable Lean And Fat Trimmed To 0 Inch Fat Choice Cooked Braised")</f>
        <v>Beef Brisket Flat Half Separable Lean And Fat Trimmed To 0 Inch Fat Choice Cooked Braised</v>
      </c>
      <c r="C529" t="str">
        <f>IFERROR(__xludf.DUMMYFUNCTION("""COMPUTED_VALUE"""),"Meats")</f>
        <v>Meats</v>
      </c>
      <c r="D529">
        <f>IFERROR(__xludf.DUMMYFUNCTION("""COMPUTED_VALUE"""),221.0)</f>
        <v>221</v>
      </c>
      <c r="E529">
        <f>IFERROR(__xludf.DUMMYFUNCTION("""COMPUTED_VALUE"""),9.24)</f>
        <v>9.24</v>
      </c>
      <c r="F529">
        <f>IFERROR(__xludf.DUMMYFUNCTION("""COMPUTED_VALUE"""),32.21)</f>
        <v>32.21</v>
      </c>
      <c r="G529">
        <f>IFERROR(__xludf.DUMMYFUNCTION("""COMPUTED_VALUE"""),0.0)</f>
        <v>0</v>
      </c>
    </row>
    <row r="530">
      <c r="A530">
        <f>IFERROR(__xludf.DUMMYFUNCTION("""COMPUTED_VALUE"""),169441.0)</f>
        <v>169441</v>
      </c>
      <c r="B530" t="str">
        <f>IFERROR(__xludf.DUMMYFUNCTION("""COMPUTED_VALUE"""),"Beef Shank Crosscuts Separable Lean Only Trimmed To 1/4 Inch Fat Choice Raw")</f>
        <v>Beef Shank Crosscuts Separable Lean Only Trimmed To 1/4 Inch Fat Choice Raw</v>
      </c>
      <c r="C530" t="str">
        <f>IFERROR(__xludf.DUMMYFUNCTION("""COMPUTED_VALUE"""),"Meats")</f>
        <v>Meats</v>
      </c>
      <c r="D530">
        <f>IFERROR(__xludf.DUMMYFUNCTION("""COMPUTED_VALUE"""),128.0)</f>
        <v>128</v>
      </c>
      <c r="E530">
        <f>IFERROR(__xludf.DUMMYFUNCTION("""COMPUTED_VALUE"""),3.85)</f>
        <v>3.85</v>
      </c>
      <c r="F530">
        <f>IFERROR(__xludf.DUMMYFUNCTION("""COMPUTED_VALUE"""),21.75)</f>
        <v>21.75</v>
      </c>
      <c r="G530">
        <f>IFERROR(__xludf.DUMMYFUNCTION("""COMPUTED_VALUE"""),0.0)</f>
        <v>0</v>
      </c>
    </row>
    <row r="531">
      <c r="A531">
        <f>IFERROR(__xludf.DUMMYFUNCTION("""COMPUTED_VALUE"""),169442.0)</f>
        <v>169442</v>
      </c>
      <c r="B531" t="str">
        <f>IFERROR(__xludf.DUMMYFUNCTION("""COMPUTED_VALUE"""),"Beef Shank Crosscuts Separable Lean Only Trimmed To 1/4 Inch Fat Choice Cooked Simmered")</f>
        <v>Beef Shank Crosscuts Separable Lean Only Trimmed To 1/4 Inch Fat Choice Cooked Simmered</v>
      </c>
      <c r="C531" t="str">
        <f>IFERROR(__xludf.DUMMYFUNCTION("""COMPUTED_VALUE"""),"Meats")</f>
        <v>Meats</v>
      </c>
      <c r="D531">
        <f>IFERROR(__xludf.DUMMYFUNCTION("""COMPUTED_VALUE"""),201.0)</f>
        <v>201</v>
      </c>
      <c r="E531">
        <f>IFERROR(__xludf.DUMMYFUNCTION("""COMPUTED_VALUE"""),6.36)</f>
        <v>6.36</v>
      </c>
      <c r="F531">
        <f>IFERROR(__xludf.DUMMYFUNCTION("""COMPUTED_VALUE"""),33.68)</f>
        <v>33.68</v>
      </c>
      <c r="G531">
        <f>IFERROR(__xludf.DUMMYFUNCTION("""COMPUTED_VALUE"""),0.0)</f>
        <v>0</v>
      </c>
    </row>
    <row r="532">
      <c r="A532">
        <f>IFERROR(__xludf.DUMMYFUNCTION("""COMPUTED_VALUE"""),169443.0)</f>
        <v>169443</v>
      </c>
      <c r="B532" t="str">
        <f>IFERROR(__xludf.DUMMYFUNCTION("""COMPUTED_VALUE"""),"Beef Short Loin Porterhouse Steak Separable Lean Only Trimmed To 1/8 Inch Fat Choice Raw")</f>
        <v>Beef Short Loin Porterhouse Steak Separable Lean Only Trimmed To 1/8 Inch Fat Choice Raw</v>
      </c>
      <c r="C532" t="str">
        <f>IFERROR(__xludf.DUMMYFUNCTION("""COMPUTED_VALUE"""),"Meats")</f>
        <v>Meats</v>
      </c>
      <c r="D532">
        <f>IFERROR(__xludf.DUMMYFUNCTION("""COMPUTED_VALUE"""),161.0)</f>
        <v>161</v>
      </c>
      <c r="E532">
        <f>IFERROR(__xludf.DUMMYFUNCTION("""COMPUTED_VALUE"""),7.39)</f>
        <v>7.39</v>
      </c>
      <c r="F532">
        <f>IFERROR(__xludf.DUMMYFUNCTION("""COMPUTED_VALUE"""),22.13)</f>
        <v>22.13</v>
      </c>
      <c r="G532">
        <f>IFERROR(__xludf.DUMMYFUNCTION("""COMPUTED_VALUE"""),0.0)</f>
        <v>0</v>
      </c>
    </row>
    <row r="533">
      <c r="A533">
        <f>IFERROR(__xludf.DUMMYFUNCTION("""COMPUTED_VALUE"""),169444.0)</f>
        <v>169444</v>
      </c>
      <c r="B533" t="str">
        <f>IFERROR(__xludf.DUMMYFUNCTION("""COMPUTED_VALUE"""),"Beef Chuck Under Blade Pot Roast Boneless Separable Lean Only Trimmed To 0 Inch Fat All Grades Cooked Braised")</f>
        <v>Beef Chuck Under Blade Pot Roast Boneless Separable Lean Only Trimmed To 0 Inch Fat All Grades Cooked Braised</v>
      </c>
      <c r="C533" t="str">
        <f>IFERROR(__xludf.DUMMYFUNCTION("""COMPUTED_VALUE"""),"Meats")</f>
        <v>Meats</v>
      </c>
      <c r="D533">
        <f>IFERROR(__xludf.DUMMYFUNCTION("""COMPUTED_VALUE"""),216.0)</f>
        <v>216</v>
      </c>
      <c r="E533">
        <f>IFERROR(__xludf.DUMMYFUNCTION("""COMPUTED_VALUE"""),10.46)</f>
        <v>10.46</v>
      </c>
      <c r="F533">
        <f>IFERROR(__xludf.DUMMYFUNCTION("""COMPUTED_VALUE"""),30.54)</f>
        <v>30.54</v>
      </c>
      <c r="G533">
        <f>IFERROR(__xludf.DUMMYFUNCTION("""COMPUTED_VALUE"""),0.0)</f>
        <v>0</v>
      </c>
    </row>
    <row r="534">
      <c r="A534">
        <f>IFERROR(__xludf.DUMMYFUNCTION("""COMPUTED_VALUE"""),169445.0)</f>
        <v>169445</v>
      </c>
      <c r="B534" t="str">
        <f>IFERROR(__xludf.DUMMYFUNCTION("""COMPUTED_VALUE"""),"Beef Chuck Under Blade Pot Roast Or Steak Boneless Separable Lean Only Trimmed To 0 Inch Fat All Grades Raw")</f>
        <v>Beef Chuck Under Blade Pot Roast Or Steak Boneless Separable Lean Only Trimmed To 0 Inch Fat All Grades Raw</v>
      </c>
      <c r="C534" t="str">
        <f>IFERROR(__xludf.DUMMYFUNCTION("""COMPUTED_VALUE"""),"Meats")</f>
        <v>Meats</v>
      </c>
      <c r="D534">
        <f>IFERROR(__xludf.DUMMYFUNCTION("""COMPUTED_VALUE"""),140.0)</f>
        <v>140</v>
      </c>
      <c r="E534">
        <f>IFERROR(__xludf.DUMMYFUNCTION("""COMPUTED_VALUE"""),6.07)</f>
        <v>6.07</v>
      </c>
      <c r="F534">
        <f>IFERROR(__xludf.DUMMYFUNCTION("""COMPUTED_VALUE"""),21.13)</f>
        <v>21.13</v>
      </c>
      <c r="G534">
        <f>IFERROR(__xludf.DUMMYFUNCTION("""COMPUTED_VALUE"""),0.31)</f>
        <v>0.31</v>
      </c>
    </row>
    <row r="535">
      <c r="A535">
        <f>IFERROR(__xludf.DUMMYFUNCTION("""COMPUTED_VALUE"""),169446.0)</f>
        <v>169446</v>
      </c>
      <c r="B535" t="str">
        <f>IFERROR(__xludf.DUMMYFUNCTION("""COMPUTED_VALUE"""),"Beef Chuck Under Blade Pot Roast Or Steak Boneless Separable Lean Only Trimmed To 0 Inch Fat Choice Raw")</f>
        <v>Beef Chuck Under Blade Pot Roast Or Steak Boneless Separable Lean Only Trimmed To 0 Inch Fat Choice Raw</v>
      </c>
      <c r="C535" t="str">
        <f>IFERROR(__xludf.DUMMYFUNCTION("""COMPUTED_VALUE"""),"Meats")</f>
        <v>Meats</v>
      </c>
      <c r="D535">
        <f>IFERROR(__xludf.DUMMYFUNCTION("""COMPUTED_VALUE"""),145.0)</f>
        <v>145</v>
      </c>
      <c r="E535">
        <f>IFERROR(__xludf.DUMMYFUNCTION("""COMPUTED_VALUE"""),6.51)</f>
        <v>6.51</v>
      </c>
      <c r="F535">
        <f>IFERROR(__xludf.DUMMYFUNCTION("""COMPUTED_VALUE"""),21.19)</f>
        <v>21.19</v>
      </c>
      <c r="G535">
        <f>IFERROR(__xludf.DUMMYFUNCTION("""COMPUTED_VALUE"""),0.39)</f>
        <v>0.39</v>
      </c>
    </row>
    <row r="536">
      <c r="A536">
        <f>IFERROR(__xludf.DUMMYFUNCTION("""COMPUTED_VALUE"""),169447.0)</f>
        <v>169447</v>
      </c>
      <c r="B536" t="str">
        <f>IFERROR(__xludf.DUMMYFUNCTION("""COMPUTED_VALUE"""),"Beef Ground Patties Frozen Cooked Broiled")</f>
        <v>Beef Ground Patties Frozen Cooked Broiled</v>
      </c>
      <c r="C536" t="str">
        <f>IFERROR(__xludf.DUMMYFUNCTION("""COMPUTED_VALUE"""),"Meats")</f>
        <v>Meats</v>
      </c>
      <c r="D536">
        <f>IFERROR(__xludf.DUMMYFUNCTION("""COMPUTED_VALUE"""),295.0)</f>
        <v>295</v>
      </c>
      <c r="E536">
        <f>IFERROR(__xludf.DUMMYFUNCTION("""COMPUTED_VALUE"""),21.83)</f>
        <v>21.83</v>
      </c>
      <c r="F536">
        <f>IFERROR(__xludf.DUMMYFUNCTION("""COMPUTED_VALUE"""),23.05)</f>
        <v>23.05</v>
      </c>
      <c r="G536">
        <f>IFERROR(__xludf.DUMMYFUNCTION("""COMPUTED_VALUE"""),0.0)</f>
        <v>0</v>
      </c>
    </row>
    <row r="537">
      <c r="A537">
        <f>IFERROR(__xludf.DUMMYFUNCTION("""COMPUTED_VALUE"""),169448.0)</f>
        <v>169448</v>
      </c>
      <c r="B537" t="str">
        <f>IFERROR(__xludf.DUMMYFUNCTION("""COMPUTED_VALUE"""),"Beef Variety Meats And By-Products Heart Cooked Simmered")</f>
        <v>Beef Variety Meats And By-Products Heart Cooked Simmered</v>
      </c>
      <c r="C537" t="str">
        <f>IFERROR(__xludf.DUMMYFUNCTION("""COMPUTED_VALUE"""),"Meats")</f>
        <v>Meats</v>
      </c>
      <c r="D537">
        <f>IFERROR(__xludf.DUMMYFUNCTION("""COMPUTED_VALUE"""),165.0)</f>
        <v>165</v>
      </c>
      <c r="E537">
        <f>IFERROR(__xludf.DUMMYFUNCTION("""COMPUTED_VALUE"""),4.73)</f>
        <v>4.73</v>
      </c>
      <c r="F537">
        <f>IFERROR(__xludf.DUMMYFUNCTION("""COMPUTED_VALUE"""),28.48)</f>
        <v>28.48</v>
      </c>
      <c r="G537">
        <f>IFERROR(__xludf.DUMMYFUNCTION("""COMPUTED_VALUE"""),0.15)</f>
        <v>0.15</v>
      </c>
    </row>
    <row r="538">
      <c r="A538">
        <f>IFERROR(__xludf.DUMMYFUNCTION("""COMPUTED_VALUE"""),169449.0)</f>
        <v>169449</v>
      </c>
      <c r="B538" t="str">
        <f>IFERROR(__xludf.DUMMYFUNCTION("""COMPUTED_VALUE"""),"Beef Variety Meats And By-Products Kidneys Raw")</f>
        <v>Beef Variety Meats And By-Products Kidneys Raw</v>
      </c>
      <c r="C538" t="str">
        <f>IFERROR(__xludf.DUMMYFUNCTION("""COMPUTED_VALUE"""),"Meats")</f>
        <v>Meats</v>
      </c>
      <c r="D538">
        <f>IFERROR(__xludf.DUMMYFUNCTION("""COMPUTED_VALUE"""),99.0)</f>
        <v>99</v>
      </c>
      <c r="E538">
        <f>IFERROR(__xludf.DUMMYFUNCTION("""COMPUTED_VALUE"""),3.09)</f>
        <v>3.09</v>
      </c>
      <c r="F538">
        <f>IFERROR(__xludf.DUMMYFUNCTION("""COMPUTED_VALUE"""),17.4)</f>
        <v>17.4</v>
      </c>
      <c r="G538">
        <f>IFERROR(__xludf.DUMMYFUNCTION("""COMPUTED_VALUE"""),0.29)</f>
        <v>0.29</v>
      </c>
    </row>
    <row r="539">
      <c r="A539">
        <f>IFERROR(__xludf.DUMMYFUNCTION("""COMPUTED_VALUE"""),169450.0)</f>
        <v>169450</v>
      </c>
      <c r="B539" t="str">
        <f>IFERROR(__xludf.DUMMYFUNCTION("""COMPUTED_VALUE"""),"Beef Variety Meats And By-Products Kidneys Cooked Simmered")</f>
        <v>Beef Variety Meats And By-Products Kidneys Cooked Simmered</v>
      </c>
      <c r="C539" t="str">
        <f>IFERROR(__xludf.DUMMYFUNCTION("""COMPUTED_VALUE"""),"Meats")</f>
        <v>Meats</v>
      </c>
      <c r="D539">
        <f>IFERROR(__xludf.DUMMYFUNCTION("""COMPUTED_VALUE"""),158.0)</f>
        <v>158</v>
      </c>
      <c r="E539">
        <f>IFERROR(__xludf.DUMMYFUNCTION("""COMPUTED_VALUE"""),4.65)</f>
        <v>4.65</v>
      </c>
      <c r="F539">
        <f>IFERROR(__xludf.DUMMYFUNCTION("""COMPUTED_VALUE"""),27.27)</f>
        <v>27.27</v>
      </c>
      <c r="G539">
        <f>IFERROR(__xludf.DUMMYFUNCTION("""COMPUTED_VALUE"""),0.0)</f>
        <v>0</v>
      </c>
    </row>
    <row r="540">
      <c r="A540">
        <f>IFERROR(__xludf.DUMMYFUNCTION("""COMPUTED_VALUE"""),169451.0)</f>
        <v>169451</v>
      </c>
      <c r="B540" t="str">
        <f>IFERROR(__xludf.DUMMYFUNCTION("""COMPUTED_VALUE"""),"Beef Variety Meats And By-Products Liver Raw")</f>
        <v>Beef Variety Meats And By-Products Liver Raw</v>
      </c>
      <c r="C540" t="str">
        <f>IFERROR(__xludf.DUMMYFUNCTION("""COMPUTED_VALUE"""),"Meats")</f>
        <v>Meats</v>
      </c>
      <c r="D540">
        <f>IFERROR(__xludf.DUMMYFUNCTION("""COMPUTED_VALUE"""),135.0)</f>
        <v>135</v>
      </c>
      <c r="E540">
        <f>IFERROR(__xludf.DUMMYFUNCTION("""COMPUTED_VALUE"""),3.63)</f>
        <v>3.63</v>
      </c>
      <c r="F540">
        <f>IFERROR(__xludf.DUMMYFUNCTION("""COMPUTED_VALUE"""),20.36)</f>
        <v>20.36</v>
      </c>
      <c r="G540">
        <f>IFERROR(__xludf.DUMMYFUNCTION("""COMPUTED_VALUE"""),3.89)</f>
        <v>3.89</v>
      </c>
    </row>
    <row r="541">
      <c r="A541">
        <f>IFERROR(__xludf.DUMMYFUNCTION("""COMPUTED_VALUE"""),169452.0)</f>
        <v>169452</v>
      </c>
      <c r="B541" t="str">
        <f>IFERROR(__xludf.DUMMYFUNCTION("""COMPUTED_VALUE"""),"Beef Variety Meats And By-Products Pancreas Raw")</f>
        <v>Beef Variety Meats And By-Products Pancreas Raw</v>
      </c>
      <c r="C541" t="str">
        <f>IFERROR(__xludf.DUMMYFUNCTION("""COMPUTED_VALUE"""),"Meats")</f>
        <v>Meats</v>
      </c>
      <c r="D541">
        <f>IFERROR(__xludf.DUMMYFUNCTION("""COMPUTED_VALUE"""),235.0)</f>
        <v>235</v>
      </c>
      <c r="E541">
        <f>IFERROR(__xludf.DUMMYFUNCTION("""COMPUTED_VALUE"""),18.6)</f>
        <v>18.6</v>
      </c>
      <c r="F541">
        <f>IFERROR(__xludf.DUMMYFUNCTION("""COMPUTED_VALUE"""),15.7)</f>
        <v>15.7</v>
      </c>
      <c r="G541">
        <f>IFERROR(__xludf.DUMMYFUNCTION("""COMPUTED_VALUE"""),0.0)</f>
        <v>0</v>
      </c>
    </row>
    <row r="542">
      <c r="A542">
        <f>IFERROR(__xludf.DUMMYFUNCTION("""COMPUTED_VALUE"""),169453.0)</f>
        <v>169453</v>
      </c>
      <c r="B542" t="str">
        <f>IFERROR(__xludf.DUMMYFUNCTION("""COMPUTED_VALUE"""),"Beef Variety Meats And By-Products Pancreas Cooked Braised")</f>
        <v>Beef Variety Meats And By-Products Pancreas Cooked Braised</v>
      </c>
      <c r="C542" t="str">
        <f>IFERROR(__xludf.DUMMYFUNCTION("""COMPUTED_VALUE"""),"Meats")</f>
        <v>Meats</v>
      </c>
      <c r="D542">
        <f>IFERROR(__xludf.DUMMYFUNCTION("""COMPUTED_VALUE"""),271.0)</f>
        <v>271</v>
      </c>
      <c r="E542">
        <f>IFERROR(__xludf.DUMMYFUNCTION("""COMPUTED_VALUE"""),17.2)</f>
        <v>17.2</v>
      </c>
      <c r="F542">
        <f>IFERROR(__xludf.DUMMYFUNCTION("""COMPUTED_VALUE"""),27.1)</f>
        <v>27.1</v>
      </c>
      <c r="G542">
        <f>IFERROR(__xludf.DUMMYFUNCTION("""COMPUTED_VALUE"""),0.0)</f>
        <v>0</v>
      </c>
    </row>
    <row r="543">
      <c r="A543">
        <f>IFERROR(__xludf.DUMMYFUNCTION("""COMPUTED_VALUE"""),169454.0)</f>
        <v>169454</v>
      </c>
      <c r="B543" t="str">
        <f>IFERROR(__xludf.DUMMYFUNCTION("""COMPUTED_VALUE"""),"Beef Variety Meats And By-Products Spleen Raw")</f>
        <v>Beef Variety Meats And By-Products Spleen Raw</v>
      </c>
      <c r="C543" t="str">
        <f>IFERROR(__xludf.DUMMYFUNCTION("""COMPUTED_VALUE"""),"Meats")</f>
        <v>Meats</v>
      </c>
      <c r="D543">
        <f>IFERROR(__xludf.DUMMYFUNCTION("""COMPUTED_VALUE"""),105.0)</f>
        <v>105</v>
      </c>
      <c r="E543">
        <f>IFERROR(__xludf.DUMMYFUNCTION("""COMPUTED_VALUE"""),3.0)</f>
        <v>3</v>
      </c>
      <c r="F543">
        <f>IFERROR(__xludf.DUMMYFUNCTION("""COMPUTED_VALUE"""),18.3)</f>
        <v>18.3</v>
      </c>
      <c r="G543">
        <f>IFERROR(__xludf.DUMMYFUNCTION("""COMPUTED_VALUE"""),0.0)</f>
        <v>0</v>
      </c>
    </row>
    <row r="544">
      <c r="A544">
        <f>IFERROR(__xludf.DUMMYFUNCTION("""COMPUTED_VALUE"""),169455.0)</f>
        <v>169455</v>
      </c>
      <c r="B544" t="str">
        <f>IFERROR(__xludf.DUMMYFUNCTION("""COMPUTED_VALUE"""),"Beef Loin Top Loin Steak Boneless Lip Off Separable Lean Only Trimmed To 0 Inch Fat Choice Cooked Grilled")</f>
        <v>Beef Loin Top Loin Steak Boneless Lip Off Separable Lean Only Trimmed To 0 Inch Fat Choice Cooked Grilled</v>
      </c>
      <c r="C544" t="str">
        <f>IFERROR(__xludf.DUMMYFUNCTION("""COMPUTED_VALUE"""),"Meats")</f>
        <v>Meats</v>
      </c>
      <c r="D544">
        <f>IFERROR(__xludf.DUMMYFUNCTION("""COMPUTED_VALUE"""),211.0)</f>
        <v>211</v>
      </c>
      <c r="E544">
        <f>IFERROR(__xludf.DUMMYFUNCTION("""COMPUTED_VALUE"""),9.52)</f>
        <v>9.52</v>
      </c>
      <c r="F544">
        <f>IFERROR(__xludf.DUMMYFUNCTION("""COMPUTED_VALUE"""),29.22)</f>
        <v>29.22</v>
      </c>
      <c r="G544">
        <f>IFERROR(__xludf.DUMMYFUNCTION("""COMPUTED_VALUE"""),0.0)</f>
        <v>0</v>
      </c>
    </row>
    <row r="545">
      <c r="A545">
        <f>IFERROR(__xludf.DUMMYFUNCTION("""COMPUTED_VALUE"""),169456.0)</f>
        <v>169456</v>
      </c>
      <c r="B545" t="str">
        <f>IFERROR(__xludf.DUMMYFUNCTION("""COMPUTED_VALUE"""),"Beef Loin Top Loin Steak Boneless Lip Off Separable Lean Only Trimmed To 0 Inch Fat Select Cooked Grilled")</f>
        <v>Beef Loin Top Loin Steak Boneless Lip Off Separable Lean Only Trimmed To 0 Inch Fat Select Cooked Grilled</v>
      </c>
      <c r="C545" t="str">
        <f>IFERROR(__xludf.DUMMYFUNCTION("""COMPUTED_VALUE"""),"Meats")</f>
        <v>Meats</v>
      </c>
      <c r="D545">
        <f>IFERROR(__xludf.DUMMYFUNCTION("""COMPUTED_VALUE"""),189.0)</f>
        <v>189</v>
      </c>
      <c r="E545">
        <f>IFERROR(__xludf.DUMMYFUNCTION("""COMPUTED_VALUE"""),6.74)</f>
        <v>6.74</v>
      </c>
      <c r="F545">
        <f>IFERROR(__xludf.DUMMYFUNCTION("""COMPUTED_VALUE"""),29.99)</f>
        <v>29.99</v>
      </c>
      <c r="G545">
        <f>IFERROR(__xludf.DUMMYFUNCTION("""COMPUTED_VALUE"""),0.0)</f>
        <v>0</v>
      </c>
    </row>
    <row r="546">
      <c r="A546">
        <f>IFERROR(__xludf.DUMMYFUNCTION("""COMPUTED_VALUE"""),169457.0)</f>
        <v>169457</v>
      </c>
      <c r="B546" t="str">
        <f>IFERROR(__xludf.DUMMYFUNCTION("""COMPUTED_VALUE"""),"Broiled Sirloin Strip Steak")</f>
        <v>Broiled Sirloin Strip Steak</v>
      </c>
      <c r="C546" t="str">
        <f>IFERROR(__xludf.DUMMYFUNCTION("""COMPUTED_VALUE"""),"Meats")</f>
        <v>Meats</v>
      </c>
      <c r="D546">
        <f>IFERROR(__xludf.DUMMYFUNCTION("""COMPUTED_VALUE"""),212.0)</f>
        <v>212</v>
      </c>
      <c r="E546">
        <f>IFERROR(__xludf.DUMMYFUNCTION("""COMPUTED_VALUE"""),9.67)</f>
        <v>9.67</v>
      </c>
      <c r="F546">
        <f>IFERROR(__xludf.DUMMYFUNCTION("""COMPUTED_VALUE"""),29.33)</f>
        <v>29.33</v>
      </c>
      <c r="G546">
        <f>IFERROR(__xludf.DUMMYFUNCTION("""COMPUTED_VALUE"""),0.0)</f>
        <v>0</v>
      </c>
    </row>
    <row r="547">
      <c r="A547">
        <f>IFERROR(__xludf.DUMMYFUNCTION("""COMPUTED_VALUE"""),169458.0)</f>
        <v>169458</v>
      </c>
      <c r="B547" t="str">
        <f>IFERROR(__xludf.DUMMYFUNCTION("""COMPUTED_VALUE"""),"Beef Top Sirloin Steak Separable Lean And Fat Trimmed To 0 Inch Fat Choice Cooked Broiled")</f>
        <v>Beef Top Sirloin Steak Separable Lean And Fat Trimmed To 0 Inch Fat Choice Cooked Broiled</v>
      </c>
      <c r="C547" t="str">
        <f>IFERROR(__xludf.DUMMYFUNCTION("""COMPUTED_VALUE"""),"Meats")</f>
        <v>Meats</v>
      </c>
      <c r="D547">
        <f>IFERROR(__xludf.DUMMYFUNCTION("""COMPUTED_VALUE"""),219.0)</f>
        <v>219</v>
      </c>
      <c r="E547">
        <f>IFERROR(__xludf.DUMMYFUNCTION("""COMPUTED_VALUE"""),10.54)</f>
        <v>10.54</v>
      </c>
      <c r="F547">
        <f>IFERROR(__xludf.DUMMYFUNCTION("""COMPUTED_VALUE"""),29.02)</f>
        <v>29.02</v>
      </c>
      <c r="G547">
        <f>IFERROR(__xludf.DUMMYFUNCTION("""COMPUTED_VALUE"""),0.0)</f>
        <v>0</v>
      </c>
    </row>
    <row r="548">
      <c r="A548">
        <f>IFERROR(__xludf.DUMMYFUNCTION("""COMPUTED_VALUE"""),169459.0)</f>
        <v>169459</v>
      </c>
      <c r="B548" t="str">
        <f>IFERROR(__xludf.DUMMYFUNCTION("""COMPUTED_VALUE"""),"Beef Short Loin Porterhouse Steak Separable Lean And Fat Trimmed To 0 Inch Fat All Grades Cooked Broiled")</f>
        <v>Beef Short Loin Porterhouse Steak Separable Lean And Fat Trimmed To 0 Inch Fat All Grades Cooked Broiled</v>
      </c>
      <c r="C548" t="str">
        <f>IFERROR(__xludf.DUMMYFUNCTION("""COMPUTED_VALUE"""),"Meats")</f>
        <v>Meats</v>
      </c>
      <c r="D548">
        <f>IFERROR(__xludf.DUMMYFUNCTION("""COMPUTED_VALUE"""),276.0)</f>
        <v>276</v>
      </c>
      <c r="E548">
        <f>IFERROR(__xludf.DUMMYFUNCTION("""COMPUTED_VALUE"""),19.27)</f>
        <v>19.27</v>
      </c>
      <c r="F548">
        <f>IFERROR(__xludf.DUMMYFUNCTION("""COMPUTED_VALUE"""),23.96)</f>
        <v>23.96</v>
      </c>
      <c r="G548">
        <f>IFERROR(__xludf.DUMMYFUNCTION("""COMPUTED_VALUE"""),0.0)</f>
        <v>0</v>
      </c>
    </row>
    <row r="549">
      <c r="A549">
        <f>IFERROR(__xludf.DUMMYFUNCTION("""COMPUTED_VALUE"""),169460.0)</f>
        <v>169460</v>
      </c>
      <c r="B549" t="str">
        <f>IFERROR(__xludf.DUMMYFUNCTION("""COMPUTED_VALUE"""),"Beef Short Loin Porterhouse Steak Separable Lean And Fat Trimmed To 0 Inch Fat USDA Choice Cooked Broiled")</f>
        <v>Beef Short Loin Porterhouse Steak Separable Lean And Fat Trimmed To 0 Inch Fat USDA Choice Cooked Broiled</v>
      </c>
      <c r="C549" t="str">
        <f>IFERROR(__xludf.DUMMYFUNCTION("""COMPUTED_VALUE"""),"Meats")</f>
        <v>Meats</v>
      </c>
      <c r="D549">
        <f>IFERROR(__xludf.DUMMYFUNCTION("""COMPUTED_VALUE"""),283.0)</f>
        <v>283</v>
      </c>
      <c r="E549">
        <f>IFERROR(__xludf.DUMMYFUNCTION("""COMPUTED_VALUE"""),20.15)</f>
        <v>20.15</v>
      </c>
      <c r="F549">
        <f>IFERROR(__xludf.DUMMYFUNCTION("""COMPUTED_VALUE"""),23.61)</f>
        <v>23.61</v>
      </c>
      <c r="G549">
        <f>IFERROR(__xludf.DUMMYFUNCTION("""COMPUTED_VALUE"""),0.0)</f>
        <v>0</v>
      </c>
    </row>
    <row r="550">
      <c r="A550">
        <f>IFERROR(__xludf.DUMMYFUNCTION("""COMPUTED_VALUE"""),169461.0)</f>
        <v>169461</v>
      </c>
      <c r="B550" t="str">
        <f>IFERROR(__xludf.DUMMYFUNCTION("""COMPUTED_VALUE"""),"Beef Short Loin Porterhouse Steak Separable Lean And Fat Trimmed To 0 Inch Fat USDA Select Cooked Broiled")</f>
        <v>Beef Short Loin Porterhouse Steak Separable Lean And Fat Trimmed To 0 Inch Fat USDA Select Cooked Broiled</v>
      </c>
      <c r="C550" t="str">
        <f>IFERROR(__xludf.DUMMYFUNCTION("""COMPUTED_VALUE"""),"Meats")</f>
        <v>Meats</v>
      </c>
      <c r="D550">
        <f>IFERROR(__xludf.DUMMYFUNCTION("""COMPUTED_VALUE"""),267.0)</f>
        <v>267</v>
      </c>
      <c r="E550">
        <f>IFERROR(__xludf.DUMMYFUNCTION("""COMPUTED_VALUE"""),17.98)</f>
        <v>17.98</v>
      </c>
      <c r="F550">
        <f>IFERROR(__xludf.DUMMYFUNCTION("""COMPUTED_VALUE"""),24.47)</f>
        <v>24.47</v>
      </c>
      <c r="G550">
        <f>IFERROR(__xludf.DUMMYFUNCTION("""COMPUTED_VALUE"""),0.0)</f>
        <v>0</v>
      </c>
    </row>
    <row r="551">
      <c r="A551">
        <f>IFERROR(__xludf.DUMMYFUNCTION("""COMPUTED_VALUE"""),169462.0)</f>
        <v>169462</v>
      </c>
      <c r="B551" t="str">
        <f>IFERROR(__xludf.DUMMYFUNCTION("""COMPUTED_VALUE"""),"Beef Short Loin Porterhouse Steak Separable Lean Only Trimmed To 1/8 Inch Fat All Grades Raw")</f>
        <v>Beef Short Loin Porterhouse Steak Separable Lean Only Trimmed To 1/8 Inch Fat All Grades Raw</v>
      </c>
      <c r="C551" t="str">
        <f>IFERROR(__xludf.DUMMYFUNCTION("""COMPUTED_VALUE"""),"Meats")</f>
        <v>Meats</v>
      </c>
      <c r="D551">
        <f>IFERROR(__xludf.DUMMYFUNCTION("""COMPUTED_VALUE"""),155.0)</f>
        <v>155</v>
      </c>
      <c r="E551">
        <f>IFERROR(__xludf.DUMMYFUNCTION("""COMPUTED_VALUE"""),6.6)</f>
        <v>6.6</v>
      </c>
      <c r="F551">
        <f>IFERROR(__xludf.DUMMYFUNCTION("""COMPUTED_VALUE"""),22.32)</f>
        <v>22.32</v>
      </c>
      <c r="G551">
        <f>IFERROR(__xludf.DUMMYFUNCTION("""COMPUTED_VALUE"""),0.0)</f>
        <v>0</v>
      </c>
    </row>
    <row r="552">
      <c r="A552">
        <f>IFERROR(__xludf.DUMMYFUNCTION("""COMPUTED_VALUE"""),169463.0)</f>
        <v>169463</v>
      </c>
      <c r="B552" t="str">
        <f>IFERROR(__xludf.DUMMYFUNCTION("""COMPUTED_VALUE"""),"Beef Short Loin Porterhouse Steak Separable Lean Only Trimmed To 0 Inch Fat Select Cooked Broiled")</f>
        <v>Beef Short Loin Porterhouse Steak Separable Lean Only Trimmed To 0 Inch Fat Select Cooked Broiled</v>
      </c>
      <c r="C552" t="str">
        <f>IFERROR(__xludf.DUMMYFUNCTION("""COMPUTED_VALUE"""),"Meats")</f>
        <v>Meats</v>
      </c>
      <c r="D552">
        <f>IFERROR(__xludf.DUMMYFUNCTION("""COMPUTED_VALUE"""),194.0)</f>
        <v>194</v>
      </c>
      <c r="E552">
        <f>IFERROR(__xludf.DUMMYFUNCTION("""COMPUTED_VALUE"""),8.81)</f>
        <v>8.81</v>
      </c>
      <c r="F552">
        <f>IFERROR(__xludf.DUMMYFUNCTION("""COMPUTED_VALUE"""),26.89)</f>
        <v>26.89</v>
      </c>
      <c r="G552">
        <f>IFERROR(__xludf.DUMMYFUNCTION("""COMPUTED_VALUE"""),0.0)</f>
        <v>0</v>
      </c>
    </row>
    <row r="553">
      <c r="A553">
        <f>IFERROR(__xludf.DUMMYFUNCTION("""COMPUTED_VALUE"""),169464.0)</f>
        <v>169464</v>
      </c>
      <c r="B553" t="str">
        <f>IFERROR(__xludf.DUMMYFUNCTION("""COMPUTED_VALUE"""),"Beef Short Loin T-Bone Steak Separable Lean And Fat Trimmed To 0 Inch Fat All Grades Cooked Broiled")</f>
        <v>Beef Short Loin T-Bone Steak Separable Lean And Fat Trimmed To 0 Inch Fat All Grades Cooked Broiled</v>
      </c>
      <c r="C553" t="str">
        <f>IFERROR(__xludf.DUMMYFUNCTION("""COMPUTED_VALUE"""),"Meats")</f>
        <v>Meats</v>
      </c>
      <c r="D553">
        <f>IFERROR(__xludf.DUMMYFUNCTION("""COMPUTED_VALUE"""),247.0)</f>
        <v>247</v>
      </c>
      <c r="E553">
        <f>IFERROR(__xludf.DUMMYFUNCTION("""COMPUTED_VALUE"""),15.93)</f>
        <v>15.93</v>
      </c>
      <c r="F553">
        <f>IFERROR(__xludf.DUMMYFUNCTION("""COMPUTED_VALUE"""),24.18)</f>
        <v>24.18</v>
      </c>
      <c r="G553">
        <f>IFERROR(__xludf.DUMMYFUNCTION("""COMPUTED_VALUE"""),0.0)</f>
        <v>0</v>
      </c>
    </row>
    <row r="554">
      <c r="A554">
        <f>IFERROR(__xludf.DUMMYFUNCTION("""COMPUTED_VALUE"""),169465.0)</f>
        <v>169465</v>
      </c>
      <c r="B554" t="str">
        <f>IFERROR(__xludf.DUMMYFUNCTION("""COMPUTED_VALUE"""),"Beef Short Loin T-Bone Steak Separable Lean And Fat Trimmed To 0 Inch Fat USDA Choice Cooked Broiled")</f>
        <v>Beef Short Loin T-Bone Steak Separable Lean And Fat Trimmed To 0 Inch Fat USDA Choice Cooked Broiled</v>
      </c>
      <c r="C554" t="str">
        <f>IFERROR(__xludf.DUMMYFUNCTION("""COMPUTED_VALUE"""),"Meats")</f>
        <v>Meats</v>
      </c>
      <c r="D554">
        <f>IFERROR(__xludf.DUMMYFUNCTION("""COMPUTED_VALUE"""),258.0)</f>
        <v>258</v>
      </c>
      <c r="E554">
        <f>IFERROR(__xludf.DUMMYFUNCTION("""COMPUTED_VALUE"""),17.26)</f>
        <v>17.26</v>
      </c>
      <c r="F554">
        <f>IFERROR(__xludf.DUMMYFUNCTION("""COMPUTED_VALUE"""),24.05)</f>
        <v>24.05</v>
      </c>
      <c r="G554">
        <f>IFERROR(__xludf.DUMMYFUNCTION("""COMPUTED_VALUE"""),0.0)</f>
        <v>0</v>
      </c>
    </row>
    <row r="555">
      <c r="A555">
        <f>IFERROR(__xludf.DUMMYFUNCTION("""COMPUTED_VALUE"""),169466.0)</f>
        <v>169466</v>
      </c>
      <c r="B555" t="str">
        <f>IFERROR(__xludf.DUMMYFUNCTION("""COMPUTED_VALUE"""),"Beef Short Loin T-Bone Steak Separable Lean And Fat Trimmed To 0 Inch Fat USDA Select Cooked Broiled")</f>
        <v>Beef Short Loin T-Bone Steak Separable Lean And Fat Trimmed To 0 Inch Fat USDA Select Cooked Broiled</v>
      </c>
      <c r="C555" t="str">
        <f>IFERROR(__xludf.DUMMYFUNCTION("""COMPUTED_VALUE"""),"Meats")</f>
        <v>Meats</v>
      </c>
      <c r="D555">
        <f>IFERROR(__xludf.DUMMYFUNCTION("""COMPUTED_VALUE"""),230.0)</f>
        <v>230</v>
      </c>
      <c r="E555">
        <f>IFERROR(__xludf.DUMMYFUNCTION("""COMPUTED_VALUE"""),14.0)</f>
        <v>14</v>
      </c>
      <c r="F555">
        <f>IFERROR(__xludf.DUMMYFUNCTION("""COMPUTED_VALUE"""),24.38)</f>
        <v>24.38</v>
      </c>
      <c r="G555">
        <f>IFERROR(__xludf.DUMMYFUNCTION("""COMPUTED_VALUE"""),0.0)</f>
        <v>0</v>
      </c>
    </row>
    <row r="556">
      <c r="A556">
        <f>IFERROR(__xludf.DUMMYFUNCTION("""COMPUTED_VALUE"""),169467.0)</f>
        <v>169467</v>
      </c>
      <c r="B556" t="str">
        <f>IFERROR(__xludf.DUMMYFUNCTION("""COMPUTED_VALUE"""),"Beef Short Loin T-Bone Steak Bone-In Separable Lean Only Trimmed To 1/8 Inch Fat Select Cooked Grilled")</f>
        <v>Beef Short Loin T-Bone Steak Bone-In Separable Lean Only Trimmed To 1/8 Inch Fat Select Cooked Grilled</v>
      </c>
      <c r="C556" t="str">
        <f>IFERROR(__xludf.DUMMYFUNCTION("""COMPUTED_VALUE"""),"Meats")</f>
        <v>Meats</v>
      </c>
      <c r="D556">
        <f>IFERROR(__xludf.DUMMYFUNCTION("""COMPUTED_VALUE"""),206.0)</f>
        <v>206</v>
      </c>
      <c r="E556">
        <f>IFERROR(__xludf.DUMMYFUNCTION("""COMPUTED_VALUE"""),9.35)</f>
        <v>9.35</v>
      </c>
      <c r="F556">
        <f>IFERROR(__xludf.DUMMYFUNCTION("""COMPUTED_VALUE"""),28.45)</f>
        <v>28.45</v>
      </c>
      <c r="G556">
        <f>IFERROR(__xludf.DUMMYFUNCTION("""COMPUTED_VALUE"""),0.0)</f>
        <v>0</v>
      </c>
    </row>
    <row r="557">
      <c r="A557">
        <f>IFERROR(__xludf.DUMMYFUNCTION("""COMPUTED_VALUE"""),169468.0)</f>
        <v>169468</v>
      </c>
      <c r="B557" t="str">
        <f>IFERROR(__xludf.DUMMYFUNCTION("""COMPUTED_VALUE"""),"Beef Short Loin T-Bone Steak Separable Lean Only Trimmed To 0 Inch Fat Select Cooked Broiled")</f>
        <v>Beef Short Loin T-Bone Steak Separable Lean Only Trimmed To 0 Inch Fat Select Cooked Broiled</v>
      </c>
      <c r="C557" t="str">
        <f>IFERROR(__xludf.DUMMYFUNCTION("""COMPUTED_VALUE"""),"Meats")</f>
        <v>Meats</v>
      </c>
      <c r="D557">
        <f>IFERROR(__xludf.DUMMYFUNCTION("""COMPUTED_VALUE"""),177.0)</f>
        <v>177</v>
      </c>
      <c r="E557">
        <f>IFERROR(__xludf.DUMMYFUNCTION("""COMPUTED_VALUE"""),7.36)</f>
        <v>7.36</v>
      </c>
      <c r="F557">
        <f>IFERROR(__xludf.DUMMYFUNCTION("""COMPUTED_VALUE"""),26.0)</f>
        <v>26</v>
      </c>
      <c r="G557">
        <f>IFERROR(__xludf.DUMMYFUNCTION("""COMPUTED_VALUE"""),0.0)</f>
        <v>0</v>
      </c>
    </row>
    <row r="558">
      <c r="A558">
        <f>IFERROR(__xludf.DUMMYFUNCTION("""COMPUTED_VALUE"""),169469.0)</f>
        <v>169469</v>
      </c>
      <c r="B558" t="str">
        <f>IFERROR(__xludf.DUMMYFUNCTION("""COMPUTED_VALUE"""),"Beef Brisket Flat Half Separable Lean Only Trimmed To 0 Inch Fat Select Cooked Braised")</f>
        <v>Beef Brisket Flat Half Separable Lean Only Trimmed To 0 Inch Fat Select Cooked Braised</v>
      </c>
      <c r="C558" t="str">
        <f>IFERROR(__xludf.DUMMYFUNCTION("""COMPUTED_VALUE"""),"Meats")</f>
        <v>Meats</v>
      </c>
      <c r="D558">
        <f>IFERROR(__xludf.DUMMYFUNCTION("""COMPUTED_VALUE"""),198.0)</f>
        <v>198</v>
      </c>
      <c r="E558">
        <f>IFERROR(__xludf.DUMMYFUNCTION("""COMPUTED_VALUE"""),5.92)</f>
        <v>5.92</v>
      </c>
      <c r="F558">
        <f>IFERROR(__xludf.DUMMYFUNCTION("""COMPUTED_VALUE"""),33.9)</f>
        <v>33.9</v>
      </c>
      <c r="G558">
        <f>IFERROR(__xludf.DUMMYFUNCTION("""COMPUTED_VALUE"""),0.0)</f>
        <v>0</v>
      </c>
    </row>
    <row r="559">
      <c r="A559">
        <f>IFERROR(__xludf.DUMMYFUNCTION("""COMPUTED_VALUE"""),169470.0)</f>
        <v>169470</v>
      </c>
      <c r="B559" t="str">
        <f>IFERROR(__xludf.DUMMYFUNCTION("""COMPUTED_VALUE"""),"Beef Round Tip Round Roast Separable Lean And Fat Trimmed To 0 Inch Fat All Grades Raw")</f>
        <v>Beef Round Tip Round Roast Separable Lean And Fat Trimmed To 0 Inch Fat All Grades Raw</v>
      </c>
      <c r="C559" t="str">
        <f>IFERROR(__xludf.DUMMYFUNCTION("""COMPUTED_VALUE"""),"Meats")</f>
        <v>Meats</v>
      </c>
      <c r="D559">
        <f>IFERROR(__xludf.DUMMYFUNCTION("""COMPUTED_VALUE"""),151.0)</f>
        <v>151</v>
      </c>
      <c r="E559">
        <f>IFERROR(__xludf.DUMMYFUNCTION("""COMPUTED_VALUE"""),7.01)</f>
        <v>7.01</v>
      </c>
      <c r="F559">
        <f>IFERROR(__xludf.DUMMYFUNCTION("""COMPUTED_VALUE"""),20.48)</f>
        <v>20.48</v>
      </c>
      <c r="G559">
        <f>IFERROR(__xludf.DUMMYFUNCTION("""COMPUTED_VALUE"""),0.0)</f>
        <v>0</v>
      </c>
    </row>
    <row r="560">
      <c r="A560">
        <f>IFERROR(__xludf.DUMMYFUNCTION("""COMPUTED_VALUE"""),169471.0)</f>
        <v>169471</v>
      </c>
      <c r="B560" t="str">
        <f>IFERROR(__xludf.DUMMYFUNCTION("""COMPUTED_VALUE"""),"Beef Round Top Round Steak Boneless Separable Lean Only Trimmed To 0 Inch Fat Choice Cooked Grilled")</f>
        <v>Beef Round Top Round Steak Boneless Separable Lean Only Trimmed To 0 Inch Fat Choice Cooked Grilled</v>
      </c>
      <c r="C560" t="str">
        <f>IFERROR(__xludf.DUMMYFUNCTION("""COMPUTED_VALUE"""),"Meats")</f>
        <v>Meats</v>
      </c>
      <c r="D560">
        <f>IFERROR(__xludf.DUMMYFUNCTION("""COMPUTED_VALUE"""),166.0)</f>
        <v>166</v>
      </c>
      <c r="E560">
        <f>IFERROR(__xludf.DUMMYFUNCTION("""COMPUTED_VALUE"""),4.11)</f>
        <v>4.11</v>
      </c>
      <c r="F560">
        <f>IFERROR(__xludf.DUMMYFUNCTION("""COMPUTED_VALUE"""),30.24)</f>
        <v>30.24</v>
      </c>
      <c r="G560">
        <f>IFERROR(__xludf.DUMMYFUNCTION("""COMPUTED_VALUE"""),0.0)</f>
        <v>0</v>
      </c>
    </row>
    <row r="561">
      <c r="A561">
        <f>IFERROR(__xludf.DUMMYFUNCTION("""COMPUTED_VALUE"""),169472.0)</f>
        <v>169472</v>
      </c>
      <c r="B561" t="str">
        <f>IFERROR(__xludf.DUMMYFUNCTION("""COMPUTED_VALUE"""),"Beef Round Top Round Steak Boneless Separable Lean Only Trimmed To 0 Inch Fat Select Cooked Grilled")</f>
        <v>Beef Round Top Round Steak Boneless Separable Lean Only Trimmed To 0 Inch Fat Select Cooked Grilled</v>
      </c>
      <c r="C561" t="str">
        <f>IFERROR(__xludf.DUMMYFUNCTION("""COMPUTED_VALUE"""),"Meats")</f>
        <v>Meats</v>
      </c>
      <c r="D561">
        <f>IFERROR(__xludf.DUMMYFUNCTION("""COMPUTED_VALUE"""),158.0)</f>
        <v>158</v>
      </c>
      <c r="E561">
        <f>IFERROR(__xludf.DUMMYFUNCTION("""COMPUTED_VALUE"""),3.37)</f>
        <v>3.37</v>
      </c>
      <c r="F561">
        <f>IFERROR(__xludf.DUMMYFUNCTION("""COMPUTED_VALUE"""),29.81)</f>
        <v>29.81</v>
      </c>
      <c r="G561">
        <f>IFERROR(__xludf.DUMMYFUNCTION("""COMPUTED_VALUE"""),0.0)</f>
        <v>0</v>
      </c>
    </row>
    <row r="562">
      <c r="A562">
        <f>IFERROR(__xludf.DUMMYFUNCTION("""COMPUTED_VALUE"""),169473.0)</f>
        <v>169473</v>
      </c>
      <c r="B562" t="str">
        <f>IFERROR(__xludf.DUMMYFUNCTION("""COMPUTED_VALUE"""),"Panfried Beef Hamburger")</f>
        <v>Panfried Beef Hamburger</v>
      </c>
      <c r="C562" t="str">
        <f>IFERROR(__xludf.DUMMYFUNCTION("""COMPUTED_VALUE"""),"Meats")</f>
        <v>Meats</v>
      </c>
      <c r="D562">
        <f>IFERROR(__xludf.DUMMYFUNCTION("""COMPUTED_VALUE"""),270.0)</f>
        <v>270</v>
      </c>
      <c r="E562">
        <f>IFERROR(__xludf.DUMMYFUNCTION("""COMPUTED_VALUE"""),17.86)</f>
        <v>17.86</v>
      </c>
      <c r="F562">
        <f>IFERROR(__xludf.DUMMYFUNCTION("""COMPUTED_VALUE"""),25.56)</f>
        <v>25.56</v>
      </c>
      <c r="G562">
        <f>IFERROR(__xludf.DUMMYFUNCTION("""COMPUTED_VALUE"""),0.0)</f>
        <v>0</v>
      </c>
    </row>
    <row r="563">
      <c r="A563">
        <f>IFERROR(__xludf.DUMMYFUNCTION("""COMPUTED_VALUE"""),169474.0)</f>
        <v>169474</v>
      </c>
      <c r="B563" t="str">
        <f>IFERROR(__xludf.DUMMYFUNCTION("""COMPUTED_VALUE"""),"Beef Ground 70% Lean Meat / 30% Fat Loaf Cooked Baked")</f>
        <v>Beef Ground 70% Lean Meat / 30% Fat Loaf Cooked Baked</v>
      </c>
      <c r="C563" t="str">
        <f>IFERROR(__xludf.DUMMYFUNCTION("""COMPUTED_VALUE"""),"Meats")</f>
        <v>Meats</v>
      </c>
      <c r="D563">
        <f>IFERROR(__xludf.DUMMYFUNCTION("""COMPUTED_VALUE"""),241.0)</f>
        <v>241</v>
      </c>
      <c r="E563">
        <f>IFERROR(__xludf.DUMMYFUNCTION("""COMPUTED_VALUE"""),15.37)</f>
        <v>15.37</v>
      </c>
      <c r="F563">
        <f>IFERROR(__xludf.DUMMYFUNCTION("""COMPUTED_VALUE"""),23.87)</f>
        <v>23.87</v>
      </c>
      <c r="G563">
        <f>IFERROR(__xludf.DUMMYFUNCTION("""COMPUTED_VALUE"""),0.0)</f>
        <v>0</v>
      </c>
    </row>
    <row r="564">
      <c r="A564">
        <f>IFERROR(__xludf.DUMMYFUNCTION("""COMPUTED_VALUE"""),169475.0)</f>
        <v>169475</v>
      </c>
      <c r="B564" t="str">
        <f>IFERROR(__xludf.DUMMYFUNCTION("""COMPUTED_VALUE"""),"Beef Shoulder Top Blade Steak Boneless Separable Lean Only Trimmed To 0 Inch Fat Choice Cooked Grilled")</f>
        <v>Beef Shoulder Top Blade Steak Boneless Separable Lean Only Trimmed To 0 Inch Fat Choice Cooked Grilled</v>
      </c>
      <c r="C564" t="str">
        <f>IFERROR(__xludf.DUMMYFUNCTION("""COMPUTED_VALUE"""),"Meats")</f>
        <v>Meats</v>
      </c>
      <c r="D564">
        <f>IFERROR(__xludf.DUMMYFUNCTION("""COMPUTED_VALUE"""),202.0)</f>
        <v>202</v>
      </c>
      <c r="E564">
        <f>IFERROR(__xludf.DUMMYFUNCTION("""COMPUTED_VALUE"""),9.83)</f>
        <v>9.83</v>
      </c>
      <c r="F564">
        <f>IFERROR(__xludf.DUMMYFUNCTION("""COMPUTED_VALUE"""),28.28)</f>
        <v>28.28</v>
      </c>
      <c r="G564">
        <f>IFERROR(__xludf.DUMMYFUNCTION("""COMPUTED_VALUE"""),0.0)</f>
        <v>0</v>
      </c>
    </row>
    <row r="565">
      <c r="A565">
        <f>IFERROR(__xludf.DUMMYFUNCTION("""COMPUTED_VALUE"""),169476.0)</f>
        <v>169476</v>
      </c>
      <c r="B565" t="str">
        <f>IFERROR(__xludf.DUMMYFUNCTION("""COMPUTED_VALUE"""),"Beef Shoulder Top Blade Steak Boneless Separable Lean Only Trimmed To 0 Inch Fat Select Cooked Grilled")</f>
        <v>Beef Shoulder Top Blade Steak Boneless Separable Lean Only Trimmed To 0 Inch Fat Select Cooked Grilled</v>
      </c>
      <c r="C565" t="str">
        <f>IFERROR(__xludf.DUMMYFUNCTION("""COMPUTED_VALUE"""),"Meats")</f>
        <v>Meats</v>
      </c>
      <c r="D565">
        <f>IFERROR(__xludf.DUMMYFUNCTION("""COMPUTED_VALUE"""),187.0)</f>
        <v>187</v>
      </c>
      <c r="E565">
        <f>IFERROR(__xludf.DUMMYFUNCTION("""COMPUTED_VALUE"""),8.34)</f>
        <v>8.34</v>
      </c>
      <c r="F565">
        <f>IFERROR(__xludf.DUMMYFUNCTION("""COMPUTED_VALUE"""),27.96)</f>
        <v>27.96</v>
      </c>
      <c r="G565">
        <f>IFERROR(__xludf.DUMMYFUNCTION("""COMPUTED_VALUE"""),0.0)</f>
        <v>0</v>
      </c>
    </row>
    <row r="566">
      <c r="A566">
        <f>IFERROR(__xludf.DUMMYFUNCTION("""COMPUTED_VALUE"""),169477.0)</f>
        <v>169477</v>
      </c>
      <c r="B566" t="str">
        <f>IFERROR(__xludf.DUMMYFUNCTION("""COMPUTED_VALUE"""),"Beef Shoulder Top Blade Steak Boneless Separable Lean Only Trimmed To 0 Inch Fat All Grades Raw")</f>
        <v>Beef Shoulder Top Blade Steak Boneless Separable Lean Only Trimmed To 0 Inch Fat All Grades Raw</v>
      </c>
      <c r="C566" t="str">
        <f>IFERROR(__xludf.DUMMYFUNCTION("""COMPUTED_VALUE"""),"Meats")</f>
        <v>Meats</v>
      </c>
      <c r="D566">
        <f>IFERROR(__xludf.DUMMYFUNCTION("""COMPUTED_VALUE"""),139.0)</f>
        <v>139</v>
      </c>
      <c r="E566">
        <f>IFERROR(__xludf.DUMMYFUNCTION("""COMPUTED_VALUE"""),6.42)</f>
        <v>6.42</v>
      </c>
      <c r="F566">
        <f>IFERROR(__xludf.DUMMYFUNCTION("""COMPUTED_VALUE"""),20.36)</f>
        <v>20.36</v>
      </c>
      <c r="G566">
        <f>IFERROR(__xludf.DUMMYFUNCTION("""COMPUTED_VALUE"""),0.0)</f>
        <v>0</v>
      </c>
    </row>
    <row r="567">
      <c r="A567">
        <f>IFERROR(__xludf.DUMMYFUNCTION("""COMPUTED_VALUE"""),169478.0)</f>
        <v>169478</v>
      </c>
      <c r="B567" t="str">
        <f>IFERROR(__xludf.DUMMYFUNCTION("""COMPUTED_VALUE"""),"Beef Shoulder Top Blade Steak Boneless Separable Lean Only Trimmed To 0 Inch Fat Choice Raw")</f>
        <v>Beef Shoulder Top Blade Steak Boneless Separable Lean Only Trimmed To 0 Inch Fat Choice Raw</v>
      </c>
      <c r="C567" t="str">
        <f>IFERROR(__xludf.DUMMYFUNCTION("""COMPUTED_VALUE"""),"Meats")</f>
        <v>Meats</v>
      </c>
      <c r="D567">
        <f>IFERROR(__xludf.DUMMYFUNCTION("""COMPUTED_VALUE"""),143.0)</f>
        <v>143</v>
      </c>
      <c r="E567">
        <f>IFERROR(__xludf.DUMMYFUNCTION("""COMPUTED_VALUE"""),6.88)</f>
        <v>6.88</v>
      </c>
      <c r="F567">
        <f>IFERROR(__xludf.DUMMYFUNCTION("""COMPUTED_VALUE"""),20.35)</f>
        <v>20.35</v>
      </c>
      <c r="G567">
        <f>IFERROR(__xludf.DUMMYFUNCTION("""COMPUTED_VALUE"""),0.0)</f>
        <v>0</v>
      </c>
    </row>
    <row r="568">
      <c r="A568">
        <f>IFERROR(__xludf.DUMMYFUNCTION("""COMPUTED_VALUE"""),169479.0)</f>
        <v>169479</v>
      </c>
      <c r="B568" t="str">
        <f>IFERROR(__xludf.DUMMYFUNCTION("""COMPUTED_VALUE"""),"Beef Shoulder Top Blade Steak Boneless Separable Lean And Fat Trimmed To 0 Inch Fat All Grades Cooked Grilled")</f>
        <v>Beef Shoulder Top Blade Steak Boneless Separable Lean And Fat Trimmed To 0 Inch Fat All Grades Cooked Grilled</v>
      </c>
      <c r="C568" t="str">
        <f>IFERROR(__xludf.DUMMYFUNCTION("""COMPUTED_VALUE"""),"Meats")</f>
        <v>Meats</v>
      </c>
      <c r="D568">
        <f>IFERROR(__xludf.DUMMYFUNCTION("""COMPUTED_VALUE"""),210.0)</f>
        <v>210</v>
      </c>
      <c r="E568">
        <f>IFERROR(__xludf.DUMMYFUNCTION("""COMPUTED_VALUE"""),11.07)</f>
        <v>11.07</v>
      </c>
      <c r="F568">
        <f>IFERROR(__xludf.DUMMYFUNCTION("""COMPUTED_VALUE"""),27.59)</f>
        <v>27.59</v>
      </c>
      <c r="G568">
        <f>IFERROR(__xludf.DUMMYFUNCTION("""COMPUTED_VALUE"""),0.0)</f>
        <v>0</v>
      </c>
    </row>
    <row r="569">
      <c r="A569">
        <f>IFERROR(__xludf.DUMMYFUNCTION("""COMPUTED_VALUE"""),169480.0)</f>
        <v>169480</v>
      </c>
      <c r="B569" t="str">
        <f>IFERROR(__xludf.DUMMYFUNCTION("""COMPUTED_VALUE"""),"Beef Shoulder Pot Roast Or Steak Boneless Separable Lean Only Trimmed To 0 Inch Fat All Grades Raw")</f>
        <v>Beef Shoulder Pot Roast Or Steak Boneless Separable Lean Only Trimmed To 0 Inch Fat All Grades Raw</v>
      </c>
      <c r="C569" t="str">
        <f>IFERROR(__xludf.DUMMYFUNCTION("""COMPUTED_VALUE"""),"Meats")</f>
        <v>Meats</v>
      </c>
      <c r="D569">
        <f>IFERROR(__xludf.DUMMYFUNCTION("""COMPUTED_VALUE"""),123.0)</f>
        <v>123</v>
      </c>
      <c r="E569">
        <f>IFERROR(__xludf.DUMMYFUNCTION("""COMPUTED_VALUE"""),4.09)</f>
        <v>4.09</v>
      </c>
      <c r="F569">
        <f>IFERROR(__xludf.DUMMYFUNCTION("""COMPUTED_VALUE"""),21.64)</f>
        <v>21.64</v>
      </c>
      <c r="G569">
        <f>IFERROR(__xludf.DUMMYFUNCTION("""COMPUTED_VALUE"""),0.0)</f>
        <v>0</v>
      </c>
    </row>
    <row r="570">
      <c r="A570">
        <f>IFERROR(__xludf.DUMMYFUNCTION("""COMPUTED_VALUE"""),169481.0)</f>
        <v>169481</v>
      </c>
      <c r="B570" t="str">
        <f>IFERROR(__xludf.DUMMYFUNCTION("""COMPUTED_VALUE"""),"Beef Shoulder Pot Roast Or Steak Boneless Separable Lean Only Trimmed To 0 Inch Fat Choice Raw")</f>
        <v>Beef Shoulder Pot Roast Or Steak Boneless Separable Lean Only Trimmed To 0 Inch Fat Choice Raw</v>
      </c>
      <c r="C570" t="str">
        <f>IFERROR(__xludf.DUMMYFUNCTION("""COMPUTED_VALUE"""),"Meats")</f>
        <v>Meats</v>
      </c>
      <c r="D570">
        <f>IFERROR(__xludf.DUMMYFUNCTION("""COMPUTED_VALUE"""),125.0)</f>
        <v>125</v>
      </c>
      <c r="E570">
        <f>IFERROR(__xludf.DUMMYFUNCTION("""COMPUTED_VALUE"""),4.35)</f>
        <v>4.35</v>
      </c>
      <c r="F570">
        <f>IFERROR(__xludf.DUMMYFUNCTION("""COMPUTED_VALUE"""),21.45)</f>
        <v>21.45</v>
      </c>
      <c r="G570">
        <f>IFERROR(__xludf.DUMMYFUNCTION("""COMPUTED_VALUE"""),0.11)</f>
        <v>0.11</v>
      </c>
    </row>
    <row r="571">
      <c r="A571">
        <f>IFERROR(__xludf.DUMMYFUNCTION("""COMPUTED_VALUE"""),169482.0)</f>
        <v>169482</v>
      </c>
      <c r="B571" t="str">
        <f>IFERROR(__xludf.DUMMYFUNCTION("""COMPUTED_VALUE"""),"Beef Shoulder Pot Roast Or Steak Boneless Separable Lean Only Trimmed To 0 Inch Fat Select Raw")</f>
        <v>Beef Shoulder Pot Roast Or Steak Boneless Separable Lean Only Trimmed To 0 Inch Fat Select Raw</v>
      </c>
      <c r="C571" t="str">
        <f>IFERROR(__xludf.DUMMYFUNCTION("""COMPUTED_VALUE"""),"Meats")</f>
        <v>Meats</v>
      </c>
      <c r="D571">
        <f>IFERROR(__xludf.DUMMYFUNCTION("""COMPUTED_VALUE"""),121.0)</f>
        <v>121</v>
      </c>
      <c r="E571">
        <f>IFERROR(__xludf.DUMMYFUNCTION("""COMPUTED_VALUE"""),3.7)</f>
        <v>3.7</v>
      </c>
      <c r="F571">
        <f>IFERROR(__xludf.DUMMYFUNCTION("""COMPUTED_VALUE"""),21.93)</f>
        <v>21.93</v>
      </c>
      <c r="G571">
        <f>IFERROR(__xludf.DUMMYFUNCTION("""COMPUTED_VALUE"""),0.0)</f>
        <v>0</v>
      </c>
    </row>
    <row r="572">
      <c r="A572">
        <f>IFERROR(__xludf.DUMMYFUNCTION("""COMPUTED_VALUE"""),169483.0)</f>
        <v>169483</v>
      </c>
      <c r="B572" t="str">
        <f>IFERROR(__xludf.DUMMYFUNCTION("""COMPUTED_VALUE"""),"Beef Composite Of Trimmed Retail Cuts Separable Lean And Fat Trimmed To 1/8 Inch Fat All Grades Raw")</f>
        <v>Beef Composite Of Trimmed Retail Cuts Separable Lean And Fat Trimmed To 1/8 Inch Fat All Grades Raw</v>
      </c>
      <c r="C572" t="str">
        <f>IFERROR(__xludf.DUMMYFUNCTION("""COMPUTED_VALUE"""),"Meats")</f>
        <v>Meats</v>
      </c>
      <c r="D572">
        <f>IFERROR(__xludf.DUMMYFUNCTION("""COMPUTED_VALUE"""),215.0)</f>
        <v>215</v>
      </c>
      <c r="E572">
        <f>IFERROR(__xludf.DUMMYFUNCTION("""COMPUTED_VALUE"""),14.42)</f>
        <v>14.42</v>
      </c>
      <c r="F572">
        <f>IFERROR(__xludf.DUMMYFUNCTION("""COMPUTED_VALUE"""),20.01)</f>
        <v>20.01</v>
      </c>
      <c r="G572">
        <f>IFERROR(__xludf.DUMMYFUNCTION("""COMPUTED_VALUE"""),0.0)</f>
        <v>0</v>
      </c>
    </row>
    <row r="573">
      <c r="A573">
        <f>IFERROR(__xludf.DUMMYFUNCTION("""COMPUTED_VALUE"""),169484.0)</f>
        <v>169484</v>
      </c>
      <c r="B573" t="str">
        <f>IFERROR(__xludf.DUMMYFUNCTION("""COMPUTED_VALUE"""),"Beef Composite Of Trimmed Retail Cuts Separable Lean And Fat Trimmed To 1/8 Inch Fat All Grades Cooked")</f>
        <v>Beef Composite Of Trimmed Retail Cuts Separable Lean And Fat Trimmed To 1/8 Inch Fat All Grades Cooked</v>
      </c>
      <c r="C573" t="str">
        <f>IFERROR(__xludf.DUMMYFUNCTION("""COMPUTED_VALUE"""),"Meats")</f>
        <v>Meats</v>
      </c>
      <c r="D573">
        <f>IFERROR(__xludf.DUMMYFUNCTION("""COMPUTED_VALUE"""),259.0)</f>
        <v>259</v>
      </c>
      <c r="E573">
        <f>IFERROR(__xludf.DUMMYFUNCTION("""COMPUTED_VALUE"""),16.59)</f>
        <v>16.59</v>
      </c>
      <c r="F573">
        <f>IFERROR(__xludf.DUMMYFUNCTION("""COMPUTED_VALUE"""),26.11)</f>
        <v>26.11</v>
      </c>
      <c r="G573">
        <f>IFERROR(__xludf.DUMMYFUNCTION("""COMPUTED_VALUE"""),0.0)</f>
        <v>0</v>
      </c>
    </row>
    <row r="574">
      <c r="A574">
        <f>IFERROR(__xludf.DUMMYFUNCTION("""COMPUTED_VALUE"""),169485.0)</f>
        <v>169485</v>
      </c>
      <c r="B574" t="str">
        <f>IFERROR(__xludf.DUMMYFUNCTION("""COMPUTED_VALUE"""),"Beef Composite Of Trimmed Retail Cuts Separable Lean And Fat Trimmed To 1/8 Inch Fat Choice Raw")</f>
        <v>Beef Composite Of Trimmed Retail Cuts Separable Lean And Fat Trimmed To 1/8 Inch Fat Choice Raw</v>
      </c>
      <c r="C574" t="str">
        <f>IFERROR(__xludf.DUMMYFUNCTION("""COMPUTED_VALUE"""),"Meats")</f>
        <v>Meats</v>
      </c>
      <c r="D574">
        <f>IFERROR(__xludf.DUMMYFUNCTION("""COMPUTED_VALUE"""),224.0)</f>
        <v>224</v>
      </c>
      <c r="E574">
        <f>IFERROR(__xludf.DUMMYFUNCTION("""COMPUTED_VALUE"""),15.42)</f>
        <v>15.42</v>
      </c>
      <c r="F574">
        <f>IFERROR(__xludf.DUMMYFUNCTION("""COMPUTED_VALUE"""),19.79)</f>
        <v>19.79</v>
      </c>
      <c r="G574">
        <f>IFERROR(__xludf.DUMMYFUNCTION("""COMPUTED_VALUE"""),0.0)</f>
        <v>0</v>
      </c>
    </row>
    <row r="575">
      <c r="A575">
        <f>IFERROR(__xludf.DUMMYFUNCTION("""COMPUTED_VALUE"""),169486.0)</f>
        <v>169486</v>
      </c>
      <c r="B575" t="str">
        <f>IFERROR(__xludf.DUMMYFUNCTION("""COMPUTED_VALUE"""),"Beef Composite Of Trimmed Retail Cuts Separable Lean And Fat Trimmed To 1/8 Inch Fat Choice Cooked")</f>
        <v>Beef Composite Of Trimmed Retail Cuts Separable Lean And Fat Trimmed To 1/8 Inch Fat Choice Cooked</v>
      </c>
      <c r="C575" t="str">
        <f>IFERROR(__xludf.DUMMYFUNCTION("""COMPUTED_VALUE"""),"Meats")</f>
        <v>Meats</v>
      </c>
      <c r="D575">
        <f>IFERROR(__xludf.DUMMYFUNCTION("""COMPUTED_VALUE"""),268.0)</f>
        <v>268</v>
      </c>
      <c r="E575">
        <f>IFERROR(__xludf.DUMMYFUNCTION("""COMPUTED_VALUE"""),17.68)</f>
        <v>17.68</v>
      </c>
      <c r="F575">
        <f>IFERROR(__xludf.DUMMYFUNCTION("""COMPUTED_VALUE"""),25.85)</f>
        <v>25.85</v>
      </c>
      <c r="G575">
        <f>IFERROR(__xludf.DUMMYFUNCTION("""COMPUTED_VALUE"""),0.0)</f>
        <v>0</v>
      </c>
    </row>
    <row r="576">
      <c r="A576">
        <f>IFERROR(__xludf.DUMMYFUNCTION("""COMPUTED_VALUE"""),169487.0)</f>
        <v>169487</v>
      </c>
      <c r="B576" t="str">
        <f>IFERROR(__xludf.DUMMYFUNCTION("""COMPUTED_VALUE"""),"Beef Composite Of Trimmed Retail Cuts Separable Lean And Fat Trimmed To 1/8 Inch Fat Select Raw")</f>
        <v>Beef Composite Of Trimmed Retail Cuts Separable Lean And Fat Trimmed To 1/8 Inch Fat Select Raw</v>
      </c>
      <c r="C576" t="str">
        <f>IFERROR(__xludf.DUMMYFUNCTION("""COMPUTED_VALUE"""),"Meats")</f>
        <v>Meats</v>
      </c>
      <c r="D576">
        <f>IFERROR(__xludf.DUMMYFUNCTION("""COMPUTED_VALUE"""),193.0)</f>
        <v>193</v>
      </c>
      <c r="E576">
        <f>IFERROR(__xludf.DUMMYFUNCTION("""COMPUTED_VALUE"""),12.4)</f>
        <v>12.4</v>
      </c>
      <c r="F576">
        <f>IFERROR(__xludf.DUMMYFUNCTION("""COMPUTED_VALUE"""),19.06)</f>
        <v>19.06</v>
      </c>
      <c r="G576">
        <f>IFERROR(__xludf.DUMMYFUNCTION("""COMPUTED_VALUE"""),0.0)</f>
        <v>0</v>
      </c>
    </row>
    <row r="577">
      <c r="A577">
        <f>IFERROR(__xludf.DUMMYFUNCTION("""COMPUTED_VALUE"""),169488.0)</f>
        <v>169488</v>
      </c>
      <c r="B577" t="str">
        <f>IFERROR(__xludf.DUMMYFUNCTION("""COMPUTED_VALUE"""),"Beef Brisket Flat Half Separable Lean And Fat Trimmed To 1/8 Inch Fat All Grades Cooked Braised")</f>
        <v>Beef Brisket Flat Half Separable Lean And Fat Trimmed To 1/8 Inch Fat All Grades Cooked Braised</v>
      </c>
      <c r="C577" t="str">
        <f>IFERROR(__xludf.DUMMYFUNCTION("""COMPUTED_VALUE"""),"Meats")</f>
        <v>Meats</v>
      </c>
      <c r="D577">
        <f>IFERROR(__xludf.DUMMYFUNCTION("""COMPUTED_VALUE"""),289.0)</f>
        <v>289</v>
      </c>
      <c r="E577">
        <f>IFERROR(__xludf.DUMMYFUNCTION("""COMPUTED_VALUE"""),18.42)</f>
        <v>18.42</v>
      </c>
      <c r="F577">
        <f>IFERROR(__xludf.DUMMYFUNCTION("""COMPUTED_VALUE"""),28.82)</f>
        <v>28.82</v>
      </c>
      <c r="G577">
        <f>IFERROR(__xludf.DUMMYFUNCTION("""COMPUTED_VALUE"""),0.0)</f>
        <v>0</v>
      </c>
    </row>
    <row r="578">
      <c r="A578">
        <f>IFERROR(__xludf.DUMMYFUNCTION("""COMPUTED_VALUE"""),169489.0)</f>
        <v>169489</v>
      </c>
      <c r="B578" t="str">
        <f>IFERROR(__xludf.DUMMYFUNCTION("""COMPUTED_VALUE"""),"Beef Brisket Point Half Separable Lean And Fat Trimmed To 1/8 Inch Fat All Grades Raw")</f>
        <v>Beef Brisket Point Half Separable Lean And Fat Trimmed To 1/8 Inch Fat All Grades Raw</v>
      </c>
      <c r="C578" t="str">
        <f>IFERROR(__xludf.DUMMYFUNCTION("""COMPUTED_VALUE"""),"Meats")</f>
        <v>Meats</v>
      </c>
      <c r="D578">
        <f>IFERROR(__xludf.DUMMYFUNCTION("""COMPUTED_VALUE"""),267.0)</f>
        <v>267</v>
      </c>
      <c r="E578">
        <f>IFERROR(__xludf.DUMMYFUNCTION("""COMPUTED_VALUE"""),20.98)</f>
        <v>20.98</v>
      </c>
      <c r="F578">
        <f>IFERROR(__xludf.DUMMYFUNCTION("""COMPUTED_VALUE"""),17.65)</f>
        <v>17.65</v>
      </c>
      <c r="G578">
        <f>IFERROR(__xludf.DUMMYFUNCTION("""COMPUTED_VALUE"""),0.59)</f>
        <v>0.59</v>
      </c>
    </row>
    <row r="579">
      <c r="A579">
        <f>IFERROR(__xludf.DUMMYFUNCTION("""COMPUTED_VALUE"""),169490.0)</f>
        <v>169490</v>
      </c>
      <c r="B579" t="str">
        <f>IFERROR(__xludf.DUMMYFUNCTION("""COMPUTED_VALUE"""),"Beef Brisket Point Half Separable Lean And Fat Trimmed To 1/8 Inch Fat All Grades Cooked Braised")</f>
        <v>Beef Brisket Point Half Separable Lean And Fat Trimmed To 1/8 Inch Fat All Grades Cooked Braised</v>
      </c>
      <c r="C579" t="str">
        <f>IFERROR(__xludf.DUMMYFUNCTION("""COMPUTED_VALUE"""),"Meats")</f>
        <v>Meats</v>
      </c>
      <c r="D579">
        <f>IFERROR(__xludf.DUMMYFUNCTION("""COMPUTED_VALUE"""),349.0)</f>
        <v>349</v>
      </c>
      <c r="E579">
        <f>IFERROR(__xludf.DUMMYFUNCTION("""COMPUTED_VALUE"""),27.17)</f>
        <v>27.17</v>
      </c>
      <c r="F579">
        <f>IFERROR(__xludf.DUMMYFUNCTION("""COMPUTED_VALUE"""),24.4)</f>
        <v>24.4</v>
      </c>
      <c r="G579">
        <f>IFERROR(__xludf.DUMMYFUNCTION("""COMPUTED_VALUE"""),0.0)</f>
        <v>0</v>
      </c>
    </row>
    <row r="580">
      <c r="A580">
        <f>IFERROR(__xludf.DUMMYFUNCTION("""COMPUTED_VALUE"""),169491.0)</f>
        <v>169491</v>
      </c>
      <c r="B580" t="str">
        <f>IFERROR(__xludf.DUMMYFUNCTION("""COMPUTED_VALUE"""),"Beef Chuck Arm Pot Roast Separable Lean And Fat Trimmed To 1/8 Inch Fat All Grades Raw")</f>
        <v>Beef Chuck Arm Pot Roast Separable Lean And Fat Trimmed To 1/8 Inch Fat All Grades Raw</v>
      </c>
      <c r="C580" t="str">
        <f>IFERROR(__xludf.DUMMYFUNCTION("""COMPUTED_VALUE"""),"Meats")</f>
        <v>Meats</v>
      </c>
      <c r="D580">
        <f>IFERROR(__xludf.DUMMYFUNCTION("""COMPUTED_VALUE"""),244.0)</f>
        <v>244</v>
      </c>
      <c r="E580">
        <f>IFERROR(__xludf.DUMMYFUNCTION("""COMPUTED_VALUE"""),17.98)</f>
        <v>17.98</v>
      </c>
      <c r="F580">
        <f>IFERROR(__xludf.DUMMYFUNCTION("""COMPUTED_VALUE"""),19.23)</f>
        <v>19.23</v>
      </c>
      <c r="G580">
        <f>IFERROR(__xludf.DUMMYFUNCTION("""COMPUTED_VALUE"""),0.0)</f>
        <v>0</v>
      </c>
    </row>
    <row r="581">
      <c r="A581">
        <f>IFERROR(__xludf.DUMMYFUNCTION("""COMPUTED_VALUE"""),169492.0)</f>
        <v>169492</v>
      </c>
      <c r="B581" t="str">
        <f>IFERROR(__xludf.DUMMYFUNCTION("""COMPUTED_VALUE"""),"Beef Chuck Arm Pot Roast Separable Lean And Fat Trimmed To 1/8 Inch Fat Select Cooked Braised")</f>
        <v>Beef Chuck Arm Pot Roast Separable Lean And Fat Trimmed To 1/8 Inch Fat Select Cooked Braised</v>
      </c>
      <c r="C581" t="str">
        <f>IFERROR(__xludf.DUMMYFUNCTION("""COMPUTED_VALUE"""),"Meats")</f>
        <v>Meats</v>
      </c>
      <c r="D581">
        <f>IFERROR(__xludf.DUMMYFUNCTION("""COMPUTED_VALUE"""),295.0)</f>
        <v>295</v>
      </c>
      <c r="E581">
        <f>IFERROR(__xludf.DUMMYFUNCTION("""COMPUTED_VALUE"""),18.5)</f>
        <v>18.5</v>
      </c>
      <c r="F581">
        <f>IFERROR(__xludf.DUMMYFUNCTION("""COMPUTED_VALUE"""),30.05)</f>
        <v>30.05</v>
      </c>
      <c r="G581">
        <f>IFERROR(__xludf.DUMMYFUNCTION("""COMPUTED_VALUE"""),0.0)</f>
        <v>0</v>
      </c>
    </row>
    <row r="582">
      <c r="A582">
        <f>IFERROR(__xludf.DUMMYFUNCTION("""COMPUTED_VALUE"""),169493.0)</f>
        <v>169493</v>
      </c>
      <c r="B582" t="str">
        <f>IFERROR(__xludf.DUMMYFUNCTION("""COMPUTED_VALUE"""),"Beef Chuck Blade Roast Separable Lean And Fat Trimmed To 1/8 Inch Fat All Grades Raw")</f>
        <v>Beef Chuck Blade Roast Separable Lean And Fat Trimmed To 1/8 Inch Fat All Grades Raw</v>
      </c>
      <c r="C582" t="str">
        <f>IFERROR(__xludf.DUMMYFUNCTION("""COMPUTED_VALUE"""),"Meats")</f>
        <v>Meats</v>
      </c>
      <c r="D582">
        <f>IFERROR(__xludf.DUMMYFUNCTION("""COMPUTED_VALUE"""),248.0)</f>
        <v>248</v>
      </c>
      <c r="E582">
        <f>IFERROR(__xludf.DUMMYFUNCTION("""COMPUTED_VALUE"""),19.41)</f>
        <v>19.41</v>
      </c>
      <c r="F582">
        <f>IFERROR(__xludf.DUMMYFUNCTION("""COMPUTED_VALUE"""),17.16)</f>
        <v>17.16</v>
      </c>
      <c r="G582">
        <f>IFERROR(__xludf.DUMMYFUNCTION("""COMPUTED_VALUE"""),0.0)</f>
        <v>0</v>
      </c>
    </row>
    <row r="583">
      <c r="A583">
        <f>IFERROR(__xludf.DUMMYFUNCTION("""COMPUTED_VALUE"""),169494.0)</f>
        <v>169494</v>
      </c>
      <c r="B583" t="str">
        <f>IFERROR(__xludf.DUMMYFUNCTION("""COMPUTED_VALUE"""),"Beef Chuck Blade Roast Separable Lean And Fat Trimmed To 1/8 Inch Fat All Grades Cooked Braised")</f>
        <v>Beef Chuck Blade Roast Separable Lean And Fat Trimmed To 1/8 Inch Fat All Grades Cooked Braised</v>
      </c>
      <c r="C583" t="str">
        <f>IFERROR(__xludf.DUMMYFUNCTION("""COMPUTED_VALUE"""),"Meats")</f>
        <v>Meats</v>
      </c>
      <c r="D583">
        <f>IFERROR(__xludf.DUMMYFUNCTION("""COMPUTED_VALUE"""),341.0)</f>
        <v>341</v>
      </c>
      <c r="E583">
        <f>IFERROR(__xludf.DUMMYFUNCTION("""COMPUTED_VALUE"""),25.12)</f>
        <v>25.12</v>
      </c>
      <c r="F583">
        <f>IFERROR(__xludf.DUMMYFUNCTION("""COMPUTED_VALUE"""),26.78)</f>
        <v>26.78</v>
      </c>
      <c r="G583">
        <f>IFERROR(__xludf.DUMMYFUNCTION("""COMPUTED_VALUE"""),0.0)</f>
        <v>0</v>
      </c>
    </row>
    <row r="584">
      <c r="A584">
        <f>IFERROR(__xludf.DUMMYFUNCTION("""COMPUTED_VALUE"""),169495.0)</f>
        <v>169495</v>
      </c>
      <c r="B584" t="str">
        <f>IFERROR(__xludf.DUMMYFUNCTION("""COMPUTED_VALUE"""),"Beef Chuck Blade Roast Separable Lean And Fat Trimmed To 1/8 Inch Fat Choice Raw")</f>
        <v>Beef Chuck Blade Roast Separable Lean And Fat Trimmed To 1/8 Inch Fat Choice Raw</v>
      </c>
      <c r="C584" t="str">
        <f>IFERROR(__xludf.DUMMYFUNCTION("""COMPUTED_VALUE"""),"Meats")</f>
        <v>Meats</v>
      </c>
      <c r="D584">
        <f>IFERROR(__xludf.DUMMYFUNCTION("""COMPUTED_VALUE"""),268.0)</f>
        <v>268</v>
      </c>
      <c r="E584">
        <f>IFERROR(__xludf.DUMMYFUNCTION("""COMPUTED_VALUE"""),21.31)</f>
        <v>21.31</v>
      </c>
      <c r="F584">
        <f>IFERROR(__xludf.DUMMYFUNCTION("""COMPUTED_VALUE"""),16.98)</f>
        <v>16.98</v>
      </c>
      <c r="G584">
        <f>IFERROR(__xludf.DUMMYFUNCTION("""COMPUTED_VALUE"""),0.97)</f>
        <v>0.97</v>
      </c>
    </row>
    <row r="585">
      <c r="A585">
        <f>IFERROR(__xludf.DUMMYFUNCTION("""COMPUTED_VALUE"""),169496.0)</f>
        <v>169496</v>
      </c>
      <c r="B585" t="str">
        <f>IFERROR(__xludf.DUMMYFUNCTION("""COMPUTED_VALUE"""),"Beef Chuck Eye Roast Boneless Americas Beef Roast Separable Lean Only Trimmed To 0 Inch Fat Choice Cooked Roasted")</f>
        <v>Beef Chuck Eye Roast Boneless Americas Beef Roast Separable Lean Only Trimmed To 0 Inch Fat Choice Cooked Roasted</v>
      </c>
      <c r="C585" t="str">
        <f>IFERROR(__xludf.DUMMYFUNCTION("""COMPUTED_VALUE"""),"Meats")</f>
        <v>Meats</v>
      </c>
      <c r="D585">
        <f>IFERROR(__xludf.DUMMYFUNCTION("""COMPUTED_VALUE"""),190.0)</f>
        <v>190</v>
      </c>
      <c r="E585">
        <f>IFERROR(__xludf.DUMMYFUNCTION("""COMPUTED_VALUE"""),9.36)</f>
        <v>9.36</v>
      </c>
      <c r="F585">
        <f>IFERROR(__xludf.DUMMYFUNCTION("""COMPUTED_VALUE"""),26.41)</f>
        <v>26.41</v>
      </c>
      <c r="G585">
        <f>IFERROR(__xludf.DUMMYFUNCTION("""COMPUTED_VALUE"""),0.0)</f>
        <v>0</v>
      </c>
    </row>
    <row r="586">
      <c r="A586">
        <f>IFERROR(__xludf.DUMMYFUNCTION("""COMPUTED_VALUE"""),169497.0)</f>
        <v>169497</v>
      </c>
      <c r="B586" t="str">
        <f>IFERROR(__xludf.DUMMYFUNCTION("""COMPUTED_VALUE"""),"Beef Chuck Eye Roast Boneless Americas Beef Roast Separable Lean Only Trimmed To 0 Inch Fat Select Cooked Roasted")</f>
        <v>Beef Chuck Eye Roast Boneless Americas Beef Roast Separable Lean Only Trimmed To 0 Inch Fat Select Cooked Roasted</v>
      </c>
      <c r="C586" t="str">
        <f>IFERROR(__xludf.DUMMYFUNCTION("""COMPUTED_VALUE"""),"Meats")</f>
        <v>Meats</v>
      </c>
      <c r="D586">
        <f>IFERROR(__xludf.DUMMYFUNCTION("""COMPUTED_VALUE"""),172.0)</f>
        <v>172</v>
      </c>
      <c r="E586">
        <f>IFERROR(__xludf.DUMMYFUNCTION("""COMPUTED_VALUE"""),7.12)</f>
        <v>7.12</v>
      </c>
      <c r="F586">
        <f>IFERROR(__xludf.DUMMYFUNCTION("""COMPUTED_VALUE"""),27.02)</f>
        <v>27.02</v>
      </c>
      <c r="G586">
        <f>IFERROR(__xludf.DUMMYFUNCTION("""COMPUTED_VALUE"""),0.0)</f>
        <v>0</v>
      </c>
    </row>
    <row r="587">
      <c r="A587">
        <f>IFERROR(__xludf.DUMMYFUNCTION("""COMPUTED_VALUE"""),169498.0)</f>
        <v>169498</v>
      </c>
      <c r="B587" t="str">
        <f>IFERROR(__xludf.DUMMYFUNCTION("""COMPUTED_VALUE"""),"Beef Rib Whole (Ribs 6-12) Separable Lean And Fat Trimmed To 1/8 Inch Fat All Grades Raw")</f>
        <v>Beef Rib Whole (Ribs 6-12) Separable Lean And Fat Trimmed To 1/8 Inch Fat All Grades Raw</v>
      </c>
      <c r="C587" t="str">
        <f>IFERROR(__xludf.DUMMYFUNCTION("""COMPUTED_VALUE"""),"Meats")</f>
        <v>Meats</v>
      </c>
      <c r="D587">
        <f>IFERROR(__xludf.DUMMYFUNCTION("""COMPUTED_VALUE"""),306.0)</f>
        <v>306</v>
      </c>
      <c r="E587">
        <f>IFERROR(__xludf.DUMMYFUNCTION("""COMPUTED_VALUE"""),26.1)</f>
        <v>26.1</v>
      </c>
      <c r="F587">
        <f>IFERROR(__xludf.DUMMYFUNCTION("""COMPUTED_VALUE"""),16.53)</f>
        <v>16.53</v>
      </c>
      <c r="G587">
        <f>IFERROR(__xludf.DUMMYFUNCTION("""COMPUTED_VALUE"""),0.0)</f>
        <v>0</v>
      </c>
    </row>
    <row r="588">
      <c r="A588">
        <f>IFERROR(__xludf.DUMMYFUNCTION("""COMPUTED_VALUE"""),169499.0)</f>
        <v>169499</v>
      </c>
      <c r="B588" t="str">
        <f>IFERROR(__xludf.DUMMYFUNCTION("""COMPUTED_VALUE"""),"Beef Rib Whole (Ribs 6-12) Separable Lean And Fat Trimmed To 1/8 Inch Fat All Grades Cooked Broiled")</f>
        <v>Beef Rib Whole (Ribs 6-12) Separable Lean And Fat Trimmed To 1/8 Inch Fat All Grades Cooked Broiled</v>
      </c>
      <c r="C588" t="str">
        <f>IFERROR(__xludf.DUMMYFUNCTION("""COMPUTED_VALUE"""),"Meats")</f>
        <v>Meats</v>
      </c>
      <c r="D588">
        <f>IFERROR(__xludf.DUMMYFUNCTION("""COMPUTED_VALUE"""),337.0)</f>
        <v>337</v>
      </c>
      <c r="E588">
        <f>IFERROR(__xludf.DUMMYFUNCTION("""COMPUTED_VALUE"""),26.75)</f>
        <v>26.75</v>
      </c>
      <c r="F588">
        <f>IFERROR(__xludf.DUMMYFUNCTION("""COMPUTED_VALUE"""),22.42)</f>
        <v>22.42</v>
      </c>
      <c r="G588">
        <f>IFERROR(__xludf.DUMMYFUNCTION("""COMPUTED_VALUE"""),0.0)</f>
        <v>0</v>
      </c>
    </row>
    <row r="589">
      <c r="A589">
        <f>IFERROR(__xludf.DUMMYFUNCTION("""COMPUTED_VALUE"""),169500.0)</f>
        <v>169500</v>
      </c>
      <c r="B589" t="str">
        <f>IFERROR(__xludf.DUMMYFUNCTION("""COMPUTED_VALUE"""),"Beef Rib Whole (Ribs 6-12) Separable Lean And Fat Trimmed To 1/8 Inch Fat All Grades Cooked Roasted")</f>
        <v>Beef Rib Whole (Ribs 6-12) Separable Lean And Fat Trimmed To 1/8 Inch Fat All Grades Cooked Roasted</v>
      </c>
      <c r="C589" t="str">
        <f>IFERROR(__xludf.DUMMYFUNCTION("""COMPUTED_VALUE"""),"Meats")</f>
        <v>Meats</v>
      </c>
      <c r="D589">
        <f>IFERROR(__xludf.DUMMYFUNCTION("""COMPUTED_VALUE"""),351.0)</f>
        <v>351</v>
      </c>
      <c r="E589">
        <f>IFERROR(__xludf.DUMMYFUNCTION("""COMPUTED_VALUE"""),28.11)</f>
        <v>28.11</v>
      </c>
      <c r="F589">
        <f>IFERROR(__xludf.DUMMYFUNCTION("""COMPUTED_VALUE"""),22.77)</f>
        <v>22.77</v>
      </c>
      <c r="G589">
        <f>IFERROR(__xludf.DUMMYFUNCTION("""COMPUTED_VALUE"""),0.0)</f>
        <v>0</v>
      </c>
    </row>
    <row r="590">
      <c r="A590">
        <f>IFERROR(__xludf.DUMMYFUNCTION("""COMPUTED_VALUE"""),169501.0)</f>
        <v>169501</v>
      </c>
      <c r="B590" t="str">
        <f>IFERROR(__xludf.DUMMYFUNCTION("""COMPUTED_VALUE"""),"Beef Rib Whole (Ribs 6-12) Separable Lean And Fat Trimmed To 1/8 Inch Fat Select Cooked Broiled")</f>
        <v>Beef Rib Whole (Ribs 6-12) Separable Lean And Fat Trimmed To 1/8 Inch Fat Select Cooked Broiled</v>
      </c>
      <c r="C590" t="str">
        <f>IFERROR(__xludf.DUMMYFUNCTION("""COMPUTED_VALUE"""),"Meats")</f>
        <v>Meats</v>
      </c>
      <c r="D590">
        <f>IFERROR(__xludf.DUMMYFUNCTION("""COMPUTED_VALUE"""),315.0)</f>
        <v>315</v>
      </c>
      <c r="E590">
        <f>IFERROR(__xludf.DUMMYFUNCTION("""COMPUTED_VALUE"""),24.2)</f>
        <v>24.2</v>
      </c>
      <c r="F590">
        <f>IFERROR(__xludf.DUMMYFUNCTION("""COMPUTED_VALUE"""),22.73)</f>
        <v>22.73</v>
      </c>
      <c r="G590">
        <f>IFERROR(__xludf.DUMMYFUNCTION("""COMPUTED_VALUE"""),0.0)</f>
        <v>0</v>
      </c>
    </row>
    <row r="591">
      <c r="A591">
        <f>IFERROR(__xludf.DUMMYFUNCTION("""COMPUTED_VALUE"""),169502.0)</f>
        <v>169502</v>
      </c>
      <c r="B591" t="str">
        <f>IFERROR(__xludf.DUMMYFUNCTION("""COMPUTED_VALUE"""),"Beef Rib Whole (Ribs 6-12) Separable Lean And Fat Trimmed To 1/8 Inch Fat Select Cooked Roasted")</f>
        <v>Beef Rib Whole (Ribs 6-12) Separable Lean And Fat Trimmed To 1/8 Inch Fat Select Cooked Roasted</v>
      </c>
      <c r="C591" t="str">
        <f>IFERROR(__xludf.DUMMYFUNCTION("""COMPUTED_VALUE"""),"Meats")</f>
        <v>Meats</v>
      </c>
      <c r="D591">
        <f>IFERROR(__xludf.DUMMYFUNCTION("""COMPUTED_VALUE"""),330.0)</f>
        <v>330</v>
      </c>
      <c r="E591">
        <f>IFERROR(__xludf.DUMMYFUNCTION("""COMPUTED_VALUE"""),25.63)</f>
        <v>25.63</v>
      </c>
      <c r="F591">
        <f>IFERROR(__xludf.DUMMYFUNCTION("""COMPUTED_VALUE"""),23.1)</f>
        <v>23.1</v>
      </c>
      <c r="G591">
        <f>IFERROR(__xludf.DUMMYFUNCTION("""COMPUTED_VALUE"""),0.0)</f>
        <v>0</v>
      </c>
    </row>
    <row r="592">
      <c r="A592">
        <f>IFERROR(__xludf.DUMMYFUNCTION("""COMPUTED_VALUE"""),169503.0)</f>
        <v>169503</v>
      </c>
      <c r="B592" t="str">
        <f>IFERROR(__xludf.DUMMYFUNCTION("""COMPUTED_VALUE"""),"Beef Rib Whole (Ribs 6-12) Separable Lean And Fat Trimmed To 1/8 Inch Fat Prime Raw")</f>
        <v>Beef Rib Whole (Ribs 6-12) Separable Lean And Fat Trimmed To 1/8 Inch Fat Prime Raw</v>
      </c>
      <c r="C592" t="str">
        <f>IFERROR(__xludf.DUMMYFUNCTION("""COMPUTED_VALUE"""),"Meats")</f>
        <v>Meats</v>
      </c>
      <c r="D592">
        <f>IFERROR(__xludf.DUMMYFUNCTION("""COMPUTED_VALUE"""),355.0)</f>
        <v>355</v>
      </c>
      <c r="E592">
        <f>IFERROR(__xludf.DUMMYFUNCTION("""COMPUTED_VALUE"""),31.66)</f>
        <v>31.66</v>
      </c>
      <c r="F592">
        <f>IFERROR(__xludf.DUMMYFUNCTION("""COMPUTED_VALUE"""),16.15)</f>
        <v>16.15</v>
      </c>
      <c r="G592">
        <f>IFERROR(__xludf.DUMMYFUNCTION("""COMPUTED_VALUE"""),0.0)</f>
        <v>0</v>
      </c>
    </row>
    <row r="593">
      <c r="A593">
        <f>IFERROR(__xludf.DUMMYFUNCTION("""COMPUTED_VALUE"""),169504.0)</f>
        <v>169504</v>
      </c>
      <c r="B593" t="str">
        <f>IFERROR(__xludf.DUMMYFUNCTION("""COMPUTED_VALUE"""),"Beef Rib Whole (Ribs 6-12) Separable Lean And Fat Trimmed To 1/8 Inch Fat Prime Cooked Broiled")</f>
        <v>Beef Rib Whole (Ribs 6-12) Separable Lean And Fat Trimmed To 1/8 Inch Fat Prime Cooked Broiled</v>
      </c>
      <c r="C593" t="str">
        <f>IFERROR(__xludf.DUMMYFUNCTION("""COMPUTED_VALUE"""),"Meats")</f>
        <v>Meats</v>
      </c>
      <c r="D593">
        <f>IFERROR(__xludf.DUMMYFUNCTION("""COMPUTED_VALUE"""),386.0)</f>
        <v>386</v>
      </c>
      <c r="E593">
        <f>IFERROR(__xludf.DUMMYFUNCTION("""COMPUTED_VALUE"""),32.38)</f>
        <v>32.38</v>
      </c>
      <c r="F593">
        <f>IFERROR(__xludf.DUMMYFUNCTION("""COMPUTED_VALUE"""),21.95)</f>
        <v>21.95</v>
      </c>
      <c r="G593">
        <f>IFERROR(__xludf.DUMMYFUNCTION("""COMPUTED_VALUE"""),0.0)</f>
        <v>0</v>
      </c>
    </row>
    <row r="594">
      <c r="A594">
        <f>IFERROR(__xludf.DUMMYFUNCTION("""COMPUTED_VALUE"""),169505.0)</f>
        <v>169505</v>
      </c>
      <c r="B594" t="str">
        <f>IFERROR(__xludf.DUMMYFUNCTION("""COMPUTED_VALUE"""),"Beef Rib Large End (Ribs 6-9) Separable Lean And Fat Trimmed To 1/8 Inch Fat Choice Raw")</f>
        <v>Beef Rib Large End (Ribs 6-9) Separable Lean And Fat Trimmed To 1/8 Inch Fat Choice Raw</v>
      </c>
      <c r="C594" t="str">
        <f>IFERROR(__xludf.DUMMYFUNCTION("""COMPUTED_VALUE"""),"Meats")</f>
        <v>Meats</v>
      </c>
      <c r="D594">
        <f>IFERROR(__xludf.DUMMYFUNCTION("""COMPUTED_VALUE"""),333.0)</f>
        <v>333</v>
      </c>
      <c r="E594">
        <f>IFERROR(__xludf.DUMMYFUNCTION("""COMPUTED_VALUE"""),29.34)</f>
        <v>29.34</v>
      </c>
      <c r="F594">
        <f>IFERROR(__xludf.DUMMYFUNCTION("""COMPUTED_VALUE"""),16.03)</f>
        <v>16.03</v>
      </c>
      <c r="G594">
        <f>IFERROR(__xludf.DUMMYFUNCTION("""COMPUTED_VALUE"""),0.0)</f>
        <v>0</v>
      </c>
    </row>
    <row r="595">
      <c r="A595">
        <f>IFERROR(__xludf.DUMMYFUNCTION("""COMPUTED_VALUE"""),169506.0)</f>
        <v>169506</v>
      </c>
      <c r="B595" t="str">
        <f>IFERROR(__xludf.DUMMYFUNCTION("""COMPUTED_VALUE"""),"Beef Rib Large End (Ribs 6-9) Separable Lean And Fat Trimmed To 1/8 Inch Fat Choice Cooked Broiled")</f>
        <v>Beef Rib Large End (Ribs 6-9) Separable Lean And Fat Trimmed To 1/8 Inch Fat Choice Cooked Broiled</v>
      </c>
      <c r="C595" t="str">
        <f>IFERROR(__xludf.DUMMYFUNCTION("""COMPUTED_VALUE"""),"Meats")</f>
        <v>Meats</v>
      </c>
      <c r="D595">
        <f>IFERROR(__xludf.DUMMYFUNCTION("""COMPUTED_VALUE"""),370.0)</f>
        <v>370</v>
      </c>
      <c r="E595">
        <f>IFERROR(__xludf.DUMMYFUNCTION("""COMPUTED_VALUE"""),31.18)</f>
        <v>31.18</v>
      </c>
      <c r="F595">
        <f>IFERROR(__xludf.DUMMYFUNCTION("""COMPUTED_VALUE"""),20.86)</f>
        <v>20.86</v>
      </c>
      <c r="G595">
        <f>IFERROR(__xludf.DUMMYFUNCTION("""COMPUTED_VALUE"""),0.0)</f>
        <v>0</v>
      </c>
    </row>
    <row r="596">
      <c r="A596">
        <f>IFERROR(__xludf.DUMMYFUNCTION("""COMPUTED_VALUE"""),169507.0)</f>
        <v>169507</v>
      </c>
      <c r="B596" t="str">
        <f>IFERROR(__xludf.DUMMYFUNCTION("""COMPUTED_VALUE"""),"Beef Rib Large End (Ribs 6-9) Separable Lean And Fat Trimmed To 1/8 Inch Fat Choice Cooked Roasted")</f>
        <v>Beef Rib Large End (Ribs 6-9) Separable Lean And Fat Trimmed To 1/8 Inch Fat Choice Cooked Roasted</v>
      </c>
      <c r="C596" t="str">
        <f>IFERROR(__xludf.DUMMYFUNCTION("""COMPUTED_VALUE"""),"Meats")</f>
        <v>Meats</v>
      </c>
      <c r="D596">
        <f>IFERROR(__xludf.DUMMYFUNCTION("""COMPUTED_VALUE"""),378.0)</f>
        <v>378</v>
      </c>
      <c r="E596">
        <f>IFERROR(__xludf.DUMMYFUNCTION("""COMPUTED_VALUE"""),31.28)</f>
        <v>31.28</v>
      </c>
      <c r="F596">
        <f>IFERROR(__xludf.DUMMYFUNCTION("""COMPUTED_VALUE"""),22.5)</f>
        <v>22.5</v>
      </c>
      <c r="G596">
        <f>IFERROR(__xludf.DUMMYFUNCTION("""COMPUTED_VALUE"""),0.0)</f>
        <v>0</v>
      </c>
    </row>
    <row r="597">
      <c r="A597">
        <f>IFERROR(__xludf.DUMMYFUNCTION("""COMPUTED_VALUE"""),169508.0)</f>
        <v>169508</v>
      </c>
      <c r="B597" t="str">
        <f>IFERROR(__xludf.DUMMYFUNCTION("""COMPUTED_VALUE"""),"Beef Rib Large End (Ribs 6-9) Separable Lean And Fat Trimmed To 1/8 Inch Fat Select Raw")</f>
        <v>Beef Rib Large End (Ribs 6-9) Separable Lean And Fat Trimmed To 1/8 Inch Fat Select Raw</v>
      </c>
      <c r="C597" t="str">
        <f>IFERROR(__xludf.DUMMYFUNCTION("""COMPUTED_VALUE"""),"Meats")</f>
        <v>Meats</v>
      </c>
      <c r="D597">
        <f>IFERROR(__xludf.DUMMYFUNCTION("""COMPUTED_VALUE"""),295.0)</f>
        <v>295</v>
      </c>
      <c r="E597">
        <f>IFERROR(__xludf.DUMMYFUNCTION("""COMPUTED_VALUE"""),24.85)</f>
        <v>24.85</v>
      </c>
      <c r="F597">
        <f>IFERROR(__xludf.DUMMYFUNCTION("""COMPUTED_VALUE"""),16.52)</f>
        <v>16.52</v>
      </c>
      <c r="G597">
        <f>IFERROR(__xludf.DUMMYFUNCTION("""COMPUTED_VALUE"""),0.0)</f>
        <v>0</v>
      </c>
    </row>
    <row r="598">
      <c r="A598">
        <f>IFERROR(__xludf.DUMMYFUNCTION("""COMPUTED_VALUE"""),169509.0)</f>
        <v>169509</v>
      </c>
      <c r="B598" t="str">
        <f>IFERROR(__xludf.DUMMYFUNCTION("""COMPUTED_VALUE"""),"Beef Rib Small End (Ribs 10-12) Separable Lean And Fat Trimmed To 1/8 Inch Fat All Grades Raw")</f>
        <v>Beef Rib Small End (Ribs 10-12) Separable Lean And Fat Trimmed To 1/8 Inch Fat All Grades Raw</v>
      </c>
      <c r="C598" t="str">
        <f>IFERROR(__xludf.DUMMYFUNCTION("""COMPUTED_VALUE"""),"Meats")</f>
        <v>Meats</v>
      </c>
      <c r="D598">
        <f>IFERROR(__xludf.DUMMYFUNCTION("""COMPUTED_VALUE"""),254.0)</f>
        <v>254</v>
      </c>
      <c r="E598">
        <f>IFERROR(__xludf.DUMMYFUNCTION("""COMPUTED_VALUE"""),19.06)</f>
        <v>19.06</v>
      </c>
      <c r="F598">
        <f>IFERROR(__xludf.DUMMYFUNCTION("""COMPUTED_VALUE"""),19.33)</f>
        <v>19.33</v>
      </c>
      <c r="G598">
        <f>IFERROR(__xludf.DUMMYFUNCTION("""COMPUTED_VALUE"""),0.0)</f>
        <v>0</v>
      </c>
    </row>
    <row r="599">
      <c r="A599">
        <f>IFERROR(__xludf.DUMMYFUNCTION("""COMPUTED_VALUE"""),169510.0)</f>
        <v>169510</v>
      </c>
      <c r="B599" t="str">
        <f>IFERROR(__xludf.DUMMYFUNCTION("""COMPUTED_VALUE"""),"Beef Rib Small End (Ribs 10-12) Separable Lean And Fat Trimmed To 1/8 Inch Fat All Grades Cooked Broiled")</f>
        <v>Beef Rib Small End (Ribs 10-12) Separable Lean And Fat Trimmed To 1/8 Inch Fat All Grades Cooked Broiled</v>
      </c>
      <c r="C599" t="str">
        <f>IFERROR(__xludf.DUMMYFUNCTION("""COMPUTED_VALUE"""),"Meats")</f>
        <v>Meats</v>
      </c>
      <c r="D599">
        <f>IFERROR(__xludf.DUMMYFUNCTION("""COMPUTED_VALUE"""),291.0)</f>
        <v>291</v>
      </c>
      <c r="E599">
        <f>IFERROR(__xludf.DUMMYFUNCTION("""COMPUTED_VALUE"""),20.04)</f>
        <v>20.04</v>
      </c>
      <c r="F599">
        <f>IFERROR(__xludf.DUMMYFUNCTION("""COMPUTED_VALUE"""),25.85)</f>
        <v>25.85</v>
      </c>
      <c r="G599">
        <f>IFERROR(__xludf.DUMMYFUNCTION("""COMPUTED_VALUE"""),0.0)</f>
        <v>0</v>
      </c>
    </row>
    <row r="600">
      <c r="A600">
        <f>IFERROR(__xludf.DUMMYFUNCTION("""COMPUTED_VALUE"""),169511.0)</f>
        <v>169511</v>
      </c>
      <c r="B600" t="str">
        <f>IFERROR(__xludf.DUMMYFUNCTION("""COMPUTED_VALUE"""),"Prime Rib Steak")</f>
        <v>Prime Rib Steak</v>
      </c>
      <c r="C600" t="str">
        <f>IFERROR(__xludf.DUMMYFUNCTION("""COMPUTED_VALUE"""),"Meats")</f>
        <v>Meats</v>
      </c>
      <c r="D600">
        <f>IFERROR(__xludf.DUMMYFUNCTION("""COMPUTED_VALUE"""),341.0)</f>
        <v>341</v>
      </c>
      <c r="E600">
        <f>IFERROR(__xludf.DUMMYFUNCTION("""COMPUTED_VALUE"""),27.14)</f>
        <v>27.14</v>
      </c>
      <c r="F600">
        <f>IFERROR(__xludf.DUMMYFUNCTION("""COMPUTED_VALUE"""),22.54)</f>
        <v>22.54</v>
      </c>
      <c r="G600">
        <f>IFERROR(__xludf.DUMMYFUNCTION("""COMPUTED_VALUE"""),0.0)</f>
        <v>0</v>
      </c>
    </row>
    <row r="601">
      <c r="A601">
        <f>IFERROR(__xludf.DUMMYFUNCTION("""COMPUTED_VALUE"""),169512.0)</f>
        <v>169512</v>
      </c>
      <c r="B601" t="str">
        <f>IFERROR(__xludf.DUMMYFUNCTION("""COMPUTED_VALUE"""),"Beef Rib Small End (Ribs 10-12) Separable Lean And Fat Trimmed To 1/8 Inch Fat Choice Raw")</f>
        <v>Beef Rib Small End (Ribs 10-12) Separable Lean And Fat Trimmed To 1/8 Inch Fat Choice Raw</v>
      </c>
      <c r="C601" t="str">
        <f>IFERROR(__xludf.DUMMYFUNCTION("""COMPUTED_VALUE"""),"Meats")</f>
        <v>Meats</v>
      </c>
      <c r="D601">
        <f>IFERROR(__xludf.DUMMYFUNCTION("""COMPUTED_VALUE"""),263.0)</f>
        <v>263</v>
      </c>
      <c r="E601">
        <f>IFERROR(__xludf.DUMMYFUNCTION("""COMPUTED_VALUE"""),20.13)</f>
        <v>20.13</v>
      </c>
      <c r="F601">
        <f>IFERROR(__xludf.DUMMYFUNCTION("""COMPUTED_VALUE"""),19.09)</f>
        <v>19.09</v>
      </c>
      <c r="G601">
        <f>IFERROR(__xludf.DUMMYFUNCTION("""COMPUTED_VALUE"""),0.0)</f>
        <v>0</v>
      </c>
    </row>
    <row r="602">
      <c r="A602">
        <f>IFERROR(__xludf.DUMMYFUNCTION("""COMPUTED_VALUE"""),169513.0)</f>
        <v>169513</v>
      </c>
      <c r="B602" t="str">
        <f>IFERROR(__xludf.DUMMYFUNCTION("""COMPUTED_VALUE"""),"Beef Rib Small End (Ribs 10-12) Separable Lean And Fat Trimmed To 1/8 Inch Fat Select Cooked Roasted")</f>
        <v>Beef Rib Small End (Ribs 10-12) Separable Lean And Fat Trimmed To 1/8 Inch Fat Select Cooked Roasted</v>
      </c>
      <c r="C602" t="str">
        <f>IFERROR(__xludf.DUMMYFUNCTION("""COMPUTED_VALUE"""),"Meats")</f>
        <v>Meats</v>
      </c>
      <c r="D602">
        <f>IFERROR(__xludf.DUMMYFUNCTION("""COMPUTED_VALUE"""),323.0)</f>
        <v>323</v>
      </c>
      <c r="E602">
        <f>IFERROR(__xludf.DUMMYFUNCTION("""COMPUTED_VALUE"""),25.02)</f>
        <v>25.02</v>
      </c>
      <c r="F602">
        <f>IFERROR(__xludf.DUMMYFUNCTION("""COMPUTED_VALUE"""),22.76)</f>
        <v>22.76</v>
      </c>
      <c r="G602">
        <f>IFERROR(__xludf.DUMMYFUNCTION("""COMPUTED_VALUE"""),0.0)</f>
        <v>0</v>
      </c>
    </row>
    <row r="603">
      <c r="A603">
        <f>IFERROR(__xludf.DUMMYFUNCTION("""COMPUTED_VALUE"""),169514.0)</f>
        <v>169514</v>
      </c>
      <c r="B603" t="str">
        <f>IFERROR(__xludf.DUMMYFUNCTION("""COMPUTED_VALUE"""),"Beef Rib Small End (Ribs 10-12) Separable Lean And Fat Trimmed To 1/8 Inch Fat Prime Raw")</f>
        <v>Beef Rib Small End (Ribs 10-12) Separable Lean And Fat Trimmed To 1/8 Inch Fat Prime Raw</v>
      </c>
      <c r="C603" t="str">
        <f>IFERROR(__xludf.DUMMYFUNCTION("""COMPUTED_VALUE"""),"Meats")</f>
        <v>Meats</v>
      </c>
      <c r="D603">
        <f>IFERROR(__xludf.DUMMYFUNCTION("""COMPUTED_VALUE"""),335.0)</f>
        <v>335</v>
      </c>
      <c r="E603">
        <f>IFERROR(__xludf.DUMMYFUNCTION("""COMPUTED_VALUE"""),29.18)</f>
        <v>29.18</v>
      </c>
      <c r="F603">
        <f>IFERROR(__xludf.DUMMYFUNCTION("""COMPUTED_VALUE"""),16.74)</f>
        <v>16.74</v>
      </c>
      <c r="G603">
        <f>IFERROR(__xludf.DUMMYFUNCTION("""COMPUTED_VALUE"""),0.06)</f>
        <v>0.06</v>
      </c>
    </row>
    <row r="604">
      <c r="A604">
        <f>IFERROR(__xludf.DUMMYFUNCTION("""COMPUTED_VALUE"""),169515.0)</f>
        <v>169515</v>
      </c>
      <c r="B604" t="str">
        <f>IFERROR(__xludf.DUMMYFUNCTION("""COMPUTED_VALUE"""),"Beef Rib Small End (Ribs 10-12) Separable Lean And Fat Trimmed To 1/8 Inch Fat Prime Cooked Broiled")</f>
        <v>Beef Rib Small End (Ribs 10-12) Separable Lean And Fat Trimmed To 1/8 Inch Fat Prime Cooked Broiled</v>
      </c>
      <c r="C604" t="str">
        <f>IFERROR(__xludf.DUMMYFUNCTION("""COMPUTED_VALUE"""),"Meats")</f>
        <v>Meats</v>
      </c>
      <c r="D604">
        <f>IFERROR(__xludf.DUMMYFUNCTION("""COMPUTED_VALUE"""),354.0)</f>
        <v>354</v>
      </c>
      <c r="E604">
        <f>IFERROR(__xludf.DUMMYFUNCTION("""COMPUTED_VALUE"""),27.86)</f>
        <v>27.86</v>
      </c>
      <c r="F604">
        <f>IFERROR(__xludf.DUMMYFUNCTION("""COMPUTED_VALUE"""),24.13)</f>
        <v>24.13</v>
      </c>
      <c r="G604">
        <f>IFERROR(__xludf.DUMMYFUNCTION("""COMPUTED_VALUE"""),0.0)</f>
        <v>0</v>
      </c>
    </row>
    <row r="605">
      <c r="A605">
        <f>IFERROR(__xludf.DUMMYFUNCTION("""COMPUTED_VALUE"""),169516.0)</f>
        <v>169516</v>
      </c>
      <c r="B605" t="str">
        <f>IFERROR(__xludf.DUMMYFUNCTION("""COMPUTED_VALUE"""),"Beef Rib Small End (Ribs 10-12) Separable Lean And Fat Trimmed To 1/8 Inch Fat Prime Cooked Roasted")</f>
        <v>Beef Rib Small End (Ribs 10-12) Separable Lean And Fat Trimmed To 1/8 Inch Fat Prime Cooked Roasted</v>
      </c>
      <c r="C605" t="str">
        <f>IFERROR(__xludf.DUMMYFUNCTION("""COMPUTED_VALUE"""),"Meats")</f>
        <v>Meats</v>
      </c>
      <c r="D605">
        <f>IFERROR(__xludf.DUMMYFUNCTION("""COMPUTED_VALUE"""),411.0)</f>
        <v>411</v>
      </c>
      <c r="E605">
        <f>IFERROR(__xludf.DUMMYFUNCTION("""COMPUTED_VALUE"""),35.12)</f>
        <v>35.12</v>
      </c>
      <c r="F605">
        <f>IFERROR(__xludf.DUMMYFUNCTION("""COMPUTED_VALUE"""),22.15)</f>
        <v>22.15</v>
      </c>
      <c r="G605">
        <f>IFERROR(__xludf.DUMMYFUNCTION("""COMPUTED_VALUE"""),0.0)</f>
        <v>0</v>
      </c>
    </row>
    <row r="606">
      <c r="A606">
        <f>IFERROR(__xludf.DUMMYFUNCTION("""COMPUTED_VALUE"""),169517.0)</f>
        <v>169517</v>
      </c>
      <c r="B606" t="str">
        <f>IFERROR(__xludf.DUMMYFUNCTION("""COMPUTED_VALUE"""),"Beef Round Full Cut Separable Lean And Fat Trimmed To 1/8 Inch Fat Select Raw")</f>
        <v>Beef Round Full Cut Separable Lean And Fat Trimmed To 1/8 Inch Fat Select Raw</v>
      </c>
      <c r="C606" t="str">
        <f>IFERROR(__xludf.DUMMYFUNCTION("""COMPUTED_VALUE"""),"Meats")</f>
        <v>Meats</v>
      </c>
      <c r="D606">
        <f>IFERROR(__xludf.DUMMYFUNCTION("""COMPUTED_VALUE"""),184.0)</f>
        <v>184</v>
      </c>
      <c r="E606">
        <f>IFERROR(__xludf.DUMMYFUNCTION("""COMPUTED_VALUE"""),10.68)</f>
        <v>10.68</v>
      </c>
      <c r="F606">
        <f>IFERROR(__xludf.DUMMYFUNCTION("""COMPUTED_VALUE"""),20.56)</f>
        <v>20.56</v>
      </c>
      <c r="G606">
        <f>IFERROR(__xludf.DUMMYFUNCTION("""COMPUTED_VALUE"""),0.0)</f>
        <v>0</v>
      </c>
    </row>
    <row r="607">
      <c r="A607">
        <f>IFERROR(__xludf.DUMMYFUNCTION("""COMPUTED_VALUE"""),169518.0)</f>
        <v>169518</v>
      </c>
      <c r="B607" t="str">
        <f>IFERROR(__xludf.DUMMYFUNCTION("""COMPUTED_VALUE"""),"Beef Round Full Cut Separable Lean And Fat Trimmed To 1/8 Inch Fat Select Cooked Broiled")</f>
        <v>Beef Round Full Cut Separable Lean And Fat Trimmed To 1/8 Inch Fat Select Cooked Broiled</v>
      </c>
      <c r="C607" t="str">
        <f>IFERROR(__xludf.DUMMYFUNCTION("""COMPUTED_VALUE"""),"Meats")</f>
        <v>Meats</v>
      </c>
      <c r="D607">
        <f>IFERROR(__xludf.DUMMYFUNCTION("""COMPUTED_VALUE"""),218.0)</f>
        <v>218</v>
      </c>
      <c r="E607">
        <f>IFERROR(__xludf.DUMMYFUNCTION("""COMPUTED_VALUE"""),11.08)</f>
        <v>11.08</v>
      </c>
      <c r="F607">
        <f>IFERROR(__xludf.DUMMYFUNCTION("""COMPUTED_VALUE"""),27.58)</f>
        <v>27.58</v>
      </c>
      <c r="G607">
        <f>IFERROR(__xludf.DUMMYFUNCTION("""COMPUTED_VALUE"""),0.0)</f>
        <v>0</v>
      </c>
    </row>
    <row r="608">
      <c r="A608">
        <f>IFERROR(__xludf.DUMMYFUNCTION("""COMPUTED_VALUE"""),169519.0)</f>
        <v>169519</v>
      </c>
      <c r="B608" t="str">
        <f>IFERROR(__xludf.DUMMYFUNCTION("""COMPUTED_VALUE"""),"Beef Round Bottom Round Steak Separable Lean And Fat Trimmed To 1/8 Inch Fat All Grades Raw")</f>
        <v>Beef Round Bottom Round Steak Separable Lean And Fat Trimmed To 1/8 Inch Fat All Grades Raw</v>
      </c>
      <c r="C608" t="str">
        <f>IFERROR(__xludf.DUMMYFUNCTION("""COMPUTED_VALUE"""),"Meats")</f>
        <v>Meats</v>
      </c>
      <c r="D608">
        <f>IFERROR(__xludf.DUMMYFUNCTION("""COMPUTED_VALUE"""),192.0)</f>
        <v>192</v>
      </c>
      <c r="E608">
        <f>IFERROR(__xludf.DUMMYFUNCTION("""COMPUTED_VALUE"""),11.54)</f>
        <v>11.54</v>
      </c>
      <c r="F608">
        <f>IFERROR(__xludf.DUMMYFUNCTION("""COMPUTED_VALUE"""),20.7)</f>
        <v>20.7</v>
      </c>
      <c r="G608">
        <f>IFERROR(__xludf.DUMMYFUNCTION("""COMPUTED_VALUE"""),0.0)</f>
        <v>0</v>
      </c>
    </row>
    <row r="609">
      <c r="A609">
        <f>IFERROR(__xludf.DUMMYFUNCTION("""COMPUTED_VALUE"""),169520.0)</f>
        <v>169520</v>
      </c>
      <c r="B609" t="str">
        <f>IFERROR(__xludf.DUMMYFUNCTION("""COMPUTED_VALUE"""),"Beef Round Bottom Round Steak Separable Lean And Fat Trimmed To 1/8 Inch Fat All Grades Cooked Braised")</f>
        <v>Beef Round Bottom Round Steak Separable Lean And Fat Trimmed To 1/8 Inch Fat All Grades Cooked Braised</v>
      </c>
      <c r="C609" t="str">
        <f>IFERROR(__xludf.DUMMYFUNCTION("""COMPUTED_VALUE"""),"Meats")</f>
        <v>Meats</v>
      </c>
      <c r="D609">
        <f>IFERROR(__xludf.DUMMYFUNCTION("""COMPUTED_VALUE"""),247.0)</f>
        <v>247</v>
      </c>
      <c r="E609">
        <f>IFERROR(__xludf.DUMMYFUNCTION("""COMPUTED_VALUE"""),11.87)</f>
        <v>11.87</v>
      </c>
      <c r="F609">
        <f>IFERROR(__xludf.DUMMYFUNCTION("""COMPUTED_VALUE"""),32.76)</f>
        <v>32.76</v>
      </c>
      <c r="G609">
        <f>IFERROR(__xludf.DUMMYFUNCTION("""COMPUTED_VALUE"""),0.0)</f>
        <v>0</v>
      </c>
    </row>
    <row r="610">
      <c r="A610">
        <f>IFERROR(__xludf.DUMMYFUNCTION("""COMPUTED_VALUE"""),169521.0)</f>
        <v>169521</v>
      </c>
      <c r="B610" t="str">
        <f>IFERROR(__xludf.DUMMYFUNCTION("""COMPUTED_VALUE"""),"Beef Round Bottom Round Steak Separable Lean And Fat Trimmed To 1/8 Inch Fat Select Cooked Braised")</f>
        <v>Beef Round Bottom Round Steak Separable Lean And Fat Trimmed To 1/8 Inch Fat Select Cooked Braised</v>
      </c>
      <c r="C610" t="str">
        <f>IFERROR(__xludf.DUMMYFUNCTION("""COMPUTED_VALUE"""),"Meats")</f>
        <v>Meats</v>
      </c>
      <c r="D610">
        <f>IFERROR(__xludf.DUMMYFUNCTION("""COMPUTED_VALUE"""),240.0)</f>
        <v>240</v>
      </c>
      <c r="E610">
        <f>IFERROR(__xludf.DUMMYFUNCTION("""COMPUTED_VALUE"""),11.19)</f>
        <v>11.19</v>
      </c>
      <c r="F610">
        <f>IFERROR(__xludf.DUMMYFUNCTION("""COMPUTED_VALUE"""),32.67)</f>
        <v>32.67</v>
      </c>
      <c r="G610">
        <f>IFERROR(__xludf.DUMMYFUNCTION("""COMPUTED_VALUE"""),0.0)</f>
        <v>0</v>
      </c>
    </row>
    <row r="611">
      <c r="A611">
        <f>IFERROR(__xludf.DUMMYFUNCTION("""COMPUTED_VALUE"""),169522.0)</f>
        <v>169522</v>
      </c>
      <c r="B611" t="str">
        <f>IFERROR(__xludf.DUMMYFUNCTION("""COMPUTED_VALUE"""),"Beef Round Bottom Round Roast Separable Lean And Fat Trimmed To 1/8 Inch Fat Select Cooked Roasted")</f>
        <v>Beef Round Bottom Round Roast Separable Lean And Fat Trimmed To 1/8 Inch Fat Select Cooked Roasted</v>
      </c>
      <c r="C611" t="str">
        <f>IFERROR(__xludf.DUMMYFUNCTION("""COMPUTED_VALUE"""),"Meats")</f>
        <v>Meats</v>
      </c>
      <c r="D611">
        <f>IFERROR(__xludf.DUMMYFUNCTION("""COMPUTED_VALUE"""),212.0)</f>
        <v>212</v>
      </c>
      <c r="E611">
        <f>IFERROR(__xludf.DUMMYFUNCTION("""COMPUTED_VALUE"""),10.85)</f>
        <v>10.85</v>
      </c>
      <c r="F611">
        <f>IFERROR(__xludf.DUMMYFUNCTION("""COMPUTED_VALUE"""),26.77)</f>
        <v>26.77</v>
      </c>
      <c r="G611">
        <f>IFERROR(__xludf.DUMMYFUNCTION("""COMPUTED_VALUE"""),0.0)</f>
        <v>0</v>
      </c>
    </row>
    <row r="612">
      <c r="A612">
        <f>IFERROR(__xludf.DUMMYFUNCTION("""COMPUTED_VALUE"""),169523.0)</f>
        <v>169523</v>
      </c>
      <c r="B612" t="str">
        <f>IFERROR(__xludf.DUMMYFUNCTION("""COMPUTED_VALUE"""),"Beef Round Eye Of Round Roast Separable Lean And Fat Trimmed To 1/8 Inch Fat All Grades Raw")</f>
        <v>Beef Round Eye Of Round Roast Separable Lean And Fat Trimmed To 1/8 Inch Fat All Grades Raw</v>
      </c>
      <c r="C612" t="str">
        <f>IFERROR(__xludf.DUMMYFUNCTION("""COMPUTED_VALUE"""),"Meats")</f>
        <v>Meats</v>
      </c>
      <c r="D612">
        <f>IFERROR(__xludf.DUMMYFUNCTION("""COMPUTED_VALUE"""),166.0)</f>
        <v>166</v>
      </c>
      <c r="E612">
        <f>IFERROR(__xludf.DUMMYFUNCTION("""COMPUTED_VALUE"""),8.24)</f>
        <v>8.24</v>
      </c>
      <c r="F612">
        <f>IFERROR(__xludf.DUMMYFUNCTION("""COMPUTED_VALUE"""),21.49)</f>
        <v>21.49</v>
      </c>
      <c r="G612">
        <f>IFERROR(__xludf.DUMMYFUNCTION("""COMPUTED_VALUE"""),0.0)</f>
        <v>0</v>
      </c>
    </row>
    <row r="613">
      <c r="A613">
        <f>IFERROR(__xludf.DUMMYFUNCTION("""COMPUTED_VALUE"""),169524.0)</f>
        <v>169524</v>
      </c>
      <c r="B613" t="str">
        <f>IFERROR(__xludf.DUMMYFUNCTION("""COMPUTED_VALUE"""),"Beef Round Eye Of Round Roast Separable Lean And Fat Trimmed To 1/8 Inch Fat All Grades Cooked Roasted")</f>
        <v>Beef Round Eye Of Round Roast Separable Lean And Fat Trimmed To 1/8 Inch Fat All Grades Cooked Roasted</v>
      </c>
      <c r="C613" t="str">
        <f>IFERROR(__xludf.DUMMYFUNCTION("""COMPUTED_VALUE"""),"Meats")</f>
        <v>Meats</v>
      </c>
      <c r="D613">
        <f>IFERROR(__xludf.DUMMYFUNCTION("""COMPUTED_VALUE"""),208.0)</f>
        <v>208</v>
      </c>
      <c r="E613">
        <f>IFERROR(__xludf.DUMMYFUNCTION("""COMPUTED_VALUE"""),9.65)</f>
        <v>9.65</v>
      </c>
      <c r="F613">
        <f>IFERROR(__xludf.DUMMYFUNCTION("""COMPUTED_VALUE"""),28.31)</f>
        <v>28.31</v>
      </c>
      <c r="G613">
        <f>IFERROR(__xludf.DUMMYFUNCTION("""COMPUTED_VALUE"""),0.0)</f>
        <v>0</v>
      </c>
    </row>
    <row r="614">
      <c r="A614">
        <f>IFERROR(__xludf.DUMMYFUNCTION("""COMPUTED_VALUE"""),169525.0)</f>
        <v>169525</v>
      </c>
      <c r="B614" t="str">
        <f>IFERROR(__xludf.DUMMYFUNCTION("""COMPUTED_VALUE"""),"Beef Round Tip Round Separable Lean And Fat Trimmed To 1/8 Inch Fat All Grades Raw")</f>
        <v>Beef Round Tip Round Separable Lean And Fat Trimmed To 1/8 Inch Fat All Grades Raw</v>
      </c>
      <c r="C614" t="str">
        <f>IFERROR(__xludf.DUMMYFUNCTION("""COMPUTED_VALUE"""),"Meats")</f>
        <v>Meats</v>
      </c>
      <c r="D614">
        <f>IFERROR(__xludf.DUMMYFUNCTION("""COMPUTED_VALUE"""),189.0)</f>
        <v>189</v>
      </c>
      <c r="E614">
        <f>IFERROR(__xludf.DUMMYFUNCTION("""COMPUTED_VALUE"""),11.67)</f>
        <v>11.67</v>
      </c>
      <c r="F614">
        <f>IFERROR(__xludf.DUMMYFUNCTION("""COMPUTED_VALUE"""),19.6)</f>
        <v>19.6</v>
      </c>
      <c r="G614">
        <f>IFERROR(__xludf.DUMMYFUNCTION("""COMPUTED_VALUE"""),0.0)</f>
        <v>0</v>
      </c>
    </row>
    <row r="615">
      <c r="A615">
        <f>IFERROR(__xludf.DUMMYFUNCTION("""COMPUTED_VALUE"""),169526.0)</f>
        <v>169526</v>
      </c>
      <c r="B615" t="str">
        <f>IFERROR(__xludf.DUMMYFUNCTION("""COMPUTED_VALUE"""),"Beef Round Tip Round Roast Separable Lean And Fat Trimmed To 1/8 Inch Fat All Grades Cooked Roasted")</f>
        <v>Beef Round Tip Round Roast Separable Lean And Fat Trimmed To 1/8 Inch Fat All Grades Cooked Roasted</v>
      </c>
      <c r="C615" t="str">
        <f>IFERROR(__xludf.DUMMYFUNCTION("""COMPUTED_VALUE"""),"Meats")</f>
        <v>Meats</v>
      </c>
      <c r="D615">
        <f>IFERROR(__xludf.DUMMYFUNCTION("""COMPUTED_VALUE"""),219.0)</f>
        <v>219</v>
      </c>
      <c r="E615">
        <f>IFERROR(__xludf.DUMMYFUNCTION("""COMPUTED_VALUE"""),11.34)</f>
        <v>11.34</v>
      </c>
      <c r="F615">
        <f>IFERROR(__xludf.DUMMYFUNCTION("""COMPUTED_VALUE"""),27.45)</f>
        <v>27.45</v>
      </c>
      <c r="G615">
        <f>IFERROR(__xludf.DUMMYFUNCTION("""COMPUTED_VALUE"""),0.0)</f>
        <v>0</v>
      </c>
    </row>
    <row r="616">
      <c r="A616">
        <f>IFERROR(__xludf.DUMMYFUNCTION("""COMPUTED_VALUE"""),169527.0)</f>
        <v>169527</v>
      </c>
      <c r="B616" t="str">
        <f>IFERROR(__xludf.DUMMYFUNCTION("""COMPUTED_VALUE"""),"Beef Round Tip Round Separable Lean And Fat Trimmed To 1/8 Inch Fat Choice Raw")</f>
        <v>Beef Round Tip Round Separable Lean And Fat Trimmed To 1/8 Inch Fat Choice Raw</v>
      </c>
      <c r="C616" t="str">
        <f>IFERROR(__xludf.DUMMYFUNCTION("""COMPUTED_VALUE"""),"Meats")</f>
        <v>Meats</v>
      </c>
      <c r="D616">
        <f>IFERROR(__xludf.DUMMYFUNCTION("""COMPUTED_VALUE"""),199.0)</f>
        <v>199</v>
      </c>
      <c r="E616">
        <f>IFERROR(__xludf.DUMMYFUNCTION("""COMPUTED_VALUE"""),12.83)</f>
        <v>12.83</v>
      </c>
      <c r="F616">
        <f>IFERROR(__xludf.DUMMYFUNCTION("""COMPUTED_VALUE"""),19.48)</f>
        <v>19.48</v>
      </c>
      <c r="G616">
        <f>IFERROR(__xludf.DUMMYFUNCTION("""COMPUTED_VALUE"""),0.0)</f>
        <v>0</v>
      </c>
    </row>
    <row r="617">
      <c r="A617">
        <f>IFERROR(__xludf.DUMMYFUNCTION("""COMPUTED_VALUE"""),169528.0)</f>
        <v>169528</v>
      </c>
      <c r="B617" t="str">
        <f>IFERROR(__xludf.DUMMYFUNCTION("""COMPUTED_VALUE"""),"Beef Round Tip Round Roast Separable Lean And Fat Trimmed To 1/8 Inch Fat Choice Cooked Roasted")</f>
        <v>Beef Round Tip Round Roast Separable Lean And Fat Trimmed To 1/8 Inch Fat Choice Cooked Roasted</v>
      </c>
      <c r="C617" t="str">
        <f>IFERROR(__xludf.DUMMYFUNCTION("""COMPUTED_VALUE"""),"Meats")</f>
        <v>Meats</v>
      </c>
      <c r="D617">
        <f>IFERROR(__xludf.DUMMYFUNCTION("""COMPUTED_VALUE"""),228.0)</f>
        <v>228</v>
      </c>
      <c r="E617">
        <f>IFERROR(__xludf.DUMMYFUNCTION("""COMPUTED_VALUE"""),12.34)</f>
        <v>12.34</v>
      </c>
      <c r="F617">
        <f>IFERROR(__xludf.DUMMYFUNCTION("""COMPUTED_VALUE"""),27.27)</f>
        <v>27.27</v>
      </c>
      <c r="G617">
        <f>IFERROR(__xludf.DUMMYFUNCTION("""COMPUTED_VALUE"""),0.0)</f>
        <v>0</v>
      </c>
    </row>
    <row r="618">
      <c r="A618">
        <f>IFERROR(__xludf.DUMMYFUNCTION("""COMPUTED_VALUE"""),169529.0)</f>
        <v>169529</v>
      </c>
      <c r="B618" t="str">
        <f>IFERROR(__xludf.DUMMYFUNCTION("""COMPUTED_VALUE"""),"Beef Round Top Round Steak Separable Lean And Fat Trimmed To 1/8 Inch Fat All Grades Raw")</f>
        <v>Beef Round Top Round Steak Separable Lean And Fat Trimmed To 1/8 Inch Fat All Grades Raw</v>
      </c>
      <c r="C618" t="str">
        <f>IFERROR(__xludf.DUMMYFUNCTION("""COMPUTED_VALUE"""),"Meats")</f>
        <v>Meats</v>
      </c>
      <c r="D618">
        <f>IFERROR(__xludf.DUMMYFUNCTION("""COMPUTED_VALUE"""),166.0)</f>
        <v>166</v>
      </c>
      <c r="E618">
        <f>IFERROR(__xludf.DUMMYFUNCTION("""COMPUTED_VALUE"""),7.93)</f>
        <v>7.93</v>
      </c>
      <c r="F618">
        <f>IFERROR(__xludf.DUMMYFUNCTION("""COMPUTED_VALUE"""),22.06)</f>
        <v>22.06</v>
      </c>
      <c r="G618">
        <f>IFERROR(__xludf.DUMMYFUNCTION("""COMPUTED_VALUE"""),0.0)</f>
        <v>0</v>
      </c>
    </row>
    <row r="619">
      <c r="A619">
        <f>IFERROR(__xludf.DUMMYFUNCTION("""COMPUTED_VALUE"""),169530.0)</f>
        <v>169530</v>
      </c>
      <c r="B619" t="str">
        <f>IFERROR(__xludf.DUMMYFUNCTION("""COMPUTED_VALUE"""),"Beef Round Top Round Separable Lean And Fat Trimmed To 1/8 Inch Fat All Grades Cooked Braised")</f>
        <v>Beef Round Top Round Separable Lean And Fat Trimmed To 1/8 Inch Fat All Grades Cooked Braised</v>
      </c>
      <c r="C619" t="str">
        <f>IFERROR(__xludf.DUMMYFUNCTION("""COMPUTED_VALUE"""),"Meats")</f>
        <v>Meats</v>
      </c>
      <c r="D619">
        <f>IFERROR(__xludf.DUMMYFUNCTION("""COMPUTED_VALUE"""),238.0)</f>
        <v>238</v>
      </c>
      <c r="E619">
        <f>IFERROR(__xludf.DUMMYFUNCTION("""COMPUTED_VALUE"""),10.13)</f>
        <v>10.13</v>
      </c>
      <c r="F619">
        <f>IFERROR(__xludf.DUMMYFUNCTION("""COMPUTED_VALUE"""),34.34)</f>
        <v>34.34</v>
      </c>
      <c r="G619">
        <f>IFERROR(__xludf.DUMMYFUNCTION("""COMPUTED_VALUE"""),0.0)</f>
        <v>0</v>
      </c>
    </row>
    <row r="620">
      <c r="A620">
        <f>IFERROR(__xludf.DUMMYFUNCTION("""COMPUTED_VALUE"""),169531.0)</f>
        <v>169531</v>
      </c>
      <c r="B620" t="str">
        <f>IFERROR(__xludf.DUMMYFUNCTION("""COMPUTED_VALUE"""),"London Broil")</f>
        <v>London Broil</v>
      </c>
      <c r="C620" t="str">
        <f>IFERROR(__xludf.DUMMYFUNCTION("""COMPUTED_VALUE"""),"Meats")</f>
        <v>Meats</v>
      </c>
      <c r="D620">
        <f>IFERROR(__xludf.DUMMYFUNCTION("""COMPUTED_VALUE"""),204.0)</f>
        <v>204</v>
      </c>
      <c r="E620">
        <f>IFERROR(__xludf.DUMMYFUNCTION("""COMPUTED_VALUE"""),9.0)</f>
        <v>9</v>
      </c>
      <c r="F620">
        <f>IFERROR(__xludf.DUMMYFUNCTION("""COMPUTED_VALUE"""),30.67)</f>
        <v>30.67</v>
      </c>
      <c r="G620">
        <f>IFERROR(__xludf.DUMMYFUNCTION("""COMPUTED_VALUE"""),0.0)</f>
        <v>0</v>
      </c>
    </row>
    <row r="621">
      <c r="A621">
        <f>IFERROR(__xludf.DUMMYFUNCTION("""COMPUTED_VALUE"""),169532.0)</f>
        <v>169532</v>
      </c>
      <c r="B621" t="str">
        <f>IFERROR(__xludf.DUMMYFUNCTION("""COMPUTED_VALUE"""),"Beef Round Top Round Steak Separable Lean And Fat Trimmed To 1/8 Inch Fat Choice Raw")</f>
        <v>Beef Round Top Round Steak Separable Lean And Fat Trimmed To 1/8 Inch Fat Choice Raw</v>
      </c>
      <c r="C621" t="str">
        <f>IFERROR(__xludf.DUMMYFUNCTION("""COMPUTED_VALUE"""),"Meats")</f>
        <v>Meats</v>
      </c>
      <c r="D621">
        <f>IFERROR(__xludf.DUMMYFUNCTION("""COMPUTED_VALUE"""),168.0)</f>
        <v>168</v>
      </c>
      <c r="E621">
        <f>IFERROR(__xludf.DUMMYFUNCTION("""COMPUTED_VALUE"""),8.19)</f>
        <v>8.19</v>
      </c>
      <c r="F621">
        <f>IFERROR(__xludf.DUMMYFUNCTION("""COMPUTED_VALUE"""),21.94)</f>
        <v>21.94</v>
      </c>
      <c r="G621">
        <f>IFERROR(__xludf.DUMMYFUNCTION("""COMPUTED_VALUE"""),0.0)</f>
        <v>0</v>
      </c>
    </row>
    <row r="622">
      <c r="A622">
        <f>IFERROR(__xludf.DUMMYFUNCTION("""COMPUTED_VALUE"""),169533.0)</f>
        <v>169533</v>
      </c>
      <c r="B622" t="str">
        <f>IFERROR(__xludf.DUMMYFUNCTION("""COMPUTED_VALUE"""),"Beef Round Top Round Steak Separable Lean And Fat Trimmed To 1/8 Inch Fat Select Cooked Broiled")</f>
        <v>Beef Round Top Round Steak Separable Lean And Fat Trimmed To 1/8 Inch Fat Select Cooked Broiled</v>
      </c>
      <c r="C622" t="str">
        <f>IFERROR(__xludf.DUMMYFUNCTION("""COMPUTED_VALUE"""),"Meats")</f>
        <v>Meats</v>
      </c>
      <c r="D622">
        <f>IFERROR(__xludf.DUMMYFUNCTION("""COMPUTED_VALUE"""),201.0)</f>
        <v>201</v>
      </c>
      <c r="E622">
        <f>IFERROR(__xludf.DUMMYFUNCTION("""COMPUTED_VALUE"""),7.73)</f>
        <v>7.73</v>
      </c>
      <c r="F622">
        <f>IFERROR(__xludf.DUMMYFUNCTION("""COMPUTED_VALUE"""),30.63)</f>
        <v>30.63</v>
      </c>
      <c r="G622">
        <f>IFERROR(__xludf.DUMMYFUNCTION("""COMPUTED_VALUE"""),0.0)</f>
        <v>0</v>
      </c>
    </row>
    <row r="623">
      <c r="A623">
        <f>IFERROR(__xludf.DUMMYFUNCTION("""COMPUTED_VALUE"""),169534.0)</f>
        <v>169534</v>
      </c>
      <c r="B623" t="str">
        <f>IFERROR(__xludf.DUMMYFUNCTION("""COMPUTED_VALUE"""),"Beef Round Top Round Separable Lean And Fat Trimmed To 1/8 Inch Fat Prime Raw")</f>
        <v>Beef Round Top Round Separable Lean And Fat Trimmed To 1/8 Inch Fat Prime Raw</v>
      </c>
      <c r="C623" t="str">
        <f>IFERROR(__xludf.DUMMYFUNCTION("""COMPUTED_VALUE"""),"Meats")</f>
        <v>Meats</v>
      </c>
      <c r="D623">
        <f>IFERROR(__xludf.DUMMYFUNCTION("""COMPUTED_VALUE"""),173.0)</f>
        <v>173</v>
      </c>
      <c r="E623">
        <f>IFERROR(__xludf.DUMMYFUNCTION("""COMPUTED_VALUE"""),8.67)</f>
        <v>8.67</v>
      </c>
      <c r="F623">
        <f>IFERROR(__xludf.DUMMYFUNCTION("""COMPUTED_VALUE"""),22.24)</f>
        <v>22.24</v>
      </c>
      <c r="G623">
        <f>IFERROR(__xludf.DUMMYFUNCTION("""COMPUTED_VALUE"""),0.0)</f>
        <v>0</v>
      </c>
    </row>
    <row r="624">
      <c r="A624">
        <f>IFERROR(__xludf.DUMMYFUNCTION("""COMPUTED_VALUE"""),169535.0)</f>
        <v>169535</v>
      </c>
      <c r="B624" t="str">
        <f>IFERROR(__xludf.DUMMYFUNCTION("""COMPUTED_VALUE"""),"Beef Round Top Round Steak Separable Lean And Fat Trimmed To 1/8 Inch Fat Prime Cooked Broiled")</f>
        <v>Beef Round Top Round Steak Separable Lean And Fat Trimmed To 1/8 Inch Fat Prime Cooked Broiled</v>
      </c>
      <c r="C624" t="str">
        <f>IFERROR(__xludf.DUMMYFUNCTION("""COMPUTED_VALUE"""),"Meats")</f>
        <v>Meats</v>
      </c>
      <c r="D624">
        <f>IFERROR(__xludf.DUMMYFUNCTION("""COMPUTED_VALUE"""),225.0)</f>
        <v>225</v>
      </c>
      <c r="E624">
        <f>IFERROR(__xludf.DUMMYFUNCTION("""COMPUTED_VALUE"""),10.1)</f>
        <v>10.1</v>
      </c>
      <c r="F624">
        <f>IFERROR(__xludf.DUMMYFUNCTION("""COMPUTED_VALUE"""),31.27)</f>
        <v>31.27</v>
      </c>
      <c r="G624">
        <f>IFERROR(__xludf.DUMMYFUNCTION("""COMPUTED_VALUE"""),0.0)</f>
        <v>0</v>
      </c>
    </row>
    <row r="625">
      <c r="A625">
        <f>IFERROR(__xludf.DUMMYFUNCTION("""COMPUTED_VALUE"""),169536.0)</f>
        <v>169536</v>
      </c>
      <c r="B625" t="str">
        <f>IFERROR(__xludf.DUMMYFUNCTION("""COMPUTED_VALUE"""),"Beef Shoulder Top Blade Steak Boneless Separable Lean And Fat Trimmed To 0 Inch Fat Select Raw")</f>
        <v>Beef Shoulder Top Blade Steak Boneless Separable Lean And Fat Trimmed To 0 Inch Fat Select Raw</v>
      </c>
      <c r="C625" t="str">
        <f>IFERROR(__xludf.DUMMYFUNCTION("""COMPUTED_VALUE"""),"Meats")</f>
        <v>Meats</v>
      </c>
      <c r="D625">
        <f>IFERROR(__xludf.DUMMYFUNCTION("""COMPUTED_VALUE"""),137.0)</f>
        <v>137</v>
      </c>
      <c r="E625">
        <f>IFERROR(__xludf.DUMMYFUNCTION("""COMPUTED_VALUE"""),6.21)</f>
        <v>6.21</v>
      </c>
      <c r="F625">
        <f>IFERROR(__xludf.DUMMYFUNCTION("""COMPUTED_VALUE"""),20.28)</f>
        <v>20.28</v>
      </c>
      <c r="G625">
        <f>IFERROR(__xludf.DUMMYFUNCTION("""COMPUTED_VALUE"""),0.0)</f>
        <v>0</v>
      </c>
    </row>
    <row r="626">
      <c r="A626">
        <f>IFERROR(__xludf.DUMMYFUNCTION("""COMPUTED_VALUE"""),169537.0)</f>
        <v>169537</v>
      </c>
      <c r="B626" t="str">
        <f>IFERROR(__xludf.DUMMYFUNCTION("""COMPUTED_VALUE"""),"Beef Short Loin T-Bone Steak Separable Lean And Fat Trimmed To 1/8 Inch Fat Choice Cooked Grilled")</f>
        <v>Beef Short Loin T-Bone Steak Separable Lean And Fat Trimmed To 1/8 Inch Fat Choice Cooked Grilled</v>
      </c>
      <c r="C626" t="str">
        <f>IFERROR(__xludf.DUMMYFUNCTION("""COMPUTED_VALUE"""),"Meats")</f>
        <v>Meats</v>
      </c>
      <c r="D626">
        <f>IFERROR(__xludf.DUMMYFUNCTION("""COMPUTED_VALUE"""),294.0)</f>
        <v>294</v>
      </c>
      <c r="E626">
        <f>IFERROR(__xludf.DUMMYFUNCTION("""COMPUTED_VALUE"""),21.13)</f>
        <v>21.13</v>
      </c>
      <c r="F626">
        <f>IFERROR(__xludf.DUMMYFUNCTION("""COMPUTED_VALUE"""),24.21)</f>
        <v>24.21</v>
      </c>
      <c r="G626">
        <f>IFERROR(__xludf.DUMMYFUNCTION("""COMPUTED_VALUE"""),0.0)</f>
        <v>0</v>
      </c>
    </row>
    <row r="627">
      <c r="A627">
        <f>IFERROR(__xludf.DUMMYFUNCTION("""COMPUTED_VALUE"""),169538.0)</f>
        <v>169538</v>
      </c>
      <c r="B627" t="str">
        <f>IFERROR(__xludf.DUMMYFUNCTION("""COMPUTED_VALUE"""),"Beef Short Loin Top Loin Steak Separable Lean And Fat Trimmed To 1/8 Inch Fat All Grades Raw")</f>
        <v>Beef Short Loin Top Loin Steak Separable Lean And Fat Trimmed To 1/8 Inch Fat All Grades Raw</v>
      </c>
      <c r="C627" t="str">
        <f>IFERROR(__xludf.DUMMYFUNCTION("""COMPUTED_VALUE"""),"Meats")</f>
        <v>Meats</v>
      </c>
      <c r="D627">
        <f>IFERROR(__xludf.DUMMYFUNCTION("""COMPUTED_VALUE"""),228.0)</f>
        <v>228</v>
      </c>
      <c r="E627">
        <f>IFERROR(__xludf.DUMMYFUNCTION("""COMPUTED_VALUE"""),15.49)</f>
        <v>15.49</v>
      </c>
      <c r="F627">
        <f>IFERROR(__xludf.DUMMYFUNCTION("""COMPUTED_VALUE"""),20.61)</f>
        <v>20.61</v>
      </c>
      <c r="G627">
        <f>IFERROR(__xludf.DUMMYFUNCTION("""COMPUTED_VALUE"""),0.0)</f>
        <v>0</v>
      </c>
    </row>
    <row r="628">
      <c r="A628">
        <f>IFERROR(__xludf.DUMMYFUNCTION("""COMPUTED_VALUE"""),169539.0)</f>
        <v>169539</v>
      </c>
      <c r="B628" t="str">
        <f>IFERROR(__xludf.DUMMYFUNCTION("""COMPUTED_VALUE"""),"Beef Loin Top Loin Separable Lean And Fat Trimmed To 1/8 Inch Fat All Grades Cooked Grilled")</f>
        <v>Beef Loin Top Loin Separable Lean And Fat Trimmed To 1/8 Inch Fat All Grades Cooked Grilled</v>
      </c>
      <c r="C628" t="str">
        <f>IFERROR(__xludf.DUMMYFUNCTION("""COMPUTED_VALUE"""),"Meats")</f>
        <v>Meats</v>
      </c>
      <c r="D628">
        <f>IFERROR(__xludf.DUMMYFUNCTION("""COMPUTED_VALUE"""),264.0)</f>
        <v>264</v>
      </c>
      <c r="E628">
        <f>IFERROR(__xludf.DUMMYFUNCTION("""COMPUTED_VALUE"""),16.78)</f>
        <v>16.78</v>
      </c>
      <c r="F628">
        <f>IFERROR(__xludf.DUMMYFUNCTION("""COMPUTED_VALUE"""),26.44)</f>
        <v>26.44</v>
      </c>
      <c r="G628">
        <f>IFERROR(__xludf.DUMMYFUNCTION("""COMPUTED_VALUE"""),0.0)</f>
        <v>0</v>
      </c>
    </row>
    <row r="629">
      <c r="A629">
        <f>IFERROR(__xludf.DUMMYFUNCTION("""COMPUTED_VALUE"""),169540.0)</f>
        <v>169540</v>
      </c>
      <c r="B629" t="str">
        <f>IFERROR(__xludf.DUMMYFUNCTION("""COMPUTED_VALUE"""),"Beef Loin Top Loin Separable Lean And Fat Trimmed To 1/8 Inch Fat Choice Raw")</f>
        <v>Beef Loin Top Loin Separable Lean And Fat Trimmed To 1/8 Inch Fat Choice Raw</v>
      </c>
      <c r="C629" t="str">
        <f>IFERROR(__xludf.DUMMYFUNCTION("""COMPUTED_VALUE"""),"Meats")</f>
        <v>Meats</v>
      </c>
      <c r="D629">
        <f>IFERROR(__xludf.DUMMYFUNCTION("""COMPUTED_VALUE"""),237.0)</f>
        <v>237</v>
      </c>
      <c r="E629">
        <f>IFERROR(__xludf.DUMMYFUNCTION("""COMPUTED_VALUE"""),17.1)</f>
        <v>17.1</v>
      </c>
      <c r="F629">
        <f>IFERROR(__xludf.DUMMYFUNCTION("""COMPUTED_VALUE"""),19.32)</f>
        <v>19.32</v>
      </c>
      <c r="G629">
        <f>IFERROR(__xludf.DUMMYFUNCTION("""COMPUTED_VALUE"""),0.0)</f>
        <v>0</v>
      </c>
    </row>
    <row r="630">
      <c r="A630">
        <f>IFERROR(__xludf.DUMMYFUNCTION("""COMPUTED_VALUE"""),169541.0)</f>
        <v>169541</v>
      </c>
      <c r="B630" t="str">
        <f>IFERROR(__xludf.DUMMYFUNCTION("""COMPUTED_VALUE"""),"Beef Short Loin Top Loin Separable Lean And Fat Trimmed To 1/8 Inch Fat Prime Cooked Broiled")</f>
        <v>Beef Short Loin Top Loin Separable Lean And Fat Trimmed To 1/8 Inch Fat Prime Cooked Broiled</v>
      </c>
      <c r="C630" t="str">
        <f>IFERROR(__xludf.DUMMYFUNCTION("""COMPUTED_VALUE"""),"Meats")</f>
        <v>Meats</v>
      </c>
      <c r="D630">
        <f>IFERROR(__xludf.DUMMYFUNCTION("""COMPUTED_VALUE"""),310.0)</f>
        <v>310</v>
      </c>
      <c r="E630">
        <f>IFERROR(__xludf.DUMMYFUNCTION("""COMPUTED_VALUE"""),22.12)</f>
        <v>22.12</v>
      </c>
      <c r="F630">
        <f>IFERROR(__xludf.DUMMYFUNCTION("""COMPUTED_VALUE"""),25.92)</f>
        <v>25.92</v>
      </c>
      <c r="G630">
        <f>IFERROR(__xludf.DUMMYFUNCTION("""COMPUTED_VALUE"""),0.0)</f>
        <v>0</v>
      </c>
    </row>
    <row r="631">
      <c r="A631">
        <f>IFERROR(__xludf.DUMMYFUNCTION("""COMPUTED_VALUE"""),169542.0)</f>
        <v>169542</v>
      </c>
      <c r="B631" t="str">
        <f>IFERROR(__xludf.DUMMYFUNCTION("""COMPUTED_VALUE"""),"Beef Tenderloin Steak Separable Lean And Fat Trimmed To 1/8 Inch Fat All Grades Raw")</f>
        <v>Beef Tenderloin Steak Separable Lean And Fat Trimmed To 1/8 Inch Fat All Grades Raw</v>
      </c>
      <c r="C631" t="str">
        <f>IFERROR(__xludf.DUMMYFUNCTION("""COMPUTED_VALUE"""),"Meats")</f>
        <v>Meats</v>
      </c>
      <c r="D631">
        <f>IFERROR(__xludf.DUMMYFUNCTION("""COMPUTED_VALUE"""),247.0)</f>
        <v>247</v>
      </c>
      <c r="E631">
        <f>IFERROR(__xludf.DUMMYFUNCTION("""COMPUTED_VALUE"""),18.16)</f>
        <v>18.16</v>
      </c>
      <c r="F631">
        <f>IFERROR(__xludf.DUMMYFUNCTION("""COMPUTED_VALUE"""),19.61)</f>
        <v>19.61</v>
      </c>
      <c r="G631">
        <f>IFERROR(__xludf.DUMMYFUNCTION("""COMPUTED_VALUE"""),0.0)</f>
        <v>0</v>
      </c>
    </row>
    <row r="632">
      <c r="A632">
        <f>IFERROR(__xludf.DUMMYFUNCTION("""COMPUTED_VALUE"""),169543.0)</f>
        <v>169543</v>
      </c>
      <c r="B632" t="str">
        <f>IFERROR(__xludf.DUMMYFUNCTION("""COMPUTED_VALUE"""),"Beef Tenderloin Steak Separable Lean And Fat Trimmed To 1/8 Inch Fat All Grades Cooked Broiled")</f>
        <v>Beef Tenderloin Steak Separable Lean And Fat Trimmed To 1/8 Inch Fat All Grades Cooked Broiled</v>
      </c>
      <c r="C632" t="str">
        <f>IFERROR(__xludf.DUMMYFUNCTION("""COMPUTED_VALUE"""),"Meats")</f>
        <v>Meats</v>
      </c>
      <c r="D632">
        <f>IFERROR(__xludf.DUMMYFUNCTION("""COMPUTED_VALUE"""),267.0)</f>
        <v>267</v>
      </c>
      <c r="E632">
        <f>IFERROR(__xludf.DUMMYFUNCTION("""COMPUTED_VALUE"""),17.12)</f>
        <v>17.12</v>
      </c>
      <c r="F632">
        <f>IFERROR(__xludf.DUMMYFUNCTION("""COMPUTED_VALUE"""),26.46)</f>
        <v>26.46</v>
      </c>
      <c r="G632">
        <f>IFERROR(__xludf.DUMMYFUNCTION("""COMPUTED_VALUE"""),0.0)</f>
        <v>0</v>
      </c>
    </row>
    <row r="633">
      <c r="A633">
        <f>IFERROR(__xludf.DUMMYFUNCTION("""COMPUTED_VALUE"""),169544.0)</f>
        <v>169544</v>
      </c>
      <c r="B633" t="str">
        <f>IFERROR(__xludf.DUMMYFUNCTION("""COMPUTED_VALUE"""),"Beef Tenderloin Roast Separable Lean And Fat Trimmed To 1/8 Inch Fat All Grades Cooked Roasted")</f>
        <v>Beef Tenderloin Roast Separable Lean And Fat Trimmed To 1/8 Inch Fat All Grades Cooked Roasted</v>
      </c>
      <c r="C633" t="str">
        <f>IFERROR(__xludf.DUMMYFUNCTION("""COMPUTED_VALUE"""),"Meats")</f>
        <v>Meats</v>
      </c>
      <c r="D633">
        <f>IFERROR(__xludf.DUMMYFUNCTION("""COMPUTED_VALUE"""),324.0)</f>
        <v>324</v>
      </c>
      <c r="E633">
        <f>IFERROR(__xludf.DUMMYFUNCTION("""COMPUTED_VALUE"""),24.6)</f>
        <v>24.6</v>
      </c>
      <c r="F633">
        <f>IFERROR(__xludf.DUMMYFUNCTION("""COMPUTED_VALUE"""),23.9)</f>
        <v>23.9</v>
      </c>
      <c r="G633">
        <f>IFERROR(__xludf.DUMMYFUNCTION("""COMPUTED_VALUE"""),0.0)</f>
        <v>0</v>
      </c>
    </row>
    <row r="634">
      <c r="A634">
        <f>IFERROR(__xludf.DUMMYFUNCTION("""COMPUTED_VALUE"""),169545.0)</f>
        <v>169545</v>
      </c>
      <c r="B634" t="str">
        <f>IFERROR(__xludf.DUMMYFUNCTION("""COMPUTED_VALUE"""),"Beef Tenderloin Steak Separable Lean And Fat Trimmed To 1/8 Inch Fat Choice Raw")</f>
        <v>Beef Tenderloin Steak Separable Lean And Fat Trimmed To 1/8 Inch Fat Choice Raw</v>
      </c>
      <c r="C634" t="str">
        <f>IFERROR(__xludf.DUMMYFUNCTION("""COMPUTED_VALUE"""),"Meats")</f>
        <v>Meats</v>
      </c>
      <c r="D634">
        <f>IFERROR(__xludf.DUMMYFUNCTION("""COMPUTED_VALUE"""),246.0)</f>
        <v>246</v>
      </c>
      <c r="E634">
        <f>IFERROR(__xludf.DUMMYFUNCTION("""COMPUTED_VALUE"""),17.88)</f>
        <v>17.88</v>
      </c>
      <c r="F634">
        <f>IFERROR(__xludf.DUMMYFUNCTION("""COMPUTED_VALUE"""),19.82)</f>
        <v>19.82</v>
      </c>
      <c r="G634">
        <f>IFERROR(__xludf.DUMMYFUNCTION("""COMPUTED_VALUE"""),0.0)</f>
        <v>0</v>
      </c>
    </row>
    <row r="635">
      <c r="A635">
        <f>IFERROR(__xludf.DUMMYFUNCTION("""COMPUTED_VALUE"""),169546.0)</f>
        <v>169546</v>
      </c>
      <c r="B635" t="str">
        <f>IFERROR(__xludf.DUMMYFUNCTION("""COMPUTED_VALUE"""),"Beef Tenderloin Roast Separable Lean And Fat Trimmed To 1/8 Inch Fat Select Cooked Roasted")</f>
        <v>Beef Tenderloin Roast Separable Lean And Fat Trimmed To 1/8 Inch Fat Select Cooked Roasted</v>
      </c>
      <c r="C635" t="str">
        <f>IFERROR(__xludf.DUMMYFUNCTION("""COMPUTED_VALUE"""),"Meats")</f>
        <v>Meats</v>
      </c>
      <c r="D635">
        <f>IFERROR(__xludf.DUMMYFUNCTION("""COMPUTED_VALUE"""),316.0)</f>
        <v>316</v>
      </c>
      <c r="E635">
        <f>IFERROR(__xludf.DUMMYFUNCTION("""COMPUTED_VALUE"""),23.7)</f>
        <v>23.7</v>
      </c>
      <c r="F635">
        <f>IFERROR(__xludf.DUMMYFUNCTION("""COMPUTED_VALUE"""),23.9)</f>
        <v>23.9</v>
      </c>
      <c r="G635">
        <f>IFERROR(__xludf.DUMMYFUNCTION("""COMPUTED_VALUE"""),0.0)</f>
        <v>0</v>
      </c>
    </row>
    <row r="636">
      <c r="A636">
        <f>IFERROR(__xludf.DUMMYFUNCTION("""COMPUTED_VALUE"""),169547.0)</f>
        <v>169547</v>
      </c>
      <c r="B636" t="str">
        <f>IFERROR(__xludf.DUMMYFUNCTION("""COMPUTED_VALUE"""),"Beef Tenderloin Separable Lean And Fat Trimmed To 1/8 Inch Fat Prime Raw")</f>
        <v>Beef Tenderloin Separable Lean And Fat Trimmed To 1/8 Inch Fat Prime Raw</v>
      </c>
      <c r="C636" t="str">
        <f>IFERROR(__xludf.DUMMYFUNCTION("""COMPUTED_VALUE"""),"Meats")</f>
        <v>Meats</v>
      </c>
      <c r="D636">
        <f>IFERROR(__xludf.DUMMYFUNCTION("""COMPUTED_VALUE"""),274.0)</f>
        <v>274</v>
      </c>
      <c r="E636">
        <f>IFERROR(__xludf.DUMMYFUNCTION("""COMPUTED_VALUE"""),21.83)</f>
        <v>21.83</v>
      </c>
      <c r="F636">
        <f>IFERROR(__xludf.DUMMYFUNCTION("""COMPUTED_VALUE"""),18.15)</f>
        <v>18.15</v>
      </c>
      <c r="G636">
        <f>IFERROR(__xludf.DUMMYFUNCTION("""COMPUTED_VALUE"""),0.0)</f>
        <v>0</v>
      </c>
    </row>
    <row r="637">
      <c r="A637">
        <f>IFERROR(__xludf.DUMMYFUNCTION("""COMPUTED_VALUE"""),169548.0)</f>
        <v>169548</v>
      </c>
      <c r="B637" t="str">
        <f>IFERROR(__xludf.DUMMYFUNCTION("""COMPUTED_VALUE"""),"Beef Tenderloin Steak Separable Lean And Fat Trimmed To 1/8 Inch Fat Prime Cooked Broiled")</f>
        <v>Beef Tenderloin Steak Separable Lean And Fat Trimmed To 1/8 Inch Fat Prime Cooked Broiled</v>
      </c>
      <c r="C637" t="str">
        <f>IFERROR(__xludf.DUMMYFUNCTION("""COMPUTED_VALUE"""),"Meats")</f>
        <v>Meats</v>
      </c>
      <c r="D637">
        <f>IFERROR(__xludf.DUMMYFUNCTION("""COMPUTED_VALUE"""),308.0)</f>
        <v>308</v>
      </c>
      <c r="E637">
        <f>IFERROR(__xludf.DUMMYFUNCTION("""COMPUTED_VALUE"""),22.21)</f>
        <v>22.21</v>
      </c>
      <c r="F637">
        <f>IFERROR(__xludf.DUMMYFUNCTION("""COMPUTED_VALUE"""),25.26)</f>
        <v>25.26</v>
      </c>
      <c r="G637">
        <f>IFERROR(__xludf.DUMMYFUNCTION("""COMPUTED_VALUE"""),0.0)</f>
        <v>0</v>
      </c>
    </row>
    <row r="638">
      <c r="A638">
        <f>IFERROR(__xludf.DUMMYFUNCTION("""COMPUTED_VALUE"""),169549.0)</f>
        <v>169549</v>
      </c>
      <c r="B638" t="str">
        <f>IFERROR(__xludf.DUMMYFUNCTION("""COMPUTED_VALUE"""),"Beef Tenderloin Roast Separable Lean And Fat Trimmed To 1/8 Inch Fat Prime Cooked Roasted")</f>
        <v>Beef Tenderloin Roast Separable Lean And Fat Trimmed To 1/8 Inch Fat Prime Cooked Roasted</v>
      </c>
      <c r="C638" t="str">
        <f>IFERROR(__xludf.DUMMYFUNCTION("""COMPUTED_VALUE"""),"Meats")</f>
        <v>Meats</v>
      </c>
      <c r="D638">
        <f>IFERROR(__xludf.DUMMYFUNCTION("""COMPUTED_VALUE"""),343.0)</f>
        <v>343</v>
      </c>
      <c r="E638">
        <f>IFERROR(__xludf.DUMMYFUNCTION("""COMPUTED_VALUE"""),26.67)</f>
        <v>26.67</v>
      </c>
      <c r="F638">
        <f>IFERROR(__xludf.DUMMYFUNCTION("""COMPUTED_VALUE"""),24.04)</f>
        <v>24.04</v>
      </c>
      <c r="G638">
        <f>IFERROR(__xludf.DUMMYFUNCTION("""COMPUTED_VALUE"""),0.0)</f>
        <v>0</v>
      </c>
    </row>
    <row r="639">
      <c r="A639">
        <f>IFERROR(__xludf.DUMMYFUNCTION("""COMPUTED_VALUE"""),169550.0)</f>
        <v>169550</v>
      </c>
      <c r="B639" t="str">
        <f>IFERROR(__xludf.DUMMYFUNCTION("""COMPUTED_VALUE"""),"Beef Top Sirloin Steak Separable Lean And Fat Trimmed To 1/8 Inch Fat Choice Cooked Pan-Fried")</f>
        <v>Beef Top Sirloin Steak Separable Lean And Fat Trimmed To 1/8 Inch Fat Choice Cooked Pan-Fried</v>
      </c>
      <c r="C639" t="str">
        <f>IFERROR(__xludf.DUMMYFUNCTION("""COMPUTED_VALUE"""),"Meats")</f>
        <v>Meats</v>
      </c>
      <c r="D639">
        <f>IFERROR(__xludf.DUMMYFUNCTION("""COMPUTED_VALUE"""),313.0)</f>
        <v>313</v>
      </c>
      <c r="E639">
        <f>IFERROR(__xludf.DUMMYFUNCTION("""COMPUTED_VALUE"""),21.06)</f>
        <v>21.06</v>
      </c>
      <c r="F639">
        <f>IFERROR(__xludf.DUMMYFUNCTION("""COMPUTED_VALUE"""),28.77)</f>
        <v>28.77</v>
      </c>
      <c r="G639">
        <f>IFERROR(__xludf.DUMMYFUNCTION("""COMPUTED_VALUE"""),0.0)</f>
        <v>0</v>
      </c>
    </row>
    <row r="640">
      <c r="A640">
        <f>IFERROR(__xludf.DUMMYFUNCTION("""COMPUTED_VALUE"""),169551.0)</f>
        <v>169551</v>
      </c>
      <c r="B640" t="str">
        <f>IFERROR(__xludf.DUMMYFUNCTION("""COMPUTED_VALUE"""),"Beef Top Sirloin Steak Separable Lean And Fat Trimmed To 1/8 Inch Fat Select Raw")</f>
        <v>Beef Top Sirloin Steak Separable Lean And Fat Trimmed To 1/8 Inch Fat Select Raw</v>
      </c>
      <c r="C640" t="str">
        <f>IFERROR(__xludf.DUMMYFUNCTION("""COMPUTED_VALUE"""),"Meats")</f>
        <v>Meats</v>
      </c>
      <c r="D640">
        <f>IFERROR(__xludf.DUMMYFUNCTION("""COMPUTED_VALUE"""),189.0)</f>
        <v>189</v>
      </c>
      <c r="E640">
        <f>IFERROR(__xludf.DUMMYFUNCTION("""COMPUTED_VALUE"""),11.13)</f>
        <v>11.13</v>
      </c>
      <c r="F640">
        <f>IFERROR(__xludf.DUMMYFUNCTION("""COMPUTED_VALUE"""),20.68)</f>
        <v>20.68</v>
      </c>
      <c r="G640">
        <f>IFERROR(__xludf.DUMMYFUNCTION("""COMPUTED_VALUE"""),0.0)</f>
        <v>0</v>
      </c>
    </row>
    <row r="641">
      <c r="A641">
        <f>IFERROR(__xludf.DUMMYFUNCTION("""COMPUTED_VALUE"""),169552.0)</f>
        <v>169552</v>
      </c>
      <c r="B641" t="str">
        <f>IFERROR(__xludf.DUMMYFUNCTION("""COMPUTED_VALUE"""),"Beef Top Sirloin Steak Separable Lean And Fat Trimmed To 1/8 Inch Fat Select Cooked Broiled")</f>
        <v>Beef Top Sirloin Steak Separable Lean And Fat Trimmed To 1/8 Inch Fat Select Cooked Broiled</v>
      </c>
      <c r="C641" t="str">
        <f>IFERROR(__xludf.DUMMYFUNCTION("""COMPUTED_VALUE"""),"Meats")</f>
        <v>Meats</v>
      </c>
      <c r="D641">
        <f>IFERROR(__xludf.DUMMYFUNCTION("""COMPUTED_VALUE"""),230.0)</f>
        <v>230</v>
      </c>
      <c r="E641">
        <f>IFERROR(__xludf.DUMMYFUNCTION("""COMPUTED_VALUE"""),12.71)</f>
        <v>12.71</v>
      </c>
      <c r="F641">
        <f>IFERROR(__xludf.DUMMYFUNCTION("""COMPUTED_VALUE"""),27.12)</f>
        <v>27.12</v>
      </c>
      <c r="G641">
        <f>IFERROR(__xludf.DUMMYFUNCTION("""COMPUTED_VALUE"""),0.0)</f>
        <v>0</v>
      </c>
    </row>
    <row r="642">
      <c r="A642">
        <f>IFERROR(__xludf.DUMMYFUNCTION("""COMPUTED_VALUE"""),169553.0)</f>
        <v>169553</v>
      </c>
      <c r="B642" t="str">
        <f>IFERROR(__xludf.DUMMYFUNCTION("""COMPUTED_VALUE"""),"Beef Chuck Clod Roast Separable Lean Only Trimmed To 0 Inch Fat Choice Cooked Roasted")</f>
        <v>Beef Chuck Clod Roast Separable Lean Only Trimmed To 0 Inch Fat Choice Cooked Roasted</v>
      </c>
      <c r="C642" t="str">
        <f>IFERROR(__xludf.DUMMYFUNCTION("""COMPUTED_VALUE"""),"Meats")</f>
        <v>Meats</v>
      </c>
      <c r="D642">
        <f>IFERROR(__xludf.DUMMYFUNCTION("""COMPUTED_VALUE"""),171.0)</f>
        <v>171</v>
      </c>
      <c r="E642">
        <f>IFERROR(__xludf.DUMMYFUNCTION("""COMPUTED_VALUE"""),6.69)</f>
        <v>6.69</v>
      </c>
      <c r="F642">
        <f>IFERROR(__xludf.DUMMYFUNCTION("""COMPUTED_VALUE"""),25.95)</f>
        <v>25.95</v>
      </c>
      <c r="G642">
        <f>IFERROR(__xludf.DUMMYFUNCTION("""COMPUTED_VALUE"""),0.0)</f>
        <v>0</v>
      </c>
    </row>
    <row r="643">
      <c r="A643">
        <f>IFERROR(__xludf.DUMMYFUNCTION("""COMPUTED_VALUE"""),169554.0)</f>
        <v>169554</v>
      </c>
      <c r="B643" t="str">
        <f>IFERROR(__xludf.DUMMYFUNCTION("""COMPUTED_VALUE"""),"Beef Flank Steak Separable Lean And Fat Trimmed To 0 Inch Fat Select Cooked Broiled")</f>
        <v>Beef Flank Steak Separable Lean And Fat Trimmed To 0 Inch Fat Select Cooked Broiled</v>
      </c>
      <c r="C643" t="str">
        <f>IFERROR(__xludf.DUMMYFUNCTION("""COMPUTED_VALUE"""),"Meats")</f>
        <v>Meats</v>
      </c>
      <c r="D643">
        <f>IFERROR(__xludf.DUMMYFUNCTION("""COMPUTED_VALUE"""),183.0)</f>
        <v>183</v>
      </c>
      <c r="E643">
        <f>IFERROR(__xludf.DUMMYFUNCTION("""COMPUTED_VALUE"""),7.15)</f>
        <v>7.15</v>
      </c>
      <c r="F643">
        <f>IFERROR(__xludf.DUMMYFUNCTION("""COMPUTED_VALUE"""),27.78)</f>
        <v>27.78</v>
      </c>
      <c r="G643">
        <f>IFERROR(__xludf.DUMMYFUNCTION("""COMPUTED_VALUE"""),0.0)</f>
        <v>0</v>
      </c>
    </row>
    <row r="644">
      <c r="A644">
        <f>IFERROR(__xludf.DUMMYFUNCTION("""COMPUTED_VALUE"""),169555.0)</f>
        <v>169555</v>
      </c>
      <c r="B644" t="str">
        <f>IFERROR(__xludf.DUMMYFUNCTION("""COMPUTED_VALUE"""),"Beef Brisket Flat Half Separable Lean And Fat Trimmed To 0 Inch Fat Select Cooked Braised")</f>
        <v>Beef Brisket Flat Half Separable Lean And Fat Trimmed To 0 Inch Fat Select Cooked Braised</v>
      </c>
      <c r="C644" t="str">
        <f>IFERROR(__xludf.DUMMYFUNCTION("""COMPUTED_VALUE"""),"Meats")</f>
        <v>Meats</v>
      </c>
      <c r="D644">
        <f>IFERROR(__xludf.DUMMYFUNCTION("""COMPUTED_VALUE"""),205.0)</f>
        <v>205</v>
      </c>
      <c r="E644">
        <f>IFERROR(__xludf.DUMMYFUNCTION("""COMPUTED_VALUE"""),6.77)</f>
        <v>6.77</v>
      </c>
      <c r="F644">
        <f>IFERROR(__xludf.DUMMYFUNCTION("""COMPUTED_VALUE"""),33.59)</f>
        <v>33.59</v>
      </c>
      <c r="G644">
        <f>IFERROR(__xludf.DUMMYFUNCTION("""COMPUTED_VALUE"""),0.0)</f>
        <v>0</v>
      </c>
    </row>
    <row r="645">
      <c r="A645">
        <f>IFERROR(__xludf.DUMMYFUNCTION("""COMPUTED_VALUE"""),169556.0)</f>
        <v>169556</v>
      </c>
      <c r="B645" t="str">
        <f>IFERROR(__xludf.DUMMYFUNCTION("""COMPUTED_VALUE"""),"Beef Rib Eye Small End (Ribs 10-12) Separable Lean And Fat Trimmed To 0 Inch Fat Select Cooked Broiled")</f>
        <v>Beef Rib Eye Small End (Ribs 10-12) Separable Lean And Fat Trimmed To 0 Inch Fat Select Cooked Broiled</v>
      </c>
      <c r="C645" t="str">
        <f>IFERROR(__xludf.DUMMYFUNCTION("""COMPUTED_VALUE"""),"Meats")</f>
        <v>Meats</v>
      </c>
      <c r="D645">
        <f>IFERROR(__xludf.DUMMYFUNCTION("""COMPUTED_VALUE"""),234.0)</f>
        <v>234</v>
      </c>
      <c r="E645">
        <f>IFERROR(__xludf.DUMMYFUNCTION("""COMPUTED_VALUE"""),12.71)</f>
        <v>12.71</v>
      </c>
      <c r="F645">
        <f>IFERROR(__xludf.DUMMYFUNCTION("""COMPUTED_VALUE"""),27.95)</f>
        <v>27.95</v>
      </c>
      <c r="G645">
        <f>IFERROR(__xludf.DUMMYFUNCTION("""COMPUTED_VALUE"""),0.0)</f>
        <v>0</v>
      </c>
    </row>
    <row r="646">
      <c r="A646">
        <f>IFERROR(__xludf.DUMMYFUNCTION("""COMPUTED_VALUE"""),169557.0)</f>
        <v>169557</v>
      </c>
      <c r="B646" t="str">
        <f>IFERROR(__xludf.DUMMYFUNCTION("""COMPUTED_VALUE"""),"Beef Rib Eye Small End (Ribs 10-12) Separable Lean And Fat Trimmed To 0 Inch Fat All Grades Cooked Broiled")</f>
        <v>Beef Rib Eye Small End (Ribs 10-12) Separable Lean And Fat Trimmed To 0 Inch Fat All Grades Cooked Broiled</v>
      </c>
      <c r="C646" t="str">
        <f>IFERROR(__xludf.DUMMYFUNCTION("""COMPUTED_VALUE"""),"Meats")</f>
        <v>Meats</v>
      </c>
      <c r="D646">
        <f>IFERROR(__xludf.DUMMYFUNCTION("""COMPUTED_VALUE"""),249.0)</f>
        <v>249</v>
      </c>
      <c r="E646">
        <f>IFERROR(__xludf.DUMMYFUNCTION("""COMPUTED_VALUE"""),14.74)</f>
        <v>14.74</v>
      </c>
      <c r="F646">
        <f>IFERROR(__xludf.DUMMYFUNCTION("""COMPUTED_VALUE"""),27.27)</f>
        <v>27.27</v>
      </c>
      <c r="G646">
        <f>IFERROR(__xludf.DUMMYFUNCTION("""COMPUTED_VALUE"""),0.0)</f>
        <v>0</v>
      </c>
    </row>
    <row r="647">
      <c r="A647">
        <f>IFERROR(__xludf.DUMMYFUNCTION("""COMPUTED_VALUE"""),169558.0)</f>
        <v>169558</v>
      </c>
      <c r="B647" t="str">
        <f>IFERROR(__xludf.DUMMYFUNCTION("""COMPUTED_VALUE"""),"Beef Bottom Sirloin Tri-Tip Roast Separable Lean And Fat Trimmed To 0 Inch Fat All Grades Cooked Roasted")</f>
        <v>Beef Bottom Sirloin Tri-Tip Roast Separable Lean And Fat Trimmed To 0 Inch Fat All Grades Cooked Roasted</v>
      </c>
      <c r="C647" t="str">
        <f>IFERROR(__xludf.DUMMYFUNCTION("""COMPUTED_VALUE"""),"Meats")</f>
        <v>Meats</v>
      </c>
      <c r="D647">
        <f>IFERROR(__xludf.DUMMYFUNCTION("""COMPUTED_VALUE"""),211.0)</f>
        <v>211</v>
      </c>
      <c r="E647">
        <f>IFERROR(__xludf.DUMMYFUNCTION("""COMPUTED_VALUE"""),11.07)</f>
        <v>11.07</v>
      </c>
      <c r="F647">
        <f>IFERROR(__xludf.DUMMYFUNCTION("""COMPUTED_VALUE"""),26.05)</f>
        <v>26.05</v>
      </c>
      <c r="G647">
        <f>IFERROR(__xludf.DUMMYFUNCTION("""COMPUTED_VALUE"""),0.0)</f>
        <v>0</v>
      </c>
    </row>
    <row r="648">
      <c r="A648">
        <f>IFERROR(__xludf.DUMMYFUNCTION("""COMPUTED_VALUE"""),169559.0)</f>
        <v>169559</v>
      </c>
      <c r="B648" t="str">
        <f>IFERROR(__xludf.DUMMYFUNCTION("""COMPUTED_VALUE"""),"Beef Bottom Sirloin Tri-Tip Roast Separable Lean And Fat Trimmed To 0 Inch Fat Select Raw")</f>
        <v>Beef Bottom Sirloin Tri-Tip Roast Separable Lean And Fat Trimmed To 0 Inch Fat Select Raw</v>
      </c>
      <c r="C648" t="str">
        <f>IFERROR(__xludf.DUMMYFUNCTION("""COMPUTED_VALUE"""),"Meats")</f>
        <v>Meats</v>
      </c>
      <c r="D648">
        <f>IFERROR(__xludf.DUMMYFUNCTION("""COMPUTED_VALUE"""),157.0)</f>
        <v>157</v>
      </c>
      <c r="E648">
        <f>IFERROR(__xludf.DUMMYFUNCTION("""COMPUTED_VALUE"""),7.68)</f>
        <v>7.68</v>
      </c>
      <c r="F648">
        <f>IFERROR(__xludf.DUMMYFUNCTION("""COMPUTED_VALUE"""),20.64)</f>
        <v>20.64</v>
      </c>
      <c r="G648">
        <f>IFERROR(__xludf.DUMMYFUNCTION("""COMPUTED_VALUE"""),0.0)</f>
        <v>0</v>
      </c>
    </row>
    <row r="649">
      <c r="A649">
        <f>IFERROR(__xludf.DUMMYFUNCTION("""COMPUTED_VALUE"""),169560.0)</f>
        <v>169560</v>
      </c>
      <c r="B649" t="str">
        <f>IFERROR(__xludf.DUMMYFUNCTION("""COMPUTED_VALUE"""),"Beef Round Top Round Steak Boneless Separable Lean And Fat Trimmed To 0 Inch Fat All Grades Cooked Grilled")</f>
        <v>Beef Round Top Round Steak Boneless Separable Lean And Fat Trimmed To 0 Inch Fat All Grades Cooked Grilled</v>
      </c>
      <c r="C649" t="str">
        <f>IFERROR(__xludf.DUMMYFUNCTION("""COMPUTED_VALUE"""),"Meats")</f>
        <v>Meats</v>
      </c>
      <c r="D649">
        <f>IFERROR(__xludf.DUMMYFUNCTION("""COMPUTED_VALUE"""),167.0)</f>
        <v>167</v>
      </c>
      <c r="E649">
        <f>IFERROR(__xludf.DUMMYFUNCTION("""COMPUTED_VALUE"""),4.28)</f>
        <v>4.28</v>
      </c>
      <c r="F649">
        <f>IFERROR(__xludf.DUMMYFUNCTION("""COMPUTED_VALUE"""),29.96)</f>
        <v>29.96</v>
      </c>
      <c r="G649">
        <f>IFERROR(__xludf.DUMMYFUNCTION("""COMPUTED_VALUE"""),0.0)</f>
        <v>0</v>
      </c>
    </row>
    <row r="650">
      <c r="A650">
        <f>IFERROR(__xludf.DUMMYFUNCTION("""COMPUTED_VALUE"""),169561.0)</f>
        <v>169561</v>
      </c>
      <c r="B650" t="str">
        <f>IFERROR(__xludf.DUMMYFUNCTION("""COMPUTED_VALUE"""),"Beef Chuck Mock Tender Steak Separable Lean Only Trimmed To 0 Inch Fat Choice Cooked Broiled")</f>
        <v>Beef Chuck Mock Tender Steak Separable Lean Only Trimmed To 0 Inch Fat Choice Cooked Broiled</v>
      </c>
      <c r="C650" t="str">
        <f>IFERROR(__xludf.DUMMYFUNCTION("""COMPUTED_VALUE"""),"Meats")</f>
        <v>Meats</v>
      </c>
      <c r="D650">
        <f>IFERROR(__xludf.DUMMYFUNCTION("""COMPUTED_VALUE"""),161.0)</f>
        <v>161</v>
      </c>
      <c r="E650">
        <f>IFERROR(__xludf.DUMMYFUNCTION("""COMPUTED_VALUE"""),5.69)</f>
        <v>5.69</v>
      </c>
      <c r="F650">
        <f>IFERROR(__xludf.DUMMYFUNCTION("""COMPUTED_VALUE"""),25.74)</f>
        <v>25.74</v>
      </c>
      <c r="G650">
        <f>IFERROR(__xludf.DUMMYFUNCTION("""COMPUTED_VALUE"""),0.0)</f>
        <v>0</v>
      </c>
    </row>
    <row r="651">
      <c r="A651">
        <f>IFERROR(__xludf.DUMMYFUNCTION("""COMPUTED_VALUE"""),169562.0)</f>
        <v>169562</v>
      </c>
      <c r="B651" t="str">
        <f>IFERROR(__xludf.DUMMYFUNCTION("""COMPUTED_VALUE"""),"Beef Chuck Mock Tender Steak Separable Lean Only Trimmed To 0 Inch Fat Select Cooked Broiled")</f>
        <v>Beef Chuck Mock Tender Steak Separable Lean Only Trimmed To 0 Inch Fat Select Cooked Broiled</v>
      </c>
      <c r="C651" t="str">
        <f>IFERROR(__xludf.DUMMYFUNCTION("""COMPUTED_VALUE"""),"Meats")</f>
        <v>Meats</v>
      </c>
      <c r="D651">
        <f>IFERROR(__xludf.DUMMYFUNCTION("""COMPUTED_VALUE"""),157.0)</f>
        <v>157</v>
      </c>
      <c r="E651">
        <f>IFERROR(__xludf.DUMMYFUNCTION("""COMPUTED_VALUE"""),5.02)</f>
        <v>5.02</v>
      </c>
      <c r="F651">
        <f>IFERROR(__xludf.DUMMYFUNCTION("""COMPUTED_VALUE"""),26.13)</f>
        <v>26.13</v>
      </c>
      <c r="G651">
        <f>IFERROR(__xludf.DUMMYFUNCTION("""COMPUTED_VALUE"""),0.0)</f>
        <v>0</v>
      </c>
    </row>
    <row r="652">
      <c r="A652">
        <f>IFERROR(__xludf.DUMMYFUNCTION("""COMPUTED_VALUE"""),169563.0)</f>
        <v>169563</v>
      </c>
      <c r="B652" t="str">
        <f>IFERROR(__xludf.DUMMYFUNCTION("""COMPUTED_VALUE"""),"Beef Flank Steak Separable Lean And Fat Trimmed To 0 Inch Fat All Grades Raw")</f>
        <v>Beef Flank Steak Separable Lean And Fat Trimmed To 0 Inch Fat All Grades Raw</v>
      </c>
      <c r="C652" t="str">
        <f>IFERROR(__xludf.DUMMYFUNCTION("""COMPUTED_VALUE"""),"Meats")</f>
        <v>Meats</v>
      </c>
      <c r="D652">
        <f>IFERROR(__xludf.DUMMYFUNCTION("""COMPUTED_VALUE"""),155.0)</f>
        <v>155</v>
      </c>
      <c r="E652">
        <f>IFERROR(__xludf.DUMMYFUNCTION("""COMPUTED_VALUE"""),7.17)</f>
        <v>7.17</v>
      </c>
      <c r="F652">
        <f>IFERROR(__xludf.DUMMYFUNCTION("""COMPUTED_VALUE"""),21.22)</f>
        <v>21.22</v>
      </c>
      <c r="G652">
        <f>IFERROR(__xludf.DUMMYFUNCTION("""COMPUTED_VALUE"""),0.0)</f>
        <v>0</v>
      </c>
    </row>
    <row r="653">
      <c r="A653">
        <f>IFERROR(__xludf.DUMMYFUNCTION("""COMPUTED_VALUE"""),169564.0)</f>
        <v>169564</v>
      </c>
      <c r="B653" t="str">
        <f>IFERROR(__xludf.DUMMYFUNCTION("""COMPUTED_VALUE"""),"Beef Flank Steak Separable Lean And Fat Trimmed To 0 Inch Fat Select Raw")</f>
        <v>Beef Flank Steak Separable Lean And Fat Trimmed To 0 Inch Fat Select Raw</v>
      </c>
      <c r="C653" t="str">
        <f>IFERROR(__xludf.DUMMYFUNCTION("""COMPUTED_VALUE"""),"Meats")</f>
        <v>Meats</v>
      </c>
      <c r="D653">
        <f>IFERROR(__xludf.DUMMYFUNCTION("""COMPUTED_VALUE"""),145.0)</f>
        <v>145</v>
      </c>
      <c r="E653">
        <f>IFERROR(__xludf.DUMMYFUNCTION("""COMPUTED_VALUE"""),6.06)</f>
        <v>6.06</v>
      </c>
      <c r="F653">
        <f>IFERROR(__xludf.DUMMYFUNCTION("""COMPUTED_VALUE"""),21.22)</f>
        <v>21.22</v>
      </c>
      <c r="G653">
        <f>IFERROR(__xludf.DUMMYFUNCTION("""COMPUTED_VALUE"""),0.0)</f>
        <v>0</v>
      </c>
    </row>
    <row r="654">
      <c r="A654">
        <f>IFERROR(__xludf.DUMMYFUNCTION("""COMPUTED_VALUE"""),169565.0)</f>
        <v>169565</v>
      </c>
      <c r="B654" t="str">
        <f>IFERROR(__xludf.DUMMYFUNCTION("""COMPUTED_VALUE"""),"Beef Chuck Eye Roast Boneless Americas Beef Roast Separable Lean Only Trimmed To 0 Inch Fat All Grades Raw")</f>
        <v>Beef Chuck Eye Roast Boneless Americas Beef Roast Separable Lean Only Trimmed To 0 Inch Fat All Grades Raw</v>
      </c>
      <c r="C654" t="str">
        <f>IFERROR(__xludf.DUMMYFUNCTION("""COMPUTED_VALUE"""),"Meats")</f>
        <v>Meats</v>
      </c>
      <c r="D654">
        <f>IFERROR(__xludf.DUMMYFUNCTION("""COMPUTED_VALUE"""),137.0)</f>
        <v>137</v>
      </c>
      <c r="E654">
        <f>IFERROR(__xludf.DUMMYFUNCTION("""COMPUTED_VALUE"""),6.01)</f>
        <v>6.01</v>
      </c>
      <c r="F654">
        <f>IFERROR(__xludf.DUMMYFUNCTION("""COMPUTED_VALUE"""),20.61)</f>
        <v>20.61</v>
      </c>
      <c r="G654">
        <f>IFERROR(__xludf.DUMMYFUNCTION("""COMPUTED_VALUE"""),0.0)</f>
        <v>0</v>
      </c>
    </row>
    <row r="655">
      <c r="A655">
        <f>IFERROR(__xludf.DUMMYFUNCTION("""COMPUTED_VALUE"""),169566.0)</f>
        <v>169566</v>
      </c>
      <c r="B655" t="str">
        <f>IFERROR(__xludf.DUMMYFUNCTION("""COMPUTED_VALUE"""),"Beef Chuck Eye Roast Boneless Americas Beef Roast Separable Lean Only Trimmed To 0 Inch Fat Choice Raw")</f>
        <v>Beef Chuck Eye Roast Boneless Americas Beef Roast Separable Lean Only Trimmed To 0 Inch Fat Choice Raw</v>
      </c>
      <c r="C655" t="str">
        <f>IFERROR(__xludf.DUMMYFUNCTION("""COMPUTED_VALUE"""),"Meats")</f>
        <v>Meats</v>
      </c>
      <c r="D655">
        <f>IFERROR(__xludf.DUMMYFUNCTION("""COMPUTED_VALUE"""),139.0)</f>
        <v>139</v>
      </c>
      <c r="E655">
        <f>IFERROR(__xludf.DUMMYFUNCTION("""COMPUTED_VALUE"""),6.21)</f>
        <v>6.21</v>
      </c>
      <c r="F655">
        <f>IFERROR(__xludf.DUMMYFUNCTION("""COMPUTED_VALUE"""),20.67)</f>
        <v>20.67</v>
      </c>
      <c r="G655">
        <f>IFERROR(__xludf.DUMMYFUNCTION("""COMPUTED_VALUE"""),0.0)</f>
        <v>0</v>
      </c>
    </row>
    <row r="656">
      <c r="A656">
        <f>IFERROR(__xludf.DUMMYFUNCTION("""COMPUTED_VALUE"""),169567.0)</f>
        <v>169567</v>
      </c>
      <c r="B656" t="str">
        <f>IFERROR(__xludf.DUMMYFUNCTION("""COMPUTED_VALUE"""),"Beef Chuck Short Ribs Boneless Separable Lean Only Trimmed To 0 Inch Fat Choice Cooked Braised")</f>
        <v>Beef Chuck Short Ribs Boneless Separable Lean Only Trimmed To 0 Inch Fat Choice Cooked Braised</v>
      </c>
      <c r="C656" t="str">
        <f>IFERROR(__xludf.DUMMYFUNCTION("""COMPUTED_VALUE"""),"Meats")</f>
        <v>Meats</v>
      </c>
      <c r="D656">
        <f>IFERROR(__xludf.DUMMYFUNCTION("""COMPUTED_VALUE"""),250.0)</f>
        <v>250</v>
      </c>
      <c r="E656">
        <f>IFERROR(__xludf.DUMMYFUNCTION("""COMPUTED_VALUE"""),14.95)</f>
        <v>14.95</v>
      </c>
      <c r="F656">
        <f>IFERROR(__xludf.DUMMYFUNCTION("""COMPUTED_VALUE"""),28.84)</f>
        <v>28.84</v>
      </c>
      <c r="G656">
        <f>IFERROR(__xludf.DUMMYFUNCTION("""COMPUTED_VALUE"""),0.0)</f>
        <v>0</v>
      </c>
    </row>
    <row r="657">
      <c r="A657">
        <f>IFERROR(__xludf.DUMMYFUNCTION("""COMPUTED_VALUE"""),169568.0)</f>
        <v>169568</v>
      </c>
      <c r="B657" t="str">
        <f>IFERROR(__xludf.DUMMYFUNCTION("""COMPUTED_VALUE"""),"Beef Chuck Short Ribs Boneless Separable Lean Only Trimmed To 0 Inch Fat Select Cooked Braised")</f>
        <v>Beef Chuck Short Ribs Boneless Separable Lean Only Trimmed To 0 Inch Fat Select Cooked Braised</v>
      </c>
      <c r="C657" t="str">
        <f>IFERROR(__xludf.DUMMYFUNCTION("""COMPUTED_VALUE"""),"Meats")</f>
        <v>Meats</v>
      </c>
      <c r="D657">
        <f>IFERROR(__xludf.DUMMYFUNCTION("""COMPUTED_VALUE"""),224.0)</f>
        <v>224</v>
      </c>
      <c r="E657">
        <f>IFERROR(__xludf.DUMMYFUNCTION("""COMPUTED_VALUE"""),12.08)</f>
        <v>12.08</v>
      </c>
      <c r="F657">
        <f>IFERROR(__xludf.DUMMYFUNCTION("""COMPUTED_VALUE"""),28.79)</f>
        <v>28.79</v>
      </c>
      <c r="G657">
        <f>IFERROR(__xludf.DUMMYFUNCTION("""COMPUTED_VALUE"""),0.0)</f>
        <v>0</v>
      </c>
    </row>
    <row r="658">
      <c r="A658">
        <f>IFERROR(__xludf.DUMMYFUNCTION("""COMPUTED_VALUE"""),169569.0)</f>
        <v>169569</v>
      </c>
      <c r="B658" t="str">
        <f>IFERROR(__xludf.DUMMYFUNCTION("""COMPUTED_VALUE"""),"Beef Chuck Short Ribs Boneless Separable Lean Only Trimmed To 0 Inch Fat All Grades Cooked Braised")</f>
        <v>Beef Chuck Short Ribs Boneless Separable Lean Only Trimmed To 0 Inch Fat All Grades Cooked Braised</v>
      </c>
      <c r="C658" t="str">
        <f>IFERROR(__xludf.DUMMYFUNCTION("""COMPUTED_VALUE"""),"Meats")</f>
        <v>Meats</v>
      </c>
      <c r="D658">
        <f>IFERROR(__xludf.DUMMYFUNCTION("""COMPUTED_VALUE"""),240.0)</f>
        <v>240</v>
      </c>
      <c r="E658">
        <f>IFERROR(__xludf.DUMMYFUNCTION("""COMPUTED_VALUE"""),13.8)</f>
        <v>13.8</v>
      </c>
      <c r="F658">
        <f>IFERROR(__xludf.DUMMYFUNCTION("""COMPUTED_VALUE"""),28.82)</f>
        <v>28.82</v>
      </c>
      <c r="G658">
        <f>IFERROR(__xludf.DUMMYFUNCTION("""COMPUTED_VALUE"""),0.0)</f>
        <v>0</v>
      </c>
    </row>
    <row r="659">
      <c r="A659">
        <f>IFERROR(__xludf.DUMMYFUNCTION("""COMPUTED_VALUE"""),169570.0)</f>
        <v>169570</v>
      </c>
      <c r="B659" t="str">
        <f>IFERROR(__xludf.DUMMYFUNCTION("""COMPUTED_VALUE"""),"Beef Brisket Flat Half Boneless Separable Lean And Fat Trimmed To 0 Inch Fat Select Raw")</f>
        <v>Beef Brisket Flat Half Boneless Separable Lean And Fat Trimmed To 0 Inch Fat Select Raw</v>
      </c>
      <c r="C659" t="str">
        <f>IFERROR(__xludf.DUMMYFUNCTION("""COMPUTED_VALUE"""),"Meats")</f>
        <v>Meats</v>
      </c>
      <c r="D659">
        <f>IFERROR(__xludf.DUMMYFUNCTION("""COMPUTED_VALUE"""),158.0)</f>
        <v>158</v>
      </c>
      <c r="E659">
        <f>IFERROR(__xludf.DUMMYFUNCTION("""COMPUTED_VALUE"""),8.45)</f>
        <v>8.45</v>
      </c>
      <c r="F659">
        <f>IFERROR(__xludf.DUMMYFUNCTION("""COMPUTED_VALUE"""),20.57)</f>
        <v>20.57</v>
      </c>
      <c r="G659">
        <f>IFERROR(__xludf.DUMMYFUNCTION("""COMPUTED_VALUE"""),0.0)</f>
        <v>0</v>
      </c>
    </row>
    <row r="660">
      <c r="A660">
        <f>IFERROR(__xludf.DUMMYFUNCTION("""COMPUTED_VALUE"""),169571.0)</f>
        <v>169571</v>
      </c>
      <c r="B660" t="str">
        <f>IFERROR(__xludf.DUMMYFUNCTION("""COMPUTED_VALUE"""),"Beef Loin Bottom Sirloin Butt Tri-Tip Roast Separable Lean Only Trimmed To 0 Inch Fat All Grades Cooked Roasted")</f>
        <v>Beef Loin Bottom Sirloin Butt Tri-Tip Roast Separable Lean Only Trimmed To 0 Inch Fat All Grades Cooked Roasted</v>
      </c>
      <c r="C660" t="str">
        <f>IFERROR(__xludf.DUMMYFUNCTION("""COMPUTED_VALUE"""),"Meats")</f>
        <v>Meats</v>
      </c>
      <c r="D660">
        <f>IFERROR(__xludf.DUMMYFUNCTION("""COMPUTED_VALUE"""),182.0)</f>
        <v>182</v>
      </c>
      <c r="E660">
        <f>IFERROR(__xludf.DUMMYFUNCTION("""COMPUTED_VALUE"""),8.34)</f>
        <v>8.34</v>
      </c>
      <c r="F660">
        <f>IFERROR(__xludf.DUMMYFUNCTION("""COMPUTED_VALUE"""),26.75)</f>
        <v>26.75</v>
      </c>
      <c r="G660">
        <f>IFERROR(__xludf.DUMMYFUNCTION("""COMPUTED_VALUE"""),0.0)</f>
        <v>0</v>
      </c>
    </row>
    <row r="661">
      <c r="A661">
        <f>IFERROR(__xludf.DUMMYFUNCTION("""COMPUTED_VALUE"""),169866.0)</f>
        <v>169866</v>
      </c>
      <c r="B661" t="str">
        <f>IFERROR(__xludf.DUMMYFUNCTION("""COMPUTED_VALUE"""),"Frankfurter Meat And Poultry Low Fat")</f>
        <v>Frankfurter Meat And Poultry Low Fat</v>
      </c>
      <c r="C661" t="str">
        <f>IFERROR(__xludf.DUMMYFUNCTION("""COMPUTED_VALUE"""),"Meats")</f>
        <v>Meats</v>
      </c>
      <c r="D661">
        <f>IFERROR(__xludf.DUMMYFUNCTION("""COMPUTED_VALUE"""),121.0)</f>
        <v>121</v>
      </c>
      <c r="E661">
        <f>IFERROR(__xludf.DUMMYFUNCTION("""COMPUTED_VALUE"""),2.8)</f>
        <v>2.8</v>
      </c>
      <c r="F661">
        <f>IFERROR(__xludf.DUMMYFUNCTION("""COMPUTED_VALUE"""),15.5)</f>
        <v>15.5</v>
      </c>
      <c r="G661">
        <f>IFERROR(__xludf.DUMMYFUNCTION("""COMPUTED_VALUE"""),8.4)</f>
        <v>8.4</v>
      </c>
    </row>
    <row r="662">
      <c r="A662">
        <f>IFERROR(__xludf.DUMMYFUNCTION("""COMPUTED_VALUE"""),169868.0)</f>
        <v>169868</v>
      </c>
      <c r="B662" t="str">
        <f>IFERROR(__xludf.DUMMYFUNCTION("""COMPUTED_VALUE"""),"Milk Fluid Nonfat Calcium Fortified (Fat Free Or Skim)")</f>
        <v>Milk Fluid Nonfat Calcium Fortified (Fat Free Or Skim)</v>
      </c>
      <c r="C662" t="str">
        <f>IFERROR(__xludf.DUMMYFUNCTION("""COMPUTED_VALUE"""),"Dairy and Egg Products")</f>
        <v>Dairy and Egg Products</v>
      </c>
      <c r="D662">
        <f>IFERROR(__xludf.DUMMYFUNCTION("""COMPUTED_VALUE"""),35.0)</f>
        <v>35</v>
      </c>
      <c r="E662">
        <f>IFERROR(__xludf.DUMMYFUNCTION("""COMPUTED_VALUE"""),0.18)</f>
        <v>0.18</v>
      </c>
      <c r="F662">
        <f>IFERROR(__xludf.DUMMYFUNCTION("""COMPUTED_VALUE"""),3.4)</f>
        <v>3.4</v>
      </c>
      <c r="G662">
        <f>IFERROR(__xludf.DUMMYFUNCTION("""COMPUTED_VALUE"""),4.85)</f>
        <v>4.85</v>
      </c>
    </row>
    <row r="663">
      <c r="A663">
        <f>IFERROR(__xludf.DUMMYFUNCTION("""COMPUTED_VALUE"""),169897.0)</f>
        <v>169897</v>
      </c>
      <c r="B663" t="str">
        <f>IFERROR(__xludf.DUMMYFUNCTION("""COMPUTED_VALUE"""),"Beverage Instant Breakfast Powder Chocolate Sugar-Free Not Reconstituted")</f>
        <v>Beverage Instant Breakfast Powder Chocolate Sugar-Free Not Reconstituted</v>
      </c>
      <c r="C663" t="str">
        <f>IFERROR(__xludf.DUMMYFUNCTION("""COMPUTED_VALUE"""),"Dairy and Egg Products")</f>
        <v>Dairy and Egg Products</v>
      </c>
      <c r="D663">
        <f>IFERROR(__xludf.DUMMYFUNCTION("""COMPUTED_VALUE"""),358.0)</f>
        <v>358</v>
      </c>
      <c r="E663">
        <f>IFERROR(__xludf.DUMMYFUNCTION("""COMPUTED_VALUE"""),5.1)</f>
        <v>5.1</v>
      </c>
      <c r="F663">
        <f>IFERROR(__xludf.DUMMYFUNCTION("""COMPUTED_VALUE"""),35.8)</f>
        <v>35.8</v>
      </c>
      <c r="G663">
        <f>IFERROR(__xludf.DUMMYFUNCTION("""COMPUTED_VALUE"""),41.0)</f>
        <v>41</v>
      </c>
    </row>
    <row r="664">
      <c r="A664">
        <f>IFERROR(__xludf.DUMMYFUNCTION("""COMPUTED_VALUE"""),169898.0)</f>
        <v>169898</v>
      </c>
      <c r="B664" t="str">
        <f>IFERROR(__xludf.DUMMYFUNCTION("""COMPUTED_VALUE"""),"Yogurt Fruit Variety Nonfat")</f>
        <v>Yogurt Fruit Variety Nonfat</v>
      </c>
      <c r="C664" t="str">
        <f>IFERROR(__xludf.DUMMYFUNCTION("""COMPUTED_VALUE"""),"Dairy and Egg Products")</f>
        <v>Dairy and Egg Products</v>
      </c>
      <c r="D664">
        <f>IFERROR(__xludf.DUMMYFUNCTION("""COMPUTED_VALUE"""),95.0)</f>
        <v>95</v>
      </c>
      <c r="E664">
        <f>IFERROR(__xludf.DUMMYFUNCTION("""COMPUTED_VALUE"""),0.2)</f>
        <v>0.2</v>
      </c>
      <c r="F664">
        <f>IFERROR(__xludf.DUMMYFUNCTION("""COMPUTED_VALUE"""),4.4)</f>
        <v>4.4</v>
      </c>
      <c r="G664">
        <f>IFERROR(__xludf.DUMMYFUNCTION("""COMPUTED_VALUE"""),19.0)</f>
        <v>19</v>
      </c>
    </row>
    <row r="665">
      <c r="A665">
        <f>IFERROR(__xludf.DUMMYFUNCTION("""COMPUTED_VALUE"""),169899.0)</f>
        <v>169899</v>
      </c>
      <c r="B665" t="str">
        <f>IFERROR(__xludf.DUMMYFUNCTION("""COMPUTED_VALUE"""),"Whipped Cream Substitute Dietetic Made From Powdered Mix")</f>
        <v>Whipped Cream Substitute Dietetic Made From Powdered Mix</v>
      </c>
      <c r="C665" t="str">
        <f>IFERROR(__xludf.DUMMYFUNCTION("""COMPUTED_VALUE"""),"Dairy and Egg Products")</f>
        <v>Dairy and Egg Products</v>
      </c>
      <c r="D665">
        <f>IFERROR(__xludf.DUMMYFUNCTION("""COMPUTED_VALUE"""),100.0)</f>
        <v>100</v>
      </c>
      <c r="E665">
        <f>IFERROR(__xludf.DUMMYFUNCTION("""COMPUTED_VALUE"""),6.0)</f>
        <v>6</v>
      </c>
      <c r="F665">
        <f>IFERROR(__xludf.DUMMYFUNCTION("""COMPUTED_VALUE"""),0.9)</f>
        <v>0.9</v>
      </c>
      <c r="G665">
        <f>IFERROR(__xludf.DUMMYFUNCTION("""COMPUTED_VALUE"""),10.6)</f>
        <v>10.6</v>
      </c>
    </row>
    <row r="666">
      <c r="A666">
        <f>IFERROR(__xludf.DUMMYFUNCTION("""COMPUTED_VALUE"""),169901.0)</f>
        <v>169901</v>
      </c>
      <c r="B666" t="str">
        <f>IFERROR(__xludf.DUMMYFUNCTION("""COMPUTED_VALUE"""),"Cheese American Cheddar Imitation")</f>
        <v>Cheese American Cheddar Imitation</v>
      </c>
      <c r="C666" t="str">
        <f>IFERROR(__xludf.DUMMYFUNCTION("""COMPUTED_VALUE"""),"Dairy and Egg Products")</f>
        <v>Dairy and Egg Products</v>
      </c>
      <c r="D666">
        <f>IFERROR(__xludf.DUMMYFUNCTION("""COMPUTED_VALUE"""),239.0)</f>
        <v>239</v>
      </c>
      <c r="E666">
        <f>IFERROR(__xludf.DUMMYFUNCTION("""COMPUTED_VALUE"""),14.0)</f>
        <v>14</v>
      </c>
      <c r="F666">
        <f>IFERROR(__xludf.DUMMYFUNCTION("""COMPUTED_VALUE"""),16.7)</f>
        <v>16.7</v>
      </c>
      <c r="G666">
        <f>IFERROR(__xludf.DUMMYFUNCTION("""COMPUTED_VALUE"""),11.6)</f>
        <v>11.6</v>
      </c>
    </row>
    <row r="667">
      <c r="A667">
        <f>IFERROR(__xludf.DUMMYFUNCTION("""COMPUTED_VALUE"""),169902.0)</f>
        <v>169902</v>
      </c>
      <c r="B667" t="str">
        <f>IFERROR(__xludf.DUMMYFUNCTION("""COMPUTED_VALUE"""),"Quail Cooked Total Edible")</f>
        <v>Quail Cooked Total Edible</v>
      </c>
      <c r="C667" t="str">
        <f>IFERROR(__xludf.DUMMYFUNCTION("""COMPUTED_VALUE"""),"Meats")</f>
        <v>Meats</v>
      </c>
      <c r="D667">
        <f>IFERROR(__xludf.DUMMYFUNCTION("""COMPUTED_VALUE"""),227.0)</f>
        <v>227</v>
      </c>
      <c r="E667">
        <f>IFERROR(__xludf.DUMMYFUNCTION("""COMPUTED_VALUE"""),14.1)</f>
        <v>14.1</v>
      </c>
      <c r="F667">
        <f>IFERROR(__xludf.DUMMYFUNCTION("""COMPUTED_VALUE"""),25.1)</f>
        <v>25.1</v>
      </c>
      <c r="G667">
        <f>IFERROR(__xludf.DUMMYFUNCTION("""COMPUTED_VALUE"""),0.0)</f>
        <v>0</v>
      </c>
    </row>
    <row r="668">
      <c r="A668">
        <f>IFERROR(__xludf.DUMMYFUNCTION("""COMPUTED_VALUE"""),169903.0)</f>
        <v>169903</v>
      </c>
      <c r="B668" t="str">
        <f>IFERROR(__xludf.DUMMYFUNCTION("""COMPUTED_VALUE"""),"Pheasant Cooked Total Edible")</f>
        <v>Pheasant Cooked Total Edible</v>
      </c>
      <c r="C668" t="str">
        <f>IFERROR(__xludf.DUMMYFUNCTION("""COMPUTED_VALUE"""),"Meats")</f>
        <v>Meats</v>
      </c>
      <c r="D668">
        <f>IFERROR(__xludf.DUMMYFUNCTION("""COMPUTED_VALUE"""),239.0)</f>
        <v>239</v>
      </c>
      <c r="E668">
        <f>IFERROR(__xludf.DUMMYFUNCTION("""COMPUTED_VALUE"""),12.1)</f>
        <v>12.1</v>
      </c>
      <c r="F668">
        <f>IFERROR(__xludf.DUMMYFUNCTION("""COMPUTED_VALUE"""),32.4)</f>
        <v>32.4</v>
      </c>
      <c r="G668">
        <f>IFERROR(__xludf.DUMMYFUNCTION("""COMPUTED_VALUE"""),0.0)</f>
        <v>0</v>
      </c>
    </row>
    <row r="669">
      <c r="A669">
        <f>IFERROR(__xludf.DUMMYFUNCTION("""COMPUTED_VALUE"""),169904.0)</f>
        <v>169904</v>
      </c>
      <c r="B669" t="str">
        <f>IFERROR(__xludf.DUMMYFUNCTION("""COMPUTED_VALUE"""),"Eggs Scrambled Frozen Mixture")</f>
        <v>Eggs Scrambled Frozen Mixture</v>
      </c>
      <c r="C669" t="str">
        <f>IFERROR(__xludf.DUMMYFUNCTION("""COMPUTED_VALUE"""),"Dairy and Egg Products")</f>
        <v>Dairy and Egg Products</v>
      </c>
      <c r="D669">
        <f>IFERROR(__xludf.DUMMYFUNCTION("""COMPUTED_VALUE"""),131.0)</f>
        <v>131</v>
      </c>
      <c r="E669">
        <f>IFERROR(__xludf.DUMMYFUNCTION("""COMPUTED_VALUE"""),5.6)</f>
        <v>5.6</v>
      </c>
      <c r="F669">
        <f>IFERROR(__xludf.DUMMYFUNCTION("""COMPUTED_VALUE"""),13.1)</f>
        <v>13.1</v>
      </c>
      <c r="G669">
        <f>IFERROR(__xludf.DUMMYFUNCTION("""COMPUTED_VALUE"""),7.5)</f>
        <v>7.5</v>
      </c>
    </row>
    <row r="670">
      <c r="A670">
        <f>IFERROR(__xludf.DUMMYFUNCTION("""COMPUTED_VALUE"""),169905.0)</f>
        <v>169905</v>
      </c>
      <c r="B670" t="str">
        <f>IFERROR(__xludf.DUMMYFUNCTION("""COMPUTED_VALUE"""),"Dove Cooked (Includes Squab)")</f>
        <v>Dove Cooked (Includes Squab)</v>
      </c>
      <c r="C670" t="str">
        <f>IFERROR(__xludf.DUMMYFUNCTION("""COMPUTED_VALUE"""),"Meats")</f>
        <v>Meats</v>
      </c>
      <c r="D670">
        <f>IFERROR(__xludf.DUMMYFUNCTION("""COMPUTED_VALUE"""),213.0)</f>
        <v>213</v>
      </c>
      <c r="E670">
        <f>IFERROR(__xludf.DUMMYFUNCTION("""COMPUTED_VALUE"""),13.0)</f>
        <v>13</v>
      </c>
      <c r="F670">
        <f>IFERROR(__xludf.DUMMYFUNCTION("""COMPUTED_VALUE"""),23.9)</f>
        <v>23.9</v>
      </c>
      <c r="G670">
        <f>IFERROR(__xludf.DUMMYFUNCTION("""COMPUTED_VALUE"""),0.0)</f>
        <v>0</v>
      </c>
    </row>
    <row r="671">
      <c r="A671">
        <f>IFERROR(__xludf.DUMMYFUNCTION("""COMPUTED_VALUE"""),169906.0)</f>
        <v>169906</v>
      </c>
      <c r="B671" t="str">
        <f>IFERROR(__xludf.DUMMYFUNCTION("""COMPUTED_VALUE"""),"Pork Cured Ham Boneless Low Sodium Extra Lean And Regular Roasted")</f>
        <v>Pork Cured Ham Boneless Low Sodium Extra Lean And Regular Roasted</v>
      </c>
      <c r="C671" t="str">
        <f>IFERROR(__xludf.DUMMYFUNCTION("""COMPUTED_VALUE"""),"Meats")</f>
        <v>Meats</v>
      </c>
      <c r="D671">
        <f>IFERROR(__xludf.DUMMYFUNCTION("""COMPUTED_VALUE"""),165.0)</f>
        <v>165</v>
      </c>
      <c r="E671">
        <f>IFERROR(__xludf.DUMMYFUNCTION("""COMPUTED_VALUE"""),7.7)</f>
        <v>7.7</v>
      </c>
      <c r="F671">
        <f>IFERROR(__xludf.DUMMYFUNCTION("""COMPUTED_VALUE"""),22.0)</f>
        <v>22</v>
      </c>
      <c r="G671">
        <f>IFERROR(__xludf.DUMMYFUNCTION("""COMPUTED_VALUE"""),0.5)</f>
        <v>0.5</v>
      </c>
    </row>
    <row r="672">
      <c r="A672">
        <f>IFERROR(__xludf.DUMMYFUNCTION("""COMPUTED_VALUE"""),170193.0)</f>
        <v>170193</v>
      </c>
      <c r="B672" t="str">
        <f>IFERROR(__xludf.DUMMYFUNCTION("""COMPUTED_VALUE"""),"Beef Variety Meats And By-Products Suet Raw")</f>
        <v>Beef Variety Meats And By-Products Suet Raw</v>
      </c>
      <c r="C672" t="str">
        <f>IFERROR(__xludf.DUMMYFUNCTION("""COMPUTED_VALUE"""),"Meats")</f>
        <v>Meats</v>
      </c>
      <c r="D672">
        <f>IFERROR(__xludf.DUMMYFUNCTION("""COMPUTED_VALUE"""),854.0)</f>
        <v>854</v>
      </c>
      <c r="E672">
        <f>IFERROR(__xludf.DUMMYFUNCTION("""COMPUTED_VALUE"""),94.0)</f>
        <v>94</v>
      </c>
      <c r="F672">
        <f>IFERROR(__xludf.DUMMYFUNCTION("""COMPUTED_VALUE"""),1.5)</f>
        <v>1.5</v>
      </c>
      <c r="G672">
        <f>IFERROR(__xludf.DUMMYFUNCTION("""COMPUTED_VALUE"""),0.0)</f>
        <v>0</v>
      </c>
    </row>
    <row r="673">
      <c r="A673">
        <f>IFERROR(__xludf.DUMMYFUNCTION("""COMPUTED_VALUE"""),170194.0)</f>
        <v>170194</v>
      </c>
      <c r="B673" t="str">
        <f>IFERROR(__xludf.DUMMYFUNCTION("""COMPUTED_VALUE"""),"Beef Variety Meats And By-Products Thymus Raw")</f>
        <v>Beef Variety Meats And By-Products Thymus Raw</v>
      </c>
      <c r="C673" t="str">
        <f>IFERROR(__xludf.DUMMYFUNCTION("""COMPUTED_VALUE"""),"Meats")</f>
        <v>Meats</v>
      </c>
      <c r="D673">
        <f>IFERROR(__xludf.DUMMYFUNCTION("""COMPUTED_VALUE"""),236.0)</f>
        <v>236</v>
      </c>
      <c r="E673">
        <f>IFERROR(__xludf.DUMMYFUNCTION("""COMPUTED_VALUE"""),20.35)</f>
        <v>20.35</v>
      </c>
      <c r="F673">
        <f>IFERROR(__xludf.DUMMYFUNCTION("""COMPUTED_VALUE"""),12.18)</f>
        <v>12.18</v>
      </c>
      <c r="G673">
        <f>IFERROR(__xludf.DUMMYFUNCTION("""COMPUTED_VALUE"""),0.0)</f>
        <v>0</v>
      </c>
    </row>
    <row r="674">
      <c r="A674">
        <f>IFERROR(__xludf.DUMMYFUNCTION("""COMPUTED_VALUE"""),170195.0)</f>
        <v>170195</v>
      </c>
      <c r="B674" t="str">
        <f>IFERROR(__xludf.DUMMYFUNCTION("""COMPUTED_VALUE"""),"Beef Variety Meats And By-Products Thymus Cooked Braised")</f>
        <v>Beef Variety Meats And By-Products Thymus Cooked Braised</v>
      </c>
      <c r="C674" t="str">
        <f>IFERROR(__xludf.DUMMYFUNCTION("""COMPUTED_VALUE"""),"Meats")</f>
        <v>Meats</v>
      </c>
      <c r="D674">
        <f>IFERROR(__xludf.DUMMYFUNCTION("""COMPUTED_VALUE"""),319.0)</f>
        <v>319</v>
      </c>
      <c r="E674">
        <f>IFERROR(__xludf.DUMMYFUNCTION("""COMPUTED_VALUE"""),24.98)</f>
        <v>24.98</v>
      </c>
      <c r="F674">
        <f>IFERROR(__xludf.DUMMYFUNCTION("""COMPUTED_VALUE"""),21.85)</f>
        <v>21.85</v>
      </c>
      <c r="G674">
        <f>IFERROR(__xludf.DUMMYFUNCTION("""COMPUTED_VALUE"""),0.0)</f>
        <v>0</v>
      </c>
    </row>
    <row r="675">
      <c r="A675">
        <f>IFERROR(__xludf.DUMMYFUNCTION("""COMPUTED_VALUE"""),170196.0)</f>
        <v>170196</v>
      </c>
      <c r="B675" t="str">
        <f>IFERROR(__xludf.DUMMYFUNCTION("""COMPUTED_VALUE"""),"Beef Variety Meats And By-Products Tongue Raw")</f>
        <v>Beef Variety Meats And By-Products Tongue Raw</v>
      </c>
      <c r="C675" t="str">
        <f>IFERROR(__xludf.DUMMYFUNCTION("""COMPUTED_VALUE"""),"Meats")</f>
        <v>Meats</v>
      </c>
      <c r="D675">
        <f>IFERROR(__xludf.DUMMYFUNCTION("""COMPUTED_VALUE"""),224.0)</f>
        <v>224</v>
      </c>
      <c r="E675">
        <f>IFERROR(__xludf.DUMMYFUNCTION("""COMPUTED_VALUE"""),16.09)</f>
        <v>16.09</v>
      </c>
      <c r="F675">
        <f>IFERROR(__xludf.DUMMYFUNCTION("""COMPUTED_VALUE"""),14.9)</f>
        <v>14.9</v>
      </c>
      <c r="G675">
        <f>IFERROR(__xludf.DUMMYFUNCTION("""COMPUTED_VALUE"""),3.68)</f>
        <v>3.68</v>
      </c>
    </row>
    <row r="676">
      <c r="A676">
        <f>IFERROR(__xludf.DUMMYFUNCTION("""COMPUTED_VALUE"""),170197.0)</f>
        <v>170197</v>
      </c>
      <c r="B676" t="str">
        <f>IFERROR(__xludf.DUMMYFUNCTION("""COMPUTED_VALUE"""),"Beef Cured Breakfast Strips Raw Or Unheated")</f>
        <v>Beef Cured Breakfast Strips Raw Or Unheated</v>
      </c>
      <c r="C676" t="str">
        <f>IFERROR(__xludf.DUMMYFUNCTION("""COMPUTED_VALUE"""),"Meats")</f>
        <v>Meats</v>
      </c>
      <c r="D676">
        <f>IFERROR(__xludf.DUMMYFUNCTION("""COMPUTED_VALUE"""),406.0)</f>
        <v>406</v>
      </c>
      <c r="E676">
        <f>IFERROR(__xludf.DUMMYFUNCTION("""COMPUTED_VALUE"""),38.8)</f>
        <v>38.8</v>
      </c>
      <c r="F676">
        <f>IFERROR(__xludf.DUMMYFUNCTION("""COMPUTED_VALUE"""),12.5)</f>
        <v>12.5</v>
      </c>
      <c r="G676">
        <f>IFERROR(__xludf.DUMMYFUNCTION("""COMPUTED_VALUE"""),0.7)</f>
        <v>0.7</v>
      </c>
    </row>
    <row r="677">
      <c r="A677">
        <f>IFERROR(__xludf.DUMMYFUNCTION("""COMPUTED_VALUE"""),170198.0)</f>
        <v>170198</v>
      </c>
      <c r="B677" t="str">
        <f>IFERROR(__xludf.DUMMYFUNCTION("""COMPUTED_VALUE"""),"Beef Cured Breakfast Strips Cooked")</f>
        <v>Beef Cured Breakfast Strips Cooked</v>
      </c>
      <c r="C677" t="str">
        <f>IFERROR(__xludf.DUMMYFUNCTION("""COMPUTED_VALUE"""),"Meats")</f>
        <v>Meats</v>
      </c>
      <c r="D677">
        <f>IFERROR(__xludf.DUMMYFUNCTION("""COMPUTED_VALUE"""),449.0)</f>
        <v>449</v>
      </c>
      <c r="E677">
        <f>IFERROR(__xludf.DUMMYFUNCTION("""COMPUTED_VALUE"""),34.4)</f>
        <v>34.4</v>
      </c>
      <c r="F677">
        <f>IFERROR(__xludf.DUMMYFUNCTION("""COMPUTED_VALUE"""),31.3)</f>
        <v>31.3</v>
      </c>
      <c r="G677">
        <f>IFERROR(__xludf.DUMMYFUNCTION("""COMPUTED_VALUE"""),1.4)</f>
        <v>1.4</v>
      </c>
    </row>
    <row r="678">
      <c r="A678">
        <f>IFERROR(__xludf.DUMMYFUNCTION("""COMPUTED_VALUE"""),170199.0)</f>
        <v>170199</v>
      </c>
      <c r="B678" t="str">
        <f>IFERROR(__xludf.DUMMYFUNCTION("""COMPUTED_VALUE"""),"Beef Cured Corned Beef Brisket Raw")</f>
        <v>Beef Cured Corned Beef Brisket Raw</v>
      </c>
      <c r="C678" t="str">
        <f>IFERROR(__xludf.DUMMYFUNCTION("""COMPUTED_VALUE"""),"Meats")</f>
        <v>Meats</v>
      </c>
      <c r="D678">
        <f>IFERROR(__xludf.DUMMYFUNCTION("""COMPUTED_VALUE"""),198.0)</f>
        <v>198</v>
      </c>
      <c r="E678">
        <f>IFERROR(__xludf.DUMMYFUNCTION("""COMPUTED_VALUE"""),14.9)</f>
        <v>14.9</v>
      </c>
      <c r="F678">
        <f>IFERROR(__xludf.DUMMYFUNCTION("""COMPUTED_VALUE"""),14.68)</f>
        <v>14.68</v>
      </c>
      <c r="G678">
        <f>IFERROR(__xludf.DUMMYFUNCTION("""COMPUTED_VALUE"""),0.14)</f>
        <v>0.14</v>
      </c>
    </row>
    <row r="679">
      <c r="A679">
        <f>IFERROR(__xludf.DUMMYFUNCTION("""COMPUTED_VALUE"""),170200.0)</f>
        <v>170200</v>
      </c>
      <c r="B679" t="str">
        <f>IFERROR(__xludf.DUMMYFUNCTION("""COMPUTED_VALUE"""),"Beef Cured Corned Beef Brisket Cooked")</f>
        <v>Beef Cured Corned Beef Brisket Cooked</v>
      </c>
      <c r="C679" t="str">
        <f>IFERROR(__xludf.DUMMYFUNCTION("""COMPUTED_VALUE"""),"Meats")</f>
        <v>Meats</v>
      </c>
      <c r="D679">
        <f>IFERROR(__xludf.DUMMYFUNCTION("""COMPUTED_VALUE"""),251.0)</f>
        <v>251</v>
      </c>
      <c r="E679">
        <f>IFERROR(__xludf.DUMMYFUNCTION("""COMPUTED_VALUE"""),18.98)</f>
        <v>18.98</v>
      </c>
      <c r="F679">
        <f>IFERROR(__xludf.DUMMYFUNCTION("""COMPUTED_VALUE"""),18.17)</f>
        <v>18.17</v>
      </c>
      <c r="G679">
        <f>IFERROR(__xludf.DUMMYFUNCTION("""COMPUTED_VALUE"""),0.47)</f>
        <v>0.47</v>
      </c>
    </row>
    <row r="680">
      <c r="A680">
        <f>IFERROR(__xludf.DUMMYFUNCTION("""COMPUTED_VALUE"""),170201.0)</f>
        <v>170201</v>
      </c>
      <c r="B680" t="str">
        <f>IFERROR(__xludf.DUMMYFUNCTION("""COMPUTED_VALUE"""),"Beef Chuck Under Blade Center Steak Boneless Denver Cut Separable Lean Only Trimmed To 0 Inch Fat Choice Cooked Grilled")</f>
        <v>Beef Chuck Under Blade Center Steak Boneless Denver Cut Separable Lean Only Trimmed To 0 Inch Fat Choice Cooked Grilled</v>
      </c>
      <c r="C680" t="str">
        <f>IFERROR(__xludf.DUMMYFUNCTION("""COMPUTED_VALUE"""),"Meats")</f>
        <v>Meats</v>
      </c>
      <c r="D680">
        <f>IFERROR(__xludf.DUMMYFUNCTION("""COMPUTED_VALUE"""),228.0)</f>
        <v>228</v>
      </c>
      <c r="E680">
        <f>IFERROR(__xludf.DUMMYFUNCTION("""COMPUTED_VALUE"""),13.42)</f>
        <v>13.42</v>
      </c>
      <c r="F680">
        <f>IFERROR(__xludf.DUMMYFUNCTION("""COMPUTED_VALUE"""),26.49)</f>
        <v>26.49</v>
      </c>
      <c r="G680">
        <f>IFERROR(__xludf.DUMMYFUNCTION("""COMPUTED_VALUE"""),0.28)</f>
        <v>0.28</v>
      </c>
    </row>
    <row r="681">
      <c r="A681">
        <f>IFERROR(__xludf.DUMMYFUNCTION("""COMPUTED_VALUE"""),170202.0)</f>
        <v>170202</v>
      </c>
      <c r="B681" t="str">
        <f>IFERROR(__xludf.DUMMYFUNCTION("""COMPUTED_VALUE"""),"Beef Cured Luncheon Meat Jellied")</f>
        <v>Beef Cured Luncheon Meat Jellied</v>
      </c>
      <c r="C681" t="str">
        <f>IFERROR(__xludf.DUMMYFUNCTION("""COMPUTED_VALUE"""),"Meats")</f>
        <v>Meats</v>
      </c>
      <c r="D681">
        <f>IFERROR(__xludf.DUMMYFUNCTION("""COMPUTED_VALUE"""),111.0)</f>
        <v>111</v>
      </c>
      <c r="E681">
        <f>IFERROR(__xludf.DUMMYFUNCTION("""COMPUTED_VALUE"""),3.3)</f>
        <v>3.3</v>
      </c>
      <c r="F681">
        <f>IFERROR(__xludf.DUMMYFUNCTION("""COMPUTED_VALUE"""),19.0)</f>
        <v>19</v>
      </c>
      <c r="G681">
        <f>IFERROR(__xludf.DUMMYFUNCTION("""COMPUTED_VALUE"""),0.0)</f>
        <v>0</v>
      </c>
    </row>
    <row r="682">
      <c r="A682">
        <f>IFERROR(__xludf.DUMMYFUNCTION("""COMPUTED_VALUE"""),170203.0)</f>
        <v>170203</v>
      </c>
      <c r="B682" t="str">
        <f>IFERROR(__xludf.DUMMYFUNCTION("""COMPUTED_VALUE"""),"Beef Chuck Under Blade Center Steak Boneless Denver Cut Separable Lean Only Trimmed To 0 Inch Fat Select Cooked Grilled")</f>
        <v>Beef Chuck Under Blade Center Steak Boneless Denver Cut Separable Lean Only Trimmed To 0 Inch Fat Select Cooked Grilled</v>
      </c>
      <c r="C682" t="str">
        <f>IFERROR(__xludf.DUMMYFUNCTION("""COMPUTED_VALUE"""),"Meats")</f>
        <v>Meats</v>
      </c>
      <c r="D682">
        <f>IFERROR(__xludf.DUMMYFUNCTION("""COMPUTED_VALUE"""),209.0)</f>
        <v>209</v>
      </c>
      <c r="E682">
        <f>IFERROR(__xludf.DUMMYFUNCTION("""COMPUTED_VALUE"""),11.46)</f>
        <v>11.46</v>
      </c>
      <c r="F682">
        <f>IFERROR(__xludf.DUMMYFUNCTION("""COMPUTED_VALUE"""),26.53)</f>
        <v>26.53</v>
      </c>
      <c r="G682">
        <f>IFERROR(__xludf.DUMMYFUNCTION("""COMPUTED_VALUE"""),0.0)</f>
        <v>0</v>
      </c>
    </row>
    <row r="683">
      <c r="A683">
        <f>IFERROR(__xludf.DUMMYFUNCTION("""COMPUTED_VALUE"""),170204.0)</f>
        <v>170204</v>
      </c>
      <c r="B683" t="str">
        <f>IFERROR(__xludf.DUMMYFUNCTION("""COMPUTED_VALUE"""),"Beef Cured Pastrami")</f>
        <v>Beef Cured Pastrami</v>
      </c>
      <c r="C683" t="str">
        <f>IFERROR(__xludf.DUMMYFUNCTION("""COMPUTED_VALUE"""),"Meats")</f>
        <v>Meats</v>
      </c>
      <c r="D683">
        <f>IFERROR(__xludf.DUMMYFUNCTION("""COMPUTED_VALUE"""),147.0)</f>
        <v>147</v>
      </c>
      <c r="E683">
        <f>IFERROR(__xludf.DUMMYFUNCTION("""COMPUTED_VALUE"""),5.82)</f>
        <v>5.82</v>
      </c>
      <c r="F683">
        <f>IFERROR(__xludf.DUMMYFUNCTION("""COMPUTED_VALUE"""),21.8)</f>
        <v>21.8</v>
      </c>
      <c r="G683">
        <f>IFERROR(__xludf.DUMMYFUNCTION("""COMPUTED_VALUE"""),0.36)</f>
        <v>0.36</v>
      </c>
    </row>
    <row r="684">
      <c r="A684">
        <f>IFERROR(__xludf.DUMMYFUNCTION("""COMPUTED_VALUE"""),170205.0)</f>
        <v>170205</v>
      </c>
      <c r="B684" t="str">
        <f>IFERROR(__xludf.DUMMYFUNCTION("""COMPUTED_VALUE"""),"Beef Chuck Under Blade Center Steak Boneless Denver Cut Separable Lean Only Trimmed To 0 Inch Fat All Grades Raw")</f>
        <v>Beef Chuck Under Blade Center Steak Boneless Denver Cut Separable Lean Only Trimmed To 0 Inch Fat All Grades Raw</v>
      </c>
      <c r="C684" t="str">
        <f>IFERROR(__xludf.DUMMYFUNCTION("""COMPUTED_VALUE"""),"Meats")</f>
        <v>Meats</v>
      </c>
      <c r="D684">
        <f>IFERROR(__xludf.DUMMYFUNCTION("""COMPUTED_VALUE"""),170.0)</f>
        <v>170</v>
      </c>
      <c r="E684">
        <f>IFERROR(__xludf.DUMMYFUNCTION("""COMPUTED_VALUE"""),9.99)</f>
        <v>9.99</v>
      </c>
      <c r="F684">
        <f>IFERROR(__xludf.DUMMYFUNCTION("""COMPUTED_VALUE"""),19.42)</f>
        <v>19.42</v>
      </c>
      <c r="G684">
        <f>IFERROR(__xludf.DUMMYFUNCTION("""COMPUTED_VALUE"""),0.49)</f>
        <v>0.49</v>
      </c>
    </row>
    <row r="685">
      <c r="A685">
        <f>IFERROR(__xludf.DUMMYFUNCTION("""COMPUTED_VALUE"""),170206.0)</f>
        <v>170206</v>
      </c>
      <c r="B685" t="str">
        <f>IFERROR(__xludf.DUMMYFUNCTION("""COMPUTED_VALUE"""),"Beef Composite Of Trimmed Retail Cuts Separable Lean And Fat Trimmed To 0 Inch Fat Choice Cooked")</f>
        <v>Beef Composite Of Trimmed Retail Cuts Separable Lean And Fat Trimmed To 0 Inch Fat Choice Cooked</v>
      </c>
      <c r="C685" t="str">
        <f>IFERROR(__xludf.DUMMYFUNCTION("""COMPUTED_VALUE"""),"Meats")</f>
        <v>Meats</v>
      </c>
      <c r="D685">
        <f>IFERROR(__xludf.DUMMYFUNCTION("""COMPUTED_VALUE"""),233.0)</f>
        <v>233</v>
      </c>
      <c r="E685">
        <f>IFERROR(__xludf.DUMMYFUNCTION("""COMPUTED_VALUE"""),12.53)</f>
        <v>12.53</v>
      </c>
      <c r="F685">
        <f>IFERROR(__xludf.DUMMYFUNCTION("""COMPUTED_VALUE"""),28.17)</f>
        <v>28.17</v>
      </c>
      <c r="G685">
        <f>IFERROR(__xludf.DUMMYFUNCTION("""COMPUTED_VALUE"""),0.0)</f>
        <v>0</v>
      </c>
    </row>
    <row r="686">
      <c r="A686">
        <f>IFERROR(__xludf.DUMMYFUNCTION("""COMPUTED_VALUE"""),170207.0)</f>
        <v>170207</v>
      </c>
      <c r="B686" t="str">
        <f>IFERROR(__xludf.DUMMYFUNCTION("""COMPUTED_VALUE"""),"Beef Composite Of Trimmed Retail Cuts Separable Lean And Fat Trimmed To 0 Inch Fat Select Cooked")</f>
        <v>Beef Composite Of Trimmed Retail Cuts Separable Lean And Fat Trimmed To 0 Inch Fat Select Cooked</v>
      </c>
      <c r="C686" t="str">
        <f>IFERROR(__xludf.DUMMYFUNCTION("""COMPUTED_VALUE"""),"Meats")</f>
        <v>Meats</v>
      </c>
      <c r="D686">
        <f>IFERROR(__xludf.DUMMYFUNCTION("""COMPUTED_VALUE"""),203.0)</f>
        <v>203</v>
      </c>
      <c r="E686">
        <f>IFERROR(__xludf.DUMMYFUNCTION("""COMPUTED_VALUE"""),9.18)</f>
        <v>9.18</v>
      </c>
      <c r="F686">
        <f>IFERROR(__xludf.DUMMYFUNCTION("""COMPUTED_VALUE"""),28.61)</f>
        <v>28.61</v>
      </c>
      <c r="G686">
        <f>IFERROR(__xludf.DUMMYFUNCTION("""COMPUTED_VALUE"""),0.0)</f>
        <v>0</v>
      </c>
    </row>
    <row r="687">
      <c r="A687">
        <f>IFERROR(__xludf.DUMMYFUNCTION("""COMPUTED_VALUE"""),170208.0)</f>
        <v>170208</v>
      </c>
      <c r="B687" t="str">
        <f>IFERROR(__xludf.DUMMYFUNCTION("""COMPUTED_VALUE"""),"Beef Composite Of Trimmed Retail Cuts Separable Lean Only Trimmed To 0 Inch Fat All Grades Cooked")</f>
        <v>Beef Composite Of Trimmed Retail Cuts Separable Lean Only Trimmed To 0 Inch Fat All Grades Cooked</v>
      </c>
      <c r="C687" t="str">
        <f>IFERROR(__xludf.DUMMYFUNCTION("""COMPUTED_VALUE"""),"Meats")</f>
        <v>Meats</v>
      </c>
      <c r="D687">
        <f>IFERROR(__xludf.DUMMYFUNCTION("""COMPUTED_VALUE"""),203.0)</f>
        <v>203</v>
      </c>
      <c r="E687">
        <f>IFERROR(__xludf.DUMMYFUNCTION("""COMPUTED_VALUE"""),8.37)</f>
        <v>8.37</v>
      </c>
      <c r="F687">
        <f>IFERROR(__xludf.DUMMYFUNCTION("""COMPUTED_VALUE"""),29.9)</f>
        <v>29.9</v>
      </c>
      <c r="G687">
        <f>IFERROR(__xludf.DUMMYFUNCTION("""COMPUTED_VALUE"""),0.0)</f>
        <v>0</v>
      </c>
    </row>
    <row r="688">
      <c r="A688">
        <f>IFERROR(__xludf.DUMMYFUNCTION("""COMPUTED_VALUE"""),170209.0)</f>
        <v>170209</v>
      </c>
      <c r="B688" t="str">
        <f>IFERROR(__xludf.DUMMYFUNCTION("""COMPUTED_VALUE"""),"Beef Composite Of Trimmed Retail Cuts Separable Lean Only Trimmed To 0 Inch Fat Choice Cooked")</f>
        <v>Beef Composite Of Trimmed Retail Cuts Separable Lean Only Trimmed To 0 Inch Fat Choice Cooked</v>
      </c>
      <c r="C688" t="str">
        <f>IFERROR(__xludf.DUMMYFUNCTION("""COMPUTED_VALUE"""),"Meats")</f>
        <v>Meats</v>
      </c>
      <c r="D688">
        <f>IFERROR(__xludf.DUMMYFUNCTION("""COMPUTED_VALUE"""),206.0)</f>
        <v>206</v>
      </c>
      <c r="E688">
        <f>IFERROR(__xludf.DUMMYFUNCTION("""COMPUTED_VALUE"""),8.87)</f>
        <v>8.87</v>
      </c>
      <c r="F688">
        <f>IFERROR(__xludf.DUMMYFUNCTION("""COMPUTED_VALUE"""),29.51)</f>
        <v>29.51</v>
      </c>
      <c r="G688">
        <f>IFERROR(__xludf.DUMMYFUNCTION("""COMPUTED_VALUE"""),0.0)</f>
        <v>0</v>
      </c>
    </row>
    <row r="689">
      <c r="A689">
        <f>IFERROR(__xludf.DUMMYFUNCTION("""COMPUTED_VALUE"""),170210.0)</f>
        <v>170210</v>
      </c>
      <c r="B689" t="str">
        <f>IFERROR(__xludf.DUMMYFUNCTION("""COMPUTED_VALUE"""),"Beef Brisket Flat Half Separable Lean Only Trimmed To 0 Inch Fat All Grades Cooked Braised")</f>
        <v>Beef Brisket Flat Half Separable Lean Only Trimmed To 0 Inch Fat All Grades Cooked Braised</v>
      </c>
      <c r="C689" t="str">
        <f>IFERROR(__xludf.DUMMYFUNCTION("""COMPUTED_VALUE"""),"Meats")</f>
        <v>Meats</v>
      </c>
      <c r="D689">
        <f>IFERROR(__xludf.DUMMYFUNCTION("""COMPUTED_VALUE"""),205.0)</f>
        <v>205</v>
      </c>
      <c r="E689">
        <f>IFERROR(__xludf.DUMMYFUNCTION("""COMPUTED_VALUE"""),6.99)</f>
        <v>6.99</v>
      </c>
      <c r="F689">
        <f>IFERROR(__xludf.DUMMYFUNCTION("""COMPUTED_VALUE"""),33.26)</f>
        <v>33.26</v>
      </c>
      <c r="G689">
        <f>IFERROR(__xludf.DUMMYFUNCTION("""COMPUTED_VALUE"""),0.0)</f>
        <v>0</v>
      </c>
    </row>
    <row r="690">
      <c r="A690">
        <f>IFERROR(__xludf.DUMMYFUNCTION("""COMPUTED_VALUE"""),170211.0)</f>
        <v>170211</v>
      </c>
      <c r="B690" t="str">
        <f>IFERROR(__xludf.DUMMYFUNCTION("""COMPUTED_VALUE"""),"Beef Brisket Point Half Separable Lean And Fat Trimmed To 0 Inch Fat All Grades Cooked Braised")</f>
        <v>Beef Brisket Point Half Separable Lean And Fat Trimmed To 0 Inch Fat All Grades Cooked Braised</v>
      </c>
      <c r="C690" t="str">
        <f>IFERROR(__xludf.DUMMYFUNCTION("""COMPUTED_VALUE"""),"Meats")</f>
        <v>Meats</v>
      </c>
      <c r="D690">
        <f>IFERROR(__xludf.DUMMYFUNCTION("""COMPUTED_VALUE"""),358.0)</f>
        <v>358</v>
      </c>
      <c r="E690">
        <f>IFERROR(__xludf.DUMMYFUNCTION("""COMPUTED_VALUE"""),28.5)</f>
        <v>28.5</v>
      </c>
      <c r="F690">
        <f>IFERROR(__xludf.DUMMYFUNCTION("""COMPUTED_VALUE"""),23.53)</f>
        <v>23.53</v>
      </c>
      <c r="G690">
        <f>IFERROR(__xludf.DUMMYFUNCTION("""COMPUTED_VALUE"""),0.0)</f>
        <v>0</v>
      </c>
    </row>
    <row r="691">
      <c r="A691">
        <f>IFERROR(__xludf.DUMMYFUNCTION("""COMPUTED_VALUE"""),170212.0)</f>
        <v>170212</v>
      </c>
      <c r="B691" t="str">
        <f>IFERROR(__xludf.DUMMYFUNCTION("""COMPUTED_VALUE"""),"Beef Brisket Point Half Separable Lean Only Trimmed To 0 Inch Fat All Grades Cooked Braised")</f>
        <v>Beef Brisket Point Half Separable Lean Only Trimmed To 0 Inch Fat All Grades Cooked Braised</v>
      </c>
      <c r="C691" t="str">
        <f>IFERROR(__xludf.DUMMYFUNCTION("""COMPUTED_VALUE"""),"Meats")</f>
        <v>Meats</v>
      </c>
      <c r="D691">
        <f>IFERROR(__xludf.DUMMYFUNCTION("""COMPUTED_VALUE"""),244.0)</f>
        <v>244</v>
      </c>
      <c r="E691">
        <f>IFERROR(__xludf.DUMMYFUNCTION("""COMPUTED_VALUE"""),13.8)</f>
        <v>13.8</v>
      </c>
      <c r="F691">
        <f>IFERROR(__xludf.DUMMYFUNCTION("""COMPUTED_VALUE"""),28.05)</f>
        <v>28.05</v>
      </c>
      <c r="G691">
        <f>IFERROR(__xludf.DUMMYFUNCTION("""COMPUTED_VALUE"""),0.0)</f>
        <v>0</v>
      </c>
    </row>
    <row r="692">
      <c r="A692">
        <f>IFERROR(__xludf.DUMMYFUNCTION("""COMPUTED_VALUE"""),170213.0)</f>
        <v>170213</v>
      </c>
      <c r="B692" t="str">
        <f>IFERROR(__xludf.DUMMYFUNCTION("""COMPUTED_VALUE"""),"Beef Chuck Arm Pot Roast Separable Lean And Fat Trimmed To 0 Inch Fat All Grades Cooked Braised")</f>
        <v>Beef Chuck Arm Pot Roast Separable Lean And Fat Trimmed To 0 Inch Fat All Grades Cooked Braised</v>
      </c>
      <c r="C692" t="str">
        <f>IFERROR(__xludf.DUMMYFUNCTION("""COMPUTED_VALUE"""),"Meats")</f>
        <v>Meats</v>
      </c>
      <c r="D692">
        <f>IFERROR(__xludf.DUMMYFUNCTION("""COMPUTED_VALUE"""),297.0)</f>
        <v>297</v>
      </c>
      <c r="E692">
        <f>IFERROR(__xludf.DUMMYFUNCTION("""COMPUTED_VALUE"""),19.17)</f>
        <v>19.17</v>
      </c>
      <c r="F692">
        <f>IFERROR(__xludf.DUMMYFUNCTION("""COMPUTED_VALUE"""),28.94)</f>
        <v>28.94</v>
      </c>
      <c r="G692">
        <f>IFERROR(__xludf.DUMMYFUNCTION("""COMPUTED_VALUE"""),0.0)</f>
        <v>0</v>
      </c>
    </row>
    <row r="693">
      <c r="A693">
        <f>IFERROR(__xludf.DUMMYFUNCTION("""COMPUTED_VALUE"""),170214.0)</f>
        <v>170214</v>
      </c>
      <c r="B693" t="str">
        <f>IFERROR(__xludf.DUMMYFUNCTION("""COMPUTED_VALUE"""),"Beef Chuck Under Blade Pot Roast Boneless Separable Lean And Fat Trimmed To 0 Inch Fat Select Cooked Braised")</f>
        <v>Beef Chuck Under Blade Pot Roast Boneless Separable Lean And Fat Trimmed To 0 Inch Fat Select Cooked Braised</v>
      </c>
      <c r="C693" t="str">
        <f>IFERROR(__xludf.DUMMYFUNCTION("""COMPUTED_VALUE"""),"Meats")</f>
        <v>Meats</v>
      </c>
      <c r="D693">
        <f>IFERROR(__xludf.DUMMYFUNCTION("""COMPUTED_VALUE"""),288.0)</f>
        <v>288</v>
      </c>
      <c r="E693">
        <f>IFERROR(__xludf.DUMMYFUNCTION("""COMPUTED_VALUE"""),19.02)</f>
        <v>19.02</v>
      </c>
      <c r="F693">
        <f>IFERROR(__xludf.DUMMYFUNCTION("""COMPUTED_VALUE"""),27.17)</f>
        <v>27.17</v>
      </c>
      <c r="G693">
        <f>IFERROR(__xludf.DUMMYFUNCTION("""COMPUTED_VALUE"""),0.0)</f>
        <v>0</v>
      </c>
    </row>
    <row r="694">
      <c r="A694">
        <f>IFERROR(__xludf.DUMMYFUNCTION("""COMPUTED_VALUE"""),170215.0)</f>
        <v>170215</v>
      </c>
      <c r="B694" t="str">
        <f>IFERROR(__xludf.DUMMYFUNCTION("""COMPUTED_VALUE"""),"Beef Chuck Blade Roast Separable Lean Only Trimmed To 0 Inch Fat All Grades Cooked Braised")</f>
        <v>Beef Chuck Blade Roast Separable Lean Only Trimmed To 0 Inch Fat All Grades Cooked Braised</v>
      </c>
      <c r="C694" t="str">
        <f>IFERROR(__xludf.DUMMYFUNCTION("""COMPUTED_VALUE"""),"Meats")</f>
        <v>Meats</v>
      </c>
      <c r="D694">
        <f>IFERROR(__xludf.DUMMYFUNCTION("""COMPUTED_VALUE"""),253.0)</f>
        <v>253</v>
      </c>
      <c r="E694">
        <f>IFERROR(__xludf.DUMMYFUNCTION("""COMPUTED_VALUE"""),13.3)</f>
        <v>13.3</v>
      </c>
      <c r="F694">
        <f>IFERROR(__xludf.DUMMYFUNCTION("""COMPUTED_VALUE"""),31.06)</f>
        <v>31.06</v>
      </c>
      <c r="G694">
        <f>IFERROR(__xludf.DUMMYFUNCTION("""COMPUTED_VALUE"""),0.0)</f>
        <v>0</v>
      </c>
    </row>
    <row r="695">
      <c r="A695">
        <f>IFERROR(__xludf.DUMMYFUNCTION("""COMPUTED_VALUE"""),170216.0)</f>
        <v>170216</v>
      </c>
      <c r="B695" t="str">
        <f>IFERROR(__xludf.DUMMYFUNCTION("""COMPUTED_VALUE"""),"Beef Chuck Under Blade Pot Roast Boneless Separable Lean Only Trimmed To 0 Inch Fat Choice Cooked Braised")</f>
        <v>Beef Chuck Under Blade Pot Roast Boneless Separable Lean Only Trimmed To 0 Inch Fat Choice Cooked Braised</v>
      </c>
      <c r="C695" t="str">
        <f>IFERROR(__xludf.DUMMYFUNCTION("""COMPUTED_VALUE"""),"Meats")</f>
        <v>Meats</v>
      </c>
      <c r="D695">
        <f>IFERROR(__xludf.DUMMYFUNCTION("""COMPUTED_VALUE"""),231.0)</f>
        <v>231</v>
      </c>
      <c r="E695">
        <f>IFERROR(__xludf.DUMMYFUNCTION("""COMPUTED_VALUE"""),11.14)</f>
        <v>11.14</v>
      </c>
      <c r="F695">
        <f>IFERROR(__xludf.DUMMYFUNCTION("""COMPUTED_VALUE"""),30.45)</f>
        <v>30.45</v>
      </c>
      <c r="G695">
        <f>IFERROR(__xludf.DUMMYFUNCTION("""COMPUTED_VALUE"""),0.0)</f>
        <v>0</v>
      </c>
    </row>
    <row r="696">
      <c r="A696">
        <f>IFERROR(__xludf.DUMMYFUNCTION("""COMPUTED_VALUE"""),170217.0)</f>
        <v>170217</v>
      </c>
      <c r="B696" t="str">
        <f>IFERROR(__xludf.DUMMYFUNCTION("""COMPUTED_VALUE"""),"Beef Chuck Under Blade Pot Roast Boneless Separable Lean Only Trimmed To 0 Inch Fat Select Cooked Braised")</f>
        <v>Beef Chuck Under Blade Pot Roast Boneless Separable Lean Only Trimmed To 0 Inch Fat Select Cooked Braised</v>
      </c>
      <c r="C696" t="str">
        <f>IFERROR(__xludf.DUMMYFUNCTION("""COMPUTED_VALUE"""),"Meats")</f>
        <v>Meats</v>
      </c>
      <c r="D696">
        <f>IFERROR(__xludf.DUMMYFUNCTION("""COMPUTED_VALUE"""),216.0)</f>
        <v>216</v>
      </c>
      <c r="E696">
        <f>IFERROR(__xludf.DUMMYFUNCTION("""COMPUTED_VALUE"""),9.44)</f>
        <v>9.44</v>
      </c>
      <c r="F696">
        <f>IFERROR(__xludf.DUMMYFUNCTION("""COMPUTED_VALUE"""),30.68)</f>
        <v>30.68</v>
      </c>
      <c r="G696">
        <f>IFERROR(__xludf.DUMMYFUNCTION("""COMPUTED_VALUE"""),0.0)</f>
        <v>0</v>
      </c>
    </row>
    <row r="697">
      <c r="A697">
        <f>IFERROR(__xludf.DUMMYFUNCTION("""COMPUTED_VALUE"""),170218.0)</f>
        <v>170218</v>
      </c>
      <c r="B697" t="str">
        <f>IFERROR(__xludf.DUMMYFUNCTION("""COMPUTED_VALUE"""),"Beef Rib Large End (Ribs 6-9) Separable Lean Only Trimmed To 0 Inch Fat Select Cooked Roasted")</f>
        <v>Beef Rib Large End (Ribs 6-9) Separable Lean Only Trimmed To 0 Inch Fat Select Cooked Roasted</v>
      </c>
      <c r="C697" t="str">
        <f>IFERROR(__xludf.DUMMYFUNCTION("""COMPUTED_VALUE"""),"Meats")</f>
        <v>Meats</v>
      </c>
      <c r="D697">
        <f>IFERROR(__xludf.DUMMYFUNCTION("""COMPUTED_VALUE"""),220.0)</f>
        <v>220</v>
      </c>
      <c r="E697">
        <f>IFERROR(__xludf.DUMMYFUNCTION("""COMPUTED_VALUE"""),11.4)</f>
        <v>11.4</v>
      </c>
      <c r="F697">
        <f>IFERROR(__xludf.DUMMYFUNCTION("""COMPUTED_VALUE"""),27.53)</f>
        <v>27.53</v>
      </c>
      <c r="G697">
        <f>IFERROR(__xludf.DUMMYFUNCTION("""COMPUTED_VALUE"""),0.0)</f>
        <v>0</v>
      </c>
    </row>
    <row r="698">
      <c r="A698">
        <f>IFERROR(__xludf.DUMMYFUNCTION("""COMPUTED_VALUE"""),170219.0)</f>
        <v>170219</v>
      </c>
      <c r="B698" t="str">
        <f>IFERROR(__xludf.DUMMYFUNCTION("""COMPUTED_VALUE"""),"Beef Rib Small End (Ribs 10-12) Separable Lean And Fat Trimmed To 0 Inch Fat All Grades Cooked Broiled")</f>
        <v>Beef Rib Small End (Ribs 10-12) Separable Lean And Fat Trimmed To 0 Inch Fat All Grades Cooked Broiled</v>
      </c>
      <c r="C698" t="str">
        <f>IFERROR(__xludf.DUMMYFUNCTION("""COMPUTED_VALUE"""),"Meats")</f>
        <v>Meats</v>
      </c>
      <c r="D698">
        <f>IFERROR(__xludf.DUMMYFUNCTION("""COMPUTED_VALUE"""),249.0)</f>
        <v>249</v>
      </c>
      <c r="E698">
        <f>IFERROR(__xludf.DUMMYFUNCTION("""COMPUTED_VALUE"""),14.74)</f>
        <v>14.74</v>
      </c>
      <c r="F698">
        <f>IFERROR(__xludf.DUMMYFUNCTION("""COMPUTED_VALUE"""),27.27)</f>
        <v>27.27</v>
      </c>
      <c r="G698">
        <f>IFERROR(__xludf.DUMMYFUNCTION("""COMPUTED_VALUE"""),0.0)</f>
        <v>0</v>
      </c>
    </row>
    <row r="699">
      <c r="A699">
        <f>IFERROR(__xludf.DUMMYFUNCTION("""COMPUTED_VALUE"""),170220.0)</f>
        <v>170220</v>
      </c>
      <c r="B699" t="str">
        <f>IFERROR(__xludf.DUMMYFUNCTION("""COMPUTED_VALUE"""),"Beef Rib Small End (Ribs 10-12) Separable Lean And Fat Trimmed To 0 Inch Fat Choice Cooked Broiled")</f>
        <v>Beef Rib Small End (Ribs 10-12) Separable Lean And Fat Trimmed To 0 Inch Fat Choice Cooked Broiled</v>
      </c>
      <c r="C699" t="str">
        <f>IFERROR(__xludf.DUMMYFUNCTION("""COMPUTED_VALUE"""),"Meats")</f>
        <v>Meats</v>
      </c>
      <c r="D699">
        <f>IFERROR(__xludf.DUMMYFUNCTION("""COMPUTED_VALUE"""),312.0)</f>
        <v>312</v>
      </c>
      <c r="E699">
        <f>IFERROR(__xludf.DUMMYFUNCTION("""COMPUTED_VALUE"""),22.84)</f>
        <v>22.84</v>
      </c>
      <c r="F699">
        <f>IFERROR(__xludf.DUMMYFUNCTION("""COMPUTED_VALUE"""),24.73)</f>
        <v>24.73</v>
      </c>
      <c r="G699">
        <f>IFERROR(__xludf.DUMMYFUNCTION("""COMPUTED_VALUE"""),0.0)</f>
        <v>0</v>
      </c>
    </row>
    <row r="700">
      <c r="A700">
        <f>IFERROR(__xludf.DUMMYFUNCTION("""COMPUTED_VALUE"""),170221.0)</f>
        <v>170221</v>
      </c>
      <c r="B700" t="str">
        <f>IFERROR(__xludf.DUMMYFUNCTION("""COMPUTED_VALUE"""),"Beef Rib Small End (Ribs 10-12) Separable Lean And Fat Trimmed To 0 Inch Fat Select Cooked Broiled")</f>
        <v>Beef Rib Small End (Ribs 10-12) Separable Lean And Fat Trimmed To 0 Inch Fat Select Cooked Broiled</v>
      </c>
      <c r="C700" t="str">
        <f>IFERROR(__xludf.DUMMYFUNCTION("""COMPUTED_VALUE"""),"Meats")</f>
        <v>Meats</v>
      </c>
      <c r="D700">
        <f>IFERROR(__xludf.DUMMYFUNCTION("""COMPUTED_VALUE"""),285.0)</f>
        <v>285</v>
      </c>
      <c r="E700">
        <f>IFERROR(__xludf.DUMMYFUNCTION("""COMPUTED_VALUE"""),19.79)</f>
        <v>19.79</v>
      </c>
      <c r="F700">
        <f>IFERROR(__xludf.DUMMYFUNCTION("""COMPUTED_VALUE"""),24.91)</f>
        <v>24.91</v>
      </c>
      <c r="G700">
        <f>IFERROR(__xludf.DUMMYFUNCTION("""COMPUTED_VALUE"""),0.0)</f>
        <v>0</v>
      </c>
    </row>
    <row r="701">
      <c r="A701">
        <f>IFERROR(__xludf.DUMMYFUNCTION("""COMPUTED_VALUE"""),170222.0)</f>
        <v>170222</v>
      </c>
      <c r="B701" t="str">
        <f>IFERROR(__xludf.DUMMYFUNCTION("""COMPUTED_VALUE"""),"Beef Round Bottom Round Roast Separable Lean And Fat Trimmed To 0 Inch Fat All Grades Cooked Roasted")</f>
        <v>Beef Round Bottom Round Roast Separable Lean And Fat Trimmed To 0 Inch Fat All Grades Cooked Roasted</v>
      </c>
      <c r="C701" t="str">
        <f>IFERROR(__xludf.DUMMYFUNCTION("""COMPUTED_VALUE"""),"Meats")</f>
        <v>Meats</v>
      </c>
      <c r="D701">
        <f>IFERROR(__xludf.DUMMYFUNCTION("""COMPUTED_VALUE"""),187.0)</f>
        <v>187</v>
      </c>
      <c r="E701">
        <f>IFERROR(__xludf.DUMMYFUNCTION("""COMPUTED_VALUE"""),7.72)</f>
        <v>7.72</v>
      </c>
      <c r="F701">
        <f>IFERROR(__xludf.DUMMYFUNCTION("""COMPUTED_VALUE"""),27.42)</f>
        <v>27.42</v>
      </c>
      <c r="G701">
        <f>IFERROR(__xludf.DUMMYFUNCTION("""COMPUTED_VALUE"""),0.0)</f>
        <v>0</v>
      </c>
    </row>
    <row r="702">
      <c r="A702">
        <f>IFERROR(__xludf.DUMMYFUNCTION("""COMPUTED_VALUE"""),170223.0)</f>
        <v>170223</v>
      </c>
      <c r="B702" t="str">
        <f>IFERROR(__xludf.DUMMYFUNCTION("""COMPUTED_VALUE"""),"Beef Round Bottom Round Steak Separable Lean And Fat Trimmed To 0 Inch Fat Choice Cooked Braised")</f>
        <v>Beef Round Bottom Round Steak Separable Lean And Fat Trimmed To 0 Inch Fat Choice Cooked Braised</v>
      </c>
      <c r="C702" t="str">
        <f>IFERROR(__xludf.DUMMYFUNCTION("""COMPUTED_VALUE"""),"Meats")</f>
        <v>Meats</v>
      </c>
      <c r="D702">
        <f>IFERROR(__xludf.DUMMYFUNCTION("""COMPUTED_VALUE"""),230.0)</f>
        <v>230</v>
      </c>
      <c r="E702">
        <f>IFERROR(__xludf.DUMMYFUNCTION("""COMPUTED_VALUE"""),10.0)</f>
        <v>10</v>
      </c>
      <c r="F702">
        <f>IFERROR(__xludf.DUMMYFUNCTION("""COMPUTED_VALUE"""),32.73)</f>
        <v>32.73</v>
      </c>
      <c r="G702">
        <f>IFERROR(__xludf.DUMMYFUNCTION("""COMPUTED_VALUE"""),0.0)</f>
        <v>0</v>
      </c>
    </row>
    <row r="703">
      <c r="A703">
        <f>IFERROR(__xludf.DUMMYFUNCTION("""COMPUTED_VALUE"""),170224.0)</f>
        <v>170224</v>
      </c>
      <c r="B703" t="str">
        <f>IFERROR(__xludf.DUMMYFUNCTION("""COMPUTED_VALUE"""),"Beef Round Bottom Round Roast Separable Lean And Fat Trimmed To 0 Inch Fat Choice Cooked Roasted")</f>
        <v>Beef Round Bottom Round Roast Separable Lean And Fat Trimmed To 0 Inch Fat Choice Cooked Roasted</v>
      </c>
      <c r="C703" t="str">
        <f>IFERROR(__xludf.DUMMYFUNCTION("""COMPUTED_VALUE"""),"Meats")</f>
        <v>Meats</v>
      </c>
      <c r="D703">
        <f>IFERROR(__xludf.DUMMYFUNCTION("""COMPUTED_VALUE"""),199.0)</f>
        <v>199</v>
      </c>
      <c r="E703">
        <f>IFERROR(__xludf.DUMMYFUNCTION("""COMPUTED_VALUE"""),9.37)</f>
        <v>9.37</v>
      </c>
      <c r="F703">
        <f>IFERROR(__xludf.DUMMYFUNCTION("""COMPUTED_VALUE"""),26.76)</f>
        <v>26.76</v>
      </c>
      <c r="G703">
        <f>IFERROR(__xludf.DUMMYFUNCTION("""COMPUTED_VALUE"""),0.0)</f>
        <v>0</v>
      </c>
    </row>
    <row r="704">
      <c r="A704">
        <f>IFERROR(__xludf.DUMMYFUNCTION("""COMPUTED_VALUE"""),170225.0)</f>
        <v>170225</v>
      </c>
      <c r="B704" t="str">
        <f>IFERROR(__xludf.DUMMYFUNCTION("""COMPUTED_VALUE"""),"Beef Round Bottom Round Steak Separable Lean And Fat Trimmed To 0 Inch Fat Select Cooked Braised")</f>
        <v>Beef Round Bottom Round Steak Separable Lean And Fat Trimmed To 0 Inch Fat Select Cooked Braised</v>
      </c>
      <c r="C704" t="str">
        <f>IFERROR(__xludf.DUMMYFUNCTION("""COMPUTED_VALUE"""),"Meats")</f>
        <v>Meats</v>
      </c>
      <c r="D704">
        <f>IFERROR(__xludf.DUMMYFUNCTION("""COMPUTED_VALUE"""),217.0)</f>
        <v>217</v>
      </c>
      <c r="E704">
        <f>IFERROR(__xludf.DUMMYFUNCTION("""COMPUTED_VALUE"""),7.72)</f>
        <v>7.72</v>
      </c>
      <c r="F704">
        <f>IFERROR(__xludf.DUMMYFUNCTION("""COMPUTED_VALUE"""),34.39)</f>
        <v>34.39</v>
      </c>
      <c r="G704">
        <f>IFERROR(__xludf.DUMMYFUNCTION("""COMPUTED_VALUE"""),0.0)</f>
        <v>0</v>
      </c>
    </row>
    <row r="705">
      <c r="A705">
        <f>IFERROR(__xludf.DUMMYFUNCTION("""COMPUTED_VALUE"""),170226.0)</f>
        <v>170226</v>
      </c>
      <c r="B705" t="str">
        <f>IFERROR(__xludf.DUMMYFUNCTION("""COMPUTED_VALUE"""),"Beef Round Bottom Round Steak Separable Lean Only Trimmed To 0 Inch Fat Select Cooked Braised")</f>
        <v>Beef Round Bottom Round Steak Separable Lean Only Trimmed To 0 Inch Fat Select Cooked Braised</v>
      </c>
      <c r="C705" t="str">
        <f>IFERROR(__xludf.DUMMYFUNCTION("""COMPUTED_VALUE"""),"Meats")</f>
        <v>Meats</v>
      </c>
      <c r="D705">
        <f>IFERROR(__xludf.DUMMYFUNCTION("""COMPUTED_VALUE"""),206.0)</f>
        <v>206</v>
      </c>
      <c r="E705">
        <f>IFERROR(__xludf.DUMMYFUNCTION("""COMPUTED_VALUE"""),6.3)</f>
        <v>6.3</v>
      </c>
      <c r="F705">
        <f>IFERROR(__xludf.DUMMYFUNCTION("""COMPUTED_VALUE"""),34.93)</f>
        <v>34.93</v>
      </c>
      <c r="G705">
        <f>IFERROR(__xludf.DUMMYFUNCTION("""COMPUTED_VALUE"""),0.0)</f>
        <v>0</v>
      </c>
    </row>
    <row r="706">
      <c r="A706">
        <f>IFERROR(__xludf.DUMMYFUNCTION("""COMPUTED_VALUE"""),170227.0)</f>
        <v>170227</v>
      </c>
      <c r="B706" t="str">
        <f>IFERROR(__xludf.DUMMYFUNCTION("""COMPUTED_VALUE"""),"Beef Round Bottom Round Roast Separable Lean Only Trimmed To 0 Inch Fat Select Cooked Roasted")</f>
        <v>Beef Round Bottom Round Roast Separable Lean Only Trimmed To 0 Inch Fat Select Cooked Roasted</v>
      </c>
      <c r="C706" t="str">
        <f>IFERROR(__xludf.DUMMYFUNCTION("""COMPUTED_VALUE"""),"Meats")</f>
        <v>Meats</v>
      </c>
      <c r="D706">
        <f>IFERROR(__xludf.DUMMYFUNCTION("""COMPUTED_VALUE"""),169.0)</f>
        <v>169</v>
      </c>
      <c r="E706">
        <f>IFERROR(__xludf.DUMMYFUNCTION("""COMPUTED_VALUE"""),5.33)</f>
        <v>5.33</v>
      </c>
      <c r="F706">
        <f>IFERROR(__xludf.DUMMYFUNCTION("""COMPUTED_VALUE"""),28.29)</f>
        <v>28.29</v>
      </c>
      <c r="G706">
        <f>IFERROR(__xludf.DUMMYFUNCTION("""COMPUTED_VALUE"""),0.0)</f>
        <v>0</v>
      </c>
    </row>
    <row r="707">
      <c r="A707">
        <f>IFERROR(__xludf.DUMMYFUNCTION("""COMPUTED_VALUE"""),170228.0)</f>
        <v>170228</v>
      </c>
      <c r="B707" t="str">
        <f>IFERROR(__xludf.DUMMYFUNCTION("""COMPUTED_VALUE"""),"Roasted Beef Eye Of Round Roast")</f>
        <v>Roasted Beef Eye Of Round Roast</v>
      </c>
      <c r="C707" t="str">
        <f>IFERROR(__xludf.DUMMYFUNCTION("""COMPUTED_VALUE"""),"Meats")</f>
        <v>Meats</v>
      </c>
      <c r="D707">
        <f>IFERROR(__xludf.DUMMYFUNCTION("""COMPUTED_VALUE"""),167.0)</f>
        <v>167</v>
      </c>
      <c r="E707">
        <f>IFERROR(__xludf.DUMMYFUNCTION("""COMPUTED_VALUE"""),4.46)</f>
        <v>4.46</v>
      </c>
      <c r="F707">
        <f>IFERROR(__xludf.DUMMYFUNCTION("""COMPUTED_VALUE"""),29.66)</f>
        <v>29.66</v>
      </c>
      <c r="G707">
        <f>IFERROR(__xludf.DUMMYFUNCTION("""COMPUTED_VALUE"""),0.0)</f>
        <v>0</v>
      </c>
    </row>
    <row r="708">
      <c r="A708">
        <f>IFERROR(__xludf.DUMMYFUNCTION("""COMPUTED_VALUE"""),170229.0)</f>
        <v>170229</v>
      </c>
      <c r="B708" t="str">
        <f>IFERROR(__xludf.DUMMYFUNCTION("""COMPUTED_VALUE"""),"Beef Round Eye Of Round Roast Boneless Separable Lean And Fat Trimmed To 0 Inch Fat Choice Cooked Roasted")</f>
        <v>Beef Round Eye Of Round Roast Boneless Separable Lean And Fat Trimmed To 0 Inch Fat Choice Cooked Roasted</v>
      </c>
      <c r="C708" t="str">
        <f>IFERROR(__xludf.DUMMYFUNCTION("""COMPUTED_VALUE"""),"Meats")</f>
        <v>Meats</v>
      </c>
      <c r="D708">
        <f>IFERROR(__xludf.DUMMYFUNCTION("""COMPUTED_VALUE"""),171.0)</f>
        <v>171</v>
      </c>
      <c r="E708">
        <f>IFERROR(__xludf.DUMMYFUNCTION("""COMPUTED_VALUE"""),4.83)</f>
        <v>4.83</v>
      </c>
      <c r="F708">
        <f>IFERROR(__xludf.DUMMYFUNCTION("""COMPUTED_VALUE"""),29.79)</f>
        <v>29.79</v>
      </c>
      <c r="G708">
        <f>IFERROR(__xludf.DUMMYFUNCTION("""COMPUTED_VALUE"""),0.0)</f>
        <v>0</v>
      </c>
    </row>
    <row r="709">
      <c r="A709">
        <f>IFERROR(__xludf.DUMMYFUNCTION("""COMPUTED_VALUE"""),170230.0)</f>
        <v>170230</v>
      </c>
      <c r="B709" t="str">
        <f>IFERROR(__xludf.DUMMYFUNCTION("""COMPUTED_VALUE"""),"Beef Round Tip Round Roast Separable Lean And Fat Trimmed To 0 Inch Fat All Grades Cooked Roasted")</f>
        <v>Beef Round Tip Round Roast Separable Lean And Fat Trimmed To 0 Inch Fat All Grades Cooked Roasted</v>
      </c>
      <c r="C709" t="str">
        <f>IFERROR(__xludf.DUMMYFUNCTION("""COMPUTED_VALUE"""),"Meats")</f>
        <v>Meats</v>
      </c>
      <c r="D709">
        <f>IFERROR(__xludf.DUMMYFUNCTION("""COMPUTED_VALUE"""),188.0)</f>
        <v>188</v>
      </c>
      <c r="E709">
        <f>IFERROR(__xludf.DUMMYFUNCTION("""COMPUTED_VALUE"""),8.21)</f>
        <v>8.21</v>
      </c>
      <c r="F709">
        <f>IFERROR(__xludf.DUMMYFUNCTION("""COMPUTED_VALUE"""),26.79)</f>
        <v>26.79</v>
      </c>
      <c r="G709">
        <f>IFERROR(__xludf.DUMMYFUNCTION("""COMPUTED_VALUE"""),0.0)</f>
        <v>0</v>
      </c>
    </row>
    <row r="710">
      <c r="A710">
        <f>IFERROR(__xludf.DUMMYFUNCTION("""COMPUTED_VALUE"""),170231.0)</f>
        <v>170231</v>
      </c>
      <c r="B710" t="str">
        <f>IFERROR(__xludf.DUMMYFUNCTION("""COMPUTED_VALUE"""),"Beef Round Tip Round Roast Separable Lean And Fat Trimmed To 0 Inch Fat Choice Cooked Roasted")</f>
        <v>Beef Round Tip Round Roast Separable Lean And Fat Trimmed To 0 Inch Fat Choice Cooked Roasted</v>
      </c>
      <c r="C710" t="str">
        <f>IFERROR(__xludf.DUMMYFUNCTION("""COMPUTED_VALUE"""),"Meats")</f>
        <v>Meats</v>
      </c>
      <c r="D710">
        <f>IFERROR(__xludf.DUMMYFUNCTION("""COMPUTED_VALUE"""),196.0)</f>
        <v>196</v>
      </c>
      <c r="E710">
        <f>IFERROR(__xludf.DUMMYFUNCTION("""COMPUTED_VALUE"""),8.9)</f>
        <v>8.9</v>
      </c>
      <c r="F710">
        <f>IFERROR(__xludf.DUMMYFUNCTION("""COMPUTED_VALUE"""),27.01)</f>
        <v>27.01</v>
      </c>
      <c r="G710">
        <f>IFERROR(__xludf.DUMMYFUNCTION("""COMPUTED_VALUE"""),0.0)</f>
        <v>0</v>
      </c>
    </row>
    <row r="711">
      <c r="A711">
        <f>IFERROR(__xludf.DUMMYFUNCTION("""COMPUTED_VALUE"""),170232.0)</f>
        <v>170232</v>
      </c>
      <c r="B711" t="str">
        <f>IFERROR(__xludf.DUMMYFUNCTION("""COMPUTED_VALUE"""),"Beef Round Tip Round Roast Separable Lean And Fat Trimmed To 0 Inch Fat Select Cooked Roasted")</f>
        <v>Beef Round Tip Round Roast Separable Lean And Fat Trimmed To 0 Inch Fat Select Cooked Roasted</v>
      </c>
      <c r="C711" t="str">
        <f>IFERROR(__xludf.DUMMYFUNCTION("""COMPUTED_VALUE"""),"Meats")</f>
        <v>Meats</v>
      </c>
      <c r="D711">
        <f>IFERROR(__xludf.DUMMYFUNCTION("""COMPUTED_VALUE"""),181.0)</f>
        <v>181</v>
      </c>
      <c r="E711">
        <f>IFERROR(__xludf.DUMMYFUNCTION("""COMPUTED_VALUE"""),7.53)</f>
        <v>7.53</v>
      </c>
      <c r="F711">
        <f>IFERROR(__xludf.DUMMYFUNCTION("""COMPUTED_VALUE"""),26.57)</f>
        <v>26.57</v>
      </c>
      <c r="G711">
        <f>IFERROR(__xludf.DUMMYFUNCTION("""COMPUTED_VALUE"""),0.0)</f>
        <v>0</v>
      </c>
    </row>
    <row r="712">
      <c r="A712">
        <f>IFERROR(__xludf.DUMMYFUNCTION("""COMPUTED_VALUE"""),170233.0)</f>
        <v>170233</v>
      </c>
      <c r="B712" t="str">
        <f>IFERROR(__xludf.DUMMYFUNCTION("""COMPUTED_VALUE"""),"Beef Round Tip Round Roast Separable Lean Only Trimmed To 0 Inch Fat All Grades Cooked Roasted")</f>
        <v>Beef Round Tip Round Roast Separable Lean Only Trimmed To 0 Inch Fat All Grades Cooked Roasted</v>
      </c>
      <c r="C712" t="str">
        <f>IFERROR(__xludf.DUMMYFUNCTION("""COMPUTED_VALUE"""),"Meats")</f>
        <v>Meats</v>
      </c>
      <c r="D712">
        <f>IFERROR(__xludf.DUMMYFUNCTION("""COMPUTED_VALUE"""),174.0)</f>
        <v>174</v>
      </c>
      <c r="E712">
        <f>IFERROR(__xludf.DUMMYFUNCTION("""COMPUTED_VALUE"""),6.2)</f>
        <v>6.2</v>
      </c>
      <c r="F712">
        <f>IFERROR(__xludf.DUMMYFUNCTION("""COMPUTED_VALUE"""),27.53)</f>
        <v>27.53</v>
      </c>
      <c r="G712">
        <f>IFERROR(__xludf.DUMMYFUNCTION("""COMPUTED_VALUE"""),0.0)</f>
        <v>0</v>
      </c>
    </row>
    <row r="713">
      <c r="A713">
        <f>IFERROR(__xludf.DUMMYFUNCTION("""COMPUTED_VALUE"""),170234.0)</f>
        <v>170234</v>
      </c>
      <c r="B713" t="str">
        <f>IFERROR(__xludf.DUMMYFUNCTION("""COMPUTED_VALUE"""),"Beef Round Top Round Separable Lean And Fat Trimmed To 0 Inch Fat Select Cooked Braised")</f>
        <v>Beef Round Top Round Separable Lean And Fat Trimmed To 0 Inch Fat Select Cooked Braised</v>
      </c>
      <c r="C713" t="str">
        <f>IFERROR(__xludf.DUMMYFUNCTION("""COMPUTED_VALUE"""),"Meats")</f>
        <v>Meats</v>
      </c>
      <c r="D713">
        <f>IFERROR(__xludf.DUMMYFUNCTION("""COMPUTED_VALUE"""),200.0)</f>
        <v>200</v>
      </c>
      <c r="E713">
        <f>IFERROR(__xludf.DUMMYFUNCTION("""COMPUTED_VALUE"""),5.33)</f>
        <v>5.33</v>
      </c>
      <c r="F713">
        <f>IFERROR(__xludf.DUMMYFUNCTION("""COMPUTED_VALUE"""),35.62)</f>
        <v>35.62</v>
      </c>
      <c r="G713">
        <f>IFERROR(__xludf.DUMMYFUNCTION("""COMPUTED_VALUE"""),0.0)</f>
        <v>0</v>
      </c>
    </row>
    <row r="714">
      <c r="A714">
        <f>IFERROR(__xludf.DUMMYFUNCTION("""COMPUTED_VALUE"""),170235.0)</f>
        <v>170235</v>
      </c>
      <c r="B714" t="str">
        <f>IFERROR(__xludf.DUMMYFUNCTION("""COMPUTED_VALUE"""),"Beef Round Top Round Separable Lean Only Trimmed To 0 Inch Fat Choice Cooked Braised")</f>
        <v>Beef Round Top Round Separable Lean Only Trimmed To 0 Inch Fat Choice Cooked Braised</v>
      </c>
      <c r="C714" t="str">
        <f>IFERROR(__xludf.DUMMYFUNCTION("""COMPUTED_VALUE"""),"Meats")</f>
        <v>Meats</v>
      </c>
      <c r="D714">
        <f>IFERROR(__xludf.DUMMYFUNCTION("""COMPUTED_VALUE"""),207.0)</f>
        <v>207</v>
      </c>
      <c r="E714">
        <f>IFERROR(__xludf.DUMMYFUNCTION("""COMPUTED_VALUE"""),5.8)</f>
        <v>5.8</v>
      </c>
      <c r="F714">
        <f>IFERROR(__xludf.DUMMYFUNCTION("""COMPUTED_VALUE"""),36.12)</f>
        <v>36.12</v>
      </c>
      <c r="G714">
        <f>IFERROR(__xludf.DUMMYFUNCTION("""COMPUTED_VALUE"""),0.0)</f>
        <v>0</v>
      </c>
    </row>
    <row r="715">
      <c r="A715">
        <f>IFERROR(__xludf.DUMMYFUNCTION("""COMPUTED_VALUE"""),170236.0)</f>
        <v>170236</v>
      </c>
      <c r="B715" t="str">
        <f>IFERROR(__xludf.DUMMYFUNCTION("""COMPUTED_VALUE"""),"Beef Round Top Round Separable Lean Only Trimmed To 0 Inch Fat Select Cooked Braised")</f>
        <v>Beef Round Top Round Separable Lean Only Trimmed To 0 Inch Fat Select Cooked Braised</v>
      </c>
      <c r="C715" t="str">
        <f>IFERROR(__xludf.DUMMYFUNCTION("""COMPUTED_VALUE"""),"Meats")</f>
        <v>Meats</v>
      </c>
      <c r="D715">
        <f>IFERROR(__xludf.DUMMYFUNCTION("""COMPUTED_VALUE"""),190.0)</f>
        <v>190</v>
      </c>
      <c r="E715">
        <f>IFERROR(__xludf.DUMMYFUNCTION("""COMPUTED_VALUE"""),4.0)</f>
        <v>4</v>
      </c>
      <c r="F715">
        <f>IFERROR(__xludf.DUMMYFUNCTION("""COMPUTED_VALUE"""),36.12)</f>
        <v>36.12</v>
      </c>
      <c r="G715">
        <f>IFERROR(__xludf.DUMMYFUNCTION("""COMPUTED_VALUE"""),0.0)</f>
        <v>0</v>
      </c>
    </row>
    <row r="716">
      <c r="A716">
        <f>IFERROR(__xludf.DUMMYFUNCTION("""COMPUTED_VALUE"""),170237.0)</f>
        <v>170237</v>
      </c>
      <c r="B716" t="str">
        <f>IFERROR(__xludf.DUMMYFUNCTION("""COMPUTED_VALUE"""),"Beef Loin Tenderloin Steak Boneless Separable Lean And Fat Trimmed To 0 Inch Fat All Grades Cooked Grilled")</f>
        <v>Beef Loin Tenderloin Steak Boneless Separable Lean And Fat Trimmed To 0 Inch Fat All Grades Cooked Grilled</v>
      </c>
      <c r="C716" t="str">
        <f>IFERROR(__xludf.DUMMYFUNCTION("""COMPUTED_VALUE"""),"Meats")</f>
        <v>Meats</v>
      </c>
      <c r="D716">
        <f>IFERROR(__xludf.DUMMYFUNCTION("""COMPUTED_VALUE"""),211.0)</f>
        <v>211</v>
      </c>
      <c r="E716">
        <f>IFERROR(__xludf.DUMMYFUNCTION("""COMPUTED_VALUE"""),8.91)</f>
        <v>8.91</v>
      </c>
      <c r="F716">
        <f>IFERROR(__xludf.DUMMYFUNCTION("""COMPUTED_VALUE"""),30.5)</f>
        <v>30.5</v>
      </c>
      <c r="G716">
        <f>IFERROR(__xludf.DUMMYFUNCTION("""COMPUTED_VALUE"""),0.0)</f>
        <v>0</v>
      </c>
    </row>
    <row r="717">
      <c r="A717">
        <f>IFERROR(__xludf.DUMMYFUNCTION("""COMPUTED_VALUE"""),170238.0)</f>
        <v>170238</v>
      </c>
      <c r="B717" t="str">
        <f>IFERROR(__xludf.DUMMYFUNCTION("""COMPUTED_VALUE"""),"Beef Loin Tenderloin Steak Boneless Separable Lean And Fat Trimmed To 0 Inch Fat Choice Cooked Grilled")</f>
        <v>Beef Loin Tenderloin Steak Boneless Separable Lean And Fat Trimmed To 0 Inch Fat Choice Cooked Grilled</v>
      </c>
      <c r="C717" t="str">
        <f>IFERROR(__xludf.DUMMYFUNCTION("""COMPUTED_VALUE"""),"Meats")</f>
        <v>Meats</v>
      </c>
      <c r="D717">
        <f>IFERROR(__xludf.DUMMYFUNCTION("""COMPUTED_VALUE"""),217.0)</f>
        <v>217</v>
      </c>
      <c r="E717">
        <f>IFERROR(__xludf.DUMMYFUNCTION("""COMPUTED_VALUE"""),9.71)</f>
        <v>9.71</v>
      </c>
      <c r="F717">
        <f>IFERROR(__xludf.DUMMYFUNCTION("""COMPUTED_VALUE"""),30.21)</f>
        <v>30.21</v>
      </c>
      <c r="G717">
        <f>IFERROR(__xludf.DUMMYFUNCTION("""COMPUTED_VALUE"""),0.0)</f>
        <v>0</v>
      </c>
    </row>
    <row r="718">
      <c r="A718">
        <f>IFERROR(__xludf.DUMMYFUNCTION("""COMPUTED_VALUE"""),170239.0)</f>
        <v>170239</v>
      </c>
      <c r="B718" t="str">
        <f>IFERROR(__xludf.DUMMYFUNCTION("""COMPUTED_VALUE"""),"Beef Loin Top Loin Steak Boneless Lip Off Separable Lean And Fat Trimmed To 0 Inch Fat All Grades Cooked Grilled")</f>
        <v>Beef Loin Top Loin Steak Boneless Lip Off Separable Lean And Fat Trimmed To 0 Inch Fat All Grades Cooked Grilled</v>
      </c>
      <c r="C718" t="str">
        <f>IFERROR(__xludf.DUMMYFUNCTION("""COMPUTED_VALUE"""),"Meats")</f>
        <v>Meats</v>
      </c>
      <c r="D718">
        <f>IFERROR(__xludf.DUMMYFUNCTION("""COMPUTED_VALUE"""),223.0)</f>
        <v>223</v>
      </c>
      <c r="E718">
        <f>IFERROR(__xludf.DUMMYFUNCTION("""COMPUTED_VALUE"""),11.15)</f>
        <v>11.15</v>
      </c>
      <c r="F718">
        <f>IFERROR(__xludf.DUMMYFUNCTION("""COMPUTED_VALUE"""),28.57)</f>
        <v>28.57</v>
      </c>
      <c r="G718">
        <f>IFERROR(__xludf.DUMMYFUNCTION("""COMPUTED_VALUE"""),0.0)</f>
        <v>0</v>
      </c>
    </row>
    <row r="719">
      <c r="A719">
        <f>IFERROR(__xludf.DUMMYFUNCTION("""COMPUTED_VALUE"""),170240.0)</f>
        <v>170240</v>
      </c>
      <c r="B719" t="str">
        <f>IFERROR(__xludf.DUMMYFUNCTION("""COMPUTED_VALUE"""),"Beef Loin Top Loin Steak Boneless Lip Off Separable Lean And Fat Trimmed To 0 Inch Fat Choice Cooked Grilled")</f>
        <v>Beef Loin Top Loin Steak Boneless Lip Off Separable Lean And Fat Trimmed To 0 Inch Fat Choice Cooked Grilled</v>
      </c>
      <c r="C719" t="str">
        <f>IFERROR(__xludf.DUMMYFUNCTION("""COMPUTED_VALUE"""),"Meats")</f>
        <v>Meats</v>
      </c>
      <c r="D719">
        <f>IFERROR(__xludf.DUMMYFUNCTION("""COMPUTED_VALUE"""),233.0)</f>
        <v>233</v>
      </c>
      <c r="E719">
        <f>IFERROR(__xludf.DUMMYFUNCTION("""COMPUTED_VALUE"""),12.51)</f>
        <v>12.51</v>
      </c>
      <c r="F719">
        <f>IFERROR(__xludf.DUMMYFUNCTION("""COMPUTED_VALUE"""),28.19)</f>
        <v>28.19</v>
      </c>
      <c r="G719">
        <f>IFERROR(__xludf.DUMMYFUNCTION("""COMPUTED_VALUE"""),0.0)</f>
        <v>0</v>
      </c>
    </row>
    <row r="720">
      <c r="A720">
        <f>IFERROR(__xludf.DUMMYFUNCTION("""COMPUTED_VALUE"""),170597.0)</f>
        <v>170597</v>
      </c>
      <c r="B720" t="str">
        <f>IFERROR(__xludf.DUMMYFUNCTION("""COMPUTED_VALUE"""),"Beef Variety Meats And By-Products Spleen Cooked Braised")</f>
        <v>Beef Variety Meats And By-Products Spleen Cooked Braised</v>
      </c>
      <c r="C720" t="str">
        <f>IFERROR(__xludf.DUMMYFUNCTION("""COMPUTED_VALUE"""),"Meats")</f>
        <v>Meats</v>
      </c>
      <c r="D720">
        <f>IFERROR(__xludf.DUMMYFUNCTION("""COMPUTED_VALUE"""),145.0)</f>
        <v>145</v>
      </c>
      <c r="E720">
        <f>IFERROR(__xludf.DUMMYFUNCTION("""COMPUTED_VALUE"""),4.2)</f>
        <v>4.2</v>
      </c>
      <c r="F720">
        <f>IFERROR(__xludf.DUMMYFUNCTION("""COMPUTED_VALUE"""),25.1)</f>
        <v>25.1</v>
      </c>
      <c r="G720">
        <f>IFERROR(__xludf.DUMMYFUNCTION("""COMPUTED_VALUE"""),0.0)</f>
        <v>0</v>
      </c>
    </row>
    <row r="721">
      <c r="A721">
        <f>IFERROR(__xludf.DUMMYFUNCTION("""COMPUTED_VALUE"""),170598.0)</f>
        <v>170598</v>
      </c>
      <c r="B721" t="str">
        <f>IFERROR(__xludf.DUMMYFUNCTION("""COMPUTED_VALUE"""),"Beef Variety Meats And By-Products Tongue Cooked Simmered")</f>
        <v>Beef Variety Meats And By-Products Tongue Cooked Simmered</v>
      </c>
      <c r="C721" t="str">
        <f>IFERROR(__xludf.DUMMYFUNCTION("""COMPUTED_VALUE"""),"Meats")</f>
        <v>Meats</v>
      </c>
      <c r="D721">
        <f>IFERROR(__xludf.DUMMYFUNCTION("""COMPUTED_VALUE"""),284.0)</f>
        <v>284</v>
      </c>
      <c r="E721">
        <f>IFERROR(__xludf.DUMMYFUNCTION("""COMPUTED_VALUE"""),22.3)</f>
        <v>22.3</v>
      </c>
      <c r="F721">
        <f>IFERROR(__xludf.DUMMYFUNCTION("""COMPUTED_VALUE"""),19.29)</f>
        <v>19.29</v>
      </c>
      <c r="G721">
        <f>IFERROR(__xludf.DUMMYFUNCTION("""COMPUTED_VALUE"""),0.0)</f>
        <v>0</v>
      </c>
    </row>
    <row r="722">
      <c r="A722">
        <f>IFERROR(__xludf.DUMMYFUNCTION("""COMPUTED_VALUE"""),170599.0)</f>
        <v>170599</v>
      </c>
      <c r="B722" t="str">
        <f>IFERROR(__xludf.DUMMYFUNCTION("""COMPUTED_VALUE"""),"Beef Variety Meats And By-Products Tripe Raw")</f>
        <v>Beef Variety Meats And By-Products Tripe Raw</v>
      </c>
      <c r="C722" t="str">
        <f>IFERROR(__xludf.DUMMYFUNCTION("""COMPUTED_VALUE"""),"Meats")</f>
        <v>Meats</v>
      </c>
      <c r="D722">
        <f>IFERROR(__xludf.DUMMYFUNCTION("""COMPUTED_VALUE"""),85.0)</f>
        <v>85</v>
      </c>
      <c r="E722">
        <f>IFERROR(__xludf.DUMMYFUNCTION("""COMPUTED_VALUE"""),3.69)</f>
        <v>3.69</v>
      </c>
      <c r="F722">
        <f>IFERROR(__xludf.DUMMYFUNCTION("""COMPUTED_VALUE"""),12.07)</f>
        <v>12.07</v>
      </c>
      <c r="G722">
        <f>IFERROR(__xludf.DUMMYFUNCTION("""COMPUTED_VALUE"""),0.0)</f>
        <v>0</v>
      </c>
    </row>
    <row r="723">
      <c r="A723">
        <f>IFERROR(__xludf.DUMMYFUNCTION("""COMPUTED_VALUE"""),170600.0)</f>
        <v>170600</v>
      </c>
      <c r="B723" t="str">
        <f>IFERROR(__xludf.DUMMYFUNCTION("""COMPUTED_VALUE"""),"Beef Sandwich Steaks Flaked Chopped Formed And Thinly Sliced Raw")</f>
        <v>Beef Sandwich Steaks Flaked Chopped Formed And Thinly Sliced Raw</v>
      </c>
      <c r="C723" t="str">
        <f>IFERROR(__xludf.DUMMYFUNCTION("""COMPUTED_VALUE"""),"Meats")</f>
        <v>Meats</v>
      </c>
      <c r="D723">
        <f>IFERROR(__xludf.DUMMYFUNCTION("""COMPUTED_VALUE"""),309.0)</f>
        <v>309</v>
      </c>
      <c r="E723">
        <f>IFERROR(__xludf.DUMMYFUNCTION("""COMPUTED_VALUE"""),27.0)</f>
        <v>27</v>
      </c>
      <c r="F723">
        <f>IFERROR(__xludf.DUMMYFUNCTION("""COMPUTED_VALUE"""),16.5)</f>
        <v>16.5</v>
      </c>
      <c r="G723">
        <f>IFERROR(__xludf.DUMMYFUNCTION("""COMPUTED_VALUE"""),0.0)</f>
        <v>0</v>
      </c>
    </row>
    <row r="724">
      <c r="A724">
        <f>IFERROR(__xludf.DUMMYFUNCTION("""COMPUTED_VALUE"""),170601.0)</f>
        <v>170601</v>
      </c>
      <c r="B724" t="str">
        <f>IFERROR(__xludf.DUMMYFUNCTION("""COMPUTED_VALUE"""),"Beef Brisket Flat Half Separable Lean Only Trimmed To 0 Inch Fat Choice Cooked Braised")</f>
        <v>Beef Brisket Flat Half Separable Lean Only Trimmed To 0 Inch Fat Choice Cooked Braised</v>
      </c>
      <c r="C724" t="str">
        <f>IFERROR(__xludf.DUMMYFUNCTION("""COMPUTED_VALUE"""),"Meats")</f>
        <v>Meats</v>
      </c>
      <c r="D724">
        <f>IFERROR(__xludf.DUMMYFUNCTION("""COMPUTED_VALUE"""),212.0)</f>
        <v>212</v>
      </c>
      <c r="E724">
        <f>IFERROR(__xludf.DUMMYFUNCTION("""COMPUTED_VALUE"""),8.07)</f>
        <v>8.07</v>
      </c>
      <c r="F724">
        <f>IFERROR(__xludf.DUMMYFUNCTION("""COMPUTED_VALUE"""),32.62)</f>
        <v>32.62</v>
      </c>
      <c r="G724">
        <f>IFERROR(__xludf.DUMMYFUNCTION("""COMPUTED_VALUE"""),0.0)</f>
        <v>0</v>
      </c>
    </row>
    <row r="725">
      <c r="A725">
        <f>IFERROR(__xludf.DUMMYFUNCTION("""COMPUTED_VALUE"""),170602.0)</f>
        <v>170602</v>
      </c>
      <c r="B725" t="str">
        <f>IFERROR(__xludf.DUMMYFUNCTION("""COMPUTED_VALUE"""),"Beef Cured Corned Beef Canned")</f>
        <v>Beef Cured Corned Beef Canned</v>
      </c>
      <c r="C725" t="str">
        <f>IFERROR(__xludf.DUMMYFUNCTION("""COMPUTED_VALUE"""),"Meats")</f>
        <v>Meats</v>
      </c>
      <c r="D725">
        <f>IFERROR(__xludf.DUMMYFUNCTION("""COMPUTED_VALUE"""),250.0)</f>
        <v>250</v>
      </c>
      <c r="E725">
        <f>IFERROR(__xludf.DUMMYFUNCTION("""COMPUTED_VALUE"""),14.93)</f>
        <v>14.93</v>
      </c>
      <c r="F725">
        <f>IFERROR(__xludf.DUMMYFUNCTION("""COMPUTED_VALUE"""),27.1)</f>
        <v>27.1</v>
      </c>
      <c r="G725">
        <f>IFERROR(__xludf.DUMMYFUNCTION("""COMPUTED_VALUE"""),0.0)</f>
        <v>0</v>
      </c>
    </row>
    <row r="726">
      <c r="A726">
        <f>IFERROR(__xludf.DUMMYFUNCTION("""COMPUTED_VALUE"""),170603.0)</f>
        <v>170603</v>
      </c>
      <c r="B726" t="str">
        <f>IFERROR(__xludf.DUMMYFUNCTION("""COMPUTED_VALUE"""),"Beef Chuck Under Blade Pot Roast Or Steak Boneless Separable Lean Only Trimmed To 0 Inch Fat Select Raw")</f>
        <v>Beef Chuck Under Blade Pot Roast Or Steak Boneless Separable Lean Only Trimmed To 0 Inch Fat Select Raw</v>
      </c>
      <c r="C726" t="str">
        <f>IFERROR(__xludf.DUMMYFUNCTION("""COMPUTED_VALUE"""),"Meats")</f>
        <v>Meats</v>
      </c>
      <c r="D726">
        <f>IFERROR(__xludf.DUMMYFUNCTION("""COMPUTED_VALUE"""),134.0)</f>
        <v>134</v>
      </c>
      <c r="E726">
        <f>IFERROR(__xludf.DUMMYFUNCTION("""COMPUTED_VALUE"""),5.41)</f>
        <v>5.41</v>
      </c>
      <c r="F726">
        <f>IFERROR(__xludf.DUMMYFUNCTION("""COMPUTED_VALUE"""),21.03)</f>
        <v>21.03</v>
      </c>
      <c r="G726">
        <f>IFERROR(__xludf.DUMMYFUNCTION("""COMPUTED_VALUE"""),0.19)</f>
        <v>0.19</v>
      </c>
    </row>
    <row r="727">
      <c r="A727">
        <f>IFERROR(__xludf.DUMMYFUNCTION("""COMPUTED_VALUE"""),170604.0)</f>
        <v>170604</v>
      </c>
      <c r="B727" t="str">
        <f>IFERROR(__xludf.DUMMYFUNCTION("""COMPUTED_VALUE"""),"Beef Cured Dried")</f>
        <v>Beef Cured Dried</v>
      </c>
      <c r="C727" t="str">
        <f>IFERROR(__xludf.DUMMYFUNCTION("""COMPUTED_VALUE"""),"Meats")</f>
        <v>Meats</v>
      </c>
      <c r="D727">
        <f>IFERROR(__xludf.DUMMYFUNCTION("""COMPUTED_VALUE"""),153.0)</f>
        <v>153</v>
      </c>
      <c r="E727">
        <f>IFERROR(__xludf.DUMMYFUNCTION("""COMPUTED_VALUE"""),1.94)</f>
        <v>1.94</v>
      </c>
      <c r="F727">
        <f>IFERROR(__xludf.DUMMYFUNCTION("""COMPUTED_VALUE"""),31.1)</f>
        <v>31.1</v>
      </c>
      <c r="G727">
        <f>IFERROR(__xludf.DUMMYFUNCTION("""COMPUTED_VALUE"""),2.76)</f>
        <v>2.76</v>
      </c>
    </row>
    <row r="728">
      <c r="A728">
        <f>IFERROR(__xludf.DUMMYFUNCTION("""COMPUTED_VALUE"""),170605.0)</f>
        <v>170605</v>
      </c>
      <c r="B728" t="str">
        <f>IFERROR(__xludf.DUMMYFUNCTION("""COMPUTED_VALUE"""),"Beef Chuck Under Blade Center Steak Boneless Denver Cut Separable Lean Only Trimmed To 0 Inch Fat All Grades Cooked Grilled")</f>
        <v>Beef Chuck Under Blade Center Steak Boneless Denver Cut Separable Lean Only Trimmed To 0 Inch Fat All Grades Cooked Grilled</v>
      </c>
      <c r="C728" t="str">
        <f>IFERROR(__xludf.DUMMYFUNCTION("""COMPUTED_VALUE"""),"Meats")</f>
        <v>Meats</v>
      </c>
      <c r="D728">
        <f>IFERROR(__xludf.DUMMYFUNCTION("""COMPUTED_VALUE"""),220.0)</f>
        <v>220</v>
      </c>
      <c r="E728">
        <f>IFERROR(__xludf.DUMMYFUNCTION("""COMPUTED_VALUE"""),12.64)</f>
        <v>12.64</v>
      </c>
      <c r="F728">
        <f>IFERROR(__xludf.DUMMYFUNCTION("""COMPUTED_VALUE"""),26.5)</f>
        <v>26.5</v>
      </c>
      <c r="G728">
        <f>IFERROR(__xludf.DUMMYFUNCTION("""COMPUTED_VALUE"""),0.14)</f>
        <v>0.14</v>
      </c>
    </row>
    <row r="729">
      <c r="A729">
        <f>IFERROR(__xludf.DUMMYFUNCTION("""COMPUTED_VALUE"""),170606.0)</f>
        <v>170606</v>
      </c>
      <c r="B729" t="str">
        <f>IFERROR(__xludf.DUMMYFUNCTION("""COMPUTED_VALUE"""),"Beef Cured Sausage Cooked Smoked")</f>
        <v>Beef Cured Sausage Cooked Smoked</v>
      </c>
      <c r="C729" t="str">
        <f>IFERROR(__xludf.DUMMYFUNCTION("""COMPUTED_VALUE"""),"Meats")</f>
        <v>Meats</v>
      </c>
      <c r="D729">
        <f>IFERROR(__xludf.DUMMYFUNCTION("""COMPUTED_VALUE"""),312.0)</f>
        <v>312</v>
      </c>
      <c r="E729">
        <f>IFERROR(__xludf.DUMMYFUNCTION("""COMPUTED_VALUE"""),26.91)</f>
        <v>26.91</v>
      </c>
      <c r="F729">
        <f>IFERROR(__xludf.DUMMYFUNCTION("""COMPUTED_VALUE"""),14.11)</f>
        <v>14.11</v>
      </c>
      <c r="G729">
        <f>IFERROR(__xludf.DUMMYFUNCTION("""COMPUTED_VALUE"""),2.42)</f>
        <v>2.42</v>
      </c>
    </row>
    <row r="730">
      <c r="A730">
        <f>IFERROR(__xludf.DUMMYFUNCTION("""COMPUTED_VALUE"""),170607.0)</f>
        <v>170607</v>
      </c>
      <c r="B730" t="str">
        <f>IFERROR(__xludf.DUMMYFUNCTION("""COMPUTED_VALUE"""),"Cured Smoked Beef")</f>
        <v>Cured Smoked Beef</v>
      </c>
      <c r="C730" t="str">
        <f>IFERROR(__xludf.DUMMYFUNCTION("""COMPUTED_VALUE"""),"Meats")</f>
        <v>Meats</v>
      </c>
      <c r="D730">
        <f>IFERROR(__xludf.DUMMYFUNCTION("""COMPUTED_VALUE"""),133.0)</f>
        <v>133</v>
      </c>
      <c r="E730">
        <f>IFERROR(__xludf.DUMMYFUNCTION("""COMPUTED_VALUE"""),4.42)</f>
        <v>4.42</v>
      </c>
      <c r="F730">
        <f>IFERROR(__xludf.DUMMYFUNCTION("""COMPUTED_VALUE"""),20.19)</f>
        <v>20.19</v>
      </c>
      <c r="G730">
        <f>IFERROR(__xludf.DUMMYFUNCTION("""COMPUTED_VALUE"""),1.86)</f>
        <v>1.86</v>
      </c>
    </row>
    <row r="731">
      <c r="A731">
        <f>IFERROR(__xludf.DUMMYFUNCTION("""COMPUTED_VALUE"""),170608.0)</f>
        <v>170608</v>
      </c>
      <c r="B731" t="str">
        <f>IFERROR(__xludf.DUMMYFUNCTION("""COMPUTED_VALUE"""),"Beef Chuck Under Blade Center Steak Boneless Denver Cut Separable Lean Only Trimmed To 0 Inch Fat Choice Raw")</f>
        <v>Beef Chuck Under Blade Center Steak Boneless Denver Cut Separable Lean Only Trimmed To 0 Inch Fat Choice Raw</v>
      </c>
      <c r="C731" t="str">
        <f>IFERROR(__xludf.DUMMYFUNCTION("""COMPUTED_VALUE"""),"Meats")</f>
        <v>Meats</v>
      </c>
      <c r="D731">
        <f>IFERROR(__xludf.DUMMYFUNCTION("""COMPUTED_VALUE"""),178.0)</f>
        <v>178</v>
      </c>
      <c r="E731">
        <f>IFERROR(__xludf.DUMMYFUNCTION("""COMPUTED_VALUE"""),10.96)</f>
        <v>10.96</v>
      </c>
      <c r="F731">
        <f>IFERROR(__xludf.DUMMYFUNCTION("""COMPUTED_VALUE"""),19.23)</f>
        <v>19.23</v>
      </c>
      <c r="G731">
        <f>IFERROR(__xludf.DUMMYFUNCTION("""COMPUTED_VALUE"""),0.67)</f>
        <v>0.67</v>
      </c>
    </row>
    <row r="732">
      <c r="A732">
        <f>IFERROR(__xludf.DUMMYFUNCTION("""COMPUTED_VALUE"""),170609.0)</f>
        <v>170609</v>
      </c>
      <c r="B732" t="str">
        <f>IFERROR(__xludf.DUMMYFUNCTION("""COMPUTED_VALUE"""),"Beef Composite Of Trimmed Retail Cuts Separable Lean And Fat Trimmed To 0 Inch Fat All Grades Cooked")</f>
        <v>Beef Composite Of Trimmed Retail Cuts Separable Lean And Fat Trimmed To 0 Inch Fat All Grades Cooked</v>
      </c>
      <c r="C732" t="str">
        <f>IFERROR(__xludf.DUMMYFUNCTION("""COMPUTED_VALUE"""),"Meats")</f>
        <v>Meats</v>
      </c>
      <c r="D732">
        <f>IFERROR(__xludf.DUMMYFUNCTION("""COMPUTED_VALUE"""),230.0)</f>
        <v>230</v>
      </c>
      <c r="E732">
        <f>IFERROR(__xludf.DUMMYFUNCTION("""COMPUTED_VALUE"""),12.42)</f>
        <v>12.42</v>
      </c>
      <c r="F732">
        <f>IFERROR(__xludf.DUMMYFUNCTION("""COMPUTED_VALUE"""),28.4)</f>
        <v>28.4</v>
      </c>
      <c r="G732">
        <f>IFERROR(__xludf.DUMMYFUNCTION("""COMPUTED_VALUE"""),0.0)</f>
        <v>0</v>
      </c>
    </row>
    <row r="733">
      <c r="A733">
        <f>IFERROR(__xludf.DUMMYFUNCTION("""COMPUTED_VALUE"""),170610.0)</f>
        <v>170610</v>
      </c>
      <c r="B733" t="str">
        <f>IFERROR(__xludf.DUMMYFUNCTION("""COMPUTED_VALUE"""),"Beef Composite Of Trimmed Retail Cuts Separable Lean Only Trimmed To 0 Inch Fat Select Cooked")</f>
        <v>Beef Composite Of Trimmed Retail Cuts Separable Lean Only Trimmed To 0 Inch Fat Select Cooked</v>
      </c>
      <c r="C733" t="str">
        <f>IFERROR(__xludf.DUMMYFUNCTION("""COMPUTED_VALUE"""),"Meats")</f>
        <v>Meats</v>
      </c>
      <c r="D733">
        <f>IFERROR(__xludf.DUMMYFUNCTION("""COMPUTED_VALUE"""),188.0)</f>
        <v>188</v>
      </c>
      <c r="E733">
        <f>IFERROR(__xludf.DUMMYFUNCTION("""COMPUTED_VALUE"""),7.12)</f>
        <v>7.12</v>
      </c>
      <c r="F733">
        <f>IFERROR(__xludf.DUMMYFUNCTION("""COMPUTED_VALUE"""),29.88)</f>
        <v>29.88</v>
      </c>
      <c r="G733">
        <f>IFERROR(__xludf.DUMMYFUNCTION("""COMPUTED_VALUE"""),0.0)</f>
        <v>0</v>
      </c>
    </row>
    <row r="734">
      <c r="A734">
        <f>IFERROR(__xludf.DUMMYFUNCTION("""COMPUTED_VALUE"""),170611.0)</f>
        <v>170611</v>
      </c>
      <c r="B734" t="str">
        <f>IFERROR(__xludf.DUMMYFUNCTION("""COMPUTED_VALUE"""),"Beef Brisket Whole Separable Lean And Fat Trimmed To 0 Inch Fat All Grades Cooked Braised")</f>
        <v>Beef Brisket Whole Separable Lean And Fat Trimmed To 0 Inch Fat All Grades Cooked Braised</v>
      </c>
      <c r="C734" t="str">
        <f>IFERROR(__xludf.DUMMYFUNCTION("""COMPUTED_VALUE"""),"Meats")</f>
        <v>Meats</v>
      </c>
      <c r="D734">
        <f>IFERROR(__xludf.DUMMYFUNCTION("""COMPUTED_VALUE"""),291.0)</f>
        <v>291</v>
      </c>
      <c r="E734">
        <f>IFERROR(__xludf.DUMMYFUNCTION("""COMPUTED_VALUE"""),19.52)</f>
        <v>19.52</v>
      </c>
      <c r="F734">
        <f>IFERROR(__xludf.DUMMYFUNCTION("""COMPUTED_VALUE"""),26.79)</f>
        <v>26.79</v>
      </c>
      <c r="G734">
        <f>IFERROR(__xludf.DUMMYFUNCTION("""COMPUTED_VALUE"""),0.0)</f>
        <v>0</v>
      </c>
    </row>
    <row r="735">
      <c r="A735">
        <f>IFERROR(__xludf.DUMMYFUNCTION("""COMPUTED_VALUE"""),170612.0)</f>
        <v>170612</v>
      </c>
      <c r="B735" t="str">
        <f>IFERROR(__xludf.DUMMYFUNCTION("""COMPUTED_VALUE"""),"Beef Brisket Whole Separable Lean Only Trimmed To 0 Inch Fat All Grades Cooked Braised")</f>
        <v>Beef Brisket Whole Separable Lean Only Trimmed To 0 Inch Fat All Grades Cooked Braised</v>
      </c>
      <c r="C735" t="str">
        <f>IFERROR(__xludf.DUMMYFUNCTION("""COMPUTED_VALUE"""),"Meats")</f>
        <v>Meats</v>
      </c>
      <c r="D735">
        <f>IFERROR(__xludf.DUMMYFUNCTION("""COMPUTED_VALUE"""),218.0)</f>
        <v>218</v>
      </c>
      <c r="E735">
        <f>IFERROR(__xludf.DUMMYFUNCTION("""COMPUTED_VALUE"""),10.08)</f>
        <v>10.08</v>
      </c>
      <c r="F735">
        <f>IFERROR(__xludf.DUMMYFUNCTION("""COMPUTED_VALUE"""),29.75)</f>
        <v>29.75</v>
      </c>
      <c r="G735">
        <f>IFERROR(__xludf.DUMMYFUNCTION("""COMPUTED_VALUE"""),0.0)</f>
        <v>0</v>
      </c>
    </row>
    <row r="736">
      <c r="A736">
        <f>IFERROR(__xludf.DUMMYFUNCTION("""COMPUTED_VALUE"""),170613.0)</f>
        <v>170613</v>
      </c>
      <c r="B736" t="str">
        <f>IFERROR(__xludf.DUMMYFUNCTION("""COMPUTED_VALUE"""),"Beef Brisket Flat Half Separable Lean And Fat Trimmed To 0 Inch Fat All Grades Cooked Braised")</f>
        <v>Beef Brisket Flat Half Separable Lean And Fat Trimmed To 0 Inch Fat All Grades Cooked Braised</v>
      </c>
      <c r="C736" t="str">
        <f>IFERROR(__xludf.DUMMYFUNCTION("""COMPUTED_VALUE"""),"Meats")</f>
        <v>Meats</v>
      </c>
      <c r="D736">
        <f>IFERROR(__xludf.DUMMYFUNCTION("""COMPUTED_VALUE"""),213.0)</f>
        <v>213</v>
      </c>
      <c r="E736">
        <f>IFERROR(__xludf.DUMMYFUNCTION("""COMPUTED_VALUE"""),8.01)</f>
        <v>8.01</v>
      </c>
      <c r="F736">
        <f>IFERROR(__xludf.DUMMYFUNCTION("""COMPUTED_VALUE"""),32.9)</f>
        <v>32.9</v>
      </c>
      <c r="G736">
        <f>IFERROR(__xludf.DUMMYFUNCTION("""COMPUTED_VALUE"""),0.0)</f>
        <v>0</v>
      </c>
    </row>
    <row r="737">
      <c r="A737">
        <f>IFERROR(__xludf.DUMMYFUNCTION("""COMPUTED_VALUE"""),170614.0)</f>
        <v>170614</v>
      </c>
      <c r="B737" t="str">
        <f>IFERROR(__xludf.DUMMYFUNCTION("""COMPUTED_VALUE"""),"Beef Chuck Arm Pot Roast Separable Lean And Fat Trimmed To 0 Inch Fat Select Cooked Braised")</f>
        <v>Beef Chuck Arm Pot Roast Separable Lean And Fat Trimmed To 0 Inch Fat Select Cooked Braised</v>
      </c>
      <c r="C737" t="str">
        <f>IFERROR(__xludf.DUMMYFUNCTION("""COMPUTED_VALUE"""),"Meats")</f>
        <v>Meats</v>
      </c>
      <c r="D737">
        <f>IFERROR(__xludf.DUMMYFUNCTION("""COMPUTED_VALUE"""),283.0)</f>
        <v>283</v>
      </c>
      <c r="E737">
        <f>IFERROR(__xludf.DUMMYFUNCTION("""COMPUTED_VALUE"""),17.56)</f>
        <v>17.56</v>
      </c>
      <c r="F737">
        <f>IFERROR(__xludf.DUMMYFUNCTION("""COMPUTED_VALUE"""),29.23)</f>
        <v>29.23</v>
      </c>
      <c r="G737">
        <f>IFERROR(__xludf.DUMMYFUNCTION("""COMPUTED_VALUE"""),0.0)</f>
        <v>0</v>
      </c>
    </row>
    <row r="738">
      <c r="A738">
        <f>IFERROR(__xludf.DUMMYFUNCTION("""COMPUTED_VALUE"""),170615.0)</f>
        <v>170615</v>
      </c>
      <c r="B738" t="str">
        <f>IFERROR(__xludf.DUMMYFUNCTION("""COMPUTED_VALUE"""),"Beef Chuck Pot Roast")</f>
        <v>Beef Chuck Pot Roast</v>
      </c>
      <c r="C738" t="str">
        <f>IFERROR(__xludf.DUMMYFUNCTION("""COMPUTED_VALUE"""),"Meats")</f>
        <v>Meats</v>
      </c>
      <c r="D738">
        <f>IFERROR(__xludf.DUMMYFUNCTION("""COMPUTED_VALUE"""),212.0)</f>
        <v>212</v>
      </c>
      <c r="E738">
        <f>IFERROR(__xludf.DUMMYFUNCTION("""COMPUTED_VALUE"""),7.67)</f>
        <v>7.67</v>
      </c>
      <c r="F738">
        <f>IFERROR(__xludf.DUMMYFUNCTION("""COMPUTED_VALUE"""),33.36)</f>
        <v>33.36</v>
      </c>
      <c r="G738">
        <f>IFERROR(__xludf.DUMMYFUNCTION("""COMPUTED_VALUE"""),0.0)</f>
        <v>0</v>
      </c>
    </row>
    <row r="739">
      <c r="A739">
        <f>IFERROR(__xludf.DUMMYFUNCTION("""COMPUTED_VALUE"""),170616.0)</f>
        <v>170616</v>
      </c>
      <c r="B739" t="str">
        <f>IFERROR(__xludf.DUMMYFUNCTION("""COMPUTED_VALUE"""),"Beef Chuck Arm Pot Roast Separable Lean Only Trimmed To 0 Inch Fat Select Cooked Braised")</f>
        <v>Beef Chuck Arm Pot Roast Separable Lean Only Trimmed To 0 Inch Fat Select Cooked Braised</v>
      </c>
      <c r="C739" t="str">
        <f>IFERROR(__xludf.DUMMYFUNCTION("""COMPUTED_VALUE"""),"Meats")</f>
        <v>Meats</v>
      </c>
      <c r="D739">
        <f>IFERROR(__xludf.DUMMYFUNCTION("""COMPUTED_VALUE"""),195.0)</f>
        <v>195</v>
      </c>
      <c r="E739">
        <f>IFERROR(__xludf.DUMMYFUNCTION("""COMPUTED_VALUE"""),5.8)</f>
        <v>5.8</v>
      </c>
      <c r="F739">
        <f>IFERROR(__xludf.DUMMYFUNCTION("""COMPUTED_VALUE"""),33.37)</f>
        <v>33.37</v>
      </c>
      <c r="G739">
        <f>IFERROR(__xludf.DUMMYFUNCTION("""COMPUTED_VALUE"""),0.0)</f>
        <v>0</v>
      </c>
    </row>
    <row r="740">
      <c r="A740">
        <f>IFERROR(__xludf.DUMMYFUNCTION("""COMPUTED_VALUE"""),170617.0)</f>
        <v>170617</v>
      </c>
      <c r="B740" t="str">
        <f>IFERROR(__xludf.DUMMYFUNCTION("""COMPUTED_VALUE"""),"Beef Chuck Blade Roast Separable Lean And Fat Trimmed To 0 Inch Fat All Grades Cooked Braised")</f>
        <v>Beef Chuck Blade Roast Separable Lean And Fat Trimmed To 0 Inch Fat All Grades Cooked Braised</v>
      </c>
      <c r="C740" t="str">
        <f>IFERROR(__xludf.DUMMYFUNCTION("""COMPUTED_VALUE"""),"Meats")</f>
        <v>Meats</v>
      </c>
      <c r="D740">
        <f>IFERROR(__xludf.DUMMYFUNCTION("""COMPUTED_VALUE"""),334.0)</f>
        <v>334</v>
      </c>
      <c r="E740">
        <f>IFERROR(__xludf.DUMMYFUNCTION("""COMPUTED_VALUE"""),24.14)</f>
        <v>24.14</v>
      </c>
      <c r="F740">
        <f>IFERROR(__xludf.DUMMYFUNCTION("""COMPUTED_VALUE"""),27.18)</f>
        <v>27.18</v>
      </c>
      <c r="G740">
        <f>IFERROR(__xludf.DUMMYFUNCTION("""COMPUTED_VALUE"""),0.0)</f>
        <v>0</v>
      </c>
    </row>
    <row r="741">
      <c r="A741">
        <f>IFERROR(__xludf.DUMMYFUNCTION("""COMPUTED_VALUE"""),170618.0)</f>
        <v>170618</v>
      </c>
      <c r="B741" t="str">
        <f>IFERROR(__xludf.DUMMYFUNCTION("""COMPUTED_VALUE"""),"Beef Chuck Under Blade Pot Roast Boneless Separable Lean And Fat Trimmed To 0 Inch Fat Choice Cooked Braised")</f>
        <v>Beef Chuck Under Blade Pot Roast Boneless Separable Lean And Fat Trimmed To 0 Inch Fat Choice Cooked Braised</v>
      </c>
      <c r="C741" t="str">
        <f>IFERROR(__xludf.DUMMYFUNCTION("""COMPUTED_VALUE"""),"Meats")</f>
        <v>Meats</v>
      </c>
      <c r="D741">
        <f>IFERROR(__xludf.DUMMYFUNCTION("""COMPUTED_VALUE"""),306.0)</f>
        <v>306</v>
      </c>
      <c r="E741">
        <f>IFERROR(__xludf.DUMMYFUNCTION("""COMPUTED_VALUE"""),21.48)</f>
        <v>21.48</v>
      </c>
      <c r="F741">
        <f>IFERROR(__xludf.DUMMYFUNCTION("""COMPUTED_VALUE"""),26.39)</f>
        <v>26.39</v>
      </c>
      <c r="G741">
        <f>IFERROR(__xludf.DUMMYFUNCTION("""COMPUTED_VALUE"""),0.0)</f>
        <v>0</v>
      </c>
    </row>
    <row r="742">
      <c r="A742">
        <f>IFERROR(__xludf.DUMMYFUNCTION("""COMPUTED_VALUE"""),170619.0)</f>
        <v>170619</v>
      </c>
      <c r="B742" t="str">
        <f>IFERROR(__xludf.DUMMYFUNCTION("""COMPUTED_VALUE"""),"Beef Rib Large End (Ribs 6-9) Separable Lean And Fat Trimmed To 0 Inch Fat Choice Cooked Roasted")</f>
        <v>Beef Rib Large End (Ribs 6-9) Separable Lean And Fat Trimmed To 0 Inch Fat Choice Cooked Roasted</v>
      </c>
      <c r="C742" t="str">
        <f>IFERROR(__xludf.DUMMYFUNCTION("""COMPUTED_VALUE"""),"Meats")</f>
        <v>Meats</v>
      </c>
      <c r="D742">
        <f>IFERROR(__xludf.DUMMYFUNCTION("""COMPUTED_VALUE"""),372.0)</f>
        <v>372</v>
      </c>
      <c r="E742">
        <f>IFERROR(__xludf.DUMMYFUNCTION("""COMPUTED_VALUE"""),30.49)</f>
        <v>30.49</v>
      </c>
      <c r="F742">
        <f>IFERROR(__xludf.DUMMYFUNCTION("""COMPUTED_VALUE"""),22.8)</f>
        <v>22.8</v>
      </c>
      <c r="G742">
        <f>IFERROR(__xludf.DUMMYFUNCTION("""COMPUTED_VALUE"""),0.0)</f>
        <v>0</v>
      </c>
    </row>
    <row r="743">
      <c r="A743">
        <f>IFERROR(__xludf.DUMMYFUNCTION("""COMPUTED_VALUE"""),170620.0)</f>
        <v>170620</v>
      </c>
      <c r="B743" t="str">
        <f>IFERROR(__xludf.DUMMYFUNCTION("""COMPUTED_VALUE"""),"Beef Rib Large End (Ribs 6-9) Separable Lean And Fat Trimmed To 0 Inch Fat Select Cooked Roasted")</f>
        <v>Beef Rib Large End (Ribs 6-9) Separable Lean And Fat Trimmed To 0 Inch Fat Select Cooked Roasted</v>
      </c>
      <c r="C743" t="str">
        <f>IFERROR(__xludf.DUMMYFUNCTION("""COMPUTED_VALUE"""),"Meats")</f>
        <v>Meats</v>
      </c>
      <c r="D743">
        <f>IFERROR(__xludf.DUMMYFUNCTION("""COMPUTED_VALUE"""),331.0)</f>
        <v>331</v>
      </c>
      <c r="E743">
        <f>IFERROR(__xludf.DUMMYFUNCTION("""COMPUTED_VALUE"""),25.54)</f>
        <v>25.54</v>
      </c>
      <c r="F743">
        <f>IFERROR(__xludf.DUMMYFUNCTION("""COMPUTED_VALUE"""),23.48)</f>
        <v>23.48</v>
      </c>
      <c r="G743">
        <f>IFERROR(__xludf.DUMMYFUNCTION("""COMPUTED_VALUE"""),0.0)</f>
        <v>0</v>
      </c>
    </row>
    <row r="744">
      <c r="A744">
        <f>IFERROR(__xludf.DUMMYFUNCTION("""COMPUTED_VALUE"""),170621.0)</f>
        <v>170621</v>
      </c>
      <c r="B744" t="str">
        <f>IFERROR(__xludf.DUMMYFUNCTION("""COMPUTED_VALUE"""),"Beef Rib Large End (Ribs 6-9) Separable Lean Only Trimmed To 0 Inch Fat All Grades Cooked Roasted")</f>
        <v>Beef Rib Large End (Ribs 6-9) Separable Lean Only Trimmed To 0 Inch Fat All Grades Cooked Roasted</v>
      </c>
      <c r="C744" t="str">
        <f>IFERROR(__xludf.DUMMYFUNCTION("""COMPUTED_VALUE"""),"Meats")</f>
        <v>Meats</v>
      </c>
      <c r="D744">
        <f>IFERROR(__xludf.DUMMYFUNCTION("""COMPUTED_VALUE"""),238.0)</f>
        <v>238</v>
      </c>
      <c r="E744">
        <f>IFERROR(__xludf.DUMMYFUNCTION("""COMPUTED_VALUE"""),13.4)</f>
        <v>13.4</v>
      </c>
      <c r="F744">
        <f>IFERROR(__xludf.DUMMYFUNCTION("""COMPUTED_VALUE"""),27.53)</f>
        <v>27.53</v>
      </c>
      <c r="G744">
        <f>IFERROR(__xludf.DUMMYFUNCTION("""COMPUTED_VALUE"""),0.0)</f>
        <v>0</v>
      </c>
    </row>
    <row r="745">
      <c r="A745">
        <f>IFERROR(__xludf.DUMMYFUNCTION("""COMPUTED_VALUE"""),170622.0)</f>
        <v>170622</v>
      </c>
      <c r="B745" t="str">
        <f>IFERROR(__xludf.DUMMYFUNCTION("""COMPUTED_VALUE"""),"Beef Rib Large End (Ribs 6-9) Separable Lean Only Trimmed To 0 Inch Fat Choice Cooked Roasted")</f>
        <v>Beef Rib Large End (Ribs 6-9) Separable Lean Only Trimmed To 0 Inch Fat Choice Cooked Roasted</v>
      </c>
      <c r="C745" t="str">
        <f>IFERROR(__xludf.DUMMYFUNCTION("""COMPUTED_VALUE"""),"Meats")</f>
        <v>Meats</v>
      </c>
      <c r="D745">
        <f>IFERROR(__xludf.DUMMYFUNCTION("""COMPUTED_VALUE"""),253.0)</f>
        <v>253</v>
      </c>
      <c r="E745">
        <f>IFERROR(__xludf.DUMMYFUNCTION("""COMPUTED_VALUE"""),15.0)</f>
        <v>15</v>
      </c>
      <c r="F745">
        <f>IFERROR(__xludf.DUMMYFUNCTION("""COMPUTED_VALUE"""),27.53)</f>
        <v>27.53</v>
      </c>
      <c r="G745">
        <f>IFERROR(__xludf.DUMMYFUNCTION("""COMPUTED_VALUE"""),0.0)</f>
        <v>0</v>
      </c>
    </row>
    <row r="746">
      <c r="A746">
        <f>IFERROR(__xludf.DUMMYFUNCTION("""COMPUTED_VALUE"""),170623.0)</f>
        <v>170623</v>
      </c>
      <c r="B746" t="str">
        <f>IFERROR(__xludf.DUMMYFUNCTION("""COMPUTED_VALUE"""),"Beef Rib Small End (Ribs 10-12) Separable Lean Only Trimmed To 0 Inch Fat All Grades Cooked Broiled")</f>
        <v>Beef Rib Small End (Ribs 10-12) Separable Lean Only Trimmed To 0 Inch Fat All Grades Cooked Broiled</v>
      </c>
      <c r="C746" t="str">
        <f>IFERROR(__xludf.DUMMYFUNCTION("""COMPUTED_VALUE"""),"Meats")</f>
        <v>Meats</v>
      </c>
      <c r="D746">
        <f>IFERROR(__xludf.DUMMYFUNCTION("""COMPUTED_VALUE"""),193.0)</f>
        <v>193</v>
      </c>
      <c r="E746">
        <f>IFERROR(__xludf.DUMMYFUNCTION("""COMPUTED_VALUE"""),7.53)</f>
        <v>7.53</v>
      </c>
      <c r="F746">
        <f>IFERROR(__xludf.DUMMYFUNCTION("""COMPUTED_VALUE"""),29.41)</f>
        <v>29.41</v>
      </c>
      <c r="G746">
        <f>IFERROR(__xludf.DUMMYFUNCTION("""COMPUTED_VALUE"""),0.0)</f>
        <v>0</v>
      </c>
    </row>
    <row r="747">
      <c r="A747">
        <f>IFERROR(__xludf.DUMMYFUNCTION("""COMPUTED_VALUE"""),170624.0)</f>
        <v>170624</v>
      </c>
      <c r="B747" t="str">
        <f>IFERROR(__xludf.DUMMYFUNCTION("""COMPUTED_VALUE"""),"Beef Rib Small End (Ribs 10-12) Separable Lean Only Trimmed To 0 Inch Fat Choice Cooked Broiled")</f>
        <v>Beef Rib Small End (Ribs 10-12) Separable Lean Only Trimmed To 0 Inch Fat Choice Cooked Broiled</v>
      </c>
      <c r="C747" t="str">
        <f>IFERROR(__xludf.DUMMYFUNCTION("""COMPUTED_VALUE"""),"Meats")</f>
        <v>Meats</v>
      </c>
      <c r="D747">
        <f>IFERROR(__xludf.DUMMYFUNCTION("""COMPUTED_VALUE"""),225.0)</f>
        <v>225</v>
      </c>
      <c r="E747">
        <f>IFERROR(__xludf.DUMMYFUNCTION("""COMPUTED_VALUE"""),11.7)</f>
        <v>11.7</v>
      </c>
      <c r="F747">
        <f>IFERROR(__xludf.DUMMYFUNCTION("""COMPUTED_VALUE"""),28.04)</f>
        <v>28.04</v>
      </c>
      <c r="G747">
        <f>IFERROR(__xludf.DUMMYFUNCTION("""COMPUTED_VALUE"""),0.0)</f>
        <v>0</v>
      </c>
    </row>
    <row r="748">
      <c r="A748">
        <f>IFERROR(__xludf.DUMMYFUNCTION("""COMPUTED_VALUE"""),170625.0)</f>
        <v>170625</v>
      </c>
      <c r="B748" t="str">
        <f>IFERROR(__xludf.DUMMYFUNCTION("""COMPUTED_VALUE"""),"Beef Rib Small End (Ribs 10-12) Separable Lean Only Trimmed To 0 Inch Fat Select Cooked Broiled")</f>
        <v>Beef Rib Small End (Ribs 10-12) Separable Lean Only Trimmed To 0 Inch Fat Select Cooked Broiled</v>
      </c>
      <c r="C748" t="str">
        <f>IFERROR(__xludf.DUMMYFUNCTION("""COMPUTED_VALUE"""),"Meats")</f>
        <v>Meats</v>
      </c>
      <c r="D748">
        <f>IFERROR(__xludf.DUMMYFUNCTION("""COMPUTED_VALUE"""),198.0)</f>
        <v>198</v>
      </c>
      <c r="E748">
        <f>IFERROR(__xludf.DUMMYFUNCTION("""COMPUTED_VALUE"""),8.7)</f>
        <v>8.7</v>
      </c>
      <c r="F748">
        <f>IFERROR(__xludf.DUMMYFUNCTION("""COMPUTED_VALUE"""),28.04)</f>
        <v>28.04</v>
      </c>
      <c r="G748">
        <f>IFERROR(__xludf.DUMMYFUNCTION("""COMPUTED_VALUE"""),0.0)</f>
        <v>0</v>
      </c>
    </row>
    <row r="749">
      <c r="A749">
        <f>IFERROR(__xludf.DUMMYFUNCTION("""COMPUTED_VALUE"""),170626.0)</f>
        <v>170626</v>
      </c>
      <c r="B749" t="str">
        <f>IFERROR(__xludf.DUMMYFUNCTION("""COMPUTED_VALUE"""),"Braised Cube Steak")</f>
        <v>Braised Cube Steak</v>
      </c>
      <c r="C749" t="str">
        <f>IFERROR(__xludf.DUMMYFUNCTION("""COMPUTED_VALUE"""),"Meats")</f>
        <v>Meats</v>
      </c>
      <c r="D749">
        <f>IFERROR(__xludf.DUMMYFUNCTION("""COMPUTED_VALUE"""),223.0)</f>
        <v>223</v>
      </c>
      <c r="E749">
        <f>IFERROR(__xludf.DUMMYFUNCTION("""COMPUTED_VALUE"""),8.86)</f>
        <v>8.86</v>
      </c>
      <c r="F749">
        <f>IFERROR(__xludf.DUMMYFUNCTION("""COMPUTED_VALUE"""),33.56)</f>
        <v>33.56</v>
      </c>
      <c r="G749">
        <f>IFERROR(__xludf.DUMMYFUNCTION("""COMPUTED_VALUE"""),0.0)</f>
        <v>0</v>
      </c>
    </row>
    <row r="750">
      <c r="A750">
        <f>IFERROR(__xludf.DUMMYFUNCTION("""COMPUTED_VALUE"""),170627.0)</f>
        <v>170627</v>
      </c>
      <c r="B750" t="str">
        <f>IFERROR(__xludf.DUMMYFUNCTION("""COMPUTED_VALUE"""),"Beef Round Bottom Round Roast Separable Lean And Fat Trimmed To 0 Inch Fat Select Cooked Roasted")</f>
        <v>Beef Round Bottom Round Roast Separable Lean And Fat Trimmed To 0 Inch Fat Select Cooked Roasted</v>
      </c>
      <c r="C750" t="str">
        <f>IFERROR(__xludf.DUMMYFUNCTION("""COMPUTED_VALUE"""),"Meats")</f>
        <v>Meats</v>
      </c>
      <c r="D750">
        <f>IFERROR(__xludf.DUMMYFUNCTION("""COMPUTED_VALUE"""),175.0)</f>
        <v>175</v>
      </c>
      <c r="E750">
        <f>IFERROR(__xludf.DUMMYFUNCTION("""COMPUTED_VALUE"""),6.06)</f>
        <v>6.06</v>
      </c>
      <c r="F750">
        <f>IFERROR(__xludf.DUMMYFUNCTION("""COMPUTED_VALUE"""),28.08)</f>
        <v>28.08</v>
      </c>
      <c r="G750">
        <f>IFERROR(__xludf.DUMMYFUNCTION("""COMPUTED_VALUE"""),0.0)</f>
        <v>0</v>
      </c>
    </row>
    <row r="751">
      <c r="A751">
        <f>IFERROR(__xludf.DUMMYFUNCTION("""COMPUTED_VALUE"""),170628.0)</f>
        <v>170628</v>
      </c>
      <c r="B751" t="str">
        <f>IFERROR(__xludf.DUMMYFUNCTION("""COMPUTED_VALUE"""),"Beef Round Bottom Round Steak Separable Lean Only Trimmed To 0 Inch Fat All Grades Cooked Braised")</f>
        <v>Beef Round Bottom Round Steak Separable Lean Only Trimmed To 0 Inch Fat All Grades Cooked Braised</v>
      </c>
      <c r="C751" t="str">
        <f>IFERROR(__xludf.DUMMYFUNCTION("""COMPUTED_VALUE"""),"Meats")</f>
        <v>Meats</v>
      </c>
      <c r="D751">
        <f>IFERROR(__xludf.DUMMYFUNCTION("""COMPUTED_VALUE"""),214.0)</f>
        <v>214</v>
      </c>
      <c r="E751">
        <f>IFERROR(__xludf.DUMMYFUNCTION("""COMPUTED_VALUE"""),7.67)</f>
        <v>7.67</v>
      </c>
      <c r="F751">
        <f>IFERROR(__xludf.DUMMYFUNCTION("""COMPUTED_VALUE"""),34.0)</f>
        <v>34</v>
      </c>
      <c r="G751">
        <f>IFERROR(__xludf.DUMMYFUNCTION("""COMPUTED_VALUE"""),0.0)</f>
        <v>0</v>
      </c>
    </row>
    <row r="752">
      <c r="A752">
        <f>IFERROR(__xludf.DUMMYFUNCTION("""COMPUTED_VALUE"""),170629.0)</f>
        <v>170629</v>
      </c>
      <c r="B752" t="str">
        <f>IFERROR(__xludf.DUMMYFUNCTION("""COMPUTED_VALUE"""),"Beef Round Bottom Round Roast Separable Lean Only Trimmed To 0 Inch Fat All Grades Cooked Roasted")</f>
        <v>Beef Round Bottom Round Roast Separable Lean Only Trimmed To 0 Inch Fat All Grades Cooked Roasted</v>
      </c>
      <c r="C752" t="str">
        <f>IFERROR(__xludf.DUMMYFUNCTION("""COMPUTED_VALUE"""),"Meats")</f>
        <v>Meats</v>
      </c>
      <c r="D752">
        <f>IFERROR(__xludf.DUMMYFUNCTION("""COMPUTED_VALUE"""),177.0)</f>
        <v>177</v>
      </c>
      <c r="E752">
        <f>IFERROR(__xludf.DUMMYFUNCTION("""COMPUTED_VALUE"""),6.48)</f>
        <v>6.48</v>
      </c>
      <c r="F752">
        <f>IFERROR(__xludf.DUMMYFUNCTION("""COMPUTED_VALUE"""),27.76)</f>
        <v>27.76</v>
      </c>
      <c r="G752">
        <f>IFERROR(__xludf.DUMMYFUNCTION("""COMPUTED_VALUE"""),0.0)</f>
        <v>0</v>
      </c>
    </row>
    <row r="753">
      <c r="A753">
        <f>IFERROR(__xludf.DUMMYFUNCTION("""COMPUTED_VALUE"""),170630.0)</f>
        <v>170630</v>
      </c>
      <c r="B753" t="str">
        <f>IFERROR(__xludf.DUMMYFUNCTION("""COMPUTED_VALUE"""),"Beef Round Bottom Round Steak Separable Lean Only Trimmed To 0 Inch Fat Choice Cooked Braised")</f>
        <v>Beef Round Bottom Round Steak Separable Lean Only Trimmed To 0 Inch Fat Choice Cooked Braised</v>
      </c>
      <c r="C753" t="str">
        <f>IFERROR(__xludf.DUMMYFUNCTION("""COMPUTED_VALUE"""),"Meats")</f>
        <v>Meats</v>
      </c>
      <c r="D753">
        <f>IFERROR(__xludf.DUMMYFUNCTION("""COMPUTED_VALUE"""),223.0)</f>
        <v>223</v>
      </c>
      <c r="E753">
        <f>IFERROR(__xludf.DUMMYFUNCTION("""COMPUTED_VALUE"""),9.03)</f>
        <v>9.03</v>
      </c>
      <c r="F753">
        <f>IFERROR(__xludf.DUMMYFUNCTION("""COMPUTED_VALUE"""),33.08)</f>
        <v>33.08</v>
      </c>
      <c r="G753">
        <f>IFERROR(__xludf.DUMMYFUNCTION("""COMPUTED_VALUE"""),0.0)</f>
        <v>0</v>
      </c>
    </row>
    <row r="754">
      <c r="A754">
        <f>IFERROR(__xludf.DUMMYFUNCTION("""COMPUTED_VALUE"""),170631.0)</f>
        <v>170631</v>
      </c>
      <c r="B754" t="str">
        <f>IFERROR(__xludf.DUMMYFUNCTION("""COMPUTED_VALUE"""),"Beef Round Bottom Round Roast Separable Lean Only Trimmed To 0 Inch Fat Choice Cooked Roasted")</f>
        <v>Beef Round Bottom Round Roast Separable Lean Only Trimmed To 0 Inch Fat Choice Cooked Roasted</v>
      </c>
      <c r="C754" t="str">
        <f>IFERROR(__xludf.DUMMYFUNCTION("""COMPUTED_VALUE"""),"Meats")</f>
        <v>Meats</v>
      </c>
      <c r="D754">
        <f>IFERROR(__xludf.DUMMYFUNCTION("""COMPUTED_VALUE"""),185.0)</f>
        <v>185</v>
      </c>
      <c r="E754">
        <f>IFERROR(__xludf.DUMMYFUNCTION("""COMPUTED_VALUE"""),7.63)</f>
        <v>7.63</v>
      </c>
      <c r="F754">
        <f>IFERROR(__xludf.DUMMYFUNCTION("""COMPUTED_VALUE"""),27.23)</f>
        <v>27.23</v>
      </c>
      <c r="G754">
        <f>IFERROR(__xludf.DUMMYFUNCTION("""COMPUTED_VALUE"""),0.0)</f>
        <v>0</v>
      </c>
    </row>
    <row r="755">
      <c r="A755">
        <f>IFERROR(__xludf.DUMMYFUNCTION("""COMPUTED_VALUE"""),170632.0)</f>
        <v>170632</v>
      </c>
      <c r="B755" t="str">
        <f>IFERROR(__xludf.DUMMYFUNCTION("""COMPUTED_VALUE"""),"Beef Round Eye Of Round Roast Boneless Separable Lean And Fat Trimmed To 0 Inch Fat Select Cooked Roasted")</f>
        <v>Beef Round Eye Of Round Roast Boneless Separable Lean And Fat Trimmed To 0 Inch Fat Select Cooked Roasted</v>
      </c>
      <c r="C755" t="str">
        <f>IFERROR(__xludf.DUMMYFUNCTION("""COMPUTED_VALUE"""),"Meats")</f>
        <v>Meats</v>
      </c>
      <c r="D755">
        <f>IFERROR(__xludf.DUMMYFUNCTION("""COMPUTED_VALUE"""),162.0)</f>
        <v>162</v>
      </c>
      <c r="E755">
        <f>IFERROR(__xludf.DUMMYFUNCTION("""COMPUTED_VALUE"""),3.97)</f>
        <v>3.97</v>
      </c>
      <c r="F755">
        <f>IFERROR(__xludf.DUMMYFUNCTION("""COMPUTED_VALUE"""),29.45)</f>
        <v>29.45</v>
      </c>
      <c r="G755">
        <f>IFERROR(__xludf.DUMMYFUNCTION("""COMPUTED_VALUE"""),0.0)</f>
        <v>0</v>
      </c>
    </row>
    <row r="756">
      <c r="A756">
        <f>IFERROR(__xludf.DUMMYFUNCTION("""COMPUTED_VALUE"""),170633.0)</f>
        <v>170633</v>
      </c>
      <c r="B756" t="str">
        <f>IFERROR(__xludf.DUMMYFUNCTION("""COMPUTED_VALUE"""),"Beef Round Eye Of Round Roast Boneless Separable Lean Only Trimmed To 0 Inch Fat All Grades Cooked Roasted")</f>
        <v>Beef Round Eye Of Round Roast Boneless Separable Lean Only Trimmed To 0 Inch Fat All Grades Cooked Roasted</v>
      </c>
      <c r="C756" t="str">
        <f>IFERROR(__xludf.DUMMYFUNCTION("""COMPUTED_VALUE"""),"Meats")</f>
        <v>Meats</v>
      </c>
      <c r="D756">
        <f>IFERROR(__xludf.DUMMYFUNCTION("""COMPUTED_VALUE"""),163.0)</f>
        <v>163</v>
      </c>
      <c r="E756">
        <f>IFERROR(__xludf.DUMMYFUNCTION("""COMPUTED_VALUE"""),3.9)</f>
        <v>3.9</v>
      </c>
      <c r="F756">
        <f>IFERROR(__xludf.DUMMYFUNCTION("""COMPUTED_VALUE"""),29.85)</f>
        <v>29.85</v>
      </c>
      <c r="G756">
        <f>IFERROR(__xludf.DUMMYFUNCTION("""COMPUTED_VALUE"""),0.0)</f>
        <v>0</v>
      </c>
    </row>
    <row r="757">
      <c r="A757">
        <f>IFERROR(__xludf.DUMMYFUNCTION("""COMPUTED_VALUE"""),170634.0)</f>
        <v>170634</v>
      </c>
      <c r="B757" t="str">
        <f>IFERROR(__xludf.DUMMYFUNCTION("""COMPUTED_VALUE"""),"Beef Round Eye Of Round Roast Boneless Separable Lean Only Trimmed To 0 Inch Fat Choice Cooked Roasted")</f>
        <v>Beef Round Eye Of Round Roast Boneless Separable Lean Only Trimmed To 0 Inch Fat Choice Cooked Roasted</v>
      </c>
      <c r="C757" t="str">
        <f>IFERROR(__xludf.DUMMYFUNCTION("""COMPUTED_VALUE"""),"Meats")</f>
        <v>Meats</v>
      </c>
      <c r="D757">
        <f>IFERROR(__xludf.DUMMYFUNCTION("""COMPUTED_VALUE"""),166.0)</f>
        <v>166</v>
      </c>
      <c r="E757">
        <f>IFERROR(__xludf.DUMMYFUNCTION("""COMPUTED_VALUE"""),4.26)</f>
        <v>4.26</v>
      </c>
      <c r="F757">
        <f>IFERROR(__xludf.DUMMYFUNCTION("""COMPUTED_VALUE"""),29.94)</f>
        <v>29.94</v>
      </c>
      <c r="G757">
        <f>IFERROR(__xludf.DUMMYFUNCTION("""COMPUTED_VALUE"""),0.0)</f>
        <v>0</v>
      </c>
    </row>
    <row r="758">
      <c r="A758">
        <f>IFERROR(__xludf.DUMMYFUNCTION("""COMPUTED_VALUE"""),170635.0)</f>
        <v>170635</v>
      </c>
      <c r="B758" t="str">
        <f>IFERROR(__xludf.DUMMYFUNCTION("""COMPUTED_VALUE"""),"Beef Round Eye Of Round Roast Boneless Separable Lean Only Trimmed To 0 Inch Fat Select Cooked Roasted")</f>
        <v>Beef Round Eye Of Round Roast Boneless Separable Lean Only Trimmed To 0 Inch Fat Select Cooked Roasted</v>
      </c>
      <c r="C758" t="str">
        <f>IFERROR(__xludf.DUMMYFUNCTION("""COMPUTED_VALUE"""),"Meats")</f>
        <v>Meats</v>
      </c>
      <c r="D758">
        <f>IFERROR(__xludf.DUMMYFUNCTION("""COMPUTED_VALUE"""),157.0)</f>
        <v>157</v>
      </c>
      <c r="E758">
        <f>IFERROR(__xludf.DUMMYFUNCTION("""COMPUTED_VALUE"""),3.43)</f>
        <v>3.43</v>
      </c>
      <c r="F758">
        <f>IFERROR(__xludf.DUMMYFUNCTION("""COMPUTED_VALUE"""),29.52)</f>
        <v>29.52</v>
      </c>
      <c r="G758">
        <f>IFERROR(__xludf.DUMMYFUNCTION("""COMPUTED_VALUE"""),0.0)</f>
        <v>0</v>
      </c>
    </row>
    <row r="759">
      <c r="A759">
        <f>IFERROR(__xludf.DUMMYFUNCTION("""COMPUTED_VALUE"""),170636.0)</f>
        <v>170636</v>
      </c>
      <c r="B759" t="str">
        <f>IFERROR(__xludf.DUMMYFUNCTION("""COMPUTED_VALUE"""),"Beef Round Tip Round Roast Separable Lean Only Trimmed To 0 Inch Fat Choice Cooked Roasted")</f>
        <v>Beef Round Tip Round Roast Separable Lean Only Trimmed To 0 Inch Fat Choice Cooked Roasted</v>
      </c>
      <c r="C759" t="str">
        <f>IFERROR(__xludf.DUMMYFUNCTION("""COMPUTED_VALUE"""),"Meats")</f>
        <v>Meats</v>
      </c>
      <c r="D759">
        <f>IFERROR(__xludf.DUMMYFUNCTION("""COMPUTED_VALUE"""),176.0)</f>
        <v>176</v>
      </c>
      <c r="E759">
        <f>IFERROR(__xludf.DUMMYFUNCTION("""COMPUTED_VALUE"""),6.42)</f>
        <v>6.42</v>
      </c>
      <c r="F759">
        <f>IFERROR(__xludf.DUMMYFUNCTION("""COMPUTED_VALUE"""),27.68)</f>
        <v>27.68</v>
      </c>
      <c r="G759">
        <f>IFERROR(__xludf.DUMMYFUNCTION("""COMPUTED_VALUE"""),0.0)</f>
        <v>0</v>
      </c>
    </row>
    <row r="760">
      <c r="A760">
        <f>IFERROR(__xludf.DUMMYFUNCTION("""COMPUTED_VALUE"""),170637.0)</f>
        <v>170637</v>
      </c>
      <c r="B760" t="str">
        <f>IFERROR(__xludf.DUMMYFUNCTION("""COMPUTED_VALUE"""),"Beef Round Tip Round Roast Separable Lean Only Trimmed To 0 Inch Fat Select Cooked Roasted")</f>
        <v>Beef Round Tip Round Roast Separable Lean Only Trimmed To 0 Inch Fat Select Cooked Roasted</v>
      </c>
      <c r="C760" t="str">
        <f>IFERROR(__xludf.DUMMYFUNCTION("""COMPUTED_VALUE"""),"Meats")</f>
        <v>Meats</v>
      </c>
      <c r="D760">
        <f>IFERROR(__xludf.DUMMYFUNCTION("""COMPUTED_VALUE"""),149.0)</f>
        <v>149</v>
      </c>
      <c r="E760">
        <f>IFERROR(__xludf.DUMMYFUNCTION("""COMPUTED_VALUE"""),4.38)</f>
        <v>4.38</v>
      </c>
      <c r="F760">
        <f>IFERROR(__xludf.DUMMYFUNCTION("""COMPUTED_VALUE"""),27.37)</f>
        <v>27.37</v>
      </c>
      <c r="G760">
        <f>IFERROR(__xludf.DUMMYFUNCTION("""COMPUTED_VALUE"""),0.0)</f>
        <v>0</v>
      </c>
    </row>
    <row r="761">
      <c r="A761">
        <f>IFERROR(__xludf.DUMMYFUNCTION("""COMPUTED_VALUE"""),170638.0)</f>
        <v>170638</v>
      </c>
      <c r="B761" t="str">
        <f>IFERROR(__xludf.DUMMYFUNCTION("""COMPUTED_VALUE"""),"Beef Round Top Round Separable Lean And Fat Trimmed To 0 Inch Fat All Grades Cooked Braised")</f>
        <v>Beef Round Top Round Separable Lean And Fat Trimmed To 0 Inch Fat All Grades Cooked Braised</v>
      </c>
      <c r="C761" t="str">
        <f>IFERROR(__xludf.DUMMYFUNCTION("""COMPUTED_VALUE"""),"Meats")</f>
        <v>Meats</v>
      </c>
      <c r="D761">
        <f>IFERROR(__xludf.DUMMYFUNCTION("""COMPUTED_VALUE"""),209.0)</f>
        <v>209</v>
      </c>
      <c r="E761">
        <f>IFERROR(__xludf.DUMMYFUNCTION("""COMPUTED_VALUE"""),6.31)</f>
        <v>6.31</v>
      </c>
      <c r="F761">
        <f>IFERROR(__xludf.DUMMYFUNCTION("""COMPUTED_VALUE"""),35.62)</f>
        <v>35.62</v>
      </c>
      <c r="G761">
        <f>IFERROR(__xludf.DUMMYFUNCTION("""COMPUTED_VALUE"""),0.0)</f>
        <v>0</v>
      </c>
    </row>
    <row r="762">
      <c r="A762">
        <f>IFERROR(__xludf.DUMMYFUNCTION("""COMPUTED_VALUE"""),170639.0)</f>
        <v>170639</v>
      </c>
      <c r="B762" t="str">
        <f>IFERROR(__xludf.DUMMYFUNCTION("""COMPUTED_VALUE"""),"Beef Round Top Round Separable Lean And Fat Trimmed To 0 Inch Fat Choice Cooked Braised")</f>
        <v>Beef Round Top Round Separable Lean And Fat Trimmed To 0 Inch Fat Choice Cooked Braised</v>
      </c>
      <c r="C762" t="str">
        <f>IFERROR(__xludf.DUMMYFUNCTION("""COMPUTED_VALUE"""),"Meats")</f>
        <v>Meats</v>
      </c>
      <c r="D762">
        <f>IFERROR(__xludf.DUMMYFUNCTION("""COMPUTED_VALUE"""),216.0)</f>
        <v>216</v>
      </c>
      <c r="E762">
        <f>IFERROR(__xludf.DUMMYFUNCTION("""COMPUTED_VALUE"""),7.09)</f>
        <v>7.09</v>
      </c>
      <c r="F762">
        <f>IFERROR(__xludf.DUMMYFUNCTION("""COMPUTED_VALUE"""),35.62)</f>
        <v>35.62</v>
      </c>
      <c r="G762">
        <f>IFERROR(__xludf.DUMMYFUNCTION("""COMPUTED_VALUE"""),0.0)</f>
        <v>0</v>
      </c>
    </row>
    <row r="763">
      <c r="A763">
        <f>IFERROR(__xludf.DUMMYFUNCTION("""COMPUTED_VALUE"""),170640.0)</f>
        <v>170640</v>
      </c>
      <c r="B763" t="str">
        <f>IFERROR(__xludf.DUMMYFUNCTION("""COMPUTED_VALUE"""),"Beef Loin Tenderloin Steak Boneless Separable Lean And Fat Trimmed To 0 Inch Fat Select Cooked Grilled")</f>
        <v>Beef Loin Tenderloin Steak Boneless Separable Lean And Fat Trimmed To 0 Inch Fat Select Cooked Grilled</v>
      </c>
      <c r="C763" t="str">
        <f>IFERROR(__xludf.DUMMYFUNCTION("""COMPUTED_VALUE"""),"Meats")</f>
        <v>Meats</v>
      </c>
      <c r="D763">
        <f>IFERROR(__xludf.DUMMYFUNCTION("""COMPUTED_VALUE"""),202.0)</f>
        <v>202</v>
      </c>
      <c r="E763">
        <f>IFERROR(__xludf.DUMMYFUNCTION("""COMPUTED_VALUE"""),7.7)</f>
        <v>7.7</v>
      </c>
      <c r="F763">
        <f>IFERROR(__xludf.DUMMYFUNCTION("""COMPUTED_VALUE"""),30.93)</f>
        <v>30.93</v>
      </c>
      <c r="G763">
        <f>IFERROR(__xludf.DUMMYFUNCTION("""COMPUTED_VALUE"""),0.0)</f>
        <v>0</v>
      </c>
    </row>
    <row r="764">
      <c r="A764">
        <f>IFERROR(__xludf.DUMMYFUNCTION("""COMPUTED_VALUE"""),170641.0)</f>
        <v>170641</v>
      </c>
      <c r="B764" t="str">
        <f>IFERROR(__xludf.DUMMYFUNCTION("""COMPUTED_VALUE"""),"Grilled Beef Tenderloin Steak")</f>
        <v>Grilled Beef Tenderloin Steak</v>
      </c>
      <c r="C764" t="str">
        <f>IFERROR(__xludf.DUMMYFUNCTION("""COMPUTED_VALUE"""),"Meats")</f>
        <v>Meats</v>
      </c>
      <c r="D764">
        <f>IFERROR(__xludf.DUMMYFUNCTION("""COMPUTED_VALUE"""),198.0)</f>
        <v>198</v>
      </c>
      <c r="E764">
        <f>IFERROR(__xludf.DUMMYFUNCTION("""COMPUTED_VALUE"""),8.32)</f>
        <v>8.32</v>
      </c>
      <c r="F764">
        <f>IFERROR(__xludf.DUMMYFUNCTION("""COMPUTED_VALUE"""),30.7)</f>
        <v>30.7</v>
      </c>
      <c r="G764">
        <f>IFERROR(__xludf.DUMMYFUNCTION("""COMPUTED_VALUE"""),0.0)</f>
        <v>0</v>
      </c>
    </row>
    <row r="765">
      <c r="A765">
        <f>IFERROR(__xludf.DUMMYFUNCTION("""COMPUTED_VALUE"""),170642.0)</f>
        <v>170642</v>
      </c>
      <c r="B765" t="str">
        <f>IFERROR(__xludf.DUMMYFUNCTION("""COMPUTED_VALUE"""),"Beef Loin Tenderloin Steak Boneless Separable Lean Only Trimmed To 0 Inch Fat Choice Cooked Grilled")</f>
        <v>Beef Loin Tenderloin Steak Boneless Separable Lean Only Trimmed To 0 Inch Fat Choice Cooked Grilled</v>
      </c>
      <c r="C765" t="str">
        <f>IFERROR(__xludf.DUMMYFUNCTION("""COMPUTED_VALUE"""),"Meats")</f>
        <v>Meats</v>
      </c>
      <c r="D765">
        <f>IFERROR(__xludf.DUMMYFUNCTION("""COMPUTED_VALUE"""),211.0)</f>
        <v>211</v>
      </c>
      <c r="E765">
        <f>IFERROR(__xludf.DUMMYFUNCTION("""COMPUTED_VALUE"""),9.03)</f>
        <v>9.03</v>
      </c>
      <c r="F765">
        <f>IFERROR(__xludf.DUMMYFUNCTION("""COMPUTED_VALUE"""),30.45)</f>
        <v>30.45</v>
      </c>
      <c r="G765">
        <f>IFERROR(__xludf.DUMMYFUNCTION("""COMPUTED_VALUE"""),0.0)</f>
        <v>0</v>
      </c>
    </row>
    <row r="766">
      <c r="A766">
        <f>IFERROR(__xludf.DUMMYFUNCTION("""COMPUTED_VALUE"""),170643.0)</f>
        <v>170643</v>
      </c>
      <c r="B766" t="str">
        <f>IFERROR(__xludf.DUMMYFUNCTION("""COMPUTED_VALUE"""),"Beef Loin Tenderloin Steak Boneless Separable Lean Only Trimmed To 0 Inch Fat Select Cooked Grilled")</f>
        <v>Beef Loin Tenderloin Steak Boneless Separable Lean Only Trimmed To 0 Inch Fat Select Cooked Grilled</v>
      </c>
      <c r="C766" t="str">
        <f>IFERROR(__xludf.DUMMYFUNCTION("""COMPUTED_VALUE"""),"Meats")</f>
        <v>Meats</v>
      </c>
      <c r="D766">
        <f>IFERROR(__xludf.DUMMYFUNCTION("""COMPUTED_VALUE"""),198.0)</f>
        <v>198</v>
      </c>
      <c r="E766">
        <f>IFERROR(__xludf.DUMMYFUNCTION("""COMPUTED_VALUE"""),7.25)</f>
        <v>7.25</v>
      </c>
      <c r="F766">
        <f>IFERROR(__xludf.DUMMYFUNCTION("""COMPUTED_VALUE"""),31.09)</f>
        <v>31.09</v>
      </c>
      <c r="G766">
        <f>IFERROR(__xludf.DUMMYFUNCTION("""COMPUTED_VALUE"""),0.0)</f>
        <v>0</v>
      </c>
    </row>
    <row r="767">
      <c r="A767">
        <f>IFERROR(__xludf.DUMMYFUNCTION("""COMPUTED_VALUE"""),170783.0)</f>
        <v>170783</v>
      </c>
      <c r="B767" t="str">
        <f>IFERROR(__xludf.DUMMYFUNCTION("""COMPUTED_VALUE"""),"Beef Chuck Short Ribs Boneless Separable Lean Only Trimmed To 0 Inch Fat Choice Raw")</f>
        <v>Beef Chuck Short Ribs Boneless Separable Lean Only Trimmed To 0 Inch Fat Choice Raw</v>
      </c>
      <c r="C767" t="str">
        <f>IFERROR(__xludf.DUMMYFUNCTION("""COMPUTED_VALUE"""),"Meats")</f>
        <v>Meats</v>
      </c>
      <c r="D767">
        <f>IFERROR(__xludf.DUMMYFUNCTION("""COMPUTED_VALUE"""),175.0)</f>
        <v>175</v>
      </c>
      <c r="E767">
        <f>IFERROR(__xludf.DUMMYFUNCTION("""COMPUTED_VALUE"""),10.7)</f>
        <v>10.7</v>
      </c>
      <c r="F767">
        <f>IFERROR(__xludf.DUMMYFUNCTION("""COMPUTED_VALUE"""),19.38)</f>
        <v>19.38</v>
      </c>
      <c r="G767">
        <f>IFERROR(__xludf.DUMMYFUNCTION("""COMPUTED_VALUE"""),0.29)</f>
        <v>0.29</v>
      </c>
    </row>
    <row r="768">
      <c r="A768">
        <f>IFERROR(__xludf.DUMMYFUNCTION("""COMPUTED_VALUE"""),170796.0)</f>
        <v>170796</v>
      </c>
      <c r="B768" t="str">
        <f>IFERROR(__xludf.DUMMYFUNCTION("""COMPUTED_VALUE"""),"Beef Chuck Short Ribs Boneless Separable Lean Only Trimmed To 0 Inch Fat All Grades Raw")</f>
        <v>Beef Chuck Short Ribs Boneless Separable Lean Only Trimmed To 0 Inch Fat All Grades Raw</v>
      </c>
      <c r="C768" t="str">
        <f>IFERROR(__xludf.DUMMYFUNCTION("""COMPUTED_VALUE"""),"Meats")</f>
        <v>Meats</v>
      </c>
      <c r="D768">
        <f>IFERROR(__xludf.DUMMYFUNCTION("""COMPUTED_VALUE"""),169.0)</f>
        <v>169</v>
      </c>
      <c r="E768">
        <f>IFERROR(__xludf.DUMMYFUNCTION("""COMPUTED_VALUE"""),10.02)</f>
        <v>10.02</v>
      </c>
      <c r="F768">
        <f>IFERROR(__xludf.DUMMYFUNCTION("""COMPUTED_VALUE"""),19.68)</f>
        <v>19.68</v>
      </c>
      <c r="G768">
        <f>IFERROR(__xludf.DUMMYFUNCTION("""COMPUTED_VALUE"""),0.05)</f>
        <v>0.05</v>
      </c>
    </row>
    <row r="769">
      <c r="A769">
        <f>IFERROR(__xludf.DUMMYFUNCTION("""COMPUTED_VALUE"""),170797.0)</f>
        <v>170797</v>
      </c>
      <c r="B769" t="str">
        <f>IFERROR(__xludf.DUMMYFUNCTION("""COMPUTED_VALUE"""),"Beef Chuck Eye Country-Style Ribs Boneless Separable Lean Only Trimmed To 0 Inch Fat Choice Cooked Braised")</f>
        <v>Beef Chuck Eye Country-Style Ribs Boneless Separable Lean Only Trimmed To 0 Inch Fat Choice Cooked Braised</v>
      </c>
      <c r="C769" t="str">
        <f>IFERROR(__xludf.DUMMYFUNCTION("""COMPUTED_VALUE"""),"Meats")</f>
        <v>Meats</v>
      </c>
      <c r="D769">
        <f>IFERROR(__xludf.DUMMYFUNCTION("""COMPUTED_VALUE"""),234.0)</f>
        <v>234</v>
      </c>
      <c r="E769">
        <f>IFERROR(__xludf.DUMMYFUNCTION("""COMPUTED_VALUE"""),12.22)</f>
        <v>12.22</v>
      </c>
      <c r="F769">
        <f>IFERROR(__xludf.DUMMYFUNCTION("""COMPUTED_VALUE"""),30.95)</f>
        <v>30.95</v>
      </c>
      <c r="G769">
        <f>IFERROR(__xludf.DUMMYFUNCTION("""COMPUTED_VALUE"""),0.0)</f>
        <v>0</v>
      </c>
    </row>
    <row r="770">
      <c r="A770">
        <f>IFERROR(__xludf.DUMMYFUNCTION("""COMPUTED_VALUE"""),170798.0)</f>
        <v>170798</v>
      </c>
      <c r="B770" t="str">
        <f>IFERROR(__xludf.DUMMYFUNCTION("""COMPUTED_VALUE"""),"Beef Chuck Eye Country-Style Ribs Boneless Separable Lean Only Trimmed To 0 Inch Fat Select Cooked Braised")</f>
        <v>Beef Chuck Eye Country-Style Ribs Boneless Separable Lean Only Trimmed To 0 Inch Fat Select Cooked Braised</v>
      </c>
      <c r="C770" t="str">
        <f>IFERROR(__xludf.DUMMYFUNCTION("""COMPUTED_VALUE"""),"Meats")</f>
        <v>Meats</v>
      </c>
      <c r="D770">
        <f>IFERROR(__xludf.DUMMYFUNCTION("""COMPUTED_VALUE"""),221.0)</f>
        <v>221</v>
      </c>
      <c r="E770">
        <f>IFERROR(__xludf.DUMMYFUNCTION("""COMPUTED_VALUE"""),10.24)</f>
        <v>10.24</v>
      </c>
      <c r="F770">
        <f>IFERROR(__xludf.DUMMYFUNCTION("""COMPUTED_VALUE"""),32.1)</f>
        <v>32.1</v>
      </c>
      <c r="G770">
        <f>IFERROR(__xludf.DUMMYFUNCTION("""COMPUTED_VALUE"""),0.0)</f>
        <v>0</v>
      </c>
    </row>
    <row r="771">
      <c r="A771">
        <f>IFERROR(__xludf.DUMMYFUNCTION("""COMPUTED_VALUE"""),170799.0)</f>
        <v>170799</v>
      </c>
      <c r="B771" t="str">
        <f>IFERROR(__xludf.DUMMYFUNCTION("""COMPUTED_VALUE"""),"Beef Chuck Eye Country-Style Ribs Boneless Separable Lean Only Trimmed To 0 Inch Fat All Grades Cooked Braised")</f>
        <v>Beef Chuck Eye Country-Style Ribs Boneless Separable Lean Only Trimmed To 0 Inch Fat All Grades Cooked Braised</v>
      </c>
      <c r="C771" t="str">
        <f>IFERROR(__xludf.DUMMYFUNCTION("""COMPUTED_VALUE"""),"Meats")</f>
        <v>Meats</v>
      </c>
      <c r="D771">
        <f>IFERROR(__xludf.DUMMYFUNCTION("""COMPUTED_VALUE"""),228.0)</f>
        <v>228</v>
      </c>
      <c r="E771">
        <f>IFERROR(__xludf.DUMMYFUNCTION("""COMPUTED_VALUE"""),11.43)</f>
        <v>11.43</v>
      </c>
      <c r="F771">
        <f>IFERROR(__xludf.DUMMYFUNCTION("""COMPUTED_VALUE"""),31.41)</f>
        <v>31.41</v>
      </c>
      <c r="G771">
        <f>IFERROR(__xludf.DUMMYFUNCTION("""COMPUTED_VALUE"""),0.0)</f>
        <v>0</v>
      </c>
    </row>
    <row r="772">
      <c r="A772">
        <f>IFERROR(__xludf.DUMMYFUNCTION("""COMPUTED_VALUE"""),170800.0)</f>
        <v>170800</v>
      </c>
      <c r="B772" t="str">
        <f>IFERROR(__xludf.DUMMYFUNCTION("""COMPUTED_VALUE"""),"Beef Chuck Eye Country-Style Ribs Boneless Separable Lean Only Trimmed To 0 Inch Fat Choice Raw")</f>
        <v>Beef Chuck Eye Country-Style Ribs Boneless Separable Lean Only Trimmed To 0 Inch Fat Choice Raw</v>
      </c>
      <c r="C772" t="str">
        <f>IFERROR(__xludf.DUMMYFUNCTION("""COMPUTED_VALUE"""),"Meats")</f>
        <v>Meats</v>
      </c>
      <c r="D772">
        <f>IFERROR(__xludf.DUMMYFUNCTION("""COMPUTED_VALUE"""),152.0)</f>
        <v>152</v>
      </c>
      <c r="E772">
        <f>IFERROR(__xludf.DUMMYFUNCTION("""COMPUTED_VALUE"""),7.67)</f>
        <v>7.67</v>
      </c>
      <c r="F772">
        <f>IFERROR(__xludf.DUMMYFUNCTION("""COMPUTED_VALUE"""),20.87)</f>
        <v>20.87</v>
      </c>
      <c r="G772">
        <f>IFERROR(__xludf.DUMMYFUNCTION("""COMPUTED_VALUE"""),0.0)</f>
        <v>0</v>
      </c>
    </row>
    <row r="773">
      <c r="A773">
        <f>IFERROR(__xludf.DUMMYFUNCTION("""COMPUTED_VALUE"""),170801.0)</f>
        <v>170801</v>
      </c>
      <c r="B773" t="str">
        <f>IFERROR(__xludf.DUMMYFUNCTION("""COMPUTED_VALUE"""),"Beef Chuck Eye Steak Boneless Separable Lean Only Trimmed To 0 Inch Fat All Grades Cooked Grilled")</f>
        <v>Beef Chuck Eye Steak Boneless Separable Lean Only Trimmed To 0 Inch Fat All Grades Cooked Grilled</v>
      </c>
      <c r="C773" t="str">
        <f>IFERROR(__xludf.DUMMYFUNCTION("""COMPUTED_VALUE"""),"Meats")</f>
        <v>Meats</v>
      </c>
      <c r="D773">
        <f>IFERROR(__xludf.DUMMYFUNCTION("""COMPUTED_VALUE"""),209.0)</f>
        <v>209</v>
      </c>
      <c r="E773">
        <f>IFERROR(__xludf.DUMMYFUNCTION("""COMPUTED_VALUE"""),10.79)</f>
        <v>10.79</v>
      </c>
      <c r="F773">
        <f>IFERROR(__xludf.DUMMYFUNCTION("""COMPUTED_VALUE"""),27.94)</f>
        <v>27.94</v>
      </c>
      <c r="G773">
        <f>IFERROR(__xludf.DUMMYFUNCTION("""COMPUTED_VALUE"""),0.0)</f>
        <v>0</v>
      </c>
    </row>
    <row r="774">
      <c r="A774">
        <f>IFERROR(__xludf.DUMMYFUNCTION("""COMPUTED_VALUE"""),170802.0)</f>
        <v>170802</v>
      </c>
      <c r="B774" t="str">
        <f>IFERROR(__xludf.DUMMYFUNCTION("""COMPUTED_VALUE"""),"Beef Chuck Eye Steak Boneless Separable Lean Only Trimmed To 0 Inch Fat Choice Raw")</f>
        <v>Beef Chuck Eye Steak Boneless Separable Lean Only Trimmed To 0 Inch Fat Choice Raw</v>
      </c>
      <c r="C774" t="str">
        <f>IFERROR(__xludf.DUMMYFUNCTION("""COMPUTED_VALUE"""),"Meats")</f>
        <v>Meats</v>
      </c>
      <c r="D774">
        <f>IFERROR(__xludf.DUMMYFUNCTION("""COMPUTED_VALUE"""),160.0)</f>
        <v>160</v>
      </c>
      <c r="E774">
        <f>IFERROR(__xludf.DUMMYFUNCTION("""COMPUTED_VALUE"""),8.29)</f>
        <v>8.29</v>
      </c>
      <c r="F774">
        <f>IFERROR(__xludf.DUMMYFUNCTION("""COMPUTED_VALUE"""),21.31)</f>
        <v>21.31</v>
      </c>
      <c r="G774">
        <f>IFERROR(__xludf.DUMMYFUNCTION("""COMPUTED_VALUE"""),0.0)</f>
        <v>0</v>
      </c>
    </row>
    <row r="775">
      <c r="A775">
        <f>IFERROR(__xludf.DUMMYFUNCTION("""COMPUTED_VALUE"""),170803.0)</f>
        <v>170803</v>
      </c>
      <c r="B775" t="str">
        <f>IFERROR(__xludf.DUMMYFUNCTION("""COMPUTED_VALUE"""),"Beef Chuck Eye Steak Boneless Separable Lean Only Trimmed To 0 Inch Fat Select Raw")</f>
        <v>Beef Chuck Eye Steak Boneless Separable Lean Only Trimmed To 0 Inch Fat Select Raw</v>
      </c>
      <c r="C775" t="str">
        <f>IFERROR(__xludf.DUMMYFUNCTION("""COMPUTED_VALUE"""),"Meats")</f>
        <v>Meats</v>
      </c>
      <c r="D775">
        <f>IFERROR(__xludf.DUMMYFUNCTION("""COMPUTED_VALUE"""),143.0)</f>
        <v>143</v>
      </c>
      <c r="E775">
        <f>IFERROR(__xludf.DUMMYFUNCTION("""COMPUTED_VALUE"""),6.47)</f>
        <v>6.47</v>
      </c>
      <c r="F775">
        <f>IFERROR(__xludf.DUMMYFUNCTION("""COMPUTED_VALUE"""),21.28)</f>
        <v>21.28</v>
      </c>
      <c r="G775">
        <f>IFERROR(__xludf.DUMMYFUNCTION("""COMPUTED_VALUE"""),0.0)</f>
        <v>0</v>
      </c>
    </row>
    <row r="776">
      <c r="A776">
        <f>IFERROR(__xludf.DUMMYFUNCTION("""COMPUTED_VALUE"""),170804.0)</f>
        <v>170804</v>
      </c>
      <c r="B776" t="str">
        <f>IFERROR(__xludf.DUMMYFUNCTION("""COMPUTED_VALUE"""),"Beef Chuck Eye Steak Boneless Separable Lean Only Trimmed To 0 Inch Fat All Grades Raw")</f>
        <v>Beef Chuck Eye Steak Boneless Separable Lean Only Trimmed To 0 Inch Fat All Grades Raw</v>
      </c>
      <c r="C776" t="str">
        <f>IFERROR(__xludf.DUMMYFUNCTION("""COMPUTED_VALUE"""),"Meats")</f>
        <v>Meats</v>
      </c>
      <c r="D776">
        <f>IFERROR(__xludf.DUMMYFUNCTION("""COMPUTED_VALUE"""),153.0)</f>
        <v>153</v>
      </c>
      <c r="E776">
        <f>IFERROR(__xludf.DUMMYFUNCTION("""COMPUTED_VALUE"""),7.56)</f>
        <v>7.56</v>
      </c>
      <c r="F776">
        <f>IFERROR(__xludf.DUMMYFUNCTION("""COMPUTED_VALUE"""),21.29)</f>
        <v>21.29</v>
      </c>
      <c r="G776">
        <f>IFERROR(__xludf.DUMMYFUNCTION("""COMPUTED_VALUE"""),0.0)</f>
        <v>0</v>
      </c>
    </row>
    <row r="777">
      <c r="A777">
        <f>IFERROR(__xludf.DUMMYFUNCTION("""COMPUTED_VALUE"""),170805.0)</f>
        <v>170805</v>
      </c>
      <c r="B777" t="str">
        <f>IFERROR(__xludf.DUMMYFUNCTION("""COMPUTED_VALUE"""),"Beef Chuck Mock Tender Steak Boneless Separable Lean Only Trimmed To 0 Inch Fat Select Cooked Braised")</f>
        <v>Beef Chuck Mock Tender Steak Boneless Separable Lean Only Trimmed To 0 Inch Fat Select Cooked Braised</v>
      </c>
      <c r="C777" t="str">
        <f>IFERROR(__xludf.DUMMYFUNCTION("""COMPUTED_VALUE"""),"Meats")</f>
        <v>Meats</v>
      </c>
      <c r="D777">
        <f>IFERROR(__xludf.DUMMYFUNCTION("""COMPUTED_VALUE"""),181.0)</f>
        <v>181</v>
      </c>
      <c r="E777">
        <f>IFERROR(__xludf.DUMMYFUNCTION("""COMPUTED_VALUE"""),5.44)</f>
        <v>5.44</v>
      </c>
      <c r="F777">
        <f>IFERROR(__xludf.DUMMYFUNCTION("""COMPUTED_VALUE"""),32.96)</f>
        <v>32.96</v>
      </c>
      <c r="G777">
        <f>IFERROR(__xludf.DUMMYFUNCTION("""COMPUTED_VALUE"""),0.0)</f>
        <v>0</v>
      </c>
    </row>
    <row r="778">
      <c r="A778">
        <f>IFERROR(__xludf.DUMMYFUNCTION("""COMPUTED_VALUE"""),170806.0)</f>
        <v>170806</v>
      </c>
      <c r="B778" t="str">
        <f>IFERROR(__xludf.DUMMYFUNCTION("""COMPUTED_VALUE"""),"Chuck Steak (Mock Tender)")</f>
        <v>Chuck Steak (Mock Tender)</v>
      </c>
      <c r="C778" t="str">
        <f>IFERROR(__xludf.DUMMYFUNCTION("""COMPUTED_VALUE"""),"Meats")</f>
        <v>Meats</v>
      </c>
      <c r="D778">
        <f>IFERROR(__xludf.DUMMYFUNCTION("""COMPUTED_VALUE"""),190.0)</f>
        <v>190</v>
      </c>
      <c r="E778">
        <f>IFERROR(__xludf.DUMMYFUNCTION("""COMPUTED_VALUE"""),6.34)</f>
        <v>6.34</v>
      </c>
      <c r="F778">
        <f>IFERROR(__xludf.DUMMYFUNCTION("""COMPUTED_VALUE"""),33.31)</f>
        <v>33.31</v>
      </c>
      <c r="G778">
        <f>IFERROR(__xludf.DUMMYFUNCTION("""COMPUTED_VALUE"""),0.0)</f>
        <v>0</v>
      </c>
    </row>
    <row r="779">
      <c r="A779">
        <f>IFERROR(__xludf.DUMMYFUNCTION("""COMPUTED_VALUE"""),170807.0)</f>
        <v>170807</v>
      </c>
      <c r="B779" t="str">
        <f>IFERROR(__xludf.DUMMYFUNCTION("""COMPUTED_VALUE"""),"Beef Chuck Mock Tender Steak Boneless Separable Lean Only Trimmed To 0 Inch Fat Choice Raw")</f>
        <v>Beef Chuck Mock Tender Steak Boneless Separable Lean Only Trimmed To 0 Inch Fat Choice Raw</v>
      </c>
      <c r="C779" t="str">
        <f>IFERROR(__xludf.DUMMYFUNCTION("""COMPUTED_VALUE"""),"Meats")</f>
        <v>Meats</v>
      </c>
      <c r="D779">
        <f>IFERROR(__xludf.DUMMYFUNCTION("""COMPUTED_VALUE"""),127.0)</f>
        <v>127</v>
      </c>
      <c r="E779">
        <f>IFERROR(__xludf.DUMMYFUNCTION("""COMPUTED_VALUE"""),4.6)</f>
        <v>4.6</v>
      </c>
      <c r="F779">
        <f>IFERROR(__xludf.DUMMYFUNCTION("""COMPUTED_VALUE"""),21.36)</f>
        <v>21.36</v>
      </c>
      <c r="G779">
        <f>IFERROR(__xludf.DUMMYFUNCTION("""COMPUTED_VALUE"""),0.0)</f>
        <v>0</v>
      </c>
    </row>
    <row r="780">
      <c r="A780">
        <f>IFERROR(__xludf.DUMMYFUNCTION("""COMPUTED_VALUE"""),170808.0)</f>
        <v>170808</v>
      </c>
      <c r="B780" t="str">
        <f>IFERROR(__xludf.DUMMYFUNCTION("""COMPUTED_VALUE"""),"Beef Chuck Mock Tender Steak Boneless Separable Lean Only Trimmed To 0 Inch Fat Select Raw")</f>
        <v>Beef Chuck Mock Tender Steak Boneless Separable Lean Only Trimmed To 0 Inch Fat Select Raw</v>
      </c>
      <c r="C780" t="str">
        <f>IFERROR(__xludf.DUMMYFUNCTION("""COMPUTED_VALUE"""),"Meats")</f>
        <v>Meats</v>
      </c>
      <c r="D780">
        <f>IFERROR(__xludf.DUMMYFUNCTION("""COMPUTED_VALUE"""),117.0)</f>
        <v>117</v>
      </c>
      <c r="E780">
        <f>IFERROR(__xludf.DUMMYFUNCTION("""COMPUTED_VALUE"""),3.53)</f>
        <v>3.53</v>
      </c>
      <c r="F780">
        <f>IFERROR(__xludf.DUMMYFUNCTION("""COMPUTED_VALUE"""),21.22)</f>
        <v>21.22</v>
      </c>
      <c r="G780">
        <f>IFERROR(__xludf.DUMMYFUNCTION("""COMPUTED_VALUE"""),0.0)</f>
        <v>0</v>
      </c>
    </row>
    <row r="781">
      <c r="A781">
        <f>IFERROR(__xludf.DUMMYFUNCTION("""COMPUTED_VALUE"""),170809.0)</f>
        <v>170809</v>
      </c>
      <c r="B781" t="str">
        <f>IFERROR(__xludf.DUMMYFUNCTION("""COMPUTED_VALUE"""),"Beef Chuck For Stew Separable Lean And Fat Select Raw")</f>
        <v>Beef Chuck For Stew Separable Lean And Fat Select Raw</v>
      </c>
      <c r="C781" t="str">
        <f>IFERROR(__xludf.DUMMYFUNCTION("""COMPUTED_VALUE"""),"Meats")</f>
        <v>Meats</v>
      </c>
      <c r="D781">
        <f>IFERROR(__xludf.DUMMYFUNCTION("""COMPUTED_VALUE"""),124.0)</f>
        <v>124</v>
      </c>
      <c r="E781">
        <f>IFERROR(__xludf.DUMMYFUNCTION("""COMPUTED_VALUE"""),3.99)</f>
        <v>3.99</v>
      </c>
      <c r="F781">
        <f>IFERROR(__xludf.DUMMYFUNCTION("""COMPUTED_VALUE"""),21.9)</f>
        <v>21.9</v>
      </c>
      <c r="G781">
        <f>IFERROR(__xludf.DUMMYFUNCTION("""COMPUTED_VALUE"""),0.21)</f>
        <v>0.21</v>
      </c>
    </row>
    <row r="782">
      <c r="A782">
        <f>IFERROR(__xludf.DUMMYFUNCTION("""COMPUTED_VALUE"""),170810.0)</f>
        <v>170810</v>
      </c>
      <c r="B782" t="str">
        <f>IFERROR(__xludf.DUMMYFUNCTION("""COMPUTED_VALUE"""),"Beef Chuck For Stew Separable Lean And Fat Choice Raw")</f>
        <v>Beef Chuck For Stew Separable Lean And Fat Choice Raw</v>
      </c>
      <c r="C782" t="str">
        <f>IFERROR(__xludf.DUMMYFUNCTION("""COMPUTED_VALUE"""),"Meats")</f>
        <v>Meats</v>
      </c>
      <c r="D782">
        <f>IFERROR(__xludf.DUMMYFUNCTION("""COMPUTED_VALUE"""),130.0)</f>
        <v>130</v>
      </c>
      <c r="E782">
        <f>IFERROR(__xludf.DUMMYFUNCTION("""COMPUTED_VALUE"""),4.81)</f>
        <v>4.81</v>
      </c>
      <c r="F782">
        <f>IFERROR(__xludf.DUMMYFUNCTION("""COMPUTED_VALUE"""),21.64)</f>
        <v>21.64</v>
      </c>
      <c r="G782">
        <f>IFERROR(__xludf.DUMMYFUNCTION("""COMPUTED_VALUE"""),0.12)</f>
        <v>0.12</v>
      </c>
    </row>
    <row r="783">
      <c r="A783">
        <f>IFERROR(__xludf.DUMMYFUNCTION("""COMPUTED_VALUE"""),170811.0)</f>
        <v>170811</v>
      </c>
      <c r="B783" t="str">
        <f>IFERROR(__xludf.DUMMYFUNCTION("""COMPUTED_VALUE"""),"Beef Chuck Under Blade Steak Boneless Separable Lean Only Trimmed To 0 Inch Fat Choice Cooked Braised")</f>
        <v>Beef Chuck Under Blade Steak Boneless Separable Lean Only Trimmed To 0 Inch Fat Choice Cooked Braised</v>
      </c>
      <c r="C783" t="str">
        <f>IFERROR(__xludf.DUMMYFUNCTION("""COMPUTED_VALUE"""),"Meats")</f>
        <v>Meats</v>
      </c>
      <c r="D783">
        <f>IFERROR(__xludf.DUMMYFUNCTION("""COMPUTED_VALUE"""),222.0)</f>
        <v>222</v>
      </c>
      <c r="E783">
        <f>IFERROR(__xludf.DUMMYFUNCTION("""COMPUTED_VALUE"""),10.91)</f>
        <v>10.91</v>
      </c>
      <c r="F783">
        <f>IFERROR(__xludf.DUMMYFUNCTION("""COMPUTED_VALUE"""),30.91)</f>
        <v>30.91</v>
      </c>
      <c r="G783">
        <f>IFERROR(__xludf.DUMMYFUNCTION("""COMPUTED_VALUE"""),0.0)</f>
        <v>0</v>
      </c>
    </row>
    <row r="784">
      <c r="A784">
        <f>IFERROR(__xludf.DUMMYFUNCTION("""COMPUTED_VALUE"""),170812.0)</f>
        <v>170812</v>
      </c>
      <c r="B784" t="str">
        <f>IFERROR(__xludf.DUMMYFUNCTION("""COMPUTED_VALUE"""),"Beef Chuck Under Blade Steak Boneless Separable Lean Only Trimmed To 0 Inch Fat Select Cooked Braised")</f>
        <v>Beef Chuck Under Blade Steak Boneless Separable Lean Only Trimmed To 0 Inch Fat Select Cooked Braised</v>
      </c>
      <c r="C784" t="str">
        <f>IFERROR(__xludf.DUMMYFUNCTION("""COMPUTED_VALUE"""),"Meats")</f>
        <v>Meats</v>
      </c>
      <c r="D784">
        <f>IFERROR(__xludf.DUMMYFUNCTION("""COMPUTED_VALUE"""),215.0)</f>
        <v>215</v>
      </c>
      <c r="E784">
        <f>IFERROR(__xludf.DUMMYFUNCTION("""COMPUTED_VALUE"""),9.66)</f>
        <v>9.66</v>
      </c>
      <c r="F784">
        <f>IFERROR(__xludf.DUMMYFUNCTION("""COMPUTED_VALUE"""),32.01)</f>
        <v>32.01</v>
      </c>
      <c r="G784">
        <f>IFERROR(__xludf.DUMMYFUNCTION("""COMPUTED_VALUE"""),0.0)</f>
        <v>0</v>
      </c>
    </row>
    <row r="785">
      <c r="A785">
        <f>IFERROR(__xludf.DUMMYFUNCTION("""COMPUTED_VALUE"""),170813.0)</f>
        <v>170813</v>
      </c>
      <c r="B785" t="str">
        <f>IFERROR(__xludf.DUMMYFUNCTION("""COMPUTED_VALUE"""),"Beef Chuck Under Blade Pot Roast Or Steak Boneless Separable Lean And Fat Trimmed To 0 Inch Fat All Grades Raw")</f>
        <v>Beef Chuck Under Blade Pot Roast Or Steak Boneless Separable Lean And Fat Trimmed To 0 Inch Fat All Grades Raw</v>
      </c>
      <c r="C785" t="str">
        <f>IFERROR(__xludf.DUMMYFUNCTION("""COMPUTED_VALUE"""),"Meats")</f>
        <v>Meats</v>
      </c>
      <c r="D785">
        <f>IFERROR(__xludf.DUMMYFUNCTION("""COMPUTED_VALUE"""),196.0)</f>
        <v>196</v>
      </c>
      <c r="E785">
        <f>IFERROR(__xludf.DUMMYFUNCTION("""COMPUTED_VALUE"""),13.26)</f>
        <v>13.26</v>
      </c>
      <c r="F785">
        <f>IFERROR(__xludf.DUMMYFUNCTION("""COMPUTED_VALUE"""),19.17)</f>
        <v>19.17</v>
      </c>
      <c r="G785">
        <f>IFERROR(__xludf.DUMMYFUNCTION("""COMPUTED_VALUE"""),0.0)</f>
        <v>0</v>
      </c>
    </row>
    <row r="786">
      <c r="A786">
        <f>IFERROR(__xludf.DUMMYFUNCTION("""COMPUTED_VALUE"""),170814.0)</f>
        <v>170814</v>
      </c>
      <c r="B786" t="str">
        <f>IFERROR(__xludf.DUMMYFUNCTION("""COMPUTED_VALUE"""),"Beef Chuck Under Blade Pot Roast Or Steak Boneless Separable Lean And Fat Trimmed To 0 Inch Fat Choice Raw")</f>
        <v>Beef Chuck Under Blade Pot Roast Or Steak Boneless Separable Lean And Fat Trimmed To 0 Inch Fat Choice Raw</v>
      </c>
      <c r="C786" t="str">
        <f>IFERROR(__xludf.DUMMYFUNCTION("""COMPUTED_VALUE"""),"Meats")</f>
        <v>Meats</v>
      </c>
      <c r="D786">
        <f>IFERROR(__xludf.DUMMYFUNCTION("""COMPUTED_VALUE"""),202.0)</f>
        <v>202</v>
      </c>
      <c r="E786">
        <f>IFERROR(__xludf.DUMMYFUNCTION("""COMPUTED_VALUE"""),13.93)</f>
        <v>13.93</v>
      </c>
      <c r="F786">
        <f>IFERROR(__xludf.DUMMYFUNCTION("""COMPUTED_VALUE"""),19.15)</f>
        <v>19.15</v>
      </c>
      <c r="G786">
        <f>IFERROR(__xludf.DUMMYFUNCTION("""COMPUTED_VALUE"""),0.0)</f>
        <v>0</v>
      </c>
    </row>
    <row r="787">
      <c r="A787">
        <f>IFERROR(__xludf.DUMMYFUNCTION("""COMPUTED_VALUE"""),170815.0)</f>
        <v>170815</v>
      </c>
      <c r="B787" t="str">
        <f>IFERROR(__xludf.DUMMYFUNCTION("""COMPUTED_VALUE"""),"Beef Chuck Under Blade Pot Roast Or Steak Boneless Separable Lean And Fat Trimmed To 0 Inch Fat Select Raw")</f>
        <v>Beef Chuck Under Blade Pot Roast Or Steak Boneless Separable Lean And Fat Trimmed To 0 Inch Fat Select Raw</v>
      </c>
      <c r="C787" t="str">
        <f>IFERROR(__xludf.DUMMYFUNCTION("""COMPUTED_VALUE"""),"Meats")</f>
        <v>Meats</v>
      </c>
      <c r="D787">
        <f>IFERROR(__xludf.DUMMYFUNCTION("""COMPUTED_VALUE"""),187.0)</f>
        <v>187</v>
      </c>
      <c r="E787">
        <f>IFERROR(__xludf.DUMMYFUNCTION("""COMPUTED_VALUE"""),12.27)</f>
        <v>12.27</v>
      </c>
      <c r="F787">
        <f>IFERROR(__xludf.DUMMYFUNCTION("""COMPUTED_VALUE"""),19.2)</f>
        <v>19.2</v>
      </c>
      <c r="G787">
        <f>IFERROR(__xludf.DUMMYFUNCTION("""COMPUTED_VALUE"""),0.0)</f>
        <v>0</v>
      </c>
    </row>
    <row r="788">
      <c r="A788">
        <f>IFERROR(__xludf.DUMMYFUNCTION("""COMPUTED_VALUE"""),170816.0)</f>
        <v>170816</v>
      </c>
      <c r="B788" t="str">
        <f>IFERROR(__xludf.DUMMYFUNCTION("""COMPUTED_VALUE"""),"Beef Chuck Under Blade Center Steak Boneless Denver Cut Separable Lean And Fat Trimmed To 0 Inch Fat All Grades Cooked Grilled")</f>
        <v>Beef Chuck Under Blade Center Steak Boneless Denver Cut Separable Lean And Fat Trimmed To 0 Inch Fat All Grades Cooked Grilled</v>
      </c>
      <c r="C788" t="str">
        <f>IFERROR(__xludf.DUMMYFUNCTION("""COMPUTED_VALUE"""),"Meats")</f>
        <v>Meats</v>
      </c>
      <c r="D788">
        <f>IFERROR(__xludf.DUMMYFUNCTION("""COMPUTED_VALUE"""),227.0)</f>
        <v>227</v>
      </c>
      <c r="E788">
        <f>IFERROR(__xludf.DUMMYFUNCTION("""COMPUTED_VALUE"""),13.54)</f>
        <v>13.54</v>
      </c>
      <c r="F788">
        <f>IFERROR(__xludf.DUMMYFUNCTION("""COMPUTED_VALUE"""),26.18)</f>
        <v>26.18</v>
      </c>
      <c r="G788">
        <f>IFERROR(__xludf.DUMMYFUNCTION("""COMPUTED_VALUE"""),0.21)</f>
        <v>0.21</v>
      </c>
    </row>
    <row r="789">
      <c r="A789">
        <f>IFERROR(__xludf.DUMMYFUNCTION("""COMPUTED_VALUE"""),170817.0)</f>
        <v>170817</v>
      </c>
      <c r="B789" t="str">
        <f>IFERROR(__xludf.DUMMYFUNCTION("""COMPUTED_VALUE"""),"Beef Chuck Under Blade Center Steak Boneless Denver Cut Separable Lean And Fat Trimmed To 0 Inch Fat Select Raw")</f>
        <v>Beef Chuck Under Blade Center Steak Boneless Denver Cut Separable Lean And Fat Trimmed To 0 Inch Fat Select Raw</v>
      </c>
      <c r="C789" t="str">
        <f>IFERROR(__xludf.DUMMYFUNCTION("""COMPUTED_VALUE"""),"Meats")</f>
        <v>Meats</v>
      </c>
      <c r="D789">
        <f>IFERROR(__xludf.DUMMYFUNCTION("""COMPUTED_VALUE"""),172.0)</f>
        <v>172</v>
      </c>
      <c r="E789">
        <f>IFERROR(__xludf.DUMMYFUNCTION("""COMPUTED_VALUE"""),10.5)</f>
        <v>10.5</v>
      </c>
      <c r="F789">
        <f>IFERROR(__xludf.DUMMYFUNCTION("""COMPUTED_VALUE"""),19.2)</f>
        <v>19.2</v>
      </c>
      <c r="G789">
        <f>IFERROR(__xludf.DUMMYFUNCTION("""COMPUTED_VALUE"""),0.09)</f>
        <v>0.09</v>
      </c>
    </row>
    <row r="790">
      <c r="A790">
        <f>IFERROR(__xludf.DUMMYFUNCTION("""COMPUTED_VALUE"""),170818.0)</f>
        <v>170818</v>
      </c>
      <c r="B790" t="str">
        <f>IFERROR(__xludf.DUMMYFUNCTION("""COMPUTED_VALUE"""),"Beef Shoulder Pot Roast Or Steak Boneless Separable Lean And Fat Trimmed To 0 Inch Fat Choice Raw")</f>
        <v>Beef Shoulder Pot Roast Or Steak Boneless Separable Lean And Fat Trimmed To 0 Inch Fat Choice Raw</v>
      </c>
      <c r="C790" t="str">
        <f>IFERROR(__xludf.DUMMYFUNCTION("""COMPUTED_VALUE"""),"Meats")</f>
        <v>Meats</v>
      </c>
      <c r="D790">
        <f>IFERROR(__xludf.DUMMYFUNCTION("""COMPUTED_VALUE"""),133.0)</f>
        <v>133</v>
      </c>
      <c r="E790">
        <f>IFERROR(__xludf.DUMMYFUNCTION("""COMPUTED_VALUE"""),5.33)</f>
        <v>5.33</v>
      </c>
      <c r="F790">
        <f>IFERROR(__xludf.DUMMYFUNCTION("""COMPUTED_VALUE"""),21.17)</f>
        <v>21.17</v>
      </c>
      <c r="G790">
        <f>IFERROR(__xludf.DUMMYFUNCTION("""COMPUTED_VALUE"""),0.07)</f>
        <v>0.07</v>
      </c>
    </row>
    <row r="791">
      <c r="A791">
        <f>IFERROR(__xludf.DUMMYFUNCTION("""COMPUTED_VALUE"""),170819.0)</f>
        <v>170819</v>
      </c>
      <c r="B791" t="str">
        <f>IFERROR(__xludf.DUMMYFUNCTION("""COMPUTED_VALUE"""),"Beef Shoulder Pot Roast Or Steak Boneless Separable Lean And Fat Trimmed To 0 Inch Fat Select Raw")</f>
        <v>Beef Shoulder Pot Roast Or Steak Boneless Separable Lean And Fat Trimmed To 0 Inch Fat Select Raw</v>
      </c>
      <c r="C791" t="str">
        <f>IFERROR(__xludf.DUMMYFUNCTION("""COMPUTED_VALUE"""),"Meats")</f>
        <v>Meats</v>
      </c>
      <c r="D791">
        <f>IFERROR(__xludf.DUMMYFUNCTION("""COMPUTED_VALUE"""),127.0)</f>
        <v>127</v>
      </c>
      <c r="E791">
        <f>IFERROR(__xludf.DUMMYFUNCTION("""COMPUTED_VALUE"""),4.44)</f>
        <v>4.44</v>
      </c>
      <c r="F791">
        <f>IFERROR(__xludf.DUMMYFUNCTION("""COMPUTED_VALUE"""),21.72)</f>
        <v>21.72</v>
      </c>
      <c r="G791">
        <f>IFERROR(__xludf.DUMMYFUNCTION("""COMPUTED_VALUE"""),0.0)</f>
        <v>0</v>
      </c>
    </row>
    <row r="792">
      <c r="A792">
        <f>IFERROR(__xludf.DUMMYFUNCTION("""COMPUTED_VALUE"""),170820.0)</f>
        <v>170820</v>
      </c>
      <c r="B792" t="str">
        <f>IFERROR(__xludf.DUMMYFUNCTION("""COMPUTED_VALUE"""),"Beef Chuck Eye Roast Boneless Americas Beef Roast Separable Lean And Fat Trimmed To 0 Inch Fat All Grades Cooked Roasted")</f>
        <v>Beef Chuck Eye Roast Boneless Americas Beef Roast Separable Lean And Fat Trimmed To 0 Inch Fat All Grades Cooked Roasted</v>
      </c>
      <c r="C792" t="str">
        <f>IFERROR(__xludf.DUMMYFUNCTION("""COMPUTED_VALUE"""),"Meats")</f>
        <v>Meats</v>
      </c>
      <c r="D792">
        <f>IFERROR(__xludf.DUMMYFUNCTION("""COMPUTED_VALUE"""),236.0)</f>
        <v>236</v>
      </c>
      <c r="E792">
        <f>IFERROR(__xludf.DUMMYFUNCTION("""COMPUTED_VALUE"""),15.29)</f>
        <v>15.29</v>
      </c>
      <c r="F792">
        <f>IFERROR(__xludf.DUMMYFUNCTION("""COMPUTED_VALUE"""),24.63)</f>
        <v>24.63</v>
      </c>
      <c r="G792">
        <f>IFERROR(__xludf.DUMMYFUNCTION("""COMPUTED_VALUE"""),0.0)</f>
        <v>0</v>
      </c>
    </row>
    <row r="793">
      <c r="A793">
        <f>IFERROR(__xludf.DUMMYFUNCTION("""COMPUTED_VALUE"""),170821.0)</f>
        <v>170821</v>
      </c>
      <c r="B793" t="str">
        <f>IFERROR(__xludf.DUMMYFUNCTION("""COMPUTED_VALUE"""),"Beef Chuck Mock Tender Steak Boneless Separable Lean And Fat Trimmed To 0 Inch Fat All Grades Cooked Braised")</f>
        <v>Beef Chuck Mock Tender Steak Boneless Separable Lean And Fat Trimmed To 0 Inch Fat All Grades Cooked Braised</v>
      </c>
      <c r="C793" t="str">
        <f>IFERROR(__xludf.DUMMYFUNCTION("""COMPUTED_VALUE"""),"Meats")</f>
        <v>Meats</v>
      </c>
      <c r="D793">
        <f>IFERROR(__xludf.DUMMYFUNCTION("""COMPUTED_VALUE"""),220.0)</f>
        <v>220</v>
      </c>
      <c r="E793">
        <f>IFERROR(__xludf.DUMMYFUNCTION("""COMPUTED_VALUE"""),10.18)</f>
        <v>10.18</v>
      </c>
      <c r="F793">
        <f>IFERROR(__xludf.DUMMYFUNCTION("""COMPUTED_VALUE"""),32.07)</f>
        <v>32.07</v>
      </c>
      <c r="G793">
        <f>IFERROR(__xludf.DUMMYFUNCTION("""COMPUTED_VALUE"""),0.0)</f>
        <v>0</v>
      </c>
    </row>
    <row r="794">
      <c r="A794">
        <f>IFERROR(__xludf.DUMMYFUNCTION("""COMPUTED_VALUE"""),170822.0)</f>
        <v>170822</v>
      </c>
      <c r="B794" t="str">
        <f>IFERROR(__xludf.DUMMYFUNCTION("""COMPUTED_VALUE"""),"Beef Chuck Mock Tender Steak Boneless Separable Lean And Fat Trimmed To 0 Inch Fat Choice Cooked Braised")</f>
        <v>Beef Chuck Mock Tender Steak Boneless Separable Lean And Fat Trimmed To 0 Inch Fat Choice Cooked Braised</v>
      </c>
      <c r="C794" t="str">
        <f>IFERROR(__xludf.DUMMYFUNCTION("""COMPUTED_VALUE"""),"Meats")</f>
        <v>Meats</v>
      </c>
      <c r="D794">
        <f>IFERROR(__xludf.DUMMYFUNCTION("""COMPUTED_VALUE"""),225.0)</f>
        <v>225</v>
      </c>
      <c r="E794">
        <f>IFERROR(__xludf.DUMMYFUNCTION("""COMPUTED_VALUE"""),10.74)</f>
        <v>10.74</v>
      </c>
      <c r="F794">
        <f>IFERROR(__xludf.DUMMYFUNCTION("""COMPUTED_VALUE"""),32.21)</f>
        <v>32.21</v>
      </c>
      <c r="G794">
        <f>IFERROR(__xludf.DUMMYFUNCTION("""COMPUTED_VALUE"""),0.0)</f>
        <v>0</v>
      </c>
    </row>
    <row r="795">
      <c r="A795">
        <f>IFERROR(__xludf.DUMMYFUNCTION("""COMPUTED_VALUE"""),170823.0)</f>
        <v>170823</v>
      </c>
      <c r="B795" t="str">
        <f>IFERROR(__xludf.DUMMYFUNCTION("""COMPUTED_VALUE"""),"Beef Chuck Mock Tender Steak Boneless Separable Lean And Fat Trimmed To 0 Inch Fat Select Cooked Braised")</f>
        <v>Beef Chuck Mock Tender Steak Boneless Separable Lean And Fat Trimmed To 0 Inch Fat Select Cooked Braised</v>
      </c>
      <c r="C795" t="str">
        <f>IFERROR(__xludf.DUMMYFUNCTION("""COMPUTED_VALUE"""),"Meats")</f>
        <v>Meats</v>
      </c>
      <c r="D795">
        <f>IFERROR(__xludf.DUMMYFUNCTION("""COMPUTED_VALUE"""),211.0)</f>
        <v>211</v>
      </c>
      <c r="E795">
        <f>IFERROR(__xludf.DUMMYFUNCTION("""COMPUTED_VALUE"""),9.34)</f>
        <v>9.34</v>
      </c>
      <c r="F795">
        <f>IFERROR(__xludf.DUMMYFUNCTION("""COMPUTED_VALUE"""),31.86)</f>
        <v>31.86</v>
      </c>
      <c r="G795">
        <f>IFERROR(__xludf.DUMMYFUNCTION("""COMPUTED_VALUE"""),0.0)</f>
        <v>0</v>
      </c>
    </row>
    <row r="796">
      <c r="A796">
        <f>IFERROR(__xludf.DUMMYFUNCTION("""COMPUTED_VALUE"""),170824.0)</f>
        <v>170824</v>
      </c>
      <c r="B796" t="str">
        <f>IFERROR(__xludf.DUMMYFUNCTION("""COMPUTED_VALUE"""),"Beef Chuck Mock Tender Steak Boneless Separable Lean And Fat Trimmed To 0 Inch Fat All Grades Raw")</f>
        <v>Beef Chuck Mock Tender Steak Boneless Separable Lean And Fat Trimmed To 0 Inch Fat All Grades Raw</v>
      </c>
      <c r="C796" t="str">
        <f>IFERROR(__xludf.DUMMYFUNCTION("""COMPUTED_VALUE"""),"Meats")</f>
        <v>Meats</v>
      </c>
      <c r="D796">
        <f>IFERROR(__xludf.DUMMYFUNCTION("""COMPUTED_VALUE"""),128.0)</f>
        <v>128</v>
      </c>
      <c r="E796">
        <f>IFERROR(__xludf.DUMMYFUNCTION("""COMPUTED_VALUE"""),4.79)</f>
        <v>4.79</v>
      </c>
      <c r="F796">
        <f>IFERROR(__xludf.DUMMYFUNCTION("""COMPUTED_VALUE"""),21.13)</f>
        <v>21.13</v>
      </c>
      <c r="G796">
        <f>IFERROR(__xludf.DUMMYFUNCTION("""COMPUTED_VALUE"""),0.0)</f>
        <v>0</v>
      </c>
    </row>
    <row r="797">
      <c r="A797">
        <f>IFERROR(__xludf.DUMMYFUNCTION("""COMPUTED_VALUE"""),170825.0)</f>
        <v>170825</v>
      </c>
      <c r="B797" t="str">
        <f>IFERROR(__xludf.DUMMYFUNCTION("""COMPUTED_VALUE"""),"Beef Chuck Short Ribs Boneless Separable Lean And Fat Trimmed To 0 Inch Fat Select Cooked Braised")</f>
        <v>Beef Chuck Short Ribs Boneless Separable Lean And Fat Trimmed To 0 Inch Fat Select Cooked Braised</v>
      </c>
      <c r="C797" t="str">
        <f>IFERROR(__xludf.DUMMYFUNCTION("""COMPUTED_VALUE"""),"Meats")</f>
        <v>Meats</v>
      </c>
      <c r="D797">
        <f>IFERROR(__xludf.DUMMYFUNCTION("""COMPUTED_VALUE"""),287.0)</f>
        <v>287</v>
      </c>
      <c r="E797">
        <f>IFERROR(__xludf.DUMMYFUNCTION("""COMPUTED_VALUE"""),20.38)</f>
        <v>20.38</v>
      </c>
      <c r="F797">
        <f>IFERROR(__xludf.DUMMYFUNCTION("""COMPUTED_VALUE"""),25.81)</f>
        <v>25.81</v>
      </c>
      <c r="G797">
        <f>IFERROR(__xludf.DUMMYFUNCTION("""COMPUTED_VALUE"""),0.0)</f>
        <v>0</v>
      </c>
    </row>
    <row r="798">
      <c r="A798">
        <f>IFERROR(__xludf.DUMMYFUNCTION("""COMPUTED_VALUE"""),170826.0)</f>
        <v>170826</v>
      </c>
      <c r="B798" t="str">
        <f>IFERROR(__xludf.DUMMYFUNCTION("""COMPUTED_VALUE"""),"Beef Chuck Short Ribs Boneless Separable Lean And Fat Trimmed To 0 Inch Fat All Grades Raw")</f>
        <v>Beef Chuck Short Ribs Boneless Separable Lean And Fat Trimmed To 0 Inch Fat All Grades Raw</v>
      </c>
      <c r="C798" t="str">
        <f>IFERROR(__xludf.DUMMYFUNCTION("""COMPUTED_VALUE"""),"Meats")</f>
        <v>Meats</v>
      </c>
      <c r="D798">
        <f>IFERROR(__xludf.DUMMYFUNCTION("""COMPUTED_VALUE"""),235.0)</f>
        <v>235</v>
      </c>
      <c r="E798">
        <f>IFERROR(__xludf.DUMMYFUNCTION("""COMPUTED_VALUE"""),18.33)</f>
        <v>18.33</v>
      </c>
      <c r="F798">
        <f>IFERROR(__xludf.DUMMYFUNCTION("""COMPUTED_VALUE"""),17.48)</f>
        <v>17.48</v>
      </c>
      <c r="G798">
        <f>IFERROR(__xludf.DUMMYFUNCTION("""COMPUTED_VALUE"""),0.0)</f>
        <v>0</v>
      </c>
    </row>
    <row r="799">
      <c r="A799">
        <f>IFERROR(__xludf.DUMMYFUNCTION("""COMPUTED_VALUE"""),170827.0)</f>
        <v>170827</v>
      </c>
      <c r="B799" t="str">
        <f>IFERROR(__xludf.DUMMYFUNCTION("""COMPUTED_VALUE"""),"Beef Chuck Short Ribs Boneless Separable Lean And Fat Trimmed To 0 Inch Fat Choice Raw")</f>
        <v>Beef Chuck Short Ribs Boneless Separable Lean And Fat Trimmed To 0 Inch Fat Choice Raw</v>
      </c>
      <c r="C799" t="str">
        <f>IFERROR(__xludf.DUMMYFUNCTION("""COMPUTED_VALUE"""),"Meats")</f>
        <v>Meats</v>
      </c>
      <c r="D799">
        <f>IFERROR(__xludf.DUMMYFUNCTION("""COMPUTED_VALUE"""),240.0)</f>
        <v>240</v>
      </c>
      <c r="E799">
        <f>IFERROR(__xludf.DUMMYFUNCTION("""COMPUTED_VALUE"""),19.03)</f>
        <v>19.03</v>
      </c>
      <c r="F799">
        <f>IFERROR(__xludf.DUMMYFUNCTION("""COMPUTED_VALUE"""),17.22)</f>
        <v>17.22</v>
      </c>
      <c r="G799">
        <f>IFERROR(__xludf.DUMMYFUNCTION("""COMPUTED_VALUE"""),0.0)</f>
        <v>0</v>
      </c>
    </row>
    <row r="800">
      <c r="A800">
        <f>IFERROR(__xludf.DUMMYFUNCTION("""COMPUTED_VALUE"""),170828.0)</f>
        <v>170828</v>
      </c>
      <c r="B800" t="str">
        <f>IFERROR(__xludf.DUMMYFUNCTION("""COMPUTED_VALUE"""),"Beef Chuck Short Ribs Boneless Separable Lean And Fat Trimmed To 0 Inch Fat Select Raw")</f>
        <v>Beef Chuck Short Ribs Boneless Separable Lean And Fat Trimmed To 0 Inch Fat Select Raw</v>
      </c>
      <c r="C800" t="str">
        <f>IFERROR(__xludf.DUMMYFUNCTION("""COMPUTED_VALUE"""),"Meats")</f>
        <v>Meats</v>
      </c>
      <c r="D800">
        <f>IFERROR(__xludf.DUMMYFUNCTION("""COMPUTED_VALUE"""),227.0)</f>
        <v>227</v>
      </c>
      <c r="E800">
        <f>IFERROR(__xludf.DUMMYFUNCTION("""COMPUTED_VALUE"""),17.28)</f>
        <v>17.28</v>
      </c>
      <c r="F800">
        <f>IFERROR(__xludf.DUMMYFUNCTION("""COMPUTED_VALUE"""),17.87)</f>
        <v>17.87</v>
      </c>
      <c r="G800">
        <f>IFERROR(__xludf.DUMMYFUNCTION("""COMPUTED_VALUE"""),0.0)</f>
        <v>0</v>
      </c>
    </row>
    <row r="801">
      <c r="A801">
        <f>IFERROR(__xludf.DUMMYFUNCTION("""COMPUTED_VALUE"""),170829.0)</f>
        <v>170829</v>
      </c>
      <c r="B801" t="str">
        <f>IFERROR(__xludf.DUMMYFUNCTION("""COMPUTED_VALUE"""),"Beef Chuck Eye Country-Style Ribs Boneless Separable Lean And Fat Trimmed To 0 Inch Fat Choice Cooked Braised")</f>
        <v>Beef Chuck Eye Country-Style Ribs Boneless Separable Lean And Fat Trimmed To 0 Inch Fat Choice Cooked Braised</v>
      </c>
      <c r="C801" t="str">
        <f>IFERROR(__xludf.DUMMYFUNCTION("""COMPUTED_VALUE"""),"Meats")</f>
        <v>Meats</v>
      </c>
      <c r="D801">
        <f>IFERROR(__xludf.DUMMYFUNCTION("""COMPUTED_VALUE"""),303.0)</f>
        <v>303</v>
      </c>
      <c r="E801">
        <f>IFERROR(__xludf.DUMMYFUNCTION("""COMPUTED_VALUE"""),21.56)</f>
        <v>21.56</v>
      </c>
      <c r="F801">
        <f>IFERROR(__xludf.DUMMYFUNCTION("""COMPUTED_VALUE"""),27.16)</f>
        <v>27.16</v>
      </c>
      <c r="G801">
        <f>IFERROR(__xludf.DUMMYFUNCTION("""COMPUTED_VALUE"""),0.0)</f>
        <v>0</v>
      </c>
    </row>
    <row r="802">
      <c r="A802">
        <f>IFERROR(__xludf.DUMMYFUNCTION("""COMPUTED_VALUE"""),170830.0)</f>
        <v>170830</v>
      </c>
      <c r="B802" t="str">
        <f>IFERROR(__xludf.DUMMYFUNCTION("""COMPUTED_VALUE"""),"Beef Chuck Eye Country-Style Ribs Boneless Separable Lean And Fat Trimmed To 0 Inch Fat Select Cooked Braised")</f>
        <v>Beef Chuck Eye Country-Style Ribs Boneless Separable Lean And Fat Trimmed To 0 Inch Fat Select Cooked Braised</v>
      </c>
      <c r="C802" t="str">
        <f>IFERROR(__xludf.DUMMYFUNCTION("""COMPUTED_VALUE"""),"Meats")</f>
        <v>Meats</v>
      </c>
      <c r="D802">
        <f>IFERROR(__xludf.DUMMYFUNCTION("""COMPUTED_VALUE"""),285.0)</f>
        <v>285</v>
      </c>
      <c r="E802">
        <f>IFERROR(__xludf.DUMMYFUNCTION("""COMPUTED_VALUE"""),19.03)</f>
        <v>19.03</v>
      </c>
      <c r="F802">
        <f>IFERROR(__xludf.DUMMYFUNCTION("""COMPUTED_VALUE"""),28.47)</f>
        <v>28.47</v>
      </c>
      <c r="G802">
        <f>IFERROR(__xludf.DUMMYFUNCTION("""COMPUTED_VALUE"""),0.0)</f>
        <v>0</v>
      </c>
    </row>
    <row r="803">
      <c r="A803">
        <f>IFERROR(__xludf.DUMMYFUNCTION("""COMPUTED_VALUE"""),170831.0)</f>
        <v>170831</v>
      </c>
      <c r="B803" t="str">
        <f>IFERROR(__xludf.DUMMYFUNCTION("""COMPUTED_VALUE"""),"Beef Chuck Eye Country-Style Ribs Boneless Separable Lean And Fat Trimmed To 0 Inch Fat All Grades Raw")</f>
        <v>Beef Chuck Eye Country-Style Ribs Boneless Separable Lean And Fat Trimmed To 0 Inch Fat All Grades Raw</v>
      </c>
      <c r="C803" t="str">
        <f>IFERROR(__xludf.DUMMYFUNCTION("""COMPUTED_VALUE"""),"Meats")</f>
        <v>Meats</v>
      </c>
      <c r="D803">
        <f>IFERROR(__xludf.DUMMYFUNCTION("""COMPUTED_VALUE"""),205.0)</f>
        <v>205</v>
      </c>
      <c r="E803">
        <f>IFERROR(__xludf.DUMMYFUNCTION("""COMPUTED_VALUE"""),14.32)</f>
        <v>14.32</v>
      </c>
      <c r="F803">
        <f>IFERROR(__xludf.DUMMYFUNCTION("""COMPUTED_VALUE"""),18.97)</f>
        <v>18.97</v>
      </c>
      <c r="G803">
        <f>IFERROR(__xludf.DUMMYFUNCTION("""COMPUTED_VALUE"""),0.0)</f>
        <v>0</v>
      </c>
    </row>
    <row r="804">
      <c r="A804">
        <f>IFERROR(__xludf.DUMMYFUNCTION("""COMPUTED_VALUE"""),170832.0)</f>
        <v>170832</v>
      </c>
      <c r="B804" t="str">
        <f>IFERROR(__xludf.DUMMYFUNCTION("""COMPUTED_VALUE"""),"Beef Chuck Eye Country-Style Ribs Boneless Separable Lean And Fat Trimmed To 0 Inch Fat Choice Raw")</f>
        <v>Beef Chuck Eye Country-Style Ribs Boneless Separable Lean And Fat Trimmed To 0 Inch Fat Choice Raw</v>
      </c>
      <c r="C804" t="str">
        <f>IFERROR(__xludf.DUMMYFUNCTION("""COMPUTED_VALUE"""),"Meats")</f>
        <v>Meats</v>
      </c>
      <c r="D804">
        <f>IFERROR(__xludf.DUMMYFUNCTION("""COMPUTED_VALUE"""),210.0)</f>
        <v>210</v>
      </c>
      <c r="E804">
        <f>IFERROR(__xludf.DUMMYFUNCTION("""COMPUTED_VALUE"""),14.99)</f>
        <v>14.99</v>
      </c>
      <c r="F804">
        <f>IFERROR(__xludf.DUMMYFUNCTION("""COMPUTED_VALUE"""),18.87)</f>
        <v>18.87</v>
      </c>
      <c r="G804">
        <f>IFERROR(__xludf.DUMMYFUNCTION("""COMPUTED_VALUE"""),0.0)</f>
        <v>0</v>
      </c>
    </row>
    <row r="805">
      <c r="A805">
        <f>IFERROR(__xludf.DUMMYFUNCTION("""COMPUTED_VALUE"""),170833.0)</f>
        <v>170833</v>
      </c>
      <c r="B805" t="str">
        <f>IFERROR(__xludf.DUMMYFUNCTION("""COMPUTED_VALUE"""),"Beef Chuck Eye Country-Style Ribs Boneless Separable Lean And Fat Trimmed To 0 Inch Fat Select Raw")</f>
        <v>Beef Chuck Eye Country-Style Ribs Boneless Separable Lean And Fat Trimmed To 0 Inch Fat Select Raw</v>
      </c>
      <c r="C805" t="str">
        <f>IFERROR(__xludf.DUMMYFUNCTION("""COMPUTED_VALUE"""),"Meats")</f>
        <v>Meats</v>
      </c>
      <c r="D805">
        <f>IFERROR(__xludf.DUMMYFUNCTION("""COMPUTED_VALUE"""),196.0)</f>
        <v>196</v>
      </c>
      <c r="E805">
        <f>IFERROR(__xludf.DUMMYFUNCTION("""COMPUTED_VALUE"""),13.33)</f>
        <v>13.33</v>
      </c>
      <c r="F805">
        <f>IFERROR(__xludf.DUMMYFUNCTION("""COMPUTED_VALUE"""),19.1)</f>
        <v>19.1</v>
      </c>
      <c r="G805">
        <f>IFERROR(__xludf.DUMMYFUNCTION("""COMPUTED_VALUE"""),0.0)</f>
        <v>0</v>
      </c>
    </row>
    <row r="806">
      <c r="A806">
        <f>IFERROR(__xludf.DUMMYFUNCTION("""COMPUTED_VALUE"""),170834.0)</f>
        <v>170834</v>
      </c>
      <c r="B806" t="str">
        <f>IFERROR(__xludf.DUMMYFUNCTION("""COMPUTED_VALUE"""),"Beef Chuck Eye Steak Boneless Separable Lean And Fat Trimmed To 0 Inch Fat Choice Raw")</f>
        <v>Beef Chuck Eye Steak Boneless Separable Lean And Fat Trimmed To 0 Inch Fat Choice Raw</v>
      </c>
      <c r="C806" t="str">
        <f>IFERROR(__xludf.DUMMYFUNCTION("""COMPUTED_VALUE"""),"Meats")</f>
        <v>Meats</v>
      </c>
      <c r="D806">
        <f>IFERROR(__xludf.DUMMYFUNCTION("""COMPUTED_VALUE"""),227.0)</f>
        <v>227</v>
      </c>
      <c r="E806">
        <f>IFERROR(__xludf.DUMMYFUNCTION("""COMPUTED_VALUE"""),16.85)</f>
        <v>16.85</v>
      </c>
      <c r="F806">
        <f>IFERROR(__xludf.DUMMYFUNCTION("""COMPUTED_VALUE"""),18.86)</f>
        <v>18.86</v>
      </c>
      <c r="G806">
        <f>IFERROR(__xludf.DUMMYFUNCTION("""COMPUTED_VALUE"""),0.0)</f>
        <v>0</v>
      </c>
    </row>
    <row r="807">
      <c r="A807">
        <f>IFERROR(__xludf.DUMMYFUNCTION("""COMPUTED_VALUE"""),170835.0)</f>
        <v>170835</v>
      </c>
      <c r="B807" t="str">
        <f>IFERROR(__xludf.DUMMYFUNCTION("""COMPUTED_VALUE"""),"Beef Chuck Eye Steak Boneless Separable Lean And Fat Trimmed To 0 Inch Fat Select Raw")</f>
        <v>Beef Chuck Eye Steak Boneless Separable Lean And Fat Trimmed To 0 Inch Fat Select Raw</v>
      </c>
      <c r="C807" t="str">
        <f>IFERROR(__xludf.DUMMYFUNCTION("""COMPUTED_VALUE"""),"Meats")</f>
        <v>Meats</v>
      </c>
      <c r="D807">
        <f>IFERROR(__xludf.DUMMYFUNCTION("""COMPUTED_VALUE"""),216.0)</f>
        <v>216</v>
      </c>
      <c r="E807">
        <f>IFERROR(__xludf.DUMMYFUNCTION("""COMPUTED_VALUE"""),15.6)</f>
        <v>15.6</v>
      </c>
      <c r="F807">
        <f>IFERROR(__xludf.DUMMYFUNCTION("""COMPUTED_VALUE"""),18.86)</f>
        <v>18.86</v>
      </c>
      <c r="G807">
        <f>IFERROR(__xludf.DUMMYFUNCTION("""COMPUTED_VALUE"""),0.0)</f>
        <v>0</v>
      </c>
    </row>
    <row r="808">
      <c r="A808">
        <f>IFERROR(__xludf.DUMMYFUNCTION("""COMPUTED_VALUE"""),170836.0)</f>
        <v>170836</v>
      </c>
      <c r="B808" t="str">
        <f>IFERROR(__xludf.DUMMYFUNCTION("""COMPUTED_VALUE"""),"Beef Rib Eye Roast Bone-In Lip-On Separable Lean Only Trimmed To 1/8 Inch Fat All Grades Cooked Roasted")</f>
        <v>Beef Rib Eye Roast Bone-In Lip-On Separable Lean Only Trimmed To 1/8 Inch Fat All Grades Cooked Roasted</v>
      </c>
      <c r="C808" t="str">
        <f>IFERROR(__xludf.DUMMYFUNCTION("""COMPUTED_VALUE"""),"Meats")</f>
        <v>Meats</v>
      </c>
      <c r="D808">
        <f>IFERROR(__xludf.DUMMYFUNCTION("""COMPUTED_VALUE"""),231.0)</f>
        <v>231</v>
      </c>
      <c r="E808">
        <f>IFERROR(__xludf.DUMMYFUNCTION("""COMPUTED_VALUE"""),13.64)</f>
        <v>13.64</v>
      </c>
      <c r="F808">
        <f>IFERROR(__xludf.DUMMYFUNCTION("""COMPUTED_VALUE"""),27.12)</f>
        <v>27.12</v>
      </c>
      <c r="G808">
        <f>IFERROR(__xludf.DUMMYFUNCTION("""COMPUTED_VALUE"""),0.0)</f>
        <v>0</v>
      </c>
    </row>
    <row r="809">
      <c r="A809">
        <f>IFERROR(__xludf.DUMMYFUNCTION("""COMPUTED_VALUE"""),170837.0)</f>
        <v>170837</v>
      </c>
      <c r="B809" t="str">
        <f>IFERROR(__xludf.DUMMYFUNCTION("""COMPUTED_VALUE"""),"Beef Rib Eye Roast Bone-In Lip-On Separable Lean Only Trimmed To 1/8 Inch Fat Select Cooked Roasted")</f>
        <v>Beef Rib Eye Roast Bone-In Lip-On Separable Lean Only Trimmed To 1/8 Inch Fat Select Cooked Roasted</v>
      </c>
      <c r="C809" t="str">
        <f>IFERROR(__xludf.DUMMYFUNCTION("""COMPUTED_VALUE"""),"Meats")</f>
        <v>Meats</v>
      </c>
      <c r="D809">
        <f>IFERROR(__xludf.DUMMYFUNCTION("""COMPUTED_VALUE"""),219.0)</f>
        <v>219</v>
      </c>
      <c r="E809">
        <f>IFERROR(__xludf.DUMMYFUNCTION("""COMPUTED_VALUE"""),12.29)</f>
        <v>12.29</v>
      </c>
      <c r="F809">
        <f>IFERROR(__xludf.DUMMYFUNCTION("""COMPUTED_VALUE"""),27.03)</f>
        <v>27.03</v>
      </c>
      <c r="G809">
        <f>IFERROR(__xludf.DUMMYFUNCTION("""COMPUTED_VALUE"""),0.0)</f>
        <v>0</v>
      </c>
    </row>
    <row r="810">
      <c r="A810">
        <f>IFERROR(__xludf.DUMMYFUNCTION("""COMPUTED_VALUE"""),170838.0)</f>
        <v>170838</v>
      </c>
      <c r="B810" t="str">
        <f>IFERROR(__xludf.DUMMYFUNCTION("""COMPUTED_VALUE"""),"Beef Rib Eye Steak/roast Bone-In Lip-On Separable Lean Only Trimmed To 1/8 Inch Fat Select Raw")</f>
        <v>Beef Rib Eye Steak/roast Bone-In Lip-On Separable Lean Only Trimmed To 1/8 Inch Fat Select Raw</v>
      </c>
      <c r="C810" t="str">
        <f>IFERROR(__xludf.DUMMYFUNCTION("""COMPUTED_VALUE"""),"Meats")</f>
        <v>Meats</v>
      </c>
      <c r="D810">
        <f>IFERROR(__xludf.DUMMYFUNCTION("""COMPUTED_VALUE"""),155.0)</f>
        <v>155</v>
      </c>
      <c r="E810">
        <f>IFERROR(__xludf.DUMMYFUNCTION("""COMPUTED_VALUE"""),7.64)</f>
        <v>7.64</v>
      </c>
      <c r="F810">
        <f>IFERROR(__xludf.DUMMYFUNCTION("""COMPUTED_VALUE"""),21.65)</f>
        <v>21.65</v>
      </c>
      <c r="G810">
        <f>IFERROR(__xludf.DUMMYFUNCTION("""COMPUTED_VALUE"""),0.0)</f>
        <v>0</v>
      </c>
    </row>
    <row r="811">
      <c r="A811">
        <f>IFERROR(__xludf.DUMMYFUNCTION("""COMPUTED_VALUE"""),170839.0)</f>
        <v>170839</v>
      </c>
      <c r="B811" t="str">
        <f>IFERROR(__xludf.DUMMYFUNCTION("""COMPUTED_VALUE"""),"Beef Rib Eye Steak/roast Boneless Lip-On Separable Lean Only Trimmed To 1/8 Inch Fat All Grades Raw")</f>
        <v>Beef Rib Eye Steak/roast Boneless Lip-On Separable Lean Only Trimmed To 1/8 Inch Fat All Grades Raw</v>
      </c>
      <c r="C811" t="str">
        <f>IFERROR(__xludf.DUMMYFUNCTION("""COMPUTED_VALUE"""),"Meats")</f>
        <v>Meats</v>
      </c>
      <c r="D811">
        <f>IFERROR(__xludf.DUMMYFUNCTION("""COMPUTED_VALUE"""),156.0)</f>
        <v>156</v>
      </c>
      <c r="E811">
        <f>IFERROR(__xludf.DUMMYFUNCTION("""COMPUTED_VALUE"""),7.54)</f>
        <v>7.54</v>
      </c>
      <c r="F811">
        <f>IFERROR(__xludf.DUMMYFUNCTION("""COMPUTED_VALUE"""),21.99)</f>
        <v>21.99</v>
      </c>
      <c r="G811">
        <f>IFERROR(__xludf.DUMMYFUNCTION("""COMPUTED_VALUE"""),0.0)</f>
        <v>0</v>
      </c>
    </row>
    <row r="812">
      <c r="A812">
        <f>IFERROR(__xludf.DUMMYFUNCTION("""COMPUTED_VALUE"""),170840.0)</f>
        <v>170840</v>
      </c>
      <c r="B812" t="str">
        <f>IFERROR(__xludf.DUMMYFUNCTION("""COMPUTED_VALUE"""),"Beef Rib Eye Steak/roast Boneless Lip-On Separable Lean Only Trimmed To 1/8 Inch Fat Choice Raw")</f>
        <v>Beef Rib Eye Steak/roast Boneless Lip-On Separable Lean Only Trimmed To 1/8 Inch Fat Choice Raw</v>
      </c>
      <c r="C812" t="str">
        <f>IFERROR(__xludf.DUMMYFUNCTION("""COMPUTED_VALUE"""),"Meats")</f>
        <v>Meats</v>
      </c>
      <c r="D812">
        <f>IFERROR(__xludf.DUMMYFUNCTION("""COMPUTED_VALUE"""),161.0)</f>
        <v>161</v>
      </c>
      <c r="E812">
        <f>IFERROR(__xludf.DUMMYFUNCTION("""COMPUTED_VALUE"""),8.29)</f>
        <v>8.29</v>
      </c>
      <c r="F812">
        <f>IFERROR(__xludf.DUMMYFUNCTION("""COMPUTED_VALUE"""),21.62)</f>
        <v>21.62</v>
      </c>
      <c r="G812">
        <f>IFERROR(__xludf.DUMMYFUNCTION("""COMPUTED_VALUE"""),0.0)</f>
        <v>0</v>
      </c>
    </row>
    <row r="813">
      <c r="A813">
        <f>IFERROR(__xludf.DUMMYFUNCTION("""COMPUTED_VALUE"""),170841.0)</f>
        <v>170841</v>
      </c>
      <c r="B813" t="str">
        <f>IFERROR(__xludf.DUMMYFUNCTION("""COMPUTED_VALUE"""),"Beef Rib Eye Steak/roast Boneless Lip-On Separable Lean Only Trimmed To 1/8 Inch Fat Select Raw")</f>
        <v>Beef Rib Eye Steak/roast Boneless Lip-On Separable Lean Only Trimmed To 1/8 Inch Fat Select Raw</v>
      </c>
      <c r="C813" t="str">
        <f>IFERROR(__xludf.DUMMYFUNCTION("""COMPUTED_VALUE"""),"Meats")</f>
        <v>Meats</v>
      </c>
      <c r="D813">
        <f>IFERROR(__xludf.DUMMYFUNCTION("""COMPUTED_VALUE"""),148.0)</f>
        <v>148</v>
      </c>
      <c r="E813">
        <f>IFERROR(__xludf.DUMMYFUNCTION("""COMPUTED_VALUE"""),6.41)</f>
        <v>6.41</v>
      </c>
      <c r="F813">
        <f>IFERROR(__xludf.DUMMYFUNCTION("""COMPUTED_VALUE"""),22.55)</f>
        <v>22.55</v>
      </c>
      <c r="G813">
        <f>IFERROR(__xludf.DUMMYFUNCTION("""COMPUTED_VALUE"""),0.0)</f>
        <v>0</v>
      </c>
    </row>
    <row r="814">
      <c r="A814">
        <f>IFERROR(__xludf.DUMMYFUNCTION("""COMPUTED_VALUE"""),170842.0)</f>
        <v>170842</v>
      </c>
      <c r="B814" t="str">
        <f>IFERROR(__xludf.DUMMYFUNCTION("""COMPUTED_VALUE"""),"Beef Rib Eye Roast Boneless Lip-On Separable Lean Only Trimmed To 1/8 Inch Fat Choice Cooked Roasted")</f>
        <v>Beef Rib Eye Roast Boneless Lip-On Separable Lean Only Trimmed To 1/8 Inch Fat Choice Cooked Roasted</v>
      </c>
      <c r="C814" t="str">
        <f>IFERROR(__xludf.DUMMYFUNCTION("""COMPUTED_VALUE"""),"Meats")</f>
        <v>Meats</v>
      </c>
      <c r="D814">
        <f>IFERROR(__xludf.DUMMYFUNCTION("""COMPUTED_VALUE"""),229.0)</f>
        <v>229</v>
      </c>
      <c r="E814">
        <f>IFERROR(__xludf.DUMMYFUNCTION("""COMPUTED_VALUE"""),13.01)</f>
        <v>13.01</v>
      </c>
      <c r="F814">
        <f>IFERROR(__xludf.DUMMYFUNCTION("""COMPUTED_VALUE"""),27.87)</f>
        <v>27.87</v>
      </c>
      <c r="G814">
        <f>IFERROR(__xludf.DUMMYFUNCTION("""COMPUTED_VALUE"""),0.0)</f>
        <v>0</v>
      </c>
    </row>
    <row r="815">
      <c r="A815">
        <f>IFERROR(__xludf.DUMMYFUNCTION("""COMPUTED_VALUE"""),170843.0)</f>
        <v>170843</v>
      </c>
      <c r="B815" t="str">
        <f>IFERROR(__xludf.DUMMYFUNCTION("""COMPUTED_VALUE"""),"Fontina Cheese")</f>
        <v>Fontina Cheese</v>
      </c>
      <c r="C815" t="str">
        <f>IFERROR(__xludf.DUMMYFUNCTION("""COMPUTED_VALUE"""),"Dairy and Egg Products")</f>
        <v>Dairy and Egg Products</v>
      </c>
      <c r="D815">
        <f>IFERROR(__xludf.DUMMYFUNCTION("""COMPUTED_VALUE"""),389.0)</f>
        <v>389</v>
      </c>
      <c r="E815">
        <f>IFERROR(__xludf.DUMMYFUNCTION("""COMPUTED_VALUE"""),31.14)</f>
        <v>31.14</v>
      </c>
      <c r="F815">
        <f>IFERROR(__xludf.DUMMYFUNCTION("""COMPUTED_VALUE"""),25.6)</f>
        <v>25.6</v>
      </c>
      <c r="G815">
        <f>IFERROR(__xludf.DUMMYFUNCTION("""COMPUTED_VALUE"""),1.55)</f>
        <v>1.55</v>
      </c>
    </row>
    <row r="816">
      <c r="A816">
        <f>IFERROR(__xludf.DUMMYFUNCTION("""COMPUTED_VALUE"""),170844.0)</f>
        <v>170844</v>
      </c>
      <c r="B816" t="str">
        <f>IFERROR(__xludf.DUMMYFUNCTION("""COMPUTED_VALUE"""),"Monterey Cheese")</f>
        <v>Monterey Cheese</v>
      </c>
      <c r="C816" t="str">
        <f>IFERROR(__xludf.DUMMYFUNCTION("""COMPUTED_VALUE"""),"Dairy and Egg Products")</f>
        <v>Dairy and Egg Products</v>
      </c>
      <c r="D816">
        <f>IFERROR(__xludf.DUMMYFUNCTION("""COMPUTED_VALUE"""),373.0)</f>
        <v>373</v>
      </c>
      <c r="E816">
        <f>IFERROR(__xludf.DUMMYFUNCTION("""COMPUTED_VALUE"""),30.28)</f>
        <v>30.28</v>
      </c>
      <c r="F816">
        <f>IFERROR(__xludf.DUMMYFUNCTION("""COMPUTED_VALUE"""),24.48)</f>
        <v>24.48</v>
      </c>
      <c r="G816">
        <f>IFERROR(__xludf.DUMMYFUNCTION("""COMPUTED_VALUE"""),0.68)</f>
        <v>0.68</v>
      </c>
    </row>
    <row r="817">
      <c r="A817">
        <f>IFERROR(__xludf.DUMMYFUNCTION("""COMPUTED_VALUE"""),170845.0)</f>
        <v>170845</v>
      </c>
      <c r="B817" t="str">
        <f>IFERROR(__xludf.DUMMYFUNCTION("""COMPUTED_VALUE"""),"Mozzarella")</f>
        <v>Mozzarella</v>
      </c>
      <c r="C817" t="str">
        <f>IFERROR(__xludf.DUMMYFUNCTION("""COMPUTED_VALUE"""),"Dairy and Egg Products")</f>
        <v>Dairy and Egg Products</v>
      </c>
      <c r="D817">
        <f>IFERROR(__xludf.DUMMYFUNCTION("""COMPUTED_VALUE"""),299.0)</f>
        <v>299</v>
      </c>
      <c r="E817">
        <f>IFERROR(__xludf.DUMMYFUNCTION("""COMPUTED_VALUE"""),22.14)</f>
        <v>22.14</v>
      </c>
      <c r="F817">
        <f>IFERROR(__xludf.DUMMYFUNCTION("""COMPUTED_VALUE"""),22.17)</f>
        <v>22.17</v>
      </c>
      <c r="G817">
        <f>IFERROR(__xludf.DUMMYFUNCTION("""COMPUTED_VALUE"""),2.4)</f>
        <v>2.4</v>
      </c>
    </row>
    <row r="818">
      <c r="A818">
        <f>IFERROR(__xludf.DUMMYFUNCTION("""COMPUTED_VALUE"""),170846.0)</f>
        <v>170846</v>
      </c>
      <c r="B818" t="str">
        <f>IFERROR(__xludf.DUMMYFUNCTION("""COMPUTED_VALUE"""),"Mozzarella (Hard)")</f>
        <v>Mozzarella (Hard)</v>
      </c>
      <c r="C818" t="str">
        <f>IFERROR(__xludf.DUMMYFUNCTION("""COMPUTED_VALUE"""),"Dairy and Egg Products")</f>
        <v>Dairy and Egg Products</v>
      </c>
      <c r="D818">
        <f>IFERROR(__xludf.DUMMYFUNCTION("""COMPUTED_VALUE"""),318.0)</f>
        <v>318</v>
      </c>
      <c r="E818">
        <f>IFERROR(__xludf.DUMMYFUNCTION("""COMPUTED_VALUE"""),24.64)</f>
        <v>24.64</v>
      </c>
      <c r="F818">
        <f>IFERROR(__xludf.DUMMYFUNCTION("""COMPUTED_VALUE"""),21.6)</f>
        <v>21.6</v>
      </c>
      <c r="G818">
        <f>IFERROR(__xludf.DUMMYFUNCTION("""COMPUTED_VALUE"""),2.47)</f>
        <v>2.47</v>
      </c>
    </row>
    <row r="819">
      <c r="A819">
        <f>IFERROR(__xludf.DUMMYFUNCTION("""COMPUTED_VALUE"""),170847.0)</f>
        <v>170847</v>
      </c>
      <c r="B819" t="str">
        <f>IFERROR(__xludf.DUMMYFUNCTION("""COMPUTED_VALUE"""),"Mozzarella (Lowfat)")</f>
        <v>Mozzarella (Lowfat)</v>
      </c>
      <c r="C819" t="str">
        <f>IFERROR(__xludf.DUMMYFUNCTION("""COMPUTED_VALUE"""),"Dairy and Egg Products")</f>
        <v>Dairy and Egg Products</v>
      </c>
      <c r="D819">
        <f>IFERROR(__xludf.DUMMYFUNCTION("""COMPUTED_VALUE"""),254.0)</f>
        <v>254</v>
      </c>
      <c r="E819">
        <f>IFERROR(__xludf.DUMMYFUNCTION("""COMPUTED_VALUE"""),15.92)</f>
        <v>15.92</v>
      </c>
      <c r="F819">
        <f>IFERROR(__xludf.DUMMYFUNCTION("""COMPUTED_VALUE"""),24.26)</f>
        <v>24.26</v>
      </c>
      <c r="G819">
        <f>IFERROR(__xludf.DUMMYFUNCTION("""COMPUTED_VALUE"""),2.77)</f>
        <v>2.77</v>
      </c>
    </row>
    <row r="820">
      <c r="A820">
        <f>IFERROR(__xludf.DUMMYFUNCTION("""COMPUTED_VALUE"""),170848.0)</f>
        <v>170848</v>
      </c>
      <c r="B820" t="str">
        <f>IFERROR(__xludf.DUMMYFUNCTION("""COMPUTED_VALUE"""),"Grated Parmesan (Hard)")</f>
        <v>Grated Parmesan (Hard)</v>
      </c>
      <c r="C820" t="str">
        <f>IFERROR(__xludf.DUMMYFUNCTION("""COMPUTED_VALUE"""),"Dairy and Egg Products")</f>
        <v>Dairy and Egg Products</v>
      </c>
      <c r="D820">
        <f>IFERROR(__xludf.DUMMYFUNCTION("""COMPUTED_VALUE"""),392.0)</f>
        <v>392</v>
      </c>
      <c r="E820">
        <f>IFERROR(__xludf.DUMMYFUNCTION("""COMPUTED_VALUE"""),25.0)</f>
        <v>25</v>
      </c>
      <c r="F820">
        <f>IFERROR(__xludf.DUMMYFUNCTION("""COMPUTED_VALUE"""),35.75)</f>
        <v>35.75</v>
      </c>
      <c r="G820">
        <f>IFERROR(__xludf.DUMMYFUNCTION("""COMPUTED_VALUE"""),3.22)</f>
        <v>3.22</v>
      </c>
    </row>
    <row r="821">
      <c r="A821">
        <f>IFERROR(__xludf.DUMMYFUNCTION("""COMPUTED_VALUE"""),170849.0)</f>
        <v>170849</v>
      </c>
      <c r="B821" t="str">
        <f>IFERROR(__xludf.DUMMYFUNCTION("""COMPUTED_VALUE"""),"Port De Salut Cheese")</f>
        <v>Port De Salut Cheese</v>
      </c>
      <c r="C821" t="str">
        <f>IFERROR(__xludf.DUMMYFUNCTION("""COMPUTED_VALUE"""),"Dairy and Egg Products")</f>
        <v>Dairy and Egg Products</v>
      </c>
      <c r="D821">
        <f>IFERROR(__xludf.DUMMYFUNCTION("""COMPUTED_VALUE"""),352.0)</f>
        <v>352</v>
      </c>
      <c r="E821">
        <f>IFERROR(__xludf.DUMMYFUNCTION("""COMPUTED_VALUE"""),28.2)</f>
        <v>28.2</v>
      </c>
      <c r="F821">
        <f>IFERROR(__xludf.DUMMYFUNCTION("""COMPUTED_VALUE"""),23.78)</f>
        <v>23.78</v>
      </c>
      <c r="G821">
        <f>IFERROR(__xludf.DUMMYFUNCTION("""COMPUTED_VALUE"""),0.57)</f>
        <v>0.57</v>
      </c>
    </row>
    <row r="822">
      <c r="A822">
        <f>IFERROR(__xludf.DUMMYFUNCTION("""COMPUTED_VALUE"""),170850.0)</f>
        <v>170850</v>
      </c>
      <c r="B822" t="str">
        <f>IFERROR(__xludf.DUMMYFUNCTION("""COMPUTED_VALUE"""),"Provolone Cheese")</f>
        <v>Provolone Cheese</v>
      </c>
      <c r="C822" t="str">
        <f>IFERROR(__xludf.DUMMYFUNCTION("""COMPUTED_VALUE"""),"Dairy and Egg Products")</f>
        <v>Dairy and Egg Products</v>
      </c>
      <c r="D822">
        <f>IFERROR(__xludf.DUMMYFUNCTION("""COMPUTED_VALUE"""),351.0)</f>
        <v>351</v>
      </c>
      <c r="E822">
        <f>IFERROR(__xludf.DUMMYFUNCTION("""COMPUTED_VALUE"""),26.62)</f>
        <v>26.62</v>
      </c>
      <c r="F822">
        <f>IFERROR(__xludf.DUMMYFUNCTION("""COMPUTED_VALUE"""),25.58)</f>
        <v>25.58</v>
      </c>
      <c r="G822">
        <f>IFERROR(__xludf.DUMMYFUNCTION("""COMPUTED_VALUE"""),2.14)</f>
        <v>2.14</v>
      </c>
    </row>
    <row r="823">
      <c r="A823">
        <f>IFERROR(__xludf.DUMMYFUNCTION("""COMPUTED_VALUE"""),170851.0)</f>
        <v>170851</v>
      </c>
      <c r="B823" t="str">
        <f>IFERROR(__xludf.DUMMYFUNCTION("""COMPUTED_VALUE"""),"Ricotta Cheese")</f>
        <v>Ricotta Cheese</v>
      </c>
      <c r="C823" t="str">
        <f>IFERROR(__xludf.DUMMYFUNCTION("""COMPUTED_VALUE"""),"Dairy and Egg Products")</f>
        <v>Dairy and Egg Products</v>
      </c>
      <c r="D823">
        <f>IFERROR(__xludf.DUMMYFUNCTION("""COMPUTED_VALUE"""),150.0)</f>
        <v>150</v>
      </c>
      <c r="E823">
        <f>IFERROR(__xludf.DUMMYFUNCTION("""COMPUTED_VALUE"""),10.18)</f>
        <v>10.18</v>
      </c>
      <c r="F823">
        <f>IFERROR(__xludf.DUMMYFUNCTION("""COMPUTED_VALUE"""),7.54)</f>
        <v>7.54</v>
      </c>
      <c r="G823">
        <f>IFERROR(__xludf.DUMMYFUNCTION("""COMPUTED_VALUE"""),7.27)</f>
        <v>7.27</v>
      </c>
    </row>
    <row r="824">
      <c r="A824">
        <f>IFERROR(__xludf.DUMMYFUNCTION("""COMPUTED_VALUE"""),170852.0)</f>
        <v>170852</v>
      </c>
      <c r="B824" t="str">
        <f>IFERROR(__xludf.DUMMYFUNCTION("""COMPUTED_VALUE"""),"Tilsit Cheese")</f>
        <v>Tilsit Cheese</v>
      </c>
      <c r="C824" t="str">
        <f>IFERROR(__xludf.DUMMYFUNCTION("""COMPUTED_VALUE"""),"Dairy and Egg Products")</f>
        <v>Dairy and Egg Products</v>
      </c>
      <c r="D824">
        <f>IFERROR(__xludf.DUMMYFUNCTION("""COMPUTED_VALUE"""),340.0)</f>
        <v>340</v>
      </c>
      <c r="E824">
        <f>IFERROR(__xludf.DUMMYFUNCTION("""COMPUTED_VALUE"""),25.98)</f>
        <v>25.98</v>
      </c>
      <c r="F824">
        <f>IFERROR(__xludf.DUMMYFUNCTION("""COMPUTED_VALUE"""),24.41)</f>
        <v>24.41</v>
      </c>
      <c r="G824">
        <f>IFERROR(__xludf.DUMMYFUNCTION("""COMPUTED_VALUE"""),1.88)</f>
        <v>1.88</v>
      </c>
    </row>
    <row r="825">
      <c r="A825">
        <f>IFERROR(__xludf.DUMMYFUNCTION("""COMPUTED_VALUE"""),170853.0)</f>
        <v>170853</v>
      </c>
      <c r="B825" t="str">
        <f>IFERROR(__xludf.DUMMYFUNCTION("""COMPUTED_VALUE"""),"Processed American Cheese (With Vitamin D)")</f>
        <v>Processed American Cheese (With Vitamin D)</v>
      </c>
      <c r="C825" t="str">
        <f>IFERROR(__xludf.DUMMYFUNCTION("""COMPUTED_VALUE"""),"Dairy and Egg Products")</f>
        <v>Dairy and Egg Products</v>
      </c>
      <c r="D825">
        <f>IFERROR(__xludf.DUMMYFUNCTION("""COMPUTED_VALUE"""),366.0)</f>
        <v>366</v>
      </c>
      <c r="E825">
        <f>IFERROR(__xludf.DUMMYFUNCTION("""COMPUTED_VALUE"""),30.71)</f>
        <v>30.71</v>
      </c>
      <c r="F825">
        <f>IFERROR(__xludf.DUMMYFUNCTION("""COMPUTED_VALUE"""),18.13)</f>
        <v>18.13</v>
      </c>
      <c r="G825">
        <f>IFERROR(__xludf.DUMMYFUNCTION("""COMPUTED_VALUE"""),4.78)</f>
        <v>4.78</v>
      </c>
    </row>
    <row r="826">
      <c r="A826">
        <f>IFERROR(__xludf.DUMMYFUNCTION("""COMPUTED_VALUE"""),170854.0)</f>
        <v>170854</v>
      </c>
      <c r="B826" t="str">
        <f>IFERROR(__xludf.DUMMYFUNCTION("""COMPUTED_VALUE"""),"Processed Pimento Cheese")</f>
        <v>Processed Pimento Cheese</v>
      </c>
      <c r="C826" t="str">
        <f>IFERROR(__xludf.DUMMYFUNCTION("""COMPUTED_VALUE"""),"Dairy and Egg Products")</f>
        <v>Dairy and Egg Products</v>
      </c>
      <c r="D826">
        <f>IFERROR(__xludf.DUMMYFUNCTION("""COMPUTED_VALUE"""),375.0)</f>
        <v>375</v>
      </c>
      <c r="E826">
        <f>IFERROR(__xludf.DUMMYFUNCTION("""COMPUTED_VALUE"""),31.2)</f>
        <v>31.2</v>
      </c>
      <c r="F826">
        <f>IFERROR(__xludf.DUMMYFUNCTION("""COMPUTED_VALUE"""),22.13)</f>
        <v>22.13</v>
      </c>
      <c r="G826">
        <f>IFERROR(__xludf.DUMMYFUNCTION("""COMPUTED_VALUE"""),1.73)</f>
        <v>1.73</v>
      </c>
    </row>
    <row r="827">
      <c r="A827">
        <f>IFERROR(__xludf.DUMMYFUNCTION("""COMPUTED_VALUE"""),170855.0)</f>
        <v>170855</v>
      </c>
      <c r="B827" t="str">
        <f>IFERROR(__xludf.DUMMYFUNCTION("""COMPUTED_VALUE"""),"Processed Swiss Cheese")</f>
        <v>Processed Swiss Cheese</v>
      </c>
      <c r="C827" t="str">
        <f>IFERROR(__xludf.DUMMYFUNCTION("""COMPUTED_VALUE"""),"Dairy and Egg Products")</f>
        <v>Dairy and Egg Products</v>
      </c>
      <c r="D827">
        <f>IFERROR(__xludf.DUMMYFUNCTION("""COMPUTED_VALUE"""),334.0)</f>
        <v>334</v>
      </c>
      <c r="E827">
        <f>IFERROR(__xludf.DUMMYFUNCTION("""COMPUTED_VALUE"""),25.01)</f>
        <v>25.01</v>
      </c>
      <c r="F827">
        <f>IFERROR(__xludf.DUMMYFUNCTION("""COMPUTED_VALUE"""),24.73)</f>
        <v>24.73</v>
      </c>
      <c r="G827">
        <f>IFERROR(__xludf.DUMMYFUNCTION("""COMPUTED_VALUE"""),2.1)</f>
        <v>2.1</v>
      </c>
    </row>
    <row r="828">
      <c r="A828">
        <f>IFERROR(__xludf.DUMMYFUNCTION("""COMPUTED_VALUE"""),170856.0)</f>
        <v>170856</v>
      </c>
      <c r="B828" t="str">
        <f>IFERROR(__xludf.DUMMYFUNCTION("""COMPUTED_VALUE"""),"Cold Pack American Cheese")</f>
        <v>Cold Pack American Cheese</v>
      </c>
      <c r="C828" t="str">
        <f>IFERROR(__xludf.DUMMYFUNCTION("""COMPUTED_VALUE"""),"Dairy and Egg Products")</f>
        <v>Dairy and Egg Products</v>
      </c>
      <c r="D828">
        <f>IFERROR(__xludf.DUMMYFUNCTION("""COMPUTED_VALUE"""),331.0)</f>
        <v>331</v>
      </c>
      <c r="E828">
        <f>IFERROR(__xludf.DUMMYFUNCTION("""COMPUTED_VALUE"""),24.46)</f>
        <v>24.46</v>
      </c>
      <c r="F828">
        <f>IFERROR(__xludf.DUMMYFUNCTION("""COMPUTED_VALUE"""),19.66)</f>
        <v>19.66</v>
      </c>
      <c r="G828">
        <f>IFERROR(__xludf.DUMMYFUNCTION("""COMPUTED_VALUE"""),8.32)</f>
        <v>8.32</v>
      </c>
    </row>
    <row r="829">
      <c r="A829">
        <f>IFERROR(__xludf.DUMMYFUNCTION("""COMPUTED_VALUE"""),170857.0)</f>
        <v>170857</v>
      </c>
      <c r="B829" t="str">
        <f>IFERROR(__xludf.DUMMYFUNCTION("""COMPUTED_VALUE"""),"Light Cream (Coffe Cream)")</f>
        <v>Light Cream (Coffe Cream)</v>
      </c>
      <c r="C829" t="str">
        <f>IFERROR(__xludf.DUMMYFUNCTION("""COMPUTED_VALUE"""),"Dairy and Egg Products")</f>
        <v>Dairy and Egg Products</v>
      </c>
      <c r="D829">
        <f>IFERROR(__xludf.DUMMYFUNCTION("""COMPUTED_VALUE"""),195.0)</f>
        <v>195</v>
      </c>
      <c r="E829">
        <f>IFERROR(__xludf.DUMMYFUNCTION("""COMPUTED_VALUE"""),19.1)</f>
        <v>19.1</v>
      </c>
      <c r="F829">
        <f>IFERROR(__xludf.DUMMYFUNCTION("""COMPUTED_VALUE"""),2.96)</f>
        <v>2.96</v>
      </c>
      <c r="G829">
        <f>IFERROR(__xludf.DUMMYFUNCTION("""COMPUTED_VALUE"""),3.66)</f>
        <v>3.66</v>
      </c>
    </row>
    <row r="830">
      <c r="A830">
        <f>IFERROR(__xludf.DUMMYFUNCTION("""COMPUTED_VALUE"""),170858.0)</f>
        <v>170858</v>
      </c>
      <c r="B830" t="str">
        <f>IFERROR(__xludf.DUMMYFUNCTION("""COMPUTED_VALUE"""),"Light Whipping Cream")</f>
        <v>Light Whipping Cream</v>
      </c>
      <c r="C830" t="str">
        <f>IFERROR(__xludf.DUMMYFUNCTION("""COMPUTED_VALUE"""),"Dairy and Egg Products")</f>
        <v>Dairy and Egg Products</v>
      </c>
      <c r="D830">
        <f>IFERROR(__xludf.DUMMYFUNCTION("""COMPUTED_VALUE"""),292.0)</f>
        <v>292</v>
      </c>
      <c r="E830">
        <f>IFERROR(__xludf.DUMMYFUNCTION("""COMPUTED_VALUE"""),30.91)</f>
        <v>30.91</v>
      </c>
      <c r="F830">
        <f>IFERROR(__xludf.DUMMYFUNCTION("""COMPUTED_VALUE"""),2.17)</f>
        <v>2.17</v>
      </c>
      <c r="G830">
        <f>IFERROR(__xludf.DUMMYFUNCTION("""COMPUTED_VALUE"""),2.96)</f>
        <v>2.96</v>
      </c>
    </row>
    <row r="831">
      <c r="A831">
        <f>IFERROR(__xludf.DUMMYFUNCTION("""COMPUTED_VALUE"""),170859.0)</f>
        <v>170859</v>
      </c>
      <c r="B831" t="str">
        <f>IFERROR(__xludf.DUMMYFUNCTION("""COMPUTED_VALUE"""),"Heavy Whipping Cream")</f>
        <v>Heavy Whipping Cream</v>
      </c>
      <c r="C831" t="str">
        <f>IFERROR(__xludf.DUMMYFUNCTION("""COMPUTED_VALUE"""),"Dairy and Egg Products")</f>
        <v>Dairy and Egg Products</v>
      </c>
      <c r="D831">
        <f>IFERROR(__xludf.DUMMYFUNCTION("""COMPUTED_VALUE"""),340.0)</f>
        <v>340</v>
      </c>
      <c r="E831">
        <f>IFERROR(__xludf.DUMMYFUNCTION("""COMPUTED_VALUE"""),36.08)</f>
        <v>36.08</v>
      </c>
      <c r="F831">
        <f>IFERROR(__xludf.DUMMYFUNCTION("""COMPUTED_VALUE"""),2.84)</f>
        <v>2.84</v>
      </c>
      <c r="G831">
        <f>IFERROR(__xludf.DUMMYFUNCTION("""COMPUTED_VALUE"""),2.84)</f>
        <v>2.84</v>
      </c>
    </row>
    <row r="832">
      <c r="A832">
        <f>IFERROR(__xludf.DUMMYFUNCTION("""COMPUTED_VALUE"""),170860.0)</f>
        <v>170860</v>
      </c>
      <c r="B832" t="str">
        <f>IFERROR(__xludf.DUMMYFUNCTION("""COMPUTED_VALUE"""),"Whipped Cream")</f>
        <v>Whipped Cream</v>
      </c>
      <c r="C832" t="str">
        <f>IFERROR(__xludf.DUMMYFUNCTION("""COMPUTED_VALUE"""),"Dairy and Egg Products")</f>
        <v>Dairy and Egg Products</v>
      </c>
      <c r="D832">
        <f>IFERROR(__xludf.DUMMYFUNCTION("""COMPUTED_VALUE"""),257.0)</f>
        <v>257</v>
      </c>
      <c r="E832">
        <f>IFERROR(__xludf.DUMMYFUNCTION("""COMPUTED_VALUE"""),22.22)</f>
        <v>22.22</v>
      </c>
      <c r="F832">
        <f>IFERROR(__xludf.DUMMYFUNCTION("""COMPUTED_VALUE"""),3.2)</f>
        <v>3.2</v>
      </c>
      <c r="G832">
        <f>IFERROR(__xludf.DUMMYFUNCTION("""COMPUTED_VALUE"""),12.49)</f>
        <v>12.49</v>
      </c>
    </row>
    <row r="833">
      <c r="A833">
        <f>IFERROR(__xludf.DUMMYFUNCTION("""COMPUTED_VALUE"""),170861.0)</f>
        <v>170861</v>
      </c>
      <c r="B833" t="str">
        <f>IFERROR(__xludf.DUMMYFUNCTION("""COMPUTED_VALUE"""),"Milk Filled Fluid With Blend Of Hydrogenated Vegetable Oils")</f>
        <v>Milk Filled Fluid With Blend Of Hydrogenated Vegetable Oils</v>
      </c>
      <c r="C833" t="str">
        <f>IFERROR(__xludf.DUMMYFUNCTION("""COMPUTED_VALUE"""),"Dairy and Egg Products")</f>
        <v>Dairy and Egg Products</v>
      </c>
      <c r="D833">
        <f>IFERROR(__xludf.DUMMYFUNCTION("""COMPUTED_VALUE"""),63.0)</f>
        <v>63</v>
      </c>
      <c r="E833">
        <f>IFERROR(__xludf.DUMMYFUNCTION("""COMPUTED_VALUE"""),3.46)</f>
        <v>3.46</v>
      </c>
      <c r="F833">
        <f>IFERROR(__xludf.DUMMYFUNCTION("""COMPUTED_VALUE"""),3.33)</f>
        <v>3.33</v>
      </c>
      <c r="G833">
        <f>IFERROR(__xludf.DUMMYFUNCTION("""COMPUTED_VALUE"""),4.74)</f>
        <v>4.74</v>
      </c>
    </row>
    <row r="834">
      <c r="A834">
        <f>IFERROR(__xludf.DUMMYFUNCTION("""COMPUTED_VALUE"""),170862.0)</f>
        <v>170862</v>
      </c>
      <c r="B834" t="str">
        <f>IFERROR(__xludf.DUMMYFUNCTION("""COMPUTED_VALUE"""),"Milk Filled Fluid With Lauric Acid Oil")</f>
        <v>Milk Filled Fluid With Lauric Acid Oil</v>
      </c>
      <c r="C834" t="str">
        <f>IFERROR(__xludf.DUMMYFUNCTION("""COMPUTED_VALUE"""),"Dairy and Egg Products")</f>
        <v>Dairy and Egg Products</v>
      </c>
      <c r="D834">
        <f>IFERROR(__xludf.DUMMYFUNCTION("""COMPUTED_VALUE"""),63.0)</f>
        <v>63</v>
      </c>
      <c r="E834">
        <f>IFERROR(__xludf.DUMMYFUNCTION("""COMPUTED_VALUE"""),3.4)</f>
        <v>3.4</v>
      </c>
      <c r="F834">
        <f>IFERROR(__xludf.DUMMYFUNCTION("""COMPUTED_VALUE"""),3.33)</f>
        <v>3.33</v>
      </c>
      <c r="G834">
        <f>IFERROR(__xludf.DUMMYFUNCTION("""COMPUTED_VALUE"""),4.74)</f>
        <v>4.74</v>
      </c>
    </row>
    <row r="835">
      <c r="A835">
        <f>IFERROR(__xludf.DUMMYFUNCTION("""COMPUTED_VALUE"""),170863.0)</f>
        <v>170863</v>
      </c>
      <c r="B835" t="str">
        <f>IFERROR(__xludf.DUMMYFUNCTION("""COMPUTED_VALUE"""),"Nonfat American Cheese")</f>
        <v>Nonfat American Cheese</v>
      </c>
      <c r="C835" t="str">
        <f>IFERROR(__xludf.DUMMYFUNCTION("""COMPUTED_VALUE"""),"Dairy and Egg Products")</f>
        <v>Dairy and Egg Products</v>
      </c>
      <c r="D835">
        <f>IFERROR(__xludf.DUMMYFUNCTION("""COMPUTED_VALUE"""),126.0)</f>
        <v>126</v>
      </c>
      <c r="E835">
        <f>IFERROR(__xludf.DUMMYFUNCTION("""COMPUTED_VALUE"""),0.0)</f>
        <v>0</v>
      </c>
      <c r="F835">
        <f>IFERROR(__xludf.DUMMYFUNCTION("""COMPUTED_VALUE"""),21.05)</f>
        <v>21.05</v>
      </c>
      <c r="G835">
        <f>IFERROR(__xludf.DUMMYFUNCTION("""COMPUTED_VALUE"""),10.53)</f>
        <v>10.53</v>
      </c>
    </row>
    <row r="836">
      <c r="A836">
        <f>IFERROR(__xludf.DUMMYFUNCTION("""COMPUTED_VALUE"""),170865.0)</f>
        <v>170865</v>
      </c>
      <c r="B836" t="str">
        <f>IFERROR(__xludf.DUMMYFUNCTION("""COMPUTED_VALUE"""),"Dessert Topping Powdered")</f>
        <v>Dessert Topping Powdered</v>
      </c>
      <c r="C836" t="str">
        <f>IFERROR(__xludf.DUMMYFUNCTION("""COMPUTED_VALUE"""),"Dairy and Egg Products")</f>
        <v>Dairy and Egg Products</v>
      </c>
      <c r="D836">
        <f>IFERROR(__xludf.DUMMYFUNCTION("""COMPUTED_VALUE"""),577.0)</f>
        <v>577</v>
      </c>
      <c r="E836">
        <f>IFERROR(__xludf.DUMMYFUNCTION("""COMPUTED_VALUE"""),39.92)</f>
        <v>39.92</v>
      </c>
      <c r="F836">
        <f>IFERROR(__xludf.DUMMYFUNCTION("""COMPUTED_VALUE"""),4.9)</f>
        <v>4.9</v>
      </c>
      <c r="G836">
        <f>IFERROR(__xludf.DUMMYFUNCTION("""COMPUTED_VALUE"""),52.54)</f>
        <v>52.54</v>
      </c>
    </row>
    <row r="837">
      <c r="A837">
        <f>IFERROR(__xludf.DUMMYFUNCTION("""COMPUTED_VALUE"""),170866.0)</f>
        <v>170866</v>
      </c>
      <c r="B837" t="str">
        <f>IFERROR(__xludf.DUMMYFUNCTION("""COMPUTED_VALUE"""),"Dessert Topping Powdered 1.5 Ounce Prepared With 1/2 Cup Milk")</f>
        <v>Dessert Topping Powdered 1.5 Ounce Prepared With 1/2 Cup Milk</v>
      </c>
      <c r="C837" t="str">
        <f>IFERROR(__xludf.DUMMYFUNCTION("""COMPUTED_VALUE"""),"Dairy and Egg Products")</f>
        <v>Dairy and Egg Products</v>
      </c>
      <c r="D837">
        <f>IFERROR(__xludf.DUMMYFUNCTION("""COMPUTED_VALUE"""),194.0)</f>
        <v>194</v>
      </c>
      <c r="E837">
        <f>IFERROR(__xludf.DUMMYFUNCTION("""COMPUTED_VALUE"""),12.72)</f>
        <v>12.72</v>
      </c>
      <c r="F837">
        <f>IFERROR(__xludf.DUMMYFUNCTION("""COMPUTED_VALUE"""),3.61)</f>
        <v>3.61</v>
      </c>
      <c r="G837">
        <f>IFERROR(__xludf.DUMMYFUNCTION("""COMPUTED_VALUE"""),17.13)</f>
        <v>17.13</v>
      </c>
    </row>
    <row r="838">
      <c r="A838">
        <f>IFERROR(__xludf.DUMMYFUNCTION("""COMPUTED_VALUE"""),170867.0)</f>
        <v>170867</v>
      </c>
      <c r="B838" t="str">
        <f>IFERROR(__xludf.DUMMYFUNCTION("""COMPUTED_VALUE"""),"Dessert Topping Pressurized")</f>
        <v>Dessert Topping Pressurized</v>
      </c>
      <c r="C838" t="str">
        <f>IFERROR(__xludf.DUMMYFUNCTION("""COMPUTED_VALUE"""),"Dairy and Egg Products")</f>
        <v>Dairy and Egg Products</v>
      </c>
      <c r="D838">
        <f>IFERROR(__xludf.DUMMYFUNCTION("""COMPUTED_VALUE"""),264.0)</f>
        <v>264</v>
      </c>
      <c r="E838">
        <f>IFERROR(__xludf.DUMMYFUNCTION("""COMPUTED_VALUE"""),22.3)</f>
        <v>22.3</v>
      </c>
      <c r="F838">
        <f>IFERROR(__xludf.DUMMYFUNCTION("""COMPUTED_VALUE"""),0.98)</f>
        <v>0.98</v>
      </c>
      <c r="G838">
        <f>IFERROR(__xludf.DUMMYFUNCTION("""COMPUTED_VALUE"""),16.07)</f>
        <v>16.07</v>
      </c>
    </row>
    <row r="839">
      <c r="A839">
        <f>IFERROR(__xludf.DUMMYFUNCTION("""COMPUTED_VALUE"""),170868.0)</f>
        <v>170868</v>
      </c>
      <c r="B839" t="str">
        <f>IFERROR(__xludf.DUMMYFUNCTION("""COMPUTED_VALUE"""),"Dessert Topping Semi Solid Frozen")</f>
        <v>Dessert Topping Semi Solid Frozen</v>
      </c>
      <c r="C839" t="str">
        <f>IFERROR(__xludf.DUMMYFUNCTION("""COMPUTED_VALUE"""),"Dairy and Egg Products")</f>
        <v>Dairy and Egg Products</v>
      </c>
      <c r="D839">
        <f>IFERROR(__xludf.DUMMYFUNCTION("""COMPUTED_VALUE"""),318.0)</f>
        <v>318</v>
      </c>
      <c r="E839">
        <f>IFERROR(__xludf.DUMMYFUNCTION("""COMPUTED_VALUE"""),25.31)</f>
        <v>25.31</v>
      </c>
      <c r="F839">
        <f>IFERROR(__xludf.DUMMYFUNCTION("""COMPUTED_VALUE"""),1.25)</f>
        <v>1.25</v>
      </c>
      <c r="G839">
        <f>IFERROR(__xludf.DUMMYFUNCTION("""COMPUTED_VALUE"""),23.05)</f>
        <v>23.05</v>
      </c>
    </row>
    <row r="840">
      <c r="A840">
        <f>IFERROR(__xludf.DUMMYFUNCTION("""COMPUTED_VALUE"""),170869.0)</f>
        <v>170869</v>
      </c>
      <c r="B840" t="str">
        <f>IFERROR(__xludf.DUMMYFUNCTION("""COMPUTED_VALUE"""),"Imitation Sour Cream")</f>
        <v>Imitation Sour Cream</v>
      </c>
      <c r="C840" t="str">
        <f>IFERROR(__xludf.DUMMYFUNCTION("""COMPUTED_VALUE"""),"Dairy and Egg Products")</f>
        <v>Dairy and Egg Products</v>
      </c>
      <c r="D840">
        <f>IFERROR(__xludf.DUMMYFUNCTION("""COMPUTED_VALUE"""),208.0)</f>
        <v>208</v>
      </c>
      <c r="E840">
        <f>IFERROR(__xludf.DUMMYFUNCTION("""COMPUTED_VALUE"""),19.52)</f>
        <v>19.52</v>
      </c>
      <c r="F840">
        <f>IFERROR(__xludf.DUMMYFUNCTION("""COMPUTED_VALUE"""),2.4)</f>
        <v>2.4</v>
      </c>
      <c r="G840">
        <f>IFERROR(__xludf.DUMMYFUNCTION("""COMPUTED_VALUE"""),6.63)</f>
        <v>6.63</v>
      </c>
    </row>
    <row r="841">
      <c r="A841">
        <f>IFERROR(__xludf.DUMMYFUNCTION("""COMPUTED_VALUE"""),170870.0)</f>
        <v>170870</v>
      </c>
      <c r="B841" t="str">
        <f>IFERROR(__xludf.DUMMYFUNCTION("""COMPUTED_VALUE"""),"Milk Reduced Fat Fluid 2% Milkfat With Added Nonfat Milk Solids And Vitamin A And Vitamin D")</f>
        <v>Milk Reduced Fat Fluid 2% Milkfat With Added Nonfat Milk Solids And Vitamin A And Vitamin D</v>
      </c>
      <c r="C841" t="str">
        <f>IFERROR(__xludf.DUMMYFUNCTION("""COMPUTED_VALUE"""),"Dairy and Egg Products")</f>
        <v>Dairy and Egg Products</v>
      </c>
      <c r="D841">
        <f>IFERROR(__xludf.DUMMYFUNCTION("""COMPUTED_VALUE"""),51.0)</f>
        <v>51</v>
      </c>
      <c r="E841">
        <f>IFERROR(__xludf.DUMMYFUNCTION("""COMPUTED_VALUE"""),1.92)</f>
        <v>1.92</v>
      </c>
      <c r="F841">
        <f>IFERROR(__xludf.DUMMYFUNCTION("""COMPUTED_VALUE"""),3.48)</f>
        <v>3.48</v>
      </c>
      <c r="G841">
        <f>IFERROR(__xludf.DUMMYFUNCTION("""COMPUTED_VALUE"""),4.97)</f>
        <v>4.97</v>
      </c>
    </row>
    <row r="842">
      <c r="A842">
        <f>IFERROR(__xludf.DUMMYFUNCTION("""COMPUTED_VALUE"""),170871.0)</f>
        <v>170871</v>
      </c>
      <c r="B842" t="str">
        <f>IFERROR(__xludf.DUMMYFUNCTION("""COMPUTED_VALUE"""),"Milk Reduced Fat Fluid 2% Milkfat Protein Fortified With Added Vitamin A And Vitamin D")</f>
        <v>Milk Reduced Fat Fluid 2% Milkfat Protein Fortified With Added Vitamin A And Vitamin D</v>
      </c>
      <c r="C842" t="str">
        <f>IFERROR(__xludf.DUMMYFUNCTION("""COMPUTED_VALUE"""),"Dairy and Egg Products")</f>
        <v>Dairy and Egg Products</v>
      </c>
      <c r="D842">
        <f>IFERROR(__xludf.DUMMYFUNCTION("""COMPUTED_VALUE"""),56.0)</f>
        <v>56</v>
      </c>
      <c r="E842">
        <f>IFERROR(__xludf.DUMMYFUNCTION("""COMPUTED_VALUE"""),1.98)</f>
        <v>1.98</v>
      </c>
      <c r="F842">
        <f>IFERROR(__xludf.DUMMYFUNCTION("""COMPUTED_VALUE"""),3.95)</f>
        <v>3.95</v>
      </c>
      <c r="G842">
        <f>IFERROR(__xludf.DUMMYFUNCTION("""COMPUTED_VALUE"""),5.49)</f>
        <v>5.49</v>
      </c>
    </row>
    <row r="843">
      <c r="A843">
        <f>IFERROR(__xludf.DUMMYFUNCTION("""COMPUTED_VALUE"""),170872.0)</f>
        <v>170872</v>
      </c>
      <c r="B843" t="str">
        <f>IFERROR(__xludf.DUMMYFUNCTION("""COMPUTED_VALUE"""),"Low-Fat Milk 1%")</f>
        <v>Low-Fat Milk 1%</v>
      </c>
      <c r="C843" t="str">
        <f>IFERROR(__xludf.DUMMYFUNCTION("""COMPUTED_VALUE"""),"Dairy and Egg Products")</f>
        <v>Dairy and Egg Products</v>
      </c>
      <c r="D843">
        <f>IFERROR(__xludf.DUMMYFUNCTION("""COMPUTED_VALUE"""),42.0)</f>
        <v>42</v>
      </c>
      <c r="E843">
        <f>IFERROR(__xludf.DUMMYFUNCTION("""COMPUTED_VALUE"""),0.97)</f>
        <v>0.97</v>
      </c>
      <c r="F843">
        <f>IFERROR(__xludf.DUMMYFUNCTION("""COMPUTED_VALUE"""),3.37)</f>
        <v>3.37</v>
      </c>
      <c r="G843">
        <f>IFERROR(__xludf.DUMMYFUNCTION("""COMPUTED_VALUE"""),4.99)</f>
        <v>4.99</v>
      </c>
    </row>
    <row r="844">
      <c r="A844">
        <f>IFERROR(__xludf.DUMMYFUNCTION("""COMPUTED_VALUE"""),170873.0)</f>
        <v>170873</v>
      </c>
      <c r="B844" t="str">
        <f>IFERROR(__xludf.DUMMYFUNCTION("""COMPUTED_VALUE"""),"Milk Lowfat Fluid 1% Milkfat With Added Nonfat Milk Solids Vitamin A And Vitamin D")</f>
        <v>Milk Lowfat Fluid 1% Milkfat With Added Nonfat Milk Solids Vitamin A And Vitamin D</v>
      </c>
      <c r="C844" t="str">
        <f>IFERROR(__xludf.DUMMYFUNCTION("""COMPUTED_VALUE"""),"Dairy and Egg Products")</f>
        <v>Dairy and Egg Products</v>
      </c>
      <c r="D844">
        <f>IFERROR(__xludf.DUMMYFUNCTION("""COMPUTED_VALUE"""),43.0)</f>
        <v>43</v>
      </c>
      <c r="E844">
        <f>IFERROR(__xludf.DUMMYFUNCTION("""COMPUTED_VALUE"""),0.97)</f>
        <v>0.97</v>
      </c>
      <c r="F844">
        <f>IFERROR(__xludf.DUMMYFUNCTION("""COMPUTED_VALUE"""),3.48)</f>
        <v>3.48</v>
      </c>
      <c r="G844">
        <f>IFERROR(__xludf.DUMMYFUNCTION("""COMPUTED_VALUE"""),4.97)</f>
        <v>4.97</v>
      </c>
    </row>
    <row r="845">
      <c r="A845">
        <f>IFERROR(__xludf.DUMMYFUNCTION("""COMPUTED_VALUE"""),170874.0)</f>
        <v>170874</v>
      </c>
      <c r="B845" t="str">
        <f>IFERROR(__xludf.DUMMYFUNCTION("""COMPUTED_VALUE"""),"Lowfat Buttermilk")</f>
        <v>Lowfat Buttermilk</v>
      </c>
      <c r="C845" t="str">
        <f>IFERROR(__xludf.DUMMYFUNCTION("""COMPUTED_VALUE"""),"Dairy and Egg Products")</f>
        <v>Dairy and Egg Products</v>
      </c>
      <c r="D845">
        <f>IFERROR(__xludf.DUMMYFUNCTION("""COMPUTED_VALUE"""),40.0)</f>
        <v>40</v>
      </c>
      <c r="E845">
        <f>IFERROR(__xludf.DUMMYFUNCTION("""COMPUTED_VALUE"""),1.07)</f>
        <v>1.07</v>
      </c>
      <c r="F845">
        <f>IFERROR(__xludf.DUMMYFUNCTION("""COMPUTED_VALUE"""),3.31)</f>
        <v>3.31</v>
      </c>
      <c r="G845">
        <f>IFERROR(__xludf.DUMMYFUNCTION("""COMPUTED_VALUE"""),4.79)</f>
        <v>4.79</v>
      </c>
    </row>
    <row r="846">
      <c r="A846">
        <f>IFERROR(__xludf.DUMMYFUNCTION("""COMPUTED_VALUE"""),170875.0)</f>
        <v>170875</v>
      </c>
      <c r="B846" t="str">
        <f>IFERROR(__xludf.DUMMYFUNCTION("""COMPUTED_VALUE"""),"Milk Low Sodium Fluid")</f>
        <v>Milk Low Sodium Fluid</v>
      </c>
      <c r="C846" t="str">
        <f>IFERROR(__xludf.DUMMYFUNCTION("""COMPUTED_VALUE"""),"Dairy and Egg Products")</f>
        <v>Dairy and Egg Products</v>
      </c>
      <c r="D846">
        <f>IFERROR(__xludf.DUMMYFUNCTION("""COMPUTED_VALUE"""),61.0)</f>
        <v>61</v>
      </c>
      <c r="E846">
        <f>IFERROR(__xludf.DUMMYFUNCTION("""COMPUTED_VALUE"""),3.46)</f>
        <v>3.46</v>
      </c>
      <c r="F846">
        <f>IFERROR(__xludf.DUMMYFUNCTION("""COMPUTED_VALUE"""),3.1)</f>
        <v>3.1</v>
      </c>
      <c r="G846">
        <f>IFERROR(__xludf.DUMMYFUNCTION("""COMPUTED_VALUE"""),4.46)</f>
        <v>4.46</v>
      </c>
    </row>
    <row r="847">
      <c r="A847">
        <f>IFERROR(__xludf.DUMMYFUNCTION("""COMPUTED_VALUE"""),170876.0)</f>
        <v>170876</v>
      </c>
      <c r="B847" t="str">
        <f>IFERROR(__xludf.DUMMYFUNCTION("""COMPUTED_VALUE"""),"Dehydrated Milk")</f>
        <v>Dehydrated Milk</v>
      </c>
      <c r="C847" t="str">
        <f>IFERROR(__xludf.DUMMYFUNCTION("""COMPUTED_VALUE"""),"Dairy and Egg Products")</f>
        <v>Dairy and Egg Products</v>
      </c>
      <c r="D847">
        <f>IFERROR(__xludf.DUMMYFUNCTION("""COMPUTED_VALUE"""),496.0)</f>
        <v>496</v>
      </c>
      <c r="E847">
        <f>IFERROR(__xludf.DUMMYFUNCTION("""COMPUTED_VALUE"""),26.71)</f>
        <v>26.71</v>
      </c>
      <c r="F847">
        <f>IFERROR(__xludf.DUMMYFUNCTION("""COMPUTED_VALUE"""),26.32)</f>
        <v>26.32</v>
      </c>
      <c r="G847">
        <f>IFERROR(__xludf.DUMMYFUNCTION("""COMPUTED_VALUE"""),38.42)</f>
        <v>38.42</v>
      </c>
    </row>
    <row r="848">
      <c r="A848">
        <f>IFERROR(__xludf.DUMMYFUNCTION("""COMPUTED_VALUE"""),170877.0)</f>
        <v>170877</v>
      </c>
      <c r="B848" t="str">
        <f>IFERROR(__xludf.DUMMYFUNCTION("""COMPUTED_VALUE"""),"Milk Dry Nonfat Regular Without Added Vitamin A And Vitamin D")</f>
        <v>Milk Dry Nonfat Regular Without Added Vitamin A And Vitamin D</v>
      </c>
      <c r="C848" t="str">
        <f>IFERROR(__xludf.DUMMYFUNCTION("""COMPUTED_VALUE"""),"Dairy and Egg Products")</f>
        <v>Dairy and Egg Products</v>
      </c>
      <c r="D848">
        <f>IFERROR(__xludf.DUMMYFUNCTION("""COMPUTED_VALUE"""),362.0)</f>
        <v>362</v>
      </c>
      <c r="E848">
        <f>IFERROR(__xludf.DUMMYFUNCTION("""COMPUTED_VALUE"""),0.77)</f>
        <v>0.77</v>
      </c>
      <c r="F848">
        <f>IFERROR(__xludf.DUMMYFUNCTION("""COMPUTED_VALUE"""),36.16)</f>
        <v>36.16</v>
      </c>
      <c r="G848">
        <f>IFERROR(__xludf.DUMMYFUNCTION("""COMPUTED_VALUE"""),51.98)</f>
        <v>51.98</v>
      </c>
    </row>
    <row r="849">
      <c r="A849">
        <f>IFERROR(__xludf.DUMMYFUNCTION("""COMPUTED_VALUE"""),170878.0)</f>
        <v>170878</v>
      </c>
      <c r="B849" t="str">
        <f>IFERROR(__xludf.DUMMYFUNCTION("""COMPUTED_VALUE"""),"Evaporated Milk")</f>
        <v>Evaporated Milk</v>
      </c>
      <c r="C849" t="str">
        <f>IFERROR(__xludf.DUMMYFUNCTION("""COMPUTED_VALUE"""),"Dairy and Egg Products")</f>
        <v>Dairy and Egg Products</v>
      </c>
      <c r="D849">
        <f>IFERROR(__xludf.DUMMYFUNCTION("""COMPUTED_VALUE"""),78.0)</f>
        <v>78</v>
      </c>
      <c r="E849">
        <f>IFERROR(__xludf.DUMMYFUNCTION("""COMPUTED_VALUE"""),0.2)</f>
        <v>0.2</v>
      </c>
      <c r="F849">
        <f>IFERROR(__xludf.DUMMYFUNCTION("""COMPUTED_VALUE"""),7.55)</f>
        <v>7.55</v>
      </c>
      <c r="G849">
        <f>IFERROR(__xludf.DUMMYFUNCTION("""COMPUTED_VALUE"""),11.35)</f>
        <v>11.35</v>
      </c>
    </row>
    <row r="850">
      <c r="A850">
        <f>IFERROR(__xludf.DUMMYFUNCTION("""COMPUTED_VALUE"""),170879.0)</f>
        <v>170879</v>
      </c>
      <c r="B850" t="str">
        <f>IFERROR(__xludf.DUMMYFUNCTION("""COMPUTED_VALUE"""),"Milk Chocolate Fluid Commercial Whole With Added Vitamin A And Vitamin D")</f>
        <v>Milk Chocolate Fluid Commercial Whole With Added Vitamin A And Vitamin D</v>
      </c>
      <c r="C850" t="str">
        <f>IFERROR(__xludf.DUMMYFUNCTION("""COMPUTED_VALUE"""),"Dairy and Egg Products")</f>
        <v>Dairy and Egg Products</v>
      </c>
      <c r="D850">
        <f>IFERROR(__xludf.DUMMYFUNCTION("""COMPUTED_VALUE"""),83.0)</f>
        <v>83</v>
      </c>
      <c r="E850">
        <f>IFERROR(__xludf.DUMMYFUNCTION("""COMPUTED_VALUE"""),3.39)</f>
        <v>3.39</v>
      </c>
      <c r="F850">
        <f>IFERROR(__xludf.DUMMYFUNCTION("""COMPUTED_VALUE"""),3.17)</f>
        <v>3.17</v>
      </c>
      <c r="G850">
        <f>IFERROR(__xludf.DUMMYFUNCTION("""COMPUTED_VALUE"""),10.34)</f>
        <v>10.34</v>
      </c>
    </row>
    <row r="851">
      <c r="A851">
        <f>IFERROR(__xludf.DUMMYFUNCTION("""COMPUTED_VALUE"""),170880.0)</f>
        <v>170880</v>
      </c>
      <c r="B851" t="str">
        <f>IFERROR(__xludf.DUMMYFUNCTION("""COMPUTED_VALUE"""),"Lowfat Chocolate Milk")</f>
        <v>Lowfat Chocolate Milk</v>
      </c>
      <c r="C851" t="str">
        <f>IFERROR(__xludf.DUMMYFUNCTION("""COMPUTED_VALUE"""),"Dairy and Egg Products")</f>
        <v>Dairy and Egg Products</v>
      </c>
      <c r="D851">
        <f>IFERROR(__xludf.DUMMYFUNCTION("""COMPUTED_VALUE"""),76.0)</f>
        <v>76</v>
      </c>
      <c r="E851">
        <f>IFERROR(__xludf.DUMMYFUNCTION("""COMPUTED_VALUE"""),1.9)</f>
        <v>1.9</v>
      </c>
      <c r="F851">
        <f>IFERROR(__xludf.DUMMYFUNCTION("""COMPUTED_VALUE"""),2.99)</f>
        <v>2.99</v>
      </c>
      <c r="G851">
        <f>IFERROR(__xludf.DUMMYFUNCTION("""COMPUTED_VALUE"""),12.13)</f>
        <v>12.13</v>
      </c>
    </row>
    <row r="852">
      <c r="A852">
        <f>IFERROR(__xludf.DUMMYFUNCTION("""COMPUTED_VALUE"""),170881.0)</f>
        <v>170881</v>
      </c>
      <c r="B852" t="str">
        <f>IFERROR(__xludf.DUMMYFUNCTION("""COMPUTED_VALUE"""),"Milk Chocolate Lowfat With Added Vitamin A And Vitamin D")</f>
        <v>Milk Chocolate Lowfat With Added Vitamin A And Vitamin D</v>
      </c>
      <c r="C852" t="str">
        <f>IFERROR(__xludf.DUMMYFUNCTION("""COMPUTED_VALUE"""),"Dairy and Egg Products")</f>
        <v>Dairy and Egg Products</v>
      </c>
      <c r="D852">
        <f>IFERROR(__xludf.DUMMYFUNCTION("""COMPUTED_VALUE"""),64.0)</f>
        <v>64</v>
      </c>
      <c r="E852">
        <f>IFERROR(__xludf.DUMMYFUNCTION("""COMPUTED_VALUE"""),1.11)</f>
        <v>1.11</v>
      </c>
      <c r="F852">
        <f>IFERROR(__xludf.DUMMYFUNCTION("""COMPUTED_VALUE"""),3.46)</f>
        <v>3.46</v>
      </c>
      <c r="G852">
        <f>IFERROR(__xludf.DUMMYFUNCTION("""COMPUTED_VALUE"""),10.15)</f>
        <v>10.15</v>
      </c>
    </row>
    <row r="853">
      <c r="A853">
        <f>IFERROR(__xludf.DUMMYFUNCTION("""COMPUTED_VALUE"""),170882.0)</f>
        <v>170882</v>
      </c>
      <c r="B853" t="str">
        <f>IFERROR(__xludf.DUMMYFUNCTION("""COMPUTED_VALUE"""),"Milk Sheep Fluid")</f>
        <v>Milk Sheep Fluid</v>
      </c>
      <c r="C853" t="str">
        <f>IFERROR(__xludf.DUMMYFUNCTION("""COMPUTED_VALUE"""),"Dairy and Egg Products")</f>
        <v>Dairy and Egg Products</v>
      </c>
      <c r="D853">
        <f>IFERROR(__xludf.DUMMYFUNCTION("""COMPUTED_VALUE"""),108.0)</f>
        <v>108</v>
      </c>
      <c r="E853">
        <f>IFERROR(__xludf.DUMMYFUNCTION("""COMPUTED_VALUE"""),7.0)</f>
        <v>7</v>
      </c>
      <c r="F853">
        <f>IFERROR(__xludf.DUMMYFUNCTION("""COMPUTED_VALUE"""),5.98)</f>
        <v>5.98</v>
      </c>
      <c r="G853">
        <f>IFERROR(__xludf.DUMMYFUNCTION("""COMPUTED_VALUE"""),5.36)</f>
        <v>5.36</v>
      </c>
    </row>
    <row r="854">
      <c r="A854">
        <f>IFERROR(__xludf.DUMMYFUNCTION("""COMPUTED_VALUE"""),170883.0)</f>
        <v>170883</v>
      </c>
      <c r="B854" t="str">
        <f>IFERROR(__xludf.DUMMYFUNCTION("""COMPUTED_VALUE"""),"Milk Shakes Thick Chocolate")</f>
        <v>Milk Shakes Thick Chocolate</v>
      </c>
      <c r="C854" t="str">
        <f>IFERROR(__xludf.DUMMYFUNCTION("""COMPUTED_VALUE"""),"Dairy and Egg Products")</f>
        <v>Dairy and Egg Products</v>
      </c>
      <c r="D854">
        <f>IFERROR(__xludf.DUMMYFUNCTION("""COMPUTED_VALUE"""),119.0)</f>
        <v>119</v>
      </c>
      <c r="E854">
        <f>IFERROR(__xludf.DUMMYFUNCTION("""COMPUTED_VALUE"""),2.7)</f>
        <v>2.7</v>
      </c>
      <c r="F854">
        <f>IFERROR(__xludf.DUMMYFUNCTION("""COMPUTED_VALUE"""),3.05)</f>
        <v>3.05</v>
      </c>
      <c r="G854">
        <f>IFERROR(__xludf.DUMMYFUNCTION("""COMPUTED_VALUE"""),21.15)</f>
        <v>21.15</v>
      </c>
    </row>
    <row r="855">
      <c r="A855">
        <f>IFERROR(__xludf.DUMMYFUNCTION("""COMPUTED_VALUE"""),170884.0)</f>
        <v>170884</v>
      </c>
      <c r="B855" t="str">
        <f>IFERROR(__xludf.DUMMYFUNCTION("""COMPUTED_VALUE"""),"Milk Shakes Thick Vanilla")</f>
        <v>Milk Shakes Thick Vanilla</v>
      </c>
      <c r="C855" t="str">
        <f>IFERROR(__xludf.DUMMYFUNCTION("""COMPUTED_VALUE"""),"Dairy and Egg Products")</f>
        <v>Dairy and Egg Products</v>
      </c>
      <c r="D855">
        <f>IFERROR(__xludf.DUMMYFUNCTION("""COMPUTED_VALUE"""),112.0)</f>
        <v>112</v>
      </c>
      <c r="E855">
        <f>IFERROR(__xludf.DUMMYFUNCTION("""COMPUTED_VALUE"""),3.03)</f>
        <v>3.03</v>
      </c>
      <c r="F855">
        <f>IFERROR(__xludf.DUMMYFUNCTION("""COMPUTED_VALUE"""),3.86)</f>
        <v>3.86</v>
      </c>
      <c r="G855">
        <f>IFERROR(__xludf.DUMMYFUNCTION("""COMPUTED_VALUE"""),17.75)</f>
        <v>17.75</v>
      </c>
    </row>
    <row r="856">
      <c r="A856">
        <f>IFERROR(__xludf.DUMMYFUNCTION("""COMPUTED_VALUE"""),170885.0)</f>
        <v>170885</v>
      </c>
      <c r="B856" t="str">
        <f>IFERROR(__xludf.DUMMYFUNCTION("""COMPUTED_VALUE"""),"Whey Acid Fluid")</f>
        <v>Whey Acid Fluid</v>
      </c>
      <c r="C856" t="str">
        <f>IFERROR(__xludf.DUMMYFUNCTION("""COMPUTED_VALUE"""),"Dairy and Egg Products")</f>
        <v>Dairy and Egg Products</v>
      </c>
      <c r="D856">
        <f>IFERROR(__xludf.DUMMYFUNCTION("""COMPUTED_VALUE"""),24.0)</f>
        <v>24</v>
      </c>
      <c r="E856">
        <f>IFERROR(__xludf.DUMMYFUNCTION("""COMPUTED_VALUE"""),0.09)</f>
        <v>0.09</v>
      </c>
      <c r="F856">
        <f>IFERROR(__xludf.DUMMYFUNCTION("""COMPUTED_VALUE"""),0.76)</f>
        <v>0.76</v>
      </c>
      <c r="G856">
        <f>IFERROR(__xludf.DUMMYFUNCTION("""COMPUTED_VALUE"""),5.12)</f>
        <v>5.12</v>
      </c>
    </row>
    <row r="857">
      <c r="A857">
        <f>IFERROR(__xludf.DUMMYFUNCTION("""COMPUTED_VALUE"""),170886.0)</f>
        <v>170886</v>
      </c>
      <c r="B857" t="str">
        <f>IFERROR(__xludf.DUMMYFUNCTION("""COMPUTED_VALUE"""),"Low-Fat Yogurt")</f>
        <v>Low-Fat Yogurt</v>
      </c>
      <c r="C857" t="str">
        <f>IFERROR(__xludf.DUMMYFUNCTION("""COMPUTED_VALUE"""),"Dairy and Egg Products")</f>
        <v>Dairy and Egg Products</v>
      </c>
      <c r="D857">
        <f>IFERROR(__xludf.DUMMYFUNCTION("""COMPUTED_VALUE"""),63.0)</f>
        <v>63</v>
      </c>
      <c r="E857">
        <f>IFERROR(__xludf.DUMMYFUNCTION("""COMPUTED_VALUE"""),1.55)</f>
        <v>1.55</v>
      </c>
      <c r="F857">
        <f>IFERROR(__xludf.DUMMYFUNCTION("""COMPUTED_VALUE"""),5.25)</f>
        <v>5.25</v>
      </c>
      <c r="G857">
        <f>IFERROR(__xludf.DUMMYFUNCTION("""COMPUTED_VALUE"""),7.04)</f>
        <v>7.04</v>
      </c>
    </row>
    <row r="858">
      <c r="A858">
        <f>IFERROR(__xludf.DUMMYFUNCTION("""COMPUTED_VALUE"""),170887.0)</f>
        <v>170887</v>
      </c>
      <c r="B858" t="str">
        <f>IFERROR(__xludf.DUMMYFUNCTION("""COMPUTED_VALUE"""),"Non-Fat Yogurt")</f>
        <v>Non-Fat Yogurt</v>
      </c>
      <c r="C858" t="str">
        <f>IFERROR(__xludf.DUMMYFUNCTION("""COMPUTED_VALUE"""),"Dairy and Egg Products")</f>
        <v>Dairy and Egg Products</v>
      </c>
      <c r="D858">
        <f>IFERROR(__xludf.DUMMYFUNCTION("""COMPUTED_VALUE"""),56.0)</f>
        <v>56</v>
      </c>
      <c r="E858">
        <f>IFERROR(__xludf.DUMMYFUNCTION("""COMPUTED_VALUE"""),0.18)</f>
        <v>0.18</v>
      </c>
      <c r="F858">
        <f>IFERROR(__xludf.DUMMYFUNCTION("""COMPUTED_VALUE"""),5.73)</f>
        <v>5.73</v>
      </c>
      <c r="G858">
        <f>IFERROR(__xludf.DUMMYFUNCTION("""COMPUTED_VALUE"""),7.68)</f>
        <v>7.68</v>
      </c>
    </row>
    <row r="859">
      <c r="A859">
        <f>IFERROR(__xludf.DUMMYFUNCTION("""COMPUTED_VALUE"""),170888.0)</f>
        <v>170888</v>
      </c>
      <c r="B859" t="str">
        <f>IFERROR(__xludf.DUMMYFUNCTION("""COMPUTED_VALUE"""),"Yogurt Vanilla Low Fat 11 Grams Protein Per 8 Ounce")</f>
        <v>Yogurt Vanilla Low Fat 11 Grams Protein Per 8 Ounce</v>
      </c>
      <c r="C859" t="str">
        <f>IFERROR(__xludf.DUMMYFUNCTION("""COMPUTED_VALUE"""),"Dairy and Egg Products")</f>
        <v>Dairy and Egg Products</v>
      </c>
      <c r="D859">
        <f>IFERROR(__xludf.DUMMYFUNCTION("""COMPUTED_VALUE"""),85.0)</f>
        <v>85</v>
      </c>
      <c r="E859">
        <f>IFERROR(__xludf.DUMMYFUNCTION("""COMPUTED_VALUE"""),1.25)</f>
        <v>1.25</v>
      </c>
      <c r="F859">
        <f>IFERROR(__xludf.DUMMYFUNCTION("""COMPUTED_VALUE"""),4.93)</f>
        <v>4.93</v>
      </c>
      <c r="G859">
        <f>IFERROR(__xludf.DUMMYFUNCTION("""COMPUTED_VALUE"""),13.8)</f>
        <v>13.8</v>
      </c>
    </row>
    <row r="860">
      <c r="A860">
        <f>IFERROR(__xludf.DUMMYFUNCTION("""COMPUTED_VALUE"""),170889.0)</f>
        <v>170889</v>
      </c>
      <c r="B860" t="str">
        <f>IFERROR(__xludf.DUMMYFUNCTION("""COMPUTED_VALUE"""),"Yogurt Fruit Low Fat 9 Grams Protein Per 8 Ounce")</f>
        <v>Yogurt Fruit Low Fat 9 Grams Protein Per 8 Ounce</v>
      </c>
      <c r="C860" t="str">
        <f>IFERROR(__xludf.DUMMYFUNCTION("""COMPUTED_VALUE"""),"Dairy and Egg Products")</f>
        <v>Dairy and Egg Products</v>
      </c>
      <c r="D860">
        <f>IFERROR(__xludf.DUMMYFUNCTION("""COMPUTED_VALUE"""),99.0)</f>
        <v>99</v>
      </c>
      <c r="E860">
        <f>IFERROR(__xludf.DUMMYFUNCTION("""COMPUTED_VALUE"""),1.15)</f>
        <v>1.15</v>
      </c>
      <c r="F860">
        <f>IFERROR(__xludf.DUMMYFUNCTION("""COMPUTED_VALUE"""),3.98)</f>
        <v>3.98</v>
      </c>
      <c r="G860">
        <f>IFERROR(__xludf.DUMMYFUNCTION("""COMPUTED_VALUE"""),18.64)</f>
        <v>18.64</v>
      </c>
    </row>
    <row r="861">
      <c r="A861">
        <f>IFERROR(__xludf.DUMMYFUNCTION("""COMPUTED_VALUE"""),170890.0)</f>
        <v>170890</v>
      </c>
      <c r="B861" t="str">
        <f>IFERROR(__xludf.DUMMYFUNCTION("""COMPUTED_VALUE"""),"Milk Dessert Bar Frozen Made From Lowfat Milk")</f>
        <v>Milk Dessert Bar Frozen Made From Lowfat Milk</v>
      </c>
      <c r="C861" t="str">
        <f>IFERROR(__xludf.DUMMYFUNCTION("""COMPUTED_VALUE"""),"Dairy and Egg Products")</f>
        <v>Dairy and Egg Products</v>
      </c>
      <c r="D861">
        <f>IFERROR(__xludf.DUMMYFUNCTION("""COMPUTED_VALUE"""),147.0)</f>
        <v>147</v>
      </c>
      <c r="E861">
        <f>IFERROR(__xludf.DUMMYFUNCTION("""COMPUTED_VALUE"""),1.47)</f>
        <v>1.47</v>
      </c>
      <c r="F861">
        <f>IFERROR(__xludf.DUMMYFUNCTION("""COMPUTED_VALUE"""),4.41)</f>
        <v>4.41</v>
      </c>
      <c r="G861">
        <f>IFERROR(__xludf.DUMMYFUNCTION("""COMPUTED_VALUE"""),32.0)</f>
        <v>32</v>
      </c>
    </row>
    <row r="862">
      <c r="A862">
        <f>IFERROR(__xludf.DUMMYFUNCTION("""COMPUTED_VALUE"""),170892.0)</f>
        <v>170892</v>
      </c>
      <c r="B862" t="str">
        <f>IFERROR(__xludf.DUMMYFUNCTION("""COMPUTED_VALUE"""),"Nutritional Supplement For People With Diabetes Liquid")</f>
        <v>Nutritional Supplement For People With Diabetes Liquid</v>
      </c>
      <c r="C862" t="str">
        <f>IFERROR(__xludf.DUMMYFUNCTION("""COMPUTED_VALUE"""),"Dairy and Egg Products")</f>
        <v>Dairy and Egg Products</v>
      </c>
      <c r="D862">
        <f>IFERROR(__xludf.DUMMYFUNCTION("""COMPUTED_VALUE"""),88.0)</f>
        <v>88</v>
      </c>
      <c r="E862">
        <f>IFERROR(__xludf.DUMMYFUNCTION("""COMPUTED_VALUE"""),3.08)</f>
        <v>3.08</v>
      </c>
      <c r="F862">
        <f>IFERROR(__xludf.DUMMYFUNCTION("""COMPUTED_VALUE"""),4.4)</f>
        <v>4.4</v>
      </c>
      <c r="G862">
        <f>IFERROR(__xludf.DUMMYFUNCTION("""COMPUTED_VALUE"""),11.88)</f>
        <v>11.88</v>
      </c>
    </row>
    <row r="863">
      <c r="A863">
        <f>IFERROR(__xludf.DUMMYFUNCTION("""COMPUTED_VALUE"""),170893.0)</f>
        <v>170893</v>
      </c>
      <c r="B863" t="str">
        <f>IFERROR(__xludf.DUMMYFUNCTION("""COMPUTED_VALUE"""),"Egg Whole Raw Frozen Salted Pasteurized")</f>
        <v>Egg Whole Raw Frozen Salted Pasteurized</v>
      </c>
      <c r="C863" t="str">
        <f>IFERROR(__xludf.DUMMYFUNCTION("""COMPUTED_VALUE"""),"Dairy and Egg Products")</f>
        <v>Dairy and Egg Products</v>
      </c>
      <c r="D863">
        <f>IFERROR(__xludf.DUMMYFUNCTION("""COMPUTED_VALUE"""),138.0)</f>
        <v>138</v>
      </c>
      <c r="E863">
        <f>IFERROR(__xludf.DUMMYFUNCTION("""COMPUTED_VALUE"""),10.07)</f>
        <v>10.07</v>
      </c>
      <c r="F863">
        <f>IFERROR(__xludf.DUMMYFUNCTION("""COMPUTED_VALUE"""),10.97)</f>
        <v>10.97</v>
      </c>
      <c r="G863">
        <f>IFERROR(__xludf.DUMMYFUNCTION("""COMPUTED_VALUE"""),0.83)</f>
        <v>0.83</v>
      </c>
    </row>
    <row r="864">
      <c r="A864">
        <f>IFERROR(__xludf.DUMMYFUNCTION("""COMPUTED_VALUE"""),170894.0)</f>
        <v>170894</v>
      </c>
      <c r="B864" t="str">
        <f>IFERROR(__xludf.DUMMYFUNCTION("""COMPUTED_VALUE"""),"Nonfat Greek Yogurt")</f>
        <v>Nonfat Greek Yogurt</v>
      </c>
      <c r="C864" t="str">
        <f>IFERROR(__xludf.DUMMYFUNCTION("""COMPUTED_VALUE"""),"Dairy and Egg Products")</f>
        <v>Dairy and Egg Products</v>
      </c>
      <c r="D864">
        <f>IFERROR(__xludf.DUMMYFUNCTION("""COMPUTED_VALUE"""),59.0)</f>
        <v>59</v>
      </c>
      <c r="E864">
        <f>IFERROR(__xludf.DUMMYFUNCTION("""COMPUTED_VALUE"""),0.39)</f>
        <v>0.39</v>
      </c>
      <c r="F864">
        <f>IFERROR(__xludf.DUMMYFUNCTION("""COMPUTED_VALUE"""),10.19)</f>
        <v>10.19</v>
      </c>
      <c r="G864">
        <f>IFERROR(__xludf.DUMMYFUNCTION("""COMPUTED_VALUE"""),3.6)</f>
        <v>3.6</v>
      </c>
    </row>
    <row r="865">
      <c r="A865">
        <f>IFERROR(__xludf.DUMMYFUNCTION("""COMPUTED_VALUE"""),170895.0)</f>
        <v>170895</v>
      </c>
      <c r="B865" t="str">
        <f>IFERROR(__xludf.DUMMYFUNCTION("""COMPUTED_VALUE"""),"Egg White Powder")</f>
        <v>Egg White Powder</v>
      </c>
      <c r="C865" t="str">
        <f>IFERROR(__xludf.DUMMYFUNCTION("""COMPUTED_VALUE"""),"Dairy and Egg Products")</f>
        <v>Dairy and Egg Products</v>
      </c>
      <c r="D865">
        <f>IFERROR(__xludf.DUMMYFUNCTION("""COMPUTED_VALUE"""),357.0)</f>
        <v>357</v>
      </c>
      <c r="E865">
        <f>IFERROR(__xludf.DUMMYFUNCTION("""COMPUTED_VALUE"""),0.32)</f>
        <v>0.32</v>
      </c>
      <c r="F865">
        <f>IFERROR(__xludf.DUMMYFUNCTION("""COMPUTED_VALUE"""),84.08)</f>
        <v>84.08</v>
      </c>
      <c r="G865">
        <f>IFERROR(__xludf.DUMMYFUNCTION("""COMPUTED_VALUE"""),4.51)</f>
        <v>4.51</v>
      </c>
    </row>
    <row r="866">
      <c r="A866">
        <f>IFERROR(__xludf.DUMMYFUNCTION("""COMPUTED_VALUE"""),170896.0)</f>
        <v>170896</v>
      </c>
      <c r="B866" t="str">
        <f>IFERROR(__xludf.DUMMYFUNCTION("""COMPUTED_VALUE"""),"Cheese Spread American Or Cheddar Cheese Base Reduced Fat")</f>
        <v>Cheese Spread American Or Cheddar Cheese Base Reduced Fat</v>
      </c>
      <c r="C866" t="str">
        <f>IFERROR(__xludf.DUMMYFUNCTION("""COMPUTED_VALUE"""),"Dairy and Egg Products")</f>
        <v>Dairy and Egg Products</v>
      </c>
      <c r="D866">
        <f>IFERROR(__xludf.DUMMYFUNCTION("""COMPUTED_VALUE"""),176.0)</f>
        <v>176</v>
      </c>
      <c r="E866">
        <f>IFERROR(__xludf.DUMMYFUNCTION("""COMPUTED_VALUE"""),8.88)</f>
        <v>8.88</v>
      </c>
      <c r="F866">
        <f>IFERROR(__xludf.DUMMYFUNCTION("""COMPUTED_VALUE"""),13.41)</f>
        <v>13.41</v>
      </c>
      <c r="G866">
        <f>IFERROR(__xludf.DUMMYFUNCTION("""COMPUTED_VALUE"""),10.71)</f>
        <v>10.71</v>
      </c>
    </row>
    <row r="867">
      <c r="A867">
        <f>IFERROR(__xludf.DUMMYFUNCTION("""COMPUTED_VALUE"""),170897.0)</f>
        <v>170897</v>
      </c>
      <c r="B867" t="str">
        <f>IFERROR(__xludf.DUMMYFUNCTION("""COMPUTED_VALUE"""),"Fatfree Swiss Cheese")</f>
        <v>Fatfree Swiss Cheese</v>
      </c>
      <c r="C867" t="str">
        <f>IFERROR(__xludf.DUMMYFUNCTION("""COMPUTED_VALUE"""),"Dairy and Egg Products")</f>
        <v>Dairy and Egg Products</v>
      </c>
      <c r="D867">
        <f>IFERROR(__xludf.DUMMYFUNCTION("""COMPUTED_VALUE"""),127.0)</f>
        <v>127</v>
      </c>
      <c r="E867">
        <f>IFERROR(__xludf.DUMMYFUNCTION("""COMPUTED_VALUE"""),0.0)</f>
        <v>0</v>
      </c>
      <c r="F867">
        <f>IFERROR(__xludf.DUMMYFUNCTION("""COMPUTED_VALUE"""),28.4)</f>
        <v>28.4</v>
      </c>
      <c r="G867">
        <f>IFERROR(__xludf.DUMMYFUNCTION("""COMPUTED_VALUE"""),3.4)</f>
        <v>3.4</v>
      </c>
    </row>
    <row r="868">
      <c r="A868">
        <f>IFERROR(__xludf.DUMMYFUNCTION("""COMPUTED_VALUE"""),170898.0)</f>
        <v>170898</v>
      </c>
      <c r="B868" t="str">
        <f>IFERROR(__xludf.DUMMYFUNCTION("""COMPUTED_VALUE"""),"Queso Cotija")</f>
        <v>Queso Cotija</v>
      </c>
      <c r="C868" t="str">
        <f>IFERROR(__xludf.DUMMYFUNCTION("""COMPUTED_VALUE"""),"Dairy and Egg Products")</f>
        <v>Dairy and Egg Products</v>
      </c>
      <c r="D868">
        <f>IFERROR(__xludf.DUMMYFUNCTION("""COMPUTED_VALUE"""),366.0)</f>
        <v>366</v>
      </c>
      <c r="E868">
        <f>IFERROR(__xludf.DUMMYFUNCTION("""COMPUTED_VALUE"""),30.0)</f>
        <v>30</v>
      </c>
      <c r="F868">
        <f>IFERROR(__xludf.DUMMYFUNCTION("""COMPUTED_VALUE"""),20.0)</f>
        <v>20</v>
      </c>
      <c r="G868">
        <f>IFERROR(__xludf.DUMMYFUNCTION("""COMPUTED_VALUE"""),3.97)</f>
        <v>3.97</v>
      </c>
    </row>
    <row r="869">
      <c r="A869">
        <f>IFERROR(__xludf.DUMMYFUNCTION("""COMPUTED_VALUE"""),170899.0)</f>
        <v>170899</v>
      </c>
      <c r="B869" t="str">
        <f>IFERROR(__xludf.DUMMYFUNCTION("""COMPUTED_VALUE"""),"Sharp Cheddar Cheese")</f>
        <v>Sharp Cheddar Cheese</v>
      </c>
      <c r="C869" t="str">
        <f>IFERROR(__xludf.DUMMYFUNCTION("""COMPUTED_VALUE"""),"Dairy and Egg Products")</f>
        <v>Dairy and Egg Products</v>
      </c>
      <c r="D869">
        <f>IFERROR(__xludf.DUMMYFUNCTION("""COMPUTED_VALUE"""),410.0)</f>
        <v>410</v>
      </c>
      <c r="E869">
        <f>IFERROR(__xludf.DUMMYFUNCTION("""COMPUTED_VALUE"""),33.82)</f>
        <v>33.82</v>
      </c>
      <c r="F869">
        <f>IFERROR(__xludf.DUMMYFUNCTION("""COMPUTED_VALUE"""),24.25)</f>
        <v>24.25</v>
      </c>
      <c r="G869">
        <f>IFERROR(__xludf.DUMMYFUNCTION("""COMPUTED_VALUE"""),2.13)</f>
        <v>2.13</v>
      </c>
    </row>
    <row r="870">
      <c r="A870">
        <f>IFERROR(__xludf.DUMMYFUNCTION("""COMPUTED_VALUE"""),170900.0)</f>
        <v>170900</v>
      </c>
      <c r="B870" t="str">
        <f>IFERROR(__xludf.DUMMYFUNCTION("""COMPUTED_VALUE"""),"Cheese Mozzarella Low Moisture Part-Skim Shredded")</f>
        <v>Cheese Mozzarella Low Moisture Part-Skim Shredded</v>
      </c>
      <c r="C870" t="str">
        <f>IFERROR(__xludf.DUMMYFUNCTION("""COMPUTED_VALUE"""),"Dairy and Egg Products")</f>
        <v>Dairy and Egg Products</v>
      </c>
      <c r="D870">
        <f>IFERROR(__xludf.DUMMYFUNCTION("""COMPUTED_VALUE"""),304.0)</f>
        <v>304</v>
      </c>
      <c r="E870">
        <f>IFERROR(__xludf.DUMMYFUNCTION("""COMPUTED_VALUE"""),19.72)</f>
        <v>19.72</v>
      </c>
      <c r="F870">
        <f>IFERROR(__xludf.DUMMYFUNCTION("""COMPUTED_VALUE"""),23.63)</f>
        <v>23.63</v>
      </c>
      <c r="G870">
        <f>IFERROR(__xludf.DUMMYFUNCTION("""COMPUTED_VALUE"""),8.06)</f>
        <v>8.06</v>
      </c>
    </row>
    <row r="871">
      <c r="A871">
        <f>IFERROR(__xludf.DUMMYFUNCTION("""COMPUTED_VALUE"""),170901.0)</f>
        <v>170901</v>
      </c>
      <c r="B871" t="str">
        <f>IFERROR(__xludf.DUMMYFUNCTION("""COMPUTED_VALUE"""),"Nonfat Greek Strawberry Yogurt")</f>
        <v>Nonfat Greek Strawberry Yogurt</v>
      </c>
      <c r="C871" t="str">
        <f>IFERROR(__xludf.DUMMYFUNCTION("""COMPUTED_VALUE"""),"Dairy and Egg Products")</f>
        <v>Dairy and Egg Products</v>
      </c>
      <c r="D871">
        <f>IFERROR(__xludf.DUMMYFUNCTION("""COMPUTED_VALUE"""),82.0)</f>
        <v>82</v>
      </c>
      <c r="E871">
        <f>IFERROR(__xludf.DUMMYFUNCTION("""COMPUTED_VALUE"""),0.15)</f>
        <v>0.15</v>
      </c>
      <c r="F871">
        <f>IFERROR(__xludf.DUMMYFUNCTION("""COMPUTED_VALUE"""),8.05)</f>
        <v>8.05</v>
      </c>
      <c r="G871">
        <f>IFERROR(__xludf.DUMMYFUNCTION("""COMPUTED_VALUE"""),12.07)</f>
        <v>12.07</v>
      </c>
    </row>
    <row r="872">
      <c r="A872">
        <f>IFERROR(__xludf.DUMMYFUNCTION("""COMPUTED_VALUE"""),170902.0)</f>
        <v>170902</v>
      </c>
      <c r="B872" t="str">
        <f>IFERROR(__xludf.DUMMYFUNCTION("""COMPUTED_VALUE"""),"Nonfat Greek Vanilla Yogurt")</f>
        <v>Nonfat Greek Vanilla Yogurt</v>
      </c>
      <c r="C872" t="str">
        <f>IFERROR(__xludf.DUMMYFUNCTION("""COMPUTED_VALUE"""),"Dairy and Egg Products")</f>
        <v>Dairy and Egg Products</v>
      </c>
      <c r="D872">
        <f>IFERROR(__xludf.DUMMYFUNCTION("""COMPUTED_VALUE"""),78.0)</f>
        <v>78</v>
      </c>
      <c r="E872">
        <f>IFERROR(__xludf.DUMMYFUNCTION("""COMPUTED_VALUE"""),0.18)</f>
        <v>0.18</v>
      </c>
      <c r="F872">
        <f>IFERROR(__xludf.DUMMYFUNCTION("""COMPUTED_VALUE"""),8.64)</f>
        <v>8.64</v>
      </c>
      <c r="G872">
        <f>IFERROR(__xludf.DUMMYFUNCTION("""COMPUTED_VALUE"""),10.37)</f>
        <v>10.37</v>
      </c>
    </row>
    <row r="873">
      <c r="A873">
        <f>IFERROR(__xludf.DUMMYFUNCTION("""COMPUTED_VALUE"""),170903.0)</f>
        <v>170903</v>
      </c>
      <c r="B873" t="str">
        <f>IFERROR(__xludf.DUMMYFUNCTION("""COMPUTED_VALUE"""),"Lowfat Greek Yogurt")</f>
        <v>Lowfat Greek Yogurt</v>
      </c>
      <c r="C873" t="str">
        <f>IFERROR(__xludf.DUMMYFUNCTION("""COMPUTED_VALUE"""),"Dairy and Egg Products")</f>
        <v>Dairy and Egg Products</v>
      </c>
      <c r="D873">
        <f>IFERROR(__xludf.DUMMYFUNCTION("""COMPUTED_VALUE"""),73.0)</f>
        <v>73</v>
      </c>
      <c r="E873">
        <f>IFERROR(__xludf.DUMMYFUNCTION("""COMPUTED_VALUE"""),1.92)</f>
        <v>1.92</v>
      </c>
      <c r="F873">
        <f>IFERROR(__xludf.DUMMYFUNCTION("""COMPUTED_VALUE"""),9.95)</f>
        <v>9.95</v>
      </c>
      <c r="G873">
        <f>IFERROR(__xludf.DUMMYFUNCTION("""COMPUTED_VALUE"""),3.94)</f>
        <v>3.94</v>
      </c>
    </row>
    <row r="874">
      <c r="A874">
        <f>IFERROR(__xludf.DUMMYFUNCTION("""COMPUTED_VALUE"""),170904.0)</f>
        <v>170904</v>
      </c>
      <c r="B874" t="str">
        <f>IFERROR(__xludf.DUMMYFUNCTION("""COMPUTED_VALUE"""),"Kefir Lowfat Plain Lifeway")</f>
        <v>Kefir Lowfat Plain Lifeway</v>
      </c>
      <c r="C874" t="str">
        <f>IFERROR(__xludf.DUMMYFUNCTION("""COMPUTED_VALUE"""),"Dairy and Egg Products")</f>
        <v>Dairy and Egg Products</v>
      </c>
      <c r="D874">
        <f>IFERROR(__xludf.DUMMYFUNCTION("""COMPUTED_VALUE"""),43.0)</f>
        <v>43</v>
      </c>
      <c r="E874">
        <f>IFERROR(__xludf.DUMMYFUNCTION("""COMPUTED_VALUE"""),1.02)</f>
        <v>1.02</v>
      </c>
      <c r="F874">
        <f>IFERROR(__xludf.DUMMYFUNCTION("""COMPUTED_VALUE"""),3.79)</f>
        <v>3.79</v>
      </c>
      <c r="G874">
        <f>IFERROR(__xludf.DUMMYFUNCTION("""COMPUTED_VALUE"""),4.77)</f>
        <v>4.77</v>
      </c>
    </row>
    <row r="875">
      <c r="A875">
        <f>IFERROR(__xludf.DUMMYFUNCTION("""COMPUTED_VALUE"""),170905.0)</f>
        <v>170905</v>
      </c>
      <c r="B875" t="str">
        <f>IFERROR(__xludf.DUMMYFUNCTION("""COMPUTED_VALUE"""),"Yogurt Greek Fruit Whole Milk")</f>
        <v>Yogurt Greek Fruit Whole Milk</v>
      </c>
      <c r="C875" t="str">
        <f>IFERROR(__xludf.DUMMYFUNCTION("""COMPUTED_VALUE"""),"Dairy and Egg Products")</f>
        <v>Dairy and Egg Products</v>
      </c>
      <c r="D875">
        <f>IFERROR(__xludf.DUMMYFUNCTION("""COMPUTED_VALUE"""),106.0)</f>
        <v>106</v>
      </c>
      <c r="E875">
        <f>IFERROR(__xludf.DUMMYFUNCTION("""COMPUTED_VALUE"""),3.0)</f>
        <v>3</v>
      </c>
      <c r="F875">
        <f>IFERROR(__xludf.DUMMYFUNCTION("""COMPUTED_VALUE"""),7.33)</f>
        <v>7.33</v>
      </c>
      <c r="G875">
        <f>IFERROR(__xludf.DUMMYFUNCTION("""COMPUTED_VALUE"""),12.29)</f>
        <v>12.29</v>
      </c>
    </row>
    <row r="876">
      <c r="A876">
        <f>IFERROR(__xludf.DUMMYFUNCTION("""COMPUTED_VALUE"""),170906.0)</f>
        <v>170906</v>
      </c>
      <c r="B876" t="str">
        <f>IFERROR(__xludf.DUMMYFUNCTION("""COMPUTED_VALUE"""),"Nonfat Vanilla Yogurt")</f>
        <v>Nonfat Vanilla Yogurt</v>
      </c>
      <c r="C876" t="str">
        <f>IFERROR(__xludf.DUMMYFUNCTION("""COMPUTED_VALUE"""),"Dairy and Egg Products")</f>
        <v>Dairy and Egg Products</v>
      </c>
      <c r="D876">
        <f>IFERROR(__xludf.DUMMYFUNCTION("""COMPUTED_VALUE"""),78.0)</f>
        <v>78</v>
      </c>
      <c r="E876">
        <f>IFERROR(__xludf.DUMMYFUNCTION("""COMPUTED_VALUE"""),0.0)</f>
        <v>0</v>
      </c>
      <c r="F876">
        <f>IFERROR(__xludf.DUMMYFUNCTION("""COMPUTED_VALUE"""),2.94)</f>
        <v>2.94</v>
      </c>
      <c r="G876">
        <f>IFERROR(__xludf.DUMMYFUNCTION("""COMPUTED_VALUE"""),17.04)</f>
        <v>17.04</v>
      </c>
    </row>
    <row r="877">
      <c r="A877">
        <f>IFERROR(__xludf.DUMMYFUNCTION("""COMPUTED_VALUE"""),170907.0)</f>
        <v>170907</v>
      </c>
      <c r="B877" t="str">
        <f>IFERROR(__xludf.DUMMYFUNCTION("""COMPUTED_VALUE"""),"Yogurt Greek Vanilla Lowfat")</f>
        <v>Yogurt Greek Vanilla Lowfat</v>
      </c>
      <c r="C877" t="str">
        <f>IFERROR(__xludf.DUMMYFUNCTION("""COMPUTED_VALUE"""),"Dairy and Egg Products")</f>
        <v>Dairy and Egg Products</v>
      </c>
      <c r="D877">
        <f>IFERROR(__xludf.DUMMYFUNCTION("""COMPUTED_VALUE"""),95.0)</f>
        <v>95</v>
      </c>
      <c r="E877">
        <f>IFERROR(__xludf.DUMMYFUNCTION("""COMPUTED_VALUE"""),2.5)</f>
        <v>2.5</v>
      </c>
      <c r="F877">
        <f>IFERROR(__xludf.DUMMYFUNCTION("""COMPUTED_VALUE"""),8.64)</f>
        <v>8.64</v>
      </c>
      <c r="G877">
        <f>IFERROR(__xludf.DUMMYFUNCTION("""COMPUTED_VALUE"""),9.54)</f>
        <v>9.54</v>
      </c>
    </row>
    <row r="878">
      <c r="A878">
        <f>IFERROR(__xludf.DUMMYFUNCTION("""COMPUTED_VALUE"""),170908.0)</f>
        <v>170908</v>
      </c>
      <c r="B878" t="str">
        <f>IFERROR(__xludf.DUMMYFUNCTION("""COMPUTED_VALUE"""),"Yogurt Frozen Flavors Other Than Chocolate Lowfat")</f>
        <v>Yogurt Frozen Flavors Other Than Chocolate Lowfat</v>
      </c>
      <c r="C878" t="str">
        <f>IFERROR(__xludf.DUMMYFUNCTION("""COMPUTED_VALUE"""),"Dairy and Egg Products")</f>
        <v>Dairy and Egg Products</v>
      </c>
      <c r="D878">
        <f>IFERROR(__xludf.DUMMYFUNCTION("""COMPUTED_VALUE"""),139.0)</f>
        <v>139</v>
      </c>
      <c r="E878">
        <f>IFERROR(__xludf.DUMMYFUNCTION("""COMPUTED_VALUE"""),2.5)</f>
        <v>2.5</v>
      </c>
      <c r="F878">
        <f>IFERROR(__xludf.DUMMYFUNCTION("""COMPUTED_VALUE"""),8.0)</f>
        <v>8</v>
      </c>
      <c r="G878">
        <f>IFERROR(__xludf.DUMMYFUNCTION("""COMPUTED_VALUE"""),21.0)</f>
        <v>21</v>
      </c>
    </row>
    <row r="879">
      <c r="A879">
        <f>IFERROR(__xludf.DUMMYFUNCTION("""COMPUTED_VALUE"""),170910.0)</f>
        <v>170910</v>
      </c>
      <c r="B879" t="str">
        <f>IFERROR(__xludf.DUMMYFUNCTION("""COMPUTED_VALUE"""),"Milk Chocolate Lowfat Reduced Sugar")</f>
        <v>Milk Chocolate Lowfat Reduced Sugar</v>
      </c>
      <c r="C879" t="str">
        <f>IFERROR(__xludf.DUMMYFUNCTION("""COMPUTED_VALUE"""),"Dairy and Egg Products")</f>
        <v>Dairy and Egg Products</v>
      </c>
      <c r="D879">
        <f>IFERROR(__xludf.DUMMYFUNCTION("""COMPUTED_VALUE"""),57.0)</f>
        <v>57</v>
      </c>
      <c r="E879">
        <f>IFERROR(__xludf.DUMMYFUNCTION("""COMPUTED_VALUE"""),1.04)</f>
        <v>1.04</v>
      </c>
      <c r="F879">
        <f>IFERROR(__xludf.DUMMYFUNCTION("""COMPUTED_VALUE"""),3.43)</f>
        <v>3.43</v>
      </c>
      <c r="G879">
        <f>IFERROR(__xludf.DUMMYFUNCTION("""COMPUTED_VALUE"""),7.68)</f>
        <v>7.68</v>
      </c>
    </row>
    <row r="880">
      <c r="A880">
        <f>IFERROR(__xludf.DUMMYFUNCTION("""COMPUTED_VALUE"""),170911.0)</f>
        <v>170911</v>
      </c>
      <c r="B880" t="str">
        <f>IFERROR(__xludf.DUMMYFUNCTION("""COMPUTED_VALUE"""),"Ice Cream Lowfat No Sugar Added Cone Added Peanuts And Chocolate Sauce")</f>
        <v>Ice Cream Lowfat No Sugar Added Cone Added Peanuts And Chocolate Sauce</v>
      </c>
      <c r="C880" t="str">
        <f>IFERROR(__xludf.DUMMYFUNCTION("""COMPUTED_VALUE"""),"Dairy and Egg Products")</f>
        <v>Dairy and Egg Products</v>
      </c>
      <c r="D880">
        <f>IFERROR(__xludf.DUMMYFUNCTION("""COMPUTED_VALUE"""),265.0)</f>
        <v>265</v>
      </c>
      <c r="E880">
        <f>IFERROR(__xludf.DUMMYFUNCTION("""COMPUTED_VALUE"""),9.33)</f>
        <v>9.33</v>
      </c>
      <c r="F880">
        <f>IFERROR(__xludf.DUMMYFUNCTION("""COMPUTED_VALUE"""),5.33)</f>
        <v>5.33</v>
      </c>
      <c r="G880">
        <f>IFERROR(__xludf.DUMMYFUNCTION("""COMPUTED_VALUE"""),40.01)</f>
        <v>40.01</v>
      </c>
    </row>
    <row r="881">
      <c r="A881">
        <f>IFERROR(__xludf.DUMMYFUNCTION("""COMPUTED_VALUE"""),171047.0)</f>
        <v>171047</v>
      </c>
      <c r="B881" t="str">
        <f>IFERROR(__xludf.DUMMYFUNCTION("""COMPUTED_VALUE"""),"Chicken Broilers Or Fryers Meat And Skin And Giblets And Neck Raw")</f>
        <v>Chicken Broilers Or Fryers Meat And Skin And Giblets And Neck Raw</v>
      </c>
      <c r="C881" t="str">
        <f>IFERROR(__xludf.DUMMYFUNCTION("""COMPUTED_VALUE"""),"Meats")</f>
        <v>Meats</v>
      </c>
      <c r="D881">
        <f>IFERROR(__xludf.DUMMYFUNCTION("""COMPUTED_VALUE"""),213.0)</f>
        <v>213</v>
      </c>
      <c r="E881">
        <f>IFERROR(__xludf.DUMMYFUNCTION("""COMPUTED_VALUE"""),14.83)</f>
        <v>14.83</v>
      </c>
      <c r="F881">
        <f>IFERROR(__xludf.DUMMYFUNCTION("""COMPUTED_VALUE"""),18.33)</f>
        <v>18.33</v>
      </c>
      <c r="G881">
        <f>IFERROR(__xludf.DUMMYFUNCTION("""COMPUTED_VALUE"""),0.13)</f>
        <v>0.13</v>
      </c>
    </row>
    <row r="882">
      <c r="A882">
        <f>IFERROR(__xludf.DUMMYFUNCTION("""COMPUTED_VALUE"""),171048.0)</f>
        <v>171048</v>
      </c>
      <c r="B882" t="str">
        <f>IFERROR(__xludf.DUMMYFUNCTION("""COMPUTED_VALUE"""),"Chicken Broilers Or Fryers Meat And Skin And Giblets And Neck Cooked Fried Batter")</f>
        <v>Chicken Broilers Or Fryers Meat And Skin And Giblets And Neck Cooked Fried Batter</v>
      </c>
      <c r="C882" t="str">
        <f>IFERROR(__xludf.DUMMYFUNCTION("""COMPUTED_VALUE"""),"Meats")</f>
        <v>Meats</v>
      </c>
      <c r="D882">
        <f>IFERROR(__xludf.DUMMYFUNCTION("""COMPUTED_VALUE"""),291.0)</f>
        <v>291</v>
      </c>
      <c r="E882">
        <f>IFERROR(__xludf.DUMMYFUNCTION("""COMPUTED_VALUE"""),17.53)</f>
        <v>17.53</v>
      </c>
      <c r="F882">
        <f>IFERROR(__xludf.DUMMYFUNCTION("""COMPUTED_VALUE"""),22.84)</f>
        <v>22.84</v>
      </c>
      <c r="G882">
        <f>IFERROR(__xludf.DUMMYFUNCTION("""COMPUTED_VALUE"""),9.03)</f>
        <v>9.03</v>
      </c>
    </row>
    <row r="883">
      <c r="A883">
        <f>IFERROR(__xludf.DUMMYFUNCTION("""COMPUTED_VALUE"""),171049.0)</f>
        <v>171049</v>
      </c>
      <c r="B883" t="str">
        <f>IFERROR(__xludf.DUMMYFUNCTION("""COMPUTED_VALUE"""),"Chicken Broilers Or Fryers Meat And Skin And Giblets And Neck Cooked Fried Flour")</f>
        <v>Chicken Broilers Or Fryers Meat And Skin And Giblets And Neck Cooked Fried Flour</v>
      </c>
      <c r="C883" t="str">
        <f>IFERROR(__xludf.DUMMYFUNCTION("""COMPUTED_VALUE"""),"Meats")</f>
        <v>Meats</v>
      </c>
      <c r="D883">
        <f>IFERROR(__xludf.DUMMYFUNCTION("""COMPUTED_VALUE"""),272.0)</f>
        <v>272</v>
      </c>
      <c r="E883">
        <f>IFERROR(__xludf.DUMMYFUNCTION("""COMPUTED_VALUE"""),15.27)</f>
        <v>15.27</v>
      </c>
      <c r="F883">
        <f>IFERROR(__xludf.DUMMYFUNCTION("""COMPUTED_VALUE"""),28.57)</f>
        <v>28.57</v>
      </c>
      <c r="G883">
        <f>IFERROR(__xludf.DUMMYFUNCTION("""COMPUTED_VALUE"""),3.27)</f>
        <v>3.27</v>
      </c>
    </row>
    <row r="884">
      <c r="A884">
        <f>IFERROR(__xludf.DUMMYFUNCTION("""COMPUTED_VALUE"""),171050.0)</f>
        <v>171050</v>
      </c>
      <c r="B884" t="str">
        <f>IFERROR(__xludf.DUMMYFUNCTION("""COMPUTED_VALUE"""),"Chicken Broilers Or Fryers Meat And Skin And Giblets And Neck Roasted")</f>
        <v>Chicken Broilers Or Fryers Meat And Skin And Giblets And Neck Roasted</v>
      </c>
      <c r="C884" t="str">
        <f>IFERROR(__xludf.DUMMYFUNCTION("""COMPUTED_VALUE"""),"Meats")</f>
        <v>Meats</v>
      </c>
      <c r="D884">
        <f>IFERROR(__xludf.DUMMYFUNCTION("""COMPUTED_VALUE"""),234.0)</f>
        <v>234</v>
      </c>
      <c r="E884">
        <f>IFERROR(__xludf.DUMMYFUNCTION("""COMPUTED_VALUE"""),13.27)</f>
        <v>13.27</v>
      </c>
      <c r="F884">
        <f>IFERROR(__xludf.DUMMYFUNCTION("""COMPUTED_VALUE"""),26.78)</f>
        <v>26.78</v>
      </c>
      <c r="G884">
        <f>IFERROR(__xludf.DUMMYFUNCTION("""COMPUTED_VALUE"""),0.06)</f>
        <v>0.06</v>
      </c>
    </row>
    <row r="885">
      <c r="A885">
        <f>IFERROR(__xludf.DUMMYFUNCTION("""COMPUTED_VALUE"""),171051.0)</f>
        <v>171051</v>
      </c>
      <c r="B885" t="str">
        <f>IFERROR(__xludf.DUMMYFUNCTION("""COMPUTED_VALUE"""),"Chicken Broilers Or Fryers Meat And Skin Cooked Stewed")</f>
        <v>Chicken Broilers Or Fryers Meat And Skin Cooked Stewed</v>
      </c>
      <c r="C885" t="str">
        <f>IFERROR(__xludf.DUMMYFUNCTION("""COMPUTED_VALUE"""),"Meats")</f>
        <v>Meats</v>
      </c>
      <c r="D885">
        <f>IFERROR(__xludf.DUMMYFUNCTION("""COMPUTED_VALUE"""),219.0)</f>
        <v>219</v>
      </c>
      <c r="E885">
        <f>IFERROR(__xludf.DUMMYFUNCTION("""COMPUTED_VALUE"""),12.56)</f>
        <v>12.56</v>
      </c>
      <c r="F885">
        <f>IFERROR(__xludf.DUMMYFUNCTION("""COMPUTED_VALUE"""),24.68)</f>
        <v>24.68</v>
      </c>
      <c r="G885">
        <f>IFERROR(__xludf.DUMMYFUNCTION("""COMPUTED_VALUE"""),0.0)</f>
        <v>0</v>
      </c>
    </row>
    <row r="886">
      <c r="A886">
        <f>IFERROR(__xludf.DUMMYFUNCTION("""COMPUTED_VALUE"""),171052.0)</f>
        <v>171052</v>
      </c>
      <c r="B886" t="str">
        <f>IFERROR(__xludf.DUMMYFUNCTION("""COMPUTED_VALUE"""),"Chicken Broilers Or Fryers Meat Only Raw")</f>
        <v>Chicken Broilers Or Fryers Meat Only Raw</v>
      </c>
      <c r="C886" t="str">
        <f>IFERROR(__xludf.DUMMYFUNCTION("""COMPUTED_VALUE"""),"Meats")</f>
        <v>Meats</v>
      </c>
      <c r="D886">
        <f>IFERROR(__xludf.DUMMYFUNCTION("""COMPUTED_VALUE"""),119.0)</f>
        <v>119</v>
      </c>
      <c r="E886">
        <f>IFERROR(__xludf.DUMMYFUNCTION("""COMPUTED_VALUE"""),3.08)</f>
        <v>3.08</v>
      </c>
      <c r="F886">
        <f>IFERROR(__xludf.DUMMYFUNCTION("""COMPUTED_VALUE"""),21.39)</f>
        <v>21.39</v>
      </c>
      <c r="G886">
        <f>IFERROR(__xludf.DUMMYFUNCTION("""COMPUTED_VALUE"""),0.0)</f>
        <v>0</v>
      </c>
    </row>
    <row r="887">
      <c r="A887">
        <f>IFERROR(__xludf.DUMMYFUNCTION("""COMPUTED_VALUE"""),171053.0)</f>
        <v>171053</v>
      </c>
      <c r="B887" t="str">
        <f>IFERROR(__xludf.DUMMYFUNCTION("""COMPUTED_VALUE"""),"Chicken Broilers Or Fryers Meat Only Cooked Fried")</f>
        <v>Chicken Broilers Or Fryers Meat Only Cooked Fried</v>
      </c>
      <c r="C887" t="str">
        <f>IFERROR(__xludf.DUMMYFUNCTION("""COMPUTED_VALUE"""),"Meats")</f>
        <v>Meats</v>
      </c>
      <c r="D887">
        <f>IFERROR(__xludf.DUMMYFUNCTION("""COMPUTED_VALUE"""),219.0)</f>
        <v>219</v>
      </c>
      <c r="E887">
        <f>IFERROR(__xludf.DUMMYFUNCTION("""COMPUTED_VALUE"""),9.12)</f>
        <v>9.12</v>
      </c>
      <c r="F887">
        <f>IFERROR(__xludf.DUMMYFUNCTION("""COMPUTED_VALUE"""),30.57)</f>
        <v>30.57</v>
      </c>
      <c r="G887">
        <f>IFERROR(__xludf.DUMMYFUNCTION("""COMPUTED_VALUE"""),1.69)</f>
        <v>1.69</v>
      </c>
    </row>
    <row r="888">
      <c r="A888">
        <f>IFERROR(__xludf.DUMMYFUNCTION("""COMPUTED_VALUE"""),171054.0)</f>
        <v>171054</v>
      </c>
      <c r="B888" t="str">
        <f>IFERROR(__xludf.DUMMYFUNCTION("""COMPUTED_VALUE"""),"Chicken Broilers Or Fryers Meat Only Roasted")</f>
        <v>Chicken Broilers Or Fryers Meat Only Roasted</v>
      </c>
      <c r="C888" t="str">
        <f>IFERROR(__xludf.DUMMYFUNCTION("""COMPUTED_VALUE"""),"Meats")</f>
        <v>Meats</v>
      </c>
      <c r="D888">
        <f>IFERROR(__xludf.DUMMYFUNCTION("""COMPUTED_VALUE"""),190.0)</f>
        <v>190</v>
      </c>
      <c r="E888">
        <f>IFERROR(__xludf.DUMMYFUNCTION("""COMPUTED_VALUE"""),7.41)</f>
        <v>7.41</v>
      </c>
      <c r="F888">
        <f>IFERROR(__xludf.DUMMYFUNCTION("""COMPUTED_VALUE"""),28.93)</f>
        <v>28.93</v>
      </c>
      <c r="G888">
        <f>IFERROR(__xludf.DUMMYFUNCTION("""COMPUTED_VALUE"""),0.0)</f>
        <v>0</v>
      </c>
    </row>
    <row r="889">
      <c r="A889">
        <f>IFERROR(__xludf.DUMMYFUNCTION("""COMPUTED_VALUE"""),171055.0)</f>
        <v>171055</v>
      </c>
      <c r="B889" t="str">
        <f>IFERROR(__xludf.DUMMYFUNCTION("""COMPUTED_VALUE"""),"Chicken Broilers Or Fryers Skin Only Cooked Roasted")</f>
        <v>Chicken Broilers Or Fryers Skin Only Cooked Roasted</v>
      </c>
      <c r="C889" t="str">
        <f>IFERROR(__xludf.DUMMYFUNCTION("""COMPUTED_VALUE"""),"Meats")</f>
        <v>Meats</v>
      </c>
      <c r="D889">
        <f>IFERROR(__xludf.DUMMYFUNCTION("""COMPUTED_VALUE"""),454.0)</f>
        <v>454</v>
      </c>
      <c r="E889">
        <f>IFERROR(__xludf.DUMMYFUNCTION("""COMPUTED_VALUE"""),40.68)</f>
        <v>40.68</v>
      </c>
      <c r="F889">
        <f>IFERROR(__xludf.DUMMYFUNCTION("""COMPUTED_VALUE"""),20.36)</f>
        <v>20.36</v>
      </c>
      <c r="G889">
        <f>IFERROR(__xludf.DUMMYFUNCTION("""COMPUTED_VALUE"""),0.0)</f>
        <v>0</v>
      </c>
    </row>
    <row r="890">
      <c r="A890">
        <f>IFERROR(__xludf.DUMMYFUNCTION("""COMPUTED_VALUE"""),171056.0)</f>
        <v>171056</v>
      </c>
      <c r="B890" t="str">
        <f>IFERROR(__xludf.DUMMYFUNCTION("""COMPUTED_VALUE"""),"Chicken Broilers Or Fryers Skin Only Cooked Stewed")</f>
        <v>Chicken Broilers Or Fryers Skin Only Cooked Stewed</v>
      </c>
      <c r="C890" t="str">
        <f>IFERROR(__xludf.DUMMYFUNCTION("""COMPUTED_VALUE"""),"Meats")</f>
        <v>Meats</v>
      </c>
      <c r="D890">
        <f>IFERROR(__xludf.DUMMYFUNCTION("""COMPUTED_VALUE"""),363.0)</f>
        <v>363</v>
      </c>
      <c r="E890">
        <f>IFERROR(__xludf.DUMMYFUNCTION("""COMPUTED_VALUE"""),33.04)</f>
        <v>33.04</v>
      </c>
      <c r="F890">
        <f>IFERROR(__xludf.DUMMYFUNCTION("""COMPUTED_VALUE"""),15.22)</f>
        <v>15.22</v>
      </c>
      <c r="G890">
        <f>IFERROR(__xludf.DUMMYFUNCTION("""COMPUTED_VALUE"""),0.0)</f>
        <v>0</v>
      </c>
    </row>
    <row r="891">
      <c r="A891">
        <f>IFERROR(__xludf.DUMMYFUNCTION("""COMPUTED_VALUE"""),171057.0)</f>
        <v>171057</v>
      </c>
      <c r="B891" t="str">
        <f>IFERROR(__xludf.DUMMYFUNCTION("""COMPUTED_VALUE"""),"Chicken Broilers Or Fryers Giblets Raw")</f>
        <v>Chicken Broilers Or Fryers Giblets Raw</v>
      </c>
      <c r="C891" t="str">
        <f>IFERROR(__xludf.DUMMYFUNCTION("""COMPUTED_VALUE"""),"Meats")</f>
        <v>Meats</v>
      </c>
      <c r="D891">
        <f>IFERROR(__xludf.DUMMYFUNCTION("""COMPUTED_VALUE"""),124.0)</f>
        <v>124</v>
      </c>
      <c r="E891">
        <f>IFERROR(__xludf.DUMMYFUNCTION("""COMPUTED_VALUE"""),4.47)</f>
        <v>4.47</v>
      </c>
      <c r="F891">
        <f>IFERROR(__xludf.DUMMYFUNCTION("""COMPUTED_VALUE"""),17.88)</f>
        <v>17.88</v>
      </c>
      <c r="G891">
        <f>IFERROR(__xludf.DUMMYFUNCTION("""COMPUTED_VALUE"""),1.8)</f>
        <v>1.8</v>
      </c>
    </row>
    <row r="892">
      <c r="A892">
        <f>IFERROR(__xludf.DUMMYFUNCTION("""COMPUTED_VALUE"""),171058.0)</f>
        <v>171058</v>
      </c>
      <c r="B892" t="str">
        <f>IFERROR(__xludf.DUMMYFUNCTION("""COMPUTED_VALUE"""),"Chicken Broilers Or Fryers Giblets Cooked Fried")</f>
        <v>Chicken Broilers Or Fryers Giblets Cooked Fried</v>
      </c>
      <c r="C892" t="str">
        <f>IFERROR(__xludf.DUMMYFUNCTION("""COMPUTED_VALUE"""),"Meats")</f>
        <v>Meats</v>
      </c>
      <c r="D892">
        <f>IFERROR(__xludf.DUMMYFUNCTION("""COMPUTED_VALUE"""),277.0)</f>
        <v>277</v>
      </c>
      <c r="E892">
        <f>IFERROR(__xludf.DUMMYFUNCTION("""COMPUTED_VALUE"""),13.46)</f>
        <v>13.46</v>
      </c>
      <c r="F892">
        <f>IFERROR(__xludf.DUMMYFUNCTION("""COMPUTED_VALUE"""),32.54)</f>
        <v>32.54</v>
      </c>
      <c r="G892">
        <f>IFERROR(__xludf.DUMMYFUNCTION("""COMPUTED_VALUE"""),4.35)</f>
        <v>4.35</v>
      </c>
    </row>
    <row r="893">
      <c r="A893">
        <f>IFERROR(__xludf.DUMMYFUNCTION("""COMPUTED_VALUE"""),171059.0)</f>
        <v>171059</v>
      </c>
      <c r="B893" t="str">
        <f>IFERROR(__xludf.DUMMYFUNCTION("""COMPUTED_VALUE"""),"Chicken Heart All Classes Cooked Simmered")</f>
        <v>Chicken Heart All Classes Cooked Simmered</v>
      </c>
      <c r="C893" t="str">
        <f>IFERROR(__xludf.DUMMYFUNCTION("""COMPUTED_VALUE"""),"Meats")</f>
        <v>Meats</v>
      </c>
      <c r="D893">
        <f>IFERROR(__xludf.DUMMYFUNCTION("""COMPUTED_VALUE"""),185.0)</f>
        <v>185</v>
      </c>
      <c r="E893">
        <f>IFERROR(__xludf.DUMMYFUNCTION("""COMPUTED_VALUE"""),7.92)</f>
        <v>7.92</v>
      </c>
      <c r="F893">
        <f>IFERROR(__xludf.DUMMYFUNCTION("""COMPUTED_VALUE"""),26.41)</f>
        <v>26.41</v>
      </c>
      <c r="G893">
        <f>IFERROR(__xludf.DUMMYFUNCTION("""COMPUTED_VALUE"""),0.1)</f>
        <v>0.1</v>
      </c>
    </row>
    <row r="894">
      <c r="A894">
        <f>IFERROR(__xludf.DUMMYFUNCTION("""COMPUTED_VALUE"""),171060.0)</f>
        <v>171060</v>
      </c>
      <c r="B894" t="str">
        <f>IFERROR(__xludf.DUMMYFUNCTION("""COMPUTED_VALUE"""),"Chicken Liver All Classes Raw")</f>
        <v>Chicken Liver All Classes Raw</v>
      </c>
      <c r="C894" t="str">
        <f>IFERROR(__xludf.DUMMYFUNCTION("""COMPUTED_VALUE"""),"Meats")</f>
        <v>Meats</v>
      </c>
      <c r="D894">
        <f>IFERROR(__xludf.DUMMYFUNCTION("""COMPUTED_VALUE"""),119.0)</f>
        <v>119</v>
      </c>
      <c r="E894">
        <f>IFERROR(__xludf.DUMMYFUNCTION("""COMPUTED_VALUE"""),4.83)</f>
        <v>4.83</v>
      </c>
      <c r="F894">
        <f>IFERROR(__xludf.DUMMYFUNCTION("""COMPUTED_VALUE"""),16.92)</f>
        <v>16.92</v>
      </c>
      <c r="G894">
        <f>IFERROR(__xludf.DUMMYFUNCTION("""COMPUTED_VALUE"""),0.73)</f>
        <v>0.73</v>
      </c>
    </row>
    <row r="895">
      <c r="A895">
        <f>IFERROR(__xludf.DUMMYFUNCTION("""COMPUTED_VALUE"""),171061.0)</f>
        <v>171061</v>
      </c>
      <c r="B895" t="str">
        <f>IFERROR(__xludf.DUMMYFUNCTION("""COMPUTED_VALUE"""),"Chicken Liver All Classes Cooked Simmered")</f>
        <v>Chicken Liver All Classes Cooked Simmered</v>
      </c>
      <c r="C895" t="str">
        <f>IFERROR(__xludf.DUMMYFUNCTION("""COMPUTED_VALUE"""),"Meats")</f>
        <v>Meats</v>
      </c>
      <c r="D895">
        <f>IFERROR(__xludf.DUMMYFUNCTION("""COMPUTED_VALUE"""),167.0)</f>
        <v>167</v>
      </c>
      <c r="E895">
        <f>IFERROR(__xludf.DUMMYFUNCTION("""COMPUTED_VALUE"""),6.51)</f>
        <v>6.51</v>
      </c>
      <c r="F895">
        <f>IFERROR(__xludf.DUMMYFUNCTION("""COMPUTED_VALUE"""),24.46)</f>
        <v>24.46</v>
      </c>
      <c r="G895">
        <f>IFERROR(__xludf.DUMMYFUNCTION("""COMPUTED_VALUE"""),0.87)</f>
        <v>0.87</v>
      </c>
    </row>
    <row r="896">
      <c r="A896">
        <f>IFERROR(__xludf.DUMMYFUNCTION("""COMPUTED_VALUE"""),171062.0)</f>
        <v>171062</v>
      </c>
      <c r="B896" t="str">
        <f>IFERROR(__xludf.DUMMYFUNCTION("""COMPUTED_VALUE"""),"Chicken Broilers Or Fryers Light Meat Meat And Skin Raw")</f>
        <v>Chicken Broilers Or Fryers Light Meat Meat And Skin Raw</v>
      </c>
      <c r="C896" t="str">
        <f>IFERROR(__xludf.DUMMYFUNCTION("""COMPUTED_VALUE"""),"Meats")</f>
        <v>Meats</v>
      </c>
      <c r="D896">
        <f>IFERROR(__xludf.DUMMYFUNCTION("""COMPUTED_VALUE"""),186.0)</f>
        <v>186</v>
      </c>
      <c r="E896">
        <f>IFERROR(__xludf.DUMMYFUNCTION("""COMPUTED_VALUE"""),11.07)</f>
        <v>11.07</v>
      </c>
      <c r="F896">
        <f>IFERROR(__xludf.DUMMYFUNCTION("""COMPUTED_VALUE"""),20.27)</f>
        <v>20.27</v>
      </c>
      <c r="G896">
        <f>IFERROR(__xludf.DUMMYFUNCTION("""COMPUTED_VALUE"""),0.0)</f>
        <v>0</v>
      </c>
    </row>
    <row r="897">
      <c r="A897">
        <f>IFERROR(__xludf.DUMMYFUNCTION("""COMPUTED_VALUE"""),171063.0)</f>
        <v>171063</v>
      </c>
      <c r="B897" t="str">
        <f>IFERROR(__xludf.DUMMYFUNCTION("""COMPUTED_VALUE"""),"Chicken Broilers Or Fryers Dark Meat Meat And Skin Cooked Fried Batter")</f>
        <v>Chicken Broilers Or Fryers Dark Meat Meat And Skin Cooked Fried Batter</v>
      </c>
      <c r="C897" t="str">
        <f>IFERROR(__xludf.DUMMYFUNCTION("""COMPUTED_VALUE"""),"Meats")</f>
        <v>Meats</v>
      </c>
      <c r="D897">
        <f>IFERROR(__xludf.DUMMYFUNCTION("""COMPUTED_VALUE"""),298.0)</f>
        <v>298</v>
      </c>
      <c r="E897">
        <f>IFERROR(__xludf.DUMMYFUNCTION("""COMPUTED_VALUE"""),18.64)</f>
        <v>18.64</v>
      </c>
      <c r="F897">
        <f>IFERROR(__xludf.DUMMYFUNCTION("""COMPUTED_VALUE"""),21.85)</f>
        <v>21.85</v>
      </c>
      <c r="G897">
        <f>IFERROR(__xludf.DUMMYFUNCTION("""COMPUTED_VALUE"""),9.38)</f>
        <v>9.38</v>
      </c>
    </row>
    <row r="898">
      <c r="A898">
        <f>IFERROR(__xludf.DUMMYFUNCTION("""COMPUTED_VALUE"""),171064.0)</f>
        <v>171064</v>
      </c>
      <c r="B898" t="str">
        <f>IFERROR(__xludf.DUMMYFUNCTION("""COMPUTED_VALUE"""),"Chicken Broilers Or Fryers Dark Meat Meat And Skin Cooked Fried Flour")</f>
        <v>Chicken Broilers Or Fryers Dark Meat Meat And Skin Cooked Fried Flour</v>
      </c>
      <c r="C898" t="str">
        <f>IFERROR(__xludf.DUMMYFUNCTION("""COMPUTED_VALUE"""),"Meats")</f>
        <v>Meats</v>
      </c>
      <c r="D898">
        <f>IFERROR(__xludf.DUMMYFUNCTION("""COMPUTED_VALUE"""),285.0)</f>
        <v>285</v>
      </c>
      <c r="E898">
        <f>IFERROR(__xludf.DUMMYFUNCTION("""COMPUTED_VALUE"""),16.91)</f>
        <v>16.91</v>
      </c>
      <c r="F898">
        <f>IFERROR(__xludf.DUMMYFUNCTION("""COMPUTED_VALUE"""),27.22)</f>
        <v>27.22</v>
      </c>
      <c r="G898">
        <f>IFERROR(__xludf.DUMMYFUNCTION("""COMPUTED_VALUE"""),4.08)</f>
        <v>4.08</v>
      </c>
    </row>
    <row r="899">
      <c r="A899">
        <f>IFERROR(__xludf.DUMMYFUNCTION("""COMPUTED_VALUE"""),171065.0)</f>
        <v>171065</v>
      </c>
      <c r="B899" t="str">
        <f>IFERROR(__xludf.DUMMYFUNCTION("""COMPUTED_VALUE"""),"Chicken Broilers Or Fryers Dark Meat Meat And Skin Cooked Roasted")</f>
        <v>Chicken Broilers Or Fryers Dark Meat Meat And Skin Cooked Roasted</v>
      </c>
      <c r="C899" t="str">
        <f>IFERROR(__xludf.DUMMYFUNCTION("""COMPUTED_VALUE"""),"Meats")</f>
        <v>Meats</v>
      </c>
      <c r="D899">
        <f>IFERROR(__xludf.DUMMYFUNCTION("""COMPUTED_VALUE"""),253.0)</f>
        <v>253</v>
      </c>
      <c r="E899">
        <f>IFERROR(__xludf.DUMMYFUNCTION("""COMPUTED_VALUE"""),15.78)</f>
        <v>15.78</v>
      </c>
      <c r="F899">
        <f>IFERROR(__xludf.DUMMYFUNCTION("""COMPUTED_VALUE"""),25.97)</f>
        <v>25.97</v>
      </c>
      <c r="G899">
        <f>IFERROR(__xludf.DUMMYFUNCTION("""COMPUTED_VALUE"""),0.0)</f>
        <v>0</v>
      </c>
    </row>
    <row r="900">
      <c r="A900">
        <f>IFERROR(__xludf.DUMMYFUNCTION("""COMPUTED_VALUE"""),171066.0)</f>
        <v>171066</v>
      </c>
      <c r="B900" t="str">
        <f>IFERROR(__xludf.DUMMYFUNCTION("""COMPUTED_VALUE"""),"Chicken Broilers Or Fryers Dark Meat Meat And Skin Cooked Stewed")</f>
        <v>Chicken Broilers Or Fryers Dark Meat Meat And Skin Cooked Stewed</v>
      </c>
      <c r="C900" t="str">
        <f>IFERROR(__xludf.DUMMYFUNCTION("""COMPUTED_VALUE"""),"Meats")</f>
        <v>Meats</v>
      </c>
      <c r="D900">
        <f>IFERROR(__xludf.DUMMYFUNCTION("""COMPUTED_VALUE"""),233.0)</f>
        <v>233</v>
      </c>
      <c r="E900">
        <f>IFERROR(__xludf.DUMMYFUNCTION("""COMPUTED_VALUE"""),14.66)</f>
        <v>14.66</v>
      </c>
      <c r="F900">
        <f>IFERROR(__xludf.DUMMYFUNCTION("""COMPUTED_VALUE"""),23.5)</f>
        <v>23.5</v>
      </c>
      <c r="G900">
        <f>IFERROR(__xludf.DUMMYFUNCTION("""COMPUTED_VALUE"""),0.0)</f>
        <v>0</v>
      </c>
    </row>
    <row r="901">
      <c r="A901">
        <f>IFERROR(__xludf.DUMMYFUNCTION("""COMPUTED_VALUE"""),171067.0)</f>
        <v>171067</v>
      </c>
      <c r="B901" t="str">
        <f>IFERROR(__xludf.DUMMYFUNCTION("""COMPUTED_VALUE"""),"Chicken Broilers Or Fryers Dark Meat Meat Only Raw")</f>
        <v>Chicken Broilers Or Fryers Dark Meat Meat Only Raw</v>
      </c>
      <c r="C901" t="str">
        <f>IFERROR(__xludf.DUMMYFUNCTION("""COMPUTED_VALUE"""),"Meats")</f>
        <v>Meats</v>
      </c>
      <c r="D901">
        <f>IFERROR(__xludf.DUMMYFUNCTION("""COMPUTED_VALUE"""),125.0)</f>
        <v>125</v>
      </c>
      <c r="E901">
        <f>IFERROR(__xludf.DUMMYFUNCTION("""COMPUTED_VALUE"""),4.31)</f>
        <v>4.31</v>
      </c>
      <c r="F901">
        <f>IFERROR(__xludf.DUMMYFUNCTION("""COMPUTED_VALUE"""),20.08)</f>
        <v>20.08</v>
      </c>
      <c r="G901">
        <f>IFERROR(__xludf.DUMMYFUNCTION("""COMPUTED_VALUE"""),0.0)</f>
        <v>0</v>
      </c>
    </row>
    <row r="902">
      <c r="A902">
        <f>IFERROR(__xludf.DUMMYFUNCTION("""COMPUTED_VALUE"""),171068.0)</f>
        <v>171068</v>
      </c>
      <c r="B902" t="str">
        <f>IFERROR(__xludf.DUMMYFUNCTION("""COMPUTED_VALUE"""),"Chicken Broilers Or Fryers Dark Meat Meat Only Cooked Fried")</f>
        <v>Chicken Broilers Or Fryers Dark Meat Meat Only Cooked Fried</v>
      </c>
      <c r="C902" t="str">
        <f>IFERROR(__xludf.DUMMYFUNCTION("""COMPUTED_VALUE"""),"Meats")</f>
        <v>Meats</v>
      </c>
      <c r="D902">
        <f>IFERROR(__xludf.DUMMYFUNCTION("""COMPUTED_VALUE"""),239.0)</f>
        <v>239</v>
      </c>
      <c r="E902">
        <f>IFERROR(__xludf.DUMMYFUNCTION("""COMPUTED_VALUE"""),11.62)</f>
        <v>11.62</v>
      </c>
      <c r="F902">
        <f>IFERROR(__xludf.DUMMYFUNCTION("""COMPUTED_VALUE"""),28.99)</f>
        <v>28.99</v>
      </c>
      <c r="G902">
        <f>IFERROR(__xludf.DUMMYFUNCTION("""COMPUTED_VALUE"""),2.59)</f>
        <v>2.59</v>
      </c>
    </row>
    <row r="903">
      <c r="A903">
        <f>IFERROR(__xludf.DUMMYFUNCTION("""COMPUTED_VALUE"""),171069.0)</f>
        <v>171069</v>
      </c>
      <c r="B903" t="str">
        <f>IFERROR(__xludf.DUMMYFUNCTION("""COMPUTED_VALUE"""),"Chicken Broilers Or Fryers Dark Meat Meat Only Cooked Roasted")</f>
        <v>Chicken Broilers Or Fryers Dark Meat Meat Only Cooked Roasted</v>
      </c>
      <c r="C903" t="str">
        <f>IFERROR(__xludf.DUMMYFUNCTION("""COMPUTED_VALUE"""),"Meats")</f>
        <v>Meats</v>
      </c>
      <c r="D903">
        <f>IFERROR(__xludf.DUMMYFUNCTION("""COMPUTED_VALUE"""),205.0)</f>
        <v>205</v>
      </c>
      <c r="E903">
        <f>IFERROR(__xludf.DUMMYFUNCTION("""COMPUTED_VALUE"""),9.73)</f>
        <v>9.73</v>
      </c>
      <c r="F903">
        <f>IFERROR(__xludf.DUMMYFUNCTION("""COMPUTED_VALUE"""),27.37)</f>
        <v>27.37</v>
      </c>
      <c r="G903">
        <f>IFERROR(__xludf.DUMMYFUNCTION("""COMPUTED_VALUE"""),0.0)</f>
        <v>0</v>
      </c>
    </row>
    <row r="904">
      <c r="A904">
        <f>IFERROR(__xludf.DUMMYFUNCTION("""COMPUTED_VALUE"""),171070.0)</f>
        <v>171070</v>
      </c>
      <c r="B904" t="str">
        <f>IFERROR(__xludf.DUMMYFUNCTION("""COMPUTED_VALUE"""),"Chicken Broilers Or Fryers Dark Meat Meat Only Cooked Stewed")</f>
        <v>Chicken Broilers Or Fryers Dark Meat Meat Only Cooked Stewed</v>
      </c>
      <c r="C904" t="str">
        <f>IFERROR(__xludf.DUMMYFUNCTION("""COMPUTED_VALUE"""),"Meats")</f>
        <v>Meats</v>
      </c>
      <c r="D904">
        <f>IFERROR(__xludf.DUMMYFUNCTION("""COMPUTED_VALUE"""),192.0)</f>
        <v>192</v>
      </c>
      <c r="E904">
        <f>IFERROR(__xludf.DUMMYFUNCTION("""COMPUTED_VALUE"""),8.98)</f>
        <v>8.98</v>
      </c>
      <c r="F904">
        <f>IFERROR(__xludf.DUMMYFUNCTION("""COMPUTED_VALUE"""),25.97)</f>
        <v>25.97</v>
      </c>
      <c r="G904">
        <f>IFERROR(__xludf.DUMMYFUNCTION("""COMPUTED_VALUE"""),0.0)</f>
        <v>0</v>
      </c>
    </row>
    <row r="905">
      <c r="A905">
        <f>IFERROR(__xludf.DUMMYFUNCTION("""COMPUTED_VALUE"""),171071.0)</f>
        <v>171071</v>
      </c>
      <c r="B905" t="str">
        <f>IFERROR(__xludf.DUMMYFUNCTION("""COMPUTED_VALUE"""),"Chicken Broilers Or Fryers Back Meat And Skin Cooked Roasted")</f>
        <v>Chicken Broilers Or Fryers Back Meat And Skin Cooked Roasted</v>
      </c>
      <c r="C905" t="str">
        <f>IFERROR(__xludf.DUMMYFUNCTION("""COMPUTED_VALUE"""),"Meats")</f>
        <v>Meats</v>
      </c>
      <c r="D905">
        <f>IFERROR(__xludf.DUMMYFUNCTION("""COMPUTED_VALUE"""),300.0)</f>
        <v>300</v>
      </c>
      <c r="E905">
        <f>IFERROR(__xludf.DUMMYFUNCTION("""COMPUTED_VALUE"""),20.97)</f>
        <v>20.97</v>
      </c>
      <c r="F905">
        <f>IFERROR(__xludf.DUMMYFUNCTION("""COMPUTED_VALUE"""),25.95)</f>
        <v>25.95</v>
      </c>
      <c r="G905">
        <f>IFERROR(__xludf.DUMMYFUNCTION("""COMPUTED_VALUE"""),0.0)</f>
        <v>0</v>
      </c>
    </row>
    <row r="906">
      <c r="A906">
        <f>IFERROR(__xludf.DUMMYFUNCTION("""COMPUTED_VALUE"""),171072.0)</f>
        <v>171072</v>
      </c>
      <c r="B906" t="str">
        <f>IFERROR(__xludf.DUMMYFUNCTION("""COMPUTED_VALUE"""),"Chicken Broilers Or Fryers Back Meat And Skin Cooked Stewed")</f>
        <v>Chicken Broilers Or Fryers Back Meat And Skin Cooked Stewed</v>
      </c>
      <c r="C906" t="str">
        <f>IFERROR(__xludf.DUMMYFUNCTION("""COMPUTED_VALUE"""),"Meats")</f>
        <v>Meats</v>
      </c>
      <c r="D906">
        <f>IFERROR(__xludf.DUMMYFUNCTION("""COMPUTED_VALUE"""),258.0)</f>
        <v>258</v>
      </c>
      <c r="E906">
        <f>IFERROR(__xludf.DUMMYFUNCTION("""COMPUTED_VALUE"""),18.14)</f>
        <v>18.14</v>
      </c>
      <c r="F906">
        <f>IFERROR(__xludf.DUMMYFUNCTION("""COMPUTED_VALUE"""),22.18)</f>
        <v>22.18</v>
      </c>
      <c r="G906">
        <f>IFERROR(__xludf.DUMMYFUNCTION("""COMPUTED_VALUE"""),0.0)</f>
        <v>0</v>
      </c>
    </row>
    <row r="907">
      <c r="A907">
        <f>IFERROR(__xludf.DUMMYFUNCTION("""COMPUTED_VALUE"""),171073.0)</f>
        <v>171073</v>
      </c>
      <c r="B907" t="str">
        <f>IFERROR(__xludf.DUMMYFUNCTION("""COMPUTED_VALUE"""),"Chicken Broilers Or Fryers Back Meat Only Raw")</f>
        <v>Chicken Broilers Or Fryers Back Meat Only Raw</v>
      </c>
      <c r="C907" t="str">
        <f>IFERROR(__xludf.DUMMYFUNCTION("""COMPUTED_VALUE"""),"Meats")</f>
        <v>Meats</v>
      </c>
      <c r="D907">
        <f>IFERROR(__xludf.DUMMYFUNCTION("""COMPUTED_VALUE"""),137.0)</f>
        <v>137</v>
      </c>
      <c r="E907">
        <f>IFERROR(__xludf.DUMMYFUNCTION("""COMPUTED_VALUE"""),5.92)</f>
        <v>5.92</v>
      </c>
      <c r="F907">
        <f>IFERROR(__xludf.DUMMYFUNCTION("""COMPUTED_VALUE"""),19.56)</f>
        <v>19.56</v>
      </c>
      <c r="G907">
        <f>IFERROR(__xludf.DUMMYFUNCTION("""COMPUTED_VALUE"""),0.0)</f>
        <v>0</v>
      </c>
    </row>
    <row r="908">
      <c r="A908">
        <f>IFERROR(__xludf.DUMMYFUNCTION("""COMPUTED_VALUE"""),171074.0)</f>
        <v>171074</v>
      </c>
      <c r="B908" t="str">
        <f>IFERROR(__xludf.DUMMYFUNCTION("""COMPUTED_VALUE"""),"Chicken Broilers Or Fryers Back Meat Only Cooked Fried")</f>
        <v>Chicken Broilers Or Fryers Back Meat Only Cooked Fried</v>
      </c>
      <c r="C908" t="str">
        <f>IFERROR(__xludf.DUMMYFUNCTION("""COMPUTED_VALUE"""),"Meats")</f>
        <v>Meats</v>
      </c>
      <c r="D908">
        <f>IFERROR(__xludf.DUMMYFUNCTION("""COMPUTED_VALUE"""),288.0)</f>
        <v>288</v>
      </c>
      <c r="E908">
        <f>IFERROR(__xludf.DUMMYFUNCTION("""COMPUTED_VALUE"""),15.32)</f>
        <v>15.32</v>
      </c>
      <c r="F908">
        <f>IFERROR(__xludf.DUMMYFUNCTION("""COMPUTED_VALUE"""),29.99)</f>
        <v>29.99</v>
      </c>
      <c r="G908">
        <f>IFERROR(__xludf.DUMMYFUNCTION("""COMPUTED_VALUE"""),5.68)</f>
        <v>5.68</v>
      </c>
    </row>
    <row r="909">
      <c r="A909">
        <f>IFERROR(__xludf.DUMMYFUNCTION("""COMPUTED_VALUE"""),171075.0)</f>
        <v>171075</v>
      </c>
      <c r="B909" t="str">
        <f>IFERROR(__xludf.DUMMYFUNCTION("""COMPUTED_VALUE"""),"Chicken Broilers Or Fryers Breast Meat And Skin Cooked Roasted")</f>
        <v>Chicken Broilers Or Fryers Breast Meat And Skin Cooked Roasted</v>
      </c>
      <c r="C909" t="str">
        <f>IFERROR(__xludf.DUMMYFUNCTION("""COMPUTED_VALUE"""),"Meats")</f>
        <v>Meats</v>
      </c>
      <c r="D909">
        <f>IFERROR(__xludf.DUMMYFUNCTION("""COMPUTED_VALUE"""),197.0)</f>
        <v>197</v>
      </c>
      <c r="E909">
        <f>IFERROR(__xludf.DUMMYFUNCTION("""COMPUTED_VALUE"""),7.78)</f>
        <v>7.78</v>
      </c>
      <c r="F909">
        <f>IFERROR(__xludf.DUMMYFUNCTION("""COMPUTED_VALUE"""),29.8)</f>
        <v>29.8</v>
      </c>
      <c r="G909">
        <f>IFERROR(__xludf.DUMMYFUNCTION("""COMPUTED_VALUE"""),0.0)</f>
        <v>0</v>
      </c>
    </row>
    <row r="910">
      <c r="A910">
        <f>IFERROR(__xludf.DUMMYFUNCTION("""COMPUTED_VALUE"""),171076.0)</f>
        <v>171076</v>
      </c>
      <c r="B910" t="str">
        <f>IFERROR(__xludf.DUMMYFUNCTION("""COMPUTED_VALUE"""),"Chicken Broilers Or Fryers Breast Meat And Skin Cooked Stewed")</f>
        <v>Chicken Broilers Or Fryers Breast Meat And Skin Cooked Stewed</v>
      </c>
      <c r="C910" t="str">
        <f>IFERROR(__xludf.DUMMYFUNCTION("""COMPUTED_VALUE"""),"Meats")</f>
        <v>Meats</v>
      </c>
      <c r="D910">
        <f>IFERROR(__xludf.DUMMYFUNCTION("""COMPUTED_VALUE"""),184.0)</f>
        <v>184</v>
      </c>
      <c r="E910">
        <f>IFERROR(__xludf.DUMMYFUNCTION("""COMPUTED_VALUE"""),7.42)</f>
        <v>7.42</v>
      </c>
      <c r="F910">
        <f>IFERROR(__xludf.DUMMYFUNCTION("""COMPUTED_VALUE"""),27.39)</f>
        <v>27.39</v>
      </c>
      <c r="G910">
        <f>IFERROR(__xludf.DUMMYFUNCTION("""COMPUTED_VALUE"""),0.0)</f>
        <v>0</v>
      </c>
    </row>
    <row r="911">
      <c r="A911">
        <f>IFERROR(__xludf.DUMMYFUNCTION("""COMPUTED_VALUE"""),171077.0)</f>
        <v>171077</v>
      </c>
      <c r="B911" t="str">
        <f>IFERROR(__xludf.DUMMYFUNCTION("""COMPUTED_VALUE"""),"Raw Chicken Breast")</f>
        <v>Raw Chicken Breast</v>
      </c>
      <c r="C911" t="str">
        <f>IFERROR(__xludf.DUMMYFUNCTION("""COMPUTED_VALUE"""),"Meats")</f>
        <v>Meats</v>
      </c>
      <c r="D911">
        <f>IFERROR(__xludf.DUMMYFUNCTION("""COMPUTED_VALUE"""),120.0)</f>
        <v>120</v>
      </c>
      <c r="E911">
        <f>IFERROR(__xludf.DUMMYFUNCTION("""COMPUTED_VALUE"""),2.62)</f>
        <v>2.62</v>
      </c>
      <c r="F911">
        <f>IFERROR(__xludf.DUMMYFUNCTION("""COMPUTED_VALUE"""),22.5)</f>
        <v>22.5</v>
      </c>
      <c r="G911">
        <f>IFERROR(__xludf.DUMMYFUNCTION("""COMPUTED_VALUE"""),0.0)</f>
        <v>0</v>
      </c>
    </row>
    <row r="912">
      <c r="A912">
        <f>IFERROR(__xludf.DUMMYFUNCTION("""COMPUTED_VALUE"""),171078.0)</f>
        <v>171078</v>
      </c>
      <c r="B912" t="str">
        <f>IFERROR(__xludf.DUMMYFUNCTION("""COMPUTED_VALUE"""),"Chicken Broilers Or Fryers Breast Meat Only Cooked Fried")</f>
        <v>Chicken Broilers Or Fryers Breast Meat Only Cooked Fried</v>
      </c>
      <c r="C912" t="str">
        <f>IFERROR(__xludf.DUMMYFUNCTION("""COMPUTED_VALUE"""),"Meats")</f>
        <v>Meats</v>
      </c>
      <c r="D912">
        <f>IFERROR(__xludf.DUMMYFUNCTION("""COMPUTED_VALUE"""),187.0)</f>
        <v>187</v>
      </c>
      <c r="E912">
        <f>IFERROR(__xludf.DUMMYFUNCTION("""COMPUTED_VALUE"""),4.71)</f>
        <v>4.71</v>
      </c>
      <c r="F912">
        <f>IFERROR(__xludf.DUMMYFUNCTION("""COMPUTED_VALUE"""),33.44)</f>
        <v>33.44</v>
      </c>
      <c r="G912">
        <f>IFERROR(__xludf.DUMMYFUNCTION("""COMPUTED_VALUE"""),0.51)</f>
        <v>0.51</v>
      </c>
    </row>
    <row r="913">
      <c r="A913">
        <f>IFERROR(__xludf.DUMMYFUNCTION("""COMPUTED_VALUE"""),171079.0)</f>
        <v>171079</v>
      </c>
      <c r="B913" t="str">
        <f>IFERROR(__xludf.DUMMYFUNCTION("""COMPUTED_VALUE"""),"Squab (Pigeon) Meat Only Raw")</f>
        <v>Squab (Pigeon) Meat Only Raw</v>
      </c>
      <c r="C913" t="str">
        <f>IFERROR(__xludf.DUMMYFUNCTION("""COMPUTED_VALUE"""),"Meats")</f>
        <v>Meats</v>
      </c>
      <c r="D913">
        <f>IFERROR(__xludf.DUMMYFUNCTION("""COMPUTED_VALUE"""),142.0)</f>
        <v>142</v>
      </c>
      <c r="E913">
        <f>IFERROR(__xludf.DUMMYFUNCTION("""COMPUTED_VALUE"""),7.5)</f>
        <v>7.5</v>
      </c>
      <c r="F913">
        <f>IFERROR(__xludf.DUMMYFUNCTION("""COMPUTED_VALUE"""),17.5)</f>
        <v>17.5</v>
      </c>
      <c r="G913">
        <f>IFERROR(__xludf.DUMMYFUNCTION("""COMPUTED_VALUE"""),0.0)</f>
        <v>0</v>
      </c>
    </row>
    <row r="914">
      <c r="A914">
        <f>IFERROR(__xludf.DUMMYFUNCTION("""COMPUTED_VALUE"""),171080.0)</f>
        <v>171080</v>
      </c>
      <c r="B914" t="str">
        <f>IFERROR(__xludf.DUMMYFUNCTION("""COMPUTED_VALUE"""),"Squab (Pigeon) Light Meat Without Skin Raw")</f>
        <v>Squab (Pigeon) Light Meat Without Skin Raw</v>
      </c>
      <c r="C914" t="str">
        <f>IFERROR(__xludf.DUMMYFUNCTION("""COMPUTED_VALUE"""),"Meats")</f>
        <v>Meats</v>
      </c>
      <c r="D914">
        <f>IFERROR(__xludf.DUMMYFUNCTION("""COMPUTED_VALUE"""),134.0)</f>
        <v>134</v>
      </c>
      <c r="E914">
        <f>IFERROR(__xludf.DUMMYFUNCTION("""COMPUTED_VALUE"""),4.52)</f>
        <v>4.52</v>
      </c>
      <c r="F914">
        <f>IFERROR(__xludf.DUMMYFUNCTION("""COMPUTED_VALUE"""),21.76)</f>
        <v>21.76</v>
      </c>
      <c r="G914">
        <f>IFERROR(__xludf.DUMMYFUNCTION("""COMPUTED_VALUE"""),0.0)</f>
        <v>0</v>
      </c>
    </row>
    <row r="915">
      <c r="A915">
        <f>IFERROR(__xludf.DUMMYFUNCTION("""COMPUTED_VALUE"""),171081.0)</f>
        <v>171081</v>
      </c>
      <c r="B915" t="str">
        <f>IFERROR(__xludf.DUMMYFUNCTION("""COMPUTED_VALUE"""),"Turkey Whole Meat And Skin Raw")</f>
        <v>Turkey Whole Meat And Skin Raw</v>
      </c>
      <c r="C915" t="str">
        <f>IFERROR(__xludf.DUMMYFUNCTION("""COMPUTED_VALUE"""),"Meats")</f>
        <v>Meats</v>
      </c>
      <c r="D915">
        <f>IFERROR(__xludf.DUMMYFUNCTION("""COMPUTED_VALUE"""),144.0)</f>
        <v>144</v>
      </c>
      <c r="E915">
        <f>IFERROR(__xludf.DUMMYFUNCTION("""COMPUTED_VALUE"""),5.64)</f>
        <v>5.64</v>
      </c>
      <c r="F915">
        <f>IFERROR(__xludf.DUMMYFUNCTION("""COMPUTED_VALUE"""),21.64)</f>
        <v>21.64</v>
      </c>
      <c r="G915">
        <f>IFERROR(__xludf.DUMMYFUNCTION("""COMPUTED_VALUE"""),0.14)</f>
        <v>0.14</v>
      </c>
    </row>
    <row r="916">
      <c r="A916">
        <f>IFERROR(__xludf.DUMMYFUNCTION("""COMPUTED_VALUE"""),171082.0)</f>
        <v>171082</v>
      </c>
      <c r="B916" t="str">
        <f>IFERROR(__xludf.DUMMYFUNCTION("""COMPUTED_VALUE"""),"Turkey Skin From Whole (Light And Dark) Roasted")</f>
        <v>Turkey Skin From Whole (Light And Dark) Roasted</v>
      </c>
      <c r="C916" t="str">
        <f>IFERROR(__xludf.DUMMYFUNCTION("""COMPUTED_VALUE"""),"Meats")</f>
        <v>Meats</v>
      </c>
      <c r="D916">
        <f>IFERROR(__xludf.DUMMYFUNCTION("""COMPUTED_VALUE"""),459.0)</f>
        <v>459</v>
      </c>
      <c r="E916">
        <f>IFERROR(__xludf.DUMMYFUNCTION("""COMPUTED_VALUE"""),39.31)</f>
        <v>39.31</v>
      </c>
      <c r="F916">
        <f>IFERROR(__xludf.DUMMYFUNCTION("""COMPUTED_VALUE"""),23.94)</f>
        <v>23.94</v>
      </c>
      <c r="G916">
        <f>IFERROR(__xludf.DUMMYFUNCTION("""COMPUTED_VALUE"""),0.57)</f>
        <v>0.57</v>
      </c>
    </row>
    <row r="917">
      <c r="A917">
        <f>IFERROR(__xludf.DUMMYFUNCTION("""COMPUTED_VALUE"""),171083.0)</f>
        <v>171083</v>
      </c>
      <c r="B917" t="str">
        <f>IFERROR(__xludf.DUMMYFUNCTION("""COMPUTED_VALUE"""),"Turkey Whole Giblets Raw")</f>
        <v>Turkey Whole Giblets Raw</v>
      </c>
      <c r="C917" t="str">
        <f>IFERROR(__xludf.DUMMYFUNCTION("""COMPUTED_VALUE"""),"Meats")</f>
        <v>Meats</v>
      </c>
      <c r="D917">
        <f>IFERROR(__xludf.DUMMYFUNCTION("""COMPUTED_VALUE"""),124.0)</f>
        <v>124</v>
      </c>
      <c r="E917">
        <f>IFERROR(__xludf.DUMMYFUNCTION("""COMPUTED_VALUE"""),5.09)</f>
        <v>5.09</v>
      </c>
      <c r="F917">
        <f>IFERROR(__xludf.DUMMYFUNCTION("""COMPUTED_VALUE"""),18.18)</f>
        <v>18.18</v>
      </c>
      <c r="G917">
        <f>IFERROR(__xludf.DUMMYFUNCTION("""COMPUTED_VALUE"""),0.07)</f>
        <v>0.07</v>
      </c>
    </row>
    <row r="918">
      <c r="A918">
        <f>IFERROR(__xludf.DUMMYFUNCTION("""COMPUTED_VALUE"""),171084.0)</f>
        <v>171084</v>
      </c>
      <c r="B918" t="str">
        <f>IFERROR(__xludf.DUMMYFUNCTION("""COMPUTED_VALUE"""),"Turkey Whole Giblets Cooked Simmered")</f>
        <v>Turkey Whole Giblets Cooked Simmered</v>
      </c>
      <c r="C918" t="str">
        <f>IFERROR(__xludf.DUMMYFUNCTION("""COMPUTED_VALUE"""),"Meats")</f>
        <v>Meats</v>
      </c>
      <c r="D918">
        <f>IFERROR(__xludf.DUMMYFUNCTION("""COMPUTED_VALUE"""),173.0)</f>
        <v>173</v>
      </c>
      <c r="E918">
        <f>IFERROR(__xludf.DUMMYFUNCTION("""COMPUTED_VALUE"""),6.61)</f>
        <v>6.61</v>
      </c>
      <c r="F918">
        <f>IFERROR(__xludf.DUMMYFUNCTION("""COMPUTED_VALUE"""),26.44)</f>
        <v>26.44</v>
      </c>
      <c r="G918">
        <f>IFERROR(__xludf.DUMMYFUNCTION("""COMPUTED_VALUE"""),0.0)</f>
        <v>0</v>
      </c>
    </row>
    <row r="919">
      <c r="A919">
        <f>IFERROR(__xludf.DUMMYFUNCTION("""COMPUTED_VALUE"""),171085.0)</f>
        <v>171085</v>
      </c>
      <c r="B919" t="str">
        <f>IFERROR(__xludf.DUMMYFUNCTION("""COMPUTED_VALUE"""),"Turkey Gizzard All Classes Raw")</f>
        <v>Turkey Gizzard All Classes Raw</v>
      </c>
      <c r="C919" t="str">
        <f>IFERROR(__xludf.DUMMYFUNCTION("""COMPUTED_VALUE"""),"Meats")</f>
        <v>Meats</v>
      </c>
      <c r="D919">
        <f>IFERROR(__xludf.DUMMYFUNCTION("""COMPUTED_VALUE"""),111.0)</f>
        <v>111</v>
      </c>
      <c r="E919">
        <f>IFERROR(__xludf.DUMMYFUNCTION("""COMPUTED_VALUE"""),3.37)</f>
        <v>3.37</v>
      </c>
      <c r="F919">
        <f>IFERROR(__xludf.DUMMYFUNCTION("""COMPUTED_VALUE"""),18.8)</f>
        <v>18.8</v>
      </c>
      <c r="G919">
        <f>IFERROR(__xludf.DUMMYFUNCTION("""COMPUTED_VALUE"""),0.0)</f>
        <v>0</v>
      </c>
    </row>
    <row r="920">
      <c r="A920">
        <f>IFERROR(__xludf.DUMMYFUNCTION("""COMPUTED_VALUE"""),171086.0)</f>
        <v>171086</v>
      </c>
      <c r="B920" t="str">
        <f>IFERROR(__xludf.DUMMYFUNCTION("""COMPUTED_VALUE"""),"Turkey From Whole Neck Meat Only Raw")</f>
        <v>Turkey From Whole Neck Meat Only Raw</v>
      </c>
      <c r="C920" t="str">
        <f>IFERROR(__xludf.DUMMYFUNCTION("""COMPUTED_VALUE"""),"Meats")</f>
        <v>Meats</v>
      </c>
      <c r="D920">
        <f>IFERROR(__xludf.DUMMYFUNCTION("""COMPUTED_VALUE"""),125.0)</f>
        <v>125</v>
      </c>
      <c r="E920">
        <f>IFERROR(__xludf.DUMMYFUNCTION("""COMPUTED_VALUE"""),6.04)</f>
        <v>6.04</v>
      </c>
      <c r="F920">
        <f>IFERROR(__xludf.DUMMYFUNCTION("""COMPUTED_VALUE"""),16.51)</f>
        <v>16.51</v>
      </c>
      <c r="G920">
        <f>IFERROR(__xludf.DUMMYFUNCTION("""COMPUTED_VALUE"""),0.0)</f>
        <v>0</v>
      </c>
    </row>
    <row r="921">
      <c r="A921">
        <f>IFERROR(__xludf.DUMMYFUNCTION("""COMPUTED_VALUE"""),171087.0)</f>
        <v>171087</v>
      </c>
      <c r="B921" t="str">
        <f>IFERROR(__xludf.DUMMYFUNCTION("""COMPUTED_VALUE"""),"Turkey From Whole Neck Meat Only Cooked Simmered")</f>
        <v>Turkey From Whole Neck Meat Only Cooked Simmered</v>
      </c>
      <c r="C921" t="str">
        <f>IFERROR(__xludf.DUMMYFUNCTION("""COMPUTED_VALUE"""),"Meats")</f>
        <v>Meats</v>
      </c>
      <c r="D921">
        <f>IFERROR(__xludf.DUMMYFUNCTION("""COMPUTED_VALUE"""),162.0)</f>
        <v>162</v>
      </c>
      <c r="E921">
        <f>IFERROR(__xludf.DUMMYFUNCTION("""COMPUTED_VALUE"""),7.36)</f>
        <v>7.36</v>
      </c>
      <c r="F921">
        <f>IFERROR(__xludf.DUMMYFUNCTION("""COMPUTED_VALUE"""),22.48)</f>
        <v>22.48</v>
      </c>
      <c r="G921">
        <f>IFERROR(__xludf.DUMMYFUNCTION("""COMPUTED_VALUE"""),0.0)</f>
        <v>0</v>
      </c>
    </row>
    <row r="922">
      <c r="A922">
        <f>IFERROR(__xludf.DUMMYFUNCTION("""COMPUTED_VALUE"""),171088.0)</f>
        <v>171088</v>
      </c>
      <c r="B922" t="str">
        <f>IFERROR(__xludf.DUMMYFUNCTION("""COMPUTED_VALUE"""),"Turkey From Whole Light Meat Meat And Skin Raw")</f>
        <v>Turkey From Whole Light Meat Meat And Skin Raw</v>
      </c>
      <c r="C922" t="str">
        <f>IFERROR(__xludf.DUMMYFUNCTION("""COMPUTED_VALUE"""),"Meats")</f>
        <v>Meats</v>
      </c>
      <c r="D922">
        <f>IFERROR(__xludf.DUMMYFUNCTION("""COMPUTED_VALUE"""),161.0)</f>
        <v>161</v>
      </c>
      <c r="E922">
        <f>IFERROR(__xludf.DUMMYFUNCTION("""COMPUTED_VALUE"""),7.43)</f>
        <v>7.43</v>
      </c>
      <c r="F922">
        <f>IFERROR(__xludf.DUMMYFUNCTION("""COMPUTED_VALUE"""),21.96)</f>
        <v>21.96</v>
      </c>
      <c r="G922">
        <f>IFERROR(__xludf.DUMMYFUNCTION("""COMPUTED_VALUE"""),0.15)</f>
        <v>0.15</v>
      </c>
    </row>
    <row r="923">
      <c r="A923">
        <f>IFERROR(__xludf.DUMMYFUNCTION("""COMPUTED_VALUE"""),171089.0)</f>
        <v>171089</v>
      </c>
      <c r="B923" t="str">
        <f>IFERROR(__xludf.DUMMYFUNCTION("""COMPUTED_VALUE"""),"Turkey From Whole Light Meat Meat And Skin Cooked Roasted")</f>
        <v>Turkey From Whole Light Meat Meat And Skin Cooked Roasted</v>
      </c>
      <c r="C923" t="str">
        <f>IFERROR(__xludf.DUMMYFUNCTION("""COMPUTED_VALUE"""),"Meats")</f>
        <v>Meats</v>
      </c>
      <c r="D923">
        <f>IFERROR(__xludf.DUMMYFUNCTION("""COMPUTED_VALUE"""),177.0)</f>
        <v>177</v>
      </c>
      <c r="E923">
        <f>IFERROR(__xludf.DUMMYFUNCTION("""COMPUTED_VALUE"""),5.57)</f>
        <v>5.57</v>
      </c>
      <c r="F923">
        <f>IFERROR(__xludf.DUMMYFUNCTION("""COMPUTED_VALUE"""),29.55)</f>
        <v>29.55</v>
      </c>
      <c r="G923">
        <f>IFERROR(__xludf.DUMMYFUNCTION("""COMPUTED_VALUE"""),0.05)</f>
        <v>0.05</v>
      </c>
    </row>
    <row r="924">
      <c r="A924">
        <f>IFERROR(__xludf.DUMMYFUNCTION("""COMPUTED_VALUE"""),171090.0)</f>
        <v>171090</v>
      </c>
      <c r="B924" t="str">
        <f>IFERROR(__xludf.DUMMYFUNCTION("""COMPUTED_VALUE"""),"Turkey From Whole Dark Meat Meat Only Raw")</f>
        <v>Turkey From Whole Dark Meat Meat Only Raw</v>
      </c>
      <c r="C924" t="str">
        <f>IFERROR(__xludf.DUMMYFUNCTION("""COMPUTED_VALUE"""),"Meats")</f>
        <v>Meats</v>
      </c>
      <c r="D924">
        <f>IFERROR(__xludf.DUMMYFUNCTION("""COMPUTED_VALUE"""),108.0)</f>
        <v>108</v>
      </c>
      <c r="E924">
        <f>IFERROR(__xludf.DUMMYFUNCTION("""COMPUTED_VALUE"""),2.5)</f>
        <v>2.5</v>
      </c>
      <c r="F924">
        <f>IFERROR(__xludf.DUMMYFUNCTION("""COMPUTED_VALUE"""),21.28)</f>
        <v>21.28</v>
      </c>
      <c r="G924">
        <f>IFERROR(__xludf.DUMMYFUNCTION("""COMPUTED_VALUE"""),0.15)</f>
        <v>0.15</v>
      </c>
    </row>
    <row r="925">
      <c r="A925">
        <f>IFERROR(__xludf.DUMMYFUNCTION("""COMPUTED_VALUE"""),171091.0)</f>
        <v>171091</v>
      </c>
      <c r="B925" t="str">
        <f>IFERROR(__xludf.DUMMYFUNCTION("""COMPUTED_VALUE"""),"Roast Turkey Dark Meat")</f>
        <v>Roast Turkey Dark Meat</v>
      </c>
      <c r="C925" t="str">
        <f>IFERROR(__xludf.DUMMYFUNCTION("""COMPUTED_VALUE"""),"Meats")</f>
        <v>Meats</v>
      </c>
      <c r="D925">
        <f>IFERROR(__xludf.DUMMYFUNCTION("""COMPUTED_VALUE"""),173.0)</f>
        <v>173</v>
      </c>
      <c r="E925">
        <f>IFERROR(__xludf.DUMMYFUNCTION("""COMPUTED_VALUE"""),6.04)</f>
        <v>6.04</v>
      </c>
      <c r="F925">
        <f>IFERROR(__xludf.DUMMYFUNCTION("""COMPUTED_VALUE"""),27.71)</f>
        <v>27.71</v>
      </c>
      <c r="G925">
        <f>IFERROR(__xludf.DUMMYFUNCTION("""COMPUTED_VALUE"""),0.0)</f>
        <v>0</v>
      </c>
    </row>
    <row r="926">
      <c r="A926">
        <f>IFERROR(__xludf.DUMMYFUNCTION("""COMPUTED_VALUE"""),171092.0)</f>
        <v>171092</v>
      </c>
      <c r="B926" t="str">
        <f>IFERROR(__xludf.DUMMYFUNCTION("""COMPUTED_VALUE"""),"Turkey All Classes Back Meat And Skin Cooked Roasted")</f>
        <v>Turkey All Classes Back Meat And Skin Cooked Roasted</v>
      </c>
      <c r="C926" t="str">
        <f>IFERROR(__xludf.DUMMYFUNCTION("""COMPUTED_VALUE"""),"Meats")</f>
        <v>Meats</v>
      </c>
      <c r="D926">
        <f>IFERROR(__xludf.DUMMYFUNCTION("""COMPUTED_VALUE"""),244.0)</f>
        <v>244</v>
      </c>
      <c r="E926">
        <f>IFERROR(__xludf.DUMMYFUNCTION("""COMPUTED_VALUE"""),14.38)</f>
        <v>14.38</v>
      </c>
      <c r="F926">
        <f>IFERROR(__xludf.DUMMYFUNCTION("""COMPUTED_VALUE"""),26.59)</f>
        <v>26.59</v>
      </c>
      <c r="G926">
        <f>IFERROR(__xludf.DUMMYFUNCTION("""COMPUTED_VALUE"""),0.16)</f>
        <v>0.16</v>
      </c>
    </row>
    <row r="927">
      <c r="A927">
        <f>IFERROR(__xludf.DUMMYFUNCTION("""COMPUTED_VALUE"""),171093.0)</f>
        <v>171093</v>
      </c>
      <c r="B927" t="str">
        <f>IFERROR(__xludf.DUMMYFUNCTION("""COMPUTED_VALUE"""),"Turkey All Classes Breast Meat And Skin Raw")</f>
        <v>Turkey All Classes Breast Meat And Skin Raw</v>
      </c>
      <c r="C927" t="str">
        <f>IFERROR(__xludf.DUMMYFUNCTION("""COMPUTED_VALUE"""),"Meats")</f>
        <v>Meats</v>
      </c>
      <c r="D927">
        <f>IFERROR(__xludf.DUMMYFUNCTION("""COMPUTED_VALUE"""),157.0)</f>
        <v>157</v>
      </c>
      <c r="E927">
        <f>IFERROR(__xludf.DUMMYFUNCTION("""COMPUTED_VALUE"""),7.02)</f>
        <v>7.02</v>
      </c>
      <c r="F927">
        <f>IFERROR(__xludf.DUMMYFUNCTION("""COMPUTED_VALUE"""),21.89)</f>
        <v>21.89</v>
      </c>
      <c r="G927">
        <f>IFERROR(__xludf.DUMMYFUNCTION("""COMPUTED_VALUE"""),0.0)</f>
        <v>0</v>
      </c>
    </row>
    <row r="928">
      <c r="A928">
        <f>IFERROR(__xludf.DUMMYFUNCTION("""COMPUTED_VALUE"""),171094.0)</f>
        <v>171094</v>
      </c>
      <c r="B928" t="str">
        <f>IFERROR(__xludf.DUMMYFUNCTION("""COMPUTED_VALUE"""),"Turkey All Classes Wing Meat And Skin Cooked Roasted")</f>
        <v>Turkey All Classes Wing Meat And Skin Cooked Roasted</v>
      </c>
      <c r="C928" t="str">
        <f>IFERROR(__xludf.DUMMYFUNCTION("""COMPUTED_VALUE"""),"Meats")</f>
        <v>Meats</v>
      </c>
      <c r="D928">
        <f>IFERROR(__xludf.DUMMYFUNCTION("""COMPUTED_VALUE"""),229.0)</f>
        <v>229</v>
      </c>
      <c r="E928">
        <f>IFERROR(__xludf.DUMMYFUNCTION("""COMPUTED_VALUE"""),12.43)</f>
        <v>12.43</v>
      </c>
      <c r="F928">
        <f>IFERROR(__xludf.DUMMYFUNCTION("""COMPUTED_VALUE"""),27.38)</f>
        <v>27.38</v>
      </c>
      <c r="G928">
        <f>IFERROR(__xludf.DUMMYFUNCTION("""COMPUTED_VALUE"""),0.0)</f>
        <v>0</v>
      </c>
    </row>
    <row r="929">
      <c r="A929">
        <f>IFERROR(__xludf.DUMMYFUNCTION("""COMPUTED_VALUE"""),171095.0)</f>
        <v>171095</v>
      </c>
      <c r="B929" t="str">
        <f>IFERROR(__xludf.DUMMYFUNCTION("""COMPUTED_VALUE"""),"Turkey Fryer-Roasters Meat And Skin Cooked Roasted")</f>
        <v>Turkey Fryer-Roasters Meat And Skin Cooked Roasted</v>
      </c>
      <c r="C929" t="str">
        <f>IFERROR(__xludf.DUMMYFUNCTION("""COMPUTED_VALUE"""),"Meats")</f>
        <v>Meats</v>
      </c>
      <c r="D929">
        <f>IFERROR(__xludf.DUMMYFUNCTION("""COMPUTED_VALUE"""),172.0)</f>
        <v>172</v>
      </c>
      <c r="E929">
        <f>IFERROR(__xludf.DUMMYFUNCTION("""COMPUTED_VALUE"""),5.72)</f>
        <v>5.72</v>
      </c>
      <c r="F929">
        <f>IFERROR(__xludf.DUMMYFUNCTION("""COMPUTED_VALUE"""),28.26)</f>
        <v>28.26</v>
      </c>
      <c r="G929">
        <f>IFERROR(__xludf.DUMMYFUNCTION("""COMPUTED_VALUE"""),0.0)</f>
        <v>0</v>
      </c>
    </row>
    <row r="930">
      <c r="A930">
        <f>IFERROR(__xludf.DUMMYFUNCTION("""COMPUTED_VALUE"""),171096.0)</f>
        <v>171096</v>
      </c>
      <c r="B930" t="str">
        <f>IFERROR(__xludf.DUMMYFUNCTION("""COMPUTED_VALUE"""),"Turkey Back From Whole Bird Meat Only Raw")</f>
        <v>Turkey Back From Whole Bird Meat Only Raw</v>
      </c>
      <c r="C930" t="str">
        <f>IFERROR(__xludf.DUMMYFUNCTION("""COMPUTED_VALUE"""),"Meats")</f>
        <v>Meats</v>
      </c>
      <c r="D930">
        <f>IFERROR(__xludf.DUMMYFUNCTION("""COMPUTED_VALUE"""),113.0)</f>
        <v>113</v>
      </c>
      <c r="E930">
        <f>IFERROR(__xludf.DUMMYFUNCTION("""COMPUTED_VALUE"""),2.5)</f>
        <v>2.5</v>
      </c>
      <c r="F930">
        <f>IFERROR(__xludf.DUMMYFUNCTION("""COMPUTED_VALUE"""),21.28)</f>
        <v>21.28</v>
      </c>
      <c r="G930">
        <f>IFERROR(__xludf.DUMMYFUNCTION("""COMPUTED_VALUE"""),0.15)</f>
        <v>0.15</v>
      </c>
    </row>
    <row r="931">
      <c r="A931">
        <f>IFERROR(__xludf.DUMMYFUNCTION("""COMPUTED_VALUE"""),171097.0)</f>
        <v>171097</v>
      </c>
      <c r="B931" t="str">
        <f>IFERROR(__xludf.DUMMYFUNCTION("""COMPUTED_VALUE"""),"Turkey Back From Whole Bird Meat Only Roasted")</f>
        <v>Turkey Back From Whole Bird Meat Only Roasted</v>
      </c>
      <c r="C931" t="str">
        <f>IFERROR(__xludf.DUMMYFUNCTION("""COMPUTED_VALUE"""),"Meats")</f>
        <v>Meats</v>
      </c>
      <c r="D931">
        <f>IFERROR(__xludf.DUMMYFUNCTION("""COMPUTED_VALUE"""),173.0)</f>
        <v>173</v>
      </c>
      <c r="E931">
        <f>IFERROR(__xludf.DUMMYFUNCTION("""COMPUTED_VALUE"""),6.04)</f>
        <v>6.04</v>
      </c>
      <c r="F931">
        <f>IFERROR(__xludf.DUMMYFUNCTION("""COMPUTED_VALUE"""),27.71)</f>
        <v>27.71</v>
      </c>
      <c r="G931">
        <f>IFERROR(__xludf.DUMMYFUNCTION("""COMPUTED_VALUE"""),0.0)</f>
        <v>0</v>
      </c>
    </row>
    <row r="932">
      <c r="A932">
        <f>IFERROR(__xludf.DUMMYFUNCTION("""COMPUTED_VALUE"""),171098.0)</f>
        <v>171098</v>
      </c>
      <c r="B932" t="str">
        <f>IFERROR(__xludf.DUMMYFUNCTION("""COMPUTED_VALUE"""),"Turkey Breast From Whole Bird Meat Only Raw")</f>
        <v>Turkey Breast From Whole Bird Meat Only Raw</v>
      </c>
      <c r="C932" t="str">
        <f>IFERROR(__xludf.DUMMYFUNCTION("""COMPUTED_VALUE"""),"Meats")</f>
        <v>Meats</v>
      </c>
      <c r="D932">
        <f>IFERROR(__xludf.DUMMYFUNCTION("""COMPUTED_VALUE"""),114.0)</f>
        <v>114</v>
      </c>
      <c r="E932">
        <f>IFERROR(__xludf.DUMMYFUNCTION("""COMPUTED_VALUE"""),1.48)</f>
        <v>1.48</v>
      </c>
      <c r="F932">
        <f>IFERROR(__xludf.DUMMYFUNCTION("""COMPUTED_VALUE"""),23.66)</f>
        <v>23.66</v>
      </c>
      <c r="G932">
        <f>IFERROR(__xludf.DUMMYFUNCTION("""COMPUTED_VALUE"""),0.14)</f>
        <v>0.14</v>
      </c>
    </row>
    <row r="933">
      <c r="A933">
        <f>IFERROR(__xludf.DUMMYFUNCTION("""COMPUTED_VALUE"""),171099.0)</f>
        <v>171099</v>
      </c>
      <c r="B933" t="str">
        <f>IFERROR(__xludf.DUMMYFUNCTION("""COMPUTED_VALUE"""),"Chicken Canned Meat Only With Broth")</f>
        <v>Chicken Canned Meat Only With Broth</v>
      </c>
      <c r="C933" t="str">
        <f>IFERROR(__xludf.DUMMYFUNCTION("""COMPUTED_VALUE"""),"Meats")</f>
        <v>Meats</v>
      </c>
      <c r="D933">
        <f>IFERROR(__xludf.DUMMYFUNCTION("""COMPUTED_VALUE"""),165.0)</f>
        <v>165</v>
      </c>
      <c r="E933">
        <f>IFERROR(__xludf.DUMMYFUNCTION("""COMPUTED_VALUE"""),7.95)</f>
        <v>7.95</v>
      </c>
      <c r="F933">
        <f>IFERROR(__xludf.DUMMYFUNCTION("""COMPUTED_VALUE"""),21.77)</f>
        <v>21.77</v>
      </c>
      <c r="G933">
        <f>IFERROR(__xludf.DUMMYFUNCTION("""COMPUTED_VALUE"""),0.0)</f>
        <v>0</v>
      </c>
    </row>
    <row r="934">
      <c r="A934">
        <f>IFERROR(__xludf.DUMMYFUNCTION("""COMPUTED_VALUE"""),171100.0)</f>
        <v>171100</v>
      </c>
      <c r="B934" t="str">
        <f>IFERROR(__xludf.DUMMYFUNCTION("""COMPUTED_VALUE"""),"Pate De Foie Gras Canned (Goose Liver Pate) Smoked")</f>
        <v>Pate De Foie Gras Canned (Goose Liver Pate) Smoked</v>
      </c>
      <c r="C934" t="str">
        <f>IFERROR(__xludf.DUMMYFUNCTION("""COMPUTED_VALUE"""),"Meats")</f>
        <v>Meats</v>
      </c>
      <c r="D934">
        <f>IFERROR(__xludf.DUMMYFUNCTION("""COMPUTED_VALUE"""),462.0)</f>
        <v>462</v>
      </c>
      <c r="E934">
        <f>IFERROR(__xludf.DUMMYFUNCTION("""COMPUTED_VALUE"""),43.84)</f>
        <v>43.84</v>
      </c>
      <c r="F934">
        <f>IFERROR(__xludf.DUMMYFUNCTION("""COMPUTED_VALUE"""),11.4)</f>
        <v>11.4</v>
      </c>
      <c r="G934">
        <f>IFERROR(__xludf.DUMMYFUNCTION("""COMPUTED_VALUE"""),4.67)</f>
        <v>4.67</v>
      </c>
    </row>
    <row r="935">
      <c r="A935">
        <f>IFERROR(__xludf.DUMMYFUNCTION("""COMPUTED_VALUE"""),171101.0)</f>
        <v>171101</v>
      </c>
      <c r="B935" t="str">
        <f>IFERROR(__xludf.DUMMYFUNCTION("""COMPUTED_VALUE"""),"Turkey Canned Meat Only With Broth")</f>
        <v>Turkey Canned Meat Only With Broth</v>
      </c>
      <c r="C935" t="str">
        <f>IFERROR(__xludf.DUMMYFUNCTION("""COMPUTED_VALUE"""),"Meats")</f>
        <v>Meats</v>
      </c>
      <c r="D935">
        <f>IFERROR(__xludf.DUMMYFUNCTION("""COMPUTED_VALUE"""),169.0)</f>
        <v>169</v>
      </c>
      <c r="E935">
        <f>IFERROR(__xludf.DUMMYFUNCTION("""COMPUTED_VALUE"""),6.86)</f>
        <v>6.86</v>
      </c>
      <c r="F935">
        <f>IFERROR(__xludf.DUMMYFUNCTION("""COMPUTED_VALUE"""),23.68)</f>
        <v>23.68</v>
      </c>
      <c r="G935">
        <f>IFERROR(__xludf.DUMMYFUNCTION("""COMPUTED_VALUE"""),1.47)</f>
        <v>1.47</v>
      </c>
    </row>
    <row r="936">
      <c r="A936">
        <f>IFERROR(__xludf.DUMMYFUNCTION("""COMPUTED_VALUE"""),171102.0)</f>
        <v>171102</v>
      </c>
      <c r="B936" t="str">
        <f>IFERROR(__xludf.DUMMYFUNCTION("""COMPUTED_VALUE"""),"Turkey Diced Light And Dark Meat Seasoned")</f>
        <v>Turkey Diced Light And Dark Meat Seasoned</v>
      </c>
      <c r="C936" t="str">
        <f>IFERROR(__xludf.DUMMYFUNCTION("""COMPUTED_VALUE"""),"Meats")</f>
        <v>Meats</v>
      </c>
      <c r="D936">
        <f>IFERROR(__xludf.DUMMYFUNCTION("""COMPUTED_VALUE"""),138.0)</f>
        <v>138</v>
      </c>
      <c r="E936">
        <f>IFERROR(__xludf.DUMMYFUNCTION("""COMPUTED_VALUE"""),6.0)</f>
        <v>6</v>
      </c>
      <c r="F936">
        <f>IFERROR(__xludf.DUMMYFUNCTION("""COMPUTED_VALUE"""),18.7)</f>
        <v>18.7</v>
      </c>
      <c r="G936">
        <f>IFERROR(__xludf.DUMMYFUNCTION("""COMPUTED_VALUE"""),1.0)</f>
        <v>1</v>
      </c>
    </row>
    <row r="937">
      <c r="A937">
        <f>IFERROR(__xludf.DUMMYFUNCTION("""COMPUTED_VALUE"""),171103.0)</f>
        <v>171103</v>
      </c>
      <c r="B937" t="str">
        <f>IFERROR(__xludf.DUMMYFUNCTION("""COMPUTED_VALUE"""),"Turkey Sticks Breaded Battered Fried")</f>
        <v>Turkey Sticks Breaded Battered Fried</v>
      </c>
      <c r="C937" t="str">
        <f>IFERROR(__xludf.DUMMYFUNCTION("""COMPUTED_VALUE"""),"Meats")</f>
        <v>Meats</v>
      </c>
      <c r="D937">
        <f>IFERROR(__xludf.DUMMYFUNCTION("""COMPUTED_VALUE"""),279.0)</f>
        <v>279</v>
      </c>
      <c r="E937">
        <f>IFERROR(__xludf.DUMMYFUNCTION("""COMPUTED_VALUE"""),16.9)</f>
        <v>16.9</v>
      </c>
      <c r="F937">
        <f>IFERROR(__xludf.DUMMYFUNCTION("""COMPUTED_VALUE"""),14.2)</f>
        <v>14.2</v>
      </c>
      <c r="G937">
        <f>IFERROR(__xludf.DUMMYFUNCTION("""COMPUTED_VALUE"""),17.0)</f>
        <v>17</v>
      </c>
    </row>
    <row r="938">
      <c r="A938">
        <f>IFERROR(__xludf.DUMMYFUNCTION("""COMPUTED_VALUE"""),171104.0)</f>
        <v>171104</v>
      </c>
      <c r="B938" t="str">
        <f>IFERROR(__xludf.DUMMYFUNCTION("""COMPUTED_VALUE"""),"Poultry Mechanically Deboned From Backs And Necks With Skin Raw")</f>
        <v>Poultry Mechanically Deboned From Backs And Necks With Skin Raw</v>
      </c>
      <c r="C938" t="str">
        <f>IFERROR(__xludf.DUMMYFUNCTION("""COMPUTED_VALUE"""),"Meats")</f>
        <v>Meats</v>
      </c>
      <c r="D938">
        <f>IFERROR(__xludf.DUMMYFUNCTION("""COMPUTED_VALUE"""),272.0)</f>
        <v>272</v>
      </c>
      <c r="E938">
        <f>IFERROR(__xludf.DUMMYFUNCTION("""COMPUTED_VALUE"""),24.73)</f>
        <v>24.73</v>
      </c>
      <c r="F938">
        <f>IFERROR(__xludf.DUMMYFUNCTION("""COMPUTED_VALUE"""),11.39)</f>
        <v>11.39</v>
      </c>
      <c r="G938">
        <f>IFERROR(__xludf.DUMMYFUNCTION("""COMPUTED_VALUE"""),0.0)</f>
        <v>0</v>
      </c>
    </row>
    <row r="939">
      <c r="A939">
        <f>IFERROR(__xludf.DUMMYFUNCTION("""COMPUTED_VALUE"""),171105.0)</f>
        <v>171105</v>
      </c>
      <c r="B939" t="str">
        <f>IFERROR(__xludf.DUMMYFUNCTION("""COMPUTED_VALUE"""),"Poultry Mechanically Deboned From Backs And Necks Without Skin Raw")</f>
        <v>Poultry Mechanically Deboned From Backs And Necks Without Skin Raw</v>
      </c>
      <c r="C939" t="str">
        <f>IFERROR(__xludf.DUMMYFUNCTION("""COMPUTED_VALUE"""),"Meats")</f>
        <v>Meats</v>
      </c>
      <c r="D939">
        <f>IFERROR(__xludf.DUMMYFUNCTION("""COMPUTED_VALUE"""),199.0)</f>
        <v>199</v>
      </c>
      <c r="E939">
        <f>IFERROR(__xludf.DUMMYFUNCTION("""COMPUTED_VALUE"""),15.48)</f>
        <v>15.48</v>
      </c>
      <c r="F939">
        <f>IFERROR(__xludf.DUMMYFUNCTION("""COMPUTED_VALUE"""),13.79)</f>
        <v>13.79</v>
      </c>
      <c r="G939">
        <f>IFERROR(__xludf.DUMMYFUNCTION("""COMPUTED_VALUE"""),0.0)</f>
        <v>0</v>
      </c>
    </row>
    <row r="940">
      <c r="A940">
        <f>IFERROR(__xludf.DUMMYFUNCTION("""COMPUTED_VALUE"""),171106.0)</f>
        <v>171106</v>
      </c>
      <c r="B940" t="str">
        <f>IFERROR(__xludf.DUMMYFUNCTION("""COMPUTED_VALUE"""),"Poultry Mechanically Deboned From Mature Hens Raw")</f>
        <v>Poultry Mechanically Deboned From Mature Hens Raw</v>
      </c>
      <c r="C940" t="str">
        <f>IFERROR(__xludf.DUMMYFUNCTION("""COMPUTED_VALUE"""),"Meats")</f>
        <v>Meats</v>
      </c>
      <c r="D940">
        <f>IFERROR(__xludf.DUMMYFUNCTION("""COMPUTED_VALUE"""),243.0)</f>
        <v>243</v>
      </c>
      <c r="E940">
        <f>IFERROR(__xludf.DUMMYFUNCTION("""COMPUTED_VALUE"""),19.98)</f>
        <v>19.98</v>
      </c>
      <c r="F940">
        <f>IFERROR(__xludf.DUMMYFUNCTION("""COMPUTED_VALUE"""),14.72)</f>
        <v>14.72</v>
      </c>
      <c r="G940">
        <f>IFERROR(__xludf.DUMMYFUNCTION("""COMPUTED_VALUE"""),0.0)</f>
        <v>0</v>
      </c>
    </row>
    <row r="941">
      <c r="A941">
        <f>IFERROR(__xludf.DUMMYFUNCTION("""COMPUTED_VALUE"""),171107.0)</f>
        <v>171107</v>
      </c>
      <c r="B941" t="str">
        <f>IFERROR(__xludf.DUMMYFUNCTION("""COMPUTED_VALUE"""),"Chicken Cornish Game Hens Meat And Skin Cooked Roasted")</f>
        <v>Chicken Cornish Game Hens Meat And Skin Cooked Roasted</v>
      </c>
      <c r="C941" t="str">
        <f>IFERROR(__xludf.DUMMYFUNCTION("""COMPUTED_VALUE"""),"Meats")</f>
        <v>Meats</v>
      </c>
      <c r="D941">
        <f>IFERROR(__xludf.DUMMYFUNCTION("""COMPUTED_VALUE"""),259.0)</f>
        <v>259</v>
      </c>
      <c r="E941">
        <f>IFERROR(__xludf.DUMMYFUNCTION("""COMPUTED_VALUE"""),18.21)</f>
        <v>18.21</v>
      </c>
      <c r="F941">
        <f>IFERROR(__xludf.DUMMYFUNCTION("""COMPUTED_VALUE"""),22.27)</f>
        <v>22.27</v>
      </c>
      <c r="G941">
        <f>IFERROR(__xludf.DUMMYFUNCTION("""COMPUTED_VALUE"""),0.0)</f>
        <v>0</v>
      </c>
    </row>
    <row r="942">
      <c r="A942">
        <f>IFERROR(__xludf.DUMMYFUNCTION("""COMPUTED_VALUE"""),171108.0)</f>
        <v>171108</v>
      </c>
      <c r="B942" t="str">
        <f>IFERROR(__xludf.DUMMYFUNCTION("""COMPUTED_VALUE"""),"Chicken Cornish Game Hens Meat Only Raw")</f>
        <v>Chicken Cornish Game Hens Meat Only Raw</v>
      </c>
      <c r="C942" t="str">
        <f>IFERROR(__xludf.DUMMYFUNCTION("""COMPUTED_VALUE"""),"Meats")</f>
        <v>Meats</v>
      </c>
      <c r="D942">
        <f>IFERROR(__xludf.DUMMYFUNCTION("""COMPUTED_VALUE"""),116.0)</f>
        <v>116</v>
      </c>
      <c r="E942">
        <f>IFERROR(__xludf.DUMMYFUNCTION("""COMPUTED_VALUE"""),3.33)</f>
        <v>3.33</v>
      </c>
      <c r="F942">
        <f>IFERROR(__xludf.DUMMYFUNCTION("""COMPUTED_VALUE"""),20.04)</f>
        <v>20.04</v>
      </c>
      <c r="G942">
        <f>IFERROR(__xludf.DUMMYFUNCTION("""COMPUTED_VALUE"""),0.0)</f>
        <v>0</v>
      </c>
    </row>
    <row r="943">
      <c r="A943">
        <f>IFERROR(__xludf.DUMMYFUNCTION("""COMPUTED_VALUE"""),171109.0)</f>
        <v>171109</v>
      </c>
      <c r="B943" t="str">
        <f>IFERROR(__xludf.DUMMYFUNCTION("""COMPUTED_VALUE"""),"Chicken Cornish Game Hens Meat Only Cooked Roasted")</f>
        <v>Chicken Cornish Game Hens Meat Only Cooked Roasted</v>
      </c>
      <c r="C943" t="str">
        <f>IFERROR(__xludf.DUMMYFUNCTION("""COMPUTED_VALUE"""),"Meats")</f>
        <v>Meats</v>
      </c>
      <c r="D943">
        <f>IFERROR(__xludf.DUMMYFUNCTION("""COMPUTED_VALUE"""),134.0)</f>
        <v>134</v>
      </c>
      <c r="E943">
        <f>IFERROR(__xludf.DUMMYFUNCTION("""COMPUTED_VALUE"""),3.87)</f>
        <v>3.87</v>
      </c>
      <c r="F943">
        <f>IFERROR(__xludf.DUMMYFUNCTION("""COMPUTED_VALUE"""),23.3)</f>
        <v>23.3</v>
      </c>
      <c r="G943">
        <f>IFERROR(__xludf.DUMMYFUNCTION("""COMPUTED_VALUE"""),0.0)</f>
        <v>0</v>
      </c>
    </row>
    <row r="944">
      <c r="A944">
        <f>IFERROR(__xludf.DUMMYFUNCTION("""COMPUTED_VALUE"""),171110.0)</f>
        <v>171110</v>
      </c>
      <c r="B944" t="str">
        <f>IFERROR(__xludf.DUMMYFUNCTION("""COMPUTED_VALUE"""),"Chicken Canned No Broth")</f>
        <v>Chicken Canned No Broth</v>
      </c>
      <c r="C944" t="str">
        <f>IFERROR(__xludf.DUMMYFUNCTION("""COMPUTED_VALUE"""),"Meats")</f>
        <v>Meats</v>
      </c>
      <c r="D944">
        <f>IFERROR(__xludf.DUMMYFUNCTION("""COMPUTED_VALUE"""),185.0)</f>
        <v>185</v>
      </c>
      <c r="E944">
        <f>IFERROR(__xludf.DUMMYFUNCTION("""COMPUTED_VALUE"""),8.1)</f>
        <v>8.1</v>
      </c>
      <c r="F944">
        <f>IFERROR(__xludf.DUMMYFUNCTION("""COMPUTED_VALUE"""),25.3)</f>
        <v>25.3</v>
      </c>
      <c r="G944">
        <f>IFERROR(__xludf.DUMMYFUNCTION("""COMPUTED_VALUE"""),0.9)</f>
        <v>0.9</v>
      </c>
    </row>
    <row r="945">
      <c r="A945">
        <f>IFERROR(__xludf.DUMMYFUNCTION("""COMPUTED_VALUE"""),171111.0)</f>
        <v>171111</v>
      </c>
      <c r="B945" t="str">
        <f>IFERROR(__xludf.DUMMYFUNCTION("""COMPUTED_VALUE"""),"Chicken Wing Frozen Glazed Barbecue Flavored")</f>
        <v>Chicken Wing Frozen Glazed Barbecue Flavored</v>
      </c>
      <c r="C945" t="str">
        <f>IFERROR(__xludf.DUMMYFUNCTION("""COMPUTED_VALUE"""),"Meats")</f>
        <v>Meats</v>
      </c>
      <c r="D945">
        <f>IFERROR(__xludf.DUMMYFUNCTION("""COMPUTED_VALUE"""),211.0)</f>
        <v>211</v>
      </c>
      <c r="E945">
        <f>IFERROR(__xludf.DUMMYFUNCTION("""COMPUTED_VALUE"""),12.67)</f>
        <v>12.67</v>
      </c>
      <c r="F945">
        <f>IFERROR(__xludf.DUMMYFUNCTION("""COMPUTED_VALUE"""),19.67)</f>
        <v>19.67</v>
      </c>
      <c r="G945">
        <f>IFERROR(__xludf.DUMMYFUNCTION("""COMPUTED_VALUE"""),3.34)</f>
        <v>3.34</v>
      </c>
    </row>
    <row r="946">
      <c r="A946">
        <f>IFERROR(__xludf.DUMMYFUNCTION("""COMPUTED_VALUE"""),171112.0)</f>
        <v>171112</v>
      </c>
      <c r="B946" t="str">
        <f>IFERROR(__xludf.DUMMYFUNCTION("""COMPUTED_VALUE"""),"Duck Young Duckling Domesticated White Pekin Leg Meat And Skin Bone In Cooked Roasted")</f>
        <v>Duck Young Duckling Domesticated White Pekin Leg Meat And Skin Bone In Cooked Roasted</v>
      </c>
      <c r="C946" t="str">
        <f>IFERROR(__xludf.DUMMYFUNCTION("""COMPUTED_VALUE"""),"Meats")</f>
        <v>Meats</v>
      </c>
      <c r="D946">
        <f>IFERROR(__xludf.DUMMYFUNCTION("""COMPUTED_VALUE"""),217.0)</f>
        <v>217</v>
      </c>
      <c r="E946">
        <f>IFERROR(__xludf.DUMMYFUNCTION("""COMPUTED_VALUE"""),11.4)</f>
        <v>11.4</v>
      </c>
      <c r="F946">
        <f>IFERROR(__xludf.DUMMYFUNCTION("""COMPUTED_VALUE"""),26.75)</f>
        <v>26.75</v>
      </c>
      <c r="G946">
        <f>IFERROR(__xludf.DUMMYFUNCTION("""COMPUTED_VALUE"""),0.0)</f>
        <v>0</v>
      </c>
    </row>
    <row r="947">
      <c r="A947">
        <f>IFERROR(__xludf.DUMMYFUNCTION("""COMPUTED_VALUE"""),171113.0)</f>
        <v>171113</v>
      </c>
      <c r="B947" t="str">
        <f>IFERROR(__xludf.DUMMYFUNCTION("""COMPUTED_VALUE"""),"Duck Young Duckling Domesticated White Pekin Leg Meat Only Bone In Cooked Without Skin Braised")</f>
        <v>Duck Young Duckling Domesticated White Pekin Leg Meat Only Bone In Cooked Without Skin Braised</v>
      </c>
      <c r="C947" t="str">
        <f>IFERROR(__xludf.DUMMYFUNCTION("""COMPUTED_VALUE"""),"Meats")</f>
        <v>Meats</v>
      </c>
      <c r="D947">
        <f>IFERROR(__xludf.DUMMYFUNCTION("""COMPUTED_VALUE"""),178.0)</f>
        <v>178</v>
      </c>
      <c r="E947">
        <f>IFERROR(__xludf.DUMMYFUNCTION("""COMPUTED_VALUE"""),5.96)</f>
        <v>5.96</v>
      </c>
      <c r="F947">
        <f>IFERROR(__xludf.DUMMYFUNCTION("""COMPUTED_VALUE"""),29.1)</f>
        <v>29.1</v>
      </c>
      <c r="G947">
        <f>IFERROR(__xludf.DUMMYFUNCTION("""COMPUTED_VALUE"""),0.0)</f>
        <v>0</v>
      </c>
    </row>
    <row r="948">
      <c r="A948">
        <f>IFERROR(__xludf.DUMMYFUNCTION("""COMPUTED_VALUE"""),171114.0)</f>
        <v>171114</v>
      </c>
      <c r="B948" t="str">
        <f>IFERROR(__xludf.DUMMYFUNCTION("""COMPUTED_VALUE"""),"Chicken Broiler Rotisserie BBQ Drumstick Meat Only")</f>
        <v>Chicken Broiler Rotisserie BBQ Drumstick Meat Only</v>
      </c>
      <c r="C948" t="str">
        <f>IFERROR(__xludf.DUMMYFUNCTION("""COMPUTED_VALUE"""),"Meats")</f>
        <v>Meats</v>
      </c>
      <c r="D948">
        <f>IFERROR(__xludf.DUMMYFUNCTION("""COMPUTED_VALUE"""),172.0)</f>
        <v>172</v>
      </c>
      <c r="E948">
        <f>IFERROR(__xludf.DUMMYFUNCTION("""COMPUTED_VALUE"""),6.76)</f>
        <v>6.76</v>
      </c>
      <c r="F948">
        <f>IFERROR(__xludf.DUMMYFUNCTION("""COMPUTED_VALUE"""),27.71)</f>
        <v>27.71</v>
      </c>
      <c r="G948">
        <f>IFERROR(__xludf.DUMMYFUNCTION("""COMPUTED_VALUE"""),0.0)</f>
        <v>0</v>
      </c>
    </row>
    <row r="949">
      <c r="A949">
        <f>IFERROR(__xludf.DUMMYFUNCTION("""COMPUTED_VALUE"""),171115.0)</f>
        <v>171115</v>
      </c>
      <c r="B949" t="str">
        <f>IFERROR(__xludf.DUMMYFUNCTION("""COMPUTED_VALUE"""),"Chicken Wing Frozen Glazed Barbecue Flavored Heated (Conventional Oven)")</f>
        <v>Chicken Wing Frozen Glazed Barbecue Flavored Heated (Conventional Oven)</v>
      </c>
      <c r="C949" t="str">
        <f>IFERROR(__xludf.DUMMYFUNCTION("""COMPUTED_VALUE"""),"Meats")</f>
        <v>Meats</v>
      </c>
      <c r="D949">
        <f>IFERROR(__xludf.DUMMYFUNCTION("""COMPUTED_VALUE"""),242.0)</f>
        <v>242</v>
      </c>
      <c r="E949">
        <f>IFERROR(__xludf.DUMMYFUNCTION("""COMPUTED_VALUE"""),14.87)</f>
        <v>14.87</v>
      </c>
      <c r="F949">
        <f>IFERROR(__xludf.DUMMYFUNCTION("""COMPUTED_VALUE"""),22.24)</f>
        <v>22.24</v>
      </c>
      <c r="G949">
        <f>IFERROR(__xludf.DUMMYFUNCTION("""COMPUTED_VALUE"""),3.36)</f>
        <v>3.36</v>
      </c>
    </row>
    <row r="950">
      <c r="A950">
        <f>IFERROR(__xludf.DUMMYFUNCTION("""COMPUTED_VALUE"""),171116.0)</f>
        <v>171116</v>
      </c>
      <c r="B950" t="str">
        <f>IFERROR(__xludf.DUMMYFUNCTION("""COMPUTED_VALUE"""),"Chicken Ground Raw")</f>
        <v>Chicken Ground Raw</v>
      </c>
      <c r="C950" t="str">
        <f>IFERROR(__xludf.DUMMYFUNCTION("""COMPUTED_VALUE"""),"Meats")</f>
        <v>Meats</v>
      </c>
      <c r="D950">
        <f>IFERROR(__xludf.DUMMYFUNCTION("""COMPUTED_VALUE"""),143.0)</f>
        <v>143</v>
      </c>
      <c r="E950">
        <f>IFERROR(__xludf.DUMMYFUNCTION("""COMPUTED_VALUE"""),8.1)</f>
        <v>8.1</v>
      </c>
      <c r="F950">
        <f>IFERROR(__xludf.DUMMYFUNCTION("""COMPUTED_VALUE"""),17.44)</f>
        <v>17.44</v>
      </c>
      <c r="G950">
        <f>IFERROR(__xludf.DUMMYFUNCTION("""COMPUTED_VALUE"""),0.04)</f>
        <v>0.04</v>
      </c>
    </row>
    <row r="951">
      <c r="A951">
        <f>IFERROR(__xludf.DUMMYFUNCTION("""COMPUTED_VALUE"""),171117.0)</f>
        <v>171117</v>
      </c>
      <c r="B951" t="str">
        <f>IFERROR(__xludf.DUMMYFUNCTION("""COMPUTED_VALUE"""),"Chicken Ground Crumbles Cooked Pan-Browned")</f>
        <v>Chicken Ground Crumbles Cooked Pan-Browned</v>
      </c>
      <c r="C951" t="str">
        <f>IFERROR(__xludf.DUMMYFUNCTION("""COMPUTED_VALUE"""),"Meats")</f>
        <v>Meats</v>
      </c>
      <c r="D951">
        <f>IFERROR(__xludf.DUMMYFUNCTION("""COMPUTED_VALUE"""),189.0)</f>
        <v>189</v>
      </c>
      <c r="E951">
        <f>IFERROR(__xludf.DUMMYFUNCTION("""COMPUTED_VALUE"""),10.92)</f>
        <v>10.92</v>
      </c>
      <c r="F951">
        <f>IFERROR(__xludf.DUMMYFUNCTION("""COMPUTED_VALUE"""),23.28)</f>
        <v>23.28</v>
      </c>
      <c r="G951">
        <f>IFERROR(__xludf.DUMMYFUNCTION("""COMPUTED_VALUE"""),0.0)</f>
        <v>0</v>
      </c>
    </row>
    <row r="952">
      <c r="A952">
        <f>IFERROR(__xludf.DUMMYFUNCTION("""COMPUTED_VALUE"""),171118.0)</f>
        <v>171118</v>
      </c>
      <c r="B952" t="str">
        <f>IFERROR(__xludf.DUMMYFUNCTION("""COMPUTED_VALUE"""),"Chicken Broiler Rotisserie BBQ Thigh Meat Only")</f>
        <v>Chicken Broiler Rotisserie BBQ Thigh Meat Only</v>
      </c>
      <c r="C952" t="str">
        <f>IFERROR(__xludf.DUMMYFUNCTION("""COMPUTED_VALUE"""),"Meats")</f>
        <v>Meats</v>
      </c>
      <c r="D952">
        <f>IFERROR(__xludf.DUMMYFUNCTION("""COMPUTED_VALUE"""),193.0)</f>
        <v>193</v>
      </c>
      <c r="E952">
        <f>IFERROR(__xludf.DUMMYFUNCTION("""COMPUTED_VALUE"""),10.74)</f>
        <v>10.74</v>
      </c>
      <c r="F952">
        <f>IFERROR(__xludf.DUMMYFUNCTION("""COMPUTED_VALUE"""),24.09)</f>
        <v>24.09</v>
      </c>
      <c r="G952">
        <f>IFERROR(__xludf.DUMMYFUNCTION("""COMPUTED_VALUE"""),0.0)</f>
        <v>0</v>
      </c>
    </row>
    <row r="953">
      <c r="A953">
        <f>IFERROR(__xludf.DUMMYFUNCTION("""COMPUTED_VALUE"""),171119.0)</f>
        <v>171119</v>
      </c>
      <c r="B953" t="str">
        <f>IFERROR(__xludf.DUMMYFUNCTION("""COMPUTED_VALUE"""),"Chicken Feet Boiled")</f>
        <v>Chicken Feet Boiled</v>
      </c>
      <c r="C953" t="str">
        <f>IFERROR(__xludf.DUMMYFUNCTION("""COMPUTED_VALUE"""),"Meats")</f>
        <v>Meats</v>
      </c>
      <c r="D953">
        <f>IFERROR(__xludf.DUMMYFUNCTION("""COMPUTED_VALUE"""),215.0)</f>
        <v>215</v>
      </c>
      <c r="E953">
        <f>IFERROR(__xludf.DUMMYFUNCTION("""COMPUTED_VALUE"""),14.6)</f>
        <v>14.6</v>
      </c>
      <c r="F953">
        <f>IFERROR(__xludf.DUMMYFUNCTION("""COMPUTED_VALUE"""),19.4)</f>
        <v>19.4</v>
      </c>
      <c r="G953">
        <f>IFERROR(__xludf.DUMMYFUNCTION("""COMPUTED_VALUE"""),0.2)</f>
        <v>0.2</v>
      </c>
    </row>
    <row r="954">
      <c r="A954">
        <f>IFERROR(__xludf.DUMMYFUNCTION("""COMPUTED_VALUE"""),171120.0)</f>
        <v>171120</v>
      </c>
      <c r="B954" t="str">
        <f>IFERROR(__xludf.DUMMYFUNCTION("""COMPUTED_VALUE"""),"Chicken Broilers Or Fryers Thigh Meat Only Cooked Rotisserie Original Seasoning")</f>
        <v>Chicken Broilers Or Fryers Thigh Meat Only Cooked Rotisserie Original Seasoning</v>
      </c>
      <c r="C954" t="str">
        <f>IFERROR(__xludf.DUMMYFUNCTION("""COMPUTED_VALUE"""),"Meats")</f>
        <v>Meats</v>
      </c>
      <c r="D954">
        <f>IFERROR(__xludf.DUMMYFUNCTION("""COMPUTED_VALUE"""),196.0)</f>
        <v>196</v>
      </c>
      <c r="E954">
        <f>IFERROR(__xludf.DUMMYFUNCTION("""COMPUTED_VALUE"""),11.09)</f>
        <v>11.09</v>
      </c>
      <c r="F954">
        <f>IFERROR(__xludf.DUMMYFUNCTION("""COMPUTED_VALUE"""),24.06)</f>
        <v>24.06</v>
      </c>
      <c r="G954">
        <f>IFERROR(__xludf.DUMMYFUNCTION("""COMPUTED_VALUE"""),0.0)</f>
        <v>0</v>
      </c>
    </row>
    <row r="955">
      <c r="A955">
        <f>IFERROR(__xludf.DUMMYFUNCTION("""COMPUTED_VALUE"""),171121.0)</f>
        <v>171121</v>
      </c>
      <c r="B955" t="str">
        <f>IFERROR(__xludf.DUMMYFUNCTION("""COMPUTED_VALUE"""),"Chicken Broilers Or Fryers Wing Meat Only Cooked Rotisserie Original Seasoning")</f>
        <v>Chicken Broilers Or Fryers Wing Meat Only Cooked Rotisserie Original Seasoning</v>
      </c>
      <c r="C955" t="str">
        <f>IFERROR(__xludf.DUMMYFUNCTION("""COMPUTED_VALUE"""),"Meats")</f>
        <v>Meats</v>
      </c>
      <c r="D955">
        <f>IFERROR(__xludf.DUMMYFUNCTION("""COMPUTED_VALUE"""),197.0)</f>
        <v>197</v>
      </c>
      <c r="E955">
        <f>IFERROR(__xludf.DUMMYFUNCTION("""COMPUTED_VALUE"""),9.53)</f>
        <v>9.53</v>
      </c>
      <c r="F955">
        <f>IFERROR(__xludf.DUMMYFUNCTION("""COMPUTED_VALUE"""),27.69)</f>
        <v>27.69</v>
      </c>
      <c r="G955">
        <f>IFERROR(__xludf.DUMMYFUNCTION("""COMPUTED_VALUE"""),0.0)</f>
        <v>0</v>
      </c>
    </row>
    <row r="956">
      <c r="A956">
        <f>IFERROR(__xludf.DUMMYFUNCTION("""COMPUTED_VALUE"""),171122.0)</f>
        <v>171122</v>
      </c>
      <c r="B956" t="str">
        <f>IFERROR(__xludf.DUMMYFUNCTION("""COMPUTED_VALUE"""),"Chicken Broilers Or Fryers Back Meat And Skin Cooked Rotisserie Original Seasoning")</f>
        <v>Chicken Broilers Or Fryers Back Meat And Skin Cooked Rotisserie Original Seasoning</v>
      </c>
      <c r="C956" t="str">
        <f>IFERROR(__xludf.DUMMYFUNCTION("""COMPUTED_VALUE"""),"Meats")</f>
        <v>Meats</v>
      </c>
      <c r="D956">
        <f>IFERROR(__xludf.DUMMYFUNCTION("""COMPUTED_VALUE"""),260.0)</f>
        <v>260</v>
      </c>
      <c r="E956">
        <f>IFERROR(__xludf.DUMMYFUNCTION("""COMPUTED_VALUE"""),18.59)</f>
        <v>18.59</v>
      </c>
      <c r="F956">
        <f>IFERROR(__xludf.DUMMYFUNCTION("""COMPUTED_VALUE"""),23.23)</f>
        <v>23.23</v>
      </c>
      <c r="G956">
        <f>IFERROR(__xludf.DUMMYFUNCTION("""COMPUTED_VALUE"""),0.03)</f>
        <v>0.03</v>
      </c>
    </row>
    <row r="957">
      <c r="A957">
        <f>IFERROR(__xludf.DUMMYFUNCTION("""COMPUTED_VALUE"""),171123.0)</f>
        <v>171123</v>
      </c>
      <c r="B957" t="str">
        <f>IFERROR(__xludf.DUMMYFUNCTION("""COMPUTED_VALUE"""),"Chicken Broilers Or Fryers Breast Meat And Skin Cooked Rotisserie Original Seasoning")</f>
        <v>Chicken Broilers Or Fryers Breast Meat And Skin Cooked Rotisserie Original Seasoning</v>
      </c>
      <c r="C957" t="str">
        <f>IFERROR(__xludf.DUMMYFUNCTION("""COMPUTED_VALUE"""),"Meats")</f>
        <v>Meats</v>
      </c>
      <c r="D957">
        <f>IFERROR(__xludf.DUMMYFUNCTION("""COMPUTED_VALUE"""),184.0)</f>
        <v>184</v>
      </c>
      <c r="E957">
        <f>IFERROR(__xludf.DUMMYFUNCTION("""COMPUTED_VALUE"""),8.18)</f>
        <v>8.18</v>
      </c>
      <c r="F957">
        <f>IFERROR(__xludf.DUMMYFUNCTION("""COMPUTED_VALUE"""),27.48)</f>
        <v>27.48</v>
      </c>
      <c r="G957">
        <f>IFERROR(__xludf.DUMMYFUNCTION("""COMPUTED_VALUE"""),0.02)</f>
        <v>0.02</v>
      </c>
    </row>
    <row r="958">
      <c r="A958">
        <f>IFERROR(__xludf.DUMMYFUNCTION("""COMPUTED_VALUE"""),171124.0)</f>
        <v>171124</v>
      </c>
      <c r="B958" t="str">
        <f>IFERROR(__xludf.DUMMYFUNCTION("""COMPUTED_VALUE"""),"Chicken Broiler Rotisserie BBQ Back Meat And Skin")</f>
        <v>Chicken Broiler Rotisserie BBQ Back Meat And Skin</v>
      </c>
      <c r="C958" t="str">
        <f>IFERROR(__xludf.DUMMYFUNCTION("""COMPUTED_VALUE"""),"Meats")</f>
        <v>Meats</v>
      </c>
      <c r="D958">
        <f>IFERROR(__xludf.DUMMYFUNCTION("""COMPUTED_VALUE"""),251.0)</f>
        <v>251</v>
      </c>
      <c r="E958">
        <f>IFERROR(__xludf.DUMMYFUNCTION("""COMPUTED_VALUE"""),18.86)</f>
        <v>18.86</v>
      </c>
      <c r="F958">
        <f>IFERROR(__xludf.DUMMYFUNCTION("""COMPUTED_VALUE"""),20.29)</f>
        <v>20.29</v>
      </c>
      <c r="G958">
        <f>IFERROR(__xludf.DUMMYFUNCTION("""COMPUTED_VALUE"""),0.4)</f>
        <v>0.4</v>
      </c>
    </row>
    <row r="959">
      <c r="A959">
        <f>IFERROR(__xludf.DUMMYFUNCTION("""COMPUTED_VALUE"""),171125.0)</f>
        <v>171125</v>
      </c>
      <c r="B959" t="str">
        <f>IFERROR(__xludf.DUMMYFUNCTION("""COMPUTED_VALUE"""),"Chicken Broiler Rotisserie BBQ Breast Meat And Skin")</f>
        <v>Chicken Broiler Rotisserie BBQ Breast Meat And Skin</v>
      </c>
      <c r="C959" t="str">
        <f>IFERROR(__xludf.DUMMYFUNCTION("""COMPUTED_VALUE"""),"Meats")</f>
        <v>Meats</v>
      </c>
      <c r="D959">
        <f>IFERROR(__xludf.DUMMYFUNCTION("""COMPUTED_VALUE"""),175.0)</f>
        <v>175</v>
      </c>
      <c r="E959">
        <f>IFERROR(__xludf.DUMMYFUNCTION("""COMPUTED_VALUE"""),7.67)</f>
        <v>7.67</v>
      </c>
      <c r="F959">
        <f>IFERROR(__xludf.DUMMYFUNCTION("""COMPUTED_VALUE"""),26.37)</f>
        <v>26.37</v>
      </c>
      <c r="G959">
        <f>IFERROR(__xludf.DUMMYFUNCTION("""COMPUTED_VALUE"""),0.09)</f>
        <v>0.09</v>
      </c>
    </row>
    <row r="960">
      <c r="A960">
        <f>IFERROR(__xludf.DUMMYFUNCTION("""COMPUTED_VALUE"""),171126.0)</f>
        <v>171126</v>
      </c>
      <c r="B960" t="str">
        <f>IFERROR(__xludf.DUMMYFUNCTION("""COMPUTED_VALUE"""),"Chicken Broiler Rotisserie BBQ Drumstick Meat And Skin")</f>
        <v>Chicken Broiler Rotisserie BBQ Drumstick Meat And Skin</v>
      </c>
      <c r="C960" t="str">
        <f>IFERROR(__xludf.DUMMYFUNCTION("""COMPUTED_VALUE"""),"Meats")</f>
        <v>Meats</v>
      </c>
      <c r="D960">
        <f>IFERROR(__xludf.DUMMYFUNCTION("""COMPUTED_VALUE"""),206.0)</f>
        <v>206</v>
      </c>
      <c r="E960">
        <f>IFERROR(__xludf.DUMMYFUNCTION("""COMPUTED_VALUE"""),11.46)</f>
        <v>11.46</v>
      </c>
      <c r="F960">
        <f>IFERROR(__xludf.DUMMYFUNCTION("""COMPUTED_VALUE"""),25.65)</f>
        <v>25.65</v>
      </c>
      <c r="G960">
        <f>IFERROR(__xludf.DUMMYFUNCTION("""COMPUTED_VALUE"""),0.12)</f>
        <v>0.12</v>
      </c>
    </row>
    <row r="961">
      <c r="A961">
        <f>IFERROR(__xludf.DUMMYFUNCTION("""COMPUTED_VALUE"""),171127.0)</f>
        <v>171127</v>
      </c>
      <c r="B961" t="str">
        <f>IFERROR(__xludf.DUMMYFUNCTION("""COMPUTED_VALUE"""),"Chicken Broiler Rotisserie BBQ Thigh Meat And Skin")</f>
        <v>Chicken Broiler Rotisserie BBQ Thigh Meat And Skin</v>
      </c>
      <c r="C961" t="str">
        <f>IFERROR(__xludf.DUMMYFUNCTION("""COMPUTED_VALUE"""),"Meats")</f>
        <v>Meats</v>
      </c>
      <c r="D961">
        <f>IFERROR(__xludf.DUMMYFUNCTION("""COMPUTED_VALUE"""),226.0)</f>
        <v>226</v>
      </c>
      <c r="E961">
        <f>IFERROR(__xludf.DUMMYFUNCTION("""COMPUTED_VALUE"""),15.08)</f>
        <v>15.08</v>
      </c>
      <c r="F961">
        <f>IFERROR(__xludf.DUMMYFUNCTION("""COMPUTED_VALUE"""),22.51)</f>
        <v>22.51</v>
      </c>
      <c r="G961">
        <f>IFERROR(__xludf.DUMMYFUNCTION("""COMPUTED_VALUE"""),0.12)</f>
        <v>0.12</v>
      </c>
    </row>
    <row r="962">
      <c r="A962">
        <f>IFERROR(__xludf.DUMMYFUNCTION("""COMPUTED_VALUE"""),171128.0)</f>
        <v>171128</v>
      </c>
      <c r="B962" t="str">
        <f>IFERROR(__xludf.DUMMYFUNCTION("""COMPUTED_VALUE"""),"Turkey Drumstick From Whole Bird Meat Only With Added Solution Roasted")</f>
        <v>Turkey Drumstick From Whole Bird Meat Only With Added Solution Roasted</v>
      </c>
      <c r="C962" t="str">
        <f>IFERROR(__xludf.DUMMYFUNCTION("""COMPUTED_VALUE"""),"Meats")</f>
        <v>Meats</v>
      </c>
      <c r="D962">
        <f>IFERROR(__xludf.DUMMYFUNCTION("""COMPUTED_VALUE"""),158.0)</f>
        <v>158</v>
      </c>
      <c r="E962">
        <f>IFERROR(__xludf.DUMMYFUNCTION("""COMPUTED_VALUE"""),6.0)</f>
        <v>6</v>
      </c>
      <c r="F962">
        <f>IFERROR(__xludf.DUMMYFUNCTION("""COMPUTED_VALUE"""),26.1)</f>
        <v>26.1</v>
      </c>
      <c r="G962">
        <f>IFERROR(__xludf.DUMMYFUNCTION("""COMPUTED_VALUE"""),0.0)</f>
        <v>0</v>
      </c>
    </row>
    <row r="963">
      <c r="A963">
        <f>IFERROR(__xludf.DUMMYFUNCTION("""COMPUTED_VALUE"""),171129.0)</f>
        <v>171129</v>
      </c>
      <c r="B963" t="str">
        <f>IFERROR(__xludf.DUMMYFUNCTION("""COMPUTED_VALUE"""),"Turkey Thigh From Whole Bird Meat Only With Added Solution Raw")</f>
        <v>Turkey Thigh From Whole Bird Meat Only With Added Solution Raw</v>
      </c>
      <c r="C963" t="str">
        <f>IFERROR(__xludf.DUMMYFUNCTION("""COMPUTED_VALUE"""),"Meats")</f>
        <v>Meats</v>
      </c>
      <c r="D963">
        <f>IFERROR(__xludf.DUMMYFUNCTION("""COMPUTED_VALUE"""),115.0)</f>
        <v>115</v>
      </c>
      <c r="E963">
        <f>IFERROR(__xludf.DUMMYFUNCTION("""COMPUTED_VALUE"""),4.12)</f>
        <v>4.12</v>
      </c>
      <c r="F963">
        <f>IFERROR(__xludf.DUMMYFUNCTION("""COMPUTED_VALUE"""),19.27)</f>
        <v>19.27</v>
      </c>
      <c r="G963">
        <f>IFERROR(__xludf.DUMMYFUNCTION("""COMPUTED_VALUE"""),0.15)</f>
        <v>0.15</v>
      </c>
    </row>
    <row r="964">
      <c r="A964">
        <f>IFERROR(__xludf.DUMMYFUNCTION("""COMPUTED_VALUE"""),171130.0)</f>
        <v>171130</v>
      </c>
      <c r="B964" t="str">
        <f>IFERROR(__xludf.DUMMYFUNCTION("""COMPUTED_VALUE"""),"Turkey Retail Parts Breast Meat And Skin With Added Solution Raw")</f>
        <v>Turkey Retail Parts Breast Meat And Skin With Added Solution Raw</v>
      </c>
      <c r="C964" t="str">
        <f>IFERROR(__xludf.DUMMYFUNCTION("""COMPUTED_VALUE"""),"Meats")</f>
        <v>Meats</v>
      </c>
      <c r="D964">
        <f>IFERROR(__xludf.DUMMYFUNCTION("""COMPUTED_VALUE"""),144.0)</f>
        <v>144</v>
      </c>
      <c r="E964">
        <f>IFERROR(__xludf.DUMMYFUNCTION("""COMPUTED_VALUE"""),6.75)</f>
        <v>6.75</v>
      </c>
      <c r="F964">
        <f>IFERROR(__xludf.DUMMYFUNCTION("""COMPUTED_VALUE"""),20.79)</f>
        <v>20.79</v>
      </c>
      <c r="G964">
        <f>IFERROR(__xludf.DUMMYFUNCTION("""COMPUTED_VALUE"""),0.03)</f>
        <v>0.03</v>
      </c>
    </row>
    <row r="965">
      <c r="A965">
        <f>IFERROR(__xludf.DUMMYFUNCTION("""COMPUTED_VALUE"""),171131.0)</f>
        <v>171131</v>
      </c>
      <c r="B965" t="str">
        <f>IFERROR(__xludf.DUMMYFUNCTION("""COMPUTED_VALUE"""),"Turkey Thigh From Whole Bird Meat Only With Added Solution Roasted")</f>
        <v>Turkey Thigh From Whole Bird Meat Only With Added Solution Roasted</v>
      </c>
      <c r="C965" t="str">
        <f>IFERROR(__xludf.DUMMYFUNCTION("""COMPUTED_VALUE"""),"Meats")</f>
        <v>Meats</v>
      </c>
      <c r="D965">
        <f>IFERROR(__xludf.DUMMYFUNCTION("""COMPUTED_VALUE"""),158.0)</f>
        <v>158</v>
      </c>
      <c r="E965">
        <f>IFERROR(__xludf.DUMMYFUNCTION("""COMPUTED_VALUE"""),6.0)</f>
        <v>6</v>
      </c>
      <c r="F965">
        <f>IFERROR(__xludf.DUMMYFUNCTION("""COMPUTED_VALUE"""),26.1)</f>
        <v>26.1</v>
      </c>
      <c r="G965">
        <f>IFERROR(__xludf.DUMMYFUNCTION("""COMPUTED_VALUE"""),0.0)</f>
        <v>0</v>
      </c>
    </row>
    <row r="966">
      <c r="A966">
        <f>IFERROR(__xludf.DUMMYFUNCTION("""COMPUTED_VALUE"""),171132.0)</f>
        <v>171132</v>
      </c>
      <c r="B966" t="str">
        <f>IFERROR(__xludf.DUMMYFUNCTION("""COMPUTED_VALUE"""),"Turkey Retail Parts Wing Meat And Skin Raw")</f>
        <v>Turkey Retail Parts Wing Meat And Skin Raw</v>
      </c>
      <c r="C966" t="str">
        <f>IFERROR(__xludf.DUMMYFUNCTION("""COMPUTED_VALUE"""),"Meats")</f>
        <v>Meats</v>
      </c>
      <c r="D966">
        <f>IFERROR(__xludf.DUMMYFUNCTION("""COMPUTED_VALUE"""),202.0)</f>
        <v>202</v>
      </c>
      <c r="E966">
        <f>IFERROR(__xludf.DUMMYFUNCTION("""COMPUTED_VALUE"""),13.79)</f>
        <v>13.79</v>
      </c>
      <c r="F966">
        <f>IFERROR(__xludf.DUMMYFUNCTION("""COMPUTED_VALUE"""),19.53)</f>
        <v>19.53</v>
      </c>
      <c r="G966">
        <f>IFERROR(__xludf.DUMMYFUNCTION("""COMPUTED_VALUE"""),0.05)</f>
        <v>0.05</v>
      </c>
    </row>
    <row r="967">
      <c r="A967">
        <f>IFERROR(__xludf.DUMMYFUNCTION("""COMPUTED_VALUE"""),171133.0)</f>
        <v>171133</v>
      </c>
      <c r="B967" t="str">
        <f>IFERROR(__xludf.DUMMYFUNCTION("""COMPUTED_VALUE"""),"Turkey Retail Parts Wing Meat And Skin Cooked Roasted")</f>
        <v>Turkey Retail Parts Wing Meat And Skin Cooked Roasted</v>
      </c>
      <c r="C967" t="str">
        <f>IFERROR(__xludf.DUMMYFUNCTION("""COMPUTED_VALUE"""),"Meats")</f>
        <v>Meats</v>
      </c>
      <c r="D967">
        <f>IFERROR(__xludf.DUMMYFUNCTION("""COMPUTED_VALUE"""),235.0)</f>
        <v>235</v>
      </c>
      <c r="E967">
        <f>IFERROR(__xludf.DUMMYFUNCTION("""COMPUTED_VALUE"""),13.29)</f>
        <v>13.29</v>
      </c>
      <c r="F967">
        <f>IFERROR(__xludf.DUMMYFUNCTION("""COMPUTED_VALUE"""),28.74)</f>
        <v>28.74</v>
      </c>
      <c r="G967">
        <f>IFERROR(__xludf.DUMMYFUNCTION("""COMPUTED_VALUE"""),0.13)</f>
        <v>0.13</v>
      </c>
    </row>
    <row r="968">
      <c r="A968">
        <f>IFERROR(__xludf.DUMMYFUNCTION("""COMPUTED_VALUE"""),171134.0)</f>
        <v>171134</v>
      </c>
      <c r="B968" t="str">
        <f>IFERROR(__xludf.DUMMYFUNCTION("""COMPUTED_VALUE"""),"Turkey Retail Parts Drumstick Meat And Skin Raw")</f>
        <v>Turkey Retail Parts Drumstick Meat And Skin Raw</v>
      </c>
      <c r="C968" t="str">
        <f>IFERROR(__xludf.DUMMYFUNCTION("""COMPUTED_VALUE"""),"Meats")</f>
        <v>Meats</v>
      </c>
      <c r="D968">
        <f>IFERROR(__xludf.DUMMYFUNCTION("""COMPUTED_VALUE"""),141.0)</f>
        <v>141</v>
      </c>
      <c r="E968">
        <f>IFERROR(__xludf.DUMMYFUNCTION("""COMPUTED_VALUE"""),6.84)</f>
        <v>6.84</v>
      </c>
      <c r="F968">
        <f>IFERROR(__xludf.DUMMYFUNCTION("""COMPUTED_VALUE"""),19.96)</f>
        <v>19.96</v>
      </c>
      <c r="G968">
        <f>IFERROR(__xludf.DUMMYFUNCTION("""COMPUTED_VALUE"""),0.0)</f>
        <v>0</v>
      </c>
    </row>
    <row r="969">
      <c r="A969">
        <f>IFERROR(__xludf.DUMMYFUNCTION("""COMPUTED_VALUE"""),171135.0)</f>
        <v>171135</v>
      </c>
      <c r="B969" t="str">
        <f>IFERROR(__xludf.DUMMYFUNCTION("""COMPUTED_VALUE"""),"Turkey Retail Parts Drumstick Meat And Skin Cooked Roasted")</f>
        <v>Turkey Retail Parts Drumstick Meat And Skin Cooked Roasted</v>
      </c>
      <c r="C969" t="str">
        <f>IFERROR(__xludf.DUMMYFUNCTION("""COMPUTED_VALUE"""),"Meats")</f>
        <v>Meats</v>
      </c>
      <c r="D969">
        <f>IFERROR(__xludf.DUMMYFUNCTION("""COMPUTED_VALUE"""),197.0)</f>
        <v>197</v>
      </c>
      <c r="E969">
        <f>IFERROR(__xludf.DUMMYFUNCTION("""COMPUTED_VALUE"""),9.37)</f>
        <v>9.37</v>
      </c>
      <c r="F969">
        <f>IFERROR(__xludf.DUMMYFUNCTION("""COMPUTED_VALUE"""),28.21)</f>
        <v>28.21</v>
      </c>
      <c r="G969">
        <f>IFERROR(__xludf.DUMMYFUNCTION("""COMPUTED_VALUE"""),0.0)</f>
        <v>0</v>
      </c>
    </row>
    <row r="970">
      <c r="A970">
        <f>IFERROR(__xludf.DUMMYFUNCTION("""COMPUTED_VALUE"""),171136.0)</f>
        <v>171136</v>
      </c>
      <c r="B970" t="str">
        <f>IFERROR(__xludf.DUMMYFUNCTION("""COMPUTED_VALUE"""),"Turkey Drumstick From Whole Bird Meat Only Raw")</f>
        <v>Turkey Drumstick From Whole Bird Meat Only Raw</v>
      </c>
      <c r="C970" t="str">
        <f>IFERROR(__xludf.DUMMYFUNCTION("""COMPUTED_VALUE"""),"Meats")</f>
        <v>Meats</v>
      </c>
      <c r="D970">
        <f>IFERROR(__xludf.DUMMYFUNCTION("""COMPUTED_VALUE"""),109.0)</f>
        <v>109</v>
      </c>
      <c r="E970">
        <f>IFERROR(__xludf.DUMMYFUNCTION("""COMPUTED_VALUE"""),1.48)</f>
        <v>1.48</v>
      </c>
      <c r="F970">
        <f>IFERROR(__xludf.DUMMYFUNCTION("""COMPUTED_VALUE"""),23.66)</f>
        <v>23.66</v>
      </c>
      <c r="G970">
        <f>IFERROR(__xludf.DUMMYFUNCTION("""COMPUTED_VALUE"""),0.14)</f>
        <v>0.14</v>
      </c>
    </row>
    <row r="971">
      <c r="A971">
        <f>IFERROR(__xludf.DUMMYFUNCTION("""COMPUTED_VALUE"""),171137.0)</f>
        <v>171137</v>
      </c>
      <c r="B971" t="str">
        <f>IFERROR(__xludf.DUMMYFUNCTION("""COMPUTED_VALUE"""),"Turkey Retail Parts Thigh Meat And Skin Cooked Roasted")</f>
        <v>Turkey Retail Parts Thigh Meat And Skin Cooked Roasted</v>
      </c>
      <c r="C971" t="str">
        <f>IFERROR(__xludf.DUMMYFUNCTION("""COMPUTED_VALUE"""),"Meats")</f>
        <v>Meats</v>
      </c>
      <c r="D971">
        <f>IFERROR(__xludf.DUMMYFUNCTION("""COMPUTED_VALUE"""),183.0)</f>
        <v>183</v>
      </c>
      <c r="E971">
        <f>IFERROR(__xludf.DUMMYFUNCTION("""COMPUTED_VALUE"""),9.5)</f>
        <v>9.5</v>
      </c>
      <c r="F971">
        <f>IFERROR(__xludf.DUMMYFUNCTION("""COMPUTED_VALUE"""),23.95)</f>
        <v>23.95</v>
      </c>
      <c r="G971">
        <f>IFERROR(__xludf.DUMMYFUNCTION("""COMPUTED_VALUE"""),0.41)</f>
        <v>0.41</v>
      </c>
    </row>
    <row r="972">
      <c r="A972">
        <f>IFERROR(__xludf.DUMMYFUNCTION("""COMPUTED_VALUE"""),171138.0)</f>
        <v>171138</v>
      </c>
      <c r="B972" t="str">
        <f>IFERROR(__xludf.DUMMYFUNCTION("""COMPUTED_VALUE"""),"Turkey Back From Whole Bird Meat And Skin With Added Solution Raw")</f>
        <v>Turkey Back From Whole Bird Meat And Skin With Added Solution Raw</v>
      </c>
      <c r="C972" t="str">
        <f>IFERROR(__xludf.DUMMYFUNCTION("""COMPUTED_VALUE"""),"Meats")</f>
        <v>Meats</v>
      </c>
      <c r="D972">
        <f>IFERROR(__xludf.DUMMYFUNCTION("""COMPUTED_VALUE"""),206.0)</f>
        <v>206</v>
      </c>
      <c r="E972">
        <f>IFERROR(__xludf.DUMMYFUNCTION("""COMPUTED_VALUE"""),15.41)</f>
        <v>15.41</v>
      </c>
      <c r="F972">
        <f>IFERROR(__xludf.DUMMYFUNCTION("""COMPUTED_VALUE"""),16.86)</f>
        <v>16.86</v>
      </c>
      <c r="G972">
        <f>IFERROR(__xludf.DUMMYFUNCTION("""COMPUTED_VALUE"""),0.15)</f>
        <v>0.15</v>
      </c>
    </row>
    <row r="973">
      <c r="A973">
        <f>IFERROR(__xludf.DUMMYFUNCTION("""COMPUTED_VALUE"""),171139.0)</f>
        <v>171139</v>
      </c>
      <c r="B973" t="str">
        <f>IFERROR(__xludf.DUMMYFUNCTION("""COMPUTED_VALUE"""),"Turkey Back From Whole Bird Meat And Skin With Added Solution Roasted")</f>
        <v>Turkey Back From Whole Bird Meat And Skin With Added Solution Roasted</v>
      </c>
      <c r="C973" t="str">
        <f>IFERROR(__xludf.DUMMYFUNCTION("""COMPUTED_VALUE"""),"Meats")</f>
        <v>Meats</v>
      </c>
      <c r="D973">
        <f>IFERROR(__xludf.DUMMYFUNCTION("""COMPUTED_VALUE"""),205.0)</f>
        <v>205</v>
      </c>
      <c r="E973">
        <f>IFERROR(__xludf.DUMMYFUNCTION("""COMPUTED_VALUE"""),11.36)</f>
        <v>11.36</v>
      </c>
      <c r="F973">
        <f>IFERROR(__xludf.DUMMYFUNCTION("""COMPUTED_VALUE"""),25.8)</f>
        <v>25.8</v>
      </c>
      <c r="G973">
        <f>IFERROR(__xludf.DUMMYFUNCTION("""COMPUTED_VALUE"""),0.0)</f>
        <v>0</v>
      </c>
    </row>
    <row r="974">
      <c r="A974">
        <f>IFERROR(__xludf.DUMMYFUNCTION("""COMPUTED_VALUE"""),171140.0)</f>
        <v>171140</v>
      </c>
      <c r="B974" t="str">
        <f>IFERROR(__xludf.DUMMYFUNCTION("""COMPUTED_VALUE"""),"Lean Chicken Breast (Cooked)")</f>
        <v>Lean Chicken Breast (Cooked)</v>
      </c>
      <c r="C974" t="str">
        <f>IFERROR(__xludf.DUMMYFUNCTION("""COMPUTED_VALUE"""),"Meats")</f>
        <v>Meats</v>
      </c>
      <c r="D974">
        <f>IFERROR(__xludf.DUMMYFUNCTION("""COMPUTED_VALUE"""),157.0)</f>
        <v>157</v>
      </c>
      <c r="E974">
        <f>IFERROR(__xludf.DUMMYFUNCTION("""COMPUTED_VALUE"""),3.24)</f>
        <v>3.24</v>
      </c>
      <c r="F974">
        <f>IFERROR(__xludf.DUMMYFUNCTION("""COMPUTED_VALUE"""),32.06)</f>
        <v>32.06</v>
      </c>
      <c r="G974">
        <f>IFERROR(__xludf.DUMMYFUNCTION("""COMPUTED_VALUE"""),0.0)</f>
        <v>0</v>
      </c>
    </row>
    <row r="975">
      <c r="A975">
        <f>IFERROR(__xludf.DUMMYFUNCTION("""COMPUTED_VALUE"""),171193.0)</f>
        <v>171193</v>
      </c>
      <c r="B975" t="str">
        <f>IFERROR(__xludf.DUMMYFUNCTION("""COMPUTED_VALUE"""),"Beef Chuck Short Ribs Boneless Separable Lean Only Trimmed To 0 Inch Fat Select Raw")</f>
        <v>Beef Chuck Short Ribs Boneless Separable Lean Only Trimmed To 0 Inch Fat Select Raw</v>
      </c>
      <c r="C975" t="str">
        <f>IFERROR(__xludf.DUMMYFUNCTION("""COMPUTED_VALUE"""),"Meats")</f>
        <v>Meats</v>
      </c>
      <c r="D975">
        <f>IFERROR(__xludf.DUMMYFUNCTION("""COMPUTED_VALUE"""),161.0)</f>
        <v>161</v>
      </c>
      <c r="E975">
        <f>IFERROR(__xludf.DUMMYFUNCTION("""COMPUTED_VALUE"""),8.99)</f>
        <v>8.99</v>
      </c>
      <c r="F975">
        <f>IFERROR(__xludf.DUMMYFUNCTION("""COMPUTED_VALUE"""),20.14)</f>
        <v>20.14</v>
      </c>
      <c r="G975">
        <f>IFERROR(__xludf.DUMMYFUNCTION("""COMPUTED_VALUE"""),0.0)</f>
        <v>0</v>
      </c>
    </row>
    <row r="976">
      <c r="A976">
        <f>IFERROR(__xludf.DUMMYFUNCTION("""COMPUTED_VALUE"""),171194.0)</f>
        <v>171194</v>
      </c>
      <c r="B976" t="str">
        <f>IFERROR(__xludf.DUMMYFUNCTION("""COMPUTED_VALUE"""),"Beef Chuck Eye Country-Style Ribs Boneless Separable Lean Only Trimmed To 0 Inch Fat Select Raw")</f>
        <v>Beef Chuck Eye Country-Style Ribs Boneless Separable Lean Only Trimmed To 0 Inch Fat Select Raw</v>
      </c>
      <c r="C976" t="str">
        <f>IFERROR(__xludf.DUMMYFUNCTION("""COMPUTED_VALUE"""),"Meats")</f>
        <v>Meats</v>
      </c>
      <c r="D976">
        <f>IFERROR(__xludf.DUMMYFUNCTION("""COMPUTED_VALUE"""),137.0)</f>
        <v>137</v>
      </c>
      <c r="E976">
        <f>IFERROR(__xludf.DUMMYFUNCTION("""COMPUTED_VALUE"""),5.89)</f>
        <v>5.89</v>
      </c>
      <c r="F976">
        <f>IFERROR(__xludf.DUMMYFUNCTION("""COMPUTED_VALUE"""),21.1)</f>
        <v>21.1</v>
      </c>
      <c r="G976">
        <f>IFERROR(__xludf.DUMMYFUNCTION("""COMPUTED_VALUE"""),0.0)</f>
        <v>0</v>
      </c>
    </row>
    <row r="977">
      <c r="A977">
        <f>IFERROR(__xludf.DUMMYFUNCTION("""COMPUTED_VALUE"""),171195.0)</f>
        <v>171195</v>
      </c>
      <c r="B977" t="str">
        <f>IFERROR(__xludf.DUMMYFUNCTION("""COMPUTED_VALUE"""),"Beef Chuck Eye Country-Style Ribs Boneless Separable Lean Only Trimmed To 0 Inch Fat All Grades Raw")</f>
        <v>Beef Chuck Eye Country-Style Ribs Boneless Separable Lean Only Trimmed To 0 Inch Fat All Grades Raw</v>
      </c>
      <c r="C977" t="str">
        <f>IFERROR(__xludf.DUMMYFUNCTION("""COMPUTED_VALUE"""),"Meats")</f>
        <v>Meats</v>
      </c>
      <c r="D977">
        <f>IFERROR(__xludf.DUMMYFUNCTION("""COMPUTED_VALUE"""),146.0)</f>
        <v>146</v>
      </c>
      <c r="E977">
        <f>IFERROR(__xludf.DUMMYFUNCTION("""COMPUTED_VALUE"""),6.95)</f>
        <v>6.95</v>
      </c>
      <c r="F977">
        <f>IFERROR(__xludf.DUMMYFUNCTION("""COMPUTED_VALUE"""),20.96)</f>
        <v>20.96</v>
      </c>
      <c r="G977">
        <f>IFERROR(__xludf.DUMMYFUNCTION("""COMPUTED_VALUE"""),0.0)</f>
        <v>0</v>
      </c>
    </row>
    <row r="978">
      <c r="A978">
        <f>IFERROR(__xludf.DUMMYFUNCTION("""COMPUTED_VALUE"""),171196.0)</f>
        <v>171196</v>
      </c>
      <c r="B978" t="str">
        <f>IFERROR(__xludf.DUMMYFUNCTION("""COMPUTED_VALUE"""),"Beef Chuck Eye Steak Boneless Separable Lean Only Trimmed To 0 Inch Fat Choice Cooked Grilled")</f>
        <v>Beef Chuck Eye Steak Boneless Separable Lean Only Trimmed To 0 Inch Fat Choice Cooked Grilled</v>
      </c>
      <c r="C978" t="str">
        <f>IFERROR(__xludf.DUMMYFUNCTION("""COMPUTED_VALUE"""),"Meats")</f>
        <v>Meats</v>
      </c>
      <c r="D978">
        <f>IFERROR(__xludf.DUMMYFUNCTION("""COMPUTED_VALUE"""),215.0)</f>
        <v>215</v>
      </c>
      <c r="E978">
        <f>IFERROR(__xludf.DUMMYFUNCTION("""COMPUTED_VALUE"""),11.47)</f>
        <v>11.47</v>
      </c>
      <c r="F978">
        <f>IFERROR(__xludf.DUMMYFUNCTION("""COMPUTED_VALUE"""),27.97)</f>
        <v>27.97</v>
      </c>
      <c r="G978">
        <f>IFERROR(__xludf.DUMMYFUNCTION("""COMPUTED_VALUE"""),0.0)</f>
        <v>0</v>
      </c>
    </row>
    <row r="979">
      <c r="A979">
        <f>IFERROR(__xludf.DUMMYFUNCTION("""COMPUTED_VALUE"""),171197.0)</f>
        <v>171197</v>
      </c>
      <c r="B979" t="str">
        <f>IFERROR(__xludf.DUMMYFUNCTION("""COMPUTED_VALUE"""),"Beef Chuck Eye Steak Boneless Separable Lean Only Trimmed To 0 Inch Fat Select Cooked Grilled")</f>
        <v>Beef Chuck Eye Steak Boneless Separable Lean Only Trimmed To 0 Inch Fat Select Cooked Grilled</v>
      </c>
      <c r="C979" t="str">
        <f>IFERROR(__xludf.DUMMYFUNCTION("""COMPUTED_VALUE"""),"Meats")</f>
        <v>Meats</v>
      </c>
      <c r="D979">
        <f>IFERROR(__xludf.DUMMYFUNCTION("""COMPUTED_VALUE"""),199.0)</f>
        <v>199</v>
      </c>
      <c r="E979">
        <f>IFERROR(__xludf.DUMMYFUNCTION("""COMPUTED_VALUE"""),9.77)</f>
        <v>9.77</v>
      </c>
      <c r="F979">
        <f>IFERROR(__xludf.DUMMYFUNCTION("""COMPUTED_VALUE"""),27.88)</f>
        <v>27.88</v>
      </c>
      <c r="G979">
        <f>IFERROR(__xludf.DUMMYFUNCTION("""COMPUTED_VALUE"""),0.0)</f>
        <v>0</v>
      </c>
    </row>
    <row r="980">
      <c r="A980">
        <f>IFERROR(__xludf.DUMMYFUNCTION("""COMPUTED_VALUE"""),171198.0)</f>
        <v>171198</v>
      </c>
      <c r="B980" t="str">
        <f>IFERROR(__xludf.DUMMYFUNCTION("""COMPUTED_VALUE"""),"Beef Shoulder Pot Roast Boneless Separable Lean Only Trimmed To 0 Inch Fat Choice Cooked Braised")</f>
        <v>Beef Shoulder Pot Roast Boneless Separable Lean Only Trimmed To 0 Inch Fat Choice Cooked Braised</v>
      </c>
      <c r="C980" t="str">
        <f>IFERROR(__xludf.DUMMYFUNCTION("""COMPUTED_VALUE"""),"Meats")</f>
        <v>Meats</v>
      </c>
      <c r="D980">
        <f>IFERROR(__xludf.DUMMYFUNCTION("""COMPUTED_VALUE"""),200.0)</f>
        <v>200</v>
      </c>
      <c r="E980">
        <f>IFERROR(__xludf.DUMMYFUNCTION("""COMPUTED_VALUE"""),8.3)</f>
        <v>8.3</v>
      </c>
      <c r="F980">
        <f>IFERROR(__xludf.DUMMYFUNCTION("""COMPUTED_VALUE"""),31.32)</f>
        <v>31.32</v>
      </c>
      <c r="G980">
        <f>IFERROR(__xludf.DUMMYFUNCTION("""COMPUTED_VALUE"""),0.0)</f>
        <v>0</v>
      </c>
    </row>
    <row r="981">
      <c r="A981">
        <f>IFERROR(__xludf.DUMMYFUNCTION("""COMPUTED_VALUE"""),171199.0)</f>
        <v>171199</v>
      </c>
      <c r="B981" t="str">
        <f>IFERROR(__xludf.DUMMYFUNCTION("""COMPUTED_VALUE"""),"Beef Shoulder Pot Roast Boneless Separable Lean Only Trimmed To 0 Inch Fat Select Cooked Braised")</f>
        <v>Beef Shoulder Pot Roast Boneless Separable Lean Only Trimmed To 0 Inch Fat Select Cooked Braised</v>
      </c>
      <c r="C981" t="str">
        <f>IFERROR(__xludf.DUMMYFUNCTION("""COMPUTED_VALUE"""),"Meats")</f>
        <v>Meats</v>
      </c>
      <c r="D981">
        <f>IFERROR(__xludf.DUMMYFUNCTION("""COMPUTED_VALUE"""),190.0)</f>
        <v>190</v>
      </c>
      <c r="E981">
        <f>IFERROR(__xludf.DUMMYFUNCTION("""COMPUTED_VALUE"""),7.02)</f>
        <v>7.02</v>
      </c>
      <c r="F981">
        <f>IFERROR(__xludf.DUMMYFUNCTION("""COMPUTED_VALUE"""),31.71)</f>
        <v>31.71</v>
      </c>
      <c r="G981">
        <f>IFERROR(__xludf.DUMMYFUNCTION("""COMPUTED_VALUE"""),0.0)</f>
        <v>0</v>
      </c>
    </row>
    <row r="982">
      <c r="A982">
        <f>IFERROR(__xludf.DUMMYFUNCTION("""COMPUTED_VALUE"""),171200.0)</f>
        <v>171200</v>
      </c>
      <c r="B982" t="str">
        <f>IFERROR(__xludf.DUMMYFUNCTION("""COMPUTED_VALUE"""),"Beef Shoulder Pot Roast Boneless Separable Lean Only Trimmed To 0 Inch Fat All Grades Cooked Braised")</f>
        <v>Beef Shoulder Pot Roast Boneless Separable Lean Only Trimmed To 0 Inch Fat All Grades Cooked Braised</v>
      </c>
      <c r="C982" t="str">
        <f>IFERROR(__xludf.DUMMYFUNCTION("""COMPUTED_VALUE"""),"Meats")</f>
        <v>Meats</v>
      </c>
      <c r="D982">
        <f>IFERROR(__xludf.DUMMYFUNCTION("""COMPUTED_VALUE"""),196.0)</f>
        <v>196</v>
      </c>
      <c r="E982">
        <f>IFERROR(__xludf.DUMMYFUNCTION("""COMPUTED_VALUE"""),7.78)</f>
        <v>7.78</v>
      </c>
      <c r="F982">
        <f>IFERROR(__xludf.DUMMYFUNCTION("""COMPUTED_VALUE"""),31.48)</f>
        <v>31.48</v>
      </c>
      <c r="G982">
        <f>IFERROR(__xludf.DUMMYFUNCTION("""COMPUTED_VALUE"""),0.0)</f>
        <v>0</v>
      </c>
    </row>
    <row r="983">
      <c r="A983">
        <f>IFERROR(__xludf.DUMMYFUNCTION("""COMPUTED_VALUE"""),171201.0)</f>
        <v>171201</v>
      </c>
      <c r="B983" t="str">
        <f>IFERROR(__xludf.DUMMYFUNCTION("""COMPUTED_VALUE"""),"Beef Chuck Mock Tender Steak Boneless Separable Lean Only Trimmed To 0 Inch Fat Choice Cooked Braised")</f>
        <v>Beef Chuck Mock Tender Steak Boneless Separable Lean Only Trimmed To 0 Inch Fat Choice Cooked Braised</v>
      </c>
      <c r="C983" t="str">
        <f>IFERROR(__xludf.DUMMYFUNCTION("""COMPUTED_VALUE"""),"Meats")</f>
        <v>Meats</v>
      </c>
      <c r="D983">
        <f>IFERROR(__xludf.DUMMYFUNCTION("""COMPUTED_VALUE"""),197.0)</f>
        <v>197</v>
      </c>
      <c r="E983">
        <f>IFERROR(__xludf.DUMMYFUNCTION("""COMPUTED_VALUE"""),6.94)</f>
        <v>6.94</v>
      </c>
      <c r="F983">
        <f>IFERROR(__xludf.DUMMYFUNCTION("""COMPUTED_VALUE"""),33.55)</f>
        <v>33.55</v>
      </c>
      <c r="G983">
        <f>IFERROR(__xludf.DUMMYFUNCTION("""COMPUTED_VALUE"""),0.0)</f>
        <v>0</v>
      </c>
    </row>
    <row r="984">
      <c r="A984">
        <f>IFERROR(__xludf.DUMMYFUNCTION("""COMPUTED_VALUE"""),171202.0)</f>
        <v>171202</v>
      </c>
      <c r="B984" t="str">
        <f>IFERROR(__xludf.DUMMYFUNCTION("""COMPUTED_VALUE"""),"Beef Chuck Mock Tender Steak Boneless Separable Lean Only Trimmed To 0 Inch Fat All Grades Raw")</f>
        <v>Beef Chuck Mock Tender Steak Boneless Separable Lean Only Trimmed To 0 Inch Fat All Grades Raw</v>
      </c>
      <c r="C984" t="str">
        <f>IFERROR(__xludf.DUMMYFUNCTION("""COMPUTED_VALUE"""),"Meats")</f>
        <v>Meats</v>
      </c>
      <c r="D984">
        <f>IFERROR(__xludf.DUMMYFUNCTION("""COMPUTED_VALUE"""),123.0)</f>
        <v>123</v>
      </c>
      <c r="E984">
        <f>IFERROR(__xludf.DUMMYFUNCTION("""COMPUTED_VALUE"""),4.17)</f>
        <v>4.17</v>
      </c>
      <c r="F984">
        <f>IFERROR(__xludf.DUMMYFUNCTION("""COMPUTED_VALUE"""),21.3)</f>
        <v>21.3</v>
      </c>
      <c r="G984">
        <f>IFERROR(__xludf.DUMMYFUNCTION("""COMPUTED_VALUE"""),0.0)</f>
        <v>0</v>
      </c>
    </row>
    <row r="985">
      <c r="A985">
        <f>IFERROR(__xludf.DUMMYFUNCTION("""COMPUTED_VALUE"""),171203.0)</f>
        <v>171203</v>
      </c>
      <c r="B985" t="str">
        <f>IFERROR(__xludf.DUMMYFUNCTION("""COMPUTED_VALUE"""),"Braised Beef Or Chuck Stew")</f>
        <v>Braised Beef Or Chuck Stew</v>
      </c>
      <c r="C985" t="str">
        <f>IFERROR(__xludf.DUMMYFUNCTION("""COMPUTED_VALUE"""),"Meats")</f>
        <v>Meats</v>
      </c>
      <c r="D985">
        <f>IFERROR(__xludf.DUMMYFUNCTION("""COMPUTED_VALUE"""),191.0)</f>
        <v>191</v>
      </c>
      <c r="E985">
        <f>IFERROR(__xludf.DUMMYFUNCTION("""COMPUTED_VALUE"""),6.82)</f>
        <v>6.82</v>
      </c>
      <c r="F985">
        <f>IFERROR(__xludf.DUMMYFUNCTION("""COMPUTED_VALUE"""),32.41)</f>
        <v>32.41</v>
      </c>
      <c r="G985">
        <f>IFERROR(__xludf.DUMMYFUNCTION("""COMPUTED_VALUE"""),0.0)</f>
        <v>0</v>
      </c>
    </row>
    <row r="986">
      <c r="A986">
        <f>IFERROR(__xludf.DUMMYFUNCTION("""COMPUTED_VALUE"""),171204.0)</f>
        <v>171204</v>
      </c>
      <c r="B986" t="str">
        <f>IFERROR(__xludf.DUMMYFUNCTION("""COMPUTED_VALUE"""),"Beef Chuck For Stew Separable Lean And Fat Select Cooked Braised")</f>
        <v>Beef Chuck For Stew Separable Lean And Fat Select Cooked Braised</v>
      </c>
      <c r="C986" t="str">
        <f>IFERROR(__xludf.DUMMYFUNCTION("""COMPUTED_VALUE"""),"Meats")</f>
        <v>Meats</v>
      </c>
      <c r="D986">
        <f>IFERROR(__xludf.DUMMYFUNCTION("""COMPUTED_VALUE"""),186.0)</f>
        <v>186</v>
      </c>
      <c r="E986">
        <f>IFERROR(__xludf.DUMMYFUNCTION("""COMPUTED_VALUE"""),6.34)</f>
        <v>6.34</v>
      </c>
      <c r="F986">
        <f>IFERROR(__xludf.DUMMYFUNCTION("""COMPUTED_VALUE"""),32.29)</f>
        <v>32.29</v>
      </c>
      <c r="G986">
        <f>IFERROR(__xludf.DUMMYFUNCTION("""COMPUTED_VALUE"""),0.0)</f>
        <v>0</v>
      </c>
    </row>
    <row r="987">
      <c r="A987">
        <f>IFERROR(__xludf.DUMMYFUNCTION("""COMPUTED_VALUE"""),171205.0)</f>
        <v>171205</v>
      </c>
      <c r="B987" t="str">
        <f>IFERROR(__xludf.DUMMYFUNCTION("""COMPUTED_VALUE"""),"Beef Chuck For Stew Separable Lean And Fat Choice Cooked Braised")</f>
        <v>Beef Chuck For Stew Separable Lean And Fat Choice Cooked Braised</v>
      </c>
      <c r="C987" t="str">
        <f>IFERROR(__xludf.DUMMYFUNCTION("""COMPUTED_VALUE"""),"Meats")</f>
        <v>Meats</v>
      </c>
      <c r="D987">
        <f>IFERROR(__xludf.DUMMYFUNCTION("""COMPUTED_VALUE"""),194.0)</f>
        <v>194</v>
      </c>
      <c r="E987">
        <f>IFERROR(__xludf.DUMMYFUNCTION("""COMPUTED_VALUE"""),7.14)</f>
        <v>7.14</v>
      </c>
      <c r="F987">
        <f>IFERROR(__xludf.DUMMYFUNCTION("""COMPUTED_VALUE"""),32.49)</f>
        <v>32.49</v>
      </c>
      <c r="G987">
        <f>IFERROR(__xludf.DUMMYFUNCTION("""COMPUTED_VALUE"""),0.0)</f>
        <v>0</v>
      </c>
    </row>
    <row r="988">
      <c r="A988">
        <f>IFERROR(__xludf.DUMMYFUNCTION("""COMPUTED_VALUE"""),171206.0)</f>
        <v>171206</v>
      </c>
      <c r="B988" t="str">
        <f>IFERROR(__xludf.DUMMYFUNCTION("""COMPUTED_VALUE"""),"Beef Chuck For Stew Separable Lean And Fat All Grades Raw")</f>
        <v>Beef Chuck For Stew Separable Lean And Fat All Grades Raw</v>
      </c>
      <c r="C988" t="str">
        <f>IFERROR(__xludf.DUMMYFUNCTION("""COMPUTED_VALUE"""),"Meats")</f>
        <v>Meats</v>
      </c>
      <c r="D988">
        <f>IFERROR(__xludf.DUMMYFUNCTION("""COMPUTED_VALUE"""),128.0)</f>
        <v>128</v>
      </c>
      <c r="E988">
        <f>IFERROR(__xludf.DUMMYFUNCTION("""COMPUTED_VALUE"""),4.48)</f>
        <v>4.48</v>
      </c>
      <c r="F988">
        <f>IFERROR(__xludf.DUMMYFUNCTION("""COMPUTED_VALUE"""),21.75)</f>
        <v>21.75</v>
      </c>
      <c r="G988">
        <f>IFERROR(__xludf.DUMMYFUNCTION("""COMPUTED_VALUE"""),0.16)</f>
        <v>0.16</v>
      </c>
    </row>
    <row r="989">
      <c r="A989">
        <f>IFERROR(__xludf.DUMMYFUNCTION("""COMPUTED_VALUE"""),171207.0)</f>
        <v>171207</v>
      </c>
      <c r="B989" t="str">
        <f>IFERROR(__xludf.DUMMYFUNCTION("""COMPUTED_VALUE"""),"Beef Chuck Under Blade Steak Boneless Separable Lean Only Trimmed To 0 Inch Fat All Grades Cooked Braised")</f>
        <v>Beef Chuck Under Blade Steak Boneless Separable Lean Only Trimmed To 0 Inch Fat All Grades Cooked Braised</v>
      </c>
      <c r="C989" t="str">
        <f>IFERROR(__xludf.DUMMYFUNCTION("""COMPUTED_VALUE"""),"Meats")</f>
        <v>Meats</v>
      </c>
      <c r="D989">
        <f>IFERROR(__xludf.DUMMYFUNCTION("""COMPUTED_VALUE"""),219.0)</f>
        <v>219</v>
      </c>
      <c r="E989">
        <f>IFERROR(__xludf.DUMMYFUNCTION("""COMPUTED_VALUE"""),10.41)</f>
        <v>10.41</v>
      </c>
      <c r="F989">
        <f>IFERROR(__xludf.DUMMYFUNCTION("""COMPUTED_VALUE"""),31.35)</f>
        <v>31.35</v>
      </c>
      <c r="G989">
        <f>IFERROR(__xludf.DUMMYFUNCTION("""COMPUTED_VALUE"""),0.0)</f>
        <v>0</v>
      </c>
    </row>
    <row r="990">
      <c r="A990">
        <f>IFERROR(__xludf.DUMMYFUNCTION("""COMPUTED_VALUE"""),171208.0)</f>
        <v>171208</v>
      </c>
      <c r="B990" t="str">
        <f>IFERROR(__xludf.DUMMYFUNCTION("""COMPUTED_VALUE"""),"Beef Chuck Under Blade Pot Roast Boneless Separable Lean And Fat Trimmed To 0 Inch Fat All Grades Cooked Braised")</f>
        <v>Beef Chuck Under Blade Pot Roast Boneless Separable Lean And Fat Trimmed To 0 Inch Fat All Grades Cooked Braised</v>
      </c>
      <c r="C990" t="str">
        <f>IFERROR(__xludf.DUMMYFUNCTION("""COMPUTED_VALUE"""),"Meats")</f>
        <v>Meats</v>
      </c>
      <c r="D990">
        <f>IFERROR(__xludf.DUMMYFUNCTION("""COMPUTED_VALUE"""),291.0)</f>
        <v>291</v>
      </c>
      <c r="E990">
        <f>IFERROR(__xludf.DUMMYFUNCTION("""COMPUTED_VALUE"""),20.49)</f>
        <v>20.49</v>
      </c>
      <c r="F990">
        <f>IFERROR(__xludf.DUMMYFUNCTION("""COMPUTED_VALUE"""),26.7)</f>
        <v>26.7</v>
      </c>
      <c r="G990">
        <f>IFERROR(__xludf.DUMMYFUNCTION("""COMPUTED_VALUE"""),0.0)</f>
        <v>0</v>
      </c>
    </row>
    <row r="991">
      <c r="A991">
        <f>IFERROR(__xludf.DUMMYFUNCTION("""COMPUTED_VALUE"""),171209.0)</f>
        <v>171209</v>
      </c>
      <c r="B991" t="str">
        <f>IFERROR(__xludf.DUMMYFUNCTION("""COMPUTED_VALUE"""),"Beef Rib Eye Steak Boneless Lip-On Separable Lean Only Trimmed To 1/8 Inch Fat All Grades Cooked Grilled")</f>
        <v>Beef Rib Eye Steak Boneless Lip-On Separable Lean Only Trimmed To 1/8 Inch Fat All Grades Cooked Grilled</v>
      </c>
      <c r="C991" t="str">
        <f>IFERROR(__xludf.DUMMYFUNCTION("""COMPUTED_VALUE"""),"Meats")</f>
        <v>Meats</v>
      </c>
      <c r="D991">
        <f>IFERROR(__xludf.DUMMYFUNCTION("""COMPUTED_VALUE"""),207.0)</f>
        <v>207</v>
      </c>
      <c r="E991">
        <f>IFERROR(__xludf.DUMMYFUNCTION("""COMPUTED_VALUE"""),10.57)</f>
        <v>10.57</v>
      </c>
      <c r="F991">
        <f>IFERROR(__xludf.DUMMYFUNCTION("""COMPUTED_VALUE"""),27.97)</f>
        <v>27.97</v>
      </c>
      <c r="G991">
        <f>IFERROR(__xludf.DUMMYFUNCTION("""COMPUTED_VALUE"""),0.0)</f>
        <v>0</v>
      </c>
    </row>
    <row r="992">
      <c r="A992">
        <f>IFERROR(__xludf.DUMMYFUNCTION("""COMPUTED_VALUE"""),171210.0)</f>
        <v>171210</v>
      </c>
      <c r="B992" t="str">
        <f>IFERROR(__xludf.DUMMYFUNCTION("""COMPUTED_VALUE"""),"Beef Rib Eye Roast Bone-In Lip-On Separable Lean Only Trimmed To 1/8 Inch Fat Choice Cooked Roasted")</f>
        <v>Beef Rib Eye Roast Bone-In Lip-On Separable Lean Only Trimmed To 1/8 Inch Fat Choice Cooked Roasted</v>
      </c>
      <c r="C992" t="str">
        <f>IFERROR(__xludf.DUMMYFUNCTION("""COMPUTED_VALUE"""),"Meats")</f>
        <v>Meats</v>
      </c>
      <c r="D992">
        <f>IFERROR(__xludf.DUMMYFUNCTION("""COMPUTED_VALUE"""),240.0)</f>
        <v>240</v>
      </c>
      <c r="E992">
        <f>IFERROR(__xludf.DUMMYFUNCTION("""COMPUTED_VALUE"""),14.55)</f>
        <v>14.55</v>
      </c>
      <c r="F992">
        <f>IFERROR(__xludf.DUMMYFUNCTION("""COMPUTED_VALUE"""),27.18)</f>
        <v>27.18</v>
      </c>
      <c r="G992">
        <f>IFERROR(__xludf.DUMMYFUNCTION("""COMPUTED_VALUE"""),0.0)</f>
        <v>0</v>
      </c>
    </row>
    <row r="993">
      <c r="A993">
        <f>IFERROR(__xludf.DUMMYFUNCTION("""COMPUTED_VALUE"""),171211.0)</f>
        <v>171211</v>
      </c>
      <c r="B993" t="str">
        <f>IFERROR(__xludf.DUMMYFUNCTION("""COMPUTED_VALUE"""),"Beef Chuck Under Blade Center Steak Boneless Denver Cut Separable Lean And Fat Trimmed To 0 Inch Fat Choice Cooked Grilled")</f>
        <v>Beef Chuck Under Blade Center Steak Boneless Denver Cut Separable Lean And Fat Trimmed To 0 Inch Fat Choice Cooked Grilled</v>
      </c>
      <c r="C993" t="str">
        <f>IFERROR(__xludf.DUMMYFUNCTION("""COMPUTED_VALUE"""),"Meats")</f>
        <v>Meats</v>
      </c>
      <c r="D993">
        <f>IFERROR(__xludf.DUMMYFUNCTION("""COMPUTED_VALUE"""),236.0)</f>
        <v>236</v>
      </c>
      <c r="E993">
        <f>IFERROR(__xludf.DUMMYFUNCTION("""COMPUTED_VALUE"""),14.41)</f>
        <v>14.41</v>
      </c>
      <c r="F993">
        <f>IFERROR(__xludf.DUMMYFUNCTION("""COMPUTED_VALUE"""),26.1)</f>
        <v>26.1</v>
      </c>
      <c r="G993">
        <f>IFERROR(__xludf.DUMMYFUNCTION("""COMPUTED_VALUE"""),0.4)</f>
        <v>0.4</v>
      </c>
    </row>
    <row r="994">
      <c r="A994">
        <f>IFERROR(__xludf.DUMMYFUNCTION("""COMPUTED_VALUE"""),171212.0)</f>
        <v>171212</v>
      </c>
      <c r="B994" t="str">
        <f>IFERROR(__xludf.DUMMYFUNCTION("""COMPUTED_VALUE"""),"Beef Chuck Under Blade Center Steak Boneless Denver Cut Separable Lean And Fat Trimmed To 0 Inch Fat Select Cooked Grilled")</f>
        <v>Beef Chuck Under Blade Center Steak Boneless Denver Cut Separable Lean And Fat Trimmed To 0 Inch Fat Select Cooked Grilled</v>
      </c>
      <c r="C994" t="str">
        <f>IFERROR(__xludf.DUMMYFUNCTION("""COMPUTED_VALUE"""),"Meats")</f>
        <v>Meats</v>
      </c>
      <c r="D994">
        <f>IFERROR(__xludf.DUMMYFUNCTION("""COMPUTED_VALUE"""),215.0)</f>
        <v>215</v>
      </c>
      <c r="E994">
        <f>IFERROR(__xludf.DUMMYFUNCTION("""COMPUTED_VALUE"""),12.25)</f>
        <v>12.25</v>
      </c>
      <c r="F994">
        <f>IFERROR(__xludf.DUMMYFUNCTION("""COMPUTED_VALUE"""),26.3)</f>
        <v>26.3</v>
      </c>
      <c r="G994">
        <f>IFERROR(__xludf.DUMMYFUNCTION("""COMPUTED_VALUE"""),0.0)</f>
        <v>0</v>
      </c>
    </row>
    <row r="995">
      <c r="A995">
        <f>IFERROR(__xludf.DUMMYFUNCTION("""COMPUTED_VALUE"""),171213.0)</f>
        <v>171213</v>
      </c>
      <c r="B995" t="str">
        <f>IFERROR(__xludf.DUMMYFUNCTION("""COMPUTED_VALUE"""),"Beef Chuck Under Blade Center Steak Boneless Denver Cut Separable Lean And Fat Trimmed To 0 Inch Fat All Grades Raw")</f>
        <v>Beef Chuck Under Blade Center Steak Boneless Denver Cut Separable Lean And Fat Trimmed To 0 Inch Fat All Grades Raw</v>
      </c>
      <c r="C995" t="str">
        <f>IFERROR(__xludf.DUMMYFUNCTION("""COMPUTED_VALUE"""),"Meats")</f>
        <v>Meats</v>
      </c>
      <c r="D995">
        <f>IFERROR(__xludf.DUMMYFUNCTION("""COMPUTED_VALUE"""),182.0)</f>
        <v>182</v>
      </c>
      <c r="E995">
        <f>IFERROR(__xludf.DUMMYFUNCTION("""COMPUTED_VALUE"""),11.64)</f>
        <v>11.64</v>
      </c>
      <c r="F995">
        <f>IFERROR(__xludf.DUMMYFUNCTION("""COMPUTED_VALUE"""),18.99)</f>
        <v>18.99</v>
      </c>
      <c r="G995">
        <f>IFERROR(__xludf.DUMMYFUNCTION("""COMPUTED_VALUE"""),0.36)</f>
        <v>0.36</v>
      </c>
    </row>
    <row r="996">
      <c r="A996">
        <f>IFERROR(__xludf.DUMMYFUNCTION("""COMPUTED_VALUE"""),171214.0)</f>
        <v>171214</v>
      </c>
      <c r="B996" t="str">
        <f>IFERROR(__xludf.DUMMYFUNCTION("""COMPUTED_VALUE"""),"Beef Chuck Under Blade Center Steak Boneless Denver Cut Separable Lean And Fat Trimmed To 0 Inch Fat Choice Raw")</f>
        <v>Beef Chuck Under Blade Center Steak Boneless Denver Cut Separable Lean And Fat Trimmed To 0 Inch Fat Choice Raw</v>
      </c>
      <c r="C996" t="str">
        <f>IFERROR(__xludf.DUMMYFUNCTION("""COMPUTED_VALUE"""),"Meats")</f>
        <v>Meats</v>
      </c>
      <c r="D996">
        <f>IFERROR(__xludf.DUMMYFUNCTION("""COMPUTED_VALUE"""),189.0)</f>
        <v>189</v>
      </c>
      <c r="E996">
        <f>IFERROR(__xludf.DUMMYFUNCTION("""COMPUTED_VALUE"""),12.4)</f>
        <v>12.4</v>
      </c>
      <c r="F996">
        <f>IFERROR(__xludf.DUMMYFUNCTION("""COMPUTED_VALUE"""),18.85)</f>
        <v>18.85</v>
      </c>
      <c r="G996">
        <f>IFERROR(__xludf.DUMMYFUNCTION("""COMPUTED_VALUE"""),0.53)</f>
        <v>0.53</v>
      </c>
    </row>
    <row r="997">
      <c r="A997">
        <f>IFERROR(__xludf.DUMMYFUNCTION("""COMPUTED_VALUE"""),171215.0)</f>
        <v>171215</v>
      </c>
      <c r="B997" t="str">
        <f>IFERROR(__xludf.DUMMYFUNCTION("""COMPUTED_VALUE"""),"Beef Chuck Eye Roast Boneless Americas Beef Roast Separable Lean And Fat Trimmed To 0 Inch Fat Choice Cooked Roasted")</f>
        <v>Beef Chuck Eye Roast Boneless Americas Beef Roast Separable Lean And Fat Trimmed To 0 Inch Fat Choice Cooked Roasted</v>
      </c>
      <c r="C997" t="str">
        <f>IFERROR(__xludf.DUMMYFUNCTION("""COMPUTED_VALUE"""),"Meats")</f>
        <v>Meats</v>
      </c>
      <c r="D997">
        <f>IFERROR(__xludf.DUMMYFUNCTION("""COMPUTED_VALUE"""),241.0)</f>
        <v>241</v>
      </c>
      <c r="E997">
        <f>IFERROR(__xludf.DUMMYFUNCTION("""COMPUTED_VALUE"""),15.87)</f>
        <v>15.87</v>
      </c>
      <c r="F997">
        <f>IFERROR(__xludf.DUMMYFUNCTION("""COMPUTED_VALUE"""),24.47)</f>
        <v>24.47</v>
      </c>
      <c r="G997">
        <f>IFERROR(__xludf.DUMMYFUNCTION("""COMPUTED_VALUE"""),0.0)</f>
        <v>0</v>
      </c>
    </row>
    <row r="998">
      <c r="A998">
        <f>IFERROR(__xludf.DUMMYFUNCTION("""COMPUTED_VALUE"""),171216.0)</f>
        <v>171216</v>
      </c>
      <c r="B998" t="str">
        <f>IFERROR(__xludf.DUMMYFUNCTION("""COMPUTED_VALUE"""),"Beef Chuck Eye Roast Boneless Americas Beef Roast Separable Lean And Fat Trimmed To 0 Inch Fat Select Cooked Roasted")</f>
        <v>Beef Chuck Eye Roast Boneless Americas Beef Roast Separable Lean And Fat Trimmed To 0 Inch Fat Select Cooked Roasted</v>
      </c>
      <c r="C998" t="str">
        <f>IFERROR(__xludf.DUMMYFUNCTION("""COMPUTED_VALUE"""),"Meats")</f>
        <v>Meats</v>
      </c>
      <c r="D998">
        <f>IFERROR(__xludf.DUMMYFUNCTION("""COMPUTED_VALUE"""),229.0)</f>
        <v>229</v>
      </c>
      <c r="E998">
        <f>IFERROR(__xludf.DUMMYFUNCTION("""COMPUTED_VALUE"""),14.41)</f>
        <v>14.41</v>
      </c>
      <c r="F998">
        <f>IFERROR(__xludf.DUMMYFUNCTION("""COMPUTED_VALUE"""),24.86)</f>
        <v>24.86</v>
      </c>
      <c r="G998">
        <f>IFERROR(__xludf.DUMMYFUNCTION("""COMPUTED_VALUE"""),0.0)</f>
        <v>0</v>
      </c>
    </row>
    <row r="999">
      <c r="A999">
        <f>IFERROR(__xludf.DUMMYFUNCTION("""COMPUTED_VALUE"""),171217.0)</f>
        <v>171217</v>
      </c>
      <c r="B999" t="str">
        <f>IFERROR(__xludf.DUMMYFUNCTION("""COMPUTED_VALUE"""),"Beef Chuck Under Blade Steak Boneless Separable Lean And Fat Trimmed To 0 Inch Fat All Grades Cooked Braised")</f>
        <v>Beef Chuck Under Blade Steak Boneless Separable Lean And Fat Trimmed To 0 Inch Fat All Grades Cooked Braised</v>
      </c>
      <c r="C999" t="str">
        <f>IFERROR(__xludf.DUMMYFUNCTION("""COMPUTED_VALUE"""),"Meats")</f>
        <v>Meats</v>
      </c>
      <c r="D999">
        <f>IFERROR(__xludf.DUMMYFUNCTION("""COMPUTED_VALUE"""),275.0)</f>
        <v>275</v>
      </c>
      <c r="E999">
        <f>IFERROR(__xludf.DUMMYFUNCTION("""COMPUTED_VALUE"""),18.0)</f>
        <v>18</v>
      </c>
      <c r="F999">
        <f>IFERROR(__xludf.DUMMYFUNCTION("""COMPUTED_VALUE"""),28.23)</f>
        <v>28.23</v>
      </c>
      <c r="G999">
        <f>IFERROR(__xludf.DUMMYFUNCTION("""COMPUTED_VALUE"""),0.0)</f>
        <v>0</v>
      </c>
    </row>
    <row r="1000">
      <c r="A1000">
        <f>IFERROR(__xludf.DUMMYFUNCTION("""COMPUTED_VALUE"""),171218.0)</f>
        <v>171218</v>
      </c>
      <c r="B1000" t="str">
        <f>IFERROR(__xludf.DUMMYFUNCTION("""COMPUTED_VALUE"""),"Beef Chuck Under Blade Steak Boneless Separable Lean And Fat Trimmed To 0 Inch Fat Choice Cooked Braised")</f>
        <v>Beef Chuck Under Blade Steak Boneless Separable Lean And Fat Trimmed To 0 Inch Fat Choice Cooked Braised</v>
      </c>
      <c r="C1000" t="str">
        <f>IFERROR(__xludf.DUMMYFUNCTION("""COMPUTED_VALUE"""),"Meats")</f>
        <v>Meats</v>
      </c>
      <c r="D1000">
        <f>IFERROR(__xludf.DUMMYFUNCTION("""COMPUTED_VALUE"""),284.0)</f>
        <v>284</v>
      </c>
      <c r="E1000">
        <f>IFERROR(__xludf.DUMMYFUNCTION("""COMPUTED_VALUE"""),19.3)</f>
        <v>19.3</v>
      </c>
      <c r="F1000">
        <f>IFERROR(__xludf.DUMMYFUNCTION("""COMPUTED_VALUE"""),27.6)</f>
        <v>27.6</v>
      </c>
      <c r="G1000">
        <f>IFERROR(__xludf.DUMMYFUNCTION("""COMPUTED_VALUE"""),0.0)</f>
        <v>0</v>
      </c>
    </row>
    <row r="1001">
      <c r="A1001">
        <f>IFERROR(__xludf.DUMMYFUNCTION("""COMPUTED_VALUE"""),171219.0)</f>
        <v>171219</v>
      </c>
      <c r="B1001" t="str">
        <f>IFERROR(__xludf.DUMMYFUNCTION("""COMPUTED_VALUE"""),"Beef Chuck Under Blade Steak Boneless Separable Lean And Fat Trimmed To 0 Inch Fat Select Cooked Braised")</f>
        <v>Beef Chuck Under Blade Steak Boneless Separable Lean And Fat Trimmed To 0 Inch Fat Select Cooked Braised</v>
      </c>
      <c r="C1001" t="str">
        <f>IFERROR(__xludf.DUMMYFUNCTION("""COMPUTED_VALUE"""),"Meats")</f>
        <v>Meats</v>
      </c>
      <c r="D1001">
        <f>IFERROR(__xludf.DUMMYFUNCTION("""COMPUTED_VALUE"""),261.0)</f>
        <v>261</v>
      </c>
      <c r="E1001">
        <f>IFERROR(__xludf.DUMMYFUNCTION("""COMPUTED_VALUE"""),16.05)</f>
        <v>16.05</v>
      </c>
      <c r="F1001">
        <f>IFERROR(__xludf.DUMMYFUNCTION("""COMPUTED_VALUE"""),29.18)</f>
        <v>29.18</v>
      </c>
      <c r="G1001">
        <f>IFERROR(__xludf.DUMMYFUNCTION("""COMPUTED_VALUE"""),0.0)</f>
        <v>0</v>
      </c>
    </row>
    <row r="1002">
      <c r="A1002">
        <f>IFERROR(__xludf.DUMMYFUNCTION("""COMPUTED_VALUE"""),171220.0)</f>
        <v>171220</v>
      </c>
      <c r="B1002" t="str">
        <f>IFERROR(__xludf.DUMMYFUNCTION("""COMPUTED_VALUE"""),"Beef Chuck Mock Tender Steak Boneless Separable Lean And Fat Trimmed To 0 Inch Fat Choice Raw")</f>
        <v>Beef Chuck Mock Tender Steak Boneless Separable Lean And Fat Trimmed To 0 Inch Fat Choice Raw</v>
      </c>
      <c r="C1002" t="str">
        <f>IFERROR(__xludf.DUMMYFUNCTION("""COMPUTED_VALUE"""),"Meats")</f>
        <v>Meats</v>
      </c>
      <c r="D1002">
        <f>IFERROR(__xludf.DUMMYFUNCTION("""COMPUTED_VALUE"""),131.0)</f>
        <v>131</v>
      </c>
      <c r="E1002">
        <f>IFERROR(__xludf.DUMMYFUNCTION("""COMPUTED_VALUE"""),5.18)</f>
        <v>5.18</v>
      </c>
      <c r="F1002">
        <f>IFERROR(__xludf.DUMMYFUNCTION("""COMPUTED_VALUE"""),21.19)</f>
        <v>21.19</v>
      </c>
      <c r="G1002">
        <f>IFERROR(__xludf.DUMMYFUNCTION("""COMPUTED_VALUE"""),0.0)</f>
        <v>0</v>
      </c>
    </row>
    <row r="1003">
      <c r="A1003">
        <f>IFERROR(__xludf.DUMMYFUNCTION("""COMPUTED_VALUE"""),171221.0)</f>
        <v>171221</v>
      </c>
      <c r="B1003" t="str">
        <f>IFERROR(__xludf.DUMMYFUNCTION("""COMPUTED_VALUE"""),"Beef Chuck Mock Tender Steak Boneless Separable Lean And Fat Trimmed To 0 Inch Fat Select Raw")</f>
        <v>Beef Chuck Mock Tender Steak Boneless Separable Lean And Fat Trimmed To 0 Inch Fat Select Raw</v>
      </c>
      <c r="C1003" t="str">
        <f>IFERROR(__xludf.DUMMYFUNCTION("""COMPUTED_VALUE"""),"Meats")</f>
        <v>Meats</v>
      </c>
      <c r="D1003">
        <f>IFERROR(__xludf.DUMMYFUNCTION("""COMPUTED_VALUE"""),122.0)</f>
        <v>122</v>
      </c>
      <c r="E1003">
        <f>IFERROR(__xludf.DUMMYFUNCTION("""COMPUTED_VALUE"""),4.2)</f>
        <v>4.2</v>
      </c>
      <c r="F1003">
        <f>IFERROR(__xludf.DUMMYFUNCTION("""COMPUTED_VALUE"""),21.05)</f>
        <v>21.05</v>
      </c>
      <c r="G1003">
        <f>IFERROR(__xludf.DUMMYFUNCTION("""COMPUTED_VALUE"""),0.0)</f>
        <v>0</v>
      </c>
    </row>
    <row r="1004">
      <c r="A1004">
        <f>IFERROR(__xludf.DUMMYFUNCTION("""COMPUTED_VALUE"""),171222.0)</f>
        <v>171222</v>
      </c>
      <c r="B1004" t="str">
        <f>IFERROR(__xludf.DUMMYFUNCTION("""COMPUTED_VALUE"""),"Beef Chuck Short Ribs Boneless Separable Lean And Fat Trimmed To 0 Inch Fat All Grades Cooked Braised")</f>
        <v>Beef Chuck Short Ribs Boneless Separable Lean And Fat Trimmed To 0 Inch Fat All Grades Cooked Braised</v>
      </c>
      <c r="C1004" t="str">
        <f>IFERROR(__xludf.DUMMYFUNCTION("""COMPUTED_VALUE"""),"Meats")</f>
        <v>Meats</v>
      </c>
      <c r="D1004">
        <f>IFERROR(__xludf.DUMMYFUNCTION("""COMPUTED_VALUE"""),305.0)</f>
        <v>305</v>
      </c>
      <c r="E1004">
        <f>IFERROR(__xludf.DUMMYFUNCTION("""COMPUTED_VALUE"""),22.58)</f>
        <v>22.58</v>
      </c>
      <c r="F1004">
        <f>IFERROR(__xludf.DUMMYFUNCTION("""COMPUTED_VALUE"""),25.48)</f>
        <v>25.48</v>
      </c>
      <c r="G1004">
        <f>IFERROR(__xludf.DUMMYFUNCTION("""COMPUTED_VALUE"""),0.0)</f>
        <v>0</v>
      </c>
    </row>
    <row r="1005">
      <c r="A1005">
        <f>IFERROR(__xludf.DUMMYFUNCTION("""COMPUTED_VALUE"""),171223.0)</f>
        <v>171223</v>
      </c>
      <c r="B1005" t="str">
        <f>IFERROR(__xludf.DUMMYFUNCTION("""COMPUTED_VALUE"""),"Beef Chuck Short Ribs Boneless Separable Lean And Fat Trimmed To 0 Inch Fat Choice Cooked Braised")</f>
        <v>Beef Chuck Short Ribs Boneless Separable Lean And Fat Trimmed To 0 Inch Fat Choice Cooked Braised</v>
      </c>
      <c r="C1005" t="str">
        <f>IFERROR(__xludf.DUMMYFUNCTION("""COMPUTED_VALUE"""),"Meats")</f>
        <v>Meats</v>
      </c>
      <c r="D1005">
        <f>IFERROR(__xludf.DUMMYFUNCTION("""COMPUTED_VALUE"""),317.0)</f>
        <v>317</v>
      </c>
      <c r="E1005">
        <f>IFERROR(__xludf.DUMMYFUNCTION("""COMPUTED_VALUE"""),24.05)</f>
        <v>24.05</v>
      </c>
      <c r="F1005">
        <f>IFERROR(__xludf.DUMMYFUNCTION("""COMPUTED_VALUE"""),25.26)</f>
        <v>25.26</v>
      </c>
      <c r="G1005">
        <f>IFERROR(__xludf.DUMMYFUNCTION("""COMPUTED_VALUE"""),0.0)</f>
        <v>0</v>
      </c>
    </row>
    <row r="1006">
      <c r="A1006">
        <f>IFERROR(__xludf.DUMMYFUNCTION("""COMPUTED_VALUE"""),171224.0)</f>
        <v>171224</v>
      </c>
      <c r="B1006" t="str">
        <f>IFERROR(__xludf.DUMMYFUNCTION("""COMPUTED_VALUE"""),"Beef Shoulder Pot Roast Boneless Separable Lean And Fat Trimmed To 0 Inch Fat All Grades Cooked Braised")</f>
        <v>Beef Shoulder Pot Roast Boneless Separable Lean And Fat Trimmed To 0 Inch Fat All Grades Cooked Braised</v>
      </c>
      <c r="C1006" t="str">
        <f>IFERROR(__xludf.DUMMYFUNCTION("""COMPUTED_VALUE"""),"Meats")</f>
        <v>Meats</v>
      </c>
      <c r="D1006">
        <f>IFERROR(__xludf.DUMMYFUNCTION("""COMPUTED_VALUE"""),204.0)</f>
        <v>204</v>
      </c>
      <c r="E1006">
        <f>IFERROR(__xludf.DUMMYFUNCTION("""COMPUTED_VALUE"""),8.92)</f>
        <v>8.92</v>
      </c>
      <c r="F1006">
        <f>IFERROR(__xludf.DUMMYFUNCTION("""COMPUTED_VALUE"""),31.03)</f>
        <v>31.03</v>
      </c>
      <c r="G1006">
        <f>IFERROR(__xludf.DUMMYFUNCTION("""COMPUTED_VALUE"""),0.0)</f>
        <v>0</v>
      </c>
    </row>
    <row r="1007">
      <c r="A1007">
        <f>IFERROR(__xludf.DUMMYFUNCTION("""COMPUTED_VALUE"""),171225.0)</f>
        <v>171225</v>
      </c>
      <c r="B1007" t="str">
        <f>IFERROR(__xludf.DUMMYFUNCTION("""COMPUTED_VALUE"""),"Beef Shoulder Pot Roast Boneless Separable Lean And Fat Trimmed To 0 Inch Fat Choice Cooked Braised")</f>
        <v>Beef Shoulder Pot Roast Boneless Separable Lean And Fat Trimmed To 0 Inch Fat Choice Cooked Braised</v>
      </c>
      <c r="C1007" t="str">
        <f>IFERROR(__xludf.DUMMYFUNCTION("""COMPUTED_VALUE"""),"Meats")</f>
        <v>Meats</v>
      </c>
      <c r="D1007">
        <f>IFERROR(__xludf.DUMMYFUNCTION("""COMPUTED_VALUE"""),207.0)</f>
        <v>207</v>
      </c>
      <c r="E1007">
        <f>IFERROR(__xludf.DUMMYFUNCTION("""COMPUTED_VALUE"""),9.25)</f>
        <v>9.25</v>
      </c>
      <c r="F1007">
        <f>IFERROR(__xludf.DUMMYFUNCTION("""COMPUTED_VALUE"""),30.93)</f>
        <v>30.93</v>
      </c>
      <c r="G1007">
        <f>IFERROR(__xludf.DUMMYFUNCTION("""COMPUTED_VALUE"""),0.0)</f>
        <v>0</v>
      </c>
    </row>
    <row r="1008">
      <c r="A1008">
        <f>IFERROR(__xludf.DUMMYFUNCTION("""COMPUTED_VALUE"""),171226.0)</f>
        <v>171226</v>
      </c>
      <c r="B1008" t="str">
        <f>IFERROR(__xludf.DUMMYFUNCTION("""COMPUTED_VALUE"""),"Beef Shoulder Pot Roast Boneless Separable Lean And Fat Trimmed To 0 Inch Fat Select Cooked Braised")</f>
        <v>Beef Shoulder Pot Roast Boneless Separable Lean And Fat Trimmed To 0 Inch Fat Select Cooked Braised</v>
      </c>
      <c r="C1008" t="str">
        <f>IFERROR(__xludf.DUMMYFUNCTION("""COMPUTED_VALUE"""),"Meats")</f>
        <v>Meats</v>
      </c>
      <c r="D1008">
        <f>IFERROR(__xludf.DUMMYFUNCTION("""COMPUTED_VALUE"""),200.0)</f>
        <v>200</v>
      </c>
      <c r="E1008">
        <f>IFERROR(__xludf.DUMMYFUNCTION("""COMPUTED_VALUE"""),8.41)</f>
        <v>8.41</v>
      </c>
      <c r="F1008">
        <f>IFERROR(__xludf.DUMMYFUNCTION("""COMPUTED_VALUE"""),31.18)</f>
        <v>31.18</v>
      </c>
      <c r="G1008">
        <f>IFERROR(__xludf.DUMMYFUNCTION("""COMPUTED_VALUE"""),0.0)</f>
        <v>0</v>
      </c>
    </row>
    <row r="1009">
      <c r="A1009">
        <f>IFERROR(__xludf.DUMMYFUNCTION("""COMPUTED_VALUE"""),171227.0)</f>
        <v>171227</v>
      </c>
      <c r="B1009" t="str">
        <f>IFERROR(__xludf.DUMMYFUNCTION("""COMPUTED_VALUE"""),"Beef Chuck Eye Country-Style Ribs Boneless Separable Lean And Fat Trimmed To 0 Inch Fat All Grades Cooked Braised")</f>
        <v>Beef Chuck Eye Country-Style Ribs Boneless Separable Lean And Fat Trimmed To 0 Inch Fat All Grades Cooked Braised</v>
      </c>
      <c r="C1009" t="str">
        <f>IFERROR(__xludf.DUMMYFUNCTION("""COMPUTED_VALUE"""),"Meats")</f>
        <v>Meats</v>
      </c>
      <c r="D1009">
        <f>IFERROR(__xludf.DUMMYFUNCTION("""COMPUTED_VALUE"""),296.0)</f>
        <v>296</v>
      </c>
      <c r="E1009">
        <f>IFERROR(__xludf.DUMMYFUNCTION("""COMPUTED_VALUE"""),20.55)</f>
        <v>20.55</v>
      </c>
      <c r="F1009">
        <f>IFERROR(__xludf.DUMMYFUNCTION("""COMPUTED_VALUE"""),27.69)</f>
        <v>27.69</v>
      </c>
      <c r="G1009">
        <f>IFERROR(__xludf.DUMMYFUNCTION("""COMPUTED_VALUE"""),0.0)</f>
        <v>0</v>
      </c>
    </row>
    <row r="1010">
      <c r="A1010">
        <f>IFERROR(__xludf.DUMMYFUNCTION("""COMPUTED_VALUE"""),171228.0)</f>
        <v>171228</v>
      </c>
      <c r="B1010" t="str">
        <f>IFERROR(__xludf.DUMMYFUNCTION("""COMPUTED_VALUE"""),"Beef Chuck Eye Steak Boneless Separable Lean And Fat Trimmed To 0 Inch Fat All Grades Cooked Grilled")</f>
        <v>Beef Chuck Eye Steak Boneless Separable Lean And Fat Trimmed To 0 Inch Fat All Grades Cooked Grilled</v>
      </c>
      <c r="C1010" t="str">
        <f>IFERROR(__xludf.DUMMYFUNCTION("""COMPUTED_VALUE"""),"Meats")</f>
        <v>Meats</v>
      </c>
      <c r="D1010">
        <f>IFERROR(__xludf.DUMMYFUNCTION("""COMPUTED_VALUE"""),277.0)</f>
        <v>277</v>
      </c>
      <c r="E1010">
        <f>IFERROR(__xludf.DUMMYFUNCTION("""COMPUTED_VALUE"""),19.64)</f>
        <v>19.64</v>
      </c>
      <c r="F1010">
        <f>IFERROR(__xludf.DUMMYFUNCTION("""COMPUTED_VALUE"""),24.98)</f>
        <v>24.98</v>
      </c>
      <c r="G1010">
        <f>IFERROR(__xludf.DUMMYFUNCTION("""COMPUTED_VALUE"""),0.0)</f>
        <v>0</v>
      </c>
    </row>
    <row r="1011">
      <c r="A1011">
        <f>IFERROR(__xludf.DUMMYFUNCTION("""COMPUTED_VALUE"""),171229.0)</f>
        <v>171229</v>
      </c>
      <c r="B1011" t="str">
        <f>IFERROR(__xludf.DUMMYFUNCTION("""COMPUTED_VALUE"""),"Beef Chuck Eye Steak Boneless Separable Lean And Fat Trimmed To 0 Inch Fat Choice Cooked Grilled")</f>
        <v>Beef Chuck Eye Steak Boneless Separable Lean And Fat Trimmed To 0 Inch Fat Choice Cooked Grilled</v>
      </c>
      <c r="C1011" t="str">
        <f>IFERROR(__xludf.DUMMYFUNCTION("""COMPUTED_VALUE"""),"Meats")</f>
        <v>Meats</v>
      </c>
      <c r="D1011">
        <f>IFERROR(__xludf.DUMMYFUNCTION("""COMPUTED_VALUE"""),283.0)</f>
        <v>283</v>
      </c>
      <c r="E1011">
        <f>IFERROR(__xludf.DUMMYFUNCTION("""COMPUTED_VALUE"""),20.35)</f>
        <v>20.35</v>
      </c>
      <c r="F1011">
        <f>IFERROR(__xludf.DUMMYFUNCTION("""COMPUTED_VALUE"""),24.95)</f>
        <v>24.95</v>
      </c>
      <c r="G1011">
        <f>IFERROR(__xludf.DUMMYFUNCTION("""COMPUTED_VALUE"""),0.0)</f>
        <v>0</v>
      </c>
    </row>
    <row r="1012">
      <c r="A1012">
        <f>IFERROR(__xludf.DUMMYFUNCTION("""COMPUTED_VALUE"""),171230.0)</f>
        <v>171230</v>
      </c>
      <c r="B1012" t="str">
        <f>IFERROR(__xludf.DUMMYFUNCTION("""COMPUTED_VALUE"""),"Beef Chuck Eye Steak Boneless Separable Lean And Fat Trimmed To 0 Inch Fat Select Cooked Grilled")</f>
        <v>Beef Chuck Eye Steak Boneless Separable Lean And Fat Trimmed To 0 Inch Fat Select Cooked Grilled</v>
      </c>
      <c r="C1012" t="str">
        <f>IFERROR(__xludf.DUMMYFUNCTION("""COMPUTED_VALUE"""),"Meats")</f>
        <v>Meats</v>
      </c>
      <c r="D1012">
        <f>IFERROR(__xludf.DUMMYFUNCTION("""COMPUTED_VALUE"""),267.0)</f>
        <v>267</v>
      </c>
      <c r="E1012">
        <f>IFERROR(__xludf.DUMMYFUNCTION("""COMPUTED_VALUE"""),18.57)</f>
        <v>18.57</v>
      </c>
      <c r="F1012">
        <f>IFERROR(__xludf.DUMMYFUNCTION("""COMPUTED_VALUE"""),25.03)</f>
        <v>25.03</v>
      </c>
      <c r="G1012">
        <f>IFERROR(__xludf.DUMMYFUNCTION("""COMPUTED_VALUE"""),0.0)</f>
        <v>0</v>
      </c>
    </row>
    <row r="1013">
      <c r="A1013">
        <f>IFERROR(__xludf.DUMMYFUNCTION("""COMPUTED_VALUE"""),171231.0)</f>
        <v>171231</v>
      </c>
      <c r="B1013" t="str">
        <f>IFERROR(__xludf.DUMMYFUNCTION("""COMPUTED_VALUE"""),"Beef Chuck Eye Steak Boneless Separable Lean And Fat Trimmed To 0 Inch Fat All Grades Raw")</f>
        <v>Beef Chuck Eye Steak Boneless Separable Lean And Fat Trimmed To 0 Inch Fat All Grades Raw</v>
      </c>
      <c r="C1013" t="str">
        <f>IFERROR(__xludf.DUMMYFUNCTION("""COMPUTED_VALUE"""),"Meats")</f>
        <v>Meats</v>
      </c>
      <c r="D1013">
        <f>IFERROR(__xludf.DUMMYFUNCTION("""COMPUTED_VALUE"""),223.0)</f>
        <v>223</v>
      </c>
      <c r="E1013">
        <f>IFERROR(__xludf.DUMMYFUNCTION("""COMPUTED_VALUE"""),16.35)</f>
        <v>16.35</v>
      </c>
      <c r="F1013">
        <f>IFERROR(__xludf.DUMMYFUNCTION("""COMPUTED_VALUE"""),18.86)</f>
        <v>18.86</v>
      </c>
      <c r="G1013">
        <f>IFERROR(__xludf.DUMMYFUNCTION("""COMPUTED_VALUE"""),0.0)</f>
        <v>0</v>
      </c>
    </row>
    <row r="1014">
      <c r="A1014">
        <f>IFERROR(__xludf.DUMMYFUNCTION("""COMPUTED_VALUE"""),171232.0)</f>
        <v>171232</v>
      </c>
      <c r="B1014" t="str">
        <f>IFERROR(__xludf.DUMMYFUNCTION("""COMPUTED_VALUE"""),"Beef Rib Eye Steak Boneless Lip-On Separable Lean Only Trimmed To 1/8 Inch Fat Choice Cooked Grilled")</f>
        <v>Beef Rib Eye Steak Boneless Lip-On Separable Lean Only Trimmed To 1/8 Inch Fat Choice Cooked Grilled</v>
      </c>
      <c r="C1014" t="str">
        <f>IFERROR(__xludf.DUMMYFUNCTION("""COMPUTED_VALUE"""),"Meats")</f>
        <v>Meats</v>
      </c>
      <c r="D1014">
        <f>IFERROR(__xludf.DUMMYFUNCTION("""COMPUTED_VALUE"""),217.0)</f>
        <v>217</v>
      </c>
      <c r="E1014">
        <f>IFERROR(__xludf.DUMMYFUNCTION("""COMPUTED_VALUE"""),11.97)</f>
        <v>11.97</v>
      </c>
      <c r="F1014">
        <f>IFERROR(__xludf.DUMMYFUNCTION("""COMPUTED_VALUE"""),27.3)</f>
        <v>27.3</v>
      </c>
      <c r="G1014">
        <f>IFERROR(__xludf.DUMMYFUNCTION("""COMPUTED_VALUE"""),0.0)</f>
        <v>0</v>
      </c>
    </row>
    <row r="1015">
      <c r="A1015">
        <f>IFERROR(__xludf.DUMMYFUNCTION("""COMPUTED_VALUE"""),171233.0)</f>
        <v>171233</v>
      </c>
      <c r="B1015" t="str">
        <f>IFERROR(__xludf.DUMMYFUNCTION("""COMPUTED_VALUE"""),"Beef Rib Eye Steak Boneless Lip-On Separable Lean Only Trimmed To 1/8 Inch Fat Select Cooked Grilled")</f>
        <v>Beef Rib Eye Steak Boneless Lip-On Separable Lean Only Trimmed To 1/8 Inch Fat Select Cooked Grilled</v>
      </c>
      <c r="C1015" t="str">
        <f>IFERROR(__xludf.DUMMYFUNCTION("""COMPUTED_VALUE"""),"Meats")</f>
        <v>Meats</v>
      </c>
      <c r="D1015">
        <f>IFERROR(__xludf.DUMMYFUNCTION("""COMPUTED_VALUE"""),192.0)</f>
        <v>192</v>
      </c>
      <c r="E1015">
        <f>IFERROR(__xludf.DUMMYFUNCTION("""COMPUTED_VALUE"""),8.48)</f>
        <v>8.48</v>
      </c>
      <c r="F1015">
        <f>IFERROR(__xludf.DUMMYFUNCTION("""COMPUTED_VALUE"""),28.98)</f>
        <v>28.98</v>
      </c>
      <c r="G1015">
        <f>IFERROR(__xludf.DUMMYFUNCTION("""COMPUTED_VALUE"""),0.0)</f>
        <v>0</v>
      </c>
    </row>
    <row r="1016">
      <c r="A1016">
        <f>IFERROR(__xludf.DUMMYFUNCTION("""COMPUTED_VALUE"""),171234.0)</f>
        <v>171234</v>
      </c>
      <c r="B1016" t="str">
        <f>IFERROR(__xludf.DUMMYFUNCTION("""COMPUTED_VALUE"""),"Beef Rib Eye Steak/roast Bone-In Lip-On Separable Lean Only Trimmed To 1/8 Inch Fat All Grades Raw")</f>
        <v>Beef Rib Eye Steak/roast Bone-In Lip-On Separable Lean Only Trimmed To 1/8 Inch Fat All Grades Raw</v>
      </c>
      <c r="C1016" t="str">
        <f>IFERROR(__xludf.DUMMYFUNCTION("""COMPUTED_VALUE"""),"Meats")</f>
        <v>Meats</v>
      </c>
      <c r="D1016">
        <f>IFERROR(__xludf.DUMMYFUNCTION("""COMPUTED_VALUE"""),166.0)</f>
        <v>166</v>
      </c>
      <c r="E1016">
        <f>IFERROR(__xludf.DUMMYFUNCTION("""COMPUTED_VALUE"""),9.04)</f>
        <v>9.04</v>
      </c>
      <c r="F1016">
        <f>IFERROR(__xludf.DUMMYFUNCTION("""COMPUTED_VALUE"""),21.22)</f>
        <v>21.22</v>
      </c>
      <c r="G1016">
        <f>IFERROR(__xludf.DUMMYFUNCTION("""COMPUTED_VALUE"""),0.0)</f>
        <v>0</v>
      </c>
    </row>
    <row r="1017">
      <c r="A1017">
        <f>IFERROR(__xludf.DUMMYFUNCTION("""COMPUTED_VALUE"""),171235.0)</f>
        <v>171235</v>
      </c>
      <c r="B1017" t="str">
        <f>IFERROR(__xludf.DUMMYFUNCTION("""COMPUTED_VALUE"""),"Beef Rib Eye Steak/roast Bone-In Lip-On Separable Lean Only Trimmed To 1/8 Inch Fat Choice Raw")</f>
        <v>Beef Rib Eye Steak/roast Bone-In Lip-On Separable Lean Only Trimmed To 1/8 Inch Fat Choice Raw</v>
      </c>
      <c r="C1017" t="str">
        <f>IFERROR(__xludf.DUMMYFUNCTION("""COMPUTED_VALUE"""),"Meats")</f>
        <v>Meats</v>
      </c>
      <c r="D1017">
        <f>IFERROR(__xludf.DUMMYFUNCTION("""COMPUTED_VALUE"""),173.0)</f>
        <v>173</v>
      </c>
      <c r="E1017">
        <f>IFERROR(__xludf.DUMMYFUNCTION("""COMPUTED_VALUE"""),9.97)</f>
        <v>9.97</v>
      </c>
      <c r="F1017">
        <f>IFERROR(__xludf.DUMMYFUNCTION("""COMPUTED_VALUE"""),20.93)</f>
        <v>20.93</v>
      </c>
      <c r="G1017">
        <f>IFERROR(__xludf.DUMMYFUNCTION("""COMPUTED_VALUE"""),0.0)</f>
        <v>0</v>
      </c>
    </row>
    <row r="1018">
      <c r="A1018">
        <f>IFERROR(__xludf.DUMMYFUNCTION("""COMPUTED_VALUE"""),171236.0)</f>
        <v>171236</v>
      </c>
      <c r="B1018" t="str">
        <f>IFERROR(__xludf.DUMMYFUNCTION("""COMPUTED_VALUE"""),"Beef Rib Eye Steak Bone-In Lip-On Separable Lean Only Trimmed To 1/8 Inch Fat All Grades Cooked Grilled")</f>
        <v>Beef Rib Eye Steak Bone-In Lip-On Separable Lean Only Trimmed To 1/8 Inch Fat All Grades Cooked Grilled</v>
      </c>
      <c r="C1018" t="str">
        <f>IFERROR(__xludf.DUMMYFUNCTION("""COMPUTED_VALUE"""),"Meats")</f>
        <v>Meats</v>
      </c>
      <c r="D1018">
        <f>IFERROR(__xludf.DUMMYFUNCTION("""COMPUTED_VALUE"""),221.0)</f>
        <v>221</v>
      </c>
      <c r="E1018">
        <f>IFERROR(__xludf.DUMMYFUNCTION("""COMPUTED_VALUE"""),12.43)</f>
        <v>12.43</v>
      </c>
      <c r="F1018">
        <f>IFERROR(__xludf.DUMMYFUNCTION("""COMPUTED_VALUE"""),27.4)</f>
        <v>27.4</v>
      </c>
      <c r="G1018">
        <f>IFERROR(__xludf.DUMMYFUNCTION("""COMPUTED_VALUE"""),0.0)</f>
        <v>0</v>
      </c>
    </row>
    <row r="1019">
      <c r="A1019">
        <f>IFERROR(__xludf.DUMMYFUNCTION("""COMPUTED_VALUE"""),171237.0)</f>
        <v>171237</v>
      </c>
      <c r="B1019" t="str">
        <f>IFERROR(__xludf.DUMMYFUNCTION("""COMPUTED_VALUE"""),"Beef Rib Eye Steak Bone-In Lip-On Separable Lean Only Trimmed To 1/8 Inch Fat Choice Cooked Grilled")</f>
        <v>Beef Rib Eye Steak Bone-In Lip-On Separable Lean Only Trimmed To 1/8 Inch Fat Choice Cooked Grilled</v>
      </c>
      <c r="C1019" t="str">
        <f>IFERROR(__xludf.DUMMYFUNCTION("""COMPUTED_VALUE"""),"Meats")</f>
        <v>Meats</v>
      </c>
      <c r="D1019">
        <f>IFERROR(__xludf.DUMMYFUNCTION("""COMPUTED_VALUE"""),229.0)</f>
        <v>229</v>
      </c>
      <c r="E1019">
        <f>IFERROR(__xludf.DUMMYFUNCTION("""COMPUTED_VALUE"""),13.44)</f>
        <v>13.44</v>
      </c>
      <c r="F1019">
        <f>IFERROR(__xludf.DUMMYFUNCTION("""COMPUTED_VALUE"""),27.03)</f>
        <v>27.03</v>
      </c>
      <c r="G1019">
        <f>IFERROR(__xludf.DUMMYFUNCTION("""COMPUTED_VALUE"""),0.0)</f>
        <v>0</v>
      </c>
    </row>
    <row r="1020">
      <c r="A1020">
        <f>IFERROR(__xludf.DUMMYFUNCTION("""COMPUTED_VALUE"""),171238.0)</f>
        <v>171238</v>
      </c>
      <c r="B1020" t="str">
        <f>IFERROR(__xludf.DUMMYFUNCTION("""COMPUTED_VALUE"""),"Beef Rib Eye Steak Bone-In Lip-On Separable Lean Only Trimmed To 1/8 Inch Fat Select Cooked Grilled")</f>
        <v>Beef Rib Eye Steak Bone-In Lip-On Separable Lean Only Trimmed To 1/8 Inch Fat Select Cooked Grilled</v>
      </c>
      <c r="C1020" t="str">
        <f>IFERROR(__xludf.DUMMYFUNCTION("""COMPUTED_VALUE"""),"Meats")</f>
        <v>Meats</v>
      </c>
      <c r="D1020">
        <f>IFERROR(__xludf.DUMMYFUNCTION("""COMPUTED_VALUE"""),210.0)</f>
        <v>210</v>
      </c>
      <c r="E1020">
        <f>IFERROR(__xludf.DUMMYFUNCTION("""COMPUTED_VALUE"""),10.91)</f>
        <v>10.91</v>
      </c>
      <c r="F1020">
        <f>IFERROR(__xludf.DUMMYFUNCTION("""COMPUTED_VALUE"""),27.96)</f>
        <v>27.96</v>
      </c>
      <c r="G1020">
        <f>IFERROR(__xludf.DUMMYFUNCTION("""COMPUTED_VALUE"""),0.0)</f>
        <v>0</v>
      </c>
    </row>
    <row r="1021">
      <c r="A1021">
        <f>IFERROR(__xludf.DUMMYFUNCTION("""COMPUTED_VALUE"""),171239.0)</f>
        <v>171239</v>
      </c>
      <c r="B1021" t="str">
        <f>IFERROR(__xludf.DUMMYFUNCTION("""COMPUTED_VALUE"""),"Beef Rib Eye Roast Boneless Lip-On Separable Lean Only Trimmed To 1/8 Inch Fat All Grades Cooked Roasted")</f>
        <v>Beef Rib Eye Roast Boneless Lip-On Separable Lean Only Trimmed To 1/8 Inch Fat All Grades Cooked Roasted</v>
      </c>
      <c r="C1021" t="str">
        <f>IFERROR(__xludf.DUMMYFUNCTION("""COMPUTED_VALUE"""),"Meats")</f>
        <v>Meats</v>
      </c>
      <c r="D1021">
        <f>IFERROR(__xludf.DUMMYFUNCTION("""COMPUTED_VALUE"""),218.0)</f>
        <v>218</v>
      </c>
      <c r="E1021">
        <f>IFERROR(__xludf.DUMMYFUNCTION("""COMPUTED_VALUE"""),11.68)</f>
        <v>11.68</v>
      </c>
      <c r="F1021">
        <f>IFERROR(__xludf.DUMMYFUNCTION("""COMPUTED_VALUE"""),28.21)</f>
        <v>28.21</v>
      </c>
      <c r="G1021">
        <f>IFERROR(__xludf.DUMMYFUNCTION("""COMPUTED_VALUE"""),0.0)</f>
        <v>0</v>
      </c>
    </row>
    <row r="1022">
      <c r="A1022">
        <f>IFERROR(__xludf.DUMMYFUNCTION("""COMPUTED_VALUE"""),171240.0)</f>
        <v>171240</v>
      </c>
      <c r="B1022" t="str">
        <f>IFERROR(__xludf.DUMMYFUNCTION("""COMPUTED_VALUE"""),"Gjetost Cheese")</f>
        <v>Gjetost Cheese</v>
      </c>
      <c r="C1022" t="str">
        <f>IFERROR(__xludf.DUMMYFUNCTION("""COMPUTED_VALUE"""),"Dairy and Egg Products")</f>
        <v>Dairy and Egg Products</v>
      </c>
      <c r="D1022">
        <f>IFERROR(__xludf.DUMMYFUNCTION("""COMPUTED_VALUE"""),466.0)</f>
        <v>466</v>
      </c>
      <c r="E1022">
        <f>IFERROR(__xludf.DUMMYFUNCTION("""COMPUTED_VALUE"""),29.51)</f>
        <v>29.51</v>
      </c>
      <c r="F1022">
        <f>IFERROR(__xludf.DUMMYFUNCTION("""COMPUTED_VALUE"""),9.65)</f>
        <v>9.65</v>
      </c>
      <c r="G1022">
        <f>IFERROR(__xludf.DUMMYFUNCTION("""COMPUTED_VALUE"""),42.65)</f>
        <v>42.65</v>
      </c>
    </row>
    <row r="1023">
      <c r="A1023">
        <f>IFERROR(__xludf.DUMMYFUNCTION("""COMPUTED_VALUE"""),171241.0)</f>
        <v>171241</v>
      </c>
      <c r="B1023" t="str">
        <f>IFERROR(__xludf.DUMMYFUNCTION("""COMPUTED_VALUE"""),"Gouda Cheese")</f>
        <v>Gouda Cheese</v>
      </c>
      <c r="C1023" t="str">
        <f>IFERROR(__xludf.DUMMYFUNCTION("""COMPUTED_VALUE"""),"Dairy and Egg Products")</f>
        <v>Dairy and Egg Products</v>
      </c>
      <c r="D1023">
        <f>IFERROR(__xludf.DUMMYFUNCTION("""COMPUTED_VALUE"""),356.0)</f>
        <v>356</v>
      </c>
      <c r="E1023">
        <f>IFERROR(__xludf.DUMMYFUNCTION("""COMPUTED_VALUE"""),27.44)</f>
        <v>27.44</v>
      </c>
      <c r="F1023">
        <f>IFERROR(__xludf.DUMMYFUNCTION("""COMPUTED_VALUE"""),24.94)</f>
        <v>24.94</v>
      </c>
      <c r="G1023">
        <f>IFERROR(__xludf.DUMMYFUNCTION("""COMPUTED_VALUE"""),2.22)</f>
        <v>2.22</v>
      </c>
    </row>
    <row r="1024">
      <c r="A1024">
        <f>IFERROR(__xludf.DUMMYFUNCTION("""COMPUTED_VALUE"""),171242.0)</f>
        <v>171242</v>
      </c>
      <c r="B1024" t="str">
        <f>IFERROR(__xludf.DUMMYFUNCTION("""COMPUTED_VALUE"""),"Gruyere Cheese")</f>
        <v>Gruyere Cheese</v>
      </c>
      <c r="C1024" t="str">
        <f>IFERROR(__xludf.DUMMYFUNCTION("""COMPUTED_VALUE"""),"Dairy and Egg Products")</f>
        <v>Dairy and Egg Products</v>
      </c>
      <c r="D1024">
        <f>IFERROR(__xludf.DUMMYFUNCTION("""COMPUTED_VALUE"""),413.0)</f>
        <v>413</v>
      </c>
      <c r="E1024">
        <f>IFERROR(__xludf.DUMMYFUNCTION("""COMPUTED_VALUE"""),32.34)</f>
        <v>32.34</v>
      </c>
      <c r="F1024">
        <f>IFERROR(__xludf.DUMMYFUNCTION("""COMPUTED_VALUE"""),29.81)</f>
        <v>29.81</v>
      </c>
      <c r="G1024">
        <f>IFERROR(__xludf.DUMMYFUNCTION("""COMPUTED_VALUE"""),0.36)</f>
        <v>0.36</v>
      </c>
    </row>
    <row r="1025">
      <c r="A1025">
        <f>IFERROR(__xludf.DUMMYFUNCTION("""COMPUTED_VALUE"""),171243.0)</f>
        <v>171243</v>
      </c>
      <c r="B1025" t="str">
        <f>IFERROR(__xludf.DUMMYFUNCTION("""COMPUTED_VALUE"""),"Limburger Cheese")</f>
        <v>Limburger Cheese</v>
      </c>
      <c r="C1025" t="str">
        <f>IFERROR(__xludf.DUMMYFUNCTION("""COMPUTED_VALUE"""),"Dairy and Egg Products")</f>
        <v>Dairy and Egg Products</v>
      </c>
      <c r="D1025">
        <f>IFERROR(__xludf.DUMMYFUNCTION("""COMPUTED_VALUE"""),327.0)</f>
        <v>327</v>
      </c>
      <c r="E1025">
        <f>IFERROR(__xludf.DUMMYFUNCTION("""COMPUTED_VALUE"""),27.25)</f>
        <v>27.25</v>
      </c>
      <c r="F1025">
        <f>IFERROR(__xludf.DUMMYFUNCTION("""COMPUTED_VALUE"""),20.05)</f>
        <v>20.05</v>
      </c>
      <c r="G1025">
        <f>IFERROR(__xludf.DUMMYFUNCTION("""COMPUTED_VALUE"""),0.49)</f>
        <v>0.49</v>
      </c>
    </row>
    <row r="1026">
      <c r="A1026">
        <f>IFERROR(__xludf.DUMMYFUNCTION("""COMPUTED_VALUE"""),171244.0)</f>
        <v>171244</v>
      </c>
      <c r="B1026" t="str">
        <f>IFERROR(__xludf.DUMMYFUNCTION("""COMPUTED_VALUE"""),"Mozzarella (Hard And Lowfat)")</f>
        <v>Mozzarella (Hard And Lowfat)</v>
      </c>
      <c r="C1026" t="str">
        <f>IFERROR(__xludf.DUMMYFUNCTION("""COMPUTED_VALUE"""),"Dairy and Egg Products")</f>
        <v>Dairy and Egg Products</v>
      </c>
      <c r="D1026">
        <f>IFERROR(__xludf.DUMMYFUNCTION("""COMPUTED_VALUE"""),295.0)</f>
        <v>295</v>
      </c>
      <c r="E1026">
        <f>IFERROR(__xludf.DUMMYFUNCTION("""COMPUTED_VALUE"""),19.78)</f>
        <v>19.78</v>
      </c>
      <c r="F1026">
        <f>IFERROR(__xludf.DUMMYFUNCTION("""COMPUTED_VALUE"""),23.75)</f>
        <v>23.75</v>
      </c>
      <c r="G1026">
        <f>IFERROR(__xludf.DUMMYFUNCTION("""COMPUTED_VALUE"""),5.58)</f>
        <v>5.58</v>
      </c>
    </row>
    <row r="1027">
      <c r="A1027">
        <f>IFERROR(__xludf.DUMMYFUNCTION("""COMPUTED_VALUE"""),171245.0)</f>
        <v>171245</v>
      </c>
      <c r="B1027" t="str">
        <f>IFERROR(__xludf.DUMMYFUNCTION("""COMPUTED_VALUE"""),"Muenster Cheese")</f>
        <v>Muenster Cheese</v>
      </c>
      <c r="C1027" t="str">
        <f>IFERROR(__xludf.DUMMYFUNCTION("""COMPUTED_VALUE"""),"Dairy and Egg Products")</f>
        <v>Dairy and Egg Products</v>
      </c>
      <c r="D1027">
        <f>IFERROR(__xludf.DUMMYFUNCTION("""COMPUTED_VALUE"""),368.0)</f>
        <v>368</v>
      </c>
      <c r="E1027">
        <f>IFERROR(__xludf.DUMMYFUNCTION("""COMPUTED_VALUE"""),30.04)</f>
        <v>30.04</v>
      </c>
      <c r="F1027">
        <f>IFERROR(__xludf.DUMMYFUNCTION("""COMPUTED_VALUE"""),23.41)</f>
        <v>23.41</v>
      </c>
      <c r="G1027">
        <f>IFERROR(__xludf.DUMMYFUNCTION("""COMPUTED_VALUE"""),1.12)</f>
        <v>1.12</v>
      </c>
    </row>
    <row r="1028">
      <c r="A1028">
        <f>IFERROR(__xludf.DUMMYFUNCTION("""COMPUTED_VALUE"""),171246.0)</f>
        <v>171246</v>
      </c>
      <c r="B1028" t="str">
        <f>IFERROR(__xludf.DUMMYFUNCTION("""COMPUTED_VALUE"""),"Neufchatel Cheese")</f>
        <v>Neufchatel Cheese</v>
      </c>
      <c r="C1028" t="str">
        <f>IFERROR(__xludf.DUMMYFUNCTION("""COMPUTED_VALUE"""),"Dairy and Egg Products")</f>
        <v>Dairy and Egg Products</v>
      </c>
      <c r="D1028">
        <f>IFERROR(__xludf.DUMMYFUNCTION("""COMPUTED_VALUE"""),253.0)</f>
        <v>253</v>
      </c>
      <c r="E1028">
        <f>IFERROR(__xludf.DUMMYFUNCTION("""COMPUTED_VALUE"""),22.78)</f>
        <v>22.78</v>
      </c>
      <c r="F1028">
        <f>IFERROR(__xludf.DUMMYFUNCTION("""COMPUTED_VALUE"""),9.15)</f>
        <v>9.15</v>
      </c>
      <c r="G1028">
        <f>IFERROR(__xludf.DUMMYFUNCTION("""COMPUTED_VALUE"""),3.59)</f>
        <v>3.59</v>
      </c>
    </row>
    <row r="1029">
      <c r="A1029">
        <f>IFERROR(__xludf.DUMMYFUNCTION("""COMPUTED_VALUE"""),171247.0)</f>
        <v>171247</v>
      </c>
      <c r="B1029" t="str">
        <f>IFERROR(__xludf.DUMMYFUNCTION("""COMPUTED_VALUE"""),"Grated Parmesan")</f>
        <v>Grated Parmesan</v>
      </c>
      <c r="C1029" t="str">
        <f>IFERROR(__xludf.DUMMYFUNCTION("""COMPUTED_VALUE"""),"Dairy and Egg Products")</f>
        <v>Dairy and Egg Products</v>
      </c>
      <c r="D1029">
        <f>IFERROR(__xludf.DUMMYFUNCTION("""COMPUTED_VALUE"""),420.0)</f>
        <v>420</v>
      </c>
      <c r="E1029">
        <f>IFERROR(__xludf.DUMMYFUNCTION("""COMPUTED_VALUE"""),27.84)</f>
        <v>27.84</v>
      </c>
      <c r="F1029">
        <f>IFERROR(__xludf.DUMMYFUNCTION("""COMPUTED_VALUE"""),28.42)</f>
        <v>28.42</v>
      </c>
      <c r="G1029">
        <f>IFERROR(__xludf.DUMMYFUNCTION("""COMPUTED_VALUE"""),13.91)</f>
        <v>13.91</v>
      </c>
    </row>
    <row r="1030">
      <c r="A1030">
        <f>IFERROR(__xludf.DUMMYFUNCTION("""COMPUTED_VALUE"""),171248.0)</f>
        <v>171248</v>
      </c>
      <c r="B1030" t="str">
        <f>IFERROR(__xludf.DUMMYFUNCTION("""COMPUTED_VALUE"""),"Lowfat Ricotta")</f>
        <v>Lowfat Ricotta</v>
      </c>
      <c r="C1030" t="str">
        <f>IFERROR(__xludf.DUMMYFUNCTION("""COMPUTED_VALUE"""),"Dairy and Egg Products")</f>
        <v>Dairy and Egg Products</v>
      </c>
      <c r="D1030">
        <f>IFERROR(__xludf.DUMMYFUNCTION("""COMPUTED_VALUE"""),138.0)</f>
        <v>138</v>
      </c>
      <c r="E1030">
        <f>IFERROR(__xludf.DUMMYFUNCTION("""COMPUTED_VALUE"""),7.91)</f>
        <v>7.91</v>
      </c>
      <c r="F1030">
        <f>IFERROR(__xludf.DUMMYFUNCTION("""COMPUTED_VALUE"""),11.39)</f>
        <v>11.39</v>
      </c>
      <c r="G1030">
        <f>IFERROR(__xludf.DUMMYFUNCTION("""COMPUTED_VALUE"""),5.14)</f>
        <v>5.14</v>
      </c>
    </row>
    <row r="1031">
      <c r="A1031">
        <f>IFERROR(__xludf.DUMMYFUNCTION("""COMPUTED_VALUE"""),171249.0)</f>
        <v>171249</v>
      </c>
      <c r="B1031" t="str">
        <f>IFERROR(__xludf.DUMMYFUNCTION("""COMPUTED_VALUE"""),"Romano Cheese")</f>
        <v>Romano Cheese</v>
      </c>
      <c r="C1031" t="str">
        <f>IFERROR(__xludf.DUMMYFUNCTION("""COMPUTED_VALUE"""),"Dairy and Egg Products")</f>
        <v>Dairy and Egg Products</v>
      </c>
      <c r="D1031">
        <f>IFERROR(__xludf.DUMMYFUNCTION("""COMPUTED_VALUE"""),387.0)</f>
        <v>387</v>
      </c>
      <c r="E1031">
        <f>IFERROR(__xludf.DUMMYFUNCTION("""COMPUTED_VALUE"""),26.94)</f>
        <v>26.94</v>
      </c>
      <c r="F1031">
        <f>IFERROR(__xludf.DUMMYFUNCTION("""COMPUTED_VALUE"""),31.8)</f>
        <v>31.8</v>
      </c>
      <c r="G1031">
        <f>IFERROR(__xludf.DUMMYFUNCTION("""COMPUTED_VALUE"""),3.63)</f>
        <v>3.63</v>
      </c>
    </row>
    <row r="1032">
      <c r="A1032">
        <f>IFERROR(__xludf.DUMMYFUNCTION("""COMPUTED_VALUE"""),171250.0)</f>
        <v>171250</v>
      </c>
      <c r="B1032" t="str">
        <f>IFERROR(__xludf.DUMMYFUNCTION("""COMPUTED_VALUE"""),"Roquefort")</f>
        <v>Roquefort</v>
      </c>
      <c r="C1032" t="str">
        <f>IFERROR(__xludf.DUMMYFUNCTION("""COMPUTED_VALUE"""),"Dairy and Egg Products")</f>
        <v>Dairy and Egg Products</v>
      </c>
      <c r="D1032">
        <f>IFERROR(__xludf.DUMMYFUNCTION("""COMPUTED_VALUE"""),369.0)</f>
        <v>369</v>
      </c>
      <c r="E1032">
        <f>IFERROR(__xludf.DUMMYFUNCTION("""COMPUTED_VALUE"""),30.64)</f>
        <v>30.64</v>
      </c>
      <c r="F1032">
        <f>IFERROR(__xludf.DUMMYFUNCTION("""COMPUTED_VALUE"""),21.54)</f>
        <v>21.54</v>
      </c>
      <c r="G1032">
        <f>IFERROR(__xludf.DUMMYFUNCTION("""COMPUTED_VALUE"""),2.0)</f>
        <v>2</v>
      </c>
    </row>
    <row r="1033">
      <c r="A1033">
        <f>IFERROR(__xludf.DUMMYFUNCTION("""COMPUTED_VALUE"""),171251.0)</f>
        <v>171251</v>
      </c>
      <c r="B1033" t="str">
        <f>IFERROR(__xludf.DUMMYFUNCTION("""COMPUTED_VALUE"""),"Swiss Cheese")</f>
        <v>Swiss Cheese</v>
      </c>
      <c r="C1033" t="str">
        <f>IFERROR(__xludf.DUMMYFUNCTION("""COMPUTED_VALUE"""),"Dairy and Egg Products")</f>
        <v>Dairy and Egg Products</v>
      </c>
      <c r="D1033">
        <f>IFERROR(__xludf.DUMMYFUNCTION("""COMPUTED_VALUE"""),393.0)</f>
        <v>393</v>
      </c>
      <c r="E1033">
        <f>IFERROR(__xludf.DUMMYFUNCTION("""COMPUTED_VALUE"""),30.99)</f>
        <v>30.99</v>
      </c>
      <c r="F1033">
        <f>IFERROR(__xludf.DUMMYFUNCTION("""COMPUTED_VALUE"""),26.96)</f>
        <v>26.96</v>
      </c>
      <c r="G1033">
        <f>IFERROR(__xludf.DUMMYFUNCTION("""COMPUTED_VALUE"""),1.44)</f>
        <v>1.44</v>
      </c>
    </row>
    <row r="1034">
      <c r="A1034">
        <f>IFERROR(__xludf.DUMMYFUNCTION("""COMPUTED_VALUE"""),171252.0)</f>
        <v>171252</v>
      </c>
      <c r="B1034" t="str">
        <f>IFERROR(__xludf.DUMMYFUNCTION("""COMPUTED_VALUE"""),"American Cheese")</f>
        <v>American Cheese</v>
      </c>
      <c r="C1034" t="str">
        <f>IFERROR(__xludf.DUMMYFUNCTION("""COMPUTED_VALUE"""),"Dairy and Egg Products")</f>
        <v>Dairy and Egg Products</v>
      </c>
      <c r="D1034">
        <f>IFERROR(__xludf.DUMMYFUNCTION("""COMPUTED_VALUE"""),330.0)</f>
        <v>330</v>
      </c>
      <c r="E1034">
        <f>IFERROR(__xludf.DUMMYFUNCTION("""COMPUTED_VALUE"""),25.63)</f>
        <v>25.63</v>
      </c>
      <c r="F1034">
        <f>IFERROR(__xludf.DUMMYFUNCTION("""COMPUTED_VALUE"""),16.86)</f>
        <v>16.86</v>
      </c>
      <c r="G1034">
        <f>IFERROR(__xludf.DUMMYFUNCTION("""COMPUTED_VALUE"""),8.56)</f>
        <v>8.56</v>
      </c>
    </row>
    <row r="1035">
      <c r="A1035">
        <f>IFERROR(__xludf.DUMMYFUNCTION("""COMPUTED_VALUE"""),171253.0)</f>
        <v>171253</v>
      </c>
      <c r="B1035" t="str">
        <f>IFERROR(__xludf.DUMMYFUNCTION("""COMPUTED_VALUE"""),"Cheese Food Pasteurized Process Swiss")</f>
        <v>Cheese Food Pasteurized Process Swiss</v>
      </c>
      <c r="C1035" t="str">
        <f>IFERROR(__xludf.DUMMYFUNCTION("""COMPUTED_VALUE"""),"Dairy and Egg Products")</f>
        <v>Dairy and Egg Products</v>
      </c>
      <c r="D1035">
        <f>IFERROR(__xludf.DUMMYFUNCTION("""COMPUTED_VALUE"""),323.0)</f>
        <v>323</v>
      </c>
      <c r="E1035">
        <f>IFERROR(__xludf.DUMMYFUNCTION("""COMPUTED_VALUE"""),24.14)</f>
        <v>24.14</v>
      </c>
      <c r="F1035">
        <f>IFERROR(__xludf.DUMMYFUNCTION("""COMPUTED_VALUE"""),21.92)</f>
        <v>21.92</v>
      </c>
      <c r="G1035">
        <f>IFERROR(__xludf.DUMMYFUNCTION("""COMPUTED_VALUE"""),4.5)</f>
        <v>4.5</v>
      </c>
    </row>
    <row r="1036">
      <c r="A1036">
        <f>IFERROR(__xludf.DUMMYFUNCTION("""COMPUTED_VALUE"""),171254.0)</f>
        <v>171254</v>
      </c>
      <c r="B1036" t="str">
        <f>IFERROR(__xludf.DUMMYFUNCTION("""COMPUTED_VALUE"""),"American Cheese Spread")</f>
        <v>American Cheese Spread</v>
      </c>
      <c r="C1036" t="str">
        <f>IFERROR(__xludf.DUMMYFUNCTION("""COMPUTED_VALUE"""),"Dairy and Egg Products")</f>
        <v>Dairy and Egg Products</v>
      </c>
      <c r="D1036">
        <f>IFERROR(__xludf.DUMMYFUNCTION("""COMPUTED_VALUE"""),290.0)</f>
        <v>290</v>
      </c>
      <c r="E1036">
        <f>IFERROR(__xludf.DUMMYFUNCTION("""COMPUTED_VALUE"""),21.23)</f>
        <v>21.23</v>
      </c>
      <c r="F1036">
        <f>IFERROR(__xludf.DUMMYFUNCTION("""COMPUTED_VALUE"""),16.41)</f>
        <v>16.41</v>
      </c>
      <c r="G1036">
        <f>IFERROR(__xludf.DUMMYFUNCTION("""COMPUTED_VALUE"""),8.73)</f>
        <v>8.73</v>
      </c>
    </row>
    <row r="1037">
      <c r="A1037">
        <f>IFERROR(__xludf.DUMMYFUNCTION("""COMPUTED_VALUE"""),171255.0)</f>
        <v>171255</v>
      </c>
      <c r="B1037" t="str">
        <f>IFERROR(__xludf.DUMMYFUNCTION("""COMPUTED_VALUE"""),"Half And Half Cream")</f>
        <v>Half And Half Cream</v>
      </c>
      <c r="C1037" t="str">
        <f>IFERROR(__xludf.DUMMYFUNCTION("""COMPUTED_VALUE"""),"Dairy and Egg Products")</f>
        <v>Dairy and Egg Products</v>
      </c>
      <c r="D1037">
        <f>IFERROR(__xludf.DUMMYFUNCTION("""COMPUTED_VALUE"""),131.0)</f>
        <v>131</v>
      </c>
      <c r="E1037">
        <f>IFERROR(__xludf.DUMMYFUNCTION("""COMPUTED_VALUE"""),11.5)</f>
        <v>11.5</v>
      </c>
      <c r="F1037">
        <f>IFERROR(__xludf.DUMMYFUNCTION("""COMPUTED_VALUE"""),3.13)</f>
        <v>3.13</v>
      </c>
      <c r="G1037">
        <f>IFERROR(__xludf.DUMMYFUNCTION("""COMPUTED_VALUE"""),4.3)</f>
        <v>4.3</v>
      </c>
    </row>
    <row r="1038">
      <c r="A1038">
        <f>IFERROR(__xludf.DUMMYFUNCTION("""COMPUTED_VALUE"""),171256.0)</f>
        <v>171256</v>
      </c>
      <c r="B1038" t="str">
        <f>IFERROR(__xludf.DUMMYFUNCTION("""COMPUTED_VALUE"""),"Lowfat Sour Cream")</f>
        <v>Lowfat Sour Cream</v>
      </c>
      <c r="C1038" t="str">
        <f>IFERROR(__xludf.DUMMYFUNCTION("""COMPUTED_VALUE"""),"Dairy and Egg Products")</f>
        <v>Dairy and Egg Products</v>
      </c>
      <c r="D1038">
        <f>IFERROR(__xludf.DUMMYFUNCTION("""COMPUTED_VALUE"""),135.0)</f>
        <v>135</v>
      </c>
      <c r="E1038">
        <f>IFERROR(__xludf.DUMMYFUNCTION("""COMPUTED_VALUE"""),12.0)</f>
        <v>12</v>
      </c>
      <c r="F1038">
        <f>IFERROR(__xludf.DUMMYFUNCTION("""COMPUTED_VALUE"""),2.94)</f>
        <v>2.94</v>
      </c>
      <c r="G1038">
        <f>IFERROR(__xludf.DUMMYFUNCTION("""COMPUTED_VALUE"""),4.26)</f>
        <v>4.26</v>
      </c>
    </row>
    <row r="1039">
      <c r="A1039">
        <f>IFERROR(__xludf.DUMMYFUNCTION("""COMPUTED_VALUE"""),171257.0)</f>
        <v>171257</v>
      </c>
      <c r="B1039" t="str">
        <f>IFERROR(__xludf.DUMMYFUNCTION("""COMPUTED_VALUE"""),"Cultured Sour Cream")</f>
        <v>Cultured Sour Cream</v>
      </c>
      <c r="C1039" t="str">
        <f>IFERROR(__xludf.DUMMYFUNCTION("""COMPUTED_VALUE"""),"Dairy and Egg Products")</f>
        <v>Dairy and Egg Products</v>
      </c>
      <c r="D1039">
        <f>IFERROR(__xludf.DUMMYFUNCTION("""COMPUTED_VALUE"""),198.0)</f>
        <v>198</v>
      </c>
      <c r="E1039">
        <f>IFERROR(__xludf.DUMMYFUNCTION("""COMPUTED_VALUE"""),19.35)</f>
        <v>19.35</v>
      </c>
      <c r="F1039">
        <f>IFERROR(__xludf.DUMMYFUNCTION("""COMPUTED_VALUE"""),2.44)</f>
        <v>2.44</v>
      </c>
      <c r="G1039">
        <f>IFERROR(__xludf.DUMMYFUNCTION("""COMPUTED_VALUE"""),4.63)</f>
        <v>4.63</v>
      </c>
    </row>
    <row r="1040">
      <c r="A1040">
        <f>IFERROR(__xludf.DUMMYFUNCTION("""COMPUTED_VALUE"""),171258.0)</f>
        <v>171258</v>
      </c>
      <c r="B1040" t="str">
        <f>IFERROR(__xludf.DUMMYFUNCTION("""COMPUTED_VALUE"""),"Eggnog")</f>
        <v>Eggnog</v>
      </c>
      <c r="C1040" t="str">
        <f>IFERROR(__xludf.DUMMYFUNCTION("""COMPUTED_VALUE"""),"Dairy and Egg Products")</f>
        <v>Dairy and Egg Products</v>
      </c>
      <c r="D1040">
        <f>IFERROR(__xludf.DUMMYFUNCTION("""COMPUTED_VALUE"""),88.0)</f>
        <v>88</v>
      </c>
      <c r="E1040">
        <f>IFERROR(__xludf.DUMMYFUNCTION("""COMPUTED_VALUE"""),4.19)</f>
        <v>4.19</v>
      </c>
      <c r="F1040">
        <f>IFERROR(__xludf.DUMMYFUNCTION("""COMPUTED_VALUE"""),4.55)</f>
        <v>4.55</v>
      </c>
      <c r="G1040">
        <f>IFERROR(__xludf.DUMMYFUNCTION("""COMPUTED_VALUE"""),8.05)</f>
        <v>8.05</v>
      </c>
    </row>
    <row r="1041">
      <c r="A1041">
        <f>IFERROR(__xludf.DUMMYFUNCTION("""COMPUTED_VALUE"""),171259.0)</f>
        <v>171259</v>
      </c>
      <c r="B1041" t="str">
        <f>IFERROR(__xludf.DUMMYFUNCTION("""COMPUTED_VALUE"""),"Sour Dressing Non-Butterfat Cultured Filled Cream-Type")</f>
        <v>Sour Dressing Non-Butterfat Cultured Filled Cream-Type</v>
      </c>
      <c r="C1041" t="str">
        <f>IFERROR(__xludf.DUMMYFUNCTION("""COMPUTED_VALUE"""),"Dairy and Egg Products")</f>
        <v>Dairy and Egg Products</v>
      </c>
      <c r="D1041">
        <f>IFERROR(__xludf.DUMMYFUNCTION("""COMPUTED_VALUE"""),178.0)</f>
        <v>178</v>
      </c>
      <c r="E1041">
        <f>IFERROR(__xludf.DUMMYFUNCTION("""COMPUTED_VALUE"""),16.57)</f>
        <v>16.57</v>
      </c>
      <c r="F1041">
        <f>IFERROR(__xludf.DUMMYFUNCTION("""COMPUTED_VALUE"""),3.25)</f>
        <v>3.25</v>
      </c>
      <c r="G1041">
        <f>IFERROR(__xludf.DUMMYFUNCTION("""COMPUTED_VALUE"""),4.68)</f>
        <v>4.68</v>
      </c>
    </row>
    <row r="1042">
      <c r="A1042">
        <f>IFERROR(__xludf.DUMMYFUNCTION("""COMPUTED_VALUE"""),171261.0)</f>
        <v>171261</v>
      </c>
      <c r="B1042" t="str">
        <f>IFERROR(__xludf.DUMMYFUNCTION("""COMPUTED_VALUE"""),"Cream Substitute Liquid With Hydrogenated Vegetable Oil And Soy Protein")</f>
        <v>Cream Substitute Liquid With Hydrogenated Vegetable Oil And Soy Protein</v>
      </c>
      <c r="C1042" t="str">
        <f>IFERROR(__xludf.DUMMYFUNCTION("""COMPUTED_VALUE"""),"Dairy and Egg Products")</f>
        <v>Dairy and Egg Products</v>
      </c>
      <c r="D1042">
        <f>IFERROR(__xludf.DUMMYFUNCTION("""COMPUTED_VALUE"""),136.0)</f>
        <v>136</v>
      </c>
      <c r="E1042">
        <f>IFERROR(__xludf.DUMMYFUNCTION("""COMPUTED_VALUE"""),9.97)</f>
        <v>9.97</v>
      </c>
      <c r="F1042">
        <f>IFERROR(__xludf.DUMMYFUNCTION("""COMPUTED_VALUE"""),1.0)</f>
        <v>1</v>
      </c>
      <c r="G1042">
        <f>IFERROR(__xludf.DUMMYFUNCTION("""COMPUTED_VALUE"""),11.38)</f>
        <v>11.38</v>
      </c>
    </row>
    <row r="1043">
      <c r="A1043">
        <f>IFERROR(__xludf.DUMMYFUNCTION("""COMPUTED_VALUE"""),171262.0)</f>
        <v>171262</v>
      </c>
      <c r="B1043" t="str">
        <f>IFERROR(__xludf.DUMMYFUNCTION("""COMPUTED_VALUE"""),"Cream Substitute Liquid With Lauric Acid Oil And Sodium Caseinate")</f>
        <v>Cream Substitute Liquid With Lauric Acid Oil And Sodium Caseinate</v>
      </c>
      <c r="C1043" t="str">
        <f>IFERROR(__xludf.DUMMYFUNCTION("""COMPUTED_VALUE"""),"Dairy and Egg Products")</f>
        <v>Dairy and Egg Products</v>
      </c>
      <c r="D1043">
        <f>IFERROR(__xludf.DUMMYFUNCTION("""COMPUTED_VALUE"""),136.0)</f>
        <v>136</v>
      </c>
      <c r="E1043">
        <f>IFERROR(__xludf.DUMMYFUNCTION("""COMPUTED_VALUE"""),9.97)</f>
        <v>9.97</v>
      </c>
      <c r="F1043">
        <f>IFERROR(__xludf.DUMMYFUNCTION("""COMPUTED_VALUE"""),1.0)</f>
        <v>1</v>
      </c>
      <c r="G1043">
        <f>IFERROR(__xludf.DUMMYFUNCTION("""COMPUTED_VALUE"""),11.38)</f>
        <v>11.38</v>
      </c>
    </row>
    <row r="1044">
      <c r="A1044">
        <f>IFERROR(__xludf.DUMMYFUNCTION("""COMPUTED_VALUE"""),171263.0)</f>
        <v>171263</v>
      </c>
      <c r="B1044" t="str">
        <f>IFERROR(__xludf.DUMMYFUNCTION("""COMPUTED_VALUE"""),"Cream Substitute Powdered")</f>
        <v>Cream Substitute Powdered</v>
      </c>
      <c r="C1044" t="str">
        <f>IFERROR(__xludf.DUMMYFUNCTION("""COMPUTED_VALUE"""),"Dairy and Egg Products")</f>
        <v>Dairy and Egg Products</v>
      </c>
      <c r="D1044">
        <f>IFERROR(__xludf.DUMMYFUNCTION("""COMPUTED_VALUE"""),529.0)</f>
        <v>529</v>
      </c>
      <c r="E1044">
        <f>IFERROR(__xludf.DUMMYFUNCTION("""COMPUTED_VALUE"""),32.92)</f>
        <v>32.92</v>
      </c>
      <c r="F1044">
        <f>IFERROR(__xludf.DUMMYFUNCTION("""COMPUTED_VALUE"""),2.48)</f>
        <v>2.48</v>
      </c>
      <c r="G1044">
        <f>IFERROR(__xludf.DUMMYFUNCTION("""COMPUTED_VALUE"""),59.29)</f>
        <v>59.29</v>
      </c>
    </row>
    <row r="1045">
      <c r="A1045">
        <f>IFERROR(__xludf.DUMMYFUNCTION("""COMPUTED_VALUE"""),171264.0)</f>
        <v>171264</v>
      </c>
      <c r="B1045" t="str">
        <f>IFERROR(__xludf.DUMMYFUNCTION("""COMPUTED_VALUE"""),"Milk Substitutes Fluid With Lauric Acid Oil")</f>
        <v>Milk Substitutes Fluid With Lauric Acid Oil</v>
      </c>
      <c r="C1045" t="str">
        <f>IFERROR(__xludf.DUMMYFUNCTION("""COMPUTED_VALUE"""),"Dairy and Egg Products")</f>
        <v>Dairy and Egg Products</v>
      </c>
      <c r="D1045">
        <f>IFERROR(__xludf.DUMMYFUNCTION("""COMPUTED_VALUE"""),61.0)</f>
        <v>61</v>
      </c>
      <c r="E1045">
        <f>IFERROR(__xludf.DUMMYFUNCTION("""COMPUTED_VALUE"""),3.41)</f>
        <v>3.41</v>
      </c>
      <c r="F1045">
        <f>IFERROR(__xludf.DUMMYFUNCTION("""COMPUTED_VALUE"""),1.75)</f>
        <v>1.75</v>
      </c>
      <c r="G1045">
        <f>IFERROR(__xludf.DUMMYFUNCTION("""COMPUTED_VALUE"""),6.16)</f>
        <v>6.16</v>
      </c>
    </row>
    <row r="1046">
      <c r="A1046">
        <f>IFERROR(__xludf.DUMMYFUNCTION("""COMPUTED_VALUE"""),171265.0)</f>
        <v>171265</v>
      </c>
      <c r="B1046" t="str">
        <f>IFERROR(__xludf.DUMMYFUNCTION("""COMPUTED_VALUE"""),"Whole Milk")</f>
        <v>Whole Milk</v>
      </c>
      <c r="C1046" t="str">
        <f>IFERROR(__xludf.DUMMYFUNCTION("""COMPUTED_VALUE"""),"Dairy and Egg Products")</f>
        <v>Dairy and Egg Products</v>
      </c>
      <c r="D1046">
        <f>IFERROR(__xludf.DUMMYFUNCTION("""COMPUTED_VALUE"""),61.0)</f>
        <v>61</v>
      </c>
      <c r="E1046">
        <f>IFERROR(__xludf.DUMMYFUNCTION("""COMPUTED_VALUE"""),3.25)</f>
        <v>3.25</v>
      </c>
      <c r="F1046">
        <f>IFERROR(__xludf.DUMMYFUNCTION("""COMPUTED_VALUE"""),3.15)</f>
        <v>3.15</v>
      </c>
      <c r="G1046">
        <f>IFERROR(__xludf.DUMMYFUNCTION("""COMPUTED_VALUE"""),4.8)</f>
        <v>4.8</v>
      </c>
    </row>
    <row r="1047">
      <c r="A1047">
        <f>IFERROR(__xludf.DUMMYFUNCTION("""COMPUTED_VALUE"""),171266.0)</f>
        <v>171266</v>
      </c>
      <c r="B1047" t="str">
        <f>IFERROR(__xludf.DUMMYFUNCTION("""COMPUTED_VALUE"""),"High Fat Milk (3.7% Fat)")</f>
        <v>High Fat Milk (3.7% Fat)</v>
      </c>
      <c r="C1047" t="str">
        <f>IFERROR(__xludf.DUMMYFUNCTION("""COMPUTED_VALUE"""),"Dairy and Egg Products")</f>
        <v>Dairy and Egg Products</v>
      </c>
      <c r="D1047">
        <f>IFERROR(__xludf.DUMMYFUNCTION("""COMPUTED_VALUE"""),64.0)</f>
        <v>64</v>
      </c>
      <c r="E1047">
        <f>IFERROR(__xludf.DUMMYFUNCTION("""COMPUTED_VALUE"""),3.66)</f>
        <v>3.66</v>
      </c>
      <c r="F1047">
        <f>IFERROR(__xludf.DUMMYFUNCTION("""COMPUTED_VALUE"""),3.28)</f>
        <v>3.28</v>
      </c>
      <c r="G1047">
        <f>IFERROR(__xludf.DUMMYFUNCTION("""COMPUTED_VALUE"""),4.65)</f>
        <v>4.65</v>
      </c>
    </row>
    <row r="1048">
      <c r="A1048">
        <f>IFERROR(__xludf.DUMMYFUNCTION("""COMPUTED_VALUE"""),171267.0)</f>
        <v>171267</v>
      </c>
      <c r="B1048" t="str">
        <f>IFERROR(__xludf.DUMMYFUNCTION("""COMPUTED_VALUE"""),"Low-Fat Milk 2%")</f>
        <v>Low-Fat Milk 2%</v>
      </c>
      <c r="C1048" t="str">
        <f>IFERROR(__xludf.DUMMYFUNCTION("""COMPUTED_VALUE"""),"Dairy and Egg Products")</f>
        <v>Dairy and Egg Products</v>
      </c>
      <c r="D1048">
        <f>IFERROR(__xludf.DUMMYFUNCTION("""COMPUTED_VALUE"""),50.0)</f>
        <v>50</v>
      </c>
      <c r="E1048">
        <f>IFERROR(__xludf.DUMMYFUNCTION("""COMPUTED_VALUE"""),1.98)</f>
        <v>1.98</v>
      </c>
      <c r="F1048">
        <f>IFERROR(__xludf.DUMMYFUNCTION("""COMPUTED_VALUE"""),3.3)</f>
        <v>3.3</v>
      </c>
      <c r="G1048">
        <f>IFERROR(__xludf.DUMMYFUNCTION("""COMPUTED_VALUE"""),4.8)</f>
        <v>4.8</v>
      </c>
    </row>
    <row r="1049">
      <c r="A1049">
        <f>IFERROR(__xludf.DUMMYFUNCTION("""COMPUTED_VALUE"""),171268.0)</f>
        <v>171268</v>
      </c>
      <c r="B1049" t="str">
        <f>IFERROR(__xludf.DUMMYFUNCTION("""COMPUTED_VALUE"""),"Milk Lowfat Fluid 1% Milkfat Protein Fortified With Added Vitamin A And Vitamin D")</f>
        <v>Milk Lowfat Fluid 1% Milkfat Protein Fortified With Added Vitamin A And Vitamin D</v>
      </c>
      <c r="C1049" t="str">
        <f>IFERROR(__xludf.DUMMYFUNCTION("""COMPUTED_VALUE"""),"Dairy and Egg Products")</f>
        <v>Dairy and Egg Products</v>
      </c>
      <c r="D1049">
        <f>IFERROR(__xludf.DUMMYFUNCTION("""COMPUTED_VALUE"""),48.0)</f>
        <v>48</v>
      </c>
      <c r="E1049">
        <f>IFERROR(__xludf.DUMMYFUNCTION("""COMPUTED_VALUE"""),1.17)</f>
        <v>1.17</v>
      </c>
      <c r="F1049">
        <f>IFERROR(__xludf.DUMMYFUNCTION("""COMPUTED_VALUE"""),3.93)</f>
        <v>3.93</v>
      </c>
      <c r="G1049">
        <f>IFERROR(__xludf.DUMMYFUNCTION("""COMPUTED_VALUE"""),5.52)</f>
        <v>5.52</v>
      </c>
    </row>
    <row r="1050">
      <c r="A1050">
        <f>IFERROR(__xludf.DUMMYFUNCTION("""COMPUTED_VALUE"""),171269.0)</f>
        <v>171269</v>
      </c>
      <c r="B1050" t="str">
        <f>IFERROR(__xludf.DUMMYFUNCTION("""COMPUTED_VALUE"""),"Skim Milk")</f>
        <v>Skim Milk</v>
      </c>
      <c r="C1050" t="str">
        <f>IFERROR(__xludf.DUMMYFUNCTION("""COMPUTED_VALUE"""),"Dairy and Egg Products")</f>
        <v>Dairy and Egg Products</v>
      </c>
      <c r="D1050">
        <f>IFERROR(__xludf.DUMMYFUNCTION("""COMPUTED_VALUE"""),34.0)</f>
        <v>34</v>
      </c>
      <c r="E1050">
        <f>IFERROR(__xludf.DUMMYFUNCTION("""COMPUTED_VALUE"""),0.08)</f>
        <v>0.08</v>
      </c>
      <c r="F1050">
        <f>IFERROR(__xludf.DUMMYFUNCTION("""COMPUTED_VALUE"""),3.37)</f>
        <v>3.37</v>
      </c>
      <c r="G1050">
        <f>IFERROR(__xludf.DUMMYFUNCTION("""COMPUTED_VALUE"""),4.96)</f>
        <v>4.96</v>
      </c>
    </row>
    <row r="1051">
      <c r="A1051">
        <f>IFERROR(__xludf.DUMMYFUNCTION("""COMPUTED_VALUE"""),171270.0)</f>
        <v>171270</v>
      </c>
      <c r="B1051" t="str">
        <f>IFERROR(__xludf.DUMMYFUNCTION("""COMPUTED_VALUE"""),"Milk Nonfat Fluid With Added Nonfat Milk Solids Vitamin A And Vitamin D (Fat Free Or Skim)")</f>
        <v>Milk Nonfat Fluid With Added Nonfat Milk Solids Vitamin A And Vitamin D (Fat Free Or Skim)</v>
      </c>
      <c r="C1051" t="str">
        <f>IFERROR(__xludf.DUMMYFUNCTION("""COMPUTED_VALUE"""),"Dairy and Egg Products")</f>
        <v>Dairy and Egg Products</v>
      </c>
      <c r="D1051">
        <f>IFERROR(__xludf.DUMMYFUNCTION("""COMPUTED_VALUE"""),37.0)</f>
        <v>37</v>
      </c>
      <c r="E1051">
        <f>IFERROR(__xludf.DUMMYFUNCTION("""COMPUTED_VALUE"""),0.25)</f>
        <v>0.25</v>
      </c>
      <c r="F1051">
        <f>IFERROR(__xludf.DUMMYFUNCTION("""COMPUTED_VALUE"""),3.57)</f>
        <v>3.57</v>
      </c>
      <c r="G1051">
        <f>IFERROR(__xludf.DUMMYFUNCTION("""COMPUTED_VALUE"""),5.02)</f>
        <v>5.02</v>
      </c>
    </row>
    <row r="1052">
      <c r="A1052">
        <f>IFERROR(__xludf.DUMMYFUNCTION("""COMPUTED_VALUE"""),171271.0)</f>
        <v>171271</v>
      </c>
      <c r="B1052" t="str">
        <f>IFERROR(__xludf.DUMMYFUNCTION("""COMPUTED_VALUE"""),"Milk Nonfat Fluid Protein Fortified With Added Vitamin A And Vitamin D (Fat Free And Skim)")</f>
        <v>Milk Nonfat Fluid Protein Fortified With Added Vitamin A And Vitamin D (Fat Free And Skim)</v>
      </c>
      <c r="C1052" t="str">
        <f>IFERROR(__xludf.DUMMYFUNCTION("""COMPUTED_VALUE"""),"Dairy and Egg Products")</f>
        <v>Dairy and Egg Products</v>
      </c>
      <c r="D1052">
        <f>IFERROR(__xludf.DUMMYFUNCTION("""COMPUTED_VALUE"""),41.0)</f>
        <v>41</v>
      </c>
      <c r="E1052">
        <f>IFERROR(__xludf.DUMMYFUNCTION("""COMPUTED_VALUE"""),0.25)</f>
        <v>0.25</v>
      </c>
      <c r="F1052">
        <f>IFERROR(__xludf.DUMMYFUNCTION("""COMPUTED_VALUE"""),3.96)</f>
        <v>3.96</v>
      </c>
      <c r="G1052">
        <f>IFERROR(__xludf.DUMMYFUNCTION("""COMPUTED_VALUE"""),5.56)</f>
        <v>5.56</v>
      </c>
    </row>
    <row r="1053">
      <c r="A1053">
        <f>IFERROR(__xludf.DUMMYFUNCTION("""COMPUTED_VALUE"""),171272.0)</f>
        <v>171272</v>
      </c>
      <c r="B1053" t="str">
        <f>IFERROR(__xludf.DUMMYFUNCTION("""COMPUTED_VALUE"""),"Milk Dry Nonfat Instant With Added Vitamin A And Vitamin D")</f>
        <v>Milk Dry Nonfat Instant With Added Vitamin A And Vitamin D</v>
      </c>
      <c r="C1053" t="str">
        <f>IFERROR(__xludf.DUMMYFUNCTION("""COMPUTED_VALUE"""),"Dairy and Egg Products")</f>
        <v>Dairy and Egg Products</v>
      </c>
      <c r="D1053">
        <f>IFERROR(__xludf.DUMMYFUNCTION("""COMPUTED_VALUE"""),358.0)</f>
        <v>358</v>
      </c>
      <c r="E1053">
        <f>IFERROR(__xludf.DUMMYFUNCTION("""COMPUTED_VALUE"""),0.72)</f>
        <v>0.72</v>
      </c>
      <c r="F1053">
        <f>IFERROR(__xludf.DUMMYFUNCTION("""COMPUTED_VALUE"""),35.1)</f>
        <v>35.1</v>
      </c>
      <c r="G1053">
        <f>IFERROR(__xludf.DUMMYFUNCTION("""COMPUTED_VALUE"""),52.19)</f>
        <v>52.19</v>
      </c>
    </row>
    <row r="1054">
      <c r="A1054">
        <f>IFERROR(__xludf.DUMMYFUNCTION("""COMPUTED_VALUE"""),171273.0)</f>
        <v>171273</v>
      </c>
      <c r="B1054" t="str">
        <f>IFERROR(__xludf.DUMMYFUNCTION("""COMPUTED_VALUE"""),"Milk Dry Nonfat Calcium Reduced")</f>
        <v>Milk Dry Nonfat Calcium Reduced</v>
      </c>
      <c r="C1054" t="str">
        <f>IFERROR(__xludf.DUMMYFUNCTION("""COMPUTED_VALUE"""),"Dairy and Egg Products")</f>
        <v>Dairy and Egg Products</v>
      </c>
      <c r="D1054">
        <f>IFERROR(__xludf.DUMMYFUNCTION("""COMPUTED_VALUE"""),354.0)</f>
        <v>354</v>
      </c>
      <c r="E1054">
        <f>IFERROR(__xludf.DUMMYFUNCTION("""COMPUTED_VALUE"""),0.2)</f>
        <v>0.2</v>
      </c>
      <c r="F1054">
        <f>IFERROR(__xludf.DUMMYFUNCTION("""COMPUTED_VALUE"""),35.5)</f>
        <v>35.5</v>
      </c>
      <c r="G1054">
        <f>IFERROR(__xludf.DUMMYFUNCTION("""COMPUTED_VALUE"""),51.8)</f>
        <v>51.8</v>
      </c>
    </row>
    <row r="1055">
      <c r="A1055">
        <f>IFERROR(__xludf.DUMMYFUNCTION("""COMPUTED_VALUE"""),171274.0)</f>
        <v>171274</v>
      </c>
      <c r="B1055" t="str">
        <f>IFERROR(__xludf.DUMMYFUNCTION("""COMPUTED_VALUE"""),"Milk Buttermilk Dried")</f>
        <v>Milk Buttermilk Dried</v>
      </c>
      <c r="C1055" t="str">
        <f>IFERROR(__xludf.DUMMYFUNCTION("""COMPUTED_VALUE"""),"Dairy and Egg Products")</f>
        <v>Dairy and Egg Products</v>
      </c>
      <c r="D1055">
        <f>IFERROR(__xludf.DUMMYFUNCTION("""COMPUTED_VALUE"""),387.0)</f>
        <v>387</v>
      </c>
      <c r="E1055">
        <f>IFERROR(__xludf.DUMMYFUNCTION("""COMPUTED_VALUE"""),5.78)</f>
        <v>5.78</v>
      </c>
      <c r="F1055">
        <f>IFERROR(__xludf.DUMMYFUNCTION("""COMPUTED_VALUE"""),34.3)</f>
        <v>34.3</v>
      </c>
      <c r="G1055">
        <f>IFERROR(__xludf.DUMMYFUNCTION("""COMPUTED_VALUE"""),49.0)</f>
        <v>49</v>
      </c>
    </row>
    <row r="1056">
      <c r="A1056">
        <f>IFERROR(__xludf.DUMMYFUNCTION("""COMPUTED_VALUE"""),171275.0)</f>
        <v>171275</v>
      </c>
      <c r="B1056" t="str">
        <f>IFERROR(__xludf.DUMMYFUNCTION("""COMPUTED_VALUE"""),"Sweetened Condensed Milk")</f>
        <v>Sweetened Condensed Milk</v>
      </c>
      <c r="C1056" t="str">
        <f>IFERROR(__xludf.DUMMYFUNCTION("""COMPUTED_VALUE"""),"Dairy and Egg Products")</f>
        <v>Dairy and Egg Products</v>
      </c>
      <c r="D1056">
        <f>IFERROR(__xludf.DUMMYFUNCTION("""COMPUTED_VALUE"""),321.0)</f>
        <v>321</v>
      </c>
      <c r="E1056">
        <f>IFERROR(__xludf.DUMMYFUNCTION("""COMPUTED_VALUE"""),8.7)</f>
        <v>8.7</v>
      </c>
      <c r="F1056">
        <f>IFERROR(__xludf.DUMMYFUNCTION("""COMPUTED_VALUE"""),7.91)</f>
        <v>7.91</v>
      </c>
      <c r="G1056">
        <f>IFERROR(__xludf.DUMMYFUNCTION("""COMPUTED_VALUE"""),54.4)</f>
        <v>54.4</v>
      </c>
    </row>
    <row r="1057">
      <c r="A1057">
        <f>IFERROR(__xludf.DUMMYFUNCTION("""COMPUTED_VALUE"""),171276.0)</f>
        <v>171276</v>
      </c>
      <c r="B1057" t="str">
        <f>IFERROR(__xludf.DUMMYFUNCTION("""COMPUTED_VALUE"""),"Milk Canned Evaporated With Added Vitamin D And Without Added Vitamin A")</f>
        <v>Milk Canned Evaporated With Added Vitamin D And Without Added Vitamin A</v>
      </c>
      <c r="C1057" t="str">
        <f>IFERROR(__xludf.DUMMYFUNCTION("""COMPUTED_VALUE"""),"Dairy and Egg Products")</f>
        <v>Dairy and Egg Products</v>
      </c>
      <c r="D1057">
        <f>IFERROR(__xludf.DUMMYFUNCTION("""COMPUTED_VALUE"""),134.0)</f>
        <v>134</v>
      </c>
      <c r="E1057">
        <f>IFERROR(__xludf.DUMMYFUNCTION("""COMPUTED_VALUE"""),7.56)</f>
        <v>7.56</v>
      </c>
      <c r="F1057">
        <f>IFERROR(__xludf.DUMMYFUNCTION("""COMPUTED_VALUE"""),6.81)</f>
        <v>6.81</v>
      </c>
      <c r="G1057">
        <f>IFERROR(__xludf.DUMMYFUNCTION("""COMPUTED_VALUE"""),10.04)</f>
        <v>10.04</v>
      </c>
    </row>
    <row r="1058">
      <c r="A1058">
        <f>IFERROR(__xludf.DUMMYFUNCTION("""COMPUTED_VALUE"""),171277.0)</f>
        <v>171277</v>
      </c>
      <c r="B1058" t="str">
        <f>IFERROR(__xludf.DUMMYFUNCTION("""COMPUTED_VALUE"""),"Hot Cocoa")</f>
        <v>Hot Cocoa</v>
      </c>
      <c r="C1058" t="str">
        <f>IFERROR(__xludf.DUMMYFUNCTION("""COMPUTED_VALUE"""),"Dairy and Egg Products")</f>
        <v>Dairy and Egg Products</v>
      </c>
      <c r="D1058">
        <f>IFERROR(__xludf.DUMMYFUNCTION("""COMPUTED_VALUE"""),77.0)</f>
        <v>77</v>
      </c>
      <c r="E1058">
        <f>IFERROR(__xludf.DUMMYFUNCTION("""COMPUTED_VALUE"""),2.34)</f>
        <v>2.34</v>
      </c>
      <c r="F1058">
        <f>IFERROR(__xludf.DUMMYFUNCTION("""COMPUTED_VALUE"""),3.52)</f>
        <v>3.52</v>
      </c>
      <c r="G1058">
        <f>IFERROR(__xludf.DUMMYFUNCTION("""COMPUTED_VALUE"""),10.74)</f>
        <v>10.74</v>
      </c>
    </row>
    <row r="1059">
      <c r="A1059">
        <f>IFERROR(__xludf.DUMMYFUNCTION("""COMPUTED_VALUE"""),171278.0)</f>
        <v>171278</v>
      </c>
      <c r="B1059" t="str">
        <f>IFERROR(__xludf.DUMMYFUNCTION("""COMPUTED_VALUE"""),"Goat Milk")</f>
        <v>Goat Milk</v>
      </c>
      <c r="C1059" t="str">
        <f>IFERROR(__xludf.DUMMYFUNCTION("""COMPUTED_VALUE"""),"Dairy and Egg Products")</f>
        <v>Dairy and Egg Products</v>
      </c>
      <c r="D1059">
        <f>IFERROR(__xludf.DUMMYFUNCTION("""COMPUTED_VALUE"""),69.0)</f>
        <v>69</v>
      </c>
      <c r="E1059">
        <f>IFERROR(__xludf.DUMMYFUNCTION("""COMPUTED_VALUE"""),4.14)</f>
        <v>4.14</v>
      </c>
      <c r="F1059">
        <f>IFERROR(__xludf.DUMMYFUNCTION("""COMPUTED_VALUE"""),3.56)</f>
        <v>3.56</v>
      </c>
      <c r="G1059">
        <f>IFERROR(__xludf.DUMMYFUNCTION("""COMPUTED_VALUE"""),4.45)</f>
        <v>4.45</v>
      </c>
    </row>
    <row r="1060">
      <c r="A1060">
        <f>IFERROR(__xludf.DUMMYFUNCTION("""COMPUTED_VALUE"""),171279.0)</f>
        <v>171279</v>
      </c>
      <c r="B1060" t="str">
        <f>IFERROR(__xludf.DUMMYFUNCTION("""COMPUTED_VALUE"""),"Breast Milk (Human)")</f>
        <v>Breast Milk (Human)</v>
      </c>
      <c r="C1060" t="str">
        <f>IFERROR(__xludf.DUMMYFUNCTION("""COMPUTED_VALUE"""),"Dairy and Egg Products")</f>
        <v>Dairy and Egg Products</v>
      </c>
      <c r="D1060">
        <f>IFERROR(__xludf.DUMMYFUNCTION("""COMPUTED_VALUE"""),70.0)</f>
        <v>70</v>
      </c>
      <c r="E1060">
        <f>IFERROR(__xludf.DUMMYFUNCTION("""COMPUTED_VALUE"""),4.38)</f>
        <v>4.38</v>
      </c>
      <c r="F1060">
        <f>IFERROR(__xludf.DUMMYFUNCTION("""COMPUTED_VALUE"""),1.03)</f>
        <v>1.03</v>
      </c>
      <c r="G1060">
        <f>IFERROR(__xludf.DUMMYFUNCTION("""COMPUTED_VALUE"""),6.89)</f>
        <v>6.89</v>
      </c>
    </row>
    <row r="1061">
      <c r="A1061">
        <f>IFERROR(__xludf.DUMMYFUNCTION("""COMPUTED_VALUE"""),171280.0)</f>
        <v>171280</v>
      </c>
      <c r="B1061" t="str">
        <f>IFERROR(__xludf.DUMMYFUNCTION("""COMPUTED_VALUE"""),"Milk Indian Buffalo Fluid")</f>
        <v>Milk Indian Buffalo Fluid</v>
      </c>
      <c r="C1061" t="str">
        <f>IFERROR(__xludf.DUMMYFUNCTION("""COMPUTED_VALUE"""),"Dairy and Egg Products")</f>
        <v>Dairy and Egg Products</v>
      </c>
      <c r="D1061">
        <f>IFERROR(__xludf.DUMMYFUNCTION("""COMPUTED_VALUE"""),97.0)</f>
        <v>97</v>
      </c>
      <c r="E1061">
        <f>IFERROR(__xludf.DUMMYFUNCTION("""COMPUTED_VALUE"""),6.89)</f>
        <v>6.89</v>
      </c>
      <c r="F1061">
        <f>IFERROR(__xludf.DUMMYFUNCTION("""COMPUTED_VALUE"""),3.75)</f>
        <v>3.75</v>
      </c>
      <c r="G1061">
        <f>IFERROR(__xludf.DUMMYFUNCTION("""COMPUTED_VALUE"""),5.18)</f>
        <v>5.18</v>
      </c>
    </row>
    <row r="1062">
      <c r="A1062">
        <f>IFERROR(__xludf.DUMMYFUNCTION("""COMPUTED_VALUE"""),171281.0)</f>
        <v>171281</v>
      </c>
      <c r="B1062" t="str">
        <f>IFERROR(__xludf.DUMMYFUNCTION("""COMPUTED_VALUE"""),"Dried Whey Powder (Acid)")</f>
        <v>Dried Whey Powder (Acid)</v>
      </c>
      <c r="C1062" t="str">
        <f>IFERROR(__xludf.DUMMYFUNCTION("""COMPUTED_VALUE"""),"Dairy and Egg Products")</f>
        <v>Dairy and Egg Products</v>
      </c>
      <c r="D1062">
        <f>IFERROR(__xludf.DUMMYFUNCTION("""COMPUTED_VALUE"""),339.0)</f>
        <v>339</v>
      </c>
      <c r="E1062">
        <f>IFERROR(__xludf.DUMMYFUNCTION("""COMPUTED_VALUE"""),0.54)</f>
        <v>0.54</v>
      </c>
      <c r="F1062">
        <f>IFERROR(__xludf.DUMMYFUNCTION("""COMPUTED_VALUE"""),11.73)</f>
        <v>11.73</v>
      </c>
      <c r="G1062">
        <f>IFERROR(__xludf.DUMMYFUNCTION("""COMPUTED_VALUE"""),73.45)</f>
        <v>73.45</v>
      </c>
    </row>
    <row r="1063">
      <c r="A1063">
        <f>IFERROR(__xludf.DUMMYFUNCTION("""COMPUTED_VALUE"""),171282.0)</f>
        <v>171282</v>
      </c>
      <c r="B1063" t="str">
        <f>IFERROR(__xludf.DUMMYFUNCTION("""COMPUTED_VALUE"""),"Sweet Whey Fluid")</f>
        <v>Sweet Whey Fluid</v>
      </c>
      <c r="C1063" t="str">
        <f>IFERROR(__xludf.DUMMYFUNCTION("""COMPUTED_VALUE"""),"Dairy and Egg Products")</f>
        <v>Dairy and Egg Products</v>
      </c>
      <c r="D1063">
        <f>IFERROR(__xludf.DUMMYFUNCTION("""COMPUTED_VALUE"""),27.0)</f>
        <v>27</v>
      </c>
      <c r="E1063">
        <f>IFERROR(__xludf.DUMMYFUNCTION("""COMPUTED_VALUE"""),0.36)</f>
        <v>0.36</v>
      </c>
      <c r="F1063">
        <f>IFERROR(__xludf.DUMMYFUNCTION("""COMPUTED_VALUE"""),0.85)</f>
        <v>0.85</v>
      </c>
      <c r="G1063">
        <f>IFERROR(__xludf.DUMMYFUNCTION("""COMPUTED_VALUE"""),5.14)</f>
        <v>5.14</v>
      </c>
    </row>
    <row r="1064">
      <c r="A1064">
        <f>IFERROR(__xludf.DUMMYFUNCTION("""COMPUTED_VALUE"""),171283.0)</f>
        <v>171283</v>
      </c>
      <c r="B1064" t="str">
        <f>IFERROR(__xludf.DUMMYFUNCTION("""COMPUTED_VALUE"""),"Dried Sweet Whey Powder")</f>
        <v>Dried Sweet Whey Powder</v>
      </c>
      <c r="C1064" t="str">
        <f>IFERROR(__xludf.DUMMYFUNCTION("""COMPUTED_VALUE"""),"Dairy and Egg Products")</f>
        <v>Dairy and Egg Products</v>
      </c>
      <c r="D1064">
        <f>IFERROR(__xludf.DUMMYFUNCTION("""COMPUTED_VALUE"""),353.0)</f>
        <v>353</v>
      </c>
      <c r="E1064">
        <f>IFERROR(__xludf.DUMMYFUNCTION("""COMPUTED_VALUE"""),1.07)</f>
        <v>1.07</v>
      </c>
      <c r="F1064">
        <f>IFERROR(__xludf.DUMMYFUNCTION("""COMPUTED_VALUE"""),12.93)</f>
        <v>12.93</v>
      </c>
      <c r="G1064">
        <f>IFERROR(__xludf.DUMMYFUNCTION("""COMPUTED_VALUE"""),74.46)</f>
        <v>74.46</v>
      </c>
    </row>
    <row r="1065">
      <c r="A1065">
        <f>IFERROR(__xludf.DUMMYFUNCTION("""COMPUTED_VALUE"""),171284.0)</f>
        <v>171284</v>
      </c>
      <c r="B1065" t="str">
        <f>IFERROR(__xludf.DUMMYFUNCTION("""COMPUTED_VALUE"""),"Plain Yogurt")</f>
        <v>Plain Yogurt</v>
      </c>
      <c r="C1065" t="str">
        <f>IFERROR(__xludf.DUMMYFUNCTION("""COMPUTED_VALUE"""),"Dairy and Egg Products")</f>
        <v>Dairy and Egg Products</v>
      </c>
      <c r="D1065">
        <f>IFERROR(__xludf.DUMMYFUNCTION("""COMPUTED_VALUE"""),61.0)</f>
        <v>61</v>
      </c>
      <c r="E1065">
        <f>IFERROR(__xludf.DUMMYFUNCTION("""COMPUTED_VALUE"""),3.25)</f>
        <v>3.25</v>
      </c>
      <c r="F1065">
        <f>IFERROR(__xludf.DUMMYFUNCTION("""COMPUTED_VALUE"""),3.47)</f>
        <v>3.47</v>
      </c>
      <c r="G1065">
        <f>IFERROR(__xludf.DUMMYFUNCTION("""COMPUTED_VALUE"""),4.66)</f>
        <v>4.66</v>
      </c>
    </row>
    <row r="1066">
      <c r="A1066">
        <f>IFERROR(__xludf.DUMMYFUNCTION("""COMPUTED_VALUE"""),171285.0)</f>
        <v>171285</v>
      </c>
      <c r="B1066" t="str">
        <f>IFERROR(__xludf.DUMMYFUNCTION("""COMPUTED_VALUE"""),"Yogurt Fruit Low Fat 10 Grams Protein Per 8 Ounce")</f>
        <v>Yogurt Fruit Low Fat 10 Grams Protein Per 8 Ounce</v>
      </c>
      <c r="C1066" t="str">
        <f>IFERROR(__xludf.DUMMYFUNCTION("""COMPUTED_VALUE"""),"Dairy and Egg Products")</f>
        <v>Dairy and Egg Products</v>
      </c>
      <c r="D1066">
        <f>IFERROR(__xludf.DUMMYFUNCTION("""COMPUTED_VALUE"""),102.0)</f>
        <v>102</v>
      </c>
      <c r="E1066">
        <f>IFERROR(__xludf.DUMMYFUNCTION("""COMPUTED_VALUE"""),1.08)</f>
        <v>1.08</v>
      </c>
      <c r="F1066">
        <f>IFERROR(__xludf.DUMMYFUNCTION("""COMPUTED_VALUE"""),4.37)</f>
        <v>4.37</v>
      </c>
      <c r="G1066">
        <f>IFERROR(__xludf.DUMMYFUNCTION("""COMPUTED_VALUE"""),19.05)</f>
        <v>19.05</v>
      </c>
    </row>
    <row r="1067">
      <c r="A1067">
        <f>IFERROR(__xludf.DUMMYFUNCTION("""COMPUTED_VALUE"""),171286.0)</f>
        <v>171286</v>
      </c>
      <c r="B1067" t="str">
        <f>IFERROR(__xludf.DUMMYFUNCTION("""COMPUTED_VALUE"""),"Yogurt Fruit Low Fat 11 Grams Protein Per 8 Ounce")</f>
        <v>Yogurt Fruit Low Fat 11 Grams Protein Per 8 Ounce</v>
      </c>
      <c r="C1067" t="str">
        <f>IFERROR(__xludf.DUMMYFUNCTION("""COMPUTED_VALUE"""),"Dairy and Egg Products")</f>
        <v>Dairy and Egg Products</v>
      </c>
      <c r="D1067">
        <f>IFERROR(__xludf.DUMMYFUNCTION("""COMPUTED_VALUE"""),105.0)</f>
        <v>105</v>
      </c>
      <c r="E1067">
        <f>IFERROR(__xludf.DUMMYFUNCTION("""COMPUTED_VALUE"""),1.41)</f>
        <v>1.41</v>
      </c>
      <c r="F1067">
        <f>IFERROR(__xludf.DUMMYFUNCTION("""COMPUTED_VALUE"""),4.86)</f>
        <v>4.86</v>
      </c>
      <c r="G1067">
        <f>IFERROR(__xludf.DUMMYFUNCTION("""COMPUTED_VALUE"""),18.6)</f>
        <v>18.6</v>
      </c>
    </row>
    <row r="1068">
      <c r="A1068">
        <f>IFERROR(__xludf.DUMMYFUNCTION("""COMPUTED_VALUE"""),171287.0)</f>
        <v>171287</v>
      </c>
      <c r="B1068" t="str">
        <f>IFERROR(__xludf.DUMMYFUNCTION("""COMPUTED_VALUE"""),"Eggs (Raw)")</f>
        <v>Eggs (Raw)</v>
      </c>
      <c r="C1068" t="str">
        <f>IFERROR(__xludf.DUMMYFUNCTION("""COMPUTED_VALUE"""),"Dairy and Egg Products")</f>
        <v>Dairy and Egg Products</v>
      </c>
      <c r="D1068">
        <f>IFERROR(__xludf.DUMMYFUNCTION("""COMPUTED_VALUE"""),143.0)</f>
        <v>143</v>
      </c>
      <c r="E1068">
        <f>IFERROR(__xludf.DUMMYFUNCTION("""COMPUTED_VALUE"""),9.51)</f>
        <v>9.51</v>
      </c>
      <c r="F1068">
        <f>IFERROR(__xludf.DUMMYFUNCTION("""COMPUTED_VALUE"""),12.56)</f>
        <v>12.56</v>
      </c>
      <c r="G1068">
        <f>IFERROR(__xludf.DUMMYFUNCTION("""COMPUTED_VALUE"""),0.72)</f>
        <v>0.72</v>
      </c>
    </row>
    <row r="1069">
      <c r="A1069">
        <f>IFERROR(__xludf.DUMMYFUNCTION("""COMPUTED_VALUE"""),171288.0)</f>
        <v>171288</v>
      </c>
      <c r="B1069" t="str">
        <f>IFERROR(__xludf.DUMMYFUNCTION("""COMPUTED_VALUE"""),"Mexican Blend Cheese")</f>
        <v>Mexican Blend Cheese</v>
      </c>
      <c r="C1069" t="str">
        <f>IFERROR(__xludf.DUMMYFUNCTION("""COMPUTED_VALUE"""),"Dairy and Egg Products")</f>
        <v>Dairy and Egg Products</v>
      </c>
      <c r="D1069">
        <f>IFERROR(__xludf.DUMMYFUNCTION("""COMPUTED_VALUE"""),384.0)</f>
        <v>384</v>
      </c>
      <c r="E1069">
        <f>IFERROR(__xludf.DUMMYFUNCTION("""COMPUTED_VALUE"""),32.14)</f>
        <v>32.14</v>
      </c>
      <c r="F1069">
        <f>IFERROR(__xludf.DUMMYFUNCTION("""COMPUTED_VALUE"""),23.54)</f>
        <v>23.54</v>
      </c>
      <c r="G1069">
        <f>IFERROR(__xludf.DUMMYFUNCTION("""COMPUTED_VALUE"""),0.13)</f>
        <v>0.13</v>
      </c>
    </row>
    <row r="1070">
      <c r="A1070">
        <f>IFERROR(__xludf.DUMMYFUNCTION("""COMPUTED_VALUE"""),171289.0)</f>
        <v>171289</v>
      </c>
      <c r="B1070" t="str">
        <f>IFERROR(__xludf.DUMMYFUNCTION("""COMPUTED_VALUE"""),"Cheese Product Pasteurized Process American Vitamin D Fortified")</f>
        <v>Cheese Product Pasteurized Process American Vitamin D Fortified</v>
      </c>
      <c r="C1070" t="str">
        <f>IFERROR(__xludf.DUMMYFUNCTION("""COMPUTED_VALUE"""),"Dairy and Egg Products")</f>
        <v>Dairy and Egg Products</v>
      </c>
      <c r="D1070">
        <f>IFERROR(__xludf.DUMMYFUNCTION("""COMPUTED_VALUE"""),307.0)</f>
        <v>307</v>
      </c>
      <c r="E1070">
        <f>IFERROR(__xludf.DUMMYFUNCTION("""COMPUTED_VALUE"""),23.06)</f>
        <v>23.06</v>
      </c>
      <c r="F1070">
        <f>IFERROR(__xludf.DUMMYFUNCTION("""COMPUTED_VALUE"""),16.09)</f>
        <v>16.09</v>
      </c>
      <c r="G1070">
        <f>IFERROR(__xludf.DUMMYFUNCTION("""COMPUTED_VALUE"""),8.85)</f>
        <v>8.85</v>
      </c>
    </row>
    <row r="1071">
      <c r="A1071">
        <f>IFERROR(__xludf.DUMMYFUNCTION("""COMPUTED_VALUE"""),171290.0)</f>
        <v>171290</v>
      </c>
      <c r="B1071" t="str">
        <f>IFERROR(__xludf.DUMMYFUNCTION("""COMPUTED_VALUE"""),"Cheese Pasteurized Process American Without Added Vitamin D")</f>
        <v>Cheese Pasteurized Process American Without Added Vitamin D</v>
      </c>
      <c r="C1071" t="str">
        <f>IFERROR(__xludf.DUMMYFUNCTION("""COMPUTED_VALUE"""),"Dairy and Egg Products")</f>
        <v>Dairy and Egg Products</v>
      </c>
      <c r="D1071">
        <f>IFERROR(__xludf.DUMMYFUNCTION("""COMPUTED_VALUE"""),371.0)</f>
        <v>371</v>
      </c>
      <c r="E1071">
        <f>IFERROR(__xludf.DUMMYFUNCTION("""COMPUTED_VALUE"""),31.79)</f>
        <v>31.79</v>
      </c>
      <c r="F1071">
        <f>IFERROR(__xludf.DUMMYFUNCTION("""COMPUTED_VALUE"""),18.13)</f>
        <v>18.13</v>
      </c>
      <c r="G1071">
        <f>IFERROR(__xludf.DUMMYFUNCTION("""COMPUTED_VALUE"""),3.7)</f>
        <v>3.7</v>
      </c>
    </row>
    <row r="1072">
      <c r="A1072">
        <f>IFERROR(__xludf.DUMMYFUNCTION("""COMPUTED_VALUE"""),171291.0)</f>
        <v>171291</v>
      </c>
      <c r="B1072" t="str">
        <f>IFERROR(__xludf.DUMMYFUNCTION("""COMPUTED_VALUE"""),"Cheese Food Pasteurized Process American Without Added Vitamin D")</f>
        <v>Cheese Food Pasteurized Process American Without Added Vitamin D</v>
      </c>
      <c r="C1072" t="str">
        <f>IFERROR(__xludf.DUMMYFUNCTION("""COMPUTED_VALUE"""),"Dairy and Egg Products")</f>
        <v>Dairy and Egg Products</v>
      </c>
      <c r="D1072">
        <f>IFERROR(__xludf.DUMMYFUNCTION("""COMPUTED_VALUE"""),330.0)</f>
        <v>330</v>
      </c>
      <c r="E1072">
        <f>IFERROR(__xludf.DUMMYFUNCTION("""COMPUTED_VALUE"""),25.63)</f>
        <v>25.63</v>
      </c>
      <c r="F1072">
        <f>IFERROR(__xludf.DUMMYFUNCTION("""COMPUTED_VALUE"""),16.86)</f>
        <v>16.86</v>
      </c>
      <c r="G1072">
        <f>IFERROR(__xludf.DUMMYFUNCTION("""COMPUTED_VALUE"""),8.56)</f>
        <v>8.56</v>
      </c>
    </row>
    <row r="1073">
      <c r="A1073">
        <f>IFERROR(__xludf.DUMMYFUNCTION("""COMPUTED_VALUE"""),171292.0)</f>
        <v>171292</v>
      </c>
      <c r="B1073" t="str">
        <f>IFERROR(__xludf.DUMMYFUNCTION("""COMPUTED_VALUE"""),"Cheese Cheddar Reduced Fat")</f>
        <v>Cheese Cheddar Reduced Fat</v>
      </c>
      <c r="C1073" t="str">
        <f>IFERROR(__xludf.DUMMYFUNCTION("""COMPUTED_VALUE"""),"Dairy and Egg Products")</f>
        <v>Dairy and Egg Products</v>
      </c>
      <c r="D1073">
        <f>IFERROR(__xludf.DUMMYFUNCTION("""COMPUTED_VALUE"""),316.0)</f>
        <v>316</v>
      </c>
      <c r="E1073">
        <f>IFERROR(__xludf.DUMMYFUNCTION("""COMPUTED_VALUE"""),20.41)</f>
        <v>20.41</v>
      </c>
      <c r="F1073">
        <f>IFERROR(__xludf.DUMMYFUNCTION("""COMPUTED_VALUE"""),27.35)</f>
        <v>27.35</v>
      </c>
      <c r="G1073">
        <f>IFERROR(__xludf.DUMMYFUNCTION("""COMPUTED_VALUE"""),2.67)</f>
        <v>2.67</v>
      </c>
    </row>
    <row r="1074">
      <c r="A1074">
        <f>IFERROR(__xludf.DUMMYFUNCTION("""COMPUTED_VALUE"""),171293.0)</f>
        <v>171293</v>
      </c>
      <c r="B1074" t="str">
        <f>IFERROR(__xludf.DUMMYFUNCTION("""COMPUTED_VALUE"""),"Ice Cream Light Soft Serve Chocolate")</f>
        <v>Ice Cream Light Soft Serve Chocolate</v>
      </c>
      <c r="C1074" t="str">
        <f>IFERROR(__xludf.DUMMYFUNCTION("""COMPUTED_VALUE"""),"Dairy and Egg Products")</f>
        <v>Dairy and Egg Products</v>
      </c>
      <c r="D1074">
        <f>IFERROR(__xludf.DUMMYFUNCTION("""COMPUTED_VALUE"""),141.0)</f>
        <v>141</v>
      </c>
      <c r="E1074">
        <f>IFERROR(__xludf.DUMMYFUNCTION("""COMPUTED_VALUE"""),3.69)</f>
        <v>3.69</v>
      </c>
      <c r="F1074">
        <f>IFERROR(__xludf.DUMMYFUNCTION("""COMPUTED_VALUE"""),3.36)</f>
        <v>3.36</v>
      </c>
      <c r="G1074">
        <f>IFERROR(__xludf.DUMMYFUNCTION("""COMPUTED_VALUE"""),23.15)</f>
        <v>23.15</v>
      </c>
    </row>
    <row r="1075">
      <c r="A1075">
        <f>IFERROR(__xludf.DUMMYFUNCTION("""COMPUTED_VALUE"""),171294.0)</f>
        <v>171294</v>
      </c>
      <c r="B1075" t="str">
        <f>IFERROR(__xludf.DUMMYFUNCTION("""COMPUTED_VALUE"""),"Ice Cream Bar Stick Or Nugget With Crunch Coating")</f>
        <v>Ice Cream Bar Stick Or Nugget With Crunch Coating</v>
      </c>
      <c r="C1075" t="str">
        <f>IFERROR(__xludf.DUMMYFUNCTION("""COMPUTED_VALUE"""),"Dairy and Egg Products")</f>
        <v>Dairy and Egg Products</v>
      </c>
      <c r="D1075">
        <f>IFERROR(__xludf.DUMMYFUNCTION("""COMPUTED_VALUE"""),358.0)</f>
        <v>358</v>
      </c>
      <c r="E1075">
        <f>IFERROR(__xludf.DUMMYFUNCTION("""COMPUTED_VALUE"""),25.26)</f>
        <v>25.26</v>
      </c>
      <c r="F1075">
        <f>IFERROR(__xludf.DUMMYFUNCTION("""COMPUTED_VALUE"""),2.11)</f>
        <v>2.11</v>
      </c>
      <c r="G1075">
        <f>IFERROR(__xludf.DUMMYFUNCTION("""COMPUTED_VALUE"""),37.12)</f>
        <v>37.12</v>
      </c>
    </row>
    <row r="1076">
      <c r="A1076">
        <f>IFERROR(__xludf.DUMMYFUNCTION("""COMPUTED_VALUE"""),171295.0)</f>
        <v>171295</v>
      </c>
      <c r="B1076" t="str">
        <f>IFERROR(__xludf.DUMMYFUNCTION("""COMPUTED_VALUE"""),"Cheddar Cheese (Non-Fat Or Fat Free)")</f>
        <v>Cheddar Cheese (Non-Fat Or Fat Free)</v>
      </c>
      <c r="C1076" t="str">
        <f>IFERROR(__xludf.DUMMYFUNCTION("""COMPUTED_VALUE"""),"Dairy and Egg Products")</f>
        <v>Dairy and Egg Products</v>
      </c>
      <c r="D1076">
        <f>IFERROR(__xludf.DUMMYFUNCTION("""COMPUTED_VALUE"""),157.0)</f>
        <v>157</v>
      </c>
      <c r="E1076">
        <f>IFERROR(__xludf.DUMMYFUNCTION("""COMPUTED_VALUE"""),0.0)</f>
        <v>0</v>
      </c>
      <c r="F1076">
        <f>IFERROR(__xludf.DUMMYFUNCTION("""COMPUTED_VALUE"""),32.14)</f>
        <v>32.14</v>
      </c>
      <c r="G1076">
        <f>IFERROR(__xludf.DUMMYFUNCTION("""COMPUTED_VALUE"""),7.14)</f>
        <v>7.14</v>
      </c>
    </row>
    <row r="1077">
      <c r="A1077">
        <f>IFERROR(__xludf.DUMMYFUNCTION("""COMPUTED_VALUE"""),171296.0)</f>
        <v>171296</v>
      </c>
      <c r="B1077" t="str">
        <f>IFERROR(__xludf.DUMMYFUNCTION("""COMPUTED_VALUE"""),"Yogurt Greek Nonfat Vanilla Chobani")</f>
        <v>Yogurt Greek Nonfat Vanilla Chobani</v>
      </c>
      <c r="C1077" t="str">
        <f>IFERROR(__xludf.DUMMYFUNCTION("""COMPUTED_VALUE"""),"Dairy and Egg Products")</f>
        <v>Dairy and Egg Products</v>
      </c>
      <c r="D1077">
        <f>IFERROR(__xludf.DUMMYFUNCTION("""COMPUTED_VALUE"""),71.0)</f>
        <v>71</v>
      </c>
      <c r="E1077">
        <f>IFERROR(__xludf.DUMMYFUNCTION("""COMPUTED_VALUE"""),0.22)</f>
        <v>0.22</v>
      </c>
      <c r="F1077">
        <f>IFERROR(__xludf.DUMMYFUNCTION("""COMPUTED_VALUE"""),9.07)</f>
        <v>9.07</v>
      </c>
      <c r="G1077">
        <f>IFERROR(__xludf.DUMMYFUNCTION("""COMPUTED_VALUE"""),8.09)</f>
        <v>8.09</v>
      </c>
    </row>
    <row r="1078">
      <c r="A1078">
        <f>IFERROR(__xludf.DUMMYFUNCTION("""COMPUTED_VALUE"""),171297.0)</f>
        <v>171297</v>
      </c>
      <c r="B1078" t="str">
        <f>IFERROR(__xludf.DUMMYFUNCTION("""COMPUTED_VALUE"""),"Yogurt Greek Strawberry Dannon Oikos")</f>
        <v>Yogurt Greek Strawberry Dannon Oikos</v>
      </c>
      <c r="C1078" t="str">
        <f>IFERROR(__xludf.DUMMYFUNCTION("""COMPUTED_VALUE"""),"Dairy and Egg Products")</f>
        <v>Dairy and Egg Products</v>
      </c>
      <c r="D1078">
        <f>IFERROR(__xludf.DUMMYFUNCTION("""COMPUTED_VALUE"""),106.0)</f>
        <v>106</v>
      </c>
      <c r="E1078">
        <f>IFERROR(__xludf.DUMMYFUNCTION("""COMPUTED_VALUE"""),2.92)</f>
        <v>2.92</v>
      </c>
      <c r="F1078">
        <f>IFERROR(__xludf.DUMMYFUNCTION("""COMPUTED_VALUE"""),8.25)</f>
        <v>8.25</v>
      </c>
      <c r="G1078">
        <f>IFERROR(__xludf.DUMMYFUNCTION("""COMPUTED_VALUE"""),11.67)</f>
        <v>11.67</v>
      </c>
    </row>
    <row r="1079">
      <c r="A1079">
        <f>IFERROR(__xludf.DUMMYFUNCTION("""COMPUTED_VALUE"""),171298.0)</f>
        <v>171298</v>
      </c>
      <c r="B1079" t="str">
        <f>IFERROR(__xludf.DUMMYFUNCTION("""COMPUTED_VALUE"""),"Yogurt Greek Nonfat Vanilla Dannon Oikos")</f>
        <v>Yogurt Greek Nonfat Vanilla Dannon Oikos</v>
      </c>
      <c r="C1079" t="str">
        <f>IFERROR(__xludf.DUMMYFUNCTION("""COMPUTED_VALUE"""),"Dairy and Egg Products")</f>
        <v>Dairy and Egg Products</v>
      </c>
      <c r="D1079">
        <f>IFERROR(__xludf.DUMMYFUNCTION("""COMPUTED_VALUE"""),85.0)</f>
        <v>85</v>
      </c>
      <c r="E1079">
        <f>IFERROR(__xludf.DUMMYFUNCTION("""COMPUTED_VALUE"""),0.14)</f>
        <v>0.14</v>
      </c>
      <c r="F1079">
        <f>IFERROR(__xludf.DUMMYFUNCTION("""COMPUTED_VALUE"""),8.12)</f>
        <v>8.12</v>
      </c>
      <c r="G1079">
        <f>IFERROR(__xludf.DUMMYFUNCTION("""COMPUTED_VALUE"""),12.72)</f>
        <v>12.72</v>
      </c>
    </row>
    <row r="1080">
      <c r="A1080">
        <f>IFERROR(__xludf.DUMMYFUNCTION("""COMPUTED_VALUE"""),171299.0)</f>
        <v>171299</v>
      </c>
      <c r="B1080" t="str">
        <f>IFERROR(__xludf.DUMMYFUNCTION("""COMPUTED_VALUE"""),"Nonfat Strawberry Yogurt")</f>
        <v>Nonfat Strawberry Yogurt</v>
      </c>
      <c r="C1080" t="str">
        <f>IFERROR(__xludf.DUMMYFUNCTION("""COMPUTED_VALUE"""),"Dairy and Egg Products")</f>
        <v>Dairy and Egg Products</v>
      </c>
      <c r="D1080">
        <f>IFERROR(__xludf.DUMMYFUNCTION("""COMPUTED_VALUE"""),84.0)</f>
        <v>84</v>
      </c>
      <c r="E1080">
        <f>IFERROR(__xludf.DUMMYFUNCTION("""COMPUTED_VALUE"""),0.22)</f>
        <v>0.22</v>
      </c>
      <c r="F1080">
        <f>IFERROR(__xludf.DUMMYFUNCTION("""COMPUTED_VALUE"""),8.03)</f>
        <v>8.03</v>
      </c>
      <c r="G1080">
        <f>IFERROR(__xludf.DUMMYFUNCTION("""COMPUTED_VALUE"""),12.53)</f>
        <v>12.53</v>
      </c>
    </row>
    <row r="1081">
      <c r="A1081">
        <f>IFERROR(__xludf.DUMMYFUNCTION("""COMPUTED_VALUE"""),171300.0)</f>
        <v>171300</v>
      </c>
      <c r="B1081" t="str">
        <f>IFERROR(__xludf.DUMMYFUNCTION("""COMPUTED_VALUE"""),"Lowfat Greek Strawberry Yogurt")</f>
        <v>Lowfat Greek Strawberry Yogurt</v>
      </c>
      <c r="C1081" t="str">
        <f>IFERROR(__xludf.DUMMYFUNCTION("""COMPUTED_VALUE"""),"Dairy and Egg Products")</f>
        <v>Dairy and Egg Products</v>
      </c>
      <c r="D1081">
        <f>IFERROR(__xludf.DUMMYFUNCTION("""COMPUTED_VALUE"""),105.0)</f>
        <v>105</v>
      </c>
      <c r="E1081">
        <f>IFERROR(__xludf.DUMMYFUNCTION("""COMPUTED_VALUE"""),2.57)</f>
        <v>2.57</v>
      </c>
      <c r="F1081">
        <f>IFERROR(__xludf.DUMMYFUNCTION("""COMPUTED_VALUE"""),8.17)</f>
        <v>8.17</v>
      </c>
      <c r="G1081">
        <f>IFERROR(__xludf.DUMMYFUNCTION("""COMPUTED_VALUE"""),12.29)</f>
        <v>12.29</v>
      </c>
    </row>
    <row r="1082">
      <c r="A1082">
        <f>IFERROR(__xludf.DUMMYFUNCTION("""COMPUTED_VALUE"""),171301.0)</f>
        <v>171301</v>
      </c>
      <c r="B1082" t="str">
        <f>IFERROR(__xludf.DUMMYFUNCTION("""COMPUTED_VALUE"""),"Kefir Lowfat Strawberry Lifeway")</f>
        <v>Kefir Lowfat Strawberry Lifeway</v>
      </c>
      <c r="C1082" t="str">
        <f>IFERROR(__xludf.DUMMYFUNCTION("""COMPUTED_VALUE"""),"Dairy and Egg Products")</f>
        <v>Dairy and Egg Products</v>
      </c>
      <c r="D1082">
        <f>IFERROR(__xludf.DUMMYFUNCTION("""COMPUTED_VALUE"""),62.0)</f>
        <v>62</v>
      </c>
      <c r="E1082">
        <f>IFERROR(__xludf.DUMMYFUNCTION("""COMPUTED_VALUE"""),0.9)</f>
        <v>0.9</v>
      </c>
      <c r="F1082">
        <f>IFERROR(__xludf.DUMMYFUNCTION("""COMPUTED_VALUE"""),3.39)</f>
        <v>3.39</v>
      </c>
      <c r="G1082">
        <f>IFERROR(__xludf.DUMMYFUNCTION("""COMPUTED_VALUE"""),10.2)</f>
        <v>10.2</v>
      </c>
    </row>
    <row r="1083">
      <c r="A1083">
        <f>IFERROR(__xludf.DUMMYFUNCTION("""COMPUTED_VALUE"""),171302.0)</f>
        <v>171302</v>
      </c>
      <c r="B1083" t="str">
        <f>IFERROR(__xludf.DUMMYFUNCTION("""COMPUTED_VALUE"""),"Milk Evaporated 2% Fat With Added Vitamin A And Vitamin D")</f>
        <v>Milk Evaporated 2% Fat With Added Vitamin A And Vitamin D</v>
      </c>
      <c r="C1083" t="str">
        <f>IFERROR(__xludf.DUMMYFUNCTION("""COMPUTED_VALUE"""),"Dairy and Egg Products")</f>
        <v>Dairy and Egg Products</v>
      </c>
      <c r="D1083">
        <f>IFERROR(__xludf.DUMMYFUNCTION("""COMPUTED_VALUE"""),107.0)</f>
        <v>107</v>
      </c>
      <c r="E1083">
        <f>IFERROR(__xludf.DUMMYFUNCTION("""COMPUTED_VALUE"""),2.0)</f>
        <v>2</v>
      </c>
      <c r="F1083">
        <f>IFERROR(__xludf.DUMMYFUNCTION("""COMPUTED_VALUE"""),6.67)</f>
        <v>6.67</v>
      </c>
      <c r="G1083">
        <f>IFERROR(__xludf.DUMMYFUNCTION("""COMPUTED_VALUE"""),15.74)</f>
        <v>15.74</v>
      </c>
    </row>
    <row r="1084">
      <c r="A1084">
        <f>IFERROR(__xludf.DUMMYFUNCTION("""COMPUTED_VALUE"""),171303.0)</f>
        <v>171303</v>
      </c>
      <c r="B1084" t="str">
        <f>IFERROR(__xludf.DUMMYFUNCTION("""COMPUTED_VALUE"""),"Fatfree Chocolate Milk")</f>
        <v>Fatfree Chocolate Milk</v>
      </c>
      <c r="C1084" t="str">
        <f>IFERROR(__xludf.DUMMYFUNCTION("""COMPUTED_VALUE"""),"Dairy and Egg Products")</f>
        <v>Dairy and Egg Products</v>
      </c>
      <c r="D1084">
        <f>IFERROR(__xludf.DUMMYFUNCTION("""COMPUTED_VALUE"""),67.0)</f>
        <v>67</v>
      </c>
      <c r="E1084">
        <f>IFERROR(__xludf.DUMMYFUNCTION("""COMPUTED_VALUE"""),0.0)</f>
        <v>0</v>
      </c>
      <c r="F1084">
        <f>IFERROR(__xludf.DUMMYFUNCTION("""COMPUTED_VALUE"""),3.39)</f>
        <v>3.39</v>
      </c>
      <c r="G1084">
        <f>IFERROR(__xludf.DUMMYFUNCTION("""COMPUTED_VALUE"""),13.46)</f>
        <v>13.46</v>
      </c>
    </row>
    <row r="1085">
      <c r="A1085">
        <f>IFERROR(__xludf.DUMMYFUNCTION("""COMPUTED_VALUE"""),171304.0)</f>
        <v>171304</v>
      </c>
      <c r="B1085" t="str">
        <f>IFERROR(__xludf.DUMMYFUNCTION("""COMPUTED_VALUE"""),"Greek Yogurt (Plain)")</f>
        <v>Greek Yogurt (Plain)</v>
      </c>
      <c r="C1085" t="str">
        <f>IFERROR(__xludf.DUMMYFUNCTION("""COMPUTED_VALUE"""),"Dairy and Egg Products")</f>
        <v>Dairy and Egg Products</v>
      </c>
      <c r="D1085">
        <f>IFERROR(__xludf.DUMMYFUNCTION("""COMPUTED_VALUE"""),97.0)</f>
        <v>97</v>
      </c>
      <c r="E1085">
        <f>IFERROR(__xludf.DUMMYFUNCTION("""COMPUTED_VALUE"""),5.0)</f>
        <v>5</v>
      </c>
      <c r="F1085">
        <f>IFERROR(__xludf.DUMMYFUNCTION("""COMPUTED_VALUE"""),9.0)</f>
        <v>9</v>
      </c>
      <c r="G1085">
        <f>IFERROR(__xludf.DUMMYFUNCTION("""COMPUTED_VALUE"""),3.98)</f>
        <v>3.98</v>
      </c>
    </row>
    <row r="1086">
      <c r="A1086">
        <f>IFERROR(__xludf.DUMMYFUNCTION("""COMPUTED_VALUE"""),171305.0)</f>
        <v>171305</v>
      </c>
      <c r="B1086" t="str">
        <f>IFERROR(__xludf.DUMMYFUNCTION("""COMPUTED_VALUE"""),"Ice Cream Bar Covered With Chocolate And Nuts")</f>
        <v>Ice Cream Bar Covered With Chocolate And Nuts</v>
      </c>
      <c r="C1086" t="str">
        <f>IFERROR(__xludf.DUMMYFUNCTION("""COMPUTED_VALUE"""),"Dairy and Egg Products")</f>
        <v>Dairy and Egg Products</v>
      </c>
      <c r="D1086">
        <f>IFERROR(__xludf.DUMMYFUNCTION("""COMPUTED_VALUE"""),303.0)</f>
        <v>303</v>
      </c>
      <c r="E1086">
        <f>IFERROR(__xludf.DUMMYFUNCTION("""COMPUTED_VALUE"""),25.84)</f>
        <v>25.84</v>
      </c>
      <c r="F1086">
        <f>IFERROR(__xludf.DUMMYFUNCTION("""COMPUTED_VALUE"""),5.62)</f>
        <v>5.62</v>
      </c>
      <c r="G1086">
        <f>IFERROR(__xludf.DUMMYFUNCTION("""COMPUTED_VALUE"""),11.89)</f>
        <v>11.89</v>
      </c>
    </row>
    <row r="1087">
      <c r="A1087">
        <f>IFERROR(__xludf.DUMMYFUNCTION("""COMPUTED_VALUE"""),171306.0)</f>
        <v>171306</v>
      </c>
      <c r="B1087" t="str">
        <f>IFERROR(__xludf.DUMMYFUNCTION("""COMPUTED_VALUE"""),"Ice Cream Sundae Cone")</f>
        <v>Ice Cream Sundae Cone</v>
      </c>
      <c r="C1087" t="str">
        <f>IFERROR(__xludf.DUMMYFUNCTION("""COMPUTED_VALUE"""),"Dairy and Egg Products")</f>
        <v>Dairy and Egg Products</v>
      </c>
      <c r="D1087">
        <f>IFERROR(__xludf.DUMMYFUNCTION("""COMPUTED_VALUE"""),254.0)</f>
        <v>254</v>
      </c>
      <c r="E1087">
        <f>IFERROR(__xludf.DUMMYFUNCTION("""COMPUTED_VALUE"""),14.0)</f>
        <v>14</v>
      </c>
      <c r="F1087">
        <f>IFERROR(__xludf.DUMMYFUNCTION("""COMPUTED_VALUE"""),3.0)</f>
        <v>3</v>
      </c>
      <c r="G1087">
        <f>IFERROR(__xludf.DUMMYFUNCTION("""COMPUTED_VALUE"""),28.89)</f>
        <v>28.89</v>
      </c>
    </row>
    <row r="1088">
      <c r="A1088">
        <f>IFERROR(__xludf.DUMMYFUNCTION("""COMPUTED_VALUE"""),171307.0)</f>
        <v>171307</v>
      </c>
      <c r="B1088" t="str">
        <f>IFERROR(__xludf.DUMMYFUNCTION("""COMPUTED_VALUE"""),"Light Ice Cream Creamsicle")</f>
        <v>Light Ice Cream Creamsicle</v>
      </c>
      <c r="C1088" t="str">
        <f>IFERROR(__xludf.DUMMYFUNCTION("""COMPUTED_VALUE"""),"Dairy and Egg Products")</f>
        <v>Dairy and Egg Products</v>
      </c>
      <c r="D1088">
        <f>IFERROR(__xludf.DUMMYFUNCTION("""COMPUTED_VALUE"""),165.0)</f>
        <v>165</v>
      </c>
      <c r="E1088">
        <f>IFERROR(__xludf.DUMMYFUNCTION("""COMPUTED_VALUE"""),3.08)</f>
        <v>3.08</v>
      </c>
      <c r="F1088">
        <f>IFERROR(__xludf.DUMMYFUNCTION("""COMPUTED_VALUE"""),1.54)</f>
        <v>1.54</v>
      </c>
      <c r="G1088">
        <f>IFERROR(__xludf.DUMMYFUNCTION("""COMPUTED_VALUE"""),32.75)</f>
        <v>32.75</v>
      </c>
    </row>
    <row r="1089">
      <c r="A1089">
        <f>IFERROR(__xludf.DUMMYFUNCTION("""COMPUTED_VALUE"""),171308.0)</f>
        <v>171308</v>
      </c>
      <c r="B1089" t="str">
        <f>IFERROR(__xludf.DUMMYFUNCTION("""COMPUTED_VALUE"""),"Cream Half And Half Lowfat")</f>
        <v>Cream Half And Half Lowfat</v>
      </c>
      <c r="C1089" t="str">
        <f>IFERROR(__xludf.DUMMYFUNCTION("""COMPUTED_VALUE"""),"Dairy and Egg Products")</f>
        <v>Dairy and Egg Products</v>
      </c>
      <c r="D1089">
        <f>IFERROR(__xludf.DUMMYFUNCTION("""COMPUTED_VALUE"""),72.0)</f>
        <v>72</v>
      </c>
      <c r="E1089">
        <f>IFERROR(__xludf.DUMMYFUNCTION("""COMPUTED_VALUE"""),5.0)</f>
        <v>5</v>
      </c>
      <c r="F1089">
        <f>IFERROR(__xludf.DUMMYFUNCTION("""COMPUTED_VALUE"""),3.33)</f>
        <v>3.33</v>
      </c>
      <c r="G1089">
        <f>IFERROR(__xludf.DUMMYFUNCTION("""COMPUTED_VALUE"""),3.33)</f>
        <v>3.33</v>
      </c>
    </row>
    <row r="1090">
      <c r="A1090">
        <f>IFERROR(__xludf.DUMMYFUNCTION("""COMPUTED_VALUE"""),171445.0)</f>
        <v>171445</v>
      </c>
      <c r="B1090" t="str">
        <f>IFERROR(__xludf.DUMMYFUNCTION("""COMPUTED_VALUE"""),"Chicken Broiler Rotisserie BBQ Breast Meat Only")</f>
        <v>Chicken Broiler Rotisserie BBQ Breast Meat Only</v>
      </c>
      <c r="C1090" t="str">
        <f>IFERROR(__xludf.DUMMYFUNCTION("""COMPUTED_VALUE"""),"Meats")</f>
        <v>Meats</v>
      </c>
      <c r="D1090">
        <f>IFERROR(__xludf.DUMMYFUNCTION("""COMPUTED_VALUE"""),144.0)</f>
        <v>144</v>
      </c>
      <c r="E1090">
        <f>IFERROR(__xludf.DUMMYFUNCTION("""COMPUTED_VALUE"""),3.57)</f>
        <v>3.57</v>
      </c>
      <c r="F1090">
        <f>IFERROR(__xludf.DUMMYFUNCTION("""COMPUTED_VALUE"""),28.04)</f>
        <v>28.04</v>
      </c>
      <c r="G1090">
        <f>IFERROR(__xludf.DUMMYFUNCTION("""COMPUTED_VALUE"""),0.0)</f>
        <v>0</v>
      </c>
    </row>
    <row r="1091">
      <c r="A1091">
        <f>IFERROR(__xludf.DUMMYFUNCTION("""COMPUTED_VALUE"""),171446.0)</f>
        <v>171446</v>
      </c>
      <c r="B1091" t="str">
        <f>IFERROR(__xludf.DUMMYFUNCTION("""COMPUTED_VALUE"""),"Chicken Broilers Or Fryers Meat And Skin And Giblets And Neck Stewed")</f>
        <v>Chicken Broilers Or Fryers Meat And Skin And Giblets And Neck Stewed</v>
      </c>
      <c r="C1091" t="str">
        <f>IFERROR(__xludf.DUMMYFUNCTION("""COMPUTED_VALUE"""),"Meats")</f>
        <v>Meats</v>
      </c>
      <c r="D1091">
        <f>IFERROR(__xludf.DUMMYFUNCTION("""COMPUTED_VALUE"""),216.0)</f>
        <v>216</v>
      </c>
      <c r="E1091">
        <f>IFERROR(__xludf.DUMMYFUNCTION("""COMPUTED_VALUE"""),12.37)</f>
        <v>12.37</v>
      </c>
      <c r="F1091">
        <f>IFERROR(__xludf.DUMMYFUNCTION("""COMPUTED_VALUE"""),24.49)</f>
        <v>24.49</v>
      </c>
      <c r="G1091">
        <f>IFERROR(__xludf.DUMMYFUNCTION("""COMPUTED_VALUE"""),0.06)</f>
        <v>0.06</v>
      </c>
    </row>
    <row r="1092">
      <c r="A1092">
        <f>IFERROR(__xludf.DUMMYFUNCTION("""COMPUTED_VALUE"""),171447.0)</f>
        <v>171447</v>
      </c>
      <c r="B1092" t="str">
        <f>IFERROR(__xludf.DUMMYFUNCTION("""COMPUTED_VALUE"""),"Chicken Broilers Or Fryers Meat And Skin Raw")</f>
        <v>Chicken Broilers Or Fryers Meat And Skin Raw</v>
      </c>
      <c r="C1092" t="str">
        <f>IFERROR(__xludf.DUMMYFUNCTION("""COMPUTED_VALUE"""),"Meats")</f>
        <v>Meats</v>
      </c>
      <c r="D1092">
        <f>IFERROR(__xludf.DUMMYFUNCTION("""COMPUTED_VALUE"""),215.0)</f>
        <v>215</v>
      </c>
      <c r="E1092">
        <f>IFERROR(__xludf.DUMMYFUNCTION("""COMPUTED_VALUE"""),15.06)</f>
        <v>15.06</v>
      </c>
      <c r="F1092">
        <f>IFERROR(__xludf.DUMMYFUNCTION("""COMPUTED_VALUE"""),18.6)</f>
        <v>18.6</v>
      </c>
      <c r="G1092">
        <f>IFERROR(__xludf.DUMMYFUNCTION("""COMPUTED_VALUE"""),0.0)</f>
        <v>0</v>
      </c>
    </row>
    <row r="1093">
      <c r="A1093">
        <f>IFERROR(__xludf.DUMMYFUNCTION("""COMPUTED_VALUE"""),171448.0)</f>
        <v>171448</v>
      </c>
      <c r="B1093" t="str">
        <f>IFERROR(__xludf.DUMMYFUNCTION("""COMPUTED_VALUE"""),"Chicken Broilers Or Fryers Meat And Skin Cooked Fried Batter")</f>
        <v>Chicken Broilers Or Fryers Meat And Skin Cooked Fried Batter</v>
      </c>
      <c r="C1093" t="str">
        <f>IFERROR(__xludf.DUMMYFUNCTION("""COMPUTED_VALUE"""),"Meats")</f>
        <v>Meats</v>
      </c>
      <c r="D1093">
        <f>IFERROR(__xludf.DUMMYFUNCTION("""COMPUTED_VALUE"""),289.0)</f>
        <v>289</v>
      </c>
      <c r="E1093">
        <f>IFERROR(__xludf.DUMMYFUNCTION("""COMPUTED_VALUE"""),17.35)</f>
        <v>17.35</v>
      </c>
      <c r="F1093">
        <f>IFERROR(__xludf.DUMMYFUNCTION("""COMPUTED_VALUE"""),22.54)</f>
        <v>22.54</v>
      </c>
      <c r="G1093">
        <f>IFERROR(__xludf.DUMMYFUNCTION("""COMPUTED_VALUE"""),9.42)</f>
        <v>9.42</v>
      </c>
    </row>
    <row r="1094">
      <c r="A1094">
        <f>IFERROR(__xludf.DUMMYFUNCTION("""COMPUTED_VALUE"""),171449.0)</f>
        <v>171449</v>
      </c>
      <c r="B1094" t="str">
        <f>IFERROR(__xludf.DUMMYFUNCTION("""COMPUTED_VALUE"""),"Chicken Broilers Or Fryers Meat And Skin Cooked Fried Flour")</f>
        <v>Chicken Broilers Or Fryers Meat And Skin Cooked Fried Flour</v>
      </c>
      <c r="C1094" t="str">
        <f>IFERROR(__xludf.DUMMYFUNCTION("""COMPUTED_VALUE"""),"Meats")</f>
        <v>Meats</v>
      </c>
      <c r="D1094">
        <f>IFERROR(__xludf.DUMMYFUNCTION("""COMPUTED_VALUE"""),269.0)</f>
        <v>269</v>
      </c>
      <c r="E1094">
        <f>IFERROR(__xludf.DUMMYFUNCTION("""COMPUTED_VALUE"""),14.92)</f>
        <v>14.92</v>
      </c>
      <c r="F1094">
        <f>IFERROR(__xludf.DUMMYFUNCTION("""COMPUTED_VALUE"""),28.56)</f>
        <v>28.56</v>
      </c>
      <c r="G1094">
        <f>IFERROR(__xludf.DUMMYFUNCTION("""COMPUTED_VALUE"""),3.15)</f>
        <v>3.15</v>
      </c>
    </row>
    <row r="1095">
      <c r="A1095">
        <f>IFERROR(__xludf.DUMMYFUNCTION("""COMPUTED_VALUE"""),171450.0)</f>
        <v>171450</v>
      </c>
      <c r="B1095" t="str">
        <f>IFERROR(__xludf.DUMMYFUNCTION("""COMPUTED_VALUE"""),"Chicken Broilers Or Fryers Meat And Skin Cooked Roasted")</f>
        <v>Chicken Broilers Or Fryers Meat And Skin Cooked Roasted</v>
      </c>
      <c r="C1095" t="str">
        <f>IFERROR(__xludf.DUMMYFUNCTION("""COMPUTED_VALUE"""),"Meats")</f>
        <v>Meats</v>
      </c>
      <c r="D1095">
        <f>IFERROR(__xludf.DUMMYFUNCTION("""COMPUTED_VALUE"""),239.0)</f>
        <v>239</v>
      </c>
      <c r="E1095">
        <f>IFERROR(__xludf.DUMMYFUNCTION("""COMPUTED_VALUE"""),13.6)</f>
        <v>13.6</v>
      </c>
      <c r="F1095">
        <f>IFERROR(__xludf.DUMMYFUNCTION("""COMPUTED_VALUE"""),27.3)</f>
        <v>27.3</v>
      </c>
      <c r="G1095">
        <f>IFERROR(__xludf.DUMMYFUNCTION("""COMPUTED_VALUE"""),0.0)</f>
        <v>0</v>
      </c>
    </row>
    <row r="1096">
      <c r="A1096">
        <f>IFERROR(__xludf.DUMMYFUNCTION("""COMPUTED_VALUE"""),171451.0)</f>
        <v>171451</v>
      </c>
      <c r="B1096" t="str">
        <f>IFERROR(__xludf.DUMMYFUNCTION("""COMPUTED_VALUE"""),"Chicken Broilers Or Fryers Meat Only Stewed")</f>
        <v>Chicken Broilers Or Fryers Meat Only Stewed</v>
      </c>
      <c r="C1096" t="str">
        <f>IFERROR(__xludf.DUMMYFUNCTION("""COMPUTED_VALUE"""),"Meats")</f>
        <v>Meats</v>
      </c>
      <c r="D1096">
        <f>IFERROR(__xludf.DUMMYFUNCTION("""COMPUTED_VALUE"""),177.0)</f>
        <v>177</v>
      </c>
      <c r="E1096">
        <f>IFERROR(__xludf.DUMMYFUNCTION("""COMPUTED_VALUE"""),6.71)</f>
        <v>6.71</v>
      </c>
      <c r="F1096">
        <f>IFERROR(__xludf.DUMMYFUNCTION("""COMPUTED_VALUE"""),27.29)</f>
        <v>27.29</v>
      </c>
      <c r="G1096">
        <f>IFERROR(__xludf.DUMMYFUNCTION("""COMPUTED_VALUE"""),0.0)</f>
        <v>0</v>
      </c>
    </row>
    <row r="1097">
      <c r="A1097">
        <f>IFERROR(__xludf.DUMMYFUNCTION("""COMPUTED_VALUE"""),171452.0)</f>
        <v>171452</v>
      </c>
      <c r="B1097" t="str">
        <f>IFERROR(__xludf.DUMMYFUNCTION("""COMPUTED_VALUE"""),"Chicken Broilers Or Fryers Skin Only Raw")</f>
        <v>Chicken Broilers Or Fryers Skin Only Raw</v>
      </c>
      <c r="C1097" t="str">
        <f>IFERROR(__xludf.DUMMYFUNCTION("""COMPUTED_VALUE"""),"Meats")</f>
        <v>Meats</v>
      </c>
      <c r="D1097">
        <f>IFERROR(__xludf.DUMMYFUNCTION("""COMPUTED_VALUE"""),349.0)</f>
        <v>349</v>
      </c>
      <c r="E1097">
        <f>IFERROR(__xludf.DUMMYFUNCTION("""COMPUTED_VALUE"""),32.35)</f>
        <v>32.35</v>
      </c>
      <c r="F1097">
        <f>IFERROR(__xludf.DUMMYFUNCTION("""COMPUTED_VALUE"""),13.33)</f>
        <v>13.33</v>
      </c>
      <c r="G1097">
        <f>IFERROR(__xludf.DUMMYFUNCTION("""COMPUTED_VALUE"""),0.0)</f>
        <v>0</v>
      </c>
    </row>
    <row r="1098">
      <c r="A1098">
        <f>IFERROR(__xludf.DUMMYFUNCTION("""COMPUTED_VALUE"""),171453.0)</f>
        <v>171453</v>
      </c>
      <c r="B1098" t="str">
        <f>IFERROR(__xludf.DUMMYFUNCTION("""COMPUTED_VALUE"""),"Chicken Broilers Or Fryers Skin Only Cooked Fried Batter")</f>
        <v>Chicken Broilers Or Fryers Skin Only Cooked Fried Batter</v>
      </c>
      <c r="C1098" t="str">
        <f>IFERROR(__xludf.DUMMYFUNCTION("""COMPUTED_VALUE"""),"Meats")</f>
        <v>Meats</v>
      </c>
      <c r="D1098">
        <f>IFERROR(__xludf.DUMMYFUNCTION("""COMPUTED_VALUE"""),394.0)</f>
        <v>394</v>
      </c>
      <c r="E1098">
        <f>IFERROR(__xludf.DUMMYFUNCTION("""COMPUTED_VALUE"""),28.83)</f>
        <v>28.83</v>
      </c>
      <c r="F1098">
        <f>IFERROR(__xludf.DUMMYFUNCTION("""COMPUTED_VALUE"""),10.32)</f>
        <v>10.32</v>
      </c>
      <c r="G1098">
        <f>IFERROR(__xludf.DUMMYFUNCTION("""COMPUTED_VALUE"""),23.15)</f>
        <v>23.15</v>
      </c>
    </row>
    <row r="1099">
      <c r="A1099">
        <f>IFERROR(__xludf.DUMMYFUNCTION("""COMPUTED_VALUE"""),171454.0)</f>
        <v>171454</v>
      </c>
      <c r="B1099" t="str">
        <f>IFERROR(__xludf.DUMMYFUNCTION("""COMPUTED_VALUE"""),"Chicken Broilers Or Fryers Skin Only Cooked Fried Flour")</f>
        <v>Chicken Broilers Or Fryers Skin Only Cooked Fried Flour</v>
      </c>
      <c r="C1099" t="str">
        <f>IFERROR(__xludf.DUMMYFUNCTION("""COMPUTED_VALUE"""),"Meats")</f>
        <v>Meats</v>
      </c>
      <c r="D1099">
        <f>IFERROR(__xludf.DUMMYFUNCTION("""COMPUTED_VALUE"""),502.0)</f>
        <v>502</v>
      </c>
      <c r="E1099">
        <f>IFERROR(__xludf.DUMMYFUNCTION("""COMPUTED_VALUE"""),42.58)</f>
        <v>42.58</v>
      </c>
      <c r="F1099">
        <f>IFERROR(__xludf.DUMMYFUNCTION("""COMPUTED_VALUE"""),19.09)</f>
        <v>19.09</v>
      </c>
      <c r="G1099">
        <f>IFERROR(__xludf.DUMMYFUNCTION("""COMPUTED_VALUE"""),9.34)</f>
        <v>9.34</v>
      </c>
    </row>
    <row r="1100">
      <c r="A1100">
        <f>IFERROR(__xludf.DUMMYFUNCTION("""COMPUTED_VALUE"""),171455.0)</f>
        <v>171455</v>
      </c>
      <c r="B1100" t="str">
        <f>IFERROR(__xludf.DUMMYFUNCTION("""COMPUTED_VALUE"""),"Chicken Broilers Or Fryers Giblets Cooked Simmered")</f>
        <v>Chicken Broilers Or Fryers Giblets Cooked Simmered</v>
      </c>
      <c r="C1100" t="str">
        <f>IFERROR(__xludf.DUMMYFUNCTION("""COMPUTED_VALUE"""),"Meats")</f>
        <v>Meats</v>
      </c>
      <c r="D1100">
        <f>IFERROR(__xludf.DUMMYFUNCTION("""COMPUTED_VALUE"""),157.0)</f>
        <v>157</v>
      </c>
      <c r="E1100">
        <f>IFERROR(__xludf.DUMMYFUNCTION("""COMPUTED_VALUE"""),4.5)</f>
        <v>4.5</v>
      </c>
      <c r="F1100">
        <f>IFERROR(__xludf.DUMMYFUNCTION("""COMPUTED_VALUE"""),27.15)</f>
        <v>27.15</v>
      </c>
      <c r="G1100">
        <f>IFERROR(__xludf.DUMMYFUNCTION("""COMPUTED_VALUE"""),0.0)</f>
        <v>0</v>
      </c>
    </row>
    <row r="1101">
      <c r="A1101">
        <f>IFERROR(__xludf.DUMMYFUNCTION("""COMPUTED_VALUE"""),171456.0)</f>
        <v>171456</v>
      </c>
      <c r="B1101" t="str">
        <f>IFERROR(__xludf.DUMMYFUNCTION("""COMPUTED_VALUE"""),"Chicken Gizzard All Classes Raw")</f>
        <v>Chicken Gizzard All Classes Raw</v>
      </c>
      <c r="C1101" t="str">
        <f>IFERROR(__xludf.DUMMYFUNCTION("""COMPUTED_VALUE"""),"Meats")</f>
        <v>Meats</v>
      </c>
      <c r="D1101">
        <f>IFERROR(__xludf.DUMMYFUNCTION("""COMPUTED_VALUE"""),94.0)</f>
        <v>94</v>
      </c>
      <c r="E1101">
        <f>IFERROR(__xludf.DUMMYFUNCTION("""COMPUTED_VALUE"""),2.06)</f>
        <v>2.06</v>
      </c>
      <c r="F1101">
        <f>IFERROR(__xludf.DUMMYFUNCTION("""COMPUTED_VALUE"""),17.66)</f>
        <v>17.66</v>
      </c>
      <c r="G1101">
        <f>IFERROR(__xludf.DUMMYFUNCTION("""COMPUTED_VALUE"""),0.0)</f>
        <v>0</v>
      </c>
    </row>
    <row r="1102">
      <c r="A1102">
        <f>IFERROR(__xludf.DUMMYFUNCTION("""COMPUTED_VALUE"""),171457.0)</f>
        <v>171457</v>
      </c>
      <c r="B1102" t="str">
        <f>IFERROR(__xludf.DUMMYFUNCTION("""COMPUTED_VALUE"""),"Chicken Gizzard All Classes Cooked Simmered")</f>
        <v>Chicken Gizzard All Classes Cooked Simmered</v>
      </c>
      <c r="C1102" t="str">
        <f>IFERROR(__xludf.DUMMYFUNCTION("""COMPUTED_VALUE"""),"Meats")</f>
        <v>Meats</v>
      </c>
      <c r="D1102">
        <f>IFERROR(__xludf.DUMMYFUNCTION("""COMPUTED_VALUE"""),154.0)</f>
        <v>154</v>
      </c>
      <c r="E1102">
        <f>IFERROR(__xludf.DUMMYFUNCTION("""COMPUTED_VALUE"""),2.68)</f>
        <v>2.68</v>
      </c>
      <c r="F1102">
        <f>IFERROR(__xludf.DUMMYFUNCTION("""COMPUTED_VALUE"""),30.39)</f>
        <v>30.39</v>
      </c>
      <c r="G1102">
        <f>IFERROR(__xludf.DUMMYFUNCTION("""COMPUTED_VALUE"""),0.0)</f>
        <v>0</v>
      </c>
    </row>
    <row r="1103">
      <c r="A1103">
        <f>IFERROR(__xludf.DUMMYFUNCTION("""COMPUTED_VALUE"""),171458.0)</f>
        <v>171458</v>
      </c>
      <c r="B1103" t="str">
        <f>IFERROR(__xludf.DUMMYFUNCTION("""COMPUTED_VALUE"""),"Chicken Heart All Classes Raw")</f>
        <v>Chicken Heart All Classes Raw</v>
      </c>
      <c r="C1103" t="str">
        <f>IFERROR(__xludf.DUMMYFUNCTION("""COMPUTED_VALUE"""),"Meats")</f>
        <v>Meats</v>
      </c>
      <c r="D1103">
        <f>IFERROR(__xludf.DUMMYFUNCTION("""COMPUTED_VALUE"""),153.0)</f>
        <v>153</v>
      </c>
      <c r="E1103">
        <f>IFERROR(__xludf.DUMMYFUNCTION("""COMPUTED_VALUE"""),9.33)</f>
        <v>9.33</v>
      </c>
      <c r="F1103">
        <f>IFERROR(__xludf.DUMMYFUNCTION("""COMPUTED_VALUE"""),15.55)</f>
        <v>15.55</v>
      </c>
      <c r="G1103">
        <f>IFERROR(__xludf.DUMMYFUNCTION("""COMPUTED_VALUE"""),0.71)</f>
        <v>0.71</v>
      </c>
    </row>
    <row r="1104">
      <c r="A1104">
        <f>IFERROR(__xludf.DUMMYFUNCTION("""COMPUTED_VALUE"""),171459.0)</f>
        <v>171459</v>
      </c>
      <c r="B1104" t="str">
        <f>IFERROR(__xludf.DUMMYFUNCTION("""COMPUTED_VALUE"""),"Chicken Broilers Or Fryers Light Meat Meat And Skin Cooked Fried Batter")</f>
        <v>Chicken Broilers Or Fryers Light Meat Meat And Skin Cooked Fried Batter</v>
      </c>
      <c r="C1104" t="str">
        <f>IFERROR(__xludf.DUMMYFUNCTION("""COMPUTED_VALUE"""),"Meats")</f>
        <v>Meats</v>
      </c>
      <c r="D1104">
        <f>IFERROR(__xludf.DUMMYFUNCTION("""COMPUTED_VALUE"""),277.0)</f>
        <v>277</v>
      </c>
      <c r="E1104">
        <f>IFERROR(__xludf.DUMMYFUNCTION("""COMPUTED_VALUE"""),15.44)</f>
        <v>15.44</v>
      </c>
      <c r="F1104">
        <f>IFERROR(__xludf.DUMMYFUNCTION("""COMPUTED_VALUE"""),23.55)</f>
        <v>23.55</v>
      </c>
      <c r="G1104">
        <f>IFERROR(__xludf.DUMMYFUNCTION("""COMPUTED_VALUE"""),9.5)</f>
        <v>9.5</v>
      </c>
    </row>
    <row r="1105">
      <c r="A1105">
        <f>IFERROR(__xludf.DUMMYFUNCTION("""COMPUTED_VALUE"""),171460.0)</f>
        <v>171460</v>
      </c>
      <c r="B1105" t="str">
        <f>IFERROR(__xludf.DUMMYFUNCTION("""COMPUTED_VALUE"""),"Chicken Broilers Or Fryers Light Meat Meat And Skin Cooked Fried Flour")</f>
        <v>Chicken Broilers Or Fryers Light Meat Meat And Skin Cooked Fried Flour</v>
      </c>
      <c r="C1105" t="str">
        <f>IFERROR(__xludf.DUMMYFUNCTION("""COMPUTED_VALUE"""),"Meats")</f>
        <v>Meats</v>
      </c>
      <c r="D1105">
        <f>IFERROR(__xludf.DUMMYFUNCTION("""COMPUTED_VALUE"""),246.0)</f>
        <v>246</v>
      </c>
      <c r="E1105">
        <f>IFERROR(__xludf.DUMMYFUNCTION("""COMPUTED_VALUE"""),12.09)</f>
        <v>12.09</v>
      </c>
      <c r="F1105">
        <f>IFERROR(__xludf.DUMMYFUNCTION("""COMPUTED_VALUE"""),30.45)</f>
        <v>30.45</v>
      </c>
      <c r="G1105">
        <f>IFERROR(__xludf.DUMMYFUNCTION("""COMPUTED_VALUE"""),1.82)</f>
        <v>1.82</v>
      </c>
    </row>
    <row r="1106">
      <c r="A1106">
        <f>IFERROR(__xludf.DUMMYFUNCTION("""COMPUTED_VALUE"""),171461.0)</f>
        <v>171461</v>
      </c>
      <c r="B1106" t="str">
        <f>IFERROR(__xludf.DUMMYFUNCTION("""COMPUTED_VALUE"""),"Chicken Broilers Or Fryers Light Meat Meat And Skin Cooked Roasted")</f>
        <v>Chicken Broilers Or Fryers Light Meat Meat And Skin Cooked Roasted</v>
      </c>
      <c r="C1106" t="str">
        <f>IFERROR(__xludf.DUMMYFUNCTION("""COMPUTED_VALUE"""),"Meats")</f>
        <v>Meats</v>
      </c>
      <c r="D1106">
        <f>IFERROR(__xludf.DUMMYFUNCTION("""COMPUTED_VALUE"""),222.0)</f>
        <v>222</v>
      </c>
      <c r="E1106">
        <f>IFERROR(__xludf.DUMMYFUNCTION("""COMPUTED_VALUE"""),10.85)</f>
        <v>10.85</v>
      </c>
      <c r="F1106">
        <f>IFERROR(__xludf.DUMMYFUNCTION("""COMPUTED_VALUE"""),29.02)</f>
        <v>29.02</v>
      </c>
      <c r="G1106">
        <f>IFERROR(__xludf.DUMMYFUNCTION("""COMPUTED_VALUE"""),0.0)</f>
        <v>0</v>
      </c>
    </row>
    <row r="1107">
      <c r="A1107">
        <f>IFERROR(__xludf.DUMMYFUNCTION("""COMPUTED_VALUE"""),171462.0)</f>
        <v>171462</v>
      </c>
      <c r="B1107" t="str">
        <f>IFERROR(__xludf.DUMMYFUNCTION("""COMPUTED_VALUE"""),"Chicken Broilers Or Fryers Light Meat Meat And Skin Cooked Stewed")</f>
        <v>Chicken Broilers Or Fryers Light Meat Meat And Skin Cooked Stewed</v>
      </c>
      <c r="C1107" t="str">
        <f>IFERROR(__xludf.DUMMYFUNCTION("""COMPUTED_VALUE"""),"Meats")</f>
        <v>Meats</v>
      </c>
      <c r="D1107">
        <f>IFERROR(__xludf.DUMMYFUNCTION("""COMPUTED_VALUE"""),201.0)</f>
        <v>201</v>
      </c>
      <c r="E1107">
        <f>IFERROR(__xludf.DUMMYFUNCTION("""COMPUTED_VALUE"""),9.97)</f>
        <v>9.97</v>
      </c>
      <c r="F1107">
        <f>IFERROR(__xludf.DUMMYFUNCTION("""COMPUTED_VALUE"""),26.14)</f>
        <v>26.14</v>
      </c>
      <c r="G1107">
        <f>IFERROR(__xludf.DUMMYFUNCTION("""COMPUTED_VALUE"""),0.0)</f>
        <v>0</v>
      </c>
    </row>
    <row r="1108">
      <c r="A1108">
        <f>IFERROR(__xludf.DUMMYFUNCTION("""COMPUTED_VALUE"""),171463.0)</f>
        <v>171463</v>
      </c>
      <c r="B1108" t="str">
        <f>IFERROR(__xludf.DUMMYFUNCTION("""COMPUTED_VALUE"""),"Chicken Broilers Or Fryers Dark Meat Meat And Skin Raw")</f>
        <v>Chicken Broilers Or Fryers Dark Meat Meat And Skin Raw</v>
      </c>
      <c r="C1108" t="str">
        <f>IFERROR(__xludf.DUMMYFUNCTION("""COMPUTED_VALUE"""),"Meats")</f>
        <v>Meats</v>
      </c>
      <c r="D1108">
        <f>IFERROR(__xludf.DUMMYFUNCTION("""COMPUTED_VALUE"""),237.0)</f>
        <v>237</v>
      </c>
      <c r="E1108">
        <f>IFERROR(__xludf.DUMMYFUNCTION("""COMPUTED_VALUE"""),18.34)</f>
        <v>18.34</v>
      </c>
      <c r="F1108">
        <f>IFERROR(__xludf.DUMMYFUNCTION("""COMPUTED_VALUE"""),16.69)</f>
        <v>16.69</v>
      </c>
      <c r="G1108">
        <f>IFERROR(__xludf.DUMMYFUNCTION("""COMPUTED_VALUE"""),0.0)</f>
        <v>0</v>
      </c>
    </row>
    <row r="1109">
      <c r="A1109">
        <f>IFERROR(__xludf.DUMMYFUNCTION("""COMPUTED_VALUE"""),171464.0)</f>
        <v>171464</v>
      </c>
      <c r="B1109" t="str">
        <f>IFERROR(__xludf.DUMMYFUNCTION("""COMPUTED_VALUE"""),"Chicken Broilers Or Fryers Light Meat Meat Only Raw")</f>
        <v>Chicken Broilers Or Fryers Light Meat Meat Only Raw</v>
      </c>
      <c r="C1109" t="str">
        <f>IFERROR(__xludf.DUMMYFUNCTION("""COMPUTED_VALUE"""),"Meats")</f>
        <v>Meats</v>
      </c>
      <c r="D1109">
        <f>IFERROR(__xludf.DUMMYFUNCTION("""COMPUTED_VALUE"""),114.0)</f>
        <v>114</v>
      </c>
      <c r="E1109">
        <f>IFERROR(__xludf.DUMMYFUNCTION("""COMPUTED_VALUE"""),1.65)</f>
        <v>1.65</v>
      </c>
      <c r="F1109">
        <f>IFERROR(__xludf.DUMMYFUNCTION("""COMPUTED_VALUE"""),23.2)</f>
        <v>23.2</v>
      </c>
      <c r="G1109">
        <f>IFERROR(__xludf.DUMMYFUNCTION("""COMPUTED_VALUE"""),0.0)</f>
        <v>0</v>
      </c>
    </row>
    <row r="1110">
      <c r="A1110">
        <f>IFERROR(__xludf.DUMMYFUNCTION("""COMPUTED_VALUE"""),171465.0)</f>
        <v>171465</v>
      </c>
      <c r="B1110" t="str">
        <f>IFERROR(__xludf.DUMMYFUNCTION("""COMPUTED_VALUE"""),"Chicken Broilers Or Fryers Light Meat Meat Only Cooked Fried")</f>
        <v>Chicken Broilers Or Fryers Light Meat Meat Only Cooked Fried</v>
      </c>
      <c r="C1110" t="str">
        <f>IFERROR(__xludf.DUMMYFUNCTION("""COMPUTED_VALUE"""),"Meats")</f>
        <v>Meats</v>
      </c>
      <c r="D1110">
        <f>IFERROR(__xludf.DUMMYFUNCTION("""COMPUTED_VALUE"""),192.0)</f>
        <v>192</v>
      </c>
      <c r="E1110">
        <f>IFERROR(__xludf.DUMMYFUNCTION("""COMPUTED_VALUE"""),5.54)</f>
        <v>5.54</v>
      </c>
      <c r="F1110">
        <f>IFERROR(__xludf.DUMMYFUNCTION("""COMPUTED_VALUE"""),32.82)</f>
        <v>32.82</v>
      </c>
      <c r="G1110">
        <f>IFERROR(__xludf.DUMMYFUNCTION("""COMPUTED_VALUE"""),0.42)</f>
        <v>0.42</v>
      </c>
    </row>
    <row r="1111">
      <c r="A1111">
        <f>IFERROR(__xludf.DUMMYFUNCTION("""COMPUTED_VALUE"""),171466.0)</f>
        <v>171466</v>
      </c>
      <c r="B1111" t="str">
        <f>IFERROR(__xludf.DUMMYFUNCTION("""COMPUTED_VALUE"""),"Chicken Broilers Or Fryers Light Meat Meat Only Cooked Roasted")</f>
        <v>Chicken Broilers Or Fryers Light Meat Meat Only Cooked Roasted</v>
      </c>
      <c r="C1111" t="str">
        <f>IFERROR(__xludf.DUMMYFUNCTION("""COMPUTED_VALUE"""),"Meats")</f>
        <v>Meats</v>
      </c>
      <c r="D1111">
        <f>IFERROR(__xludf.DUMMYFUNCTION("""COMPUTED_VALUE"""),173.0)</f>
        <v>173</v>
      </c>
      <c r="E1111">
        <f>IFERROR(__xludf.DUMMYFUNCTION("""COMPUTED_VALUE"""),4.51)</f>
        <v>4.51</v>
      </c>
      <c r="F1111">
        <f>IFERROR(__xludf.DUMMYFUNCTION("""COMPUTED_VALUE"""),30.91)</f>
        <v>30.91</v>
      </c>
      <c r="G1111">
        <f>IFERROR(__xludf.DUMMYFUNCTION("""COMPUTED_VALUE"""),0.0)</f>
        <v>0</v>
      </c>
    </row>
    <row r="1112">
      <c r="A1112">
        <f>IFERROR(__xludf.DUMMYFUNCTION("""COMPUTED_VALUE"""),171467.0)</f>
        <v>171467</v>
      </c>
      <c r="B1112" t="str">
        <f>IFERROR(__xludf.DUMMYFUNCTION("""COMPUTED_VALUE"""),"Chicken Broilers Or Fryers Light Meat Meat Only Cooked Stewed")</f>
        <v>Chicken Broilers Or Fryers Light Meat Meat Only Cooked Stewed</v>
      </c>
      <c r="C1112" t="str">
        <f>IFERROR(__xludf.DUMMYFUNCTION("""COMPUTED_VALUE"""),"Meats")</f>
        <v>Meats</v>
      </c>
      <c r="D1112">
        <f>IFERROR(__xludf.DUMMYFUNCTION("""COMPUTED_VALUE"""),159.0)</f>
        <v>159</v>
      </c>
      <c r="E1112">
        <f>IFERROR(__xludf.DUMMYFUNCTION("""COMPUTED_VALUE"""),3.99)</f>
        <v>3.99</v>
      </c>
      <c r="F1112">
        <f>IFERROR(__xludf.DUMMYFUNCTION("""COMPUTED_VALUE"""),28.88)</f>
        <v>28.88</v>
      </c>
      <c r="G1112">
        <f>IFERROR(__xludf.DUMMYFUNCTION("""COMPUTED_VALUE"""),0.0)</f>
        <v>0</v>
      </c>
    </row>
    <row r="1113">
      <c r="A1113">
        <f>IFERROR(__xludf.DUMMYFUNCTION("""COMPUTED_VALUE"""),171468.0)</f>
        <v>171468</v>
      </c>
      <c r="B1113" t="str">
        <f>IFERROR(__xludf.DUMMYFUNCTION("""COMPUTED_VALUE"""),"Chicken Broilers Or Fryers Separable Fat Raw")</f>
        <v>Chicken Broilers Or Fryers Separable Fat Raw</v>
      </c>
      <c r="C1113" t="str">
        <f>IFERROR(__xludf.DUMMYFUNCTION("""COMPUTED_VALUE"""),"Meats")</f>
        <v>Meats</v>
      </c>
      <c r="D1113">
        <f>IFERROR(__xludf.DUMMYFUNCTION("""COMPUTED_VALUE"""),629.0)</f>
        <v>629</v>
      </c>
      <c r="E1113">
        <f>IFERROR(__xludf.DUMMYFUNCTION("""COMPUTED_VALUE"""),67.95)</f>
        <v>67.95</v>
      </c>
      <c r="F1113">
        <f>IFERROR(__xludf.DUMMYFUNCTION("""COMPUTED_VALUE"""),3.73)</f>
        <v>3.73</v>
      </c>
      <c r="G1113">
        <f>IFERROR(__xludf.DUMMYFUNCTION("""COMPUTED_VALUE"""),0.0)</f>
        <v>0</v>
      </c>
    </row>
    <row r="1114">
      <c r="A1114">
        <f>IFERROR(__xludf.DUMMYFUNCTION("""COMPUTED_VALUE"""),171469.0)</f>
        <v>171469</v>
      </c>
      <c r="B1114" t="str">
        <f>IFERROR(__xludf.DUMMYFUNCTION("""COMPUTED_VALUE"""),"Chicken Broilers Or Fryers Back Meat And Skin Raw")</f>
        <v>Chicken Broilers Or Fryers Back Meat And Skin Raw</v>
      </c>
      <c r="C1114" t="str">
        <f>IFERROR(__xludf.DUMMYFUNCTION("""COMPUTED_VALUE"""),"Meats")</f>
        <v>Meats</v>
      </c>
      <c r="D1114">
        <f>IFERROR(__xludf.DUMMYFUNCTION("""COMPUTED_VALUE"""),319.0)</f>
        <v>319</v>
      </c>
      <c r="E1114">
        <f>IFERROR(__xludf.DUMMYFUNCTION("""COMPUTED_VALUE"""),28.74)</f>
        <v>28.74</v>
      </c>
      <c r="F1114">
        <f>IFERROR(__xludf.DUMMYFUNCTION("""COMPUTED_VALUE"""),14.05)</f>
        <v>14.05</v>
      </c>
      <c r="G1114">
        <f>IFERROR(__xludf.DUMMYFUNCTION("""COMPUTED_VALUE"""),0.0)</f>
        <v>0</v>
      </c>
    </row>
    <row r="1115">
      <c r="A1115">
        <f>IFERROR(__xludf.DUMMYFUNCTION("""COMPUTED_VALUE"""),171470.0)</f>
        <v>171470</v>
      </c>
      <c r="B1115" t="str">
        <f>IFERROR(__xludf.DUMMYFUNCTION("""COMPUTED_VALUE"""),"Chicken Broilers Or Fryers Back Meat And Skin Cooked Fried Batter")</f>
        <v>Chicken Broilers Or Fryers Back Meat And Skin Cooked Fried Batter</v>
      </c>
      <c r="C1115" t="str">
        <f>IFERROR(__xludf.DUMMYFUNCTION("""COMPUTED_VALUE"""),"Meats")</f>
        <v>Meats</v>
      </c>
      <c r="D1115">
        <f>IFERROR(__xludf.DUMMYFUNCTION("""COMPUTED_VALUE"""),331.0)</f>
        <v>331</v>
      </c>
      <c r="E1115">
        <f>IFERROR(__xludf.DUMMYFUNCTION("""COMPUTED_VALUE"""),21.91)</f>
        <v>21.91</v>
      </c>
      <c r="F1115">
        <f>IFERROR(__xludf.DUMMYFUNCTION("""COMPUTED_VALUE"""),21.97)</f>
        <v>21.97</v>
      </c>
      <c r="G1115">
        <f>IFERROR(__xludf.DUMMYFUNCTION("""COMPUTED_VALUE"""),10.25)</f>
        <v>10.25</v>
      </c>
    </row>
    <row r="1116">
      <c r="A1116">
        <f>IFERROR(__xludf.DUMMYFUNCTION("""COMPUTED_VALUE"""),171471.0)</f>
        <v>171471</v>
      </c>
      <c r="B1116" t="str">
        <f>IFERROR(__xludf.DUMMYFUNCTION("""COMPUTED_VALUE"""),"Chicken Broilers Or Fryers Back Meat And Skin Cooked Fried Flour")</f>
        <v>Chicken Broilers Or Fryers Back Meat And Skin Cooked Fried Flour</v>
      </c>
      <c r="C1116" t="str">
        <f>IFERROR(__xludf.DUMMYFUNCTION("""COMPUTED_VALUE"""),"Meats")</f>
        <v>Meats</v>
      </c>
      <c r="D1116">
        <f>IFERROR(__xludf.DUMMYFUNCTION("""COMPUTED_VALUE"""),331.0)</f>
        <v>331</v>
      </c>
      <c r="E1116">
        <f>IFERROR(__xludf.DUMMYFUNCTION("""COMPUTED_VALUE"""),20.74)</f>
        <v>20.74</v>
      </c>
      <c r="F1116">
        <f>IFERROR(__xludf.DUMMYFUNCTION("""COMPUTED_VALUE"""),27.79)</f>
        <v>27.79</v>
      </c>
      <c r="G1116">
        <f>IFERROR(__xludf.DUMMYFUNCTION("""COMPUTED_VALUE"""),6.5)</f>
        <v>6.5</v>
      </c>
    </row>
    <row r="1117">
      <c r="A1117">
        <f>IFERROR(__xludf.DUMMYFUNCTION("""COMPUTED_VALUE"""),171472.0)</f>
        <v>171472</v>
      </c>
      <c r="B1117" t="str">
        <f>IFERROR(__xludf.DUMMYFUNCTION("""COMPUTED_VALUE"""),"Chicken Broilers Or Fryers Back Meat Only Cooked Roasted")</f>
        <v>Chicken Broilers Or Fryers Back Meat Only Cooked Roasted</v>
      </c>
      <c r="C1117" t="str">
        <f>IFERROR(__xludf.DUMMYFUNCTION("""COMPUTED_VALUE"""),"Meats")</f>
        <v>Meats</v>
      </c>
      <c r="D1117">
        <f>IFERROR(__xludf.DUMMYFUNCTION("""COMPUTED_VALUE"""),239.0)</f>
        <v>239</v>
      </c>
      <c r="E1117">
        <f>IFERROR(__xludf.DUMMYFUNCTION("""COMPUTED_VALUE"""),13.16)</f>
        <v>13.16</v>
      </c>
      <c r="F1117">
        <f>IFERROR(__xludf.DUMMYFUNCTION("""COMPUTED_VALUE"""),28.19)</f>
        <v>28.19</v>
      </c>
      <c r="G1117">
        <f>IFERROR(__xludf.DUMMYFUNCTION("""COMPUTED_VALUE"""),0.0)</f>
        <v>0</v>
      </c>
    </row>
    <row r="1118">
      <c r="A1118">
        <f>IFERROR(__xludf.DUMMYFUNCTION("""COMPUTED_VALUE"""),171473.0)</f>
        <v>171473</v>
      </c>
      <c r="B1118" t="str">
        <f>IFERROR(__xludf.DUMMYFUNCTION("""COMPUTED_VALUE"""),"Chicken Broilers Or Fryers Back Meat Only Cooked Stewed")</f>
        <v>Chicken Broilers Or Fryers Back Meat Only Cooked Stewed</v>
      </c>
      <c r="C1118" t="str">
        <f>IFERROR(__xludf.DUMMYFUNCTION("""COMPUTED_VALUE"""),"Meats")</f>
        <v>Meats</v>
      </c>
      <c r="D1118">
        <f>IFERROR(__xludf.DUMMYFUNCTION("""COMPUTED_VALUE"""),209.0)</f>
        <v>209</v>
      </c>
      <c r="E1118">
        <f>IFERROR(__xludf.DUMMYFUNCTION("""COMPUTED_VALUE"""),11.19)</f>
        <v>11.19</v>
      </c>
      <c r="F1118">
        <f>IFERROR(__xludf.DUMMYFUNCTION("""COMPUTED_VALUE"""),25.31)</f>
        <v>25.31</v>
      </c>
      <c r="G1118">
        <f>IFERROR(__xludf.DUMMYFUNCTION("""COMPUTED_VALUE"""),0.0)</f>
        <v>0</v>
      </c>
    </row>
    <row r="1119">
      <c r="A1119">
        <f>IFERROR(__xludf.DUMMYFUNCTION("""COMPUTED_VALUE"""),171474.0)</f>
        <v>171474</v>
      </c>
      <c r="B1119" t="str">
        <f>IFERROR(__xludf.DUMMYFUNCTION("""COMPUTED_VALUE"""),"Chicken Broilers Or Fryers Breast Meat And Skin Raw")</f>
        <v>Chicken Broilers Or Fryers Breast Meat And Skin Raw</v>
      </c>
      <c r="C1119" t="str">
        <f>IFERROR(__xludf.DUMMYFUNCTION("""COMPUTED_VALUE"""),"Meats")</f>
        <v>Meats</v>
      </c>
      <c r="D1119">
        <f>IFERROR(__xludf.DUMMYFUNCTION("""COMPUTED_VALUE"""),172.0)</f>
        <v>172</v>
      </c>
      <c r="E1119">
        <f>IFERROR(__xludf.DUMMYFUNCTION("""COMPUTED_VALUE"""),9.25)</f>
        <v>9.25</v>
      </c>
      <c r="F1119">
        <f>IFERROR(__xludf.DUMMYFUNCTION("""COMPUTED_VALUE"""),20.85)</f>
        <v>20.85</v>
      </c>
      <c r="G1119">
        <f>IFERROR(__xludf.DUMMYFUNCTION("""COMPUTED_VALUE"""),0.0)</f>
        <v>0</v>
      </c>
    </row>
    <row r="1120">
      <c r="A1120">
        <f>IFERROR(__xludf.DUMMYFUNCTION("""COMPUTED_VALUE"""),171475.0)</f>
        <v>171475</v>
      </c>
      <c r="B1120" t="str">
        <f>IFERROR(__xludf.DUMMYFUNCTION("""COMPUTED_VALUE"""),"Chicken Broilers Or Fryers Breast Meat And Skin Cooked Fried Batter")</f>
        <v>Chicken Broilers Or Fryers Breast Meat And Skin Cooked Fried Batter</v>
      </c>
      <c r="C1120" t="str">
        <f>IFERROR(__xludf.DUMMYFUNCTION("""COMPUTED_VALUE"""),"Meats")</f>
        <v>Meats</v>
      </c>
      <c r="D1120">
        <f>IFERROR(__xludf.DUMMYFUNCTION("""COMPUTED_VALUE"""),260.0)</f>
        <v>260</v>
      </c>
      <c r="E1120">
        <f>IFERROR(__xludf.DUMMYFUNCTION("""COMPUTED_VALUE"""),13.2)</f>
        <v>13.2</v>
      </c>
      <c r="F1120">
        <f>IFERROR(__xludf.DUMMYFUNCTION("""COMPUTED_VALUE"""),24.84)</f>
        <v>24.84</v>
      </c>
      <c r="G1120">
        <f>IFERROR(__xludf.DUMMYFUNCTION("""COMPUTED_VALUE"""),8.99)</f>
        <v>8.99</v>
      </c>
    </row>
    <row r="1121">
      <c r="A1121">
        <f>IFERROR(__xludf.DUMMYFUNCTION("""COMPUTED_VALUE"""),171476.0)</f>
        <v>171476</v>
      </c>
      <c r="B1121" t="str">
        <f>IFERROR(__xludf.DUMMYFUNCTION("""COMPUTED_VALUE"""),"Chicken Broilers Or Fryers Breast Meat And Skin Cooked Fried Flour")</f>
        <v>Chicken Broilers Or Fryers Breast Meat And Skin Cooked Fried Flour</v>
      </c>
      <c r="C1121" t="str">
        <f>IFERROR(__xludf.DUMMYFUNCTION("""COMPUTED_VALUE"""),"Meats")</f>
        <v>Meats</v>
      </c>
      <c r="D1121">
        <f>IFERROR(__xludf.DUMMYFUNCTION("""COMPUTED_VALUE"""),222.0)</f>
        <v>222</v>
      </c>
      <c r="E1121">
        <f>IFERROR(__xludf.DUMMYFUNCTION("""COMPUTED_VALUE"""),8.87)</f>
        <v>8.87</v>
      </c>
      <c r="F1121">
        <f>IFERROR(__xludf.DUMMYFUNCTION("""COMPUTED_VALUE"""),31.84)</f>
        <v>31.84</v>
      </c>
      <c r="G1121">
        <f>IFERROR(__xludf.DUMMYFUNCTION("""COMPUTED_VALUE"""),1.64)</f>
        <v>1.64</v>
      </c>
    </row>
    <row r="1122">
      <c r="A1122">
        <f>IFERROR(__xludf.DUMMYFUNCTION("""COMPUTED_VALUE"""),171477.0)</f>
        <v>171477</v>
      </c>
      <c r="B1122" t="str">
        <f>IFERROR(__xludf.DUMMYFUNCTION("""COMPUTED_VALUE"""),"Roasted Chicken Breast")</f>
        <v>Roasted Chicken Breast</v>
      </c>
      <c r="C1122" t="str">
        <f>IFERROR(__xludf.DUMMYFUNCTION("""COMPUTED_VALUE"""),"Meats")</f>
        <v>Meats</v>
      </c>
      <c r="D1122">
        <f>IFERROR(__xludf.DUMMYFUNCTION("""COMPUTED_VALUE"""),165.0)</f>
        <v>165</v>
      </c>
      <c r="E1122">
        <f>IFERROR(__xludf.DUMMYFUNCTION("""COMPUTED_VALUE"""),3.57)</f>
        <v>3.57</v>
      </c>
      <c r="F1122">
        <f>IFERROR(__xludf.DUMMYFUNCTION("""COMPUTED_VALUE"""),31.02)</f>
        <v>31.02</v>
      </c>
      <c r="G1122">
        <f>IFERROR(__xludf.DUMMYFUNCTION("""COMPUTED_VALUE"""),0.0)</f>
        <v>0</v>
      </c>
    </row>
    <row r="1123">
      <c r="A1123">
        <f>IFERROR(__xludf.DUMMYFUNCTION("""COMPUTED_VALUE"""),171478.0)</f>
        <v>171478</v>
      </c>
      <c r="B1123" t="str">
        <f>IFERROR(__xludf.DUMMYFUNCTION("""COMPUTED_VALUE"""),"Chicken Broilers Or Fryers Breast Meat Only Cooked Stewed")</f>
        <v>Chicken Broilers Or Fryers Breast Meat Only Cooked Stewed</v>
      </c>
      <c r="C1123" t="str">
        <f>IFERROR(__xludf.DUMMYFUNCTION("""COMPUTED_VALUE"""),"Meats")</f>
        <v>Meats</v>
      </c>
      <c r="D1123">
        <f>IFERROR(__xludf.DUMMYFUNCTION("""COMPUTED_VALUE"""),151.0)</f>
        <v>151</v>
      </c>
      <c r="E1123">
        <f>IFERROR(__xludf.DUMMYFUNCTION("""COMPUTED_VALUE"""),3.03)</f>
        <v>3.03</v>
      </c>
      <c r="F1123">
        <f>IFERROR(__xludf.DUMMYFUNCTION("""COMPUTED_VALUE"""),28.98)</f>
        <v>28.98</v>
      </c>
      <c r="G1123">
        <f>IFERROR(__xludf.DUMMYFUNCTION("""COMPUTED_VALUE"""),0.0)</f>
        <v>0</v>
      </c>
    </row>
    <row r="1124">
      <c r="A1124">
        <f>IFERROR(__xludf.DUMMYFUNCTION("""COMPUTED_VALUE"""),171479.0)</f>
        <v>171479</v>
      </c>
      <c r="B1124" t="str">
        <f>IFERROR(__xludf.DUMMYFUNCTION("""COMPUTED_VALUE"""),"Roasted Turkey")</f>
        <v>Roasted Turkey</v>
      </c>
      <c r="C1124" t="str">
        <f>IFERROR(__xludf.DUMMYFUNCTION("""COMPUTED_VALUE"""),"Meats")</f>
        <v>Meats</v>
      </c>
      <c r="D1124">
        <f>IFERROR(__xludf.DUMMYFUNCTION("""COMPUTED_VALUE"""),189.0)</f>
        <v>189</v>
      </c>
      <c r="E1124">
        <f>IFERROR(__xludf.DUMMYFUNCTION("""COMPUTED_VALUE"""),7.39)</f>
        <v>7.39</v>
      </c>
      <c r="F1124">
        <f>IFERROR(__xludf.DUMMYFUNCTION("""COMPUTED_VALUE"""),28.55)</f>
        <v>28.55</v>
      </c>
      <c r="G1124">
        <f>IFERROR(__xludf.DUMMYFUNCTION("""COMPUTED_VALUE"""),0.06)</f>
        <v>0.06</v>
      </c>
    </row>
    <row r="1125">
      <c r="A1125">
        <f>IFERROR(__xludf.DUMMYFUNCTION("""COMPUTED_VALUE"""),171480.0)</f>
        <v>171480</v>
      </c>
      <c r="B1125" t="str">
        <f>IFERROR(__xludf.DUMMYFUNCTION("""COMPUTED_VALUE"""),"Turkey Whole Meat Only Raw")</f>
        <v>Turkey Whole Meat Only Raw</v>
      </c>
      <c r="C1125" t="str">
        <f>IFERROR(__xludf.DUMMYFUNCTION("""COMPUTED_VALUE"""),"Meats")</f>
        <v>Meats</v>
      </c>
      <c r="D1125">
        <f>IFERROR(__xludf.DUMMYFUNCTION("""COMPUTED_VALUE"""),115.0)</f>
        <v>115</v>
      </c>
      <c r="E1125">
        <f>IFERROR(__xludf.DUMMYFUNCTION("""COMPUTED_VALUE"""),1.93)</f>
        <v>1.93</v>
      </c>
      <c r="F1125">
        <f>IFERROR(__xludf.DUMMYFUNCTION("""COMPUTED_VALUE"""),22.64)</f>
        <v>22.64</v>
      </c>
      <c r="G1125">
        <f>IFERROR(__xludf.DUMMYFUNCTION("""COMPUTED_VALUE"""),0.14)</f>
        <v>0.14</v>
      </c>
    </row>
    <row r="1126">
      <c r="A1126">
        <f>IFERROR(__xludf.DUMMYFUNCTION("""COMPUTED_VALUE"""),171481.0)</f>
        <v>171481</v>
      </c>
      <c r="B1126" t="str">
        <f>IFERROR(__xludf.DUMMYFUNCTION("""COMPUTED_VALUE"""),"Roast Turkey (Without Skin)")</f>
        <v>Roast Turkey (Without Skin)</v>
      </c>
      <c r="C1126" t="str">
        <f>IFERROR(__xludf.DUMMYFUNCTION("""COMPUTED_VALUE"""),"Meats")</f>
        <v>Meats</v>
      </c>
      <c r="D1126">
        <f>IFERROR(__xludf.DUMMYFUNCTION("""COMPUTED_VALUE"""),159.0)</f>
        <v>159</v>
      </c>
      <c r="E1126">
        <f>IFERROR(__xludf.DUMMYFUNCTION("""COMPUTED_VALUE"""),3.84)</f>
        <v>3.84</v>
      </c>
      <c r="F1126">
        <f>IFERROR(__xludf.DUMMYFUNCTION("""COMPUTED_VALUE"""),29.06)</f>
        <v>29.06</v>
      </c>
      <c r="G1126">
        <f>IFERROR(__xludf.DUMMYFUNCTION("""COMPUTED_VALUE"""),0.0)</f>
        <v>0</v>
      </c>
    </row>
    <row r="1127">
      <c r="A1127">
        <f>IFERROR(__xludf.DUMMYFUNCTION("""COMPUTED_VALUE"""),171482.0)</f>
        <v>171482</v>
      </c>
      <c r="B1127" t="str">
        <f>IFERROR(__xludf.DUMMYFUNCTION("""COMPUTED_VALUE"""),"Turkey Skin From Whole (Light And Dark) Raw")</f>
        <v>Turkey Skin From Whole (Light And Dark) Raw</v>
      </c>
      <c r="C1127" t="str">
        <f>IFERROR(__xludf.DUMMYFUNCTION("""COMPUTED_VALUE"""),"Meats")</f>
        <v>Meats</v>
      </c>
      <c r="D1127">
        <f>IFERROR(__xludf.DUMMYFUNCTION("""COMPUTED_VALUE"""),407.0)</f>
        <v>407</v>
      </c>
      <c r="E1127">
        <f>IFERROR(__xludf.DUMMYFUNCTION("""COMPUTED_VALUE"""),38.93)</f>
        <v>38.93</v>
      </c>
      <c r="F1127">
        <f>IFERROR(__xludf.DUMMYFUNCTION("""COMPUTED_VALUE"""),12.96)</f>
        <v>12.96</v>
      </c>
      <c r="G1127">
        <f>IFERROR(__xludf.DUMMYFUNCTION("""COMPUTED_VALUE"""),0.16)</f>
        <v>0.16</v>
      </c>
    </row>
    <row r="1128">
      <c r="A1128">
        <f>IFERROR(__xludf.DUMMYFUNCTION("""COMPUTED_VALUE"""),171483.0)</f>
        <v>171483</v>
      </c>
      <c r="B1128" t="str">
        <f>IFERROR(__xludf.DUMMYFUNCTION("""COMPUTED_VALUE"""),"Turkey Gizzard All Classes Cooked Simmered")</f>
        <v>Turkey Gizzard All Classes Cooked Simmered</v>
      </c>
      <c r="C1128" t="str">
        <f>IFERROR(__xludf.DUMMYFUNCTION("""COMPUTED_VALUE"""),"Meats")</f>
        <v>Meats</v>
      </c>
      <c r="D1128">
        <f>IFERROR(__xludf.DUMMYFUNCTION("""COMPUTED_VALUE"""),155.0)</f>
        <v>155</v>
      </c>
      <c r="E1128">
        <f>IFERROR(__xludf.DUMMYFUNCTION("""COMPUTED_VALUE"""),4.64)</f>
        <v>4.64</v>
      </c>
      <c r="F1128">
        <f>IFERROR(__xludf.DUMMYFUNCTION("""COMPUTED_VALUE"""),26.45)</f>
        <v>26.45</v>
      </c>
      <c r="G1128">
        <f>IFERROR(__xludf.DUMMYFUNCTION("""COMPUTED_VALUE"""),0.0)</f>
        <v>0</v>
      </c>
    </row>
    <row r="1129">
      <c r="A1129">
        <f>IFERROR(__xludf.DUMMYFUNCTION("""COMPUTED_VALUE"""),171484.0)</f>
        <v>171484</v>
      </c>
      <c r="B1129" t="str">
        <f>IFERROR(__xludf.DUMMYFUNCTION("""COMPUTED_VALUE"""),"Turkey Heart All Classes Raw")</f>
        <v>Turkey Heart All Classes Raw</v>
      </c>
      <c r="C1129" t="str">
        <f>IFERROR(__xludf.DUMMYFUNCTION("""COMPUTED_VALUE"""),"Meats")</f>
        <v>Meats</v>
      </c>
      <c r="D1129">
        <f>IFERROR(__xludf.DUMMYFUNCTION("""COMPUTED_VALUE"""),140.0)</f>
        <v>140</v>
      </c>
      <c r="E1129">
        <f>IFERROR(__xludf.DUMMYFUNCTION("""COMPUTED_VALUE"""),7.44)</f>
        <v>7.44</v>
      </c>
      <c r="F1129">
        <f>IFERROR(__xludf.DUMMYFUNCTION("""COMPUTED_VALUE"""),16.7)</f>
        <v>16.7</v>
      </c>
      <c r="G1129">
        <f>IFERROR(__xludf.DUMMYFUNCTION("""COMPUTED_VALUE"""),0.4)</f>
        <v>0.4</v>
      </c>
    </row>
    <row r="1130">
      <c r="A1130">
        <f>IFERROR(__xludf.DUMMYFUNCTION("""COMPUTED_VALUE"""),171485.0)</f>
        <v>171485</v>
      </c>
      <c r="B1130" t="str">
        <f>IFERROR(__xludf.DUMMYFUNCTION("""COMPUTED_VALUE"""),"Turkey Heart All Classes Cooked Simmered")</f>
        <v>Turkey Heart All Classes Cooked Simmered</v>
      </c>
      <c r="C1130" t="str">
        <f>IFERROR(__xludf.DUMMYFUNCTION("""COMPUTED_VALUE"""),"Meats")</f>
        <v>Meats</v>
      </c>
      <c r="D1130">
        <f>IFERROR(__xludf.DUMMYFUNCTION("""COMPUTED_VALUE"""),174.0)</f>
        <v>174</v>
      </c>
      <c r="E1130">
        <f>IFERROR(__xludf.DUMMYFUNCTION("""COMPUTED_VALUE"""),7.52)</f>
        <v>7.52</v>
      </c>
      <c r="F1130">
        <f>IFERROR(__xludf.DUMMYFUNCTION("""COMPUTED_VALUE"""),24.88)</f>
        <v>24.88</v>
      </c>
      <c r="G1130">
        <f>IFERROR(__xludf.DUMMYFUNCTION("""COMPUTED_VALUE"""),0.0)</f>
        <v>0</v>
      </c>
    </row>
    <row r="1131">
      <c r="A1131">
        <f>IFERROR(__xludf.DUMMYFUNCTION("""COMPUTED_VALUE"""),171486.0)</f>
        <v>171486</v>
      </c>
      <c r="B1131" t="str">
        <f>IFERROR(__xludf.DUMMYFUNCTION("""COMPUTED_VALUE"""),"Turkey Liver All Classes Raw")</f>
        <v>Turkey Liver All Classes Raw</v>
      </c>
      <c r="C1131" t="str">
        <f>IFERROR(__xludf.DUMMYFUNCTION("""COMPUTED_VALUE"""),"Meats")</f>
        <v>Meats</v>
      </c>
      <c r="D1131">
        <f>IFERROR(__xludf.DUMMYFUNCTION("""COMPUTED_VALUE"""),128.0)</f>
        <v>128</v>
      </c>
      <c r="E1131">
        <f>IFERROR(__xludf.DUMMYFUNCTION("""COMPUTED_VALUE"""),5.5)</f>
        <v>5.5</v>
      </c>
      <c r="F1131">
        <f>IFERROR(__xludf.DUMMYFUNCTION("""COMPUTED_VALUE"""),18.26)</f>
        <v>18.26</v>
      </c>
      <c r="G1131">
        <f>IFERROR(__xludf.DUMMYFUNCTION("""COMPUTED_VALUE"""),0.0)</f>
        <v>0</v>
      </c>
    </row>
    <row r="1132">
      <c r="A1132">
        <f>IFERROR(__xludf.DUMMYFUNCTION("""COMPUTED_VALUE"""),171487.0)</f>
        <v>171487</v>
      </c>
      <c r="B1132" t="str">
        <f>IFERROR(__xludf.DUMMYFUNCTION("""COMPUTED_VALUE"""),"Turkey Liver All Classes Cooked Simmered")</f>
        <v>Turkey Liver All Classes Cooked Simmered</v>
      </c>
      <c r="C1132" t="str">
        <f>IFERROR(__xludf.DUMMYFUNCTION("""COMPUTED_VALUE"""),"Meats")</f>
        <v>Meats</v>
      </c>
      <c r="D1132">
        <f>IFERROR(__xludf.DUMMYFUNCTION("""COMPUTED_VALUE"""),189.0)</f>
        <v>189</v>
      </c>
      <c r="E1132">
        <f>IFERROR(__xludf.DUMMYFUNCTION("""COMPUTED_VALUE"""),8.18)</f>
        <v>8.18</v>
      </c>
      <c r="F1132">
        <f>IFERROR(__xludf.DUMMYFUNCTION("""COMPUTED_VALUE"""),27.0)</f>
        <v>27</v>
      </c>
      <c r="G1132">
        <f>IFERROR(__xludf.DUMMYFUNCTION("""COMPUTED_VALUE"""),0.0)</f>
        <v>0</v>
      </c>
    </row>
    <row r="1133">
      <c r="A1133">
        <f>IFERROR(__xludf.DUMMYFUNCTION("""COMPUTED_VALUE"""),171488.0)</f>
        <v>171488</v>
      </c>
      <c r="B1133" t="str">
        <f>IFERROR(__xludf.DUMMYFUNCTION("""COMPUTED_VALUE"""),"Turkey Dark Meat Meat And Skin Raw")</f>
        <v>Turkey Dark Meat Meat And Skin Raw</v>
      </c>
      <c r="C1133" t="str">
        <f>IFERROR(__xludf.DUMMYFUNCTION("""COMPUTED_VALUE"""),"Meats")</f>
        <v>Meats</v>
      </c>
      <c r="D1133">
        <f>IFERROR(__xludf.DUMMYFUNCTION("""COMPUTED_VALUE"""),166.0)</f>
        <v>166</v>
      </c>
      <c r="E1133">
        <f>IFERROR(__xludf.DUMMYFUNCTION("""COMPUTED_VALUE"""),8.97)</f>
        <v>8.97</v>
      </c>
      <c r="F1133">
        <f>IFERROR(__xludf.DUMMYFUNCTION("""COMPUTED_VALUE"""),19.81)</f>
        <v>19.81</v>
      </c>
      <c r="G1133">
        <f>IFERROR(__xludf.DUMMYFUNCTION("""COMPUTED_VALUE"""),0.15)</f>
        <v>0.15</v>
      </c>
    </row>
    <row r="1134">
      <c r="A1134">
        <f>IFERROR(__xludf.DUMMYFUNCTION("""COMPUTED_VALUE"""),171489.0)</f>
        <v>171489</v>
      </c>
      <c r="B1134" t="str">
        <f>IFERROR(__xludf.DUMMYFUNCTION("""COMPUTED_VALUE"""),"Turkey Dark Meat From Whole Meat And Skin Cooked Roasted")</f>
        <v>Turkey Dark Meat From Whole Meat And Skin Cooked Roasted</v>
      </c>
      <c r="C1134" t="str">
        <f>IFERROR(__xludf.DUMMYFUNCTION("""COMPUTED_VALUE"""),"Meats")</f>
        <v>Meats</v>
      </c>
      <c r="D1134">
        <f>IFERROR(__xludf.DUMMYFUNCTION("""COMPUTED_VALUE"""),206.0)</f>
        <v>206</v>
      </c>
      <c r="E1134">
        <f>IFERROR(__xludf.DUMMYFUNCTION("""COMPUTED_VALUE"""),9.95)</f>
        <v>9.95</v>
      </c>
      <c r="F1134">
        <f>IFERROR(__xludf.DUMMYFUNCTION("""COMPUTED_VALUE"""),27.27)</f>
        <v>27.27</v>
      </c>
      <c r="G1134">
        <f>IFERROR(__xludf.DUMMYFUNCTION("""COMPUTED_VALUE"""),0.07)</f>
        <v>0.07</v>
      </c>
    </row>
    <row r="1135">
      <c r="A1135">
        <f>IFERROR(__xludf.DUMMYFUNCTION("""COMPUTED_VALUE"""),171490.0)</f>
        <v>171490</v>
      </c>
      <c r="B1135" t="str">
        <f>IFERROR(__xludf.DUMMYFUNCTION("""COMPUTED_VALUE"""),"Turkey From Whole Light Meat Raw")</f>
        <v>Turkey From Whole Light Meat Raw</v>
      </c>
      <c r="C1135" t="str">
        <f>IFERROR(__xludf.DUMMYFUNCTION("""COMPUTED_VALUE"""),"Meats")</f>
        <v>Meats</v>
      </c>
      <c r="D1135">
        <f>IFERROR(__xludf.DUMMYFUNCTION("""COMPUTED_VALUE"""),114.0)</f>
        <v>114</v>
      </c>
      <c r="E1135">
        <f>IFERROR(__xludf.DUMMYFUNCTION("""COMPUTED_VALUE"""),1.48)</f>
        <v>1.48</v>
      </c>
      <c r="F1135">
        <f>IFERROR(__xludf.DUMMYFUNCTION("""COMPUTED_VALUE"""),23.66)</f>
        <v>23.66</v>
      </c>
      <c r="G1135">
        <f>IFERROR(__xludf.DUMMYFUNCTION("""COMPUTED_VALUE"""),0.14)</f>
        <v>0.14</v>
      </c>
    </row>
    <row r="1136">
      <c r="A1136">
        <f>IFERROR(__xludf.DUMMYFUNCTION("""COMPUTED_VALUE"""),171491.0)</f>
        <v>171491</v>
      </c>
      <c r="B1136" t="str">
        <f>IFERROR(__xludf.DUMMYFUNCTION("""COMPUTED_VALUE"""),"Roasted Turkey Light Meat")</f>
        <v>Roasted Turkey Light Meat</v>
      </c>
      <c r="C1136" t="str">
        <f>IFERROR(__xludf.DUMMYFUNCTION("""COMPUTED_VALUE"""),"Meats")</f>
        <v>Meats</v>
      </c>
      <c r="D1136">
        <f>IFERROR(__xludf.DUMMYFUNCTION("""COMPUTED_VALUE"""),147.0)</f>
        <v>147</v>
      </c>
      <c r="E1136">
        <f>IFERROR(__xludf.DUMMYFUNCTION("""COMPUTED_VALUE"""),2.08)</f>
        <v>2.08</v>
      </c>
      <c r="F1136">
        <f>IFERROR(__xludf.DUMMYFUNCTION("""COMPUTED_VALUE"""),30.13)</f>
        <v>30.13</v>
      </c>
      <c r="G1136">
        <f>IFERROR(__xludf.DUMMYFUNCTION("""COMPUTED_VALUE"""),0.0)</f>
        <v>0</v>
      </c>
    </row>
    <row r="1137">
      <c r="A1137">
        <f>IFERROR(__xludf.DUMMYFUNCTION("""COMPUTED_VALUE"""),171492.0)</f>
        <v>171492</v>
      </c>
      <c r="B1137" t="str">
        <f>IFERROR(__xludf.DUMMYFUNCTION("""COMPUTED_VALUE"""),"Turkey All Classes Breast Meat And Skin Cooked Roasted")</f>
        <v>Turkey All Classes Breast Meat And Skin Cooked Roasted</v>
      </c>
      <c r="C1137" t="str">
        <f>IFERROR(__xludf.DUMMYFUNCTION("""COMPUTED_VALUE"""),"Meats")</f>
        <v>Meats</v>
      </c>
      <c r="D1137">
        <f>IFERROR(__xludf.DUMMYFUNCTION("""COMPUTED_VALUE"""),189.0)</f>
        <v>189</v>
      </c>
      <c r="E1137">
        <f>IFERROR(__xludf.DUMMYFUNCTION("""COMPUTED_VALUE"""),7.41)</f>
        <v>7.41</v>
      </c>
      <c r="F1137">
        <f>IFERROR(__xludf.DUMMYFUNCTION("""COMPUTED_VALUE"""),28.71)</f>
        <v>28.71</v>
      </c>
      <c r="G1137">
        <f>IFERROR(__xludf.DUMMYFUNCTION("""COMPUTED_VALUE"""),0.0)</f>
        <v>0</v>
      </c>
    </row>
    <row r="1138">
      <c r="A1138">
        <f>IFERROR(__xludf.DUMMYFUNCTION("""COMPUTED_VALUE"""),171493.0)</f>
        <v>171493</v>
      </c>
      <c r="B1138" t="str">
        <f>IFERROR(__xludf.DUMMYFUNCTION("""COMPUTED_VALUE"""),"Turkey All Classes Leg Meat And Skin Raw")</f>
        <v>Turkey All Classes Leg Meat And Skin Raw</v>
      </c>
      <c r="C1138" t="str">
        <f>IFERROR(__xludf.DUMMYFUNCTION("""COMPUTED_VALUE"""),"Meats")</f>
        <v>Meats</v>
      </c>
      <c r="D1138">
        <f>IFERROR(__xludf.DUMMYFUNCTION("""COMPUTED_VALUE"""),144.0)</f>
        <v>144</v>
      </c>
      <c r="E1138">
        <f>IFERROR(__xludf.DUMMYFUNCTION("""COMPUTED_VALUE"""),6.72)</f>
        <v>6.72</v>
      </c>
      <c r="F1138">
        <f>IFERROR(__xludf.DUMMYFUNCTION("""COMPUTED_VALUE"""),19.54)</f>
        <v>19.54</v>
      </c>
      <c r="G1138">
        <f>IFERROR(__xludf.DUMMYFUNCTION("""COMPUTED_VALUE"""),0.0)</f>
        <v>0</v>
      </c>
    </row>
    <row r="1139">
      <c r="A1139">
        <f>IFERROR(__xludf.DUMMYFUNCTION("""COMPUTED_VALUE"""),171494.0)</f>
        <v>171494</v>
      </c>
      <c r="B1139" t="str">
        <f>IFERROR(__xludf.DUMMYFUNCTION("""COMPUTED_VALUE"""),"Turkey All Classes Leg Meat And Skin Cooked Roasted")</f>
        <v>Turkey All Classes Leg Meat And Skin Cooked Roasted</v>
      </c>
      <c r="C1139" t="str">
        <f>IFERROR(__xludf.DUMMYFUNCTION("""COMPUTED_VALUE"""),"Meats")</f>
        <v>Meats</v>
      </c>
      <c r="D1139">
        <f>IFERROR(__xludf.DUMMYFUNCTION("""COMPUTED_VALUE"""),208.0)</f>
        <v>208</v>
      </c>
      <c r="E1139">
        <f>IFERROR(__xludf.DUMMYFUNCTION("""COMPUTED_VALUE"""),9.82)</f>
        <v>9.82</v>
      </c>
      <c r="F1139">
        <f>IFERROR(__xludf.DUMMYFUNCTION("""COMPUTED_VALUE"""),27.87)</f>
        <v>27.87</v>
      </c>
      <c r="G1139">
        <f>IFERROR(__xludf.DUMMYFUNCTION("""COMPUTED_VALUE"""),0.0)</f>
        <v>0</v>
      </c>
    </row>
    <row r="1140">
      <c r="A1140">
        <f>IFERROR(__xludf.DUMMYFUNCTION("""COMPUTED_VALUE"""),171495.0)</f>
        <v>171495</v>
      </c>
      <c r="B1140" t="str">
        <f>IFERROR(__xludf.DUMMYFUNCTION("""COMPUTED_VALUE"""),"Turkey All Classes Wing Meat And Skin Raw")</f>
        <v>Turkey All Classes Wing Meat And Skin Raw</v>
      </c>
      <c r="C1140" t="str">
        <f>IFERROR(__xludf.DUMMYFUNCTION("""COMPUTED_VALUE"""),"Meats")</f>
        <v>Meats</v>
      </c>
      <c r="D1140">
        <f>IFERROR(__xludf.DUMMYFUNCTION("""COMPUTED_VALUE"""),197.0)</f>
        <v>197</v>
      </c>
      <c r="E1140">
        <f>IFERROR(__xludf.DUMMYFUNCTION("""COMPUTED_VALUE"""),12.32)</f>
        <v>12.32</v>
      </c>
      <c r="F1140">
        <f>IFERROR(__xludf.DUMMYFUNCTION("""COMPUTED_VALUE"""),20.22)</f>
        <v>20.22</v>
      </c>
      <c r="G1140">
        <f>IFERROR(__xludf.DUMMYFUNCTION("""COMPUTED_VALUE"""),0.0)</f>
        <v>0</v>
      </c>
    </row>
    <row r="1141">
      <c r="A1141">
        <f>IFERROR(__xludf.DUMMYFUNCTION("""COMPUTED_VALUE"""),171496.0)</f>
        <v>171496</v>
      </c>
      <c r="B1141" t="str">
        <f>IFERROR(__xludf.DUMMYFUNCTION("""COMPUTED_VALUE"""),"Roasted Turkey Breast")</f>
        <v>Roasted Turkey Breast</v>
      </c>
      <c r="C1141" t="str">
        <f>IFERROR(__xludf.DUMMYFUNCTION("""COMPUTED_VALUE"""),"Meats")</f>
        <v>Meats</v>
      </c>
      <c r="D1141">
        <f>IFERROR(__xludf.DUMMYFUNCTION("""COMPUTED_VALUE"""),147.0)</f>
        <v>147</v>
      </c>
      <c r="E1141">
        <f>IFERROR(__xludf.DUMMYFUNCTION("""COMPUTED_VALUE"""),2.08)</f>
        <v>2.08</v>
      </c>
      <c r="F1141">
        <f>IFERROR(__xludf.DUMMYFUNCTION("""COMPUTED_VALUE"""),30.13)</f>
        <v>30.13</v>
      </c>
      <c r="G1141">
        <f>IFERROR(__xludf.DUMMYFUNCTION("""COMPUTED_VALUE"""),0.0)</f>
        <v>0</v>
      </c>
    </row>
    <row r="1142">
      <c r="A1142">
        <f>IFERROR(__xludf.DUMMYFUNCTION("""COMPUTED_VALUE"""),171497.0)</f>
        <v>171497</v>
      </c>
      <c r="B1142" t="str">
        <f>IFERROR(__xludf.DUMMYFUNCTION("""COMPUTED_VALUE"""),"Turkey Wing From Whole Bird Meat Only Raw")</f>
        <v>Turkey Wing From Whole Bird Meat Only Raw</v>
      </c>
      <c r="C1142" t="str">
        <f>IFERROR(__xludf.DUMMYFUNCTION("""COMPUTED_VALUE"""),"Meats")</f>
        <v>Meats</v>
      </c>
      <c r="D1142">
        <f>IFERROR(__xludf.DUMMYFUNCTION("""COMPUTED_VALUE"""),115.0)</f>
        <v>115</v>
      </c>
      <c r="E1142">
        <f>IFERROR(__xludf.DUMMYFUNCTION("""COMPUTED_VALUE"""),1.48)</f>
        <v>1.48</v>
      </c>
      <c r="F1142">
        <f>IFERROR(__xludf.DUMMYFUNCTION("""COMPUTED_VALUE"""),23.66)</f>
        <v>23.66</v>
      </c>
      <c r="G1142">
        <f>IFERROR(__xludf.DUMMYFUNCTION("""COMPUTED_VALUE"""),0.14)</f>
        <v>0.14</v>
      </c>
    </row>
    <row r="1143">
      <c r="A1143">
        <f>IFERROR(__xludf.DUMMYFUNCTION("""COMPUTED_VALUE"""),171498.0)</f>
        <v>171498</v>
      </c>
      <c r="B1143" t="str">
        <f>IFERROR(__xludf.DUMMYFUNCTION("""COMPUTED_VALUE"""),"Turkey Wing From Whole Bird Meat Only Roasted")</f>
        <v>Turkey Wing From Whole Bird Meat Only Roasted</v>
      </c>
      <c r="C1143" t="str">
        <f>IFERROR(__xludf.DUMMYFUNCTION("""COMPUTED_VALUE"""),"Meats")</f>
        <v>Meats</v>
      </c>
      <c r="D1143">
        <f>IFERROR(__xludf.DUMMYFUNCTION("""COMPUTED_VALUE"""),147.0)</f>
        <v>147</v>
      </c>
      <c r="E1143">
        <f>IFERROR(__xludf.DUMMYFUNCTION("""COMPUTED_VALUE"""),2.08)</f>
        <v>2.08</v>
      </c>
      <c r="F1143">
        <f>IFERROR(__xludf.DUMMYFUNCTION("""COMPUTED_VALUE"""),30.13)</f>
        <v>30.13</v>
      </c>
      <c r="G1143">
        <f>IFERROR(__xludf.DUMMYFUNCTION("""COMPUTED_VALUE"""),0.0)</f>
        <v>0</v>
      </c>
    </row>
    <row r="1144">
      <c r="A1144">
        <f>IFERROR(__xludf.DUMMYFUNCTION("""COMPUTED_VALUE"""),171499.0)</f>
        <v>171499</v>
      </c>
      <c r="B1144" t="str">
        <f>IFERROR(__xludf.DUMMYFUNCTION("""COMPUTED_VALUE"""),"Turkey Young Hen Skin Only Cooked Roasted")</f>
        <v>Turkey Young Hen Skin Only Cooked Roasted</v>
      </c>
      <c r="C1144" t="str">
        <f>IFERROR(__xludf.DUMMYFUNCTION("""COMPUTED_VALUE"""),"Meats")</f>
        <v>Meats</v>
      </c>
      <c r="D1144">
        <f>IFERROR(__xludf.DUMMYFUNCTION("""COMPUTED_VALUE"""),482.0)</f>
        <v>482</v>
      </c>
      <c r="E1144">
        <f>IFERROR(__xludf.DUMMYFUNCTION("""COMPUTED_VALUE"""),44.45)</f>
        <v>44.45</v>
      </c>
      <c r="F1144">
        <f>IFERROR(__xludf.DUMMYFUNCTION("""COMPUTED_VALUE"""),19.03)</f>
        <v>19.03</v>
      </c>
      <c r="G1144">
        <f>IFERROR(__xludf.DUMMYFUNCTION("""COMPUTED_VALUE"""),0.0)</f>
        <v>0</v>
      </c>
    </row>
    <row r="1145">
      <c r="A1145">
        <f>IFERROR(__xludf.DUMMYFUNCTION("""COMPUTED_VALUE"""),171500.0)</f>
        <v>171500</v>
      </c>
      <c r="B1145" t="str">
        <f>IFERROR(__xludf.DUMMYFUNCTION("""COMPUTED_VALUE"""),"Turkey And Gravy Frozen")</f>
        <v>Turkey And Gravy Frozen</v>
      </c>
      <c r="C1145" t="str">
        <f>IFERROR(__xludf.DUMMYFUNCTION("""COMPUTED_VALUE"""),"Meats")</f>
        <v>Meats</v>
      </c>
      <c r="D1145">
        <f>IFERROR(__xludf.DUMMYFUNCTION("""COMPUTED_VALUE"""),67.0)</f>
        <v>67</v>
      </c>
      <c r="E1145">
        <f>IFERROR(__xludf.DUMMYFUNCTION("""COMPUTED_VALUE"""),2.63)</f>
        <v>2.63</v>
      </c>
      <c r="F1145">
        <f>IFERROR(__xludf.DUMMYFUNCTION("""COMPUTED_VALUE"""),5.88)</f>
        <v>5.88</v>
      </c>
      <c r="G1145">
        <f>IFERROR(__xludf.DUMMYFUNCTION("""COMPUTED_VALUE"""),4.61)</f>
        <v>4.61</v>
      </c>
    </row>
    <row r="1146">
      <c r="A1146">
        <f>IFERROR(__xludf.DUMMYFUNCTION("""COMPUTED_VALUE"""),171501.0)</f>
        <v>171501</v>
      </c>
      <c r="B1146" t="str">
        <f>IFERROR(__xludf.DUMMYFUNCTION("""COMPUTED_VALUE"""),"Turkey Breast Pre-Basted Meat And Skin Cooked Roasted")</f>
        <v>Turkey Breast Pre-Basted Meat And Skin Cooked Roasted</v>
      </c>
      <c r="C1146" t="str">
        <f>IFERROR(__xludf.DUMMYFUNCTION("""COMPUTED_VALUE"""),"Meats")</f>
        <v>Meats</v>
      </c>
      <c r="D1146">
        <f>IFERROR(__xludf.DUMMYFUNCTION("""COMPUTED_VALUE"""),126.0)</f>
        <v>126</v>
      </c>
      <c r="E1146">
        <f>IFERROR(__xludf.DUMMYFUNCTION("""COMPUTED_VALUE"""),3.46)</f>
        <v>3.46</v>
      </c>
      <c r="F1146">
        <f>IFERROR(__xludf.DUMMYFUNCTION("""COMPUTED_VALUE"""),22.16)</f>
        <v>22.16</v>
      </c>
      <c r="G1146">
        <f>IFERROR(__xludf.DUMMYFUNCTION("""COMPUTED_VALUE"""),0.0)</f>
        <v>0</v>
      </c>
    </row>
    <row r="1147">
      <c r="A1147">
        <f>IFERROR(__xludf.DUMMYFUNCTION("""COMPUTED_VALUE"""),171502.0)</f>
        <v>171502</v>
      </c>
      <c r="B1147" t="str">
        <f>IFERROR(__xludf.DUMMYFUNCTION("""COMPUTED_VALUE"""),"Turkey Thigh Pre-Basted Meat And Skin Cooked Roasted")</f>
        <v>Turkey Thigh Pre-Basted Meat And Skin Cooked Roasted</v>
      </c>
      <c r="C1147" t="str">
        <f>IFERROR(__xludf.DUMMYFUNCTION("""COMPUTED_VALUE"""),"Meats")</f>
        <v>Meats</v>
      </c>
      <c r="D1147">
        <f>IFERROR(__xludf.DUMMYFUNCTION("""COMPUTED_VALUE"""),157.0)</f>
        <v>157</v>
      </c>
      <c r="E1147">
        <f>IFERROR(__xludf.DUMMYFUNCTION("""COMPUTED_VALUE"""),8.54)</f>
        <v>8.54</v>
      </c>
      <c r="F1147">
        <f>IFERROR(__xludf.DUMMYFUNCTION("""COMPUTED_VALUE"""),18.8)</f>
        <v>18.8</v>
      </c>
      <c r="G1147">
        <f>IFERROR(__xludf.DUMMYFUNCTION("""COMPUTED_VALUE"""),0.0)</f>
        <v>0</v>
      </c>
    </row>
    <row r="1148">
      <c r="A1148">
        <f>IFERROR(__xludf.DUMMYFUNCTION("""COMPUTED_VALUE"""),171503.0)</f>
        <v>171503</v>
      </c>
      <c r="B1148" t="str">
        <f>IFERROR(__xludf.DUMMYFUNCTION("""COMPUTED_VALUE"""),"Turkey Roast Boneless Frozen Seasoned Light And Dark Meat Raw")</f>
        <v>Turkey Roast Boneless Frozen Seasoned Light And Dark Meat Raw</v>
      </c>
      <c r="C1148" t="str">
        <f>IFERROR(__xludf.DUMMYFUNCTION("""COMPUTED_VALUE"""),"Meats")</f>
        <v>Meats</v>
      </c>
      <c r="D1148">
        <f>IFERROR(__xludf.DUMMYFUNCTION("""COMPUTED_VALUE"""),120.0)</f>
        <v>120</v>
      </c>
      <c r="E1148">
        <f>IFERROR(__xludf.DUMMYFUNCTION("""COMPUTED_VALUE"""),2.2)</f>
        <v>2.2</v>
      </c>
      <c r="F1148">
        <f>IFERROR(__xludf.DUMMYFUNCTION("""COMPUTED_VALUE"""),17.6)</f>
        <v>17.6</v>
      </c>
      <c r="G1148">
        <f>IFERROR(__xludf.DUMMYFUNCTION("""COMPUTED_VALUE"""),6.4)</f>
        <v>6.4</v>
      </c>
    </row>
    <row r="1149">
      <c r="A1149">
        <f>IFERROR(__xludf.DUMMYFUNCTION("""COMPUTED_VALUE"""),171504.0)</f>
        <v>171504</v>
      </c>
      <c r="B1149" t="str">
        <f>IFERROR(__xludf.DUMMYFUNCTION("""COMPUTED_VALUE"""),"Turkey Mechanically Deboned From Turkey Frames Raw")</f>
        <v>Turkey Mechanically Deboned From Turkey Frames Raw</v>
      </c>
      <c r="C1149" t="str">
        <f>IFERROR(__xludf.DUMMYFUNCTION("""COMPUTED_VALUE"""),"Meats")</f>
        <v>Meats</v>
      </c>
      <c r="D1149">
        <f>IFERROR(__xludf.DUMMYFUNCTION("""COMPUTED_VALUE"""),201.0)</f>
        <v>201</v>
      </c>
      <c r="E1149">
        <f>IFERROR(__xludf.DUMMYFUNCTION("""COMPUTED_VALUE"""),15.96)</f>
        <v>15.96</v>
      </c>
      <c r="F1149">
        <f>IFERROR(__xludf.DUMMYFUNCTION("""COMPUTED_VALUE"""),13.29)</f>
        <v>13.29</v>
      </c>
      <c r="G1149">
        <f>IFERROR(__xludf.DUMMYFUNCTION("""COMPUTED_VALUE"""),0.0)</f>
        <v>0</v>
      </c>
    </row>
    <row r="1150">
      <c r="A1150">
        <f>IFERROR(__xludf.DUMMYFUNCTION("""COMPUTED_VALUE"""),171505.0)</f>
        <v>171505</v>
      </c>
      <c r="B1150" t="str">
        <f>IFERROR(__xludf.DUMMYFUNCTION("""COMPUTED_VALUE"""),"Ground Turkey Raw")</f>
        <v>Ground Turkey Raw</v>
      </c>
      <c r="C1150" t="str">
        <f>IFERROR(__xludf.DUMMYFUNCTION("""COMPUTED_VALUE"""),"Meats")</f>
        <v>Meats</v>
      </c>
      <c r="D1150">
        <f>IFERROR(__xludf.DUMMYFUNCTION("""COMPUTED_VALUE"""),148.0)</f>
        <v>148</v>
      </c>
      <c r="E1150">
        <f>IFERROR(__xludf.DUMMYFUNCTION("""COMPUTED_VALUE"""),7.66)</f>
        <v>7.66</v>
      </c>
      <c r="F1150">
        <f>IFERROR(__xludf.DUMMYFUNCTION("""COMPUTED_VALUE"""),19.66)</f>
        <v>19.66</v>
      </c>
      <c r="G1150">
        <f>IFERROR(__xludf.DUMMYFUNCTION("""COMPUTED_VALUE"""),0.0)</f>
        <v>0</v>
      </c>
    </row>
    <row r="1151">
      <c r="A1151">
        <f>IFERROR(__xludf.DUMMYFUNCTION("""COMPUTED_VALUE"""),171506.0)</f>
        <v>171506</v>
      </c>
      <c r="B1151" t="str">
        <f>IFERROR(__xludf.DUMMYFUNCTION("""COMPUTED_VALUE"""),"Ground Turkey Cooked")</f>
        <v>Ground Turkey Cooked</v>
      </c>
      <c r="C1151" t="str">
        <f>IFERROR(__xludf.DUMMYFUNCTION("""COMPUTED_VALUE"""),"Meats")</f>
        <v>Meats</v>
      </c>
      <c r="D1151">
        <f>IFERROR(__xludf.DUMMYFUNCTION("""COMPUTED_VALUE"""),203.0)</f>
        <v>203</v>
      </c>
      <c r="E1151">
        <f>IFERROR(__xludf.DUMMYFUNCTION("""COMPUTED_VALUE"""),10.4)</f>
        <v>10.4</v>
      </c>
      <c r="F1151">
        <f>IFERROR(__xludf.DUMMYFUNCTION("""COMPUTED_VALUE"""),27.37)</f>
        <v>27.37</v>
      </c>
      <c r="G1151">
        <f>IFERROR(__xludf.DUMMYFUNCTION("""COMPUTED_VALUE"""),0.0)</f>
        <v>0</v>
      </c>
    </row>
    <row r="1152">
      <c r="A1152">
        <f>IFERROR(__xludf.DUMMYFUNCTION("""COMPUTED_VALUE"""),171507.0)</f>
        <v>171507</v>
      </c>
      <c r="B1152" t="str">
        <f>IFERROR(__xludf.DUMMYFUNCTION("""COMPUTED_VALUE"""),"Chicken Cornish Game Hens Meat And Skin Raw")</f>
        <v>Chicken Cornish Game Hens Meat And Skin Raw</v>
      </c>
      <c r="C1152" t="str">
        <f>IFERROR(__xludf.DUMMYFUNCTION("""COMPUTED_VALUE"""),"Meats")</f>
        <v>Meats</v>
      </c>
      <c r="D1152">
        <f>IFERROR(__xludf.DUMMYFUNCTION("""COMPUTED_VALUE"""),200.0)</f>
        <v>200</v>
      </c>
      <c r="E1152">
        <f>IFERROR(__xludf.DUMMYFUNCTION("""COMPUTED_VALUE"""),14.02)</f>
        <v>14.02</v>
      </c>
      <c r="F1152">
        <f>IFERROR(__xludf.DUMMYFUNCTION("""COMPUTED_VALUE"""),17.15)</f>
        <v>17.15</v>
      </c>
      <c r="G1152">
        <f>IFERROR(__xludf.DUMMYFUNCTION("""COMPUTED_VALUE"""),0.0)</f>
        <v>0</v>
      </c>
    </row>
    <row r="1153">
      <c r="A1153">
        <f>IFERROR(__xludf.DUMMYFUNCTION("""COMPUTED_VALUE"""),171508.0)</f>
        <v>171508</v>
      </c>
      <c r="B1153" t="str">
        <f>IFERROR(__xludf.DUMMYFUNCTION("""COMPUTED_VALUE"""),"Chicken Wing Frozen Glazed Barbecue Flavored Heated (Microwave)")</f>
        <v>Chicken Wing Frozen Glazed Barbecue Flavored Heated (Microwave)</v>
      </c>
      <c r="C1153" t="str">
        <f>IFERROR(__xludf.DUMMYFUNCTION("""COMPUTED_VALUE"""),"Meats")</f>
        <v>Meats</v>
      </c>
      <c r="D1153">
        <f>IFERROR(__xludf.DUMMYFUNCTION("""COMPUTED_VALUE"""),248.0)</f>
        <v>248</v>
      </c>
      <c r="E1153">
        <f>IFERROR(__xludf.DUMMYFUNCTION("""COMPUTED_VALUE"""),13.9)</f>
        <v>13.9</v>
      </c>
      <c r="F1153">
        <f>IFERROR(__xludf.DUMMYFUNCTION("""COMPUTED_VALUE"""),25.34)</f>
        <v>25.34</v>
      </c>
      <c r="G1153">
        <f>IFERROR(__xludf.DUMMYFUNCTION("""COMPUTED_VALUE"""),3.84)</f>
        <v>3.84</v>
      </c>
    </row>
    <row r="1154">
      <c r="A1154">
        <f>IFERROR(__xludf.DUMMYFUNCTION("""COMPUTED_VALUE"""),171509.0)</f>
        <v>171509</v>
      </c>
      <c r="B1154" t="str">
        <f>IFERROR(__xludf.DUMMYFUNCTION("""COMPUTED_VALUE"""),"Chicken Broilers Or Fryers Breast Skinless Boneless Meat Only With Added Solution Raw")</f>
        <v>Chicken Broilers Or Fryers Breast Skinless Boneless Meat Only With Added Solution Raw</v>
      </c>
      <c r="C1154" t="str">
        <f>IFERROR(__xludf.DUMMYFUNCTION("""COMPUTED_VALUE"""),"Meats")</f>
        <v>Meats</v>
      </c>
      <c r="D1154">
        <f>IFERROR(__xludf.DUMMYFUNCTION("""COMPUTED_VALUE"""),108.0)</f>
        <v>108</v>
      </c>
      <c r="E1154">
        <f>IFERROR(__xludf.DUMMYFUNCTION("""COMPUTED_VALUE"""),3.0)</f>
        <v>3</v>
      </c>
      <c r="F1154">
        <f>IFERROR(__xludf.DUMMYFUNCTION("""COMPUTED_VALUE"""),20.32)</f>
        <v>20.32</v>
      </c>
      <c r="G1154">
        <f>IFERROR(__xludf.DUMMYFUNCTION("""COMPUTED_VALUE"""),0.0)</f>
        <v>0</v>
      </c>
    </row>
    <row r="1155">
      <c r="A1155">
        <f>IFERROR(__xludf.DUMMYFUNCTION("""COMPUTED_VALUE"""),171510.0)</f>
        <v>171510</v>
      </c>
      <c r="B1155" t="str">
        <f>IFERROR(__xludf.DUMMYFUNCTION("""COMPUTED_VALUE"""),"Duck Young Duckling Domesticated White Pekin Breast Meat And Skin Boneless Cooked Roasted")</f>
        <v>Duck Young Duckling Domesticated White Pekin Breast Meat And Skin Boneless Cooked Roasted</v>
      </c>
      <c r="C1155" t="str">
        <f>IFERROR(__xludf.DUMMYFUNCTION("""COMPUTED_VALUE"""),"Meats")</f>
        <v>Meats</v>
      </c>
      <c r="D1155">
        <f>IFERROR(__xludf.DUMMYFUNCTION("""COMPUTED_VALUE"""),202.0)</f>
        <v>202</v>
      </c>
      <c r="E1155">
        <f>IFERROR(__xludf.DUMMYFUNCTION("""COMPUTED_VALUE"""),10.85)</f>
        <v>10.85</v>
      </c>
      <c r="F1155">
        <f>IFERROR(__xludf.DUMMYFUNCTION("""COMPUTED_VALUE"""),24.5)</f>
        <v>24.5</v>
      </c>
      <c r="G1155">
        <f>IFERROR(__xludf.DUMMYFUNCTION("""COMPUTED_VALUE"""),0.0)</f>
        <v>0</v>
      </c>
    </row>
    <row r="1156">
      <c r="A1156">
        <f>IFERROR(__xludf.DUMMYFUNCTION("""COMPUTED_VALUE"""),171511.0)</f>
        <v>171511</v>
      </c>
      <c r="B1156" t="str">
        <f>IFERROR(__xludf.DUMMYFUNCTION("""COMPUTED_VALUE"""),"Duck Young Duckling Domesticated White Pekin Breast Meat Only Boneless Cooked Without Skin Broiled")</f>
        <v>Duck Young Duckling Domesticated White Pekin Breast Meat Only Boneless Cooked Without Skin Broiled</v>
      </c>
      <c r="C1156" t="str">
        <f>IFERROR(__xludf.DUMMYFUNCTION("""COMPUTED_VALUE"""),"Meats")</f>
        <v>Meats</v>
      </c>
      <c r="D1156">
        <f>IFERROR(__xludf.DUMMYFUNCTION("""COMPUTED_VALUE"""),140.0)</f>
        <v>140</v>
      </c>
      <c r="E1156">
        <f>IFERROR(__xludf.DUMMYFUNCTION("""COMPUTED_VALUE"""),2.5)</f>
        <v>2.5</v>
      </c>
      <c r="F1156">
        <f>IFERROR(__xludf.DUMMYFUNCTION("""COMPUTED_VALUE"""),27.6)</f>
        <v>27.6</v>
      </c>
      <c r="G1156">
        <f>IFERROR(__xludf.DUMMYFUNCTION("""COMPUTED_VALUE"""),0.0)</f>
        <v>0</v>
      </c>
    </row>
    <row r="1157">
      <c r="A1157">
        <f>IFERROR(__xludf.DUMMYFUNCTION("""COMPUTED_VALUE"""),171512.0)</f>
        <v>171512</v>
      </c>
      <c r="B1157" t="str">
        <f>IFERROR(__xludf.DUMMYFUNCTION("""COMPUTED_VALUE"""),"Chicken Patty Frozen Uncooked")</f>
        <v>Chicken Patty Frozen Uncooked</v>
      </c>
      <c r="C1157" t="str">
        <f>IFERROR(__xludf.DUMMYFUNCTION("""COMPUTED_VALUE"""),"Meats")</f>
        <v>Meats</v>
      </c>
      <c r="D1157">
        <f>IFERROR(__xludf.DUMMYFUNCTION("""COMPUTED_VALUE"""),292.0)</f>
        <v>292</v>
      </c>
      <c r="E1157">
        <f>IFERROR(__xludf.DUMMYFUNCTION("""COMPUTED_VALUE"""),20.04)</f>
        <v>20.04</v>
      </c>
      <c r="F1157">
        <f>IFERROR(__xludf.DUMMYFUNCTION("""COMPUTED_VALUE"""),14.33)</f>
        <v>14.33</v>
      </c>
      <c r="G1157">
        <f>IFERROR(__xludf.DUMMYFUNCTION("""COMPUTED_VALUE"""),13.61)</f>
        <v>13.61</v>
      </c>
    </row>
    <row r="1158">
      <c r="A1158">
        <f>IFERROR(__xludf.DUMMYFUNCTION("""COMPUTED_VALUE"""),171513.0)</f>
        <v>171513</v>
      </c>
      <c r="B1158" t="str">
        <f>IFERROR(__xludf.DUMMYFUNCTION("""COMPUTED_VALUE"""),"Chicken Patty Frozen Cooked")</f>
        <v>Chicken Patty Frozen Cooked</v>
      </c>
      <c r="C1158" t="str">
        <f>IFERROR(__xludf.DUMMYFUNCTION("""COMPUTED_VALUE"""),"Meats")</f>
        <v>Meats</v>
      </c>
      <c r="D1158">
        <f>IFERROR(__xludf.DUMMYFUNCTION("""COMPUTED_VALUE"""),287.0)</f>
        <v>287</v>
      </c>
      <c r="E1158">
        <f>IFERROR(__xludf.DUMMYFUNCTION("""COMPUTED_VALUE"""),19.58)</f>
        <v>19.58</v>
      </c>
      <c r="F1158">
        <f>IFERROR(__xludf.DUMMYFUNCTION("""COMPUTED_VALUE"""),14.85)</f>
        <v>14.85</v>
      </c>
      <c r="G1158">
        <f>IFERROR(__xludf.DUMMYFUNCTION("""COMPUTED_VALUE"""),12.84)</f>
        <v>12.84</v>
      </c>
    </row>
    <row r="1159">
      <c r="A1159">
        <f>IFERROR(__xludf.DUMMYFUNCTION("""COMPUTED_VALUE"""),171514.0)</f>
        <v>171514</v>
      </c>
      <c r="B1159" t="str">
        <f>IFERROR(__xludf.DUMMYFUNCTION("""COMPUTED_VALUE"""),"Chicken Breast Tenders Breaded Cooked Microwaved")</f>
        <v>Chicken Breast Tenders Breaded Cooked Microwaved</v>
      </c>
      <c r="C1159" t="str">
        <f>IFERROR(__xludf.DUMMYFUNCTION("""COMPUTED_VALUE"""),"Meats")</f>
        <v>Meats</v>
      </c>
      <c r="D1159">
        <f>IFERROR(__xludf.DUMMYFUNCTION("""COMPUTED_VALUE"""),252.0)</f>
        <v>252</v>
      </c>
      <c r="E1159">
        <f>IFERROR(__xludf.DUMMYFUNCTION("""COMPUTED_VALUE"""),12.89)</f>
        <v>12.89</v>
      </c>
      <c r="F1159">
        <f>IFERROR(__xludf.DUMMYFUNCTION("""COMPUTED_VALUE"""),16.35)</f>
        <v>16.35</v>
      </c>
      <c r="G1159">
        <f>IFERROR(__xludf.DUMMYFUNCTION("""COMPUTED_VALUE"""),17.56)</f>
        <v>17.56</v>
      </c>
    </row>
    <row r="1160">
      <c r="A1160">
        <f>IFERROR(__xludf.DUMMYFUNCTION("""COMPUTED_VALUE"""),171515.0)</f>
        <v>171515</v>
      </c>
      <c r="B1160" t="str">
        <f>IFERROR(__xludf.DUMMYFUNCTION("""COMPUTED_VALUE"""),"Chicken Breast Tenders Breaded Uncooked")</f>
        <v>Chicken Breast Tenders Breaded Uncooked</v>
      </c>
      <c r="C1160" t="str">
        <f>IFERROR(__xludf.DUMMYFUNCTION("""COMPUTED_VALUE"""),"Meats")</f>
        <v>Meats</v>
      </c>
      <c r="D1160">
        <f>IFERROR(__xludf.DUMMYFUNCTION("""COMPUTED_VALUE"""),263.0)</f>
        <v>263</v>
      </c>
      <c r="E1160">
        <f>IFERROR(__xludf.DUMMYFUNCTION("""COMPUTED_VALUE"""),15.75)</f>
        <v>15.75</v>
      </c>
      <c r="F1160">
        <f>IFERROR(__xludf.DUMMYFUNCTION("""COMPUTED_VALUE"""),14.73)</f>
        <v>14.73</v>
      </c>
      <c r="G1160">
        <f>IFERROR(__xludf.DUMMYFUNCTION("""COMPUTED_VALUE"""),15.01)</f>
        <v>15.01</v>
      </c>
    </row>
    <row r="1161">
      <c r="A1161">
        <f>IFERROR(__xludf.DUMMYFUNCTION("""COMPUTED_VALUE"""),171516.0)</f>
        <v>171516</v>
      </c>
      <c r="B1161" t="str">
        <f>IFERROR(__xludf.DUMMYFUNCTION("""COMPUTED_VALUE"""),"Chicken Broiler Rotisserie BBQ Wing Meat Only")</f>
        <v>Chicken Broiler Rotisserie BBQ Wing Meat Only</v>
      </c>
      <c r="C1161" t="str">
        <f>IFERROR(__xludf.DUMMYFUNCTION("""COMPUTED_VALUE"""),"Meats")</f>
        <v>Meats</v>
      </c>
      <c r="D1161">
        <f>IFERROR(__xludf.DUMMYFUNCTION("""COMPUTED_VALUE"""),186.0)</f>
        <v>186</v>
      </c>
      <c r="E1161">
        <f>IFERROR(__xludf.DUMMYFUNCTION("""COMPUTED_VALUE"""),7.79)</f>
        <v>7.79</v>
      </c>
      <c r="F1161">
        <f>IFERROR(__xludf.DUMMYFUNCTION("""COMPUTED_VALUE"""),28.34)</f>
        <v>28.34</v>
      </c>
      <c r="G1161">
        <f>IFERROR(__xludf.DUMMYFUNCTION("""COMPUTED_VALUE"""),0.54)</f>
        <v>0.54</v>
      </c>
    </row>
    <row r="1162">
      <c r="A1162">
        <f>IFERROR(__xludf.DUMMYFUNCTION("""COMPUTED_VALUE"""),171517.0)</f>
        <v>171517</v>
      </c>
      <c r="B1162" t="str">
        <f>IFERROR(__xludf.DUMMYFUNCTION("""COMPUTED_VALUE"""),"Chicken Broilers Or Fryers Back Meat Only Cooked Rotisserie Original Seasoning")</f>
        <v>Chicken Broilers Or Fryers Back Meat Only Cooked Rotisserie Original Seasoning</v>
      </c>
      <c r="C1162" t="str">
        <f>IFERROR(__xludf.DUMMYFUNCTION("""COMPUTED_VALUE"""),"Meats")</f>
        <v>Meats</v>
      </c>
      <c r="D1162">
        <f>IFERROR(__xludf.DUMMYFUNCTION("""COMPUTED_VALUE"""),205.0)</f>
        <v>205</v>
      </c>
      <c r="E1162">
        <f>IFERROR(__xludf.DUMMYFUNCTION("""COMPUTED_VALUE"""),11.54)</f>
        <v>11.54</v>
      </c>
      <c r="F1162">
        <f>IFERROR(__xludf.DUMMYFUNCTION("""COMPUTED_VALUE"""),25.34)</f>
        <v>25.34</v>
      </c>
      <c r="G1162">
        <f>IFERROR(__xludf.DUMMYFUNCTION("""COMPUTED_VALUE"""),0.0)</f>
        <v>0</v>
      </c>
    </row>
    <row r="1163">
      <c r="A1163">
        <f>IFERROR(__xludf.DUMMYFUNCTION("""COMPUTED_VALUE"""),171518.0)</f>
        <v>171518</v>
      </c>
      <c r="B1163" t="str">
        <f>IFERROR(__xludf.DUMMYFUNCTION("""COMPUTED_VALUE"""),"Chicken Broilers Or Fryers Breast Meat Only Cooked Rotisserie Original Seasoning")</f>
        <v>Chicken Broilers Or Fryers Breast Meat Only Cooked Rotisserie Original Seasoning</v>
      </c>
      <c r="C1163" t="str">
        <f>IFERROR(__xludf.DUMMYFUNCTION("""COMPUTED_VALUE"""),"Meats")</f>
        <v>Meats</v>
      </c>
      <c r="D1163">
        <f>IFERROR(__xludf.DUMMYFUNCTION("""COMPUTED_VALUE"""),137.0)</f>
        <v>137</v>
      </c>
      <c r="E1163">
        <f>IFERROR(__xludf.DUMMYFUNCTION("""COMPUTED_VALUE"""),2.79)</f>
        <v>2.79</v>
      </c>
      <c r="F1163">
        <f>IFERROR(__xludf.DUMMYFUNCTION("""COMPUTED_VALUE"""),28.0)</f>
        <v>28</v>
      </c>
      <c r="G1163">
        <f>IFERROR(__xludf.DUMMYFUNCTION("""COMPUTED_VALUE"""),0.0)</f>
        <v>0</v>
      </c>
    </row>
    <row r="1164">
      <c r="A1164">
        <f>IFERROR(__xludf.DUMMYFUNCTION("""COMPUTED_VALUE"""),171519.0)</f>
        <v>171519</v>
      </c>
      <c r="B1164" t="str">
        <f>IFERROR(__xludf.DUMMYFUNCTION("""COMPUTED_VALUE"""),"Chicken Broilers Or Fryers Drumstick Meat Only Cooked Rotisserie Original Seasoning")</f>
        <v>Chicken Broilers Or Fryers Drumstick Meat Only Cooked Rotisserie Original Seasoning</v>
      </c>
      <c r="C1164" t="str">
        <f>IFERROR(__xludf.DUMMYFUNCTION("""COMPUTED_VALUE"""),"Meats")</f>
        <v>Meats</v>
      </c>
      <c r="D1164">
        <f>IFERROR(__xludf.DUMMYFUNCTION("""COMPUTED_VALUE"""),176.0)</f>
        <v>176</v>
      </c>
      <c r="E1164">
        <f>IFERROR(__xludf.DUMMYFUNCTION("""COMPUTED_VALUE"""),6.81)</f>
        <v>6.81</v>
      </c>
      <c r="F1164">
        <f>IFERROR(__xludf.DUMMYFUNCTION("""COMPUTED_VALUE"""),28.74)</f>
        <v>28.74</v>
      </c>
      <c r="G1164">
        <f>IFERROR(__xludf.DUMMYFUNCTION("""COMPUTED_VALUE"""),0.0)</f>
        <v>0</v>
      </c>
    </row>
    <row r="1165">
      <c r="A1165">
        <f>IFERROR(__xludf.DUMMYFUNCTION("""COMPUTED_VALUE"""),171520.0)</f>
        <v>171520</v>
      </c>
      <c r="B1165" t="str">
        <f>IFERROR(__xludf.DUMMYFUNCTION("""COMPUTED_VALUE"""),"Chicken Broilers Or Fryers Skin Only Cooked Rotisserie Original Seasoning")</f>
        <v>Chicken Broilers Or Fryers Skin Only Cooked Rotisserie Original Seasoning</v>
      </c>
      <c r="C1165" t="str">
        <f>IFERROR(__xludf.DUMMYFUNCTION("""COMPUTED_VALUE"""),"Meats")</f>
        <v>Meats</v>
      </c>
      <c r="D1165">
        <f>IFERROR(__xludf.DUMMYFUNCTION("""COMPUTED_VALUE"""),406.0)</f>
        <v>406</v>
      </c>
      <c r="E1165">
        <f>IFERROR(__xludf.DUMMYFUNCTION("""COMPUTED_VALUE"""),37.24)</f>
        <v>37.24</v>
      </c>
      <c r="F1165">
        <f>IFERROR(__xludf.DUMMYFUNCTION("""COMPUTED_VALUE"""),17.66)</f>
        <v>17.66</v>
      </c>
      <c r="G1165">
        <f>IFERROR(__xludf.DUMMYFUNCTION("""COMPUTED_VALUE"""),0.11)</f>
        <v>0.11</v>
      </c>
    </row>
    <row r="1166">
      <c r="A1166">
        <f>IFERROR(__xludf.DUMMYFUNCTION("""COMPUTED_VALUE"""),171521.0)</f>
        <v>171521</v>
      </c>
      <c r="B1166" t="str">
        <f>IFERROR(__xludf.DUMMYFUNCTION("""COMPUTED_VALUE"""),"Chicken Broilers Or Fryers Drumstick Meat And Skin Cooked Rotisserie Original Seasoning")</f>
        <v>Chicken Broilers Or Fryers Drumstick Meat And Skin Cooked Rotisserie Original Seasoning</v>
      </c>
      <c r="C1166" t="str">
        <f>IFERROR(__xludf.DUMMYFUNCTION("""COMPUTED_VALUE"""),"Meats")</f>
        <v>Meats</v>
      </c>
      <c r="D1166">
        <f>IFERROR(__xludf.DUMMYFUNCTION("""COMPUTED_VALUE"""),215.0)</f>
        <v>215</v>
      </c>
      <c r="E1166">
        <f>IFERROR(__xludf.DUMMYFUNCTION("""COMPUTED_VALUE"""),11.98)</f>
        <v>11.98</v>
      </c>
      <c r="F1166">
        <f>IFERROR(__xludf.DUMMYFUNCTION("""COMPUTED_VALUE"""),26.86)</f>
        <v>26.86</v>
      </c>
      <c r="G1166">
        <f>IFERROR(__xludf.DUMMYFUNCTION("""COMPUTED_VALUE"""),0.02)</f>
        <v>0.02</v>
      </c>
    </row>
    <row r="1167">
      <c r="A1167">
        <f>IFERROR(__xludf.DUMMYFUNCTION("""COMPUTED_VALUE"""),171522.0)</f>
        <v>171522</v>
      </c>
      <c r="B1167" t="str">
        <f>IFERROR(__xludf.DUMMYFUNCTION("""COMPUTED_VALUE"""),"Chicken Broilers Or Fryers Thigh Meat And Skin Cooked Rotisserie Original Seasoning")</f>
        <v>Chicken Broilers Or Fryers Thigh Meat And Skin Cooked Rotisserie Original Seasoning</v>
      </c>
      <c r="C1167" t="str">
        <f>IFERROR(__xludf.DUMMYFUNCTION("""COMPUTED_VALUE"""),"Meats")</f>
        <v>Meats</v>
      </c>
      <c r="D1167">
        <f>IFERROR(__xludf.DUMMYFUNCTION("""COMPUTED_VALUE"""),233.0)</f>
        <v>233</v>
      </c>
      <c r="E1167">
        <f>IFERROR(__xludf.DUMMYFUNCTION("""COMPUTED_VALUE"""),15.7)</f>
        <v>15.7</v>
      </c>
      <c r="F1167">
        <f>IFERROR(__xludf.DUMMYFUNCTION("""COMPUTED_VALUE"""),22.93)</f>
        <v>22.93</v>
      </c>
      <c r="G1167">
        <f>IFERROR(__xludf.DUMMYFUNCTION("""COMPUTED_VALUE"""),0.02)</f>
        <v>0.02</v>
      </c>
    </row>
    <row r="1168">
      <c r="A1168">
        <f>IFERROR(__xludf.DUMMYFUNCTION("""COMPUTED_VALUE"""),171523.0)</f>
        <v>171523</v>
      </c>
      <c r="B1168" t="str">
        <f>IFERROR(__xludf.DUMMYFUNCTION("""COMPUTED_VALUE"""),"Chicken Broilers Or Fryers Wing Meat And Skin Cooked Rotisserie Original Seasoning")</f>
        <v>Chicken Broilers Or Fryers Wing Meat And Skin Cooked Rotisserie Original Seasoning</v>
      </c>
      <c r="C1168" t="str">
        <f>IFERROR(__xludf.DUMMYFUNCTION("""COMPUTED_VALUE"""),"Meats")</f>
        <v>Meats</v>
      </c>
      <c r="D1168">
        <f>IFERROR(__xludf.DUMMYFUNCTION("""COMPUTED_VALUE"""),266.0)</f>
        <v>266</v>
      </c>
      <c r="E1168">
        <f>IFERROR(__xludf.DUMMYFUNCTION("""COMPUTED_VALUE"""),18.77)</f>
        <v>18.77</v>
      </c>
      <c r="F1168">
        <f>IFERROR(__xludf.DUMMYFUNCTION("""COMPUTED_VALUE"""),24.34)</f>
        <v>24.34</v>
      </c>
      <c r="G1168">
        <f>IFERROR(__xludf.DUMMYFUNCTION("""COMPUTED_VALUE"""),0.04)</f>
        <v>0.04</v>
      </c>
    </row>
    <row r="1169">
      <c r="A1169">
        <f>IFERROR(__xludf.DUMMYFUNCTION("""COMPUTED_VALUE"""),171524.0)</f>
        <v>171524</v>
      </c>
      <c r="B1169" t="str">
        <f>IFERROR(__xludf.DUMMYFUNCTION("""COMPUTED_VALUE"""),"Chicken Broiler Rotisserie BBQ Skin")</f>
        <v>Chicken Broiler Rotisserie BBQ Skin</v>
      </c>
      <c r="C1169" t="str">
        <f>IFERROR(__xludf.DUMMYFUNCTION("""COMPUTED_VALUE"""),"Meats")</f>
        <v>Meats</v>
      </c>
      <c r="D1169">
        <f>IFERROR(__xludf.DUMMYFUNCTION("""COMPUTED_VALUE"""),378.0)</f>
        <v>378</v>
      </c>
      <c r="E1169">
        <f>IFERROR(__xludf.DUMMYFUNCTION("""COMPUTED_VALUE"""),35.15)</f>
        <v>35.15</v>
      </c>
      <c r="F1169">
        <f>IFERROR(__xludf.DUMMYFUNCTION("""COMPUTED_VALUE"""),15.19)</f>
        <v>15.19</v>
      </c>
      <c r="G1169">
        <f>IFERROR(__xludf.DUMMYFUNCTION("""COMPUTED_VALUE"""),0.7)</f>
        <v>0.7</v>
      </c>
    </row>
    <row r="1170">
      <c r="A1170">
        <f>IFERROR(__xludf.DUMMYFUNCTION("""COMPUTED_VALUE"""),171525.0)</f>
        <v>171525</v>
      </c>
      <c r="B1170" t="str">
        <f>IFERROR(__xludf.DUMMYFUNCTION("""COMPUTED_VALUE"""),"Turkey Drumstick From Whole Bird Meat Only With Added Solution Raw")</f>
        <v>Turkey Drumstick From Whole Bird Meat Only With Added Solution Raw</v>
      </c>
      <c r="C1170" t="str">
        <f>IFERROR(__xludf.DUMMYFUNCTION("""COMPUTED_VALUE"""),"Meats")</f>
        <v>Meats</v>
      </c>
      <c r="D1170">
        <f>IFERROR(__xludf.DUMMYFUNCTION("""COMPUTED_VALUE"""),115.0)</f>
        <v>115</v>
      </c>
      <c r="E1170">
        <f>IFERROR(__xludf.DUMMYFUNCTION("""COMPUTED_VALUE"""),4.12)</f>
        <v>4.12</v>
      </c>
      <c r="F1170">
        <f>IFERROR(__xludf.DUMMYFUNCTION("""COMPUTED_VALUE"""),19.27)</f>
        <v>19.27</v>
      </c>
      <c r="G1170">
        <f>IFERROR(__xludf.DUMMYFUNCTION("""COMPUTED_VALUE"""),0.15)</f>
        <v>0.15</v>
      </c>
    </row>
    <row r="1171">
      <c r="A1171">
        <f>IFERROR(__xludf.DUMMYFUNCTION("""COMPUTED_VALUE"""),171526.0)</f>
        <v>171526</v>
      </c>
      <c r="B1171" t="str">
        <f>IFERROR(__xludf.DUMMYFUNCTION("""COMPUTED_VALUE"""),"Turkey Wing From Whole Bird Meat Only With Added Solution Raw")</f>
        <v>Turkey Wing From Whole Bird Meat Only With Added Solution Raw</v>
      </c>
      <c r="C1171" t="str">
        <f>IFERROR(__xludf.DUMMYFUNCTION("""COMPUTED_VALUE"""),"Meats")</f>
        <v>Meats</v>
      </c>
      <c r="D1171">
        <f>IFERROR(__xludf.DUMMYFUNCTION("""COMPUTED_VALUE"""),102.0)</f>
        <v>102</v>
      </c>
      <c r="E1171">
        <f>IFERROR(__xludf.DUMMYFUNCTION("""COMPUTED_VALUE"""),1.66)</f>
        <v>1.66</v>
      </c>
      <c r="F1171">
        <f>IFERROR(__xludf.DUMMYFUNCTION("""COMPUTED_VALUE"""),21.54)</f>
        <v>21.54</v>
      </c>
      <c r="G1171">
        <f>IFERROR(__xludf.DUMMYFUNCTION("""COMPUTED_VALUE"""),0.14)</f>
        <v>0.14</v>
      </c>
    </row>
    <row r="1172">
      <c r="A1172">
        <f>IFERROR(__xludf.DUMMYFUNCTION("""COMPUTED_VALUE"""),171527.0)</f>
        <v>171527</v>
      </c>
      <c r="B1172" t="str">
        <f>IFERROR(__xludf.DUMMYFUNCTION("""COMPUTED_VALUE"""),"Turkey Wing From Whole Bird Meat Only With Added Solution Roasted")</f>
        <v>Turkey Wing From Whole Bird Meat Only With Added Solution Roasted</v>
      </c>
      <c r="C1172" t="str">
        <f>IFERROR(__xludf.DUMMYFUNCTION("""COMPUTED_VALUE"""),"Meats")</f>
        <v>Meats</v>
      </c>
      <c r="D1172">
        <f>IFERROR(__xludf.DUMMYFUNCTION("""COMPUTED_VALUE"""),127.0)</f>
        <v>127</v>
      </c>
      <c r="E1172">
        <f>IFERROR(__xludf.DUMMYFUNCTION("""COMPUTED_VALUE"""),2.08)</f>
        <v>2.08</v>
      </c>
      <c r="F1172">
        <f>IFERROR(__xludf.DUMMYFUNCTION("""COMPUTED_VALUE"""),26.97)</f>
        <v>26.97</v>
      </c>
      <c r="G1172">
        <f>IFERROR(__xludf.DUMMYFUNCTION("""COMPUTED_VALUE"""),0.0)</f>
        <v>0</v>
      </c>
    </row>
    <row r="1173">
      <c r="A1173">
        <f>IFERROR(__xludf.DUMMYFUNCTION("""COMPUTED_VALUE"""),171528.0)</f>
        <v>171528</v>
      </c>
      <c r="B1173" t="str">
        <f>IFERROR(__xludf.DUMMYFUNCTION("""COMPUTED_VALUE"""),"Turkey Retail Parts Breast Meat And Skin Raw")</f>
        <v>Turkey Retail Parts Breast Meat And Skin Raw</v>
      </c>
      <c r="C1173" t="str">
        <f>IFERROR(__xludf.DUMMYFUNCTION("""COMPUTED_VALUE"""),"Meats")</f>
        <v>Meats</v>
      </c>
      <c r="D1173">
        <f>IFERROR(__xludf.DUMMYFUNCTION("""COMPUTED_VALUE"""),155.0)</f>
        <v>155</v>
      </c>
      <c r="E1173">
        <f>IFERROR(__xludf.DUMMYFUNCTION("""COMPUTED_VALUE"""),7.45)</f>
        <v>7.45</v>
      </c>
      <c r="F1173">
        <f>IFERROR(__xludf.DUMMYFUNCTION("""COMPUTED_VALUE"""),21.88)</f>
        <v>21.88</v>
      </c>
      <c r="G1173">
        <f>IFERROR(__xludf.DUMMYFUNCTION("""COMPUTED_VALUE"""),0.0)</f>
        <v>0</v>
      </c>
    </row>
    <row r="1174">
      <c r="A1174">
        <f>IFERROR(__xludf.DUMMYFUNCTION("""COMPUTED_VALUE"""),171529.0)</f>
        <v>171529</v>
      </c>
      <c r="B1174" t="str">
        <f>IFERROR(__xludf.DUMMYFUNCTION("""COMPUTED_VALUE"""),"Turkey Retail Parts Breast Meat And Skin Cooked Roasted")</f>
        <v>Turkey Retail Parts Breast Meat And Skin Cooked Roasted</v>
      </c>
      <c r="C1174" t="str">
        <f>IFERROR(__xludf.DUMMYFUNCTION("""COMPUTED_VALUE"""),"Meats")</f>
        <v>Meats</v>
      </c>
      <c r="D1174">
        <f>IFERROR(__xludf.DUMMYFUNCTION("""COMPUTED_VALUE"""),164.0)</f>
        <v>164</v>
      </c>
      <c r="E1174">
        <f>IFERROR(__xludf.DUMMYFUNCTION("""COMPUTED_VALUE"""),5.33)</f>
        <v>5.33</v>
      </c>
      <c r="F1174">
        <f>IFERROR(__xludf.DUMMYFUNCTION("""COMPUTED_VALUE"""),29.01)</f>
        <v>29.01</v>
      </c>
      <c r="G1174">
        <f>IFERROR(__xludf.DUMMYFUNCTION("""COMPUTED_VALUE"""),0.05)</f>
        <v>0.05</v>
      </c>
    </row>
    <row r="1175">
      <c r="A1175">
        <f>IFERROR(__xludf.DUMMYFUNCTION("""COMPUTED_VALUE"""),171530.0)</f>
        <v>171530</v>
      </c>
      <c r="B1175" t="str">
        <f>IFERROR(__xludf.DUMMYFUNCTION("""COMPUTED_VALUE"""),"Roasted Turkey Drumstick")</f>
        <v>Roasted Turkey Drumstick</v>
      </c>
      <c r="C1175" t="str">
        <f>IFERROR(__xludf.DUMMYFUNCTION("""COMPUTED_VALUE"""),"Meats")</f>
        <v>Meats</v>
      </c>
      <c r="D1175">
        <f>IFERROR(__xludf.DUMMYFUNCTION("""COMPUTED_VALUE"""),139.0)</f>
        <v>139</v>
      </c>
      <c r="E1175">
        <f>IFERROR(__xludf.DUMMYFUNCTION("""COMPUTED_VALUE"""),2.08)</f>
        <v>2.08</v>
      </c>
      <c r="F1175">
        <f>IFERROR(__xludf.DUMMYFUNCTION("""COMPUTED_VALUE"""),30.13)</f>
        <v>30.13</v>
      </c>
      <c r="G1175">
        <f>IFERROR(__xludf.DUMMYFUNCTION("""COMPUTED_VALUE"""),0.0)</f>
        <v>0</v>
      </c>
    </row>
    <row r="1176">
      <c r="A1176">
        <f>IFERROR(__xludf.DUMMYFUNCTION("""COMPUTED_VALUE"""),171531.0)</f>
        <v>171531</v>
      </c>
      <c r="B1176" t="str">
        <f>IFERROR(__xludf.DUMMYFUNCTION("""COMPUTED_VALUE"""),"Turkey Thigh From Whole Bird Meat Only Raw")</f>
        <v>Turkey Thigh From Whole Bird Meat Only Raw</v>
      </c>
      <c r="C1176" t="str">
        <f>IFERROR(__xludf.DUMMYFUNCTION("""COMPUTED_VALUE"""),"Meats")</f>
        <v>Meats</v>
      </c>
      <c r="D1176">
        <f>IFERROR(__xludf.DUMMYFUNCTION("""COMPUTED_VALUE"""),108.0)</f>
        <v>108</v>
      </c>
      <c r="E1176">
        <f>IFERROR(__xludf.DUMMYFUNCTION("""COMPUTED_VALUE"""),2.5)</f>
        <v>2.5</v>
      </c>
      <c r="F1176">
        <f>IFERROR(__xludf.DUMMYFUNCTION("""COMPUTED_VALUE"""),21.28)</f>
        <v>21.28</v>
      </c>
      <c r="G1176">
        <f>IFERROR(__xludf.DUMMYFUNCTION("""COMPUTED_VALUE"""),0.15)</f>
        <v>0.15</v>
      </c>
    </row>
    <row r="1177">
      <c r="A1177">
        <f>IFERROR(__xludf.DUMMYFUNCTION("""COMPUTED_VALUE"""),171532.0)</f>
        <v>171532</v>
      </c>
      <c r="B1177" t="str">
        <f>IFERROR(__xludf.DUMMYFUNCTION("""COMPUTED_VALUE"""),"Roasted Turkey Thigh")</f>
        <v>Roasted Turkey Thigh</v>
      </c>
      <c r="C1177" t="str">
        <f>IFERROR(__xludf.DUMMYFUNCTION("""COMPUTED_VALUE"""),"Meats")</f>
        <v>Meats</v>
      </c>
      <c r="D1177">
        <f>IFERROR(__xludf.DUMMYFUNCTION("""COMPUTED_VALUE"""),165.0)</f>
        <v>165</v>
      </c>
      <c r="E1177">
        <f>IFERROR(__xludf.DUMMYFUNCTION("""COMPUTED_VALUE"""),6.04)</f>
        <v>6.04</v>
      </c>
      <c r="F1177">
        <f>IFERROR(__xludf.DUMMYFUNCTION("""COMPUTED_VALUE"""),27.71)</f>
        <v>27.71</v>
      </c>
      <c r="G1177">
        <f>IFERROR(__xludf.DUMMYFUNCTION("""COMPUTED_VALUE"""),0.0)</f>
        <v>0</v>
      </c>
    </row>
    <row r="1178">
      <c r="A1178">
        <f>IFERROR(__xludf.DUMMYFUNCTION("""COMPUTED_VALUE"""),171533.0)</f>
        <v>171533</v>
      </c>
      <c r="B1178" t="str">
        <f>IFERROR(__xludf.DUMMYFUNCTION("""COMPUTED_VALUE"""),"Turkey Retail Parts Thigh Meat And Skin Raw")</f>
        <v>Turkey Retail Parts Thigh Meat And Skin Raw</v>
      </c>
      <c r="C1178" t="str">
        <f>IFERROR(__xludf.DUMMYFUNCTION("""COMPUTED_VALUE"""),"Meats")</f>
        <v>Meats</v>
      </c>
      <c r="D1178">
        <f>IFERROR(__xludf.DUMMYFUNCTION("""COMPUTED_VALUE"""),161.0)</f>
        <v>161</v>
      </c>
      <c r="E1178">
        <f>IFERROR(__xludf.DUMMYFUNCTION("""COMPUTED_VALUE"""),9.16)</f>
        <v>9.16</v>
      </c>
      <c r="F1178">
        <f>IFERROR(__xludf.DUMMYFUNCTION("""COMPUTED_VALUE"""),19.54)</f>
        <v>19.54</v>
      </c>
      <c r="G1178">
        <f>IFERROR(__xludf.DUMMYFUNCTION("""COMPUTED_VALUE"""),0.0)</f>
        <v>0</v>
      </c>
    </row>
    <row r="1179">
      <c r="A1179">
        <f>IFERROR(__xludf.DUMMYFUNCTION("""COMPUTED_VALUE"""),171534.0)</f>
        <v>171534</v>
      </c>
      <c r="B1179" t="str">
        <f>IFERROR(__xludf.DUMMYFUNCTION("""COMPUTED_VALUE"""),"Chicken Broiler Or Fryers Breast Skinless Boneless Meat Only Cooked Grilled")</f>
        <v>Chicken Broiler Or Fryers Breast Skinless Boneless Meat Only Cooked Grilled</v>
      </c>
      <c r="C1179" t="str">
        <f>IFERROR(__xludf.DUMMYFUNCTION("""COMPUTED_VALUE"""),"Meats")</f>
        <v>Meats</v>
      </c>
      <c r="D1179">
        <f>IFERROR(__xludf.DUMMYFUNCTION("""COMPUTED_VALUE"""),151.0)</f>
        <v>151</v>
      </c>
      <c r="E1179">
        <f>IFERROR(__xludf.DUMMYFUNCTION("""COMPUTED_VALUE"""),3.17)</f>
        <v>3.17</v>
      </c>
      <c r="F1179">
        <f>IFERROR(__xludf.DUMMYFUNCTION("""COMPUTED_VALUE"""),30.54)</f>
        <v>30.54</v>
      </c>
      <c r="G1179">
        <f>IFERROR(__xludf.DUMMYFUNCTION("""COMPUTED_VALUE"""),0.0)</f>
        <v>0</v>
      </c>
    </row>
    <row r="1180">
      <c r="A1180">
        <f>IFERROR(__xludf.DUMMYFUNCTION("""COMPUTED_VALUE"""),171535.0)</f>
        <v>171535</v>
      </c>
      <c r="B1180" t="str">
        <f>IFERROR(__xludf.DUMMYFUNCTION("""COMPUTED_VALUE"""),"Chicken Broiler Or Fryers Breast Skinless Boneless Meat Only With Added Solution Cooked Braised")</f>
        <v>Chicken Broiler Or Fryers Breast Skinless Boneless Meat Only With Added Solution Cooked Braised</v>
      </c>
      <c r="C1180" t="str">
        <f>IFERROR(__xludf.DUMMYFUNCTION("""COMPUTED_VALUE"""),"Meats")</f>
        <v>Meats</v>
      </c>
      <c r="D1180">
        <f>IFERROR(__xludf.DUMMYFUNCTION("""COMPUTED_VALUE"""),145.0)</f>
        <v>145</v>
      </c>
      <c r="E1180">
        <f>IFERROR(__xludf.DUMMYFUNCTION("""COMPUTED_VALUE"""),3.61)</f>
        <v>3.61</v>
      </c>
      <c r="F1180">
        <f>IFERROR(__xludf.DUMMYFUNCTION("""COMPUTED_VALUE"""),28.24)</f>
        <v>28.24</v>
      </c>
      <c r="G1180">
        <f>IFERROR(__xludf.DUMMYFUNCTION("""COMPUTED_VALUE"""),0.0)</f>
        <v>0</v>
      </c>
    </row>
    <row r="1181">
      <c r="A1181">
        <f>IFERROR(__xludf.DUMMYFUNCTION("""COMPUTED_VALUE"""),171536.0)</f>
        <v>171536</v>
      </c>
      <c r="B1181" t="str">
        <f>IFERROR(__xludf.DUMMYFUNCTION("""COMPUTED_VALUE"""),"Chicken Broiler Or Fryers Breast Skinless Boneless Meat Only With Added Solution Cooked Grilled")</f>
        <v>Chicken Broiler Or Fryers Breast Skinless Boneless Meat Only With Added Solution Cooked Grilled</v>
      </c>
      <c r="C1181" t="str">
        <f>IFERROR(__xludf.DUMMYFUNCTION("""COMPUTED_VALUE"""),"Meats")</f>
        <v>Meats</v>
      </c>
      <c r="D1181">
        <f>IFERROR(__xludf.DUMMYFUNCTION("""COMPUTED_VALUE"""),148.0)</f>
        <v>148</v>
      </c>
      <c r="E1181">
        <f>IFERROR(__xludf.DUMMYFUNCTION("""COMPUTED_VALUE"""),3.39)</f>
        <v>3.39</v>
      </c>
      <c r="F1181">
        <f>IFERROR(__xludf.DUMMYFUNCTION("""COMPUTED_VALUE"""),29.5)</f>
        <v>29.5</v>
      </c>
      <c r="G1181">
        <f>IFERROR(__xludf.DUMMYFUNCTION("""COMPUTED_VALUE"""),0.0)</f>
        <v>0</v>
      </c>
    </row>
    <row r="1182">
      <c r="A1182">
        <f>IFERROR(__xludf.DUMMYFUNCTION("""COMPUTED_VALUE"""),171601.0)</f>
        <v>171601</v>
      </c>
      <c r="B1182" t="str">
        <f>IFERROR(__xludf.DUMMYFUNCTION("""COMPUTED_VALUE"""),"Barbecue Loaf Pork Beef")</f>
        <v>Barbecue Loaf Pork Beef</v>
      </c>
      <c r="C1182" t="str">
        <f>IFERROR(__xludf.DUMMYFUNCTION("""COMPUTED_VALUE"""),"Meats")</f>
        <v>Meats</v>
      </c>
      <c r="D1182">
        <f>IFERROR(__xludf.DUMMYFUNCTION("""COMPUTED_VALUE"""),173.0)</f>
        <v>173</v>
      </c>
      <c r="E1182">
        <f>IFERROR(__xludf.DUMMYFUNCTION("""COMPUTED_VALUE"""),8.9)</f>
        <v>8.9</v>
      </c>
      <c r="F1182">
        <f>IFERROR(__xludf.DUMMYFUNCTION("""COMPUTED_VALUE"""),15.84)</f>
        <v>15.84</v>
      </c>
      <c r="G1182">
        <f>IFERROR(__xludf.DUMMYFUNCTION("""COMPUTED_VALUE"""),6.4)</f>
        <v>6.4</v>
      </c>
    </row>
    <row r="1183">
      <c r="A1183">
        <f>IFERROR(__xludf.DUMMYFUNCTION("""COMPUTED_VALUE"""),171616.0)</f>
        <v>171616</v>
      </c>
      <c r="B1183" t="str">
        <f>IFERROR(__xludf.DUMMYFUNCTION("""COMPUTED_VALUE"""),"Pork Beerwurst")</f>
        <v>Pork Beerwurst</v>
      </c>
      <c r="C1183" t="str">
        <f>IFERROR(__xludf.DUMMYFUNCTION("""COMPUTED_VALUE"""),"Meats")</f>
        <v>Meats</v>
      </c>
      <c r="D1183">
        <f>IFERROR(__xludf.DUMMYFUNCTION("""COMPUTED_VALUE"""),238.0)</f>
        <v>238</v>
      </c>
      <c r="E1183">
        <f>IFERROR(__xludf.DUMMYFUNCTION("""COMPUTED_VALUE"""),18.8)</f>
        <v>18.8</v>
      </c>
      <c r="F1183">
        <f>IFERROR(__xludf.DUMMYFUNCTION("""COMPUTED_VALUE"""),14.24)</f>
        <v>14.24</v>
      </c>
      <c r="G1183">
        <f>IFERROR(__xludf.DUMMYFUNCTION("""COMPUTED_VALUE"""),2.06)</f>
        <v>2.06</v>
      </c>
    </row>
    <row r="1184">
      <c r="A1184">
        <f>IFERROR(__xludf.DUMMYFUNCTION("""COMPUTED_VALUE"""),171617.0)</f>
        <v>171617</v>
      </c>
      <c r="B1184" t="str">
        <f>IFERROR(__xludf.DUMMYFUNCTION("""COMPUTED_VALUE"""),"Berliner Sausage")</f>
        <v>Berliner Sausage</v>
      </c>
      <c r="C1184" t="str">
        <f>IFERROR(__xludf.DUMMYFUNCTION("""COMPUTED_VALUE"""),"Meats")</f>
        <v>Meats</v>
      </c>
      <c r="D1184">
        <f>IFERROR(__xludf.DUMMYFUNCTION("""COMPUTED_VALUE"""),230.0)</f>
        <v>230</v>
      </c>
      <c r="E1184">
        <f>IFERROR(__xludf.DUMMYFUNCTION("""COMPUTED_VALUE"""),17.2)</f>
        <v>17.2</v>
      </c>
      <c r="F1184">
        <f>IFERROR(__xludf.DUMMYFUNCTION("""COMPUTED_VALUE"""),15.27)</f>
        <v>15.27</v>
      </c>
      <c r="G1184">
        <f>IFERROR(__xludf.DUMMYFUNCTION("""COMPUTED_VALUE"""),2.59)</f>
        <v>2.59</v>
      </c>
    </row>
    <row r="1185">
      <c r="A1185">
        <f>IFERROR(__xludf.DUMMYFUNCTION("""COMPUTED_VALUE"""),171618.0)</f>
        <v>171618</v>
      </c>
      <c r="B1185" t="str">
        <f>IFERROR(__xludf.DUMMYFUNCTION("""COMPUTED_VALUE"""),"Blood Sausage")</f>
        <v>Blood Sausage</v>
      </c>
      <c r="C1185" t="str">
        <f>IFERROR(__xludf.DUMMYFUNCTION("""COMPUTED_VALUE"""),"Meats")</f>
        <v>Meats</v>
      </c>
      <c r="D1185">
        <f>IFERROR(__xludf.DUMMYFUNCTION("""COMPUTED_VALUE"""),379.0)</f>
        <v>379</v>
      </c>
      <c r="E1185">
        <f>IFERROR(__xludf.DUMMYFUNCTION("""COMPUTED_VALUE"""),34.5)</f>
        <v>34.5</v>
      </c>
      <c r="F1185">
        <f>IFERROR(__xludf.DUMMYFUNCTION("""COMPUTED_VALUE"""),14.6)</f>
        <v>14.6</v>
      </c>
      <c r="G1185">
        <f>IFERROR(__xludf.DUMMYFUNCTION("""COMPUTED_VALUE"""),1.29)</f>
        <v>1.29</v>
      </c>
    </row>
    <row r="1186">
      <c r="A1186">
        <f>IFERROR(__xludf.DUMMYFUNCTION("""COMPUTED_VALUE"""),171619.0)</f>
        <v>171619</v>
      </c>
      <c r="B1186" t="str">
        <f>IFERROR(__xludf.DUMMYFUNCTION("""COMPUTED_VALUE"""),"Bockwurst Pork Veal Raw")</f>
        <v>Bockwurst Pork Veal Raw</v>
      </c>
      <c r="C1186" t="str">
        <f>IFERROR(__xludf.DUMMYFUNCTION("""COMPUTED_VALUE"""),"Meats")</f>
        <v>Meats</v>
      </c>
      <c r="D1186">
        <f>IFERROR(__xludf.DUMMYFUNCTION("""COMPUTED_VALUE"""),301.0)</f>
        <v>301</v>
      </c>
      <c r="E1186">
        <f>IFERROR(__xludf.DUMMYFUNCTION("""COMPUTED_VALUE"""),25.87)</f>
        <v>25.87</v>
      </c>
      <c r="F1186">
        <f>IFERROR(__xludf.DUMMYFUNCTION("""COMPUTED_VALUE"""),14.03)</f>
        <v>14.03</v>
      </c>
      <c r="G1186">
        <f>IFERROR(__xludf.DUMMYFUNCTION("""COMPUTED_VALUE"""),2.95)</f>
        <v>2.95</v>
      </c>
    </row>
    <row r="1187">
      <c r="A1187">
        <f>IFERROR(__xludf.DUMMYFUNCTION("""COMPUTED_VALUE"""),171620.0)</f>
        <v>171620</v>
      </c>
      <c r="B1187" t="str">
        <f>IFERROR(__xludf.DUMMYFUNCTION("""COMPUTED_VALUE"""),"Pork Bratwurst")</f>
        <v>Pork Bratwurst</v>
      </c>
      <c r="C1187" t="str">
        <f>IFERROR(__xludf.DUMMYFUNCTION("""COMPUTED_VALUE"""),"Meats")</f>
        <v>Meats</v>
      </c>
      <c r="D1187">
        <f>IFERROR(__xludf.DUMMYFUNCTION("""COMPUTED_VALUE"""),333.0)</f>
        <v>333</v>
      </c>
      <c r="E1187">
        <f>IFERROR(__xludf.DUMMYFUNCTION("""COMPUTED_VALUE"""),29.18)</f>
        <v>29.18</v>
      </c>
      <c r="F1187">
        <f>IFERROR(__xludf.DUMMYFUNCTION("""COMPUTED_VALUE"""),13.72)</f>
        <v>13.72</v>
      </c>
      <c r="G1187">
        <f>IFERROR(__xludf.DUMMYFUNCTION("""COMPUTED_VALUE"""),2.85)</f>
        <v>2.85</v>
      </c>
    </row>
    <row r="1188">
      <c r="A1188">
        <f>IFERROR(__xludf.DUMMYFUNCTION("""COMPUTED_VALUE"""),171621.0)</f>
        <v>171621</v>
      </c>
      <c r="B1188" t="str">
        <f>IFERROR(__xludf.DUMMYFUNCTION("""COMPUTED_VALUE"""),"Braunschweiger Pork Liver Sausage")</f>
        <v>Braunschweiger Pork Liver Sausage</v>
      </c>
      <c r="C1188" t="str">
        <f>IFERROR(__xludf.DUMMYFUNCTION("""COMPUTED_VALUE"""),"Meats")</f>
        <v>Meats</v>
      </c>
      <c r="D1188">
        <f>IFERROR(__xludf.DUMMYFUNCTION("""COMPUTED_VALUE"""),327.0)</f>
        <v>327</v>
      </c>
      <c r="E1188">
        <f>IFERROR(__xludf.DUMMYFUNCTION("""COMPUTED_VALUE"""),28.5)</f>
        <v>28.5</v>
      </c>
      <c r="F1188">
        <f>IFERROR(__xludf.DUMMYFUNCTION("""COMPUTED_VALUE"""),14.5)</f>
        <v>14.5</v>
      </c>
      <c r="G1188">
        <f>IFERROR(__xludf.DUMMYFUNCTION("""COMPUTED_VALUE"""),3.1)</f>
        <v>3.1</v>
      </c>
    </row>
    <row r="1189">
      <c r="A1189">
        <f>IFERROR(__xludf.DUMMYFUNCTION("""COMPUTED_VALUE"""),171622.0)</f>
        <v>171622</v>
      </c>
      <c r="B1189" t="str">
        <f>IFERROR(__xludf.DUMMYFUNCTION("""COMPUTED_VALUE"""),"Brotwurst Pork Beef Link")</f>
        <v>Brotwurst Pork Beef Link</v>
      </c>
      <c r="C1189" t="str">
        <f>IFERROR(__xludf.DUMMYFUNCTION("""COMPUTED_VALUE"""),"Meats")</f>
        <v>Meats</v>
      </c>
      <c r="D1189">
        <f>IFERROR(__xludf.DUMMYFUNCTION("""COMPUTED_VALUE"""),323.0)</f>
        <v>323</v>
      </c>
      <c r="E1189">
        <f>IFERROR(__xludf.DUMMYFUNCTION("""COMPUTED_VALUE"""),27.8)</f>
        <v>27.8</v>
      </c>
      <c r="F1189">
        <f>IFERROR(__xludf.DUMMYFUNCTION("""COMPUTED_VALUE"""),14.3)</f>
        <v>14.3</v>
      </c>
      <c r="G1189">
        <f>IFERROR(__xludf.DUMMYFUNCTION("""COMPUTED_VALUE"""),2.98)</f>
        <v>2.98</v>
      </c>
    </row>
    <row r="1190">
      <c r="A1190">
        <f>IFERROR(__xludf.DUMMYFUNCTION("""COMPUTED_VALUE"""),171623.0)</f>
        <v>171623</v>
      </c>
      <c r="B1190" t="str">
        <f>IFERROR(__xludf.DUMMYFUNCTION("""COMPUTED_VALUE"""),"Cheesefurter Cheese Smokie Pork Beef")</f>
        <v>Cheesefurter Cheese Smokie Pork Beef</v>
      </c>
      <c r="C1190" t="str">
        <f>IFERROR(__xludf.DUMMYFUNCTION("""COMPUTED_VALUE"""),"Meats")</f>
        <v>Meats</v>
      </c>
      <c r="D1190">
        <f>IFERROR(__xludf.DUMMYFUNCTION("""COMPUTED_VALUE"""),328.0)</f>
        <v>328</v>
      </c>
      <c r="E1190">
        <f>IFERROR(__xludf.DUMMYFUNCTION("""COMPUTED_VALUE"""),29.0)</f>
        <v>29</v>
      </c>
      <c r="F1190">
        <f>IFERROR(__xludf.DUMMYFUNCTION("""COMPUTED_VALUE"""),14.1)</f>
        <v>14.1</v>
      </c>
      <c r="G1190">
        <f>IFERROR(__xludf.DUMMYFUNCTION("""COMPUTED_VALUE"""),1.51)</f>
        <v>1.51</v>
      </c>
    </row>
    <row r="1191">
      <c r="A1191">
        <f>IFERROR(__xludf.DUMMYFUNCTION("""COMPUTED_VALUE"""),171624.0)</f>
        <v>171624</v>
      </c>
      <c r="B1191" t="str">
        <f>IFERROR(__xludf.DUMMYFUNCTION("""COMPUTED_VALUE"""),"Chicken Hotdog")</f>
        <v>Chicken Hotdog</v>
      </c>
      <c r="C1191" t="str">
        <f>IFERROR(__xludf.DUMMYFUNCTION("""COMPUTED_VALUE"""),"Meats")</f>
        <v>Meats</v>
      </c>
      <c r="D1191">
        <f>IFERROR(__xludf.DUMMYFUNCTION("""COMPUTED_VALUE"""),223.0)</f>
        <v>223</v>
      </c>
      <c r="E1191">
        <f>IFERROR(__xludf.DUMMYFUNCTION("""COMPUTED_VALUE"""),16.19)</f>
        <v>16.19</v>
      </c>
      <c r="F1191">
        <f>IFERROR(__xludf.DUMMYFUNCTION("""COMPUTED_VALUE"""),15.51)</f>
        <v>15.51</v>
      </c>
      <c r="G1191">
        <f>IFERROR(__xludf.DUMMYFUNCTION("""COMPUTED_VALUE"""),2.74)</f>
        <v>2.74</v>
      </c>
    </row>
    <row r="1192">
      <c r="A1192">
        <f>IFERROR(__xludf.DUMMYFUNCTION("""COMPUTED_VALUE"""),171625.0)</f>
        <v>171625</v>
      </c>
      <c r="B1192" t="str">
        <f>IFERROR(__xludf.DUMMYFUNCTION("""COMPUTED_VALUE"""),"Turkey Hotdog")</f>
        <v>Turkey Hotdog</v>
      </c>
      <c r="C1192" t="str">
        <f>IFERROR(__xludf.DUMMYFUNCTION("""COMPUTED_VALUE"""),"Meats")</f>
        <v>Meats</v>
      </c>
      <c r="D1192">
        <f>IFERROR(__xludf.DUMMYFUNCTION("""COMPUTED_VALUE"""),223.0)</f>
        <v>223</v>
      </c>
      <c r="E1192">
        <f>IFERROR(__xludf.DUMMYFUNCTION("""COMPUTED_VALUE"""),17.29)</f>
        <v>17.29</v>
      </c>
      <c r="F1192">
        <f>IFERROR(__xludf.DUMMYFUNCTION("""COMPUTED_VALUE"""),12.23)</f>
        <v>12.23</v>
      </c>
      <c r="G1192">
        <f>IFERROR(__xludf.DUMMYFUNCTION("""COMPUTED_VALUE"""),3.81)</f>
        <v>3.81</v>
      </c>
    </row>
    <row r="1193">
      <c r="A1193">
        <f>IFERROR(__xludf.DUMMYFUNCTION("""COMPUTED_VALUE"""),171626.0)</f>
        <v>171626</v>
      </c>
      <c r="B1193" t="str">
        <f>IFERROR(__xludf.DUMMYFUNCTION("""COMPUTED_VALUE"""),"Canned Ham")</f>
        <v>Canned Ham</v>
      </c>
      <c r="C1193" t="str">
        <f>IFERROR(__xludf.DUMMYFUNCTION("""COMPUTED_VALUE"""),"Meats")</f>
        <v>Meats</v>
      </c>
      <c r="D1193">
        <f>IFERROR(__xludf.DUMMYFUNCTION("""COMPUTED_VALUE"""),239.0)</f>
        <v>239</v>
      </c>
      <c r="E1193">
        <f>IFERROR(__xludf.DUMMYFUNCTION("""COMPUTED_VALUE"""),18.83)</f>
        <v>18.83</v>
      </c>
      <c r="F1193">
        <f>IFERROR(__xludf.DUMMYFUNCTION("""COMPUTED_VALUE"""),16.06)</f>
        <v>16.06</v>
      </c>
      <c r="G1193">
        <f>IFERROR(__xludf.DUMMYFUNCTION("""COMPUTED_VALUE"""),0.26)</f>
        <v>0.26</v>
      </c>
    </row>
    <row r="1194">
      <c r="A1194">
        <f>IFERROR(__xludf.DUMMYFUNCTION("""COMPUTED_VALUE"""),171627.0)</f>
        <v>171627</v>
      </c>
      <c r="B1194" t="str">
        <f>IFERROR(__xludf.DUMMYFUNCTION("""COMPUTED_VALUE"""),"Ham Chopped Not Canned")</f>
        <v>Ham Chopped Not Canned</v>
      </c>
      <c r="C1194" t="str">
        <f>IFERROR(__xludf.DUMMYFUNCTION("""COMPUTED_VALUE"""),"Meats")</f>
        <v>Meats</v>
      </c>
      <c r="D1194">
        <f>IFERROR(__xludf.DUMMYFUNCTION("""COMPUTED_VALUE"""),221.0)</f>
        <v>221</v>
      </c>
      <c r="E1194">
        <f>IFERROR(__xludf.DUMMYFUNCTION("""COMPUTED_VALUE"""),16.7)</f>
        <v>16.7</v>
      </c>
      <c r="F1194">
        <f>IFERROR(__xludf.DUMMYFUNCTION("""COMPUTED_VALUE"""),16.5)</f>
        <v>16.5</v>
      </c>
      <c r="G1194">
        <f>IFERROR(__xludf.DUMMYFUNCTION("""COMPUTED_VALUE"""),0.0)</f>
        <v>0</v>
      </c>
    </row>
    <row r="1195">
      <c r="A1195">
        <f>IFERROR(__xludf.DUMMYFUNCTION("""COMPUTED_VALUE"""),171628.0)</f>
        <v>171628</v>
      </c>
      <c r="B1195" t="str">
        <f>IFERROR(__xludf.DUMMYFUNCTION("""COMPUTED_VALUE"""),"Ham And Cheese Loaf Or Roll")</f>
        <v>Ham And Cheese Loaf Or Roll</v>
      </c>
      <c r="C1195" t="str">
        <f>IFERROR(__xludf.DUMMYFUNCTION("""COMPUTED_VALUE"""),"Meats")</f>
        <v>Meats</v>
      </c>
      <c r="D1195">
        <f>IFERROR(__xludf.DUMMYFUNCTION("""COMPUTED_VALUE"""),241.0)</f>
        <v>241</v>
      </c>
      <c r="E1195">
        <f>IFERROR(__xludf.DUMMYFUNCTION("""COMPUTED_VALUE"""),18.7)</f>
        <v>18.7</v>
      </c>
      <c r="F1195">
        <f>IFERROR(__xludf.DUMMYFUNCTION("""COMPUTED_VALUE"""),13.6)</f>
        <v>13.6</v>
      </c>
      <c r="G1195">
        <f>IFERROR(__xludf.DUMMYFUNCTION("""COMPUTED_VALUE"""),4.0)</f>
        <v>4</v>
      </c>
    </row>
    <row r="1196">
      <c r="A1196">
        <f>IFERROR(__xludf.DUMMYFUNCTION("""COMPUTED_VALUE"""),171629.0)</f>
        <v>171629</v>
      </c>
      <c r="B1196" t="str">
        <f>IFERROR(__xludf.DUMMYFUNCTION("""COMPUTED_VALUE"""),"Ham And Cheese Spread")</f>
        <v>Ham And Cheese Spread</v>
      </c>
      <c r="C1196" t="str">
        <f>IFERROR(__xludf.DUMMYFUNCTION("""COMPUTED_VALUE"""),"Meats")</f>
        <v>Meats</v>
      </c>
      <c r="D1196">
        <f>IFERROR(__xludf.DUMMYFUNCTION("""COMPUTED_VALUE"""),245.0)</f>
        <v>245</v>
      </c>
      <c r="E1196">
        <f>IFERROR(__xludf.DUMMYFUNCTION("""COMPUTED_VALUE"""),18.53)</f>
        <v>18.53</v>
      </c>
      <c r="F1196">
        <f>IFERROR(__xludf.DUMMYFUNCTION("""COMPUTED_VALUE"""),16.18)</f>
        <v>16.18</v>
      </c>
      <c r="G1196">
        <f>IFERROR(__xludf.DUMMYFUNCTION("""COMPUTED_VALUE"""),2.28)</f>
        <v>2.28</v>
      </c>
    </row>
    <row r="1197">
      <c r="A1197">
        <f>IFERROR(__xludf.DUMMYFUNCTION("""COMPUTED_VALUE"""),171630.0)</f>
        <v>171630</v>
      </c>
      <c r="B1197" t="str">
        <f>IFERROR(__xludf.DUMMYFUNCTION("""COMPUTED_VALUE"""),"Headcheese Pork")</f>
        <v>Headcheese Pork</v>
      </c>
      <c r="C1197" t="str">
        <f>IFERROR(__xludf.DUMMYFUNCTION("""COMPUTED_VALUE"""),"Meats")</f>
        <v>Meats</v>
      </c>
      <c r="D1197">
        <f>IFERROR(__xludf.DUMMYFUNCTION("""COMPUTED_VALUE"""),157.0)</f>
        <v>157</v>
      </c>
      <c r="E1197">
        <f>IFERROR(__xludf.DUMMYFUNCTION("""COMPUTED_VALUE"""),10.9)</f>
        <v>10.9</v>
      </c>
      <c r="F1197">
        <f>IFERROR(__xludf.DUMMYFUNCTION("""COMPUTED_VALUE"""),13.83)</f>
        <v>13.83</v>
      </c>
      <c r="G1197">
        <f>IFERROR(__xludf.DUMMYFUNCTION("""COMPUTED_VALUE"""),0.0)</f>
        <v>0</v>
      </c>
    </row>
    <row r="1198">
      <c r="A1198">
        <f>IFERROR(__xludf.DUMMYFUNCTION("""COMPUTED_VALUE"""),171631.0)</f>
        <v>171631</v>
      </c>
      <c r="B1198" t="str">
        <f>IFERROR(__xludf.DUMMYFUNCTION("""COMPUTED_VALUE"""),"Sausage Italian Pork Raw")</f>
        <v>Sausage Italian Pork Raw</v>
      </c>
      <c r="C1198" t="str">
        <f>IFERROR(__xludf.DUMMYFUNCTION("""COMPUTED_VALUE"""),"Meats")</f>
        <v>Meats</v>
      </c>
      <c r="D1198">
        <f>IFERROR(__xludf.DUMMYFUNCTION("""COMPUTED_VALUE"""),290.0)</f>
        <v>290</v>
      </c>
      <c r="E1198">
        <f>IFERROR(__xludf.DUMMYFUNCTION("""COMPUTED_VALUE"""),24.26)</f>
        <v>24.26</v>
      </c>
      <c r="F1198">
        <f>IFERROR(__xludf.DUMMYFUNCTION("""COMPUTED_VALUE"""),13.9)</f>
        <v>13.9</v>
      </c>
      <c r="G1198">
        <f>IFERROR(__xludf.DUMMYFUNCTION("""COMPUTED_VALUE"""),2.97)</f>
        <v>2.97</v>
      </c>
    </row>
    <row r="1199">
      <c r="A1199">
        <f>IFERROR(__xludf.DUMMYFUNCTION("""COMPUTED_VALUE"""),171632.0)</f>
        <v>171632</v>
      </c>
      <c r="B1199" t="str">
        <f>IFERROR(__xludf.DUMMYFUNCTION("""COMPUTED_VALUE"""),"Pork And Turkey Sausage Pre-Cooked")</f>
        <v>Pork And Turkey Sausage Pre-Cooked</v>
      </c>
      <c r="C1199" t="str">
        <f>IFERROR(__xludf.DUMMYFUNCTION("""COMPUTED_VALUE"""),"Meats")</f>
        <v>Meats</v>
      </c>
      <c r="D1199">
        <f>IFERROR(__xludf.DUMMYFUNCTION("""COMPUTED_VALUE"""),342.0)</f>
        <v>342</v>
      </c>
      <c r="E1199">
        <f>IFERROR(__xludf.DUMMYFUNCTION("""COMPUTED_VALUE"""),30.64)</f>
        <v>30.64</v>
      </c>
      <c r="F1199">
        <f>IFERROR(__xludf.DUMMYFUNCTION("""COMPUTED_VALUE"""),12.05)</f>
        <v>12.05</v>
      </c>
      <c r="G1199">
        <f>IFERROR(__xludf.DUMMYFUNCTION("""COMPUTED_VALUE"""),3.63)</f>
        <v>3.63</v>
      </c>
    </row>
    <row r="1200">
      <c r="A1200">
        <f>IFERROR(__xludf.DUMMYFUNCTION("""COMPUTED_VALUE"""),171633.0)</f>
        <v>171633</v>
      </c>
      <c r="B1200" t="str">
        <f>IFERROR(__xludf.DUMMYFUNCTION("""COMPUTED_VALUE"""),"Frankfurter Meat And Poultry Cooked Boiled")</f>
        <v>Frankfurter Meat And Poultry Cooked Boiled</v>
      </c>
      <c r="C1200" t="str">
        <f>IFERROR(__xludf.DUMMYFUNCTION("""COMPUTED_VALUE"""),"Meats")</f>
        <v>Meats</v>
      </c>
      <c r="D1200">
        <f>IFERROR(__xludf.DUMMYFUNCTION("""COMPUTED_VALUE"""),298.0)</f>
        <v>298</v>
      </c>
      <c r="E1200">
        <f>IFERROR(__xludf.DUMMYFUNCTION("""COMPUTED_VALUE"""),26.28)</f>
        <v>26.28</v>
      </c>
      <c r="F1200">
        <f>IFERROR(__xludf.DUMMYFUNCTION("""COMPUTED_VALUE"""),10.31)</f>
        <v>10.31</v>
      </c>
      <c r="G1200">
        <f>IFERROR(__xludf.DUMMYFUNCTION("""COMPUTED_VALUE"""),4.96)</f>
        <v>4.96</v>
      </c>
    </row>
    <row r="1201">
      <c r="A1201">
        <f>IFERROR(__xludf.DUMMYFUNCTION("""COMPUTED_VALUE"""),171634.0)</f>
        <v>171634</v>
      </c>
      <c r="B1201" t="str">
        <f>IFERROR(__xludf.DUMMYFUNCTION("""COMPUTED_VALUE"""),"Frankfurter Meat And Poultry Cooked Grilled")</f>
        <v>Frankfurter Meat And Poultry Cooked Grilled</v>
      </c>
      <c r="C1201" t="str">
        <f>IFERROR(__xludf.DUMMYFUNCTION("""COMPUTED_VALUE"""),"Meats")</f>
        <v>Meats</v>
      </c>
      <c r="D1201">
        <f>IFERROR(__xludf.DUMMYFUNCTION("""COMPUTED_VALUE"""),302.0)</f>
        <v>302</v>
      </c>
      <c r="E1201">
        <f>IFERROR(__xludf.DUMMYFUNCTION("""COMPUTED_VALUE"""),26.43)</f>
        <v>26.43</v>
      </c>
      <c r="F1201">
        <f>IFERROR(__xludf.DUMMYFUNCTION("""COMPUTED_VALUE"""),10.67)</f>
        <v>10.67</v>
      </c>
      <c r="G1201">
        <f>IFERROR(__xludf.DUMMYFUNCTION("""COMPUTED_VALUE"""),5.24)</f>
        <v>5.24</v>
      </c>
    </row>
    <row r="1202">
      <c r="A1202">
        <f>IFERROR(__xludf.DUMMYFUNCTION("""COMPUTED_VALUE"""),171635.0)</f>
        <v>171635</v>
      </c>
      <c r="B1202" t="str">
        <f>IFERROR(__xludf.DUMMYFUNCTION("""COMPUTED_VALUE"""),"Pork Sausage Link/patty Reduced Fat Unprepared")</f>
        <v>Pork Sausage Link/patty Reduced Fat Unprepared</v>
      </c>
      <c r="C1202" t="str">
        <f>IFERROR(__xludf.DUMMYFUNCTION("""COMPUTED_VALUE"""),"Meats")</f>
        <v>Meats</v>
      </c>
      <c r="D1202">
        <f>IFERROR(__xludf.DUMMYFUNCTION("""COMPUTED_VALUE"""),217.0)</f>
        <v>217</v>
      </c>
      <c r="E1202">
        <f>IFERROR(__xludf.DUMMYFUNCTION("""COMPUTED_VALUE"""),16.55)</f>
        <v>16.55</v>
      </c>
      <c r="F1202">
        <f>IFERROR(__xludf.DUMMYFUNCTION("""COMPUTED_VALUE"""),16.75)</f>
        <v>16.75</v>
      </c>
      <c r="G1202">
        <f>IFERROR(__xludf.DUMMYFUNCTION("""COMPUTED_VALUE"""),0.2)</f>
        <v>0.2</v>
      </c>
    </row>
    <row r="1203">
      <c r="A1203">
        <f>IFERROR(__xludf.DUMMYFUNCTION("""COMPUTED_VALUE"""),171636.0)</f>
        <v>171636</v>
      </c>
      <c r="B1203" t="str">
        <f>IFERROR(__xludf.DUMMYFUNCTION("""COMPUTED_VALUE"""),"Pork Sausage Link/patty Reduced Fat Cooked Pan-Fried")</f>
        <v>Pork Sausage Link/patty Reduced Fat Cooked Pan-Fried</v>
      </c>
      <c r="C1203" t="str">
        <f>IFERROR(__xludf.DUMMYFUNCTION("""COMPUTED_VALUE"""),"Meats")</f>
        <v>Meats</v>
      </c>
      <c r="D1203">
        <f>IFERROR(__xludf.DUMMYFUNCTION("""COMPUTED_VALUE"""),267.0)</f>
        <v>267</v>
      </c>
      <c r="E1203">
        <f>IFERROR(__xludf.DUMMYFUNCTION("""COMPUTED_VALUE"""),20.32)</f>
        <v>20.32</v>
      </c>
      <c r="F1203">
        <f>IFERROR(__xludf.DUMMYFUNCTION("""COMPUTED_VALUE"""),20.94)</f>
        <v>20.94</v>
      </c>
      <c r="G1203">
        <f>IFERROR(__xludf.DUMMYFUNCTION("""COMPUTED_VALUE"""),0.15)</f>
        <v>0.15</v>
      </c>
    </row>
    <row r="1204">
      <c r="A1204">
        <f>IFERROR(__xludf.DUMMYFUNCTION("""COMPUTED_VALUE"""),171637.0)</f>
        <v>171637</v>
      </c>
      <c r="B1204" t="str">
        <f>IFERROR(__xludf.DUMMYFUNCTION("""COMPUTED_VALUE"""),"Bologna Meat And Poultry")</f>
        <v>Bologna Meat And Poultry</v>
      </c>
      <c r="C1204" t="str">
        <f>IFERROR(__xludf.DUMMYFUNCTION("""COMPUTED_VALUE"""),"Meats")</f>
        <v>Meats</v>
      </c>
      <c r="D1204">
        <f>IFERROR(__xludf.DUMMYFUNCTION("""COMPUTED_VALUE"""),281.0)</f>
        <v>281</v>
      </c>
      <c r="E1204">
        <f>IFERROR(__xludf.DUMMYFUNCTION("""COMPUTED_VALUE"""),23.77)</f>
        <v>23.77</v>
      </c>
      <c r="F1204">
        <f>IFERROR(__xludf.DUMMYFUNCTION("""COMPUTED_VALUE"""),10.34)</f>
        <v>10.34</v>
      </c>
      <c r="G1204">
        <f>IFERROR(__xludf.DUMMYFUNCTION("""COMPUTED_VALUE"""),6.31)</f>
        <v>6.31</v>
      </c>
    </row>
    <row r="1205">
      <c r="A1205">
        <f>IFERROR(__xludf.DUMMYFUNCTION("""COMPUTED_VALUE"""),171638.0)</f>
        <v>171638</v>
      </c>
      <c r="B1205" t="str">
        <f>IFERROR(__xludf.DUMMYFUNCTION("""COMPUTED_VALUE"""),"Meatballs Frozen Italian Style")</f>
        <v>Meatballs Frozen Italian Style</v>
      </c>
      <c r="C1205" t="str">
        <f>IFERROR(__xludf.DUMMYFUNCTION("""COMPUTED_VALUE"""),"Meats")</f>
        <v>Meats</v>
      </c>
      <c r="D1205">
        <f>IFERROR(__xludf.DUMMYFUNCTION("""COMPUTED_VALUE"""),286.0)</f>
        <v>286</v>
      </c>
      <c r="E1205">
        <f>IFERROR(__xludf.DUMMYFUNCTION("""COMPUTED_VALUE"""),22.21)</f>
        <v>22.21</v>
      </c>
      <c r="F1205">
        <f>IFERROR(__xludf.DUMMYFUNCTION("""COMPUTED_VALUE"""),14.4)</f>
        <v>14.4</v>
      </c>
      <c r="G1205">
        <f>IFERROR(__xludf.DUMMYFUNCTION("""COMPUTED_VALUE"""),8.06)</f>
        <v>8.06</v>
      </c>
    </row>
    <row r="1206">
      <c r="A1206">
        <f>IFERROR(__xludf.DUMMYFUNCTION("""COMPUTED_VALUE"""),171639.0)</f>
        <v>171639</v>
      </c>
      <c r="B1206" t="str">
        <f>IFERROR(__xludf.DUMMYFUNCTION("""COMPUTED_VALUE"""),"Turkey Bacon Microwaved")</f>
        <v>Turkey Bacon Microwaved</v>
      </c>
      <c r="C1206" t="str">
        <f>IFERROR(__xludf.DUMMYFUNCTION("""COMPUTED_VALUE"""),"Meats")</f>
        <v>Meats</v>
      </c>
      <c r="D1206">
        <f>IFERROR(__xludf.DUMMYFUNCTION("""COMPUTED_VALUE"""),368.0)</f>
        <v>368</v>
      </c>
      <c r="E1206">
        <f>IFERROR(__xludf.DUMMYFUNCTION("""COMPUTED_VALUE"""),25.87)</f>
        <v>25.87</v>
      </c>
      <c r="F1206">
        <f>IFERROR(__xludf.DUMMYFUNCTION("""COMPUTED_VALUE"""),29.5)</f>
        <v>29.5</v>
      </c>
      <c r="G1206">
        <f>IFERROR(__xludf.DUMMYFUNCTION("""COMPUTED_VALUE"""),4.24)</f>
        <v>4.24</v>
      </c>
    </row>
    <row r="1207">
      <c r="A1207">
        <f>IFERROR(__xludf.DUMMYFUNCTION("""COMPUTED_VALUE"""),171640.0)</f>
        <v>171640</v>
      </c>
      <c r="B1207" t="str">
        <f>IFERROR(__xludf.DUMMYFUNCTION("""COMPUTED_VALUE"""),"Bacon Turkey Low Sodium")</f>
        <v>Bacon Turkey Low Sodium</v>
      </c>
      <c r="C1207" t="str">
        <f>IFERROR(__xludf.DUMMYFUNCTION("""COMPUTED_VALUE"""),"Meats")</f>
        <v>Meats</v>
      </c>
      <c r="D1207">
        <f>IFERROR(__xludf.DUMMYFUNCTION("""COMPUTED_VALUE"""),253.0)</f>
        <v>253</v>
      </c>
      <c r="E1207">
        <f>IFERROR(__xludf.DUMMYFUNCTION("""COMPUTED_VALUE"""),20.0)</f>
        <v>20</v>
      </c>
      <c r="F1207">
        <f>IFERROR(__xludf.DUMMYFUNCTION("""COMPUTED_VALUE"""),13.33)</f>
        <v>13.33</v>
      </c>
      <c r="G1207">
        <f>IFERROR(__xludf.DUMMYFUNCTION("""COMPUTED_VALUE"""),4.8)</f>
        <v>4.8</v>
      </c>
    </row>
    <row r="1208">
      <c r="A1208">
        <f>IFERROR(__xludf.DUMMYFUNCTION("""COMPUTED_VALUE"""),171728.0)</f>
        <v>171728</v>
      </c>
      <c r="B1208" t="str">
        <f>IFERROR(__xludf.DUMMYFUNCTION("""COMPUTED_VALUE"""),"Beef Australian Imported Grass-Fed  External Fat Raw")</f>
        <v>Beef Australian Imported Grass-Fed  External Fat Raw</v>
      </c>
      <c r="C1208" t="str">
        <f>IFERROR(__xludf.DUMMYFUNCTION("""COMPUTED_VALUE"""),"Meats")</f>
        <v>Meats</v>
      </c>
      <c r="D1208">
        <f>IFERROR(__xludf.DUMMYFUNCTION("""COMPUTED_VALUE"""),509.0)</f>
        <v>509</v>
      </c>
      <c r="E1208">
        <f>IFERROR(__xludf.DUMMYFUNCTION("""COMPUTED_VALUE"""),51.36)</f>
        <v>51.36</v>
      </c>
      <c r="F1208">
        <f>IFERROR(__xludf.DUMMYFUNCTION("""COMPUTED_VALUE"""),11.32)</f>
        <v>11.32</v>
      </c>
      <c r="G1208">
        <f>IFERROR(__xludf.DUMMYFUNCTION("""COMPUTED_VALUE"""),0.39)</f>
        <v>0.39</v>
      </c>
    </row>
    <row r="1209">
      <c r="A1209">
        <f>IFERROR(__xludf.DUMMYFUNCTION("""COMPUTED_VALUE"""),171729.0)</f>
        <v>171729</v>
      </c>
      <c r="B1209" t="str">
        <f>IFERROR(__xludf.DUMMYFUNCTION("""COMPUTED_VALUE"""),"Beef Australian Imported Grass-Fed Seam Fat Raw")</f>
        <v>Beef Australian Imported Grass-Fed Seam Fat Raw</v>
      </c>
      <c r="C1209" t="str">
        <f>IFERROR(__xludf.DUMMYFUNCTION("""COMPUTED_VALUE"""),"Meats")</f>
        <v>Meats</v>
      </c>
      <c r="D1209">
        <f>IFERROR(__xludf.DUMMYFUNCTION("""COMPUTED_VALUE"""),562.0)</f>
        <v>562</v>
      </c>
      <c r="E1209">
        <f>IFERROR(__xludf.DUMMYFUNCTION("""COMPUTED_VALUE"""),57.73)</f>
        <v>57.73</v>
      </c>
      <c r="F1209">
        <f>IFERROR(__xludf.DUMMYFUNCTION("""COMPUTED_VALUE"""),9.58)</f>
        <v>9.58</v>
      </c>
      <c r="G1209">
        <f>IFERROR(__xludf.DUMMYFUNCTION("""COMPUTED_VALUE"""),1.06)</f>
        <v>1.06</v>
      </c>
    </row>
    <row r="1210">
      <c r="A1210">
        <f>IFERROR(__xludf.DUMMYFUNCTION("""COMPUTED_VALUE"""),171730.0)</f>
        <v>171730</v>
      </c>
      <c r="B1210" t="str">
        <f>IFERROR(__xludf.DUMMYFUNCTION("""COMPUTED_VALUE"""),"Beef Australian Imported Wagyu External Fat Aust. Marble Score 4/5 Raw")</f>
        <v>Beef Australian Imported Wagyu External Fat Aust. Marble Score 4/5 Raw</v>
      </c>
      <c r="C1210" t="str">
        <f>IFERROR(__xludf.DUMMYFUNCTION("""COMPUTED_VALUE"""),"Meats")</f>
        <v>Meats</v>
      </c>
      <c r="D1210">
        <f>IFERROR(__xludf.DUMMYFUNCTION("""COMPUTED_VALUE"""),596.0)</f>
        <v>596</v>
      </c>
      <c r="E1210">
        <f>IFERROR(__xludf.DUMMYFUNCTION("""COMPUTED_VALUE"""),63.27)</f>
        <v>63.27</v>
      </c>
      <c r="F1210">
        <f>IFERROR(__xludf.DUMMYFUNCTION("""COMPUTED_VALUE"""),6.54)</f>
        <v>6.54</v>
      </c>
      <c r="G1210">
        <f>IFERROR(__xludf.DUMMYFUNCTION("""COMPUTED_VALUE"""),0.0)</f>
        <v>0</v>
      </c>
    </row>
    <row r="1211">
      <c r="A1211">
        <f>IFERROR(__xludf.DUMMYFUNCTION("""COMPUTED_VALUE"""),171731.0)</f>
        <v>171731</v>
      </c>
      <c r="B1211" t="str">
        <f>IFERROR(__xludf.DUMMYFUNCTION("""COMPUTED_VALUE"""),"Beef Australian Imported Wagyu Seam Fat Aust. Marble Score 4/5 Raw")</f>
        <v>Beef Australian Imported Wagyu Seam Fat Aust. Marble Score 4/5 Raw</v>
      </c>
      <c r="C1211" t="str">
        <f>IFERROR(__xludf.DUMMYFUNCTION("""COMPUTED_VALUE"""),"Meats")</f>
        <v>Meats</v>
      </c>
      <c r="D1211">
        <f>IFERROR(__xludf.DUMMYFUNCTION("""COMPUTED_VALUE"""),594.0)</f>
        <v>594</v>
      </c>
      <c r="E1211">
        <f>IFERROR(__xludf.DUMMYFUNCTION("""COMPUTED_VALUE"""),63.3)</f>
        <v>63.3</v>
      </c>
      <c r="F1211">
        <f>IFERROR(__xludf.DUMMYFUNCTION("""COMPUTED_VALUE"""),6.0)</f>
        <v>6</v>
      </c>
      <c r="G1211">
        <f>IFERROR(__xludf.DUMMYFUNCTION("""COMPUTED_VALUE"""),0.0)</f>
        <v>0</v>
      </c>
    </row>
    <row r="1212">
      <c r="A1212">
        <f>IFERROR(__xludf.DUMMYFUNCTION("""COMPUTED_VALUE"""),171732.0)</f>
        <v>171732</v>
      </c>
      <c r="B1212" t="str">
        <f>IFERROR(__xludf.DUMMYFUNCTION("""COMPUTED_VALUE"""),"Beef Australian Imported Wagyu Loin Tenderloin Steak/roast Boneless Separable Lean And Fat Aust. Marble Score 4/5 Raw")</f>
        <v>Beef Australian Imported Wagyu Loin Tenderloin Steak/roast Boneless Separable Lean And Fat Aust. Marble Score 4/5 Raw</v>
      </c>
      <c r="C1212" t="str">
        <f>IFERROR(__xludf.DUMMYFUNCTION("""COMPUTED_VALUE"""),"Meats")</f>
        <v>Meats</v>
      </c>
      <c r="D1212">
        <f>IFERROR(__xludf.DUMMYFUNCTION("""COMPUTED_VALUE"""),206.0)</f>
        <v>206</v>
      </c>
      <c r="E1212">
        <f>IFERROR(__xludf.DUMMYFUNCTION("""COMPUTED_VALUE"""),14.09)</f>
        <v>14.09</v>
      </c>
      <c r="F1212">
        <f>IFERROR(__xludf.DUMMYFUNCTION("""COMPUTED_VALUE"""),19.71)</f>
        <v>19.71</v>
      </c>
      <c r="G1212">
        <f>IFERROR(__xludf.DUMMYFUNCTION("""COMPUTED_VALUE"""),0.0)</f>
        <v>0</v>
      </c>
    </row>
    <row r="1213">
      <c r="A1213">
        <f>IFERROR(__xludf.DUMMYFUNCTION("""COMPUTED_VALUE"""),171733.0)</f>
        <v>171733</v>
      </c>
      <c r="B1213" t="str">
        <f>IFERROR(__xludf.DUMMYFUNCTION("""COMPUTED_VALUE"""),"Beef Australian Imported Grass-Fed Loin Top Loin Steak/roast Boneless Separable Lean And Fat Raw")</f>
        <v>Beef Australian Imported Grass-Fed Loin Top Loin Steak/roast Boneless Separable Lean And Fat Raw</v>
      </c>
      <c r="C1213" t="str">
        <f>IFERROR(__xludf.DUMMYFUNCTION("""COMPUTED_VALUE"""),"Meats")</f>
        <v>Meats</v>
      </c>
      <c r="D1213">
        <f>IFERROR(__xludf.DUMMYFUNCTION("""COMPUTED_VALUE"""),199.0)</f>
        <v>199</v>
      </c>
      <c r="E1213">
        <f>IFERROR(__xludf.DUMMYFUNCTION("""COMPUTED_VALUE"""),13.17)</f>
        <v>13.17</v>
      </c>
      <c r="F1213">
        <f>IFERROR(__xludf.DUMMYFUNCTION("""COMPUTED_VALUE"""),19.9)</f>
        <v>19.9</v>
      </c>
      <c r="G1213">
        <f>IFERROR(__xludf.DUMMYFUNCTION("""COMPUTED_VALUE"""),0.11)</f>
        <v>0.11</v>
      </c>
    </row>
    <row r="1214">
      <c r="A1214">
        <f>IFERROR(__xludf.DUMMYFUNCTION("""COMPUTED_VALUE"""),171734.0)</f>
        <v>171734</v>
      </c>
      <c r="B1214" t="str">
        <f>IFERROR(__xludf.DUMMYFUNCTION("""COMPUTED_VALUE"""),"Beef Australian Imported Grass-Fed Loin Top Sirloin Cap-Off Steak/roast Boneless Separable Lean Only Raw")</f>
        <v>Beef Australian Imported Grass-Fed Loin Top Sirloin Cap-Off Steak/roast Boneless Separable Lean Only Raw</v>
      </c>
      <c r="C1214" t="str">
        <f>IFERROR(__xludf.DUMMYFUNCTION("""COMPUTED_VALUE"""),"Meats")</f>
        <v>Meats</v>
      </c>
      <c r="D1214">
        <f>IFERROR(__xludf.DUMMYFUNCTION("""COMPUTED_VALUE"""),122.0)</f>
        <v>122</v>
      </c>
      <c r="E1214">
        <f>IFERROR(__xludf.DUMMYFUNCTION("""COMPUTED_VALUE"""),3.87)</f>
        <v>3.87</v>
      </c>
      <c r="F1214">
        <f>IFERROR(__xludf.DUMMYFUNCTION("""COMPUTED_VALUE"""),21.9)</f>
        <v>21.9</v>
      </c>
      <c r="G1214">
        <f>IFERROR(__xludf.DUMMYFUNCTION("""COMPUTED_VALUE"""),0.0)</f>
        <v>0</v>
      </c>
    </row>
    <row r="1215">
      <c r="A1215">
        <f>IFERROR(__xludf.DUMMYFUNCTION("""COMPUTED_VALUE"""),171735.0)</f>
        <v>171735</v>
      </c>
      <c r="B1215" t="str">
        <f>IFERROR(__xludf.DUMMYFUNCTION("""COMPUTED_VALUE"""),"Beef Australian Imported Grass-Fed Rib Ribeye Steak/roast Lip-On Boneless Separable Lean Only Raw")</f>
        <v>Beef Australian Imported Grass-Fed Rib Ribeye Steak/roast Lip-On Boneless Separable Lean Only Raw</v>
      </c>
      <c r="C1215" t="str">
        <f>IFERROR(__xludf.DUMMYFUNCTION("""COMPUTED_VALUE"""),"Meats")</f>
        <v>Meats</v>
      </c>
      <c r="D1215">
        <f>IFERROR(__xludf.DUMMYFUNCTION("""COMPUTED_VALUE"""),160.0)</f>
        <v>160</v>
      </c>
      <c r="E1215">
        <f>IFERROR(__xludf.DUMMYFUNCTION("""COMPUTED_VALUE"""),8.2)</f>
        <v>8.2</v>
      </c>
      <c r="F1215">
        <f>IFERROR(__xludf.DUMMYFUNCTION("""COMPUTED_VALUE"""),21.47)</f>
        <v>21.47</v>
      </c>
      <c r="G1215">
        <f>IFERROR(__xludf.DUMMYFUNCTION("""COMPUTED_VALUE"""),0.0)</f>
        <v>0</v>
      </c>
    </row>
    <row r="1216">
      <c r="A1216">
        <f>IFERROR(__xludf.DUMMYFUNCTION("""COMPUTED_VALUE"""),171736.0)</f>
        <v>171736</v>
      </c>
      <c r="B1216" t="str">
        <f>IFERROR(__xludf.DUMMYFUNCTION("""COMPUTED_VALUE"""),"Beef Australian Imported Wagyu Loin Top Loin Steak/roast Boneless Separable Lean Only Aust. Marble Score 9 Raw")</f>
        <v>Beef Australian Imported Wagyu Loin Top Loin Steak/roast Boneless Separable Lean Only Aust. Marble Score 9 Raw</v>
      </c>
      <c r="C1216" t="str">
        <f>IFERROR(__xludf.DUMMYFUNCTION("""COMPUTED_VALUE"""),"Meats")</f>
        <v>Meats</v>
      </c>
      <c r="D1216">
        <f>IFERROR(__xludf.DUMMYFUNCTION("""COMPUTED_VALUE"""),331.0)</f>
        <v>331</v>
      </c>
      <c r="E1216">
        <f>IFERROR(__xludf.DUMMYFUNCTION("""COMPUTED_VALUE"""),29.15)</f>
        <v>29.15</v>
      </c>
      <c r="F1216">
        <f>IFERROR(__xludf.DUMMYFUNCTION("""COMPUTED_VALUE"""),16.92)</f>
        <v>16.92</v>
      </c>
      <c r="G1216">
        <f>IFERROR(__xludf.DUMMYFUNCTION("""COMPUTED_VALUE"""),0.13)</f>
        <v>0.13</v>
      </c>
    </row>
    <row r="1217">
      <c r="A1217">
        <f>IFERROR(__xludf.DUMMYFUNCTION("""COMPUTED_VALUE"""),171737.0)</f>
        <v>171737</v>
      </c>
      <c r="B1217" t="str">
        <f>IFERROR(__xludf.DUMMYFUNCTION("""COMPUTED_VALUE"""),"Beef Australian Imported Wagyu Rib Small End Rib Steak/roast Boneless Separable Lean Only Aust. Marble Score 4/5 Raw")</f>
        <v>Beef Australian Imported Wagyu Rib Small End Rib Steak/roast Boneless Separable Lean Only Aust. Marble Score 4/5 Raw</v>
      </c>
      <c r="C1217" t="str">
        <f>IFERROR(__xludf.DUMMYFUNCTION("""COMPUTED_VALUE"""),"Meats")</f>
        <v>Meats</v>
      </c>
      <c r="D1217">
        <f>IFERROR(__xludf.DUMMYFUNCTION("""COMPUTED_VALUE"""),234.0)</f>
        <v>234</v>
      </c>
      <c r="E1217">
        <f>IFERROR(__xludf.DUMMYFUNCTION("""COMPUTED_VALUE"""),16.93)</f>
        <v>16.93</v>
      </c>
      <c r="F1217">
        <f>IFERROR(__xludf.DUMMYFUNCTION("""COMPUTED_VALUE"""),20.35)</f>
        <v>20.35</v>
      </c>
      <c r="G1217">
        <f>IFERROR(__xludf.DUMMYFUNCTION("""COMPUTED_VALUE"""),0.0)</f>
        <v>0</v>
      </c>
    </row>
    <row r="1218">
      <c r="A1218">
        <f>IFERROR(__xludf.DUMMYFUNCTION("""COMPUTED_VALUE"""),171738.0)</f>
        <v>171738</v>
      </c>
      <c r="B1218" t="str">
        <f>IFERROR(__xludf.DUMMYFUNCTION("""COMPUTED_VALUE"""),"Beef Australian Imported Wagyu Rib Small End Rib Steak/roast Boneless Separable Lean Only Aust. Marble Score 9 Raw")</f>
        <v>Beef Australian Imported Wagyu Rib Small End Rib Steak/roast Boneless Separable Lean Only Aust. Marble Score 9 Raw</v>
      </c>
      <c r="C1218" t="str">
        <f>IFERROR(__xludf.DUMMYFUNCTION("""COMPUTED_VALUE"""),"Meats")</f>
        <v>Meats</v>
      </c>
      <c r="D1218">
        <f>IFERROR(__xludf.DUMMYFUNCTION("""COMPUTED_VALUE"""),330.0)</f>
        <v>330</v>
      </c>
      <c r="E1218">
        <f>IFERROR(__xludf.DUMMYFUNCTION("""COMPUTED_VALUE"""),28.61)</f>
        <v>28.61</v>
      </c>
      <c r="F1218">
        <f>IFERROR(__xludf.DUMMYFUNCTION("""COMPUTED_VALUE"""),17.61)</f>
        <v>17.61</v>
      </c>
      <c r="G1218">
        <f>IFERROR(__xludf.DUMMYFUNCTION("""COMPUTED_VALUE"""),0.46)</f>
        <v>0.46</v>
      </c>
    </row>
    <row r="1219">
      <c r="A1219">
        <f>IFERROR(__xludf.DUMMYFUNCTION("""COMPUTED_VALUE"""),171739.0)</f>
        <v>171739</v>
      </c>
      <c r="B1219" t="str">
        <f>IFERROR(__xludf.DUMMYFUNCTION("""COMPUTED_VALUE"""),"Beef Australian Imported Grass-Fed Loin Top Sirloin Cap-Off Steak/roast Boneless Separable Lean And Fat Raw")</f>
        <v>Beef Australian Imported Grass-Fed Loin Top Sirloin Cap-Off Steak/roast Boneless Separable Lean And Fat Raw</v>
      </c>
      <c r="C1219" t="str">
        <f>IFERROR(__xludf.DUMMYFUNCTION("""COMPUTED_VALUE"""),"Meats")</f>
        <v>Meats</v>
      </c>
      <c r="D1219">
        <f>IFERROR(__xludf.DUMMYFUNCTION("""COMPUTED_VALUE"""),127.0)</f>
        <v>127</v>
      </c>
      <c r="E1219">
        <f>IFERROR(__xludf.DUMMYFUNCTION("""COMPUTED_VALUE"""),4.45)</f>
        <v>4.45</v>
      </c>
      <c r="F1219">
        <f>IFERROR(__xludf.DUMMYFUNCTION("""COMPUTED_VALUE"""),21.77)</f>
        <v>21.77</v>
      </c>
      <c r="G1219">
        <f>IFERROR(__xludf.DUMMYFUNCTION("""COMPUTED_VALUE"""),0.01)</f>
        <v>0.01</v>
      </c>
    </row>
    <row r="1220">
      <c r="A1220">
        <f>IFERROR(__xludf.DUMMYFUNCTION("""COMPUTED_VALUE"""),171740.0)</f>
        <v>171740</v>
      </c>
      <c r="B1220" t="str">
        <f>IFERROR(__xludf.DUMMYFUNCTION("""COMPUTED_VALUE"""),"Beef Australian Imported Wagyu Rib Small End Rib Steak/roast Boneless Separable Lean And Fat Aust. Marble Score 4/5 Raw")</f>
        <v>Beef Australian Imported Wagyu Rib Small End Rib Steak/roast Boneless Separable Lean And Fat Aust. Marble Score 4/5 Raw</v>
      </c>
      <c r="C1220" t="str">
        <f>IFERROR(__xludf.DUMMYFUNCTION("""COMPUTED_VALUE"""),"Meats")</f>
        <v>Meats</v>
      </c>
      <c r="D1220">
        <f>IFERROR(__xludf.DUMMYFUNCTION("""COMPUTED_VALUE"""),317.0)</f>
        <v>317</v>
      </c>
      <c r="E1220">
        <f>IFERROR(__xludf.DUMMYFUNCTION("""COMPUTED_VALUE"""),27.64)</f>
        <v>27.64</v>
      </c>
      <c r="F1220">
        <f>IFERROR(__xludf.DUMMYFUNCTION("""COMPUTED_VALUE"""),17.07)</f>
        <v>17.07</v>
      </c>
      <c r="G1220">
        <f>IFERROR(__xludf.DUMMYFUNCTION("""COMPUTED_VALUE"""),0.0)</f>
        <v>0</v>
      </c>
    </row>
    <row r="1221">
      <c r="A1221">
        <f>IFERROR(__xludf.DUMMYFUNCTION("""COMPUTED_VALUE"""),171741.0)</f>
        <v>171741</v>
      </c>
      <c r="B1221" t="str">
        <f>IFERROR(__xludf.DUMMYFUNCTION("""COMPUTED_VALUE"""),"Beef Australian Imported Wagyu Rib Small End Rib Steak/roast Boneless Separable Lean And Fat Aust. Marble Score 9 Raw")</f>
        <v>Beef Australian Imported Wagyu Rib Small End Rib Steak/roast Boneless Separable Lean And Fat Aust. Marble Score 9 Raw</v>
      </c>
      <c r="C1221" t="str">
        <f>IFERROR(__xludf.DUMMYFUNCTION("""COMPUTED_VALUE"""),"Meats")</f>
        <v>Meats</v>
      </c>
      <c r="D1221">
        <f>IFERROR(__xludf.DUMMYFUNCTION("""COMPUTED_VALUE"""),404.0)</f>
        <v>404</v>
      </c>
      <c r="E1221">
        <f>IFERROR(__xludf.DUMMYFUNCTION("""COMPUTED_VALUE"""),38.3)</f>
        <v>38.3</v>
      </c>
      <c r="F1221">
        <f>IFERROR(__xludf.DUMMYFUNCTION("""COMPUTED_VALUE"""),14.54)</f>
        <v>14.54</v>
      </c>
      <c r="G1221">
        <f>IFERROR(__xludf.DUMMYFUNCTION("""COMPUTED_VALUE"""),0.28)</f>
        <v>0.28</v>
      </c>
    </row>
    <row r="1222">
      <c r="A1222">
        <f>IFERROR(__xludf.DUMMYFUNCTION("""COMPUTED_VALUE"""),171742.0)</f>
        <v>171742</v>
      </c>
      <c r="B1222" t="str">
        <f>IFERROR(__xludf.DUMMYFUNCTION("""COMPUTED_VALUE"""),"Beef Australian Imported Wagyu Loin Tenderloin Steak/roast Boneless Separable Lean And Fat Aust. Marble Score 9 Raw")</f>
        <v>Beef Australian Imported Wagyu Loin Tenderloin Steak/roast Boneless Separable Lean And Fat Aust. Marble Score 9 Raw</v>
      </c>
      <c r="C1222" t="str">
        <f>IFERROR(__xludf.DUMMYFUNCTION("""COMPUTED_VALUE"""),"Meats")</f>
        <v>Meats</v>
      </c>
      <c r="D1222">
        <f>IFERROR(__xludf.DUMMYFUNCTION("""COMPUTED_VALUE"""),248.0)</f>
        <v>248</v>
      </c>
      <c r="E1222">
        <f>IFERROR(__xludf.DUMMYFUNCTION("""COMPUTED_VALUE"""),19.11)</f>
        <v>19.11</v>
      </c>
      <c r="F1222">
        <f>IFERROR(__xludf.DUMMYFUNCTION("""COMPUTED_VALUE"""),18.5)</f>
        <v>18.5</v>
      </c>
      <c r="G1222">
        <f>IFERROR(__xludf.DUMMYFUNCTION("""COMPUTED_VALUE"""),0.58)</f>
        <v>0.58</v>
      </c>
    </row>
    <row r="1223">
      <c r="A1223">
        <f>IFERROR(__xludf.DUMMYFUNCTION("""COMPUTED_VALUE"""),171743.0)</f>
        <v>171743</v>
      </c>
      <c r="B1223" t="str">
        <f>IFERROR(__xludf.DUMMYFUNCTION("""COMPUTED_VALUE"""),"Beef Round Top Round Steak Boneless Separable Lean And Fat Trimmed To 0 Inch Fat All Grades Raw")</f>
        <v>Beef Round Top Round Steak Boneless Separable Lean And Fat Trimmed To 0 Inch Fat All Grades Raw</v>
      </c>
      <c r="C1223" t="str">
        <f>IFERROR(__xludf.DUMMYFUNCTION("""COMPUTED_VALUE"""),"Meats")</f>
        <v>Meats</v>
      </c>
      <c r="D1223">
        <f>IFERROR(__xludf.DUMMYFUNCTION("""COMPUTED_VALUE"""),124.0)</f>
        <v>124</v>
      </c>
      <c r="E1223">
        <f>IFERROR(__xludf.DUMMYFUNCTION("""COMPUTED_VALUE"""),3.34)</f>
        <v>3.34</v>
      </c>
      <c r="F1223">
        <f>IFERROR(__xludf.DUMMYFUNCTION("""COMPUTED_VALUE"""),23.49)</f>
        <v>23.49</v>
      </c>
      <c r="G1223">
        <f>IFERROR(__xludf.DUMMYFUNCTION("""COMPUTED_VALUE"""),0.0)</f>
        <v>0</v>
      </c>
    </row>
    <row r="1224">
      <c r="A1224">
        <f>IFERROR(__xludf.DUMMYFUNCTION("""COMPUTED_VALUE"""),171744.0)</f>
        <v>171744</v>
      </c>
      <c r="B1224" t="str">
        <f>IFERROR(__xludf.DUMMYFUNCTION("""COMPUTED_VALUE"""),"Beef Round Top Round Roast Boneless Separable Lean And Fat Trimmed To 0 Inch Fat Select Raw")</f>
        <v>Beef Round Top Round Roast Boneless Separable Lean And Fat Trimmed To 0 Inch Fat Select Raw</v>
      </c>
      <c r="C1224" t="str">
        <f>IFERROR(__xludf.DUMMYFUNCTION("""COMPUTED_VALUE"""),"Meats")</f>
        <v>Meats</v>
      </c>
      <c r="D1224">
        <f>IFERROR(__xludf.DUMMYFUNCTION("""COMPUTED_VALUE"""),121.0)</f>
        <v>121</v>
      </c>
      <c r="E1224">
        <f>IFERROR(__xludf.DUMMYFUNCTION("""COMPUTED_VALUE"""),3.04)</f>
        <v>3.04</v>
      </c>
      <c r="F1224">
        <f>IFERROR(__xludf.DUMMYFUNCTION("""COMPUTED_VALUE"""),23.44)</f>
        <v>23.44</v>
      </c>
      <c r="G1224">
        <f>IFERROR(__xludf.DUMMYFUNCTION("""COMPUTED_VALUE"""),0.0)</f>
        <v>0</v>
      </c>
    </row>
    <row r="1225">
      <c r="A1225">
        <f>IFERROR(__xludf.DUMMYFUNCTION("""COMPUTED_VALUE"""),171745.0)</f>
        <v>171745</v>
      </c>
      <c r="B1225" t="str">
        <f>IFERROR(__xludf.DUMMYFUNCTION("""COMPUTED_VALUE"""),"Beef Round Eye Of Round Roast Boneless Separable Lean And Fat Trimmed To 0 Inch Fat All Grades Raw")</f>
        <v>Beef Round Eye Of Round Roast Boneless Separable Lean And Fat Trimmed To 0 Inch Fat All Grades Raw</v>
      </c>
      <c r="C1225" t="str">
        <f>IFERROR(__xludf.DUMMYFUNCTION("""COMPUTED_VALUE"""),"Meats")</f>
        <v>Meats</v>
      </c>
      <c r="D1225">
        <f>IFERROR(__xludf.DUMMYFUNCTION("""COMPUTED_VALUE"""),124.0)</f>
        <v>124</v>
      </c>
      <c r="E1225">
        <f>IFERROR(__xludf.DUMMYFUNCTION("""COMPUTED_VALUE"""),3.44)</f>
        <v>3.44</v>
      </c>
      <c r="F1225">
        <f>IFERROR(__xludf.DUMMYFUNCTION("""COMPUTED_VALUE"""),23.27)</f>
        <v>23.27</v>
      </c>
      <c r="G1225">
        <f>IFERROR(__xludf.DUMMYFUNCTION("""COMPUTED_VALUE"""),0.0)</f>
        <v>0</v>
      </c>
    </row>
    <row r="1226">
      <c r="A1226">
        <f>IFERROR(__xludf.DUMMYFUNCTION("""COMPUTED_VALUE"""),171746.0)</f>
        <v>171746</v>
      </c>
      <c r="B1226" t="str">
        <f>IFERROR(__xludf.DUMMYFUNCTION("""COMPUTED_VALUE"""),"Beef Round Eye Of Round Roast Boneless Separable Lean And Fat Trimmed To 0 Inch Fat Choice Raw")</f>
        <v>Beef Round Eye Of Round Roast Boneless Separable Lean And Fat Trimmed To 0 Inch Fat Choice Raw</v>
      </c>
      <c r="C1226" t="str">
        <f>IFERROR(__xludf.DUMMYFUNCTION("""COMPUTED_VALUE"""),"Meats")</f>
        <v>Meats</v>
      </c>
      <c r="D1226">
        <f>IFERROR(__xludf.DUMMYFUNCTION("""COMPUTED_VALUE"""),127.0)</f>
        <v>127</v>
      </c>
      <c r="E1226">
        <f>IFERROR(__xludf.DUMMYFUNCTION("""COMPUTED_VALUE"""),3.74)</f>
        <v>3.74</v>
      </c>
      <c r="F1226">
        <f>IFERROR(__xludf.DUMMYFUNCTION("""COMPUTED_VALUE"""),23.26)</f>
        <v>23.26</v>
      </c>
      <c r="G1226">
        <f>IFERROR(__xludf.DUMMYFUNCTION("""COMPUTED_VALUE"""),0.0)</f>
        <v>0</v>
      </c>
    </row>
    <row r="1227">
      <c r="A1227">
        <f>IFERROR(__xludf.DUMMYFUNCTION("""COMPUTED_VALUE"""),171747.0)</f>
        <v>171747</v>
      </c>
      <c r="B1227" t="str">
        <f>IFERROR(__xludf.DUMMYFUNCTION("""COMPUTED_VALUE"""),"Beef Round Eye Of Round Roast Boneless Separable Lean And Fat Trimmed To 0 Inch Fat Select Raw")</f>
        <v>Beef Round Eye Of Round Roast Boneless Separable Lean And Fat Trimmed To 0 Inch Fat Select Raw</v>
      </c>
      <c r="C1227" t="str">
        <f>IFERROR(__xludf.DUMMYFUNCTION("""COMPUTED_VALUE"""),"Meats")</f>
        <v>Meats</v>
      </c>
      <c r="D1227">
        <f>IFERROR(__xludf.DUMMYFUNCTION("""COMPUTED_VALUE"""),120.0)</f>
        <v>120</v>
      </c>
      <c r="E1227">
        <f>IFERROR(__xludf.DUMMYFUNCTION("""COMPUTED_VALUE"""),3.0)</f>
        <v>3</v>
      </c>
      <c r="F1227">
        <f>IFERROR(__xludf.DUMMYFUNCTION("""COMPUTED_VALUE"""),23.28)</f>
        <v>23.28</v>
      </c>
      <c r="G1227">
        <f>IFERROR(__xludf.DUMMYFUNCTION("""COMPUTED_VALUE"""),0.0)</f>
        <v>0</v>
      </c>
    </row>
    <row r="1228">
      <c r="A1228">
        <f>IFERROR(__xludf.DUMMYFUNCTION("""COMPUTED_VALUE"""),171748.0)</f>
        <v>171748</v>
      </c>
      <c r="B1228" t="str">
        <f>IFERROR(__xludf.DUMMYFUNCTION("""COMPUTED_VALUE"""),"Beef Loin Tenderloin Roast Boneless Separable Lean And Fat Trimmed To 0 Inch Fat Choice Raw")</f>
        <v>Beef Loin Tenderloin Roast Boneless Separable Lean And Fat Trimmed To 0 Inch Fat Choice Raw</v>
      </c>
      <c r="C1228" t="str">
        <f>IFERROR(__xludf.DUMMYFUNCTION("""COMPUTED_VALUE"""),"Meats")</f>
        <v>Meats</v>
      </c>
      <c r="D1228">
        <f>IFERROR(__xludf.DUMMYFUNCTION("""COMPUTED_VALUE"""),153.0)</f>
        <v>153</v>
      </c>
      <c r="E1228">
        <f>IFERROR(__xludf.DUMMYFUNCTION("""COMPUTED_VALUE"""),7.4)</f>
        <v>7.4</v>
      </c>
      <c r="F1228">
        <f>IFERROR(__xludf.DUMMYFUNCTION("""COMPUTED_VALUE"""),21.5)</f>
        <v>21.5</v>
      </c>
      <c r="G1228">
        <f>IFERROR(__xludf.DUMMYFUNCTION("""COMPUTED_VALUE"""),0.0)</f>
        <v>0</v>
      </c>
    </row>
    <row r="1229">
      <c r="A1229">
        <f>IFERROR(__xludf.DUMMYFUNCTION("""COMPUTED_VALUE"""),171749.0)</f>
        <v>171749</v>
      </c>
      <c r="B1229" t="str">
        <f>IFERROR(__xludf.DUMMYFUNCTION("""COMPUTED_VALUE"""),"Beef Loin Tenderloin Roast Boneless Separable Lean And Fat Trimmed To 0 Inch Fat Select Raw")</f>
        <v>Beef Loin Tenderloin Roast Boneless Separable Lean And Fat Trimmed To 0 Inch Fat Select Raw</v>
      </c>
      <c r="C1229" t="str">
        <f>IFERROR(__xludf.DUMMYFUNCTION("""COMPUTED_VALUE"""),"Meats")</f>
        <v>Meats</v>
      </c>
      <c r="D1229">
        <f>IFERROR(__xludf.DUMMYFUNCTION("""COMPUTED_VALUE"""),144.0)</f>
        <v>144</v>
      </c>
      <c r="E1229">
        <f>IFERROR(__xludf.DUMMYFUNCTION("""COMPUTED_VALUE"""),6.21)</f>
        <v>6.21</v>
      </c>
      <c r="F1229">
        <f>IFERROR(__xludf.DUMMYFUNCTION("""COMPUTED_VALUE"""),21.91)</f>
        <v>21.91</v>
      </c>
      <c r="G1229">
        <f>IFERROR(__xludf.DUMMYFUNCTION("""COMPUTED_VALUE"""),0.0)</f>
        <v>0</v>
      </c>
    </row>
    <row r="1230">
      <c r="A1230">
        <f>IFERROR(__xludf.DUMMYFUNCTION("""COMPUTED_VALUE"""),171750.0)</f>
        <v>171750</v>
      </c>
      <c r="B1230" t="str">
        <f>IFERROR(__xludf.DUMMYFUNCTION("""COMPUTED_VALUE"""),"Beef Loin Top Loin Steak Boneless Lip Off Separable Lean And Fat Trimmed To 0 Inch Fat All Grades Raw")</f>
        <v>Beef Loin Top Loin Steak Boneless Lip Off Separable Lean And Fat Trimmed To 0 Inch Fat All Grades Raw</v>
      </c>
      <c r="C1230" t="str">
        <f>IFERROR(__xludf.DUMMYFUNCTION("""COMPUTED_VALUE"""),"Meats")</f>
        <v>Meats</v>
      </c>
      <c r="D1230">
        <f>IFERROR(__xludf.DUMMYFUNCTION("""COMPUTED_VALUE"""),163.0)</f>
        <v>163</v>
      </c>
      <c r="E1230">
        <f>IFERROR(__xludf.DUMMYFUNCTION("""COMPUTED_VALUE"""),8.17)</f>
        <v>8.17</v>
      </c>
      <c r="F1230">
        <f>IFERROR(__xludf.DUMMYFUNCTION("""COMPUTED_VALUE"""),22.43)</f>
        <v>22.43</v>
      </c>
      <c r="G1230">
        <f>IFERROR(__xludf.DUMMYFUNCTION("""COMPUTED_VALUE"""),0.0)</f>
        <v>0</v>
      </c>
    </row>
    <row r="1231">
      <c r="A1231">
        <f>IFERROR(__xludf.DUMMYFUNCTION("""COMPUTED_VALUE"""),171751.0)</f>
        <v>171751</v>
      </c>
      <c r="B1231" t="str">
        <f>IFERROR(__xludf.DUMMYFUNCTION("""COMPUTED_VALUE"""),"Beef Loin Top Loin Steak Boneless Lip Off Separable Lean And Fat Trimmed To 0 Inch Fat Choice Raw")</f>
        <v>Beef Loin Top Loin Steak Boneless Lip Off Separable Lean And Fat Trimmed To 0 Inch Fat Choice Raw</v>
      </c>
      <c r="C1231" t="str">
        <f>IFERROR(__xludf.DUMMYFUNCTION("""COMPUTED_VALUE"""),"Meats")</f>
        <v>Meats</v>
      </c>
      <c r="D1231">
        <f>IFERROR(__xludf.DUMMYFUNCTION("""COMPUTED_VALUE"""),171.0)</f>
        <v>171</v>
      </c>
      <c r="E1231">
        <f>IFERROR(__xludf.DUMMYFUNCTION("""COMPUTED_VALUE"""),9.16)</f>
        <v>9.16</v>
      </c>
      <c r="F1231">
        <f>IFERROR(__xludf.DUMMYFUNCTION("""COMPUTED_VALUE"""),22.19)</f>
        <v>22.19</v>
      </c>
      <c r="G1231">
        <f>IFERROR(__xludf.DUMMYFUNCTION("""COMPUTED_VALUE"""),0.0)</f>
        <v>0</v>
      </c>
    </row>
    <row r="1232">
      <c r="A1232">
        <f>IFERROR(__xludf.DUMMYFUNCTION("""COMPUTED_VALUE"""),171752.0)</f>
        <v>171752</v>
      </c>
      <c r="B1232" t="str">
        <f>IFERROR(__xludf.DUMMYFUNCTION("""COMPUTED_VALUE"""),"Beef Loin Top Loin Steak Boneless Lip Off Separable Lean And Fat Trimmed To 0 Inch Fat Select Raw")</f>
        <v>Beef Loin Top Loin Steak Boneless Lip Off Separable Lean And Fat Trimmed To 0 Inch Fat Select Raw</v>
      </c>
      <c r="C1232" t="str">
        <f>IFERROR(__xludf.DUMMYFUNCTION("""COMPUTED_VALUE"""),"Meats")</f>
        <v>Meats</v>
      </c>
      <c r="D1232">
        <f>IFERROR(__xludf.DUMMYFUNCTION("""COMPUTED_VALUE"""),151.0)</f>
        <v>151</v>
      </c>
      <c r="E1232">
        <f>IFERROR(__xludf.DUMMYFUNCTION("""COMPUTED_VALUE"""),6.67)</f>
        <v>6.67</v>
      </c>
      <c r="F1232">
        <f>IFERROR(__xludf.DUMMYFUNCTION("""COMPUTED_VALUE"""),22.79)</f>
        <v>22.79</v>
      </c>
      <c r="G1232">
        <f>IFERROR(__xludf.DUMMYFUNCTION("""COMPUTED_VALUE"""),0.0)</f>
        <v>0</v>
      </c>
    </row>
    <row r="1233">
      <c r="A1233">
        <f>IFERROR(__xludf.DUMMYFUNCTION("""COMPUTED_VALUE"""),171753.0)</f>
        <v>171753</v>
      </c>
      <c r="B1233" t="str">
        <f>IFERROR(__xludf.DUMMYFUNCTION("""COMPUTED_VALUE"""),"Beef Loin Tenderloin Roast Boneless Separable Lean And Fat Trimmed To 0 Inch Fat Choice Cooked Roasted")</f>
        <v>Beef Loin Tenderloin Roast Boneless Separable Lean And Fat Trimmed To 0 Inch Fat Choice Cooked Roasted</v>
      </c>
      <c r="C1233" t="str">
        <f>IFERROR(__xludf.DUMMYFUNCTION("""COMPUTED_VALUE"""),"Meats")</f>
        <v>Meats</v>
      </c>
      <c r="D1233">
        <f>IFERROR(__xludf.DUMMYFUNCTION("""COMPUTED_VALUE"""),188.0)</f>
        <v>188</v>
      </c>
      <c r="E1233">
        <f>IFERROR(__xludf.DUMMYFUNCTION("""COMPUTED_VALUE"""),8.82)</f>
        <v>8.82</v>
      </c>
      <c r="F1233">
        <f>IFERROR(__xludf.DUMMYFUNCTION("""COMPUTED_VALUE"""),27.26)</f>
        <v>27.26</v>
      </c>
      <c r="G1233">
        <f>IFERROR(__xludf.DUMMYFUNCTION("""COMPUTED_VALUE"""),0.0)</f>
        <v>0</v>
      </c>
    </row>
    <row r="1234">
      <c r="A1234">
        <f>IFERROR(__xludf.DUMMYFUNCTION("""COMPUTED_VALUE"""),171754.0)</f>
        <v>171754</v>
      </c>
      <c r="B1234" t="str">
        <f>IFERROR(__xludf.DUMMYFUNCTION("""COMPUTED_VALUE"""),"Beef Loin Tenderloin Roast Boneless Separable Lean And Fat Trimmed To 0 Inch Fat Select Cooked Roasted")</f>
        <v>Beef Loin Tenderloin Roast Boneless Separable Lean And Fat Trimmed To 0 Inch Fat Select Cooked Roasted</v>
      </c>
      <c r="C1234" t="str">
        <f>IFERROR(__xludf.DUMMYFUNCTION("""COMPUTED_VALUE"""),"Meats")</f>
        <v>Meats</v>
      </c>
      <c r="D1234">
        <f>IFERROR(__xludf.DUMMYFUNCTION("""COMPUTED_VALUE"""),174.0)</f>
        <v>174</v>
      </c>
      <c r="E1234">
        <f>IFERROR(__xludf.DUMMYFUNCTION("""COMPUTED_VALUE"""),7.12)</f>
        <v>7.12</v>
      </c>
      <c r="F1234">
        <f>IFERROR(__xludf.DUMMYFUNCTION("""COMPUTED_VALUE"""),27.38)</f>
        <v>27.38</v>
      </c>
      <c r="G1234">
        <f>IFERROR(__xludf.DUMMYFUNCTION("""COMPUTED_VALUE"""),0.0)</f>
        <v>0</v>
      </c>
    </row>
    <row r="1235">
      <c r="A1235">
        <f>IFERROR(__xludf.DUMMYFUNCTION("""COMPUTED_VALUE"""),171755.0)</f>
        <v>171755</v>
      </c>
      <c r="B1235" t="str">
        <f>IFERROR(__xludf.DUMMYFUNCTION("""COMPUTED_VALUE"""),"Beef Round Top Round Roast Boneless Separable Lean And Fat Trimmed To 0 Inch Fat All Grades Cooked Roasted")</f>
        <v>Beef Round Top Round Roast Boneless Separable Lean And Fat Trimmed To 0 Inch Fat All Grades Cooked Roasted</v>
      </c>
      <c r="C1235" t="str">
        <f>IFERROR(__xludf.DUMMYFUNCTION("""COMPUTED_VALUE"""),"Meats")</f>
        <v>Meats</v>
      </c>
      <c r="D1235">
        <f>IFERROR(__xludf.DUMMYFUNCTION("""COMPUTED_VALUE"""),160.0)</f>
        <v>160</v>
      </c>
      <c r="E1235">
        <f>IFERROR(__xludf.DUMMYFUNCTION("""COMPUTED_VALUE"""),4.49)</f>
        <v>4.49</v>
      </c>
      <c r="F1235">
        <f>IFERROR(__xludf.DUMMYFUNCTION("""COMPUTED_VALUE"""),29.9)</f>
        <v>29.9</v>
      </c>
      <c r="G1235">
        <f>IFERROR(__xludf.DUMMYFUNCTION("""COMPUTED_VALUE"""),0.0)</f>
        <v>0</v>
      </c>
    </row>
    <row r="1236">
      <c r="A1236">
        <f>IFERROR(__xludf.DUMMYFUNCTION("""COMPUTED_VALUE"""),171756.0)</f>
        <v>171756</v>
      </c>
      <c r="B1236" t="str">
        <f>IFERROR(__xludf.DUMMYFUNCTION("""COMPUTED_VALUE"""),"Beef Round Top Round Roast Boneless Separable Lean And Fat Trimmed To 0 Inch Fat Choice Cooked Roasted")</f>
        <v>Beef Round Top Round Roast Boneless Separable Lean And Fat Trimmed To 0 Inch Fat Choice Cooked Roasted</v>
      </c>
      <c r="C1236" t="str">
        <f>IFERROR(__xludf.DUMMYFUNCTION("""COMPUTED_VALUE"""),"Meats")</f>
        <v>Meats</v>
      </c>
      <c r="D1236">
        <f>IFERROR(__xludf.DUMMYFUNCTION("""COMPUTED_VALUE"""),163.0)</f>
        <v>163</v>
      </c>
      <c r="E1236">
        <f>IFERROR(__xludf.DUMMYFUNCTION("""COMPUTED_VALUE"""),4.79)</f>
        <v>4.79</v>
      </c>
      <c r="F1236">
        <f>IFERROR(__xludf.DUMMYFUNCTION("""COMPUTED_VALUE"""),30.08)</f>
        <v>30.08</v>
      </c>
      <c r="G1236">
        <f>IFERROR(__xludf.DUMMYFUNCTION("""COMPUTED_VALUE"""),0.0)</f>
        <v>0</v>
      </c>
    </row>
    <row r="1237">
      <c r="A1237">
        <f>IFERROR(__xludf.DUMMYFUNCTION("""COMPUTED_VALUE"""),171757.0)</f>
        <v>171757</v>
      </c>
      <c r="B1237" t="str">
        <f>IFERROR(__xludf.DUMMYFUNCTION("""COMPUTED_VALUE"""),"Beef Round Top Round Steak Boneless Separable Lean Only Trimmed To 0 Inch Fat All Grades Raw")</f>
        <v>Beef Round Top Round Steak Boneless Separable Lean Only Trimmed To 0 Inch Fat All Grades Raw</v>
      </c>
      <c r="C1237" t="str">
        <f>IFERROR(__xludf.DUMMYFUNCTION("""COMPUTED_VALUE"""),"Meats")</f>
        <v>Meats</v>
      </c>
      <c r="D1237">
        <f>IFERROR(__xludf.DUMMYFUNCTION("""COMPUTED_VALUE"""),121.0)</f>
        <v>121</v>
      </c>
      <c r="E1237">
        <f>IFERROR(__xludf.DUMMYFUNCTION("""COMPUTED_VALUE"""),2.94)</f>
        <v>2.94</v>
      </c>
      <c r="F1237">
        <f>IFERROR(__xludf.DUMMYFUNCTION("""COMPUTED_VALUE"""),23.59)</f>
        <v>23.59</v>
      </c>
      <c r="G1237">
        <f>IFERROR(__xludf.DUMMYFUNCTION("""COMPUTED_VALUE"""),0.0)</f>
        <v>0</v>
      </c>
    </row>
    <row r="1238">
      <c r="A1238">
        <f>IFERROR(__xludf.DUMMYFUNCTION("""COMPUTED_VALUE"""),171758.0)</f>
        <v>171758</v>
      </c>
      <c r="B1238" t="str">
        <f>IFERROR(__xludf.DUMMYFUNCTION("""COMPUTED_VALUE"""),"Beef Round Top Round Steak Boneless Separable Lean Only Trimmed To 0 Inch Fat Choice Raw")</f>
        <v>Beef Round Top Round Steak Boneless Separable Lean Only Trimmed To 0 Inch Fat Choice Raw</v>
      </c>
      <c r="C1238" t="str">
        <f>IFERROR(__xludf.DUMMYFUNCTION("""COMPUTED_VALUE"""),"Meats")</f>
        <v>Meats</v>
      </c>
      <c r="D1238">
        <f>IFERROR(__xludf.DUMMYFUNCTION("""COMPUTED_VALUE"""),124.0)</f>
        <v>124</v>
      </c>
      <c r="E1238">
        <f>IFERROR(__xludf.DUMMYFUNCTION("""COMPUTED_VALUE"""),3.26)</f>
        <v>3.26</v>
      </c>
      <c r="F1238">
        <f>IFERROR(__xludf.DUMMYFUNCTION("""COMPUTED_VALUE"""),23.59)</f>
        <v>23.59</v>
      </c>
      <c r="G1238">
        <f>IFERROR(__xludf.DUMMYFUNCTION("""COMPUTED_VALUE"""),0.0)</f>
        <v>0</v>
      </c>
    </row>
    <row r="1239">
      <c r="A1239">
        <f>IFERROR(__xludf.DUMMYFUNCTION("""COMPUTED_VALUE"""),171759.0)</f>
        <v>171759</v>
      </c>
      <c r="B1239" t="str">
        <f>IFERROR(__xludf.DUMMYFUNCTION("""COMPUTED_VALUE"""),"Beef Round Top Round Steak Boneless Separable Lean Only Trimmed To 0 Inch Fat Select Raw")</f>
        <v>Beef Round Top Round Steak Boneless Separable Lean Only Trimmed To 0 Inch Fat Select Raw</v>
      </c>
      <c r="C1239" t="str">
        <f>IFERROR(__xludf.DUMMYFUNCTION("""COMPUTED_VALUE"""),"Meats")</f>
        <v>Meats</v>
      </c>
      <c r="D1239">
        <f>IFERROR(__xludf.DUMMYFUNCTION("""COMPUTED_VALUE"""),116.0)</f>
        <v>116</v>
      </c>
      <c r="E1239">
        <f>IFERROR(__xludf.DUMMYFUNCTION("""COMPUTED_VALUE"""),2.45)</f>
        <v>2.45</v>
      </c>
      <c r="F1239">
        <f>IFERROR(__xludf.DUMMYFUNCTION("""COMPUTED_VALUE"""),23.59)</f>
        <v>23.59</v>
      </c>
      <c r="G1239">
        <f>IFERROR(__xludf.DUMMYFUNCTION("""COMPUTED_VALUE"""),0.0)</f>
        <v>0</v>
      </c>
    </row>
    <row r="1240">
      <c r="A1240">
        <f>IFERROR(__xludf.DUMMYFUNCTION("""COMPUTED_VALUE"""),171760.0)</f>
        <v>171760</v>
      </c>
      <c r="B1240" t="str">
        <f>IFERROR(__xludf.DUMMYFUNCTION("""COMPUTED_VALUE"""),"Beef Round Top Round Roast Boneless Separable Lean Only Trimmed To 0 Inch Fat All Grades Raw")</f>
        <v>Beef Round Top Round Roast Boneless Separable Lean Only Trimmed To 0 Inch Fat All Grades Raw</v>
      </c>
      <c r="C1240" t="str">
        <f>IFERROR(__xludf.DUMMYFUNCTION("""COMPUTED_VALUE"""),"Meats")</f>
        <v>Meats</v>
      </c>
      <c r="D1240">
        <f>IFERROR(__xludf.DUMMYFUNCTION("""COMPUTED_VALUE"""),121.0)</f>
        <v>121</v>
      </c>
      <c r="E1240">
        <f>IFERROR(__xludf.DUMMYFUNCTION("""COMPUTED_VALUE"""),2.94)</f>
        <v>2.94</v>
      </c>
      <c r="F1240">
        <f>IFERROR(__xludf.DUMMYFUNCTION("""COMPUTED_VALUE"""),23.59)</f>
        <v>23.59</v>
      </c>
      <c r="G1240">
        <f>IFERROR(__xludf.DUMMYFUNCTION("""COMPUTED_VALUE"""),0.0)</f>
        <v>0</v>
      </c>
    </row>
    <row r="1241">
      <c r="A1241">
        <f>IFERROR(__xludf.DUMMYFUNCTION("""COMPUTED_VALUE"""),171761.0)</f>
        <v>171761</v>
      </c>
      <c r="B1241" t="str">
        <f>IFERROR(__xludf.DUMMYFUNCTION("""COMPUTED_VALUE"""),"Beef Round Eye Of Round Roast Boneless Separable Lean Only Trimmed To 0 Inch Fat Select Raw")</f>
        <v>Beef Round Eye Of Round Roast Boneless Separable Lean Only Trimmed To 0 Inch Fat Select Raw</v>
      </c>
      <c r="C1241" t="str">
        <f>IFERROR(__xludf.DUMMYFUNCTION("""COMPUTED_VALUE"""),"Meats")</f>
        <v>Meats</v>
      </c>
      <c r="D1241">
        <f>IFERROR(__xludf.DUMMYFUNCTION("""COMPUTED_VALUE"""),116.0)</f>
        <v>116</v>
      </c>
      <c r="E1241">
        <f>IFERROR(__xludf.DUMMYFUNCTION("""COMPUTED_VALUE"""),2.52)</f>
        <v>2.52</v>
      </c>
      <c r="F1241">
        <f>IFERROR(__xludf.DUMMYFUNCTION("""COMPUTED_VALUE"""),23.41)</f>
        <v>23.41</v>
      </c>
      <c r="G1241">
        <f>IFERROR(__xludf.DUMMYFUNCTION("""COMPUTED_VALUE"""),0.0)</f>
        <v>0</v>
      </c>
    </row>
    <row r="1242">
      <c r="A1242">
        <f>IFERROR(__xludf.DUMMYFUNCTION("""COMPUTED_VALUE"""),171762.0)</f>
        <v>171762</v>
      </c>
      <c r="B1242" t="str">
        <f>IFERROR(__xludf.DUMMYFUNCTION("""COMPUTED_VALUE"""),"Beef Round Eye Of Round Steak Boneless Separable Lean Only Trimmed To 0 Inch Fat All Grades Raw")</f>
        <v>Beef Round Eye Of Round Steak Boneless Separable Lean Only Trimmed To 0 Inch Fat All Grades Raw</v>
      </c>
      <c r="C1242" t="str">
        <f>IFERROR(__xludf.DUMMYFUNCTION("""COMPUTED_VALUE"""),"Meats")</f>
        <v>Meats</v>
      </c>
      <c r="D1242">
        <f>IFERROR(__xludf.DUMMYFUNCTION("""COMPUTED_VALUE"""),121.0)</f>
        <v>121</v>
      </c>
      <c r="E1242">
        <f>IFERROR(__xludf.DUMMYFUNCTION("""COMPUTED_VALUE"""),3.04)</f>
        <v>3.04</v>
      </c>
      <c r="F1242">
        <f>IFERROR(__xludf.DUMMYFUNCTION("""COMPUTED_VALUE"""),23.37)</f>
        <v>23.37</v>
      </c>
      <c r="G1242">
        <f>IFERROR(__xludf.DUMMYFUNCTION("""COMPUTED_VALUE"""),0.0)</f>
        <v>0</v>
      </c>
    </row>
    <row r="1243">
      <c r="A1243">
        <f>IFERROR(__xludf.DUMMYFUNCTION("""COMPUTED_VALUE"""),171763.0)</f>
        <v>171763</v>
      </c>
      <c r="B1243" t="str">
        <f>IFERROR(__xludf.DUMMYFUNCTION("""COMPUTED_VALUE"""),"Beef Round Eye Of Round Steak Boneless Separable Lean Only Trimmed To 0 Inch Fat Choice Raw")</f>
        <v>Beef Round Eye Of Round Steak Boneless Separable Lean Only Trimmed To 0 Inch Fat Choice Raw</v>
      </c>
      <c r="C1243" t="str">
        <f>IFERROR(__xludf.DUMMYFUNCTION("""COMPUTED_VALUE"""),"Meats")</f>
        <v>Meats</v>
      </c>
      <c r="D1243">
        <f>IFERROR(__xludf.DUMMYFUNCTION("""COMPUTED_VALUE"""),124.0)</f>
        <v>124</v>
      </c>
      <c r="E1243">
        <f>IFERROR(__xludf.DUMMYFUNCTION("""COMPUTED_VALUE"""),3.38)</f>
        <v>3.38</v>
      </c>
      <c r="F1243">
        <f>IFERROR(__xludf.DUMMYFUNCTION("""COMPUTED_VALUE"""),23.35)</f>
        <v>23.35</v>
      </c>
      <c r="G1243">
        <f>IFERROR(__xludf.DUMMYFUNCTION("""COMPUTED_VALUE"""),0.0)</f>
        <v>0</v>
      </c>
    </row>
    <row r="1244">
      <c r="A1244">
        <f>IFERROR(__xludf.DUMMYFUNCTION("""COMPUTED_VALUE"""),171764.0)</f>
        <v>171764</v>
      </c>
      <c r="B1244" t="str">
        <f>IFERROR(__xludf.DUMMYFUNCTION("""COMPUTED_VALUE"""),"Beef Round Eye Of Round Steak Boneless Separable Lean Only Trimmed To 0 Inch Fat Select Raw")</f>
        <v>Beef Round Eye Of Round Steak Boneless Separable Lean Only Trimmed To 0 Inch Fat Select Raw</v>
      </c>
      <c r="C1244" t="str">
        <f>IFERROR(__xludf.DUMMYFUNCTION("""COMPUTED_VALUE"""),"Meats")</f>
        <v>Meats</v>
      </c>
      <c r="D1244">
        <f>IFERROR(__xludf.DUMMYFUNCTION("""COMPUTED_VALUE"""),116.0)</f>
        <v>116</v>
      </c>
      <c r="E1244">
        <f>IFERROR(__xludf.DUMMYFUNCTION("""COMPUTED_VALUE"""),2.52)</f>
        <v>2.52</v>
      </c>
      <c r="F1244">
        <f>IFERROR(__xludf.DUMMYFUNCTION("""COMPUTED_VALUE"""),23.41)</f>
        <v>23.41</v>
      </c>
      <c r="G1244">
        <f>IFERROR(__xludf.DUMMYFUNCTION("""COMPUTED_VALUE"""),0.0)</f>
        <v>0</v>
      </c>
    </row>
    <row r="1245">
      <c r="A1245">
        <f>IFERROR(__xludf.DUMMYFUNCTION("""COMPUTED_VALUE"""),171765.0)</f>
        <v>171765</v>
      </c>
      <c r="B1245" t="str">
        <f>IFERROR(__xludf.DUMMYFUNCTION("""COMPUTED_VALUE"""),"Beef Loin Tenderloin Roast Boneless Separable Lean Only Trimmed To 0 Inch Fat All Grades Raw")</f>
        <v>Beef Loin Tenderloin Roast Boneless Separable Lean Only Trimmed To 0 Inch Fat All Grades Raw</v>
      </c>
      <c r="C1245" t="str">
        <f>IFERROR(__xludf.DUMMYFUNCTION("""COMPUTED_VALUE"""),"Meats")</f>
        <v>Meats</v>
      </c>
      <c r="D1245">
        <f>IFERROR(__xludf.DUMMYFUNCTION("""COMPUTED_VALUE"""),139.0)</f>
        <v>139</v>
      </c>
      <c r="E1245">
        <f>IFERROR(__xludf.DUMMYFUNCTION("""COMPUTED_VALUE"""),5.74)</f>
        <v>5.74</v>
      </c>
      <c r="F1245">
        <f>IFERROR(__xludf.DUMMYFUNCTION("""COMPUTED_VALUE"""),21.94)</f>
        <v>21.94</v>
      </c>
      <c r="G1245">
        <f>IFERROR(__xludf.DUMMYFUNCTION("""COMPUTED_VALUE"""),0.0)</f>
        <v>0</v>
      </c>
    </row>
    <row r="1246">
      <c r="A1246">
        <f>IFERROR(__xludf.DUMMYFUNCTION("""COMPUTED_VALUE"""),171766.0)</f>
        <v>171766</v>
      </c>
      <c r="B1246" t="str">
        <f>IFERROR(__xludf.DUMMYFUNCTION("""COMPUTED_VALUE"""),"Beef Loin Top Loin Steak Boneless Lip Off Separable Lean Only Trimmed To 0 Inch Fat Select Raw")</f>
        <v>Beef Loin Top Loin Steak Boneless Lip Off Separable Lean Only Trimmed To 0 Inch Fat Select Raw</v>
      </c>
      <c r="C1246" t="str">
        <f>IFERROR(__xludf.DUMMYFUNCTION("""COMPUTED_VALUE"""),"Meats")</f>
        <v>Meats</v>
      </c>
      <c r="D1246">
        <f>IFERROR(__xludf.DUMMYFUNCTION("""COMPUTED_VALUE"""),135.0)</f>
        <v>135</v>
      </c>
      <c r="E1246">
        <f>IFERROR(__xludf.DUMMYFUNCTION("""COMPUTED_VALUE"""),4.66)</f>
        <v>4.66</v>
      </c>
      <c r="F1246">
        <f>IFERROR(__xludf.DUMMYFUNCTION("""COMPUTED_VALUE"""),23.3)</f>
        <v>23.3</v>
      </c>
      <c r="G1246">
        <f>IFERROR(__xludf.DUMMYFUNCTION("""COMPUTED_VALUE"""),0.0)</f>
        <v>0</v>
      </c>
    </row>
    <row r="1247">
      <c r="A1247">
        <f>IFERROR(__xludf.DUMMYFUNCTION("""COMPUTED_VALUE"""),171767.0)</f>
        <v>171767</v>
      </c>
      <c r="B1247" t="str">
        <f>IFERROR(__xludf.DUMMYFUNCTION("""COMPUTED_VALUE"""),"Beef Loin Tenderloin Steak Boneless Separable Lean Only Trimmed To 0 Inch Fat All Grades Raw")</f>
        <v>Beef Loin Tenderloin Steak Boneless Separable Lean Only Trimmed To 0 Inch Fat All Grades Raw</v>
      </c>
      <c r="C1247" t="str">
        <f>IFERROR(__xludf.DUMMYFUNCTION("""COMPUTED_VALUE"""),"Meats")</f>
        <v>Meats</v>
      </c>
      <c r="D1247">
        <f>IFERROR(__xludf.DUMMYFUNCTION("""COMPUTED_VALUE"""),139.0)</f>
        <v>139</v>
      </c>
      <c r="E1247">
        <f>IFERROR(__xludf.DUMMYFUNCTION("""COMPUTED_VALUE"""),5.74)</f>
        <v>5.74</v>
      </c>
      <c r="F1247">
        <f>IFERROR(__xludf.DUMMYFUNCTION("""COMPUTED_VALUE"""),21.94)</f>
        <v>21.94</v>
      </c>
      <c r="G1247">
        <f>IFERROR(__xludf.DUMMYFUNCTION("""COMPUTED_VALUE"""),0.0)</f>
        <v>0</v>
      </c>
    </row>
    <row r="1248">
      <c r="A1248">
        <f>IFERROR(__xludf.DUMMYFUNCTION("""COMPUTED_VALUE"""),171768.0)</f>
        <v>171768</v>
      </c>
      <c r="B1248" t="str">
        <f>IFERROR(__xludf.DUMMYFUNCTION("""COMPUTED_VALUE"""),"Beef Loin Tenderloin Steak Boneless Separable Lean Only Trimmed To 0 Inch Fat Choice Raw")</f>
        <v>Beef Loin Tenderloin Steak Boneless Separable Lean Only Trimmed To 0 Inch Fat Choice Raw</v>
      </c>
      <c r="C1248" t="str">
        <f>IFERROR(__xludf.DUMMYFUNCTION("""COMPUTED_VALUE"""),"Meats")</f>
        <v>Meats</v>
      </c>
      <c r="D1248">
        <f>IFERROR(__xludf.DUMMYFUNCTION("""COMPUTED_VALUE"""),143.0)</f>
        <v>143</v>
      </c>
      <c r="E1248">
        <f>IFERROR(__xludf.DUMMYFUNCTION("""COMPUTED_VALUE"""),6.16)</f>
        <v>6.16</v>
      </c>
      <c r="F1248">
        <f>IFERROR(__xludf.DUMMYFUNCTION("""COMPUTED_VALUE"""),21.78)</f>
        <v>21.78</v>
      </c>
      <c r="G1248">
        <f>IFERROR(__xludf.DUMMYFUNCTION("""COMPUTED_VALUE"""),0.0)</f>
        <v>0</v>
      </c>
    </row>
    <row r="1249">
      <c r="A1249">
        <f>IFERROR(__xludf.DUMMYFUNCTION("""COMPUTED_VALUE"""),171769.0)</f>
        <v>171769</v>
      </c>
      <c r="B1249" t="str">
        <f>IFERROR(__xludf.DUMMYFUNCTION("""COMPUTED_VALUE"""),"Beef Loin Tenderloin Steak Boneless Separable Lean Only Trimmed To 0 Inch Fat Select Raw")</f>
        <v>Beef Loin Tenderloin Steak Boneless Separable Lean Only Trimmed To 0 Inch Fat Select Raw</v>
      </c>
      <c r="C1249" t="str">
        <f>IFERROR(__xludf.DUMMYFUNCTION("""COMPUTED_VALUE"""),"Meats")</f>
        <v>Meats</v>
      </c>
      <c r="D1249">
        <f>IFERROR(__xludf.DUMMYFUNCTION("""COMPUTED_VALUE"""),135.0)</f>
        <v>135</v>
      </c>
      <c r="E1249">
        <f>IFERROR(__xludf.DUMMYFUNCTION("""COMPUTED_VALUE"""),5.1)</f>
        <v>5.1</v>
      </c>
      <c r="F1249">
        <f>IFERROR(__xludf.DUMMYFUNCTION("""COMPUTED_VALUE"""),22.16)</f>
        <v>22.16</v>
      </c>
      <c r="G1249">
        <f>IFERROR(__xludf.DUMMYFUNCTION("""COMPUTED_VALUE"""),0.0)</f>
        <v>0</v>
      </c>
    </row>
    <row r="1250">
      <c r="A1250">
        <f>IFERROR(__xludf.DUMMYFUNCTION("""COMPUTED_VALUE"""),171770.0)</f>
        <v>171770</v>
      </c>
      <c r="B1250" t="str">
        <f>IFERROR(__xludf.DUMMYFUNCTION("""COMPUTED_VALUE"""),"Beef Round Top Round Roast Boneless Separable Lean Only Trimmed To 0 Inch Fat Choice Cooked Roasted")</f>
        <v>Beef Round Top Round Roast Boneless Separable Lean Only Trimmed To 0 Inch Fat Choice Cooked Roasted</v>
      </c>
      <c r="C1250" t="str">
        <f>IFERROR(__xludf.DUMMYFUNCTION("""COMPUTED_VALUE"""),"Meats")</f>
        <v>Meats</v>
      </c>
      <c r="D1250">
        <f>IFERROR(__xludf.DUMMYFUNCTION("""COMPUTED_VALUE"""),158.0)</f>
        <v>158</v>
      </c>
      <c r="E1250">
        <f>IFERROR(__xludf.DUMMYFUNCTION("""COMPUTED_VALUE"""),4.11)</f>
        <v>4.11</v>
      </c>
      <c r="F1250">
        <f>IFERROR(__xludf.DUMMYFUNCTION("""COMPUTED_VALUE"""),30.24)</f>
        <v>30.24</v>
      </c>
      <c r="G1250">
        <f>IFERROR(__xludf.DUMMYFUNCTION("""COMPUTED_VALUE"""),0.06)</f>
        <v>0.06</v>
      </c>
    </row>
    <row r="1251">
      <c r="A1251">
        <f>IFERROR(__xludf.DUMMYFUNCTION("""COMPUTED_VALUE"""),171771.0)</f>
        <v>171771</v>
      </c>
      <c r="B1251" t="str">
        <f>IFERROR(__xludf.DUMMYFUNCTION("""COMPUTED_VALUE"""),"Beef Round Top Round Roast Boneless Separable Lean Only Trimmed To 0 Inch Fat Select Cooked Roasted")</f>
        <v>Beef Round Top Round Roast Boneless Separable Lean Only Trimmed To 0 Inch Fat Select Cooked Roasted</v>
      </c>
      <c r="C1251" t="str">
        <f>IFERROR(__xludf.DUMMYFUNCTION("""COMPUTED_VALUE"""),"Meats")</f>
        <v>Meats</v>
      </c>
      <c r="D1251">
        <f>IFERROR(__xludf.DUMMYFUNCTION("""COMPUTED_VALUE"""),150.0)</f>
        <v>150</v>
      </c>
      <c r="E1251">
        <f>IFERROR(__xludf.DUMMYFUNCTION("""COMPUTED_VALUE"""),3.37)</f>
        <v>3.37</v>
      </c>
      <c r="F1251">
        <f>IFERROR(__xludf.DUMMYFUNCTION("""COMPUTED_VALUE"""),29.81)</f>
        <v>29.81</v>
      </c>
      <c r="G1251">
        <f>IFERROR(__xludf.DUMMYFUNCTION("""COMPUTED_VALUE"""),0.0)</f>
        <v>0</v>
      </c>
    </row>
    <row r="1252">
      <c r="A1252">
        <f>IFERROR(__xludf.DUMMYFUNCTION("""COMPUTED_VALUE"""),171772.0)</f>
        <v>171772</v>
      </c>
      <c r="B1252" t="str">
        <f>IFERROR(__xludf.DUMMYFUNCTION("""COMPUTED_VALUE"""),"Beef Round Eye Of Round Steak Boneless Separable Lean Only Trimmed To 0 Inch Fat All Grades Cooked Grilled")</f>
        <v>Beef Round Eye Of Round Steak Boneless Separable Lean Only Trimmed To 0 Inch Fat All Grades Cooked Grilled</v>
      </c>
      <c r="C1252" t="str">
        <f>IFERROR(__xludf.DUMMYFUNCTION("""COMPUTED_VALUE"""),"Meats")</f>
        <v>Meats</v>
      </c>
      <c r="D1252">
        <f>IFERROR(__xludf.DUMMYFUNCTION("""COMPUTED_VALUE"""),155.0)</f>
        <v>155</v>
      </c>
      <c r="E1252">
        <f>IFERROR(__xludf.DUMMYFUNCTION("""COMPUTED_VALUE"""),3.9)</f>
        <v>3.9</v>
      </c>
      <c r="F1252">
        <f>IFERROR(__xludf.DUMMYFUNCTION("""COMPUTED_VALUE"""),29.85)</f>
        <v>29.85</v>
      </c>
      <c r="G1252">
        <f>IFERROR(__xludf.DUMMYFUNCTION("""COMPUTED_VALUE"""),0.0)</f>
        <v>0</v>
      </c>
    </row>
    <row r="1253">
      <c r="A1253">
        <f>IFERROR(__xludf.DUMMYFUNCTION("""COMPUTED_VALUE"""),171773.0)</f>
        <v>171773</v>
      </c>
      <c r="B1253" t="str">
        <f>IFERROR(__xludf.DUMMYFUNCTION("""COMPUTED_VALUE"""),"Beef Round Eye Of Round Steak Boneless Separable Lean Only Trimmed To 0 Inch Fat Choice Cooked Grilled")</f>
        <v>Beef Round Eye Of Round Steak Boneless Separable Lean Only Trimmed To 0 Inch Fat Choice Cooked Grilled</v>
      </c>
      <c r="C1253" t="str">
        <f>IFERROR(__xludf.DUMMYFUNCTION("""COMPUTED_VALUE"""),"Meats")</f>
        <v>Meats</v>
      </c>
      <c r="D1253">
        <f>IFERROR(__xludf.DUMMYFUNCTION("""COMPUTED_VALUE"""),158.0)</f>
        <v>158</v>
      </c>
      <c r="E1253">
        <f>IFERROR(__xludf.DUMMYFUNCTION("""COMPUTED_VALUE"""),4.26)</f>
        <v>4.26</v>
      </c>
      <c r="F1253">
        <f>IFERROR(__xludf.DUMMYFUNCTION("""COMPUTED_VALUE"""),29.94)</f>
        <v>29.94</v>
      </c>
      <c r="G1253">
        <f>IFERROR(__xludf.DUMMYFUNCTION("""COMPUTED_VALUE"""),0.0)</f>
        <v>0</v>
      </c>
    </row>
    <row r="1254">
      <c r="A1254">
        <f>IFERROR(__xludf.DUMMYFUNCTION("""COMPUTED_VALUE"""),171774.0)</f>
        <v>171774</v>
      </c>
      <c r="B1254" t="str">
        <f>IFERROR(__xludf.DUMMYFUNCTION("""COMPUTED_VALUE"""),"Beef Loin Top Loin Steak Boneless Lip-On Separable Lean And Fat Trimmed To 1/8 Inch Fat Select Raw")</f>
        <v>Beef Loin Top Loin Steak Boneless Lip-On Separable Lean And Fat Trimmed To 1/8 Inch Fat Select Raw</v>
      </c>
      <c r="C1254" t="str">
        <f>IFERROR(__xludf.DUMMYFUNCTION("""COMPUTED_VALUE"""),"Meats")</f>
        <v>Meats</v>
      </c>
      <c r="D1254">
        <f>IFERROR(__xludf.DUMMYFUNCTION("""COMPUTED_VALUE"""),191.0)</f>
        <v>191</v>
      </c>
      <c r="E1254">
        <f>IFERROR(__xludf.DUMMYFUNCTION("""COMPUTED_VALUE"""),11.65)</f>
        <v>11.65</v>
      </c>
      <c r="F1254">
        <f>IFERROR(__xludf.DUMMYFUNCTION("""COMPUTED_VALUE"""),21.54)</f>
        <v>21.54</v>
      </c>
      <c r="G1254">
        <f>IFERROR(__xludf.DUMMYFUNCTION("""COMPUTED_VALUE"""),0.0)</f>
        <v>0</v>
      </c>
    </row>
    <row r="1255">
      <c r="A1255">
        <f>IFERROR(__xludf.DUMMYFUNCTION("""COMPUTED_VALUE"""),171775.0)</f>
        <v>171775</v>
      </c>
      <c r="B1255" t="str">
        <f>IFERROR(__xludf.DUMMYFUNCTION("""COMPUTED_VALUE"""),"Beef Loin Top Loin Steak Boneless Lip-On Separable Lean And Fat Trimmed To 1/8 Inch Fat All Grades Raw")</f>
        <v>Beef Loin Top Loin Steak Boneless Lip-On Separable Lean And Fat Trimmed To 1/8 Inch Fat All Grades Raw</v>
      </c>
      <c r="C1255" t="str">
        <f>IFERROR(__xludf.DUMMYFUNCTION("""COMPUTED_VALUE"""),"Meats")</f>
        <v>Meats</v>
      </c>
      <c r="D1255">
        <f>IFERROR(__xludf.DUMMYFUNCTION("""COMPUTED_VALUE"""),199.0)</f>
        <v>199</v>
      </c>
      <c r="E1255">
        <f>IFERROR(__xludf.DUMMYFUNCTION("""COMPUTED_VALUE"""),12.68)</f>
        <v>12.68</v>
      </c>
      <c r="F1255">
        <f>IFERROR(__xludf.DUMMYFUNCTION("""COMPUTED_VALUE"""),21.29)</f>
        <v>21.29</v>
      </c>
      <c r="G1255">
        <f>IFERROR(__xludf.DUMMYFUNCTION("""COMPUTED_VALUE"""),0.0)</f>
        <v>0</v>
      </c>
    </row>
    <row r="1256">
      <c r="A1256">
        <f>IFERROR(__xludf.DUMMYFUNCTION("""COMPUTED_VALUE"""),171776.0)</f>
        <v>171776</v>
      </c>
      <c r="B1256" t="str">
        <f>IFERROR(__xludf.DUMMYFUNCTION("""COMPUTED_VALUE"""),"Beef Composite Of Trimmed Retail Cuts Separable Lean Only Trimmed To 0 Inch Fat Select Raw")</f>
        <v>Beef Composite Of Trimmed Retail Cuts Separable Lean Only Trimmed To 0 Inch Fat Select Raw</v>
      </c>
      <c r="C1256" t="str">
        <f>IFERROR(__xludf.DUMMYFUNCTION("""COMPUTED_VALUE"""),"Meats")</f>
        <v>Meats</v>
      </c>
      <c r="D1256">
        <f>IFERROR(__xludf.DUMMYFUNCTION("""COMPUTED_VALUE"""),133.0)</f>
        <v>133</v>
      </c>
      <c r="E1256">
        <f>IFERROR(__xludf.DUMMYFUNCTION("""COMPUTED_VALUE"""),4.99)</f>
        <v>4.99</v>
      </c>
      <c r="F1256">
        <f>IFERROR(__xludf.DUMMYFUNCTION("""COMPUTED_VALUE"""),22.03)</f>
        <v>22.03</v>
      </c>
      <c r="G1256">
        <f>IFERROR(__xludf.DUMMYFUNCTION("""COMPUTED_VALUE"""),0.0)</f>
        <v>0</v>
      </c>
    </row>
    <row r="1257">
      <c r="A1257">
        <f>IFERROR(__xludf.DUMMYFUNCTION("""COMPUTED_VALUE"""),171777.0)</f>
        <v>171777</v>
      </c>
      <c r="B1257" t="str">
        <f>IFERROR(__xludf.DUMMYFUNCTION("""COMPUTED_VALUE"""),"Beef Composite Of Trimmed Retail Cuts Separable Lean And Fat Trimmed To 0 Inch Fat Select Raw")</f>
        <v>Beef Composite Of Trimmed Retail Cuts Separable Lean And Fat Trimmed To 0 Inch Fat Select Raw</v>
      </c>
      <c r="C1257" t="str">
        <f>IFERROR(__xludf.DUMMYFUNCTION("""COMPUTED_VALUE"""),"Meats")</f>
        <v>Meats</v>
      </c>
      <c r="D1257">
        <f>IFERROR(__xludf.DUMMYFUNCTION("""COMPUTED_VALUE"""),157.0)</f>
        <v>157</v>
      </c>
      <c r="E1257">
        <f>IFERROR(__xludf.DUMMYFUNCTION("""COMPUTED_VALUE"""),8.0)</f>
        <v>8</v>
      </c>
      <c r="F1257">
        <f>IFERROR(__xludf.DUMMYFUNCTION("""COMPUTED_VALUE"""),21.2)</f>
        <v>21.2</v>
      </c>
      <c r="G1257">
        <f>IFERROR(__xludf.DUMMYFUNCTION("""COMPUTED_VALUE"""),0.0)</f>
        <v>0</v>
      </c>
    </row>
    <row r="1258">
      <c r="A1258">
        <f>IFERROR(__xludf.DUMMYFUNCTION("""COMPUTED_VALUE"""),171778.0)</f>
        <v>171778</v>
      </c>
      <c r="B1258" t="str">
        <f>IFERROR(__xludf.DUMMYFUNCTION("""COMPUTED_VALUE"""),"Beef Composite Of Trimmed Retail Cuts Separable Lean Only Trimmed To 1/8 Inch Fat Select Cooked")</f>
        <v>Beef Composite Of Trimmed Retail Cuts Separable Lean Only Trimmed To 1/8 Inch Fat Select Cooked</v>
      </c>
      <c r="C1258" t="str">
        <f>IFERROR(__xludf.DUMMYFUNCTION("""COMPUTED_VALUE"""),"Meats")</f>
        <v>Meats</v>
      </c>
      <c r="D1258">
        <f>IFERROR(__xludf.DUMMYFUNCTION("""COMPUTED_VALUE"""),167.0)</f>
        <v>167</v>
      </c>
      <c r="E1258">
        <f>IFERROR(__xludf.DUMMYFUNCTION("""COMPUTED_VALUE"""),6.37)</f>
        <v>6.37</v>
      </c>
      <c r="F1258">
        <f>IFERROR(__xludf.DUMMYFUNCTION("""COMPUTED_VALUE"""),27.51)</f>
        <v>27.51</v>
      </c>
      <c r="G1258">
        <f>IFERROR(__xludf.DUMMYFUNCTION("""COMPUTED_VALUE"""),0.0)</f>
        <v>0</v>
      </c>
    </row>
    <row r="1259">
      <c r="A1259">
        <f>IFERROR(__xludf.DUMMYFUNCTION("""COMPUTED_VALUE"""),171779.0)</f>
        <v>171779</v>
      </c>
      <c r="B1259" t="str">
        <f>IFERROR(__xludf.DUMMYFUNCTION("""COMPUTED_VALUE"""),"Beef Composite Of Trimmed Retail Cuts Separable Lean Only Trimmed To 1/8 Inch Fat Select Raw")</f>
        <v>Beef Composite Of Trimmed Retail Cuts Separable Lean Only Trimmed To 1/8 Inch Fat Select Raw</v>
      </c>
      <c r="C1259" t="str">
        <f>IFERROR(__xludf.DUMMYFUNCTION("""COMPUTED_VALUE"""),"Meats")</f>
        <v>Meats</v>
      </c>
      <c r="D1259">
        <f>IFERROR(__xludf.DUMMYFUNCTION("""COMPUTED_VALUE"""),130.0)</f>
        <v>130</v>
      </c>
      <c r="E1259">
        <f>IFERROR(__xludf.DUMMYFUNCTION("""COMPUTED_VALUE"""),4.55)</f>
        <v>4.55</v>
      </c>
      <c r="F1259">
        <f>IFERROR(__xludf.DUMMYFUNCTION("""COMPUTED_VALUE"""),22.37)</f>
        <v>22.37</v>
      </c>
      <c r="G1259">
        <f>IFERROR(__xludf.DUMMYFUNCTION("""COMPUTED_VALUE"""),0.0)</f>
        <v>0</v>
      </c>
    </row>
    <row r="1260">
      <c r="A1260">
        <f>IFERROR(__xludf.DUMMYFUNCTION("""COMPUTED_VALUE"""),171780.0)</f>
        <v>171780</v>
      </c>
      <c r="B1260" t="str">
        <f>IFERROR(__xludf.DUMMYFUNCTION("""COMPUTED_VALUE"""),"Beef Chuck Clod Roast Separable Lean Only Trimmed To 1/4 Inch Fat All Grades Cooked Roasted")</f>
        <v>Beef Chuck Clod Roast Separable Lean Only Trimmed To 1/4 Inch Fat All Grades Cooked Roasted</v>
      </c>
      <c r="C1260" t="str">
        <f>IFERROR(__xludf.DUMMYFUNCTION("""COMPUTED_VALUE"""),"Meats")</f>
        <v>Meats</v>
      </c>
      <c r="D1260">
        <f>IFERROR(__xludf.DUMMYFUNCTION("""COMPUTED_VALUE"""),173.0)</f>
        <v>173</v>
      </c>
      <c r="E1260">
        <f>IFERROR(__xludf.DUMMYFUNCTION("""COMPUTED_VALUE"""),6.75)</f>
        <v>6.75</v>
      </c>
      <c r="F1260">
        <f>IFERROR(__xludf.DUMMYFUNCTION("""COMPUTED_VALUE"""),26.36)</f>
        <v>26.36</v>
      </c>
      <c r="G1260">
        <f>IFERROR(__xludf.DUMMYFUNCTION("""COMPUTED_VALUE"""),0.0)</f>
        <v>0</v>
      </c>
    </row>
    <row r="1261">
      <c r="A1261">
        <f>IFERROR(__xludf.DUMMYFUNCTION("""COMPUTED_VALUE"""),171781.0)</f>
        <v>171781</v>
      </c>
      <c r="B1261" t="str">
        <f>IFERROR(__xludf.DUMMYFUNCTION("""COMPUTED_VALUE"""),"Beef Shoulder Steak Boneless Separable Lean Only Trimmed To 0 Inch Fat All Grades Cooked Grilled")</f>
        <v>Beef Shoulder Steak Boneless Separable Lean Only Trimmed To 0 Inch Fat All Grades Cooked Grilled</v>
      </c>
      <c r="C1261" t="str">
        <f>IFERROR(__xludf.DUMMYFUNCTION("""COMPUTED_VALUE"""),"Meats")</f>
        <v>Meats</v>
      </c>
      <c r="D1261">
        <f>IFERROR(__xludf.DUMMYFUNCTION("""COMPUTED_VALUE"""),175.0)</f>
        <v>175</v>
      </c>
      <c r="E1261">
        <f>IFERROR(__xludf.DUMMYFUNCTION("""COMPUTED_VALUE"""),5.82)</f>
        <v>5.82</v>
      </c>
      <c r="F1261">
        <f>IFERROR(__xludf.DUMMYFUNCTION("""COMPUTED_VALUE"""),28.6)</f>
        <v>28.6</v>
      </c>
      <c r="G1261">
        <f>IFERROR(__xludf.DUMMYFUNCTION("""COMPUTED_VALUE"""),0.0)</f>
        <v>0</v>
      </c>
    </row>
    <row r="1262">
      <c r="A1262">
        <f>IFERROR(__xludf.DUMMYFUNCTION("""COMPUTED_VALUE"""),171782.0)</f>
        <v>171782</v>
      </c>
      <c r="B1262" t="str">
        <f>IFERROR(__xludf.DUMMYFUNCTION("""COMPUTED_VALUE"""),"Beef Chuck Clod Steak Separable Lean Only Trimmed To 1/4 Inch Fat All Grades Cooked Braised")</f>
        <v>Beef Chuck Clod Steak Separable Lean Only Trimmed To 1/4 Inch Fat All Grades Cooked Braised</v>
      </c>
      <c r="C1262" t="str">
        <f>IFERROR(__xludf.DUMMYFUNCTION("""COMPUTED_VALUE"""),"Meats")</f>
        <v>Meats</v>
      </c>
      <c r="D1262">
        <f>IFERROR(__xludf.DUMMYFUNCTION("""COMPUTED_VALUE"""),189.0)</f>
        <v>189</v>
      </c>
      <c r="E1262">
        <f>IFERROR(__xludf.DUMMYFUNCTION("""COMPUTED_VALUE"""),7.04)</f>
        <v>7.04</v>
      </c>
      <c r="F1262">
        <f>IFERROR(__xludf.DUMMYFUNCTION("""COMPUTED_VALUE"""),29.34)</f>
        <v>29.34</v>
      </c>
      <c r="G1262">
        <f>IFERROR(__xludf.DUMMYFUNCTION("""COMPUTED_VALUE"""),0.0)</f>
        <v>0</v>
      </c>
    </row>
    <row r="1263">
      <c r="A1263">
        <f>IFERROR(__xludf.DUMMYFUNCTION("""COMPUTED_VALUE"""),171783.0)</f>
        <v>171783</v>
      </c>
      <c r="B1263" t="str">
        <f>IFERROR(__xludf.DUMMYFUNCTION("""COMPUTED_VALUE"""),"Beef Chuck Mock Tender Steak Separable Lean And Fat Trimmed To 0 Inch Fat USDA Choice Cooked Broiled")</f>
        <v>Beef Chuck Mock Tender Steak Separable Lean And Fat Trimmed To 0 Inch Fat USDA Choice Cooked Broiled</v>
      </c>
      <c r="C1263" t="str">
        <f>IFERROR(__xludf.DUMMYFUNCTION("""COMPUTED_VALUE"""),"Meats")</f>
        <v>Meats</v>
      </c>
      <c r="D1263">
        <f>IFERROR(__xludf.DUMMYFUNCTION("""COMPUTED_VALUE"""),161.0)</f>
        <v>161</v>
      </c>
      <c r="E1263">
        <f>IFERROR(__xludf.DUMMYFUNCTION("""COMPUTED_VALUE"""),5.72)</f>
        <v>5.72</v>
      </c>
      <c r="F1263">
        <f>IFERROR(__xludf.DUMMYFUNCTION("""COMPUTED_VALUE"""),25.73)</f>
        <v>25.73</v>
      </c>
      <c r="G1263">
        <f>IFERROR(__xludf.DUMMYFUNCTION("""COMPUTED_VALUE"""),0.0)</f>
        <v>0</v>
      </c>
    </row>
    <row r="1264">
      <c r="A1264">
        <f>IFERROR(__xludf.DUMMYFUNCTION("""COMPUTED_VALUE"""),171784.0)</f>
        <v>171784</v>
      </c>
      <c r="B1264" t="str">
        <f>IFERROR(__xludf.DUMMYFUNCTION("""COMPUTED_VALUE"""),"Beef Chuck Clod Roast Separable Lean And Fat Trimmed To 0 Inch Fat Select Cooked Roasted")</f>
        <v>Beef Chuck Clod Roast Separable Lean And Fat Trimmed To 0 Inch Fat Select Cooked Roasted</v>
      </c>
      <c r="C1264" t="str">
        <f>IFERROR(__xludf.DUMMYFUNCTION("""COMPUTED_VALUE"""),"Meats")</f>
        <v>Meats</v>
      </c>
      <c r="D1264">
        <f>IFERROR(__xludf.DUMMYFUNCTION("""COMPUTED_VALUE"""),196.0)</f>
        <v>196</v>
      </c>
      <c r="E1264">
        <f>IFERROR(__xludf.DUMMYFUNCTION("""COMPUTED_VALUE"""),8.76)</f>
        <v>8.76</v>
      </c>
      <c r="F1264">
        <f>IFERROR(__xludf.DUMMYFUNCTION("""COMPUTED_VALUE"""),27.3)</f>
        <v>27.3</v>
      </c>
      <c r="G1264">
        <f>IFERROR(__xludf.DUMMYFUNCTION("""COMPUTED_VALUE"""),0.0)</f>
        <v>0</v>
      </c>
    </row>
    <row r="1265">
      <c r="A1265">
        <f>IFERROR(__xludf.DUMMYFUNCTION("""COMPUTED_VALUE"""),171785.0)</f>
        <v>171785</v>
      </c>
      <c r="B1265" t="str">
        <f>IFERROR(__xludf.DUMMYFUNCTION("""COMPUTED_VALUE"""),"Beef Shoulder Steak Boneless Separable Lean And Fat Trimmed To 0 Inch Fat Choice Cooked Grilled")</f>
        <v>Beef Shoulder Steak Boneless Separable Lean And Fat Trimmed To 0 Inch Fat Choice Cooked Grilled</v>
      </c>
      <c r="C1265" t="str">
        <f>IFERROR(__xludf.DUMMYFUNCTION("""COMPUTED_VALUE"""),"Meats")</f>
        <v>Meats</v>
      </c>
      <c r="D1265">
        <f>IFERROR(__xludf.DUMMYFUNCTION("""COMPUTED_VALUE"""),186.0)</f>
        <v>186</v>
      </c>
      <c r="E1265">
        <f>IFERROR(__xludf.DUMMYFUNCTION("""COMPUTED_VALUE"""),7.25)</f>
        <v>7.25</v>
      </c>
      <c r="F1265">
        <f>IFERROR(__xludf.DUMMYFUNCTION("""COMPUTED_VALUE"""),28.22)</f>
        <v>28.22</v>
      </c>
      <c r="G1265">
        <f>IFERROR(__xludf.DUMMYFUNCTION("""COMPUTED_VALUE"""),0.0)</f>
        <v>0</v>
      </c>
    </row>
    <row r="1266">
      <c r="A1266">
        <f>IFERROR(__xludf.DUMMYFUNCTION("""COMPUTED_VALUE"""),171786.0)</f>
        <v>171786</v>
      </c>
      <c r="B1266" t="str">
        <f>IFERROR(__xludf.DUMMYFUNCTION("""COMPUTED_VALUE"""),"Beef Shoulder Steak Boneless Separable Lean And Fat Trimmed To 0 Inch Fat Select Cooked Grilled")</f>
        <v>Beef Shoulder Steak Boneless Separable Lean And Fat Trimmed To 0 Inch Fat Select Cooked Grilled</v>
      </c>
      <c r="C1266" t="str">
        <f>IFERROR(__xludf.DUMMYFUNCTION("""COMPUTED_VALUE"""),"Meats")</f>
        <v>Meats</v>
      </c>
      <c r="D1266">
        <f>IFERROR(__xludf.DUMMYFUNCTION("""COMPUTED_VALUE"""),177.0)</f>
        <v>177</v>
      </c>
      <c r="E1266">
        <f>IFERROR(__xludf.DUMMYFUNCTION("""COMPUTED_VALUE"""),6.14)</f>
        <v>6.14</v>
      </c>
      <c r="F1266">
        <f>IFERROR(__xludf.DUMMYFUNCTION("""COMPUTED_VALUE"""),28.41)</f>
        <v>28.41</v>
      </c>
      <c r="G1266">
        <f>IFERROR(__xludf.DUMMYFUNCTION("""COMPUTED_VALUE"""),0.0)</f>
        <v>0</v>
      </c>
    </row>
    <row r="1267">
      <c r="A1267">
        <f>IFERROR(__xludf.DUMMYFUNCTION("""COMPUTED_VALUE"""),171787.0)</f>
        <v>171787</v>
      </c>
      <c r="B1267" t="str">
        <f>IFERROR(__xludf.DUMMYFUNCTION("""COMPUTED_VALUE"""),"Beef Plate Inside Skirt Steak Separable Lean And Fat Trimmed To 0 Inch Fat All Grades Cooked Broiled")</f>
        <v>Beef Plate Inside Skirt Steak Separable Lean And Fat Trimmed To 0 Inch Fat All Grades Cooked Broiled</v>
      </c>
      <c r="C1267" t="str">
        <f>IFERROR(__xludf.DUMMYFUNCTION("""COMPUTED_VALUE"""),"Meats")</f>
        <v>Meats</v>
      </c>
      <c r="D1267">
        <f>IFERROR(__xludf.DUMMYFUNCTION("""COMPUTED_VALUE"""),220.0)</f>
        <v>220</v>
      </c>
      <c r="E1267">
        <f>IFERROR(__xludf.DUMMYFUNCTION("""COMPUTED_VALUE"""),12.05)</f>
        <v>12.05</v>
      </c>
      <c r="F1267">
        <f>IFERROR(__xludf.DUMMYFUNCTION("""COMPUTED_VALUE"""),26.13)</f>
        <v>26.13</v>
      </c>
      <c r="G1267">
        <f>IFERROR(__xludf.DUMMYFUNCTION("""COMPUTED_VALUE"""),0.0)</f>
        <v>0</v>
      </c>
    </row>
    <row r="1268">
      <c r="A1268">
        <f>IFERROR(__xludf.DUMMYFUNCTION("""COMPUTED_VALUE"""),171788.0)</f>
        <v>171788</v>
      </c>
      <c r="B1268" t="str">
        <f>IFERROR(__xludf.DUMMYFUNCTION("""COMPUTED_VALUE"""),"Beef Plate Outside Skirt Steak Separable Lean And Fat Trimmed To 0 Inch Fat All Grades Cooked Broiled")</f>
        <v>Beef Plate Outside Skirt Steak Separable Lean And Fat Trimmed To 0 Inch Fat All Grades Cooked Broiled</v>
      </c>
      <c r="C1268" t="str">
        <f>IFERROR(__xludf.DUMMYFUNCTION("""COMPUTED_VALUE"""),"Meats")</f>
        <v>Meats</v>
      </c>
      <c r="D1268">
        <f>IFERROR(__xludf.DUMMYFUNCTION("""COMPUTED_VALUE"""),255.0)</f>
        <v>255</v>
      </c>
      <c r="E1268">
        <f>IFERROR(__xludf.DUMMYFUNCTION("""COMPUTED_VALUE"""),17.13)</f>
        <v>17.13</v>
      </c>
      <c r="F1268">
        <f>IFERROR(__xludf.DUMMYFUNCTION("""COMPUTED_VALUE"""),23.51)</f>
        <v>23.51</v>
      </c>
      <c r="G1268">
        <f>IFERROR(__xludf.DUMMYFUNCTION("""COMPUTED_VALUE"""),0.0)</f>
        <v>0</v>
      </c>
    </row>
    <row r="1269">
      <c r="A1269">
        <f>IFERROR(__xludf.DUMMYFUNCTION("""COMPUTED_VALUE"""),171789.0)</f>
        <v>171789</v>
      </c>
      <c r="B1269" t="str">
        <f>IFERROR(__xludf.DUMMYFUNCTION("""COMPUTED_VALUE"""),"Beef Shoulder Steak Boneless Separable Lean And Fat Trimmed To 0 Inch Fat All Grades Cooked Grilled")</f>
        <v>Beef Shoulder Steak Boneless Separable Lean And Fat Trimmed To 0 Inch Fat All Grades Cooked Grilled</v>
      </c>
      <c r="C1269" t="str">
        <f>IFERROR(__xludf.DUMMYFUNCTION("""COMPUTED_VALUE"""),"Meats")</f>
        <v>Meats</v>
      </c>
      <c r="D1269">
        <f>IFERROR(__xludf.DUMMYFUNCTION("""COMPUTED_VALUE"""),182.0)</f>
        <v>182</v>
      </c>
      <c r="E1269">
        <f>IFERROR(__xludf.DUMMYFUNCTION("""COMPUTED_VALUE"""),6.8)</f>
        <v>6.8</v>
      </c>
      <c r="F1269">
        <f>IFERROR(__xludf.DUMMYFUNCTION("""COMPUTED_VALUE"""),28.29)</f>
        <v>28.29</v>
      </c>
      <c r="G1269">
        <f>IFERROR(__xludf.DUMMYFUNCTION("""COMPUTED_VALUE"""),0.0)</f>
        <v>0</v>
      </c>
    </row>
    <row r="1270">
      <c r="A1270">
        <f>IFERROR(__xludf.DUMMYFUNCTION("""COMPUTED_VALUE"""),171790.0)</f>
        <v>171790</v>
      </c>
      <c r="B1270" t="str">
        <f>IFERROR(__xludf.DUMMYFUNCTION("""COMPUTED_VALUE"""),"Beef Ground 95% Lean Meat / 5% Fat Raw")</f>
        <v>Beef Ground 95% Lean Meat / 5% Fat Raw</v>
      </c>
      <c r="C1270" t="str">
        <f>IFERROR(__xludf.DUMMYFUNCTION("""COMPUTED_VALUE"""),"Meats")</f>
        <v>Meats</v>
      </c>
      <c r="D1270">
        <f>IFERROR(__xludf.DUMMYFUNCTION("""COMPUTED_VALUE"""),137.0)</f>
        <v>137</v>
      </c>
      <c r="E1270">
        <f>IFERROR(__xludf.DUMMYFUNCTION("""COMPUTED_VALUE"""),5.0)</f>
        <v>5</v>
      </c>
      <c r="F1270">
        <f>IFERROR(__xludf.DUMMYFUNCTION("""COMPUTED_VALUE"""),21.41)</f>
        <v>21.41</v>
      </c>
      <c r="G1270">
        <f>IFERROR(__xludf.DUMMYFUNCTION("""COMPUTED_VALUE"""),0.0)</f>
        <v>0</v>
      </c>
    </row>
    <row r="1271">
      <c r="A1271">
        <f>IFERROR(__xludf.DUMMYFUNCTION("""COMPUTED_VALUE"""),171791.0)</f>
        <v>171791</v>
      </c>
      <c r="B1271" t="str">
        <f>IFERROR(__xludf.DUMMYFUNCTION("""COMPUTED_VALUE"""),"Beef Ground 95% Lean Meat / 5% Fat Patty Cooked Broiled")</f>
        <v>Beef Ground 95% Lean Meat / 5% Fat Patty Cooked Broiled</v>
      </c>
      <c r="C1271" t="str">
        <f>IFERROR(__xludf.DUMMYFUNCTION("""COMPUTED_VALUE"""),"Meats")</f>
        <v>Meats</v>
      </c>
      <c r="D1271">
        <f>IFERROR(__xludf.DUMMYFUNCTION("""COMPUTED_VALUE"""),174.0)</f>
        <v>174</v>
      </c>
      <c r="E1271">
        <f>IFERROR(__xludf.DUMMYFUNCTION("""COMPUTED_VALUE"""),6.8)</f>
        <v>6.8</v>
      </c>
      <c r="F1271">
        <f>IFERROR(__xludf.DUMMYFUNCTION("""COMPUTED_VALUE"""),26.29)</f>
        <v>26.29</v>
      </c>
      <c r="G1271">
        <f>IFERROR(__xludf.DUMMYFUNCTION("""COMPUTED_VALUE"""),0.0)</f>
        <v>0</v>
      </c>
    </row>
    <row r="1272">
      <c r="A1272">
        <f>IFERROR(__xludf.DUMMYFUNCTION("""COMPUTED_VALUE"""),171792.0)</f>
        <v>171792</v>
      </c>
      <c r="B1272" t="str">
        <f>IFERROR(__xludf.DUMMYFUNCTION("""COMPUTED_VALUE"""),"Beef Ground 95% Lean Meat / 5% Fat Patty Cooked Pan-Broiled")</f>
        <v>Beef Ground 95% Lean Meat / 5% Fat Patty Cooked Pan-Broiled</v>
      </c>
      <c r="C1272" t="str">
        <f>IFERROR(__xludf.DUMMYFUNCTION("""COMPUTED_VALUE"""),"Meats")</f>
        <v>Meats</v>
      </c>
      <c r="D1272">
        <f>IFERROR(__xludf.DUMMYFUNCTION("""COMPUTED_VALUE"""),164.0)</f>
        <v>164</v>
      </c>
      <c r="E1272">
        <f>IFERROR(__xludf.DUMMYFUNCTION("""COMPUTED_VALUE"""),5.94)</f>
        <v>5.94</v>
      </c>
      <c r="F1272">
        <f>IFERROR(__xludf.DUMMYFUNCTION("""COMPUTED_VALUE"""),25.8)</f>
        <v>25.8</v>
      </c>
      <c r="G1272">
        <f>IFERROR(__xludf.DUMMYFUNCTION("""COMPUTED_VALUE"""),0.0)</f>
        <v>0</v>
      </c>
    </row>
    <row r="1273">
      <c r="A1273">
        <f>IFERROR(__xludf.DUMMYFUNCTION("""COMPUTED_VALUE"""),171793.0)</f>
        <v>171793</v>
      </c>
      <c r="B1273" t="str">
        <f>IFERROR(__xludf.DUMMYFUNCTION("""COMPUTED_VALUE"""),"Beef Ground 90% Lean Meat / 10% Fat Patty Cooked Pan-Broiled")</f>
        <v>Beef Ground 90% Lean Meat / 10% Fat Patty Cooked Pan-Broiled</v>
      </c>
      <c r="C1273" t="str">
        <f>IFERROR(__xludf.DUMMYFUNCTION("""COMPUTED_VALUE"""),"Meats")</f>
        <v>Meats</v>
      </c>
      <c r="D1273">
        <f>IFERROR(__xludf.DUMMYFUNCTION("""COMPUTED_VALUE"""),204.0)</f>
        <v>204</v>
      </c>
      <c r="E1273">
        <f>IFERROR(__xludf.DUMMYFUNCTION("""COMPUTED_VALUE"""),10.68)</f>
        <v>10.68</v>
      </c>
      <c r="F1273">
        <f>IFERROR(__xludf.DUMMYFUNCTION("""COMPUTED_VALUE"""),25.21)</f>
        <v>25.21</v>
      </c>
      <c r="G1273">
        <f>IFERROR(__xludf.DUMMYFUNCTION("""COMPUTED_VALUE"""),0.0)</f>
        <v>0</v>
      </c>
    </row>
    <row r="1274">
      <c r="A1274">
        <f>IFERROR(__xludf.DUMMYFUNCTION("""COMPUTED_VALUE"""),171794.0)</f>
        <v>171794</v>
      </c>
      <c r="B1274" t="str">
        <f>IFERROR(__xludf.DUMMYFUNCTION("""COMPUTED_VALUE"""),"Beef Ground 90% Lean Meat / 10% Fat Crumbles Cooked Pan-Browned")</f>
        <v>Beef Ground 90% Lean Meat / 10% Fat Crumbles Cooked Pan-Browned</v>
      </c>
      <c r="C1274" t="str">
        <f>IFERROR(__xludf.DUMMYFUNCTION("""COMPUTED_VALUE"""),"Meats")</f>
        <v>Meats</v>
      </c>
      <c r="D1274">
        <f>IFERROR(__xludf.DUMMYFUNCTION("""COMPUTED_VALUE"""),230.0)</f>
        <v>230</v>
      </c>
      <c r="E1274">
        <f>IFERROR(__xludf.DUMMYFUNCTION("""COMPUTED_VALUE"""),12.04)</f>
        <v>12.04</v>
      </c>
      <c r="F1274">
        <f>IFERROR(__xludf.DUMMYFUNCTION("""COMPUTED_VALUE"""),28.45)</f>
        <v>28.45</v>
      </c>
      <c r="G1274">
        <f>IFERROR(__xludf.DUMMYFUNCTION("""COMPUTED_VALUE"""),0.0)</f>
        <v>0</v>
      </c>
    </row>
    <row r="1275">
      <c r="A1275">
        <f>IFERROR(__xludf.DUMMYFUNCTION("""COMPUTED_VALUE"""),171795.0)</f>
        <v>171795</v>
      </c>
      <c r="B1275" t="str">
        <f>IFERROR(__xludf.DUMMYFUNCTION("""COMPUTED_VALUE"""),"Beef Ground 90% Lean Meat / 10% Fat Loaf Cooked Baked")</f>
        <v>Beef Ground 90% Lean Meat / 10% Fat Loaf Cooked Baked</v>
      </c>
      <c r="C1275" t="str">
        <f>IFERROR(__xludf.DUMMYFUNCTION("""COMPUTED_VALUE"""),"Meats")</f>
        <v>Meats</v>
      </c>
      <c r="D1275">
        <f>IFERROR(__xludf.DUMMYFUNCTION("""COMPUTED_VALUE"""),214.0)</f>
        <v>214</v>
      </c>
      <c r="E1275">
        <f>IFERROR(__xludf.DUMMYFUNCTION("""COMPUTED_VALUE"""),11.1)</f>
        <v>11.1</v>
      </c>
      <c r="F1275">
        <f>IFERROR(__xludf.DUMMYFUNCTION("""COMPUTED_VALUE"""),26.62)</f>
        <v>26.62</v>
      </c>
      <c r="G1275">
        <f>IFERROR(__xludf.DUMMYFUNCTION("""COMPUTED_VALUE"""),0.0)</f>
        <v>0</v>
      </c>
    </row>
    <row r="1276">
      <c r="A1276">
        <f>IFERROR(__xludf.DUMMYFUNCTION("""COMPUTED_VALUE"""),171796.0)</f>
        <v>171796</v>
      </c>
      <c r="B1276" t="str">
        <f>IFERROR(__xludf.DUMMYFUNCTION("""COMPUTED_VALUE"""),"Beef Ground 85% Lean Meat / 15% Fat Raw")</f>
        <v>Beef Ground 85% Lean Meat / 15% Fat Raw</v>
      </c>
      <c r="C1276" t="str">
        <f>IFERROR(__xludf.DUMMYFUNCTION("""COMPUTED_VALUE"""),"Meats")</f>
        <v>Meats</v>
      </c>
      <c r="D1276">
        <f>IFERROR(__xludf.DUMMYFUNCTION("""COMPUTED_VALUE"""),215.0)</f>
        <v>215</v>
      </c>
      <c r="E1276">
        <f>IFERROR(__xludf.DUMMYFUNCTION("""COMPUTED_VALUE"""),15.0)</f>
        <v>15</v>
      </c>
      <c r="F1276">
        <f>IFERROR(__xludf.DUMMYFUNCTION("""COMPUTED_VALUE"""),18.59)</f>
        <v>18.59</v>
      </c>
      <c r="G1276">
        <f>IFERROR(__xludf.DUMMYFUNCTION("""COMPUTED_VALUE"""),0.0)</f>
        <v>0</v>
      </c>
    </row>
    <row r="1277">
      <c r="A1277">
        <f>IFERROR(__xludf.DUMMYFUNCTION("""COMPUTED_VALUE"""),171797.0)</f>
        <v>171797</v>
      </c>
      <c r="B1277" t="str">
        <f>IFERROR(__xludf.DUMMYFUNCTION("""COMPUTED_VALUE"""),"Beef Ground 80% Lean Meat / 20% Fat Patty Cooked Broiled")</f>
        <v>Beef Ground 80% Lean Meat / 20% Fat Patty Cooked Broiled</v>
      </c>
      <c r="C1277" t="str">
        <f>IFERROR(__xludf.DUMMYFUNCTION("""COMPUTED_VALUE"""),"Meats")</f>
        <v>Meats</v>
      </c>
      <c r="D1277">
        <f>IFERROR(__xludf.DUMMYFUNCTION("""COMPUTED_VALUE"""),270.0)</f>
        <v>270</v>
      </c>
      <c r="E1277">
        <f>IFERROR(__xludf.DUMMYFUNCTION("""COMPUTED_VALUE"""),17.78)</f>
        <v>17.78</v>
      </c>
      <c r="F1277">
        <f>IFERROR(__xludf.DUMMYFUNCTION("""COMPUTED_VALUE"""),25.75)</f>
        <v>25.75</v>
      </c>
      <c r="G1277">
        <f>IFERROR(__xludf.DUMMYFUNCTION("""COMPUTED_VALUE"""),0.0)</f>
        <v>0</v>
      </c>
    </row>
    <row r="1278">
      <c r="A1278">
        <f>IFERROR(__xludf.DUMMYFUNCTION("""COMPUTED_VALUE"""),171798.0)</f>
        <v>171798</v>
      </c>
      <c r="B1278" t="str">
        <f>IFERROR(__xludf.DUMMYFUNCTION("""COMPUTED_VALUE"""),"Beef Ground 80% Lean Meat / 20% Fat Patty Cooked Pan-Broiled")</f>
        <v>Beef Ground 80% Lean Meat / 20% Fat Patty Cooked Pan-Broiled</v>
      </c>
      <c r="C1278" t="str">
        <f>IFERROR(__xludf.DUMMYFUNCTION("""COMPUTED_VALUE"""),"Meats")</f>
        <v>Meats</v>
      </c>
      <c r="D1278">
        <f>IFERROR(__xludf.DUMMYFUNCTION("""COMPUTED_VALUE"""),246.0)</f>
        <v>246</v>
      </c>
      <c r="E1278">
        <f>IFERROR(__xludf.DUMMYFUNCTION("""COMPUTED_VALUE"""),15.94)</f>
        <v>15.94</v>
      </c>
      <c r="F1278">
        <f>IFERROR(__xludf.DUMMYFUNCTION("""COMPUTED_VALUE"""),24.04)</f>
        <v>24.04</v>
      </c>
      <c r="G1278">
        <f>IFERROR(__xludf.DUMMYFUNCTION("""COMPUTED_VALUE"""),0.0)</f>
        <v>0</v>
      </c>
    </row>
    <row r="1279">
      <c r="A1279">
        <f>IFERROR(__xludf.DUMMYFUNCTION("""COMPUTED_VALUE"""),171799.0)</f>
        <v>171799</v>
      </c>
      <c r="B1279" t="str">
        <f>IFERROR(__xludf.DUMMYFUNCTION("""COMPUTED_VALUE"""),"Beef Ground 80% Lean Meat / 20% Fat Crumbles Cooked Pan-Browned")</f>
        <v>Beef Ground 80% Lean Meat / 20% Fat Crumbles Cooked Pan-Browned</v>
      </c>
      <c r="C1279" t="str">
        <f>IFERROR(__xludf.DUMMYFUNCTION("""COMPUTED_VALUE"""),"Meats")</f>
        <v>Meats</v>
      </c>
      <c r="D1279">
        <f>IFERROR(__xludf.DUMMYFUNCTION("""COMPUTED_VALUE"""),272.0)</f>
        <v>272</v>
      </c>
      <c r="E1279">
        <f>IFERROR(__xludf.DUMMYFUNCTION("""COMPUTED_VALUE"""),17.36)</f>
        <v>17.36</v>
      </c>
      <c r="F1279">
        <f>IFERROR(__xludf.DUMMYFUNCTION("""COMPUTED_VALUE"""),27.0)</f>
        <v>27</v>
      </c>
      <c r="G1279">
        <f>IFERROR(__xludf.DUMMYFUNCTION("""COMPUTED_VALUE"""),0.0)</f>
        <v>0</v>
      </c>
    </row>
    <row r="1280">
      <c r="A1280">
        <f>IFERROR(__xludf.DUMMYFUNCTION("""COMPUTED_VALUE"""),171800.0)</f>
        <v>171800</v>
      </c>
      <c r="B1280" t="str">
        <f>IFERROR(__xludf.DUMMYFUNCTION("""COMPUTED_VALUE"""),"Beef Ground 80% Lean Meat / 20% Fat Loaf Cooked Baked")</f>
        <v>Beef Ground 80% Lean Meat / 20% Fat Loaf Cooked Baked</v>
      </c>
      <c r="C1280" t="str">
        <f>IFERROR(__xludf.DUMMYFUNCTION("""COMPUTED_VALUE"""),"Meats")</f>
        <v>Meats</v>
      </c>
      <c r="D1280">
        <f>IFERROR(__xludf.DUMMYFUNCTION("""COMPUTED_VALUE"""),254.0)</f>
        <v>254</v>
      </c>
      <c r="E1280">
        <f>IFERROR(__xludf.DUMMYFUNCTION("""COMPUTED_VALUE"""),16.17)</f>
        <v>16.17</v>
      </c>
      <c r="F1280">
        <f>IFERROR(__xludf.DUMMYFUNCTION("""COMPUTED_VALUE"""),25.25)</f>
        <v>25.25</v>
      </c>
      <c r="G1280">
        <f>IFERROR(__xludf.DUMMYFUNCTION("""COMPUTED_VALUE"""),0.0)</f>
        <v>0</v>
      </c>
    </row>
    <row r="1281">
      <c r="A1281">
        <f>IFERROR(__xludf.DUMMYFUNCTION("""COMPUTED_VALUE"""),171801.0)</f>
        <v>171801</v>
      </c>
      <c r="B1281" t="str">
        <f>IFERROR(__xludf.DUMMYFUNCTION("""COMPUTED_VALUE"""),"Beef Ground 75% Lean Meat / 25% Fat Loaf Cooked Baked")</f>
        <v>Beef Ground 75% Lean Meat / 25% Fat Loaf Cooked Baked</v>
      </c>
      <c r="C1281" t="str">
        <f>IFERROR(__xludf.DUMMYFUNCTION("""COMPUTED_VALUE"""),"Meats")</f>
        <v>Meats</v>
      </c>
      <c r="D1281">
        <f>IFERROR(__xludf.DUMMYFUNCTION("""COMPUTED_VALUE"""),254.0)</f>
        <v>254</v>
      </c>
      <c r="E1281">
        <f>IFERROR(__xludf.DUMMYFUNCTION("""COMPUTED_VALUE"""),16.5)</f>
        <v>16.5</v>
      </c>
      <c r="F1281">
        <f>IFERROR(__xludf.DUMMYFUNCTION("""COMPUTED_VALUE"""),24.56)</f>
        <v>24.56</v>
      </c>
      <c r="G1281">
        <f>IFERROR(__xludf.DUMMYFUNCTION("""COMPUTED_VALUE"""),0.0)</f>
        <v>0</v>
      </c>
    </row>
    <row r="1282">
      <c r="A1282">
        <f>IFERROR(__xludf.DUMMYFUNCTION("""COMPUTED_VALUE"""),171802.0)</f>
        <v>171802</v>
      </c>
      <c r="B1282" t="str">
        <f>IFERROR(__xludf.DUMMYFUNCTION("""COMPUTED_VALUE"""),"Beef Rib Small End (Ribs 10-12) Separable Lean Only Trimmed To 1/8 Inch Fat Select Raw")</f>
        <v>Beef Rib Small End (Ribs 10-12) Separable Lean Only Trimmed To 1/8 Inch Fat Select Raw</v>
      </c>
      <c r="C1282" t="str">
        <f>IFERROR(__xludf.DUMMYFUNCTION("""COMPUTED_VALUE"""),"Meats")</f>
        <v>Meats</v>
      </c>
      <c r="D1282">
        <f>IFERROR(__xludf.DUMMYFUNCTION("""COMPUTED_VALUE"""),134.0)</f>
        <v>134</v>
      </c>
      <c r="E1282">
        <f>IFERROR(__xludf.DUMMYFUNCTION("""COMPUTED_VALUE"""),4.2)</f>
        <v>4.2</v>
      </c>
      <c r="F1282">
        <f>IFERROR(__xludf.DUMMYFUNCTION("""COMPUTED_VALUE"""),22.53)</f>
        <v>22.53</v>
      </c>
      <c r="G1282">
        <f>IFERROR(__xludf.DUMMYFUNCTION("""COMPUTED_VALUE"""),0.0)</f>
        <v>0</v>
      </c>
    </row>
    <row r="1283">
      <c r="A1283">
        <f>IFERROR(__xludf.DUMMYFUNCTION("""COMPUTED_VALUE"""),171803.0)</f>
        <v>171803</v>
      </c>
      <c r="B1283" t="str">
        <f>IFERROR(__xludf.DUMMYFUNCTION("""COMPUTED_VALUE"""),"Beef Tenderloin Steak Separable Lean Only Trimmed To 1/8 Inch Fat Select Raw")</f>
        <v>Beef Tenderloin Steak Separable Lean Only Trimmed To 1/8 Inch Fat Select Raw</v>
      </c>
      <c r="C1283" t="str">
        <f>IFERROR(__xludf.DUMMYFUNCTION("""COMPUTED_VALUE"""),"Meats")</f>
        <v>Meats</v>
      </c>
      <c r="D1283">
        <f>IFERROR(__xludf.DUMMYFUNCTION("""COMPUTED_VALUE"""),148.0)</f>
        <v>148</v>
      </c>
      <c r="E1283">
        <f>IFERROR(__xludf.DUMMYFUNCTION("""COMPUTED_VALUE"""),5.93)</f>
        <v>5.93</v>
      </c>
      <c r="F1283">
        <f>IFERROR(__xludf.DUMMYFUNCTION("""COMPUTED_VALUE"""),22.06)</f>
        <v>22.06</v>
      </c>
      <c r="G1283">
        <f>IFERROR(__xludf.DUMMYFUNCTION("""COMPUTED_VALUE"""),0.0)</f>
        <v>0</v>
      </c>
    </row>
    <row r="1284">
      <c r="A1284">
        <f>IFERROR(__xludf.DUMMYFUNCTION("""COMPUTED_VALUE"""),171804.0)</f>
        <v>171804</v>
      </c>
      <c r="B1284" t="str">
        <f>IFERROR(__xludf.DUMMYFUNCTION("""COMPUTED_VALUE"""),"Beef Top Sirloin Steak Separable Lean Only Trimmed To 1/8 Inch Fat Select Raw")</f>
        <v>Beef Top Sirloin Steak Separable Lean Only Trimmed To 1/8 Inch Fat Select Raw</v>
      </c>
      <c r="C1284" t="str">
        <f>IFERROR(__xludf.DUMMYFUNCTION("""COMPUTED_VALUE"""),"Meats")</f>
        <v>Meats</v>
      </c>
      <c r="D1284">
        <f>IFERROR(__xludf.DUMMYFUNCTION("""COMPUTED_VALUE"""),127.0)</f>
        <v>127</v>
      </c>
      <c r="E1284">
        <f>IFERROR(__xludf.DUMMYFUNCTION("""COMPUTED_VALUE"""),3.54)</f>
        <v>3.54</v>
      </c>
      <c r="F1284">
        <f>IFERROR(__xludf.DUMMYFUNCTION("""COMPUTED_VALUE"""),22.27)</f>
        <v>22.27</v>
      </c>
      <c r="G1284">
        <f>IFERROR(__xludf.DUMMYFUNCTION("""COMPUTED_VALUE"""),0.0)</f>
        <v>0</v>
      </c>
    </row>
    <row r="1285">
      <c r="A1285">
        <f>IFERROR(__xludf.DUMMYFUNCTION("""COMPUTED_VALUE"""),171805.0)</f>
        <v>171805</v>
      </c>
      <c r="B1285" t="str">
        <f>IFERROR(__xludf.DUMMYFUNCTION("""COMPUTED_VALUE"""),"Beef Short Loin Top Loin Steak Separable Lean Only Trimmed To 1/8 Inch Fat Select Cooked Grilled")</f>
        <v>Beef Short Loin Top Loin Steak Separable Lean Only Trimmed To 1/8 Inch Fat Select Cooked Grilled</v>
      </c>
      <c r="C1285" t="str">
        <f>IFERROR(__xludf.DUMMYFUNCTION("""COMPUTED_VALUE"""),"Meats")</f>
        <v>Meats</v>
      </c>
      <c r="D1285">
        <f>IFERROR(__xludf.DUMMYFUNCTION("""COMPUTED_VALUE"""),177.0)</f>
        <v>177</v>
      </c>
      <c r="E1285">
        <f>IFERROR(__xludf.DUMMYFUNCTION("""COMPUTED_VALUE"""),5.73)</f>
        <v>5.73</v>
      </c>
      <c r="F1285">
        <f>IFERROR(__xludf.DUMMYFUNCTION("""COMPUTED_VALUE"""),29.44)</f>
        <v>29.44</v>
      </c>
      <c r="G1285">
        <f>IFERROR(__xludf.DUMMYFUNCTION("""COMPUTED_VALUE"""),0.0)</f>
        <v>0</v>
      </c>
    </row>
    <row r="1286">
      <c r="A1286">
        <f>IFERROR(__xludf.DUMMYFUNCTION("""COMPUTED_VALUE"""),171806.0)</f>
        <v>171806</v>
      </c>
      <c r="B1286" t="str">
        <f>IFERROR(__xludf.DUMMYFUNCTION("""COMPUTED_VALUE"""),"Beef Round Bottom Round  Roast Separable Lean Only Trimmed To 1/8 Inch Fat Select Cooked Roasted")</f>
        <v>Beef Round Bottom Round  Roast Separable Lean Only Trimmed To 1/8 Inch Fat Select Cooked Roasted</v>
      </c>
      <c r="C1286" t="str">
        <f>IFERROR(__xludf.DUMMYFUNCTION("""COMPUTED_VALUE"""),"Meats")</f>
        <v>Meats</v>
      </c>
      <c r="D1286">
        <f>IFERROR(__xludf.DUMMYFUNCTION("""COMPUTED_VALUE"""),164.0)</f>
        <v>164</v>
      </c>
      <c r="E1286">
        <f>IFERROR(__xludf.DUMMYFUNCTION("""COMPUTED_VALUE"""),4.67)</f>
        <v>4.67</v>
      </c>
      <c r="F1286">
        <f>IFERROR(__xludf.DUMMYFUNCTION("""COMPUTED_VALUE"""),28.45)</f>
        <v>28.45</v>
      </c>
      <c r="G1286">
        <f>IFERROR(__xludf.DUMMYFUNCTION("""COMPUTED_VALUE"""),0.0)</f>
        <v>0</v>
      </c>
    </row>
    <row r="1287">
      <c r="A1287">
        <f>IFERROR(__xludf.DUMMYFUNCTION("""COMPUTED_VALUE"""),171807.0)</f>
        <v>171807</v>
      </c>
      <c r="B1287" t="str">
        <f>IFERROR(__xludf.DUMMYFUNCTION("""COMPUTED_VALUE"""),"Beef Round Eye Of Round Roast Separable Lean Only Trimmed To 1/8 Inch Fat Select Cooked Roasted")</f>
        <v>Beef Round Eye Of Round Roast Separable Lean Only Trimmed To 1/8 Inch Fat Select Cooked Roasted</v>
      </c>
      <c r="C1287" t="str">
        <f>IFERROR(__xludf.DUMMYFUNCTION("""COMPUTED_VALUE"""),"Meats")</f>
        <v>Meats</v>
      </c>
      <c r="D1287">
        <f>IFERROR(__xludf.DUMMYFUNCTION("""COMPUTED_VALUE"""),163.0)</f>
        <v>163</v>
      </c>
      <c r="E1287">
        <f>IFERROR(__xludf.DUMMYFUNCTION("""COMPUTED_VALUE"""),4.11)</f>
        <v>4.11</v>
      </c>
      <c r="F1287">
        <f>IFERROR(__xludf.DUMMYFUNCTION("""COMPUTED_VALUE"""),29.59)</f>
        <v>29.59</v>
      </c>
      <c r="G1287">
        <f>IFERROR(__xludf.DUMMYFUNCTION("""COMPUTED_VALUE"""),0.0)</f>
        <v>0</v>
      </c>
    </row>
    <row r="1288">
      <c r="A1288">
        <f>IFERROR(__xludf.DUMMYFUNCTION("""COMPUTED_VALUE"""),171808.0)</f>
        <v>171808</v>
      </c>
      <c r="B1288" t="str">
        <f>IFERROR(__xludf.DUMMYFUNCTION("""COMPUTED_VALUE"""),"Beef Round Top Round Steak Separable Lean Only Trimmed To 1/8 Inch Fat Select Cooked Broiled")</f>
        <v>Beef Round Top Round Steak Separable Lean Only Trimmed To 1/8 Inch Fat Select Cooked Broiled</v>
      </c>
      <c r="C1288" t="str">
        <f>IFERROR(__xludf.DUMMYFUNCTION("""COMPUTED_VALUE"""),"Meats")</f>
        <v>Meats</v>
      </c>
      <c r="D1288">
        <f>IFERROR(__xludf.DUMMYFUNCTION("""COMPUTED_VALUE"""),177.0)</f>
        <v>177</v>
      </c>
      <c r="E1288">
        <f>IFERROR(__xludf.DUMMYFUNCTION("""COMPUTED_VALUE"""),4.65)</f>
        <v>4.65</v>
      </c>
      <c r="F1288">
        <f>IFERROR(__xludf.DUMMYFUNCTION("""COMPUTED_VALUE"""),31.61)</f>
        <v>31.61</v>
      </c>
      <c r="G1288">
        <f>IFERROR(__xludf.DUMMYFUNCTION("""COMPUTED_VALUE"""),0.0)</f>
        <v>0</v>
      </c>
    </row>
    <row r="1289">
      <c r="A1289">
        <f>IFERROR(__xludf.DUMMYFUNCTION("""COMPUTED_VALUE"""),171809.0)</f>
        <v>171809</v>
      </c>
      <c r="B1289" t="str">
        <f>IFERROR(__xludf.DUMMYFUNCTION("""COMPUTED_VALUE"""),"Beef Round Eye Of Round Roast Separable Lean Only Trimmed To 1/8 Inch Fat All Grades Cooked Roasted")</f>
        <v>Beef Round Eye Of Round Roast Separable Lean Only Trimmed To 1/8 Inch Fat All Grades Cooked Roasted</v>
      </c>
      <c r="C1289" t="str">
        <f>IFERROR(__xludf.DUMMYFUNCTION("""COMPUTED_VALUE"""),"Meats")</f>
        <v>Meats</v>
      </c>
      <c r="D1289">
        <f>IFERROR(__xludf.DUMMYFUNCTION("""COMPUTED_VALUE"""),169.0)</f>
        <v>169</v>
      </c>
      <c r="E1289">
        <f>IFERROR(__xludf.DUMMYFUNCTION("""COMPUTED_VALUE"""),4.71)</f>
        <v>4.71</v>
      </c>
      <c r="F1289">
        <f>IFERROR(__xludf.DUMMYFUNCTION("""COMPUTED_VALUE"""),29.73)</f>
        <v>29.73</v>
      </c>
      <c r="G1289">
        <f>IFERROR(__xludf.DUMMYFUNCTION("""COMPUTED_VALUE"""),0.0)</f>
        <v>0</v>
      </c>
    </row>
    <row r="1290">
      <c r="A1290">
        <f>IFERROR(__xludf.DUMMYFUNCTION("""COMPUTED_VALUE"""),171810.0)</f>
        <v>171810</v>
      </c>
      <c r="B1290" t="str">
        <f>IFERROR(__xludf.DUMMYFUNCTION("""COMPUTED_VALUE"""),"Beef Rib Small End (Ribs 10-12) Separable Lean Only Trimmed To 1/8 Inch Fat All Grades Raw")</f>
        <v>Beef Rib Small End (Ribs 10-12) Separable Lean Only Trimmed To 1/8 Inch Fat All Grades Raw</v>
      </c>
      <c r="C1290" t="str">
        <f>IFERROR(__xludf.DUMMYFUNCTION("""COMPUTED_VALUE"""),"Meats")</f>
        <v>Meats</v>
      </c>
      <c r="D1290">
        <f>IFERROR(__xludf.DUMMYFUNCTION("""COMPUTED_VALUE"""),141.0)</f>
        <v>141</v>
      </c>
      <c r="E1290">
        <f>IFERROR(__xludf.DUMMYFUNCTION("""COMPUTED_VALUE"""),5.04)</f>
        <v>5.04</v>
      </c>
      <c r="F1290">
        <f>IFERROR(__xludf.DUMMYFUNCTION("""COMPUTED_VALUE"""),22.33)</f>
        <v>22.33</v>
      </c>
      <c r="G1290">
        <f>IFERROR(__xludf.DUMMYFUNCTION("""COMPUTED_VALUE"""),0.0)</f>
        <v>0</v>
      </c>
    </row>
    <row r="1291">
      <c r="A1291">
        <f>IFERROR(__xludf.DUMMYFUNCTION("""COMPUTED_VALUE"""),171811.0)</f>
        <v>171811</v>
      </c>
      <c r="B1291" t="str">
        <f>IFERROR(__xludf.DUMMYFUNCTION("""COMPUTED_VALUE"""),"Beef Tenderloin Steak Separable Lean Only Trimmed To 1/8 Inch Fat All Grades Cooked Broiled")</f>
        <v>Beef Tenderloin Steak Separable Lean Only Trimmed To 1/8 Inch Fat All Grades Cooked Broiled</v>
      </c>
      <c r="C1291" t="str">
        <f>IFERROR(__xludf.DUMMYFUNCTION("""COMPUTED_VALUE"""),"Meats")</f>
        <v>Meats</v>
      </c>
      <c r="D1291">
        <f>IFERROR(__xludf.DUMMYFUNCTION("""COMPUTED_VALUE"""),200.0)</f>
        <v>200</v>
      </c>
      <c r="E1291">
        <f>IFERROR(__xludf.DUMMYFUNCTION("""COMPUTED_VALUE"""),8.39)</f>
        <v>8.39</v>
      </c>
      <c r="F1291">
        <f>IFERROR(__xludf.DUMMYFUNCTION("""COMPUTED_VALUE"""),29.04)</f>
        <v>29.04</v>
      </c>
      <c r="G1291">
        <f>IFERROR(__xludf.DUMMYFUNCTION("""COMPUTED_VALUE"""),0.0)</f>
        <v>0</v>
      </c>
    </row>
    <row r="1292">
      <c r="A1292">
        <f>IFERROR(__xludf.DUMMYFUNCTION("""COMPUTED_VALUE"""),171812.0)</f>
        <v>171812</v>
      </c>
      <c r="B1292" t="str">
        <f>IFERROR(__xludf.DUMMYFUNCTION("""COMPUTED_VALUE"""),"Beef Tenderloin Steak Separable Lean Only Trimmed To 1/8 Inch Fat All Grades Raw")</f>
        <v>Beef Tenderloin Steak Separable Lean Only Trimmed To 1/8 Inch Fat All Grades Raw</v>
      </c>
      <c r="C1292" t="str">
        <f>IFERROR(__xludf.DUMMYFUNCTION("""COMPUTED_VALUE"""),"Meats")</f>
        <v>Meats</v>
      </c>
      <c r="D1292">
        <f>IFERROR(__xludf.DUMMYFUNCTION("""COMPUTED_VALUE"""),153.0)</f>
        <v>153</v>
      </c>
      <c r="E1292">
        <f>IFERROR(__xludf.DUMMYFUNCTION("""COMPUTED_VALUE"""),6.52)</f>
        <v>6.52</v>
      </c>
      <c r="F1292">
        <f>IFERROR(__xludf.DUMMYFUNCTION("""COMPUTED_VALUE"""),22.12)</f>
        <v>22.12</v>
      </c>
      <c r="G1292">
        <f>IFERROR(__xludf.DUMMYFUNCTION("""COMPUTED_VALUE"""),0.0)</f>
        <v>0</v>
      </c>
    </row>
    <row r="1293">
      <c r="A1293">
        <f>IFERROR(__xludf.DUMMYFUNCTION("""COMPUTED_VALUE"""),171813.0)</f>
        <v>171813</v>
      </c>
      <c r="B1293" t="str">
        <f>IFERROR(__xludf.DUMMYFUNCTION("""COMPUTED_VALUE"""),"Beef Short Loin Top Loin Steak Separable Lean Only Trimmed To 1/8 Inch Fat All Grades Cooked Broiled")</f>
        <v>Beef Short Loin Top Loin Steak Separable Lean Only Trimmed To 1/8 Inch Fat All Grades Cooked Broiled</v>
      </c>
      <c r="C1293" t="str">
        <f>IFERROR(__xludf.DUMMYFUNCTION("""COMPUTED_VALUE"""),"Meats")</f>
        <v>Meats</v>
      </c>
      <c r="D1293">
        <f>IFERROR(__xludf.DUMMYFUNCTION("""COMPUTED_VALUE"""),189.0)</f>
        <v>189</v>
      </c>
      <c r="E1293">
        <f>IFERROR(__xludf.DUMMYFUNCTION("""COMPUTED_VALUE"""),7.09)</f>
        <v>7.09</v>
      </c>
      <c r="F1293">
        <f>IFERROR(__xludf.DUMMYFUNCTION("""COMPUTED_VALUE"""),29.3)</f>
        <v>29.3</v>
      </c>
      <c r="G1293">
        <f>IFERROR(__xludf.DUMMYFUNCTION("""COMPUTED_VALUE"""),0.0)</f>
        <v>0</v>
      </c>
    </row>
    <row r="1294">
      <c r="A1294">
        <f>IFERROR(__xludf.DUMMYFUNCTION("""COMPUTED_VALUE"""),171814.0)</f>
        <v>171814</v>
      </c>
      <c r="B1294" t="str">
        <f>IFERROR(__xludf.DUMMYFUNCTION("""COMPUTED_VALUE"""),"Beef Short Loin Top Loin Steak Separable Lean Only Trimmed To 1/8 Inch Fat All Grades Raw")</f>
        <v>Beef Short Loin Top Loin Steak Separable Lean Only Trimmed To 1/8 Inch Fat All Grades Raw</v>
      </c>
      <c r="C1294" t="str">
        <f>IFERROR(__xludf.DUMMYFUNCTION("""COMPUTED_VALUE"""),"Meats")</f>
        <v>Meats</v>
      </c>
      <c r="D1294">
        <f>IFERROR(__xludf.DUMMYFUNCTION("""COMPUTED_VALUE"""),138.0)</f>
        <v>138</v>
      </c>
      <c r="E1294">
        <f>IFERROR(__xludf.DUMMYFUNCTION("""COMPUTED_VALUE"""),5.15)</f>
        <v>5.15</v>
      </c>
      <c r="F1294">
        <f>IFERROR(__xludf.DUMMYFUNCTION("""COMPUTED_VALUE"""),22.93)</f>
        <v>22.93</v>
      </c>
      <c r="G1294">
        <f>IFERROR(__xludf.DUMMYFUNCTION("""COMPUTED_VALUE"""),0.0)</f>
        <v>0</v>
      </c>
    </row>
    <row r="1295">
      <c r="A1295">
        <f>IFERROR(__xludf.DUMMYFUNCTION("""COMPUTED_VALUE"""),171815.0)</f>
        <v>171815</v>
      </c>
      <c r="B1295" t="str">
        <f>IFERROR(__xludf.DUMMYFUNCTION("""COMPUTED_VALUE"""),"Beef Round Top Round Steak Separable Lean Only Trimmed To 1/8 Inch Fat All Grades Cooked Broiled")</f>
        <v>Beef Round Top Round Steak Separable Lean Only Trimmed To 1/8 Inch Fat All Grades Cooked Broiled</v>
      </c>
      <c r="C1295" t="str">
        <f>IFERROR(__xludf.DUMMYFUNCTION("""COMPUTED_VALUE"""),"Meats")</f>
        <v>Meats</v>
      </c>
      <c r="D1295">
        <f>IFERROR(__xludf.DUMMYFUNCTION("""COMPUTED_VALUE"""),185.0)</f>
        <v>185</v>
      </c>
      <c r="E1295">
        <f>IFERROR(__xludf.DUMMYFUNCTION("""COMPUTED_VALUE"""),5.45)</f>
        <v>5.45</v>
      </c>
      <c r="F1295">
        <f>IFERROR(__xludf.DUMMYFUNCTION("""COMPUTED_VALUE"""),31.82)</f>
        <v>31.82</v>
      </c>
      <c r="G1295">
        <f>IFERROR(__xludf.DUMMYFUNCTION("""COMPUTED_VALUE"""),0.0)</f>
        <v>0</v>
      </c>
    </row>
    <row r="1296">
      <c r="A1296">
        <f>IFERROR(__xludf.DUMMYFUNCTION("""COMPUTED_VALUE"""),171816.0)</f>
        <v>171816</v>
      </c>
      <c r="B1296" t="str">
        <f>IFERROR(__xludf.DUMMYFUNCTION("""COMPUTED_VALUE"""),"Beef Round Top Round Steak Separable Lean Only Trimmed To 1/8 Inch Fat All Grades Raw")</f>
        <v>Beef Round Top Round Steak Separable Lean Only Trimmed To 1/8 Inch Fat All Grades Raw</v>
      </c>
      <c r="C1296" t="str">
        <f>IFERROR(__xludf.DUMMYFUNCTION("""COMPUTED_VALUE"""),"Meats")</f>
        <v>Meats</v>
      </c>
      <c r="D1296">
        <f>IFERROR(__xludf.DUMMYFUNCTION("""COMPUTED_VALUE"""),135.0)</f>
        <v>135</v>
      </c>
      <c r="E1296">
        <f>IFERROR(__xludf.DUMMYFUNCTION("""COMPUTED_VALUE"""),4.09)</f>
        <v>4.09</v>
      </c>
      <c r="F1296">
        <f>IFERROR(__xludf.DUMMYFUNCTION("""COMPUTED_VALUE"""),22.91)</f>
        <v>22.91</v>
      </c>
      <c r="G1296">
        <f>IFERROR(__xludf.DUMMYFUNCTION("""COMPUTED_VALUE"""),0.0)</f>
        <v>0</v>
      </c>
    </row>
    <row r="1297">
      <c r="A1297">
        <f>IFERROR(__xludf.DUMMYFUNCTION("""COMPUTED_VALUE"""),171817.0)</f>
        <v>171817</v>
      </c>
      <c r="B1297" t="str">
        <f>IFERROR(__xludf.DUMMYFUNCTION("""COMPUTED_VALUE"""),"Beef Chuck Arm Pot Roast Separable Lean Only Trimmed To 1/8 Inch Fat Choice Cooked Braised")</f>
        <v>Beef Chuck Arm Pot Roast Separable Lean Only Trimmed To 1/8 Inch Fat Choice Cooked Braised</v>
      </c>
      <c r="C1297" t="str">
        <f>IFERROR(__xludf.DUMMYFUNCTION("""COMPUTED_VALUE"""),"Meats")</f>
        <v>Meats</v>
      </c>
      <c r="D1297">
        <f>IFERROR(__xludf.DUMMYFUNCTION("""COMPUTED_VALUE"""),224.0)</f>
        <v>224</v>
      </c>
      <c r="E1297">
        <f>IFERROR(__xludf.DUMMYFUNCTION("""COMPUTED_VALUE"""),8.37)</f>
        <v>8.37</v>
      </c>
      <c r="F1297">
        <f>IFERROR(__xludf.DUMMYFUNCTION("""COMPUTED_VALUE"""),34.72)</f>
        <v>34.72</v>
      </c>
      <c r="G1297">
        <f>IFERROR(__xludf.DUMMYFUNCTION("""COMPUTED_VALUE"""),0.0)</f>
        <v>0</v>
      </c>
    </row>
    <row r="1298">
      <c r="A1298">
        <f>IFERROR(__xludf.DUMMYFUNCTION("""COMPUTED_VALUE"""),171818.0)</f>
        <v>171818</v>
      </c>
      <c r="B1298" t="str">
        <f>IFERROR(__xludf.DUMMYFUNCTION("""COMPUTED_VALUE"""),"Beef Brisket Flat Half Separable Lean Only Trimmed To 1/8 Inch Fat Choice Cooked Braised")</f>
        <v>Beef Brisket Flat Half Separable Lean Only Trimmed To 1/8 Inch Fat Choice Cooked Braised</v>
      </c>
      <c r="C1298" t="str">
        <f>IFERROR(__xludf.DUMMYFUNCTION("""COMPUTED_VALUE"""),"Meats")</f>
        <v>Meats</v>
      </c>
      <c r="D1298">
        <f>IFERROR(__xludf.DUMMYFUNCTION("""COMPUTED_VALUE"""),203.0)</f>
        <v>203</v>
      </c>
      <c r="E1298">
        <f>IFERROR(__xludf.DUMMYFUNCTION("""COMPUTED_VALUE"""),6.79)</f>
        <v>6.79</v>
      </c>
      <c r="F1298">
        <f>IFERROR(__xludf.DUMMYFUNCTION("""COMPUTED_VALUE"""),33.13)</f>
        <v>33.13</v>
      </c>
      <c r="G1298">
        <f>IFERROR(__xludf.DUMMYFUNCTION("""COMPUTED_VALUE"""),0.0)</f>
        <v>0</v>
      </c>
    </row>
    <row r="1299">
      <c r="A1299">
        <f>IFERROR(__xludf.DUMMYFUNCTION("""COMPUTED_VALUE"""),171819.0)</f>
        <v>171819</v>
      </c>
      <c r="B1299" t="str">
        <f>IFERROR(__xludf.DUMMYFUNCTION("""COMPUTED_VALUE"""),"Beef Round Eye Of Round Roast Separable Lean Only Trimmed To 1/8 Inch Fat Choice Raw")</f>
        <v>Beef Round Eye Of Round Roast Separable Lean Only Trimmed To 1/8 Inch Fat Choice Raw</v>
      </c>
      <c r="C1299" t="str">
        <f>IFERROR(__xludf.DUMMYFUNCTION("""COMPUTED_VALUE"""),"Meats")</f>
        <v>Meats</v>
      </c>
      <c r="D1299">
        <f>IFERROR(__xludf.DUMMYFUNCTION("""COMPUTED_VALUE"""),128.0)</f>
        <v>128</v>
      </c>
      <c r="E1299">
        <f>IFERROR(__xludf.DUMMYFUNCTION("""COMPUTED_VALUE"""),3.38)</f>
        <v>3.38</v>
      </c>
      <c r="F1299">
        <f>IFERROR(__xludf.DUMMYFUNCTION("""COMPUTED_VALUE"""),22.88)</f>
        <v>22.88</v>
      </c>
      <c r="G1299">
        <f>IFERROR(__xludf.DUMMYFUNCTION("""COMPUTED_VALUE"""),0.0)</f>
        <v>0</v>
      </c>
    </row>
    <row r="1300">
      <c r="A1300">
        <f>IFERROR(__xludf.DUMMYFUNCTION("""COMPUTED_VALUE"""),171820.0)</f>
        <v>171820</v>
      </c>
      <c r="B1300" t="str">
        <f>IFERROR(__xludf.DUMMYFUNCTION("""COMPUTED_VALUE"""),"Beef Round Top Round Steak Separable Lean Only Trimmed To 1/8 Inch Fat Choice Raw")</f>
        <v>Beef Round Top Round Steak Separable Lean Only Trimmed To 1/8 Inch Fat Choice Raw</v>
      </c>
      <c r="C1300" t="str">
        <f>IFERROR(__xludf.DUMMYFUNCTION("""COMPUTED_VALUE"""),"Meats")</f>
        <v>Meats</v>
      </c>
      <c r="D1300">
        <f>IFERROR(__xludf.DUMMYFUNCTION("""COMPUTED_VALUE"""),140.0)</f>
        <v>140</v>
      </c>
      <c r="E1300">
        <f>IFERROR(__xludf.DUMMYFUNCTION("""COMPUTED_VALUE"""),4.78)</f>
        <v>4.78</v>
      </c>
      <c r="F1300">
        <f>IFERROR(__xludf.DUMMYFUNCTION("""COMPUTED_VALUE"""),22.69)</f>
        <v>22.69</v>
      </c>
      <c r="G1300">
        <f>IFERROR(__xludf.DUMMYFUNCTION("""COMPUTED_VALUE"""),0.0)</f>
        <v>0</v>
      </c>
    </row>
    <row r="1301">
      <c r="A1301">
        <f>IFERROR(__xludf.DUMMYFUNCTION("""COMPUTED_VALUE"""),171948.0)</f>
        <v>171948</v>
      </c>
      <c r="B1301" t="str">
        <f>IFERROR(__xludf.DUMMYFUNCTION("""COMPUTED_VALUE"""),"Striped Bass (Raw)")</f>
        <v>Striped Bass (Raw)</v>
      </c>
      <c r="C1301" t="str">
        <f>IFERROR(__xludf.DUMMYFUNCTION("""COMPUTED_VALUE"""),"Fish")</f>
        <v>Fish</v>
      </c>
      <c r="D1301">
        <f>IFERROR(__xludf.DUMMYFUNCTION("""COMPUTED_VALUE"""),97.0)</f>
        <v>97</v>
      </c>
      <c r="E1301">
        <f>IFERROR(__xludf.DUMMYFUNCTION("""COMPUTED_VALUE"""),2.33)</f>
        <v>2.33</v>
      </c>
      <c r="F1301">
        <f>IFERROR(__xludf.DUMMYFUNCTION("""COMPUTED_VALUE"""),17.73)</f>
        <v>17.73</v>
      </c>
      <c r="G1301">
        <f>IFERROR(__xludf.DUMMYFUNCTION("""COMPUTED_VALUE"""),0.0)</f>
        <v>0</v>
      </c>
    </row>
    <row r="1302">
      <c r="A1302">
        <f>IFERROR(__xludf.DUMMYFUNCTION("""COMPUTED_VALUE"""),171949.0)</f>
        <v>171949</v>
      </c>
      <c r="B1302" t="str">
        <f>IFERROR(__xludf.DUMMYFUNCTION("""COMPUTED_VALUE"""),"Fish Bluefish Raw")</f>
        <v>Fish Bluefish Raw</v>
      </c>
      <c r="C1302" t="str">
        <f>IFERROR(__xludf.DUMMYFUNCTION("""COMPUTED_VALUE"""),"Fish")</f>
        <v>Fish</v>
      </c>
      <c r="D1302">
        <f>IFERROR(__xludf.DUMMYFUNCTION("""COMPUTED_VALUE"""),124.0)</f>
        <v>124</v>
      </c>
      <c r="E1302">
        <f>IFERROR(__xludf.DUMMYFUNCTION("""COMPUTED_VALUE"""),4.24)</f>
        <v>4.24</v>
      </c>
      <c r="F1302">
        <f>IFERROR(__xludf.DUMMYFUNCTION("""COMPUTED_VALUE"""),20.04)</f>
        <v>20.04</v>
      </c>
      <c r="G1302">
        <f>IFERROR(__xludf.DUMMYFUNCTION("""COMPUTED_VALUE"""),0.0)</f>
        <v>0</v>
      </c>
    </row>
    <row r="1303">
      <c r="A1303">
        <f>IFERROR(__xludf.DUMMYFUNCTION("""COMPUTED_VALUE"""),171950.0)</f>
        <v>171950</v>
      </c>
      <c r="B1303" t="str">
        <f>IFERROR(__xludf.DUMMYFUNCTION("""COMPUTED_VALUE"""),"Fish Burbot Raw")</f>
        <v>Fish Burbot Raw</v>
      </c>
      <c r="C1303" t="str">
        <f>IFERROR(__xludf.DUMMYFUNCTION("""COMPUTED_VALUE"""),"Fish")</f>
        <v>Fish</v>
      </c>
      <c r="D1303">
        <f>IFERROR(__xludf.DUMMYFUNCTION("""COMPUTED_VALUE"""),90.0)</f>
        <v>90</v>
      </c>
      <c r="E1303">
        <f>IFERROR(__xludf.DUMMYFUNCTION("""COMPUTED_VALUE"""),0.81)</f>
        <v>0.81</v>
      </c>
      <c r="F1303">
        <f>IFERROR(__xludf.DUMMYFUNCTION("""COMPUTED_VALUE"""),19.31)</f>
        <v>19.31</v>
      </c>
      <c r="G1303">
        <f>IFERROR(__xludf.DUMMYFUNCTION("""COMPUTED_VALUE"""),0.0)</f>
        <v>0</v>
      </c>
    </row>
    <row r="1304">
      <c r="A1304">
        <f>IFERROR(__xludf.DUMMYFUNCTION("""COMPUTED_VALUE"""),171951.0)</f>
        <v>171951</v>
      </c>
      <c r="B1304" t="str">
        <f>IFERROR(__xludf.DUMMYFUNCTION("""COMPUTED_VALUE"""),"Fish Butterfish Raw")</f>
        <v>Fish Butterfish Raw</v>
      </c>
      <c r="C1304" t="str">
        <f>IFERROR(__xludf.DUMMYFUNCTION("""COMPUTED_VALUE"""),"Fish")</f>
        <v>Fish</v>
      </c>
      <c r="D1304">
        <f>IFERROR(__xludf.DUMMYFUNCTION("""COMPUTED_VALUE"""),146.0)</f>
        <v>146</v>
      </c>
      <c r="E1304">
        <f>IFERROR(__xludf.DUMMYFUNCTION("""COMPUTED_VALUE"""),8.02)</f>
        <v>8.02</v>
      </c>
      <c r="F1304">
        <f>IFERROR(__xludf.DUMMYFUNCTION("""COMPUTED_VALUE"""),17.28)</f>
        <v>17.28</v>
      </c>
      <c r="G1304">
        <f>IFERROR(__xludf.DUMMYFUNCTION("""COMPUTED_VALUE"""),0.0)</f>
        <v>0</v>
      </c>
    </row>
    <row r="1305">
      <c r="A1305">
        <f>IFERROR(__xludf.DUMMYFUNCTION("""COMPUTED_VALUE"""),171952.0)</f>
        <v>171952</v>
      </c>
      <c r="B1305" t="str">
        <f>IFERROR(__xludf.DUMMYFUNCTION("""COMPUTED_VALUE"""),"Fish Carp Raw")</f>
        <v>Fish Carp Raw</v>
      </c>
      <c r="C1305" t="str">
        <f>IFERROR(__xludf.DUMMYFUNCTION("""COMPUTED_VALUE"""),"Fish")</f>
        <v>Fish</v>
      </c>
      <c r="D1305">
        <f>IFERROR(__xludf.DUMMYFUNCTION("""COMPUTED_VALUE"""),127.0)</f>
        <v>127</v>
      </c>
      <c r="E1305">
        <f>IFERROR(__xludf.DUMMYFUNCTION("""COMPUTED_VALUE"""),5.6)</f>
        <v>5.6</v>
      </c>
      <c r="F1305">
        <f>IFERROR(__xludf.DUMMYFUNCTION("""COMPUTED_VALUE"""),17.83)</f>
        <v>17.83</v>
      </c>
      <c r="G1305">
        <f>IFERROR(__xludf.DUMMYFUNCTION("""COMPUTED_VALUE"""),0.0)</f>
        <v>0</v>
      </c>
    </row>
    <row r="1306">
      <c r="A1306">
        <f>IFERROR(__xludf.DUMMYFUNCTION("""COMPUTED_VALUE"""),171953.0)</f>
        <v>171953</v>
      </c>
      <c r="B1306" t="str">
        <f>IFERROR(__xludf.DUMMYFUNCTION("""COMPUTED_VALUE"""),"Fish Cisco Raw")</f>
        <v>Fish Cisco Raw</v>
      </c>
      <c r="C1306" t="str">
        <f>IFERROR(__xludf.DUMMYFUNCTION("""COMPUTED_VALUE"""),"Fish")</f>
        <v>Fish</v>
      </c>
      <c r="D1306">
        <f>IFERROR(__xludf.DUMMYFUNCTION("""COMPUTED_VALUE"""),98.0)</f>
        <v>98</v>
      </c>
      <c r="E1306">
        <f>IFERROR(__xludf.DUMMYFUNCTION("""COMPUTED_VALUE"""),1.91)</f>
        <v>1.91</v>
      </c>
      <c r="F1306">
        <f>IFERROR(__xludf.DUMMYFUNCTION("""COMPUTED_VALUE"""),18.99)</f>
        <v>18.99</v>
      </c>
      <c r="G1306">
        <f>IFERROR(__xludf.DUMMYFUNCTION("""COMPUTED_VALUE"""),0.0)</f>
        <v>0</v>
      </c>
    </row>
    <row r="1307">
      <c r="A1307">
        <f>IFERROR(__xludf.DUMMYFUNCTION("""COMPUTED_VALUE"""),171954.0)</f>
        <v>171954</v>
      </c>
      <c r="B1307" t="str">
        <f>IFERROR(__xludf.DUMMYFUNCTION("""COMPUTED_VALUE"""),"Fish Cisco Smoked")</f>
        <v>Fish Cisco Smoked</v>
      </c>
      <c r="C1307" t="str">
        <f>IFERROR(__xludf.DUMMYFUNCTION("""COMPUTED_VALUE"""),"Fish")</f>
        <v>Fish</v>
      </c>
      <c r="D1307">
        <f>IFERROR(__xludf.DUMMYFUNCTION("""COMPUTED_VALUE"""),177.0)</f>
        <v>177</v>
      </c>
      <c r="E1307">
        <f>IFERROR(__xludf.DUMMYFUNCTION("""COMPUTED_VALUE"""),11.9)</f>
        <v>11.9</v>
      </c>
      <c r="F1307">
        <f>IFERROR(__xludf.DUMMYFUNCTION("""COMPUTED_VALUE"""),16.36)</f>
        <v>16.36</v>
      </c>
      <c r="G1307">
        <f>IFERROR(__xludf.DUMMYFUNCTION("""COMPUTED_VALUE"""),0.0)</f>
        <v>0</v>
      </c>
    </row>
    <row r="1308">
      <c r="A1308">
        <f>IFERROR(__xludf.DUMMYFUNCTION("""COMPUTED_VALUE"""),171955.0)</f>
        <v>171955</v>
      </c>
      <c r="B1308" t="str">
        <f>IFERROR(__xludf.DUMMYFUNCTION("""COMPUTED_VALUE"""),"Fish Cod Atlantic Raw")</f>
        <v>Fish Cod Atlantic Raw</v>
      </c>
      <c r="C1308" t="str">
        <f>IFERROR(__xludf.DUMMYFUNCTION("""COMPUTED_VALUE"""),"Fish")</f>
        <v>Fish</v>
      </c>
      <c r="D1308">
        <f>IFERROR(__xludf.DUMMYFUNCTION("""COMPUTED_VALUE"""),82.0)</f>
        <v>82</v>
      </c>
      <c r="E1308">
        <f>IFERROR(__xludf.DUMMYFUNCTION("""COMPUTED_VALUE"""),0.67)</f>
        <v>0.67</v>
      </c>
      <c r="F1308">
        <f>IFERROR(__xludf.DUMMYFUNCTION("""COMPUTED_VALUE"""),17.81)</f>
        <v>17.81</v>
      </c>
      <c r="G1308">
        <f>IFERROR(__xludf.DUMMYFUNCTION("""COMPUTED_VALUE"""),0.0)</f>
        <v>0</v>
      </c>
    </row>
    <row r="1309">
      <c r="A1309">
        <f>IFERROR(__xludf.DUMMYFUNCTION("""COMPUTED_VALUE"""),171956.0)</f>
        <v>171956</v>
      </c>
      <c r="B1309" t="str">
        <f>IFERROR(__xludf.DUMMYFUNCTION("""COMPUTED_VALUE"""),"Cooked Atlantic Cod")</f>
        <v>Cooked Atlantic Cod</v>
      </c>
      <c r="C1309" t="str">
        <f>IFERROR(__xludf.DUMMYFUNCTION("""COMPUTED_VALUE"""),"Fish")</f>
        <v>Fish</v>
      </c>
      <c r="D1309">
        <f>IFERROR(__xludf.DUMMYFUNCTION("""COMPUTED_VALUE"""),105.0)</f>
        <v>105</v>
      </c>
      <c r="E1309">
        <f>IFERROR(__xludf.DUMMYFUNCTION("""COMPUTED_VALUE"""),0.86)</f>
        <v>0.86</v>
      </c>
      <c r="F1309">
        <f>IFERROR(__xludf.DUMMYFUNCTION("""COMPUTED_VALUE"""),22.83)</f>
        <v>22.83</v>
      </c>
      <c r="G1309">
        <f>IFERROR(__xludf.DUMMYFUNCTION("""COMPUTED_VALUE"""),0.0)</f>
        <v>0</v>
      </c>
    </row>
    <row r="1310">
      <c r="A1310">
        <f>IFERROR(__xludf.DUMMYFUNCTION("""COMPUTED_VALUE"""),171957.0)</f>
        <v>171957</v>
      </c>
      <c r="B1310" t="str">
        <f>IFERROR(__xludf.DUMMYFUNCTION("""COMPUTED_VALUE"""),"Fish Croaker Atlantic Cooked Breaded And Fried")</f>
        <v>Fish Croaker Atlantic Cooked Breaded And Fried</v>
      </c>
      <c r="C1310" t="str">
        <f>IFERROR(__xludf.DUMMYFUNCTION("""COMPUTED_VALUE"""),"Fish")</f>
        <v>Fish</v>
      </c>
      <c r="D1310">
        <f>IFERROR(__xludf.DUMMYFUNCTION("""COMPUTED_VALUE"""),221.0)</f>
        <v>221</v>
      </c>
      <c r="E1310">
        <f>IFERROR(__xludf.DUMMYFUNCTION("""COMPUTED_VALUE"""),12.67)</f>
        <v>12.67</v>
      </c>
      <c r="F1310">
        <f>IFERROR(__xludf.DUMMYFUNCTION("""COMPUTED_VALUE"""),18.2)</f>
        <v>18.2</v>
      </c>
      <c r="G1310">
        <f>IFERROR(__xludf.DUMMYFUNCTION("""COMPUTED_VALUE"""),7.54)</f>
        <v>7.54</v>
      </c>
    </row>
    <row r="1311">
      <c r="A1311">
        <f>IFERROR(__xludf.DUMMYFUNCTION("""COMPUTED_VALUE"""),171958.0)</f>
        <v>171958</v>
      </c>
      <c r="B1311" t="str">
        <f>IFERROR(__xludf.DUMMYFUNCTION("""COMPUTED_VALUE"""),"Fish Cusk Raw")</f>
        <v>Fish Cusk Raw</v>
      </c>
      <c r="C1311" t="str">
        <f>IFERROR(__xludf.DUMMYFUNCTION("""COMPUTED_VALUE"""),"Fish")</f>
        <v>Fish</v>
      </c>
      <c r="D1311">
        <f>IFERROR(__xludf.DUMMYFUNCTION("""COMPUTED_VALUE"""),87.0)</f>
        <v>87</v>
      </c>
      <c r="E1311">
        <f>IFERROR(__xludf.DUMMYFUNCTION("""COMPUTED_VALUE"""),0.69)</f>
        <v>0.69</v>
      </c>
      <c r="F1311">
        <f>IFERROR(__xludf.DUMMYFUNCTION("""COMPUTED_VALUE"""),18.99)</f>
        <v>18.99</v>
      </c>
      <c r="G1311">
        <f>IFERROR(__xludf.DUMMYFUNCTION("""COMPUTED_VALUE"""),0.0)</f>
        <v>0</v>
      </c>
    </row>
    <row r="1312">
      <c r="A1312">
        <f>IFERROR(__xludf.DUMMYFUNCTION("""COMPUTED_VALUE"""),171959.0)</f>
        <v>171959</v>
      </c>
      <c r="B1312" t="str">
        <f>IFERROR(__xludf.DUMMYFUNCTION("""COMPUTED_VALUE"""),"Fish Mahimahi Raw")</f>
        <v>Fish Mahimahi Raw</v>
      </c>
      <c r="C1312" t="str">
        <f>IFERROR(__xludf.DUMMYFUNCTION("""COMPUTED_VALUE"""),"Fish")</f>
        <v>Fish</v>
      </c>
      <c r="D1312">
        <f>IFERROR(__xludf.DUMMYFUNCTION("""COMPUTED_VALUE"""),85.0)</f>
        <v>85</v>
      </c>
      <c r="E1312">
        <f>IFERROR(__xludf.DUMMYFUNCTION("""COMPUTED_VALUE"""),0.7)</f>
        <v>0.7</v>
      </c>
      <c r="F1312">
        <f>IFERROR(__xludf.DUMMYFUNCTION("""COMPUTED_VALUE"""),18.5)</f>
        <v>18.5</v>
      </c>
      <c r="G1312">
        <f>IFERROR(__xludf.DUMMYFUNCTION("""COMPUTED_VALUE"""),0.0)</f>
        <v>0</v>
      </c>
    </row>
    <row r="1313">
      <c r="A1313">
        <f>IFERROR(__xludf.DUMMYFUNCTION("""COMPUTED_VALUE"""),171960.0)</f>
        <v>171960</v>
      </c>
      <c r="B1313" t="str">
        <f>IFERROR(__xludf.DUMMYFUNCTION("""COMPUTED_VALUE"""),"Fish Drum Freshwater Raw")</f>
        <v>Fish Drum Freshwater Raw</v>
      </c>
      <c r="C1313" t="str">
        <f>IFERROR(__xludf.DUMMYFUNCTION("""COMPUTED_VALUE"""),"Fish")</f>
        <v>Fish</v>
      </c>
      <c r="D1313">
        <f>IFERROR(__xludf.DUMMYFUNCTION("""COMPUTED_VALUE"""),119.0)</f>
        <v>119</v>
      </c>
      <c r="E1313">
        <f>IFERROR(__xludf.DUMMYFUNCTION("""COMPUTED_VALUE"""),4.93)</f>
        <v>4.93</v>
      </c>
      <c r="F1313">
        <f>IFERROR(__xludf.DUMMYFUNCTION("""COMPUTED_VALUE"""),17.54)</f>
        <v>17.54</v>
      </c>
      <c r="G1313">
        <f>IFERROR(__xludf.DUMMYFUNCTION("""COMPUTED_VALUE"""),0.0)</f>
        <v>0</v>
      </c>
    </row>
    <row r="1314">
      <c r="A1314">
        <f>IFERROR(__xludf.DUMMYFUNCTION("""COMPUTED_VALUE"""),171961.0)</f>
        <v>171961</v>
      </c>
      <c r="B1314" t="str">
        <f>IFERROR(__xludf.DUMMYFUNCTION("""COMPUTED_VALUE"""),"Fish Gefiltefish Commercial Sweet Recipe")</f>
        <v>Fish Gefiltefish Commercial Sweet Recipe</v>
      </c>
      <c r="C1314" t="str">
        <f>IFERROR(__xludf.DUMMYFUNCTION("""COMPUTED_VALUE"""),"Fish")</f>
        <v>Fish</v>
      </c>
      <c r="D1314">
        <f>IFERROR(__xludf.DUMMYFUNCTION("""COMPUTED_VALUE"""),84.0)</f>
        <v>84</v>
      </c>
      <c r="E1314">
        <f>IFERROR(__xludf.DUMMYFUNCTION("""COMPUTED_VALUE"""),1.73)</f>
        <v>1.73</v>
      </c>
      <c r="F1314">
        <f>IFERROR(__xludf.DUMMYFUNCTION("""COMPUTED_VALUE"""),9.07)</f>
        <v>9.07</v>
      </c>
      <c r="G1314">
        <f>IFERROR(__xludf.DUMMYFUNCTION("""COMPUTED_VALUE"""),7.41)</f>
        <v>7.41</v>
      </c>
    </row>
    <row r="1315">
      <c r="A1315">
        <f>IFERROR(__xludf.DUMMYFUNCTION("""COMPUTED_VALUE"""),171962.0)</f>
        <v>171962</v>
      </c>
      <c r="B1315" t="str">
        <f>IFERROR(__xludf.DUMMYFUNCTION("""COMPUTED_VALUE"""),"Fish Grouper Mixed Species Raw")</f>
        <v>Fish Grouper Mixed Species Raw</v>
      </c>
      <c r="C1315" t="str">
        <f>IFERROR(__xludf.DUMMYFUNCTION("""COMPUTED_VALUE"""),"Fish")</f>
        <v>Fish</v>
      </c>
      <c r="D1315">
        <f>IFERROR(__xludf.DUMMYFUNCTION("""COMPUTED_VALUE"""),92.0)</f>
        <v>92</v>
      </c>
      <c r="E1315">
        <f>IFERROR(__xludf.DUMMYFUNCTION("""COMPUTED_VALUE"""),1.02)</f>
        <v>1.02</v>
      </c>
      <c r="F1315">
        <f>IFERROR(__xludf.DUMMYFUNCTION("""COMPUTED_VALUE"""),19.38)</f>
        <v>19.38</v>
      </c>
      <c r="G1315">
        <f>IFERROR(__xludf.DUMMYFUNCTION("""COMPUTED_VALUE"""),0.0)</f>
        <v>0</v>
      </c>
    </row>
    <row r="1316">
      <c r="A1316">
        <f>IFERROR(__xludf.DUMMYFUNCTION("""COMPUTED_VALUE"""),171963.0)</f>
        <v>171963</v>
      </c>
      <c r="B1316" t="str">
        <f>IFERROR(__xludf.DUMMYFUNCTION("""COMPUTED_VALUE"""),"Cooked Grouper")</f>
        <v>Cooked Grouper</v>
      </c>
      <c r="C1316" t="str">
        <f>IFERROR(__xludf.DUMMYFUNCTION("""COMPUTED_VALUE"""),"Fish")</f>
        <v>Fish</v>
      </c>
      <c r="D1316">
        <f>IFERROR(__xludf.DUMMYFUNCTION("""COMPUTED_VALUE"""),118.0)</f>
        <v>118</v>
      </c>
      <c r="E1316">
        <f>IFERROR(__xludf.DUMMYFUNCTION("""COMPUTED_VALUE"""),1.3)</f>
        <v>1.3</v>
      </c>
      <c r="F1316">
        <f>IFERROR(__xludf.DUMMYFUNCTION("""COMPUTED_VALUE"""),24.84)</f>
        <v>24.84</v>
      </c>
      <c r="G1316">
        <f>IFERROR(__xludf.DUMMYFUNCTION("""COMPUTED_VALUE"""),0.0)</f>
        <v>0</v>
      </c>
    </row>
    <row r="1317">
      <c r="A1317">
        <f>IFERROR(__xludf.DUMMYFUNCTION("""COMPUTED_VALUE"""),171964.0)</f>
        <v>171964</v>
      </c>
      <c r="B1317" t="str">
        <f>IFERROR(__xludf.DUMMYFUNCTION("""COMPUTED_VALUE"""),"Fish Haddock Raw")</f>
        <v>Fish Haddock Raw</v>
      </c>
      <c r="C1317" t="str">
        <f>IFERROR(__xludf.DUMMYFUNCTION("""COMPUTED_VALUE"""),"Fish")</f>
        <v>Fish</v>
      </c>
      <c r="D1317">
        <f>IFERROR(__xludf.DUMMYFUNCTION("""COMPUTED_VALUE"""),74.0)</f>
        <v>74</v>
      </c>
      <c r="E1317">
        <f>IFERROR(__xludf.DUMMYFUNCTION("""COMPUTED_VALUE"""),0.45)</f>
        <v>0.45</v>
      </c>
      <c r="F1317">
        <f>IFERROR(__xludf.DUMMYFUNCTION("""COMPUTED_VALUE"""),16.32)</f>
        <v>16.32</v>
      </c>
      <c r="G1317">
        <f>IFERROR(__xludf.DUMMYFUNCTION("""COMPUTED_VALUE"""),0.0)</f>
        <v>0</v>
      </c>
    </row>
    <row r="1318">
      <c r="A1318">
        <f>IFERROR(__xludf.DUMMYFUNCTION("""COMPUTED_VALUE"""),171965.0)</f>
        <v>171965</v>
      </c>
      <c r="B1318" t="str">
        <f>IFERROR(__xludf.DUMMYFUNCTION("""COMPUTED_VALUE"""),"Fish Halibut Greenland Raw")</f>
        <v>Fish Halibut Greenland Raw</v>
      </c>
      <c r="C1318" t="str">
        <f>IFERROR(__xludf.DUMMYFUNCTION("""COMPUTED_VALUE"""),"Fish")</f>
        <v>Fish</v>
      </c>
      <c r="D1318">
        <f>IFERROR(__xludf.DUMMYFUNCTION("""COMPUTED_VALUE"""),186.0)</f>
        <v>186</v>
      </c>
      <c r="E1318">
        <f>IFERROR(__xludf.DUMMYFUNCTION("""COMPUTED_VALUE"""),13.84)</f>
        <v>13.84</v>
      </c>
      <c r="F1318">
        <f>IFERROR(__xludf.DUMMYFUNCTION("""COMPUTED_VALUE"""),14.37)</f>
        <v>14.37</v>
      </c>
      <c r="G1318">
        <f>IFERROR(__xludf.DUMMYFUNCTION("""COMPUTED_VALUE"""),0.0)</f>
        <v>0</v>
      </c>
    </row>
    <row r="1319">
      <c r="A1319">
        <f>IFERROR(__xludf.DUMMYFUNCTION("""COMPUTED_VALUE"""),171966.0)</f>
        <v>171966</v>
      </c>
      <c r="B1319" t="str">
        <f>IFERROR(__xludf.DUMMYFUNCTION("""COMPUTED_VALUE"""),"Canned Blue Crab")</f>
        <v>Canned Blue Crab</v>
      </c>
      <c r="C1319" t="str">
        <f>IFERROR(__xludf.DUMMYFUNCTION("""COMPUTED_VALUE"""),"Fish")</f>
        <v>Fish</v>
      </c>
      <c r="D1319">
        <f>IFERROR(__xludf.DUMMYFUNCTION("""COMPUTED_VALUE"""),83.0)</f>
        <v>83</v>
      </c>
      <c r="E1319">
        <f>IFERROR(__xludf.DUMMYFUNCTION("""COMPUTED_VALUE"""),0.74)</f>
        <v>0.74</v>
      </c>
      <c r="F1319">
        <f>IFERROR(__xludf.DUMMYFUNCTION("""COMPUTED_VALUE"""),17.88)</f>
        <v>17.88</v>
      </c>
      <c r="G1319">
        <f>IFERROR(__xludf.DUMMYFUNCTION("""COMPUTED_VALUE"""),0.0)</f>
        <v>0</v>
      </c>
    </row>
    <row r="1320">
      <c r="A1320">
        <f>IFERROR(__xludf.DUMMYFUNCTION("""COMPUTED_VALUE"""),171967.0)</f>
        <v>171967</v>
      </c>
      <c r="B1320" t="str">
        <f>IFERROR(__xludf.DUMMYFUNCTION("""COMPUTED_VALUE"""),"Blue Crab Cakes")</f>
        <v>Blue Crab Cakes</v>
      </c>
      <c r="C1320" t="str">
        <f>IFERROR(__xludf.DUMMYFUNCTION("""COMPUTED_VALUE"""),"Fish")</f>
        <v>Fish</v>
      </c>
      <c r="D1320">
        <f>IFERROR(__xludf.DUMMYFUNCTION("""COMPUTED_VALUE"""),155.0)</f>
        <v>155</v>
      </c>
      <c r="E1320">
        <f>IFERROR(__xludf.DUMMYFUNCTION("""COMPUTED_VALUE"""),7.52)</f>
        <v>7.52</v>
      </c>
      <c r="F1320">
        <f>IFERROR(__xludf.DUMMYFUNCTION("""COMPUTED_VALUE"""),20.21)</f>
        <v>20.21</v>
      </c>
      <c r="G1320">
        <f>IFERROR(__xludf.DUMMYFUNCTION("""COMPUTED_VALUE"""),0.48)</f>
        <v>0.48</v>
      </c>
    </row>
    <row r="1321">
      <c r="A1321">
        <f>IFERROR(__xludf.DUMMYFUNCTION("""COMPUTED_VALUE"""),171968.0)</f>
        <v>171968</v>
      </c>
      <c r="B1321" t="str">
        <f>IFERROR(__xludf.DUMMYFUNCTION("""COMPUTED_VALUE"""),"Dungeness Crab (Raw)")</f>
        <v>Dungeness Crab (Raw)</v>
      </c>
      <c r="C1321" t="str">
        <f>IFERROR(__xludf.DUMMYFUNCTION("""COMPUTED_VALUE"""),"Fish")</f>
        <v>Fish</v>
      </c>
      <c r="D1321">
        <f>IFERROR(__xludf.DUMMYFUNCTION("""COMPUTED_VALUE"""),86.0)</f>
        <v>86</v>
      </c>
      <c r="E1321">
        <f>IFERROR(__xludf.DUMMYFUNCTION("""COMPUTED_VALUE"""),0.97)</f>
        <v>0.97</v>
      </c>
      <c r="F1321">
        <f>IFERROR(__xludf.DUMMYFUNCTION("""COMPUTED_VALUE"""),17.41)</f>
        <v>17.41</v>
      </c>
      <c r="G1321">
        <f>IFERROR(__xludf.DUMMYFUNCTION("""COMPUTED_VALUE"""),0.74)</f>
        <v>0.74</v>
      </c>
    </row>
    <row r="1322">
      <c r="A1322">
        <f>IFERROR(__xludf.DUMMYFUNCTION("""COMPUTED_VALUE"""),171969.0)</f>
        <v>171969</v>
      </c>
      <c r="B1322" t="str">
        <f>IFERROR(__xludf.DUMMYFUNCTION("""COMPUTED_VALUE"""),"Queen Crab (Raw)")</f>
        <v>Queen Crab (Raw)</v>
      </c>
      <c r="C1322" t="str">
        <f>IFERROR(__xludf.DUMMYFUNCTION("""COMPUTED_VALUE"""),"Fish")</f>
        <v>Fish</v>
      </c>
      <c r="D1322">
        <f>IFERROR(__xludf.DUMMYFUNCTION("""COMPUTED_VALUE"""),90.0)</f>
        <v>90</v>
      </c>
      <c r="E1322">
        <f>IFERROR(__xludf.DUMMYFUNCTION("""COMPUTED_VALUE"""),1.18)</f>
        <v>1.18</v>
      </c>
      <c r="F1322">
        <f>IFERROR(__xludf.DUMMYFUNCTION("""COMPUTED_VALUE"""),18.5)</f>
        <v>18.5</v>
      </c>
      <c r="G1322">
        <f>IFERROR(__xludf.DUMMYFUNCTION("""COMPUTED_VALUE"""),0.0)</f>
        <v>0</v>
      </c>
    </row>
    <row r="1323">
      <c r="A1323">
        <f>IFERROR(__xludf.DUMMYFUNCTION("""COMPUTED_VALUE"""),171970.0)</f>
        <v>171970</v>
      </c>
      <c r="B1323" t="str">
        <f>IFERROR(__xludf.DUMMYFUNCTION("""COMPUTED_VALUE"""),"Crustaceans Shrimp Mixed Species Cooked Breaded And Fried")</f>
        <v>Crustaceans Shrimp Mixed Species Cooked Breaded And Fried</v>
      </c>
      <c r="C1323" t="str">
        <f>IFERROR(__xludf.DUMMYFUNCTION("""COMPUTED_VALUE"""),"Fish")</f>
        <v>Fish</v>
      </c>
      <c r="D1323">
        <f>IFERROR(__xludf.DUMMYFUNCTION("""COMPUTED_VALUE"""),242.0)</f>
        <v>242</v>
      </c>
      <c r="E1323">
        <f>IFERROR(__xludf.DUMMYFUNCTION("""COMPUTED_VALUE"""),12.28)</f>
        <v>12.28</v>
      </c>
      <c r="F1323">
        <f>IFERROR(__xludf.DUMMYFUNCTION("""COMPUTED_VALUE"""),21.39)</f>
        <v>21.39</v>
      </c>
      <c r="G1323">
        <f>IFERROR(__xludf.DUMMYFUNCTION("""COMPUTED_VALUE"""),11.47)</f>
        <v>11.47</v>
      </c>
    </row>
    <row r="1324">
      <c r="A1324">
        <f>IFERROR(__xludf.DUMMYFUNCTION("""COMPUTED_VALUE"""),171971.0)</f>
        <v>171971</v>
      </c>
      <c r="B1324" t="str">
        <f>IFERROR(__xludf.DUMMYFUNCTION("""COMPUTED_VALUE"""),"Cooked Shrimp")</f>
        <v>Cooked Shrimp</v>
      </c>
      <c r="C1324" t="str">
        <f>IFERROR(__xludf.DUMMYFUNCTION("""COMPUTED_VALUE"""),"Fish")</f>
        <v>Fish</v>
      </c>
      <c r="D1324">
        <f>IFERROR(__xludf.DUMMYFUNCTION("""COMPUTED_VALUE"""),119.0)</f>
        <v>119</v>
      </c>
      <c r="E1324">
        <f>IFERROR(__xludf.DUMMYFUNCTION("""COMPUTED_VALUE"""),1.7)</f>
        <v>1.7</v>
      </c>
      <c r="F1324">
        <f>IFERROR(__xludf.DUMMYFUNCTION("""COMPUTED_VALUE"""),22.78)</f>
        <v>22.78</v>
      </c>
      <c r="G1324">
        <f>IFERROR(__xludf.DUMMYFUNCTION("""COMPUTED_VALUE"""),1.52)</f>
        <v>1.52</v>
      </c>
    </row>
    <row r="1325">
      <c r="A1325">
        <f>IFERROR(__xludf.DUMMYFUNCTION("""COMPUTED_VALUE"""),171972.0)</f>
        <v>171972</v>
      </c>
      <c r="B1325" t="str">
        <f>IFERROR(__xludf.DUMMYFUNCTION("""COMPUTED_VALUE"""),"Canned Shrimp")</f>
        <v>Canned Shrimp</v>
      </c>
      <c r="C1325" t="str">
        <f>IFERROR(__xludf.DUMMYFUNCTION("""COMPUTED_VALUE"""),"Fish")</f>
        <v>Fish</v>
      </c>
      <c r="D1325">
        <f>IFERROR(__xludf.DUMMYFUNCTION("""COMPUTED_VALUE"""),100.0)</f>
        <v>100</v>
      </c>
      <c r="E1325">
        <f>IFERROR(__xludf.DUMMYFUNCTION("""COMPUTED_VALUE"""),1.36)</f>
        <v>1.36</v>
      </c>
      <c r="F1325">
        <f>IFERROR(__xludf.DUMMYFUNCTION("""COMPUTED_VALUE"""),20.42)</f>
        <v>20.42</v>
      </c>
      <c r="G1325">
        <f>IFERROR(__xludf.DUMMYFUNCTION("""COMPUTED_VALUE"""),0.0)</f>
        <v>0</v>
      </c>
    </row>
    <row r="1326">
      <c r="A1326">
        <f>IFERROR(__xludf.DUMMYFUNCTION("""COMPUTED_VALUE"""),171973.0)</f>
        <v>171973</v>
      </c>
      <c r="B1326" t="str">
        <f>IFERROR(__xludf.DUMMYFUNCTION("""COMPUTED_VALUE"""),"Crustaceans Shrimp Mixed Species Imitation Made From Surimi")</f>
        <v>Crustaceans Shrimp Mixed Species Imitation Made From Surimi</v>
      </c>
      <c r="C1326" t="str">
        <f>IFERROR(__xludf.DUMMYFUNCTION("""COMPUTED_VALUE"""),"Fish")</f>
        <v>Fish</v>
      </c>
      <c r="D1326">
        <f>IFERROR(__xludf.DUMMYFUNCTION("""COMPUTED_VALUE"""),101.0)</f>
        <v>101</v>
      </c>
      <c r="E1326">
        <f>IFERROR(__xludf.DUMMYFUNCTION("""COMPUTED_VALUE"""),1.47)</f>
        <v>1.47</v>
      </c>
      <c r="F1326">
        <f>IFERROR(__xludf.DUMMYFUNCTION("""COMPUTED_VALUE"""),12.39)</f>
        <v>12.39</v>
      </c>
      <c r="G1326">
        <f>IFERROR(__xludf.DUMMYFUNCTION("""COMPUTED_VALUE"""),9.13)</f>
        <v>9.13</v>
      </c>
    </row>
    <row r="1327">
      <c r="A1327">
        <f>IFERROR(__xludf.DUMMYFUNCTION("""COMPUTED_VALUE"""),171974.0)</f>
        <v>171974</v>
      </c>
      <c r="B1327" t="str">
        <f>IFERROR(__xludf.DUMMYFUNCTION("""COMPUTED_VALUE"""),"Mollusks Clam Mixed Species Cooked Breaded And Fried")</f>
        <v>Mollusks Clam Mixed Species Cooked Breaded And Fried</v>
      </c>
      <c r="C1327" t="str">
        <f>IFERROR(__xludf.DUMMYFUNCTION("""COMPUTED_VALUE"""),"Fish")</f>
        <v>Fish</v>
      </c>
      <c r="D1327">
        <f>IFERROR(__xludf.DUMMYFUNCTION("""COMPUTED_VALUE"""),202.0)</f>
        <v>202</v>
      </c>
      <c r="E1327">
        <f>IFERROR(__xludf.DUMMYFUNCTION("""COMPUTED_VALUE"""),11.15)</f>
        <v>11.15</v>
      </c>
      <c r="F1327">
        <f>IFERROR(__xludf.DUMMYFUNCTION("""COMPUTED_VALUE"""),14.24)</f>
        <v>14.24</v>
      </c>
      <c r="G1327">
        <f>IFERROR(__xludf.DUMMYFUNCTION("""COMPUTED_VALUE"""),10.33)</f>
        <v>10.33</v>
      </c>
    </row>
    <row r="1328">
      <c r="A1328">
        <f>IFERROR(__xludf.DUMMYFUNCTION("""COMPUTED_VALUE"""),171975.0)</f>
        <v>171975</v>
      </c>
      <c r="B1328" t="str">
        <f>IFERROR(__xludf.DUMMYFUNCTION("""COMPUTED_VALUE"""),"Cooked Clams")</f>
        <v>Cooked Clams</v>
      </c>
      <c r="C1328" t="str">
        <f>IFERROR(__xludf.DUMMYFUNCTION("""COMPUTED_VALUE"""),"Fish")</f>
        <v>Fish</v>
      </c>
      <c r="D1328">
        <f>IFERROR(__xludf.DUMMYFUNCTION("""COMPUTED_VALUE"""),148.0)</f>
        <v>148</v>
      </c>
      <c r="E1328">
        <f>IFERROR(__xludf.DUMMYFUNCTION("""COMPUTED_VALUE"""),1.95)</f>
        <v>1.95</v>
      </c>
      <c r="F1328">
        <f>IFERROR(__xludf.DUMMYFUNCTION("""COMPUTED_VALUE"""),25.55)</f>
        <v>25.55</v>
      </c>
      <c r="G1328">
        <f>IFERROR(__xludf.DUMMYFUNCTION("""COMPUTED_VALUE"""),5.13)</f>
        <v>5.13</v>
      </c>
    </row>
    <row r="1329">
      <c r="A1329">
        <f>IFERROR(__xludf.DUMMYFUNCTION("""COMPUTED_VALUE"""),171976.0)</f>
        <v>171976</v>
      </c>
      <c r="B1329" t="str">
        <f>IFERROR(__xludf.DUMMYFUNCTION("""COMPUTED_VALUE"""),"Canned Clams")</f>
        <v>Canned Clams</v>
      </c>
      <c r="C1329" t="str">
        <f>IFERROR(__xludf.DUMMYFUNCTION("""COMPUTED_VALUE"""),"Fish")</f>
        <v>Fish</v>
      </c>
      <c r="D1329">
        <f>IFERROR(__xludf.DUMMYFUNCTION("""COMPUTED_VALUE"""),142.0)</f>
        <v>142</v>
      </c>
      <c r="E1329">
        <f>IFERROR(__xludf.DUMMYFUNCTION("""COMPUTED_VALUE"""),1.59)</f>
        <v>1.59</v>
      </c>
      <c r="F1329">
        <f>IFERROR(__xludf.DUMMYFUNCTION("""COMPUTED_VALUE"""),24.25)</f>
        <v>24.25</v>
      </c>
      <c r="G1329">
        <f>IFERROR(__xludf.DUMMYFUNCTION("""COMPUTED_VALUE"""),5.9)</f>
        <v>5.9</v>
      </c>
    </row>
    <row r="1330">
      <c r="A1330">
        <f>IFERROR(__xludf.DUMMYFUNCTION("""COMPUTED_VALUE"""),171977.0)</f>
        <v>171977</v>
      </c>
      <c r="B1330" t="str">
        <f>IFERROR(__xludf.DUMMYFUNCTION("""COMPUTED_VALUE"""),"Mollusks Clam Mixed Species Canned Liquid")</f>
        <v>Mollusks Clam Mixed Species Canned Liquid</v>
      </c>
      <c r="C1330" t="str">
        <f>IFERROR(__xludf.DUMMYFUNCTION("""COMPUTED_VALUE"""),"Fish")</f>
        <v>Fish</v>
      </c>
      <c r="D1330">
        <f>IFERROR(__xludf.DUMMYFUNCTION("""COMPUTED_VALUE"""),2.0)</f>
        <v>2</v>
      </c>
      <c r="E1330">
        <f>IFERROR(__xludf.DUMMYFUNCTION("""COMPUTED_VALUE"""),0.02)</f>
        <v>0.02</v>
      </c>
      <c r="F1330">
        <f>IFERROR(__xludf.DUMMYFUNCTION("""COMPUTED_VALUE"""),0.4)</f>
        <v>0.4</v>
      </c>
      <c r="G1330">
        <f>IFERROR(__xludf.DUMMYFUNCTION("""COMPUTED_VALUE"""),0.1)</f>
        <v>0.1</v>
      </c>
    </row>
    <row r="1331">
      <c r="A1331">
        <f>IFERROR(__xludf.DUMMYFUNCTION("""COMPUTED_VALUE"""),171978.0)</f>
        <v>171978</v>
      </c>
      <c r="B1331" t="str">
        <f>IFERROR(__xludf.DUMMYFUNCTION("""COMPUTED_VALUE"""),"Mollusks Oyster Eastern Wild Raw")</f>
        <v>Mollusks Oyster Eastern Wild Raw</v>
      </c>
      <c r="C1331" t="str">
        <f>IFERROR(__xludf.DUMMYFUNCTION("""COMPUTED_VALUE"""),"Fish")</f>
        <v>Fish</v>
      </c>
      <c r="D1331">
        <f>IFERROR(__xludf.DUMMYFUNCTION("""COMPUTED_VALUE"""),51.0)</f>
        <v>51</v>
      </c>
      <c r="E1331">
        <f>IFERROR(__xludf.DUMMYFUNCTION("""COMPUTED_VALUE"""),1.71)</f>
        <v>1.71</v>
      </c>
      <c r="F1331">
        <f>IFERROR(__xludf.DUMMYFUNCTION("""COMPUTED_VALUE"""),5.71)</f>
        <v>5.71</v>
      </c>
      <c r="G1331">
        <f>IFERROR(__xludf.DUMMYFUNCTION("""COMPUTED_VALUE"""),2.72)</f>
        <v>2.72</v>
      </c>
    </row>
    <row r="1332">
      <c r="A1332">
        <f>IFERROR(__xludf.DUMMYFUNCTION("""COMPUTED_VALUE"""),171979.0)</f>
        <v>171979</v>
      </c>
      <c r="B1332" t="str">
        <f>IFERROR(__xludf.DUMMYFUNCTION("""COMPUTED_VALUE"""),"Mollusks Oyster Eastern Cooked Breaded And Fried")</f>
        <v>Mollusks Oyster Eastern Cooked Breaded And Fried</v>
      </c>
      <c r="C1332" t="str">
        <f>IFERROR(__xludf.DUMMYFUNCTION("""COMPUTED_VALUE"""),"Fish")</f>
        <v>Fish</v>
      </c>
      <c r="D1332">
        <f>IFERROR(__xludf.DUMMYFUNCTION("""COMPUTED_VALUE"""),199.0)</f>
        <v>199</v>
      </c>
      <c r="E1332">
        <f>IFERROR(__xludf.DUMMYFUNCTION("""COMPUTED_VALUE"""),12.58)</f>
        <v>12.58</v>
      </c>
      <c r="F1332">
        <f>IFERROR(__xludf.DUMMYFUNCTION("""COMPUTED_VALUE"""),8.77)</f>
        <v>8.77</v>
      </c>
      <c r="G1332">
        <f>IFERROR(__xludf.DUMMYFUNCTION("""COMPUTED_VALUE"""),11.62)</f>
        <v>11.62</v>
      </c>
    </row>
    <row r="1333">
      <c r="A1333">
        <f>IFERROR(__xludf.DUMMYFUNCTION("""COMPUTED_VALUE"""),171980.0)</f>
        <v>171980</v>
      </c>
      <c r="B1333" t="str">
        <f>IFERROR(__xludf.DUMMYFUNCTION("""COMPUTED_VALUE"""),"Cooked Wild Eastern Oysters")</f>
        <v>Cooked Wild Eastern Oysters</v>
      </c>
      <c r="C1333" t="str">
        <f>IFERROR(__xludf.DUMMYFUNCTION("""COMPUTED_VALUE"""),"Fish")</f>
        <v>Fish</v>
      </c>
      <c r="D1333">
        <f>IFERROR(__xludf.DUMMYFUNCTION("""COMPUTED_VALUE"""),102.0)</f>
        <v>102</v>
      </c>
      <c r="E1333">
        <f>IFERROR(__xludf.DUMMYFUNCTION("""COMPUTED_VALUE"""),3.42)</f>
        <v>3.42</v>
      </c>
      <c r="F1333">
        <f>IFERROR(__xludf.DUMMYFUNCTION("""COMPUTED_VALUE"""),11.42)</f>
        <v>11.42</v>
      </c>
      <c r="G1333">
        <f>IFERROR(__xludf.DUMMYFUNCTION("""COMPUTED_VALUE"""),5.45)</f>
        <v>5.45</v>
      </c>
    </row>
    <row r="1334">
      <c r="A1334">
        <f>IFERROR(__xludf.DUMMYFUNCTION("""COMPUTED_VALUE"""),171981.0)</f>
        <v>171981</v>
      </c>
      <c r="B1334" t="str">
        <f>IFERROR(__xludf.DUMMYFUNCTION("""COMPUTED_VALUE"""),"Canned Eastern Oysters")</f>
        <v>Canned Eastern Oysters</v>
      </c>
      <c r="C1334" t="str">
        <f>IFERROR(__xludf.DUMMYFUNCTION("""COMPUTED_VALUE"""),"Fish")</f>
        <v>Fish</v>
      </c>
      <c r="D1334">
        <f>IFERROR(__xludf.DUMMYFUNCTION("""COMPUTED_VALUE"""),68.0)</f>
        <v>68</v>
      </c>
      <c r="E1334">
        <f>IFERROR(__xludf.DUMMYFUNCTION("""COMPUTED_VALUE"""),2.47)</f>
        <v>2.47</v>
      </c>
      <c r="F1334">
        <f>IFERROR(__xludf.DUMMYFUNCTION("""COMPUTED_VALUE"""),7.06)</f>
        <v>7.06</v>
      </c>
      <c r="G1334">
        <f>IFERROR(__xludf.DUMMYFUNCTION("""COMPUTED_VALUE"""),3.91)</f>
        <v>3.91</v>
      </c>
    </row>
    <row r="1335">
      <c r="A1335">
        <f>IFERROR(__xludf.DUMMYFUNCTION("""COMPUTED_VALUE"""),171982.0)</f>
        <v>171982</v>
      </c>
      <c r="B1335" t="str">
        <f>IFERROR(__xludf.DUMMYFUNCTION("""COMPUTED_VALUE"""),"Fried Calamari")</f>
        <v>Fried Calamari</v>
      </c>
      <c r="C1335" t="str">
        <f>IFERROR(__xludf.DUMMYFUNCTION("""COMPUTED_VALUE"""),"Fish")</f>
        <v>Fish</v>
      </c>
      <c r="D1335">
        <f>IFERROR(__xludf.DUMMYFUNCTION("""COMPUTED_VALUE"""),175.0)</f>
        <v>175</v>
      </c>
      <c r="E1335">
        <f>IFERROR(__xludf.DUMMYFUNCTION("""COMPUTED_VALUE"""),7.48)</f>
        <v>7.48</v>
      </c>
      <c r="F1335">
        <f>IFERROR(__xludf.DUMMYFUNCTION("""COMPUTED_VALUE"""),17.94)</f>
        <v>17.94</v>
      </c>
      <c r="G1335">
        <f>IFERROR(__xludf.DUMMYFUNCTION("""COMPUTED_VALUE"""),7.79)</f>
        <v>7.79</v>
      </c>
    </row>
    <row r="1336">
      <c r="A1336">
        <f>IFERROR(__xludf.DUMMYFUNCTION("""COMPUTED_VALUE"""),171983.0)</f>
        <v>171983</v>
      </c>
      <c r="B1336" t="str">
        <f>IFERROR(__xludf.DUMMYFUNCTION("""COMPUTED_VALUE"""),"Mollusks Whelk Unspecified Raw")</f>
        <v>Mollusks Whelk Unspecified Raw</v>
      </c>
      <c r="C1336" t="str">
        <f>IFERROR(__xludf.DUMMYFUNCTION("""COMPUTED_VALUE"""),"Fish")</f>
        <v>Fish</v>
      </c>
      <c r="D1336">
        <f>IFERROR(__xludf.DUMMYFUNCTION("""COMPUTED_VALUE"""),137.0)</f>
        <v>137</v>
      </c>
      <c r="E1336">
        <f>IFERROR(__xludf.DUMMYFUNCTION("""COMPUTED_VALUE"""),0.4)</f>
        <v>0.4</v>
      </c>
      <c r="F1336">
        <f>IFERROR(__xludf.DUMMYFUNCTION("""COMPUTED_VALUE"""),23.84)</f>
        <v>23.84</v>
      </c>
      <c r="G1336">
        <f>IFERROR(__xludf.DUMMYFUNCTION("""COMPUTED_VALUE"""),7.76)</f>
        <v>7.76</v>
      </c>
    </row>
    <row r="1337">
      <c r="A1337">
        <f>IFERROR(__xludf.DUMMYFUNCTION("""COMPUTED_VALUE"""),171984.0)</f>
        <v>171984</v>
      </c>
      <c r="B1337" t="str">
        <f>IFERROR(__xludf.DUMMYFUNCTION("""COMPUTED_VALUE"""),"Whelk (Cooked)")</f>
        <v>Whelk (Cooked)</v>
      </c>
      <c r="C1337" t="str">
        <f>IFERROR(__xludf.DUMMYFUNCTION("""COMPUTED_VALUE"""),"Fish")</f>
        <v>Fish</v>
      </c>
      <c r="D1337">
        <f>IFERROR(__xludf.DUMMYFUNCTION("""COMPUTED_VALUE"""),275.0)</f>
        <v>275</v>
      </c>
      <c r="E1337">
        <f>IFERROR(__xludf.DUMMYFUNCTION("""COMPUTED_VALUE"""),0.8)</f>
        <v>0.8</v>
      </c>
      <c r="F1337">
        <f>IFERROR(__xludf.DUMMYFUNCTION("""COMPUTED_VALUE"""),47.68)</f>
        <v>47.68</v>
      </c>
      <c r="G1337">
        <f>IFERROR(__xludf.DUMMYFUNCTION("""COMPUTED_VALUE"""),15.52)</f>
        <v>15.52</v>
      </c>
    </row>
    <row r="1338">
      <c r="A1338">
        <f>IFERROR(__xludf.DUMMYFUNCTION("""COMPUTED_VALUE"""),171985.0)</f>
        <v>171985</v>
      </c>
      <c r="B1338" t="str">
        <f>IFERROR(__xludf.DUMMYFUNCTION("""COMPUTED_VALUE"""),"Fish Salmon Chinook Smoked (Lox) Regular")</f>
        <v>Fish Salmon Chinook Smoked (Lox) Regular</v>
      </c>
      <c r="C1338" t="str">
        <f>IFERROR(__xludf.DUMMYFUNCTION("""COMPUTED_VALUE"""),"Fish")</f>
        <v>Fish</v>
      </c>
      <c r="D1338">
        <f>IFERROR(__xludf.DUMMYFUNCTION("""COMPUTED_VALUE"""),117.0)</f>
        <v>117</v>
      </c>
      <c r="E1338">
        <f>IFERROR(__xludf.DUMMYFUNCTION("""COMPUTED_VALUE"""),4.32)</f>
        <v>4.32</v>
      </c>
      <c r="F1338">
        <f>IFERROR(__xludf.DUMMYFUNCTION("""COMPUTED_VALUE"""),18.28)</f>
        <v>18.28</v>
      </c>
      <c r="G1338">
        <f>IFERROR(__xludf.DUMMYFUNCTION("""COMPUTED_VALUE"""),0.0)</f>
        <v>0</v>
      </c>
    </row>
    <row r="1339">
      <c r="A1339">
        <f>IFERROR(__xludf.DUMMYFUNCTION("""COMPUTED_VALUE"""),171986.0)</f>
        <v>171986</v>
      </c>
      <c r="B1339" t="str">
        <f>IFERROR(__xludf.DUMMYFUNCTION("""COMPUTED_VALUE"""),"Fish Tuna Light Canned In Water Without Salt Drained Solids")</f>
        <v>Fish Tuna Light Canned In Water Without Salt Drained Solids</v>
      </c>
      <c r="C1339" t="str">
        <f>IFERROR(__xludf.DUMMYFUNCTION("""COMPUTED_VALUE"""),"Fish")</f>
        <v>Fish</v>
      </c>
      <c r="D1339">
        <f>IFERROR(__xludf.DUMMYFUNCTION("""COMPUTED_VALUE"""),116.0)</f>
        <v>116</v>
      </c>
      <c r="E1339">
        <f>IFERROR(__xludf.DUMMYFUNCTION("""COMPUTED_VALUE"""),0.82)</f>
        <v>0.82</v>
      </c>
      <c r="F1339">
        <f>IFERROR(__xludf.DUMMYFUNCTION("""COMPUTED_VALUE"""),25.51)</f>
        <v>25.51</v>
      </c>
      <c r="G1339">
        <f>IFERROR(__xludf.DUMMYFUNCTION("""COMPUTED_VALUE"""),0.0)</f>
        <v>0</v>
      </c>
    </row>
    <row r="1340">
      <c r="A1340">
        <f>IFERROR(__xludf.DUMMYFUNCTION("""COMPUTED_VALUE"""),171987.0)</f>
        <v>171987</v>
      </c>
      <c r="B1340" t="str">
        <f>IFERROR(__xludf.DUMMYFUNCTION("""COMPUTED_VALUE"""),"Fish Tuna White Canned In Oil Without Salt Drained Solids")</f>
        <v>Fish Tuna White Canned In Oil Without Salt Drained Solids</v>
      </c>
      <c r="C1340" t="str">
        <f>IFERROR(__xludf.DUMMYFUNCTION("""COMPUTED_VALUE"""),"Fish")</f>
        <v>Fish</v>
      </c>
      <c r="D1340">
        <f>IFERROR(__xludf.DUMMYFUNCTION("""COMPUTED_VALUE"""),186.0)</f>
        <v>186</v>
      </c>
      <c r="E1340">
        <f>IFERROR(__xludf.DUMMYFUNCTION("""COMPUTED_VALUE"""),8.08)</f>
        <v>8.08</v>
      </c>
      <c r="F1340">
        <f>IFERROR(__xludf.DUMMYFUNCTION("""COMPUTED_VALUE"""),26.53)</f>
        <v>26.53</v>
      </c>
      <c r="G1340">
        <f>IFERROR(__xludf.DUMMYFUNCTION("""COMPUTED_VALUE"""),0.0)</f>
        <v>0</v>
      </c>
    </row>
    <row r="1341">
      <c r="A1341">
        <f>IFERROR(__xludf.DUMMYFUNCTION("""COMPUTED_VALUE"""),171988.0)</f>
        <v>171988</v>
      </c>
      <c r="B1341" t="str">
        <f>IFERROR(__xludf.DUMMYFUNCTION("""COMPUTED_VALUE"""),"Fish Tuna White Canned In Water Without Salt Drained Solids")</f>
        <v>Fish Tuna White Canned In Water Without Salt Drained Solids</v>
      </c>
      <c r="C1341" t="str">
        <f>IFERROR(__xludf.DUMMYFUNCTION("""COMPUTED_VALUE"""),"Fish")</f>
        <v>Fish</v>
      </c>
      <c r="D1341">
        <f>IFERROR(__xludf.DUMMYFUNCTION("""COMPUTED_VALUE"""),128.0)</f>
        <v>128</v>
      </c>
      <c r="E1341">
        <f>IFERROR(__xludf.DUMMYFUNCTION("""COMPUTED_VALUE"""),2.97)</f>
        <v>2.97</v>
      </c>
      <c r="F1341">
        <f>IFERROR(__xludf.DUMMYFUNCTION("""COMPUTED_VALUE"""),23.62)</f>
        <v>23.62</v>
      </c>
      <c r="G1341">
        <f>IFERROR(__xludf.DUMMYFUNCTION("""COMPUTED_VALUE"""),0.0)</f>
        <v>0</v>
      </c>
    </row>
    <row r="1342">
      <c r="A1342">
        <f>IFERROR(__xludf.DUMMYFUNCTION("""COMPUTED_VALUE"""),171989.0)</f>
        <v>171989</v>
      </c>
      <c r="B1342" t="str">
        <f>IFERROR(__xludf.DUMMYFUNCTION("""COMPUTED_VALUE"""),"Fish Bass Freshwater Mixed Species Cooked Dry Heat")</f>
        <v>Fish Bass Freshwater Mixed Species Cooked Dry Heat</v>
      </c>
      <c r="C1342" t="str">
        <f>IFERROR(__xludf.DUMMYFUNCTION("""COMPUTED_VALUE"""),"Fish")</f>
        <v>Fish</v>
      </c>
      <c r="D1342">
        <f>IFERROR(__xludf.DUMMYFUNCTION("""COMPUTED_VALUE"""),146.0)</f>
        <v>146</v>
      </c>
      <c r="E1342">
        <f>IFERROR(__xludf.DUMMYFUNCTION("""COMPUTED_VALUE"""),4.73)</f>
        <v>4.73</v>
      </c>
      <c r="F1342">
        <f>IFERROR(__xludf.DUMMYFUNCTION("""COMPUTED_VALUE"""),24.18)</f>
        <v>24.18</v>
      </c>
      <c r="G1342">
        <f>IFERROR(__xludf.DUMMYFUNCTION("""COMPUTED_VALUE"""),0.0)</f>
        <v>0</v>
      </c>
    </row>
    <row r="1343">
      <c r="A1343">
        <f>IFERROR(__xludf.DUMMYFUNCTION("""COMPUTED_VALUE"""),171990.0)</f>
        <v>171990</v>
      </c>
      <c r="B1343" t="str">
        <f>IFERROR(__xludf.DUMMYFUNCTION("""COMPUTED_VALUE"""),"Cooked Pacific Cod")</f>
        <v>Cooked Pacific Cod</v>
      </c>
      <c r="C1343" t="str">
        <f>IFERROR(__xludf.DUMMYFUNCTION("""COMPUTED_VALUE"""),"Fish")</f>
        <v>Fish</v>
      </c>
      <c r="D1343">
        <f>IFERROR(__xludf.DUMMYFUNCTION("""COMPUTED_VALUE"""),85.0)</f>
        <v>85</v>
      </c>
      <c r="E1343">
        <f>IFERROR(__xludf.DUMMYFUNCTION("""COMPUTED_VALUE"""),0.5)</f>
        <v>0.5</v>
      </c>
      <c r="F1343">
        <f>IFERROR(__xludf.DUMMYFUNCTION("""COMPUTED_VALUE"""),18.73)</f>
        <v>18.73</v>
      </c>
      <c r="G1343">
        <f>IFERROR(__xludf.DUMMYFUNCTION("""COMPUTED_VALUE"""),0.0)</f>
        <v>0</v>
      </c>
    </row>
    <row r="1344">
      <c r="A1344">
        <f>IFERROR(__xludf.DUMMYFUNCTION("""COMPUTED_VALUE"""),171991.0)</f>
        <v>171991</v>
      </c>
      <c r="B1344" t="str">
        <f>IFERROR(__xludf.DUMMYFUNCTION("""COMPUTED_VALUE"""),"Fish Cusk Cooked Dry Heat")</f>
        <v>Fish Cusk Cooked Dry Heat</v>
      </c>
      <c r="C1344" t="str">
        <f>IFERROR(__xludf.DUMMYFUNCTION("""COMPUTED_VALUE"""),"Fish")</f>
        <v>Fish</v>
      </c>
      <c r="D1344">
        <f>IFERROR(__xludf.DUMMYFUNCTION("""COMPUTED_VALUE"""),112.0)</f>
        <v>112</v>
      </c>
      <c r="E1344">
        <f>IFERROR(__xludf.DUMMYFUNCTION("""COMPUTED_VALUE"""),0.88)</f>
        <v>0.88</v>
      </c>
      <c r="F1344">
        <f>IFERROR(__xludf.DUMMYFUNCTION("""COMPUTED_VALUE"""),24.35)</f>
        <v>24.35</v>
      </c>
      <c r="G1344">
        <f>IFERROR(__xludf.DUMMYFUNCTION("""COMPUTED_VALUE"""),0.0)</f>
        <v>0</v>
      </c>
    </row>
    <row r="1345">
      <c r="A1345">
        <f>IFERROR(__xludf.DUMMYFUNCTION("""COMPUTED_VALUE"""),171992.0)</f>
        <v>171992</v>
      </c>
      <c r="B1345" t="str">
        <f>IFERROR(__xludf.DUMMYFUNCTION("""COMPUTED_VALUE"""),"Cooked Mahimahi")</f>
        <v>Cooked Mahimahi</v>
      </c>
      <c r="C1345" t="str">
        <f>IFERROR(__xludf.DUMMYFUNCTION("""COMPUTED_VALUE"""),"Fish")</f>
        <v>Fish</v>
      </c>
      <c r="D1345">
        <f>IFERROR(__xludf.DUMMYFUNCTION("""COMPUTED_VALUE"""),109.0)</f>
        <v>109</v>
      </c>
      <c r="E1345">
        <f>IFERROR(__xludf.DUMMYFUNCTION("""COMPUTED_VALUE"""),0.9)</f>
        <v>0.9</v>
      </c>
      <c r="F1345">
        <f>IFERROR(__xludf.DUMMYFUNCTION("""COMPUTED_VALUE"""),23.72)</f>
        <v>23.72</v>
      </c>
      <c r="G1345">
        <f>IFERROR(__xludf.DUMMYFUNCTION("""COMPUTED_VALUE"""),0.0)</f>
        <v>0</v>
      </c>
    </row>
    <row r="1346">
      <c r="A1346">
        <f>IFERROR(__xludf.DUMMYFUNCTION("""COMPUTED_VALUE"""),171993.0)</f>
        <v>171993</v>
      </c>
      <c r="B1346" t="str">
        <f>IFERROR(__xludf.DUMMYFUNCTION("""COMPUTED_VALUE"""),"Fish Drum Freshwater Cooked Dry Heat")</f>
        <v>Fish Drum Freshwater Cooked Dry Heat</v>
      </c>
      <c r="C1346" t="str">
        <f>IFERROR(__xludf.DUMMYFUNCTION("""COMPUTED_VALUE"""),"Fish")</f>
        <v>Fish</v>
      </c>
      <c r="D1346">
        <f>IFERROR(__xludf.DUMMYFUNCTION("""COMPUTED_VALUE"""),153.0)</f>
        <v>153</v>
      </c>
      <c r="E1346">
        <f>IFERROR(__xludf.DUMMYFUNCTION("""COMPUTED_VALUE"""),6.32)</f>
        <v>6.32</v>
      </c>
      <c r="F1346">
        <f>IFERROR(__xludf.DUMMYFUNCTION("""COMPUTED_VALUE"""),22.49)</f>
        <v>22.49</v>
      </c>
      <c r="G1346">
        <f>IFERROR(__xludf.DUMMYFUNCTION("""COMPUTED_VALUE"""),0.0)</f>
        <v>0</v>
      </c>
    </row>
    <row r="1347">
      <c r="A1347">
        <f>IFERROR(__xludf.DUMMYFUNCTION("""COMPUTED_VALUE"""),171994.0)</f>
        <v>171994</v>
      </c>
      <c r="B1347" t="str">
        <f>IFERROR(__xludf.DUMMYFUNCTION("""COMPUTED_VALUE"""),"Fish Mackerel Pacific And Jack Mixed Species Cooked Dry Heat")</f>
        <v>Fish Mackerel Pacific And Jack Mixed Species Cooked Dry Heat</v>
      </c>
      <c r="C1347" t="str">
        <f>IFERROR(__xludf.DUMMYFUNCTION("""COMPUTED_VALUE"""),"Fish")</f>
        <v>Fish</v>
      </c>
      <c r="D1347">
        <f>IFERROR(__xludf.DUMMYFUNCTION("""COMPUTED_VALUE"""),201.0)</f>
        <v>201</v>
      </c>
      <c r="E1347">
        <f>IFERROR(__xludf.DUMMYFUNCTION("""COMPUTED_VALUE"""),10.12)</f>
        <v>10.12</v>
      </c>
      <c r="F1347">
        <f>IFERROR(__xludf.DUMMYFUNCTION("""COMPUTED_VALUE"""),25.73)</f>
        <v>25.73</v>
      </c>
      <c r="G1347">
        <f>IFERROR(__xludf.DUMMYFUNCTION("""COMPUTED_VALUE"""),0.0)</f>
        <v>0</v>
      </c>
    </row>
    <row r="1348">
      <c r="A1348">
        <f>IFERROR(__xludf.DUMMYFUNCTION("""COMPUTED_VALUE"""),171995.0)</f>
        <v>171995</v>
      </c>
      <c r="B1348" t="str">
        <f>IFERROR(__xludf.DUMMYFUNCTION("""COMPUTED_VALUE"""),"Fish Milkfish Cooked Dry Heat")</f>
        <v>Fish Milkfish Cooked Dry Heat</v>
      </c>
      <c r="C1348" t="str">
        <f>IFERROR(__xludf.DUMMYFUNCTION("""COMPUTED_VALUE"""),"Fish")</f>
        <v>Fish</v>
      </c>
      <c r="D1348">
        <f>IFERROR(__xludf.DUMMYFUNCTION("""COMPUTED_VALUE"""),190.0)</f>
        <v>190</v>
      </c>
      <c r="E1348">
        <f>IFERROR(__xludf.DUMMYFUNCTION("""COMPUTED_VALUE"""),8.63)</f>
        <v>8.63</v>
      </c>
      <c r="F1348">
        <f>IFERROR(__xludf.DUMMYFUNCTION("""COMPUTED_VALUE"""),26.32)</f>
        <v>26.32</v>
      </c>
      <c r="G1348">
        <f>IFERROR(__xludf.DUMMYFUNCTION("""COMPUTED_VALUE"""),0.0)</f>
        <v>0</v>
      </c>
    </row>
    <row r="1349">
      <c r="A1349">
        <f>IFERROR(__xludf.DUMMYFUNCTION("""COMPUTED_VALUE"""),171996.0)</f>
        <v>171996</v>
      </c>
      <c r="B1349" t="str">
        <f>IFERROR(__xludf.DUMMYFUNCTION("""COMPUTED_VALUE"""),"Fish Monkfish Cooked Dry Heat")</f>
        <v>Fish Monkfish Cooked Dry Heat</v>
      </c>
      <c r="C1349" t="str">
        <f>IFERROR(__xludf.DUMMYFUNCTION("""COMPUTED_VALUE"""),"Fish")</f>
        <v>Fish</v>
      </c>
      <c r="D1349">
        <f>IFERROR(__xludf.DUMMYFUNCTION("""COMPUTED_VALUE"""),97.0)</f>
        <v>97</v>
      </c>
      <c r="E1349">
        <f>IFERROR(__xludf.DUMMYFUNCTION("""COMPUTED_VALUE"""),1.95)</f>
        <v>1.95</v>
      </c>
      <c r="F1349">
        <f>IFERROR(__xludf.DUMMYFUNCTION("""COMPUTED_VALUE"""),18.56)</f>
        <v>18.56</v>
      </c>
      <c r="G1349">
        <f>IFERROR(__xludf.DUMMYFUNCTION("""COMPUTED_VALUE"""),0.0)</f>
        <v>0</v>
      </c>
    </row>
    <row r="1350">
      <c r="A1350">
        <f>IFERROR(__xludf.DUMMYFUNCTION("""COMPUTED_VALUE"""),171997.0)</f>
        <v>171997</v>
      </c>
      <c r="B1350" t="str">
        <f>IFERROR(__xludf.DUMMYFUNCTION("""COMPUTED_VALUE"""),"Cooked Walleye Pike")</f>
        <v>Cooked Walleye Pike</v>
      </c>
      <c r="C1350" t="str">
        <f>IFERROR(__xludf.DUMMYFUNCTION("""COMPUTED_VALUE"""),"Fish")</f>
        <v>Fish</v>
      </c>
      <c r="D1350">
        <f>IFERROR(__xludf.DUMMYFUNCTION("""COMPUTED_VALUE"""),119.0)</f>
        <v>119</v>
      </c>
      <c r="E1350">
        <f>IFERROR(__xludf.DUMMYFUNCTION("""COMPUTED_VALUE"""),1.56)</f>
        <v>1.56</v>
      </c>
      <c r="F1350">
        <f>IFERROR(__xludf.DUMMYFUNCTION("""COMPUTED_VALUE"""),24.54)</f>
        <v>24.54</v>
      </c>
      <c r="G1350">
        <f>IFERROR(__xludf.DUMMYFUNCTION("""COMPUTED_VALUE"""),0.0)</f>
        <v>0</v>
      </c>
    </row>
    <row r="1351">
      <c r="A1351">
        <f>IFERROR(__xludf.DUMMYFUNCTION("""COMPUTED_VALUE"""),171998.0)</f>
        <v>171998</v>
      </c>
      <c r="B1351" t="str">
        <f>IFERROR(__xludf.DUMMYFUNCTION("""COMPUTED_VALUE"""),"Wild Atlantic Salmon (Cooked)")</f>
        <v>Wild Atlantic Salmon (Cooked)</v>
      </c>
      <c r="C1351" t="str">
        <f>IFERROR(__xludf.DUMMYFUNCTION("""COMPUTED_VALUE"""),"Fish")</f>
        <v>Fish</v>
      </c>
      <c r="D1351">
        <f>IFERROR(__xludf.DUMMYFUNCTION("""COMPUTED_VALUE"""),182.0)</f>
        <v>182</v>
      </c>
      <c r="E1351">
        <f>IFERROR(__xludf.DUMMYFUNCTION("""COMPUTED_VALUE"""),8.13)</f>
        <v>8.13</v>
      </c>
      <c r="F1351">
        <f>IFERROR(__xludf.DUMMYFUNCTION("""COMPUTED_VALUE"""),25.44)</f>
        <v>25.44</v>
      </c>
      <c r="G1351">
        <f>IFERROR(__xludf.DUMMYFUNCTION("""COMPUTED_VALUE"""),0.0)</f>
        <v>0</v>
      </c>
    </row>
    <row r="1352">
      <c r="A1352">
        <f>IFERROR(__xludf.DUMMYFUNCTION("""COMPUTED_VALUE"""),171999.0)</f>
        <v>171999</v>
      </c>
      <c r="B1352" t="str">
        <f>IFERROR(__xludf.DUMMYFUNCTION("""COMPUTED_VALUE"""),"Fish Salmon Chinook Cooked Dry Heat")</f>
        <v>Fish Salmon Chinook Cooked Dry Heat</v>
      </c>
      <c r="C1352" t="str">
        <f>IFERROR(__xludf.DUMMYFUNCTION("""COMPUTED_VALUE"""),"Fish")</f>
        <v>Fish</v>
      </c>
      <c r="D1352">
        <f>IFERROR(__xludf.DUMMYFUNCTION("""COMPUTED_VALUE"""),231.0)</f>
        <v>231</v>
      </c>
      <c r="E1352">
        <f>IFERROR(__xludf.DUMMYFUNCTION("""COMPUTED_VALUE"""),13.38)</f>
        <v>13.38</v>
      </c>
      <c r="F1352">
        <f>IFERROR(__xludf.DUMMYFUNCTION("""COMPUTED_VALUE"""),25.72)</f>
        <v>25.72</v>
      </c>
      <c r="G1352">
        <f>IFERROR(__xludf.DUMMYFUNCTION("""COMPUTED_VALUE"""),0.0)</f>
        <v>0</v>
      </c>
    </row>
    <row r="1353">
      <c r="A1353">
        <f>IFERROR(__xludf.DUMMYFUNCTION("""COMPUTED_VALUE"""),172000.0)</f>
        <v>172000</v>
      </c>
      <c r="B1353" t="str">
        <f>IFERROR(__xludf.DUMMYFUNCTION("""COMPUTED_VALUE"""),"Fish Salmon Chum Cooked Dry Heat")</f>
        <v>Fish Salmon Chum Cooked Dry Heat</v>
      </c>
      <c r="C1353" t="str">
        <f>IFERROR(__xludf.DUMMYFUNCTION("""COMPUTED_VALUE"""),"Fish")</f>
        <v>Fish</v>
      </c>
      <c r="D1353">
        <f>IFERROR(__xludf.DUMMYFUNCTION("""COMPUTED_VALUE"""),154.0)</f>
        <v>154</v>
      </c>
      <c r="E1353">
        <f>IFERROR(__xludf.DUMMYFUNCTION("""COMPUTED_VALUE"""),4.83)</f>
        <v>4.83</v>
      </c>
      <c r="F1353">
        <f>IFERROR(__xludf.DUMMYFUNCTION("""COMPUTED_VALUE"""),25.82)</f>
        <v>25.82</v>
      </c>
      <c r="G1353">
        <f>IFERROR(__xludf.DUMMYFUNCTION("""COMPUTED_VALUE"""),0.0)</f>
        <v>0</v>
      </c>
    </row>
    <row r="1354">
      <c r="A1354">
        <f>IFERROR(__xludf.DUMMYFUNCTION("""COMPUTED_VALUE"""),172001.0)</f>
        <v>172001</v>
      </c>
      <c r="B1354" t="str">
        <f>IFERROR(__xludf.DUMMYFUNCTION("""COMPUTED_VALUE"""),"Fish Salmon Pink Cooked Dry Heat")</f>
        <v>Fish Salmon Pink Cooked Dry Heat</v>
      </c>
      <c r="C1354" t="str">
        <f>IFERROR(__xludf.DUMMYFUNCTION("""COMPUTED_VALUE"""),"Fish")</f>
        <v>Fish</v>
      </c>
      <c r="D1354">
        <f>IFERROR(__xludf.DUMMYFUNCTION("""COMPUTED_VALUE"""),153.0)</f>
        <v>153</v>
      </c>
      <c r="E1354">
        <f>IFERROR(__xludf.DUMMYFUNCTION("""COMPUTED_VALUE"""),5.28)</f>
        <v>5.28</v>
      </c>
      <c r="F1354">
        <f>IFERROR(__xludf.DUMMYFUNCTION("""COMPUTED_VALUE"""),24.58)</f>
        <v>24.58</v>
      </c>
      <c r="G1354">
        <f>IFERROR(__xludf.DUMMYFUNCTION("""COMPUTED_VALUE"""),0.0)</f>
        <v>0</v>
      </c>
    </row>
    <row r="1355">
      <c r="A1355">
        <f>IFERROR(__xludf.DUMMYFUNCTION("""COMPUTED_VALUE"""),172002.0)</f>
        <v>172002</v>
      </c>
      <c r="B1355" t="str">
        <f>IFERROR(__xludf.DUMMYFUNCTION("""COMPUTED_VALUE"""),"Fish Sucker White Cooked Dry Heat")</f>
        <v>Fish Sucker White Cooked Dry Heat</v>
      </c>
      <c r="C1355" t="str">
        <f>IFERROR(__xludf.DUMMYFUNCTION("""COMPUTED_VALUE"""),"Fish")</f>
        <v>Fish</v>
      </c>
      <c r="D1355">
        <f>IFERROR(__xludf.DUMMYFUNCTION("""COMPUTED_VALUE"""),119.0)</f>
        <v>119</v>
      </c>
      <c r="E1355">
        <f>IFERROR(__xludf.DUMMYFUNCTION("""COMPUTED_VALUE"""),2.97)</f>
        <v>2.97</v>
      </c>
      <c r="F1355">
        <f>IFERROR(__xludf.DUMMYFUNCTION("""COMPUTED_VALUE"""),21.49)</f>
        <v>21.49</v>
      </c>
      <c r="G1355">
        <f>IFERROR(__xludf.DUMMYFUNCTION("""COMPUTED_VALUE"""),0.0)</f>
        <v>0</v>
      </c>
    </row>
    <row r="1356">
      <c r="A1356">
        <f>IFERROR(__xludf.DUMMYFUNCTION("""COMPUTED_VALUE"""),172003.0)</f>
        <v>172003</v>
      </c>
      <c r="B1356" t="str">
        <f>IFERROR(__xludf.DUMMYFUNCTION("""COMPUTED_VALUE"""),"Fish Sunfish Pumpkin Seed Cooked Dry Heat")</f>
        <v>Fish Sunfish Pumpkin Seed Cooked Dry Heat</v>
      </c>
      <c r="C1356" t="str">
        <f>IFERROR(__xludf.DUMMYFUNCTION("""COMPUTED_VALUE"""),"Fish")</f>
        <v>Fish</v>
      </c>
      <c r="D1356">
        <f>IFERROR(__xludf.DUMMYFUNCTION("""COMPUTED_VALUE"""),114.0)</f>
        <v>114</v>
      </c>
      <c r="E1356">
        <f>IFERROR(__xludf.DUMMYFUNCTION("""COMPUTED_VALUE"""),0.9)</f>
        <v>0.9</v>
      </c>
      <c r="F1356">
        <f>IFERROR(__xludf.DUMMYFUNCTION("""COMPUTED_VALUE"""),24.87)</f>
        <v>24.87</v>
      </c>
      <c r="G1356">
        <f>IFERROR(__xludf.DUMMYFUNCTION("""COMPUTED_VALUE"""),0.0)</f>
        <v>0</v>
      </c>
    </row>
    <row r="1357">
      <c r="A1357">
        <f>IFERROR(__xludf.DUMMYFUNCTION("""COMPUTED_VALUE"""),172004.0)</f>
        <v>172004</v>
      </c>
      <c r="B1357" t="str">
        <f>IFERROR(__xludf.DUMMYFUNCTION("""COMPUTED_VALUE"""),"Fish Trout Mixed Species Cooked Dry Heat")</f>
        <v>Fish Trout Mixed Species Cooked Dry Heat</v>
      </c>
      <c r="C1357" t="str">
        <f>IFERROR(__xludf.DUMMYFUNCTION("""COMPUTED_VALUE"""),"Fish")</f>
        <v>Fish</v>
      </c>
      <c r="D1357">
        <f>IFERROR(__xludf.DUMMYFUNCTION("""COMPUTED_VALUE"""),190.0)</f>
        <v>190</v>
      </c>
      <c r="E1357">
        <f>IFERROR(__xludf.DUMMYFUNCTION("""COMPUTED_VALUE"""),8.47)</f>
        <v>8.47</v>
      </c>
      <c r="F1357">
        <f>IFERROR(__xludf.DUMMYFUNCTION("""COMPUTED_VALUE"""),26.63)</f>
        <v>26.63</v>
      </c>
      <c r="G1357">
        <f>IFERROR(__xludf.DUMMYFUNCTION("""COMPUTED_VALUE"""),0.0)</f>
        <v>0</v>
      </c>
    </row>
    <row r="1358">
      <c r="A1358">
        <f>IFERROR(__xludf.DUMMYFUNCTION("""COMPUTED_VALUE"""),172005.0)</f>
        <v>172005</v>
      </c>
      <c r="B1358" t="str">
        <f>IFERROR(__xludf.DUMMYFUNCTION("""COMPUTED_VALUE"""),"Cooked Skipjack")</f>
        <v>Cooked Skipjack</v>
      </c>
      <c r="C1358" t="str">
        <f>IFERROR(__xludf.DUMMYFUNCTION("""COMPUTED_VALUE"""),"Fish")</f>
        <v>Fish</v>
      </c>
      <c r="D1358">
        <f>IFERROR(__xludf.DUMMYFUNCTION("""COMPUTED_VALUE"""),132.0)</f>
        <v>132</v>
      </c>
      <c r="E1358">
        <f>IFERROR(__xludf.DUMMYFUNCTION("""COMPUTED_VALUE"""),1.29)</f>
        <v>1.29</v>
      </c>
      <c r="F1358">
        <f>IFERROR(__xludf.DUMMYFUNCTION("""COMPUTED_VALUE"""),28.21)</f>
        <v>28.21</v>
      </c>
      <c r="G1358">
        <f>IFERROR(__xludf.DUMMYFUNCTION("""COMPUTED_VALUE"""),0.0)</f>
        <v>0</v>
      </c>
    </row>
    <row r="1359">
      <c r="A1359">
        <f>IFERROR(__xludf.DUMMYFUNCTION("""COMPUTED_VALUE"""),172006.0)</f>
        <v>172006</v>
      </c>
      <c r="B1359" t="str">
        <f>IFERROR(__xludf.DUMMYFUNCTION("""COMPUTED_VALUE"""),"Cooked Yellowfin Tuna")</f>
        <v>Cooked Yellowfin Tuna</v>
      </c>
      <c r="C1359" t="str">
        <f>IFERROR(__xludf.DUMMYFUNCTION("""COMPUTED_VALUE"""),"Fish")</f>
        <v>Fish</v>
      </c>
      <c r="D1359">
        <f>IFERROR(__xludf.DUMMYFUNCTION("""COMPUTED_VALUE"""),130.0)</f>
        <v>130</v>
      </c>
      <c r="E1359">
        <f>IFERROR(__xludf.DUMMYFUNCTION("""COMPUTED_VALUE"""),0.59)</f>
        <v>0.59</v>
      </c>
      <c r="F1359">
        <f>IFERROR(__xludf.DUMMYFUNCTION("""COMPUTED_VALUE"""),29.15)</f>
        <v>29.15</v>
      </c>
      <c r="G1359">
        <f>IFERROR(__xludf.DUMMYFUNCTION("""COMPUTED_VALUE"""),0.0)</f>
        <v>0</v>
      </c>
    </row>
    <row r="1360">
      <c r="A1360">
        <f>IFERROR(__xludf.DUMMYFUNCTION("""COMPUTED_VALUE"""),172007.0)</f>
        <v>172007</v>
      </c>
      <c r="B1360" t="str">
        <f>IFERROR(__xludf.DUMMYFUNCTION("""COMPUTED_VALUE"""),"Cooked Dungeness Crab")</f>
        <v>Cooked Dungeness Crab</v>
      </c>
      <c r="C1360" t="str">
        <f>IFERROR(__xludf.DUMMYFUNCTION("""COMPUTED_VALUE"""),"Fish")</f>
        <v>Fish</v>
      </c>
      <c r="D1360">
        <f>IFERROR(__xludf.DUMMYFUNCTION("""COMPUTED_VALUE"""),110.0)</f>
        <v>110</v>
      </c>
      <c r="E1360">
        <f>IFERROR(__xludf.DUMMYFUNCTION("""COMPUTED_VALUE"""),1.24)</f>
        <v>1.24</v>
      </c>
      <c r="F1360">
        <f>IFERROR(__xludf.DUMMYFUNCTION("""COMPUTED_VALUE"""),22.32)</f>
        <v>22.32</v>
      </c>
      <c r="G1360">
        <f>IFERROR(__xludf.DUMMYFUNCTION("""COMPUTED_VALUE"""),0.95)</f>
        <v>0.95</v>
      </c>
    </row>
    <row r="1361">
      <c r="A1361">
        <f>IFERROR(__xludf.DUMMYFUNCTION("""COMPUTED_VALUE"""),172008.0)</f>
        <v>172008</v>
      </c>
      <c r="B1361" t="str">
        <f>IFERROR(__xludf.DUMMYFUNCTION("""COMPUTED_VALUE"""),"Queen Crab (Cooked)")</f>
        <v>Queen Crab (Cooked)</v>
      </c>
      <c r="C1361" t="str">
        <f>IFERROR(__xludf.DUMMYFUNCTION("""COMPUTED_VALUE"""),"Fish")</f>
        <v>Fish</v>
      </c>
      <c r="D1361">
        <f>IFERROR(__xludf.DUMMYFUNCTION("""COMPUTED_VALUE"""),115.0)</f>
        <v>115</v>
      </c>
      <c r="E1361">
        <f>IFERROR(__xludf.DUMMYFUNCTION("""COMPUTED_VALUE"""),1.51)</f>
        <v>1.51</v>
      </c>
      <c r="F1361">
        <f>IFERROR(__xludf.DUMMYFUNCTION("""COMPUTED_VALUE"""),23.72)</f>
        <v>23.72</v>
      </c>
      <c r="G1361">
        <f>IFERROR(__xludf.DUMMYFUNCTION("""COMPUTED_VALUE"""),0.0)</f>
        <v>0</v>
      </c>
    </row>
    <row r="1362">
      <c r="A1362">
        <f>IFERROR(__xludf.DUMMYFUNCTION("""COMPUTED_VALUE"""),172009.0)</f>
        <v>172009</v>
      </c>
      <c r="B1362" t="str">
        <f>IFERROR(__xludf.DUMMYFUNCTION("""COMPUTED_VALUE"""),"Cooked Spiny Lobster")</f>
        <v>Cooked Spiny Lobster</v>
      </c>
      <c r="C1362" t="str">
        <f>IFERROR(__xludf.DUMMYFUNCTION("""COMPUTED_VALUE"""),"Fish")</f>
        <v>Fish</v>
      </c>
      <c r="D1362">
        <f>IFERROR(__xludf.DUMMYFUNCTION("""COMPUTED_VALUE"""),143.0)</f>
        <v>143</v>
      </c>
      <c r="E1362">
        <f>IFERROR(__xludf.DUMMYFUNCTION("""COMPUTED_VALUE"""),1.94)</f>
        <v>1.94</v>
      </c>
      <c r="F1362">
        <f>IFERROR(__xludf.DUMMYFUNCTION("""COMPUTED_VALUE"""),26.41)</f>
        <v>26.41</v>
      </c>
      <c r="G1362">
        <f>IFERROR(__xludf.DUMMYFUNCTION("""COMPUTED_VALUE"""),3.12)</f>
        <v>3.12</v>
      </c>
    </row>
    <row r="1363">
      <c r="A1363">
        <f>IFERROR(__xludf.DUMMYFUNCTION("""COMPUTED_VALUE"""),172010.0)</f>
        <v>172010</v>
      </c>
      <c r="B1363" t="str">
        <f>IFERROR(__xludf.DUMMYFUNCTION("""COMPUTED_VALUE"""),"Cooked Cuttlefish")</f>
        <v>Cooked Cuttlefish</v>
      </c>
      <c r="C1363" t="str">
        <f>IFERROR(__xludf.DUMMYFUNCTION("""COMPUTED_VALUE"""),"Fish")</f>
        <v>Fish</v>
      </c>
      <c r="D1363">
        <f>IFERROR(__xludf.DUMMYFUNCTION("""COMPUTED_VALUE"""),158.0)</f>
        <v>158</v>
      </c>
      <c r="E1363">
        <f>IFERROR(__xludf.DUMMYFUNCTION("""COMPUTED_VALUE"""),1.4)</f>
        <v>1.4</v>
      </c>
      <c r="F1363">
        <f>IFERROR(__xludf.DUMMYFUNCTION("""COMPUTED_VALUE"""),32.48)</f>
        <v>32.48</v>
      </c>
      <c r="G1363">
        <f>IFERROR(__xludf.DUMMYFUNCTION("""COMPUTED_VALUE"""),1.64)</f>
        <v>1.64</v>
      </c>
    </row>
    <row r="1364">
      <c r="A1364">
        <f>IFERROR(__xludf.DUMMYFUNCTION("""COMPUTED_VALUE"""),172011.0)</f>
        <v>172011</v>
      </c>
      <c r="B1364" t="str">
        <f>IFERROR(__xludf.DUMMYFUNCTION("""COMPUTED_VALUE"""),"Pork And Beef Beerwurst")</f>
        <v>Pork And Beef Beerwurst</v>
      </c>
      <c r="C1364" t="str">
        <f>IFERROR(__xludf.DUMMYFUNCTION("""COMPUTED_VALUE"""),"Meats")</f>
        <v>Meats</v>
      </c>
      <c r="D1364">
        <f>IFERROR(__xludf.DUMMYFUNCTION("""COMPUTED_VALUE"""),277.0)</f>
        <v>277</v>
      </c>
      <c r="E1364">
        <f>IFERROR(__xludf.DUMMYFUNCTION("""COMPUTED_VALUE"""),22.53)</f>
        <v>22.53</v>
      </c>
      <c r="F1364">
        <f>IFERROR(__xludf.DUMMYFUNCTION("""COMPUTED_VALUE"""),14.0)</f>
        <v>14</v>
      </c>
      <c r="G1364">
        <f>IFERROR(__xludf.DUMMYFUNCTION("""COMPUTED_VALUE"""),3.76)</f>
        <v>3.76</v>
      </c>
    </row>
    <row r="1365">
      <c r="A1365">
        <f>IFERROR(__xludf.DUMMYFUNCTION("""COMPUTED_VALUE"""),172012.0)</f>
        <v>172012</v>
      </c>
      <c r="B1365" t="str">
        <f>IFERROR(__xludf.DUMMYFUNCTION("""COMPUTED_VALUE"""),"Beef Baloney (Bologna)")</f>
        <v>Beef Baloney (Bologna)</v>
      </c>
      <c r="C1365" t="str">
        <f>IFERROR(__xludf.DUMMYFUNCTION("""COMPUTED_VALUE"""),"Meats")</f>
        <v>Meats</v>
      </c>
      <c r="D1365">
        <f>IFERROR(__xludf.DUMMYFUNCTION("""COMPUTED_VALUE"""),299.0)</f>
        <v>299</v>
      </c>
      <c r="E1365">
        <f>IFERROR(__xludf.DUMMYFUNCTION("""COMPUTED_VALUE"""),26.13)</f>
        <v>26.13</v>
      </c>
      <c r="F1365">
        <f>IFERROR(__xludf.DUMMYFUNCTION("""COMPUTED_VALUE"""),10.91)</f>
        <v>10.91</v>
      </c>
      <c r="G1365">
        <f>IFERROR(__xludf.DUMMYFUNCTION("""COMPUTED_VALUE"""),4.29)</f>
        <v>4.29</v>
      </c>
    </row>
    <row r="1366">
      <c r="A1366">
        <f>IFERROR(__xludf.DUMMYFUNCTION("""COMPUTED_VALUE"""),172013.0)</f>
        <v>172013</v>
      </c>
      <c r="B1366" t="str">
        <f>IFERROR(__xludf.DUMMYFUNCTION("""COMPUTED_VALUE"""),"Beef And Pork Baloney (Bologna)")</f>
        <v>Beef And Pork Baloney (Bologna)</v>
      </c>
      <c r="C1366" t="str">
        <f>IFERROR(__xludf.DUMMYFUNCTION("""COMPUTED_VALUE"""),"Meats")</f>
        <v>Meats</v>
      </c>
      <c r="D1366">
        <f>IFERROR(__xludf.DUMMYFUNCTION("""COMPUTED_VALUE"""),308.0)</f>
        <v>308</v>
      </c>
      <c r="E1366">
        <f>IFERROR(__xludf.DUMMYFUNCTION("""COMPUTED_VALUE"""),24.59)</f>
        <v>24.59</v>
      </c>
      <c r="F1366">
        <f>IFERROR(__xludf.DUMMYFUNCTION("""COMPUTED_VALUE"""),15.2)</f>
        <v>15.2</v>
      </c>
      <c r="G1366">
        <f>IFERROR(__xludf.DUMMYFUNCTION("""COMPUTED_VALUE"""),5.49)</f>
        <v>5.49</v>
      </c>
    </row>
    <row r="1367">
      <c r="A1367">
        <f>IFERROR(__xludf.DUMMYFUNCTION("""COMPUTED_VALUE"""),172115.0)</f>
        <v>172115</v>
      </c>
      <c r="B1367" t="str">
        <f>IFERROR(__xludf.DUMMYFUNCTION("""COMPUTED_VALUE"""),"Beef Short Loin Porterhouse Steak Separable Lean And Fat Trimmed To 1/8 Inch Fat All Grades Cooked Grilled")</f>
        <v>Beef Short Loin Porterhouse Steak Separable Lean And Fat Trimmed To 1/8 Inch Fat All Grades Cooked Grilled</v>
      </c>
      <c r="C1367" t="str">
        <f>IFERROR(__xludf.DUMMYFUNCTION("""COMPUTED_VALUE"""),"Meats")</f>
        <v>Meats</v>
      </c>
      <c r="D1367">
        <f>IFERROR(__xludf.DUMMYFUNCTION("""COMPUTED_VALUE"""),276.0)</f>
        <v>276</v>
      </c>
      <c r="E1367">
        <f>IFERROR(__xludf.DUMMYFUNCTION("""COMPUTED_VALUE"""),18.57)</f>
        <v>18.57</v>
      </c>
      <c r="F1367">
        <f>IFERROR(__xludf.DUMMYFUNCTION("""COMPUTED_VALUE"""),25.4)</f>
        <v>25.4</v>
      </c>
      <c r="G1367">
        <f>IFERROR(__xludf.DUMMYFUNCTION("""COMPUTED_VALUE"""),0.0)</f>
        <v>0</v>
      </c>
    </row>
    <row r="1368">
      <c r="A1368">
        <f>IFERROR(__xludf.DUMMYFUNCTION("""COMPUTED_VALUE"""),172116.0)</f>
        <v>172116</v>
      </c>
      <c r="B1368" t="str">
        <f>IFERROR(__xludf.DUMMYFUNCTION("""COMPUTED_VALUE"""),"Beef Short Loin Porterhouse Steak Separable Lean And Fat Trimmed To 1/8 Inch Fat Select Raw")</f>
        <v>Beef Short Loin Porterhouse Steak Separable Lean And Fat Trimmed To 1/8 Inch Fat Select Raw</v>
      </c>
      <c r="C1368" t="str">
        <f>IFERROR(__xludf.DUMMYFUNCTION("""COMPUTED_VALUE"""),"Meats")</f>
        <v>Meats</v>
      </c>
      <c r="D1368">
        <f>IFERROR(__xludf.DUMMYFUNCTION("""COMPUTED_VALUE"""),208.0)</f>
        <v>208</v>
      </c>
      <c r="E1368">
        <f>IFERROR(__xludf.DUMMYFUNCTION("""COMPUTED_VALUE"""),13.27)</f>
        <v>13.27</v>
      </c>
      <c r="F1368">
        <f>IFERROR(__xludf.DUMMYFUNCTION("""COMPUTED_VALUE"""),20.69)</f>
        <v>20.69</v>
      </c>
      <c r="G1368">
        <f>IFERROR(__xludf.DUMMYFUNCTION("""COMPUTED_VALUE"""),0.0)</f>
        <v>0</v>
      </c>
    </row>
    <row r="1369">
      <c r="A1369">
        <f>IFERROR(__xludf.DUMMYFUNCTION("""COMPUTED_VALUE"""),172117.0)</f>
        <v>172117</v>
      </c>
      <c r="B1369" t="str">
        <f>IFERROR(__xludf.DUMMYFUNCTION("""COMPUTED_VALUE"""),"Beef Short Loin Porterhouse Steak Separable Lean And Fat Trimmed To 1/8 Inch Fat Select Cooked Grilled")</f>
        <v>Beef Short Loin Porterhouse Steak Separable Lean And Fat Trimmed To 1/8 Inch Fat Select Cooked Grilled</v>
      </c>
      <c r="C1369" t="str">
        <f>IFERROR(__xludf.DUMMYFUNCTION("""COMPUTED_VALUE"""),"Meats")</f>
        <v>Meats</v>
      </c>
      <c r="D1369">
        <f>IFERROR(__xludf.DUMMYFUNCTION("""COMPUTED_VALUE"""),263.0)</f>
        <v>263</v>
      </c>
      <c r="E1369">
        <f>IFERROR(__xludf.DUMMYFUNCTION("""COMPUTED_VALUE"""),16.75)</f>
        <v>16.75</v>
      </c>
      <c r="F1369">
        <f>IFERROR(__xludf.DUMMYFUNCTION("""COMPUTED_VALUE"""),26.21)</f>
        <v>26.21</v>
      </c>
      <c r="G1369">
        <f>IFERROR(__xludf.DUMMYFUNCTION("""COMPUTED_VALUE"""),0.0)</f>
        <v>0</v>
      </c>
    </row>
    <row r="1370">
      <c r="A1370">
        <f>IFERROR(__xludf.DUMMYFUNCTION("""COMPUTED_VALUE"""),172118.0)</f>
        <v>172118</v>
      </c>
      <c r="B1370" t="str">
        <f>IFERROR(__xludf.DUMMYFUNCTION("""COMPUTED_VALUE"""),"Beef Short Loin T-Bone Steak Separable Lean And Fat Trimmed To 1/8 Inch Fat All Grades Raw")</f>
        <v>Beef Short Loin T-Bone Steak Separable Lean And Fat Trimmed To 1/8 Inch Fat All Grades Raw</v>
      </c>
      <c r="C1370" t="str">
        <f>IFERROR(__xludf.DUMMYFUNCTION("""COMPUTED_VALUE"""),"Meats")</f>
        <v>Meats</v>
      </c>
      <c r="D1370">
        <f>IFERROR(__xludf.DUMMYFUNCTION("""COMPUTED_VALUE"""),223.0)</f>
        <v>223</v>
      </c>
      <c r="E1370">
        <f>IFERROR(__xludf.DUMMYFUNCTION("""COMPUTED_VALUE"""),15.18)</f>
        <v>15.18</v>
      </c>
      <c r="F1370">
        <f>IFERROR(__xludf.DUMMYFUNCTION("""COMPUTED_VALUE"""),20.11)</f>
        <v>20.11</v>
      </c>
      <c r="G1370">
        <f>IFERROR(__xludf.DUMMYFUNCTION("""COMPUTED_VALUE"""),0.0)</f>
        <v>0</v>
      </c>
    </row>
    <row r="1371">
      <c r="A1371">
        <f>IFERROR(__xludf.DUMMYFUNCTION("""COMPUTED_VALUE"""),172119.0)</f>
        <v>172119</v>
      </c>
      <c r="B1371" t="str">
        <f>IFERROR(__xludf.DUMMYFUNCTION("""COMPUTED_VALUE"""),"Beef Round Knuckle Tip Side Steak Separable Lean And Fat Trimmed To 0 Inch Fat Choice Cooked Grilled")</f>
        <v>Beef Round Knuckle Tip Side Steak Separable Lean And Fat Trimmed To 0 Inch Fat Choice Cooked Grilled</v>
      </c>
      <c r="C1371" t="str">
        <f>IFERROR(__xludf.DUMMYFUNCTION("""COMPUTED_VALUE"""),"Meats")</f>
        <v>Meats</v>
      </c>
      <c r="D1371">
        <f>IFERROR(__xludf.DUMMYFUNCTION("""COMPUTED_VALUE"""),174.0)</f>
        <v>174</v>
      </c>
      <c r="E1371">
        <f>IFERROR(__xludf.DUMMYFUNCTION("""COMPUTED_VALUE"""),5.71)</f>
        <v>5.71</v>
      </c>
      <c r="F1371">
        <f>IFERROR(__xludf.DUMMYFUNCTION("""COMPUTED_VALUE"""),28.79)</f>
        <v>28.79</v>
      </c>
      <c r="G1371">
        <f>IFERROR(__xludf.DUMMYFUNCTION("""COMPUTED_VALUE"""),0.0)</f>
        <v>0</v>
      </c>
    </row>
    <row r="1372">
      <c r="A1372">
        <f>IFERROR(__xludf.DUMMYFUNCTION("""COMPUTED_VALUE"""),172120.0)</f>
        <v>172120</v>
      </c>
      <c r="B1372" t="str">
        <f>IFERROR(__xludf.DUMMYFUNCTION("""COMPUTED_VALUE"""),"Beef Round Knuckle Tip Side Steak Separable Lean And Fat  Trimmed To 0 Inch Fat Select Raw")</f>
        <v>Beef Round Knuckle Tip Side Steak Separable Lean And Fat  Trimmed To 0 Inch Fat Select Raw</v>
      </c>
      <c r="C1372" t="str">
        <f>IFERROR(__xludf.DUMMYFUNCTION("""COMPUTED_VALUE"""),"Meats")</f>
        <v>Meats</v>
      </c>
      <c r="D1372">
        <f>IFERROR(__xludf.DUMMYFUNCTION("""COMPUTED_VALUE"""),123.0)</f>
        <v>123</v>
      </c>
      <c r="E1372">
        <f>IFERROR(__xludf.DUMMYFUNCTION("""COMPUTED_VALUE"""),3.24)</f>
        <v>3.24</v>
      </c>
      <c r="F1372">
        <f>IFERROR(__xludf.DUMMYFUNCTION("""COMPUTED_VALUE"""),21.96)</f>
        <v>21.96</v>
      </c>
      <c r="G1372">
        <f>IFERROR(__xludf.DUMMYFUNCTION("""COMPUTED_VALUE"""),0.0)</f>
        <v>0</v>
      </c>
    </row>
    <row r="1373">
      <c r="A1373">
        <f>IFERROR(__xludf.DUMMYFUNCTION("""COMPUTED_VALUE"""),172121.0)</f>
        <v>172121</v>
      </c>
      <c r="B1373" t="str">
        <f>IFERROR(__xludf.DUMMYFUNCTION("""COMPUTED_VALUE"""),"Beef Round Knuckle Tip Side Steak Separable Lean And Fat Trimmed To 0 Inch Fat Select Cooked Grilled")</f>
        <v>Beef Round Knuckle Tip Side Steak Separable Lean And Fat Trimmed To 0 Inch Fat Select Cooked Grilled</v>
      </c>
      <c r="C1373" t="str">
        <f>IFERROR(__xludf.DUMMYFUNCTION("""COMPUTED_VALUE"""),"Meats")</f>
        <v>Meats</v>
      </c>
      <c r="D1373">
        <f>IFERROR(__xludf.DUMMYFUNCTION("""COMPUTED_VALUE"""),160.0)</f>
        <v>160</v>
      </c>
      <c r="E1373">
        <f>IFERROR(__xludf.DUMMYFUNCTION("""COMPUTED_VALUE"""),3.91)</f>
        <v>3.91</v>
      </c>
      <c r="F1373">
        <f>IFERROR(__xludf.DUMMYFUNCTION("""COMPUTED_VALUE"""),29.24)</f>
        <v>29.24</v>
      </c>
      <c r="G1373">
        <f>IFERROR(__xludf.DUMMYFUNCTION("""COMPUTED_VALUE"""),0.0)</f>
        <v>0</v>
      </c>
    </row>
    <row r="1374">
      <c r="A1374">
        <f>IFERROR(__xludf.DUMMYFUNCTION("""COMPUTED_VALUE"""),172122.0)</f>
        <v>172122</v>
      </c>
      <c r="B1374" t="str">
        <f>IFERROR(__xludf.DUMMYFUNCTION("""COMPUTED_VALUE"""),"Beef Chuck Shoulder Clod Shoulder Tender Medallion Separable Lean And Fat Trimmed To 0 Inch Fat Choice Raw")</f>
        <v>Beef Chuck Shoulder Clod Shoulder Tender Medallion Separable Lean And Fat Trimmed To 0 Inch Fat Choice Raw</v>
      </c>
      <c r="C1374" t="str">
        <f>IFERROR(__xludf.DUMMYFUNCTION("""COMPUTED_VALUE"""),"Meats")</f>
        <v>Meats</v>
      </c>
      <c r="D1374">
        <f>IFERROR(__xludf.DUMMYFUNCTION("""COMPUTED_VALUE"""),145.0)</f>
        <v>145</v>
      </c>
      <c r="E1374">
        <f>IFERROR(__xludf.DUMMYFUNCTION("""COMPUTED_VALUE"""),6.36)</f>
        <v>6.36</v>
      </c>
      <c r="F1374">
        <f>IFERROR(__xludf.DUMMYFUNCTION("""COMPUTED_VALUE"""),20.51)</f>
        <v>20.51</v>
      </c>
      <c r="G1374">
        <f>IFERROR(__xludf.DUMMYFUNCTION("""COMPUTED_VALUE"""),0.0)</f>
        <v>0</v>
      </c>
    </row>
    <row r="1375">
      <c r="A1375">
        <f>IFERROR(__xludf.DUMMYFUNCTION("""COMPUTED_VALUE"""),172123.0)</f>
        <v>172123</v>
      </c>
      <c r="B1375" t="str">
        <f>IFERROR(__xludf.DUMMYFUNCTION("""COMPUTED_VALUE"""),"Beef Chuck Shoulder Clod Shoulder Top And Center Steaks Separable Lean And Fat Trimmed To 0 Inch Fat Select Raw")</f>
        <v>Beef Chuck Shoulder Clod Shoulder Top And Center Steaks Separable Lean And Fat Trimmed To 0 Inch Fat Select Raw</v>
      </c>
      <c r="C1375" t="str">
        <f>IFERROR(__xludf.DUMMYFUNCTION("""COMPUTED_VALUE"""),"Meats")</f>
        <v>Meats</v>
      </c>
      <c r="D1375">
        <f>IFERROR(__xludf.DUMMYFUNCTION("""COMPUTED_VALUE"""),140.0)</f>
        <v>140</v>
      </c>
      <c r="E1375">
        <f>IFERROR(__xludf.DUMMYFUNCTION("""COMPUTED_VALUE"""),5.51)</f>
        <v>5.51</v>
      </c>
      <c r="F1375">
        <f>IFERROR(__xludf.DUMMYFUNCTION("""COMPUTED_VALUE"""),21.13)</f>
        <v>21.13</v>
      </c>
      <c r="G1375">
        <f>IFERROR(__xludf.DUMMYFUNCTION("""COMPUTED_VALUE"""),0.0)</f>
        <v>0</v>
      </c>
    </row>
    <row r="1376">
      <c r="A1376">
        <f>IFERROR(__xludf.DUMMYFUNCTION("""COMPUTED_VALUE"""),172124.0)</f>
        <v>172124</v>
      </c>
      <c r="B1376" t="str">
        <f>IFERROR(__xludf.DUMMYFUNCTION("""COMPUTED_VALUE"""),"Beef Chuck Shoulder Clod Shoulder Top And Center Steaks Separable Lean And Fat Trimmed To 0 Inch Fat Select Cooked Grilled")</f>
        <v>Beef Chuck Shoulder Clod Shoulder Top And Center Steaks Separable Lean And Fat Trimmed To 0 Inch Fat Select Cooked Grilled</v>
      </c>
      <c r="C1376" t="str">
        <f>IFERROR(__xludf.DUMMYFUNCTION("""COMPUTED_VALUE"""),"Meats")</f>
        <v>Meats</v>
      </c>
      <c r="D1376">
        <f>IFERROR(__xludf.DUMMYFUNCTION("""COMPUTED_VALUE"""),176.0)</f>
        <v>176</v>
      </c>
      <c r="E1376">
        <f>IFERROR(__xludf.DUMMYFUNCTION("""COMPUTED_VALUE"""),6.94)</f>
        <v>6.94</v>
      </c>
      <c r="F1376">
        <f>IFERROR(__xludf.DUMMYFUNCTION("""COMPUTED_VALUE"""),26.66)</f>
        <v>26.66</v>
      </c>
      <c r="G1376">
        <f>IFERROR(__xludf.DUMMYFUNCTION("""COMPUTED_VALUE"""),0.0)</f>
        <v>0</v>
      </c>
    </row>
    <row r="1377">
      <c r="A1377">
        <f>IFERROR(__xludf.DUMMYFUNCTION("""COMPUTED_VALUE"""),172125.0)</f>
        <v>172125</v>
      </c>
      <c r="B1377" t="str">
        <f>IFERROR(__xludf.DUMMYFUNCTION("""COMPUTED_VALUE"""),"Beef Chuck Shoulder Clod Top Blade Steak Separable Lean And Fat Trimmed To 0 Inch Fat Choice Raw")</f>
        <v>Beef Chuck Shoulder Clod Top Blade Steak Separable Lean And Fat Trimmed To 0 Inch Fat Choice Raw</v>
      </c>
      <c r="C1377" t="str">
        <f>IFERROR(__xludf.DUMMYFUNCTION("""COMPUTED_VALUE"""),"Meats")</f>
        <v>Meats</v>
      </c>
      <c r="D1377">
        <f>IFERROR(__xludf.DUMMYFUNCTION("""COMPUTED_VALUE"""),182.0)</f>
        <v>182</v>
      </c>
      <c r="E1377">
        <f>IFERROR(__xludf.DUMMYFUNCTION("""COMPUTED_VALUE"""),11.33)</f>
        <v>11.33</v>
      </c>
      <c r="F1377">
        <f>IFERROR(__xludf.DUMMYFUNCTION("""COMPUTED_VALUE"""),18.75)</f>
        <v>18.75</v>
      </c>
      <c r="G1377">
        <f>IFERROR(__xludf.DUMMYFUNCTION("""COMPUTED_VALUE"""),0.0)</f>
        <v>0</v>
      </c>
    </row>
    <row r="1378">
      <c r="A1378">
        <f>IFERROR(__xludf.DUMMYFUNCTION("""COMPUTED_VALUE"""),172126.0)</f>
        <v>172126</v>
      </c>
      <c r="B1378" t="str">
        <f>IFERROR(__xludf.DUMMYFUNCTION("""COMPUTED_VALUE"""),"Beef Chuck Shoulder Clod Top Blade Steak Separable Lean And Fat Trimmed To 0 Inch Fat Choice Cooked Grilled")</f>
        <v>Beef Chuck Shoulder Clod Top Blade Steak Separable Lean And Fat Trimmed To 0 Inch Fat Choice Cooked Grilled</v>
      </c>
      <c r="C1378" t="str">
        <f>IFERROR(__xludf.DUMMYFUNCTION("""COMPUTED_VALUE"""),"Meats")</f>
        <v>Meats</v>
      </c>
      <c r="D1378">
        <f>IFERROR(__xludf.DUMMYFUNCTION("""COMPUTED_VALUE"""),228.0)</f>
        <v>228</v>
      </c>
      <c r="E1378">
        <f>IFERROR(__xludf.DUMMYFUNCTION("""COMPUTED_VALUE"""),13.59)</f>
        <v>13.59</v>
      </c>
      <c r="F1378">
        <f>IFERROR(__xludf.DUMMYFUNCTION("""COMPUTED_VALUE"""),24.7)</f>
        <v>24.7</v>
      </c>
      <c r="G1378">
        <f>IFERROR(__xludf.DUMMYFUNCTION("""COMPUTED_VALUE"""),0.0)</f>
        <v>0</v>
      </c>
    </row>
    <row r="1379">
      <c r="A1379">
        <f>IFERROR(__xludf.DUMMYFUNCTION("""COMPUTED_VALUE"""),172127.0)</f>
        <v>172127</v>
      </c>
      <c r="B1379" t="str">
        <f>IFERROR(__xludf.DUMMYFUNCTION("""COMPUTED_VALUE"""),"Beef Round Knuckle Tip Center Steak Separable Lean And Fat Trimmed To 0 Inch Fat Select Cooked Grilled")</f>
        <v>Beef Round Knuckle Tip Center Steak Separable Lean And Fat Trimmed To 0 Inch Fat Select Cooked Grilled</v>
      </c>
      <c r="C1379" t="str">
        <f>IFERROR(__xludf.DUMMYFUNCTION("""COMPUTED_VALUE"""),"Meats")</f>
        <v>Meats</v>
      </c>
      <c r="D1379">
        <f>IFERROR(__xludf.DUMMYFUNCTION("""COMPUTED_VALUE"""),162.0)</f>
        <v>162</v>
      </c>
      <c r="E1379">
        <f>IFERROR(__xludf.DUMMYFUNCTION("""COMPUTED_VALUE"""),5.32)</f>
        <v>5.32</v>
      </c>
      <c r="F1379">
        <f>IFERROR(__xludf.DUMMYFUNCTION("""COMPUTED_VALUE"""),26.61)</f>
        <v>26.61</v>
      </c>
      <c r="G1379">
        <f>IFERROR(__xludf.DUMMYFUNCTION("""COMPUTED_VALUE"""),0.0)</f>
        <v>0</v>
      </c>
    </row>
    <row r="1380">
      <c r="A1380">
        <f>IFERROR(__xludf.DUMMYFUNCTION("""COMPUTED_VALUE"""),172128.0)</f>
        <v>172128</v>
      </c>
      <c r="B1380" t="str">
        <f>IFERROR(__xludf.DUMMYFUNCTION("""COMPUTED_VALUE"""),"Beef Round Outside Round Bottom Round Steak Separable Lean And Fat Trimmed To 0 Inch Fat Choice Raw")</f>
        <v>Beef Round Outside Round Bottom Round Steak Separable Lean And Fat Trimmed To 0 Inch Fat Choice Raw</v>
      </c>
      <c r="C1380" t="str">
        <f>IFERROR(__xludf.DUMMYFUNCTION("""COMPUTED_VALUE"""),"Meats")</f>
        <v>Meats</v>
      </c>
      <c r="D1380">
        <f>IFERROR(__xludf.DUMMYFUNCTION("""COMPUTED_VALUE"""),150.0)</f>
        <v>150</v>
      </c>
      <c r="E1380">
        <f>IFERROR(__xludf.DUMMYFUNCTION("""COMPUTED_VALUE"""),6.59)</f>
        <v>6.59</v>
      </c>
      <c r="F1380">
        <f>IFERROR(__xludf.DUMMYFUNCTION("""COMPUTED_VALUE"""),21.24)</f>
        <v>21.24</v>
      </c>
      <c r="G1380">
        <f>IFERROR(__xludf.DUMMYFUNCTION("""COMPUTED_VALUE"""),0.0)</f>
        <v>0</v>
      </c>
    </row>
    <row r="1381">
      <c r="A1381">
        <f>IFERROR(__xludf.DUMMYFUNCTION("""COMPUTED_VALUE"""),172129.0)</f>
        <v>172129</v>
      </c>
      <c r="B1381" t="str">
        <f>IFERROR(__xludf.DUMMYFUNCTION("""COMPUTED_VALUE"""),"Beef Round Outside Round Bottom Round Steak Separable Lean And Fat Trimmed To 0 Inch Fat Choice Cooked Grilled")</f>
        <v>Beef Round Outside Round Bottom Round Steak Separable Lean And Fat Trimmed To 0 Inch Fat Choice Cooked Grilled</v>
      </c>
      <c r="C1381" t="str">
        <f>IFERROR(__xludf.DUMMYFUNCTION("""COMPUTED_VALUE"""),"Meats")</f>
        <v>Meats</v>
      </c>
      <c r="D1381">
        <f>IFERROR(__xludf.DUMMYFUNCTION("""COMPUTED_VALUE"""),191.0)</f>
        <v>191</v>
      </c>
      <c r="E1381">
        <f>IFERROR(__xludf.DUMMYFUNCTION("""COMPUTED_VALUE"""),8.3)</f>
        <v>8.3</v>
      </c>
      <c r="F1381">
        <f>IFERROR(__xludf.DUMMYFUNCTION("""COMPUTED_VALUE"""),27.22)</f>
        <v>27.22</v>
      </c>
      <c r="G1381">
        <f>IFERROR(__xludf.DUMMYFUNCTION("""COMPUTED_VALUE"""),0.0)</f>
        <v>0</v>
      </c>
    </row>
    <row r="1382">
      <c r="A1382">
        <f>IFERROR(__xludf.DUMMYFUNCTION("""COMPUTED_VALUE"""),172130.0)</f>
        <v>172130</v>
      </c>
      <c r="B1382" t="str">
        <f>IFERROR(__xludf.DUMMYFUNCTION("""COMPUTED_VALUE"""),"Beef Round Outside Round Bottom Round Steak Separable Lean And Fat Trimmed To 0 Inch Fat Select Raw")</f>
        <v>Beef Round Outside Round Bottom Round Steak Separable Lean And Fat Trimmed To 0 Inch Fat Select Raw</v>
      </c>
      <c r="C1382" t="str">
        <f>IFERROR(__xludf.DUMMYFUNCTION("""COMPUTED_VALUE"""),"Meats")</f>
        <v>Meats</v>
      </c>
      <c r="D1382">
        <f>IFERROR(__xludf.DUMMYFUNCTION("""COMPUTED_VALUE"""),129.0)</f>
        <v>129</v>
      </c>
      <c r="E1382">
        <f>IFERROR(__xludf.DUMMYFUNCTION("""COMPUTED_VALUE"""),3.83)</f>
        <v>3.83</v>
      </c>
      <c r="F1382">
        <f>IFERROR(__xludf.DUMMYFUNCTION("""COMPUTED_VALUE"""),22.15)</f>
        <v>22.15</v>
      </c>
      <c r="G1382">
        <f>IFERROR(__xludf.DUMMYFUNCTION("""COMPUTED_VALUE"""),0.0)</f>
        <v>0</v>
      </c>
    </row>
    <row r="1383">
      <c r="A1383">
        <f>IFERROR(__xludf.DUMMYFUNCTION("""COMPUTED_VALUE"""),172131.0)</f>
        <v>172131</v>
      </c>
      <c r="B1383" t="str">
        <f>IFERROR(__xludf.DUMMYFUNCTION("""COMPUTED_VALUE"""),"Beef Round Knuckle Tip Side Steak Separable Lean And Fat Trimmed To 0 Inch Fat All Grades Cooked Grilled")</f>
        <v>Beef Round Knuckle Tip Side Steak Separable Lean And Fat Trimmed To 0 Inch Fat All Grades Cooked Grilled</v>
      </c>
      <c r="C1383" t="str">
        <f>IFERROR(__xludf.DUMMYFUNCTION("""COMPUTED_VALUE"""),"Meats")</f>
        <v>Meats</v>
      </c>
      <c r="D1383">
        <f>IFERROR(__xludf.DUMMYFUNCTION("""COMPUTED_VALUE"""),168.0)</f>
        <v>168</v>
      </c>
      <c r="E1383">
        <f>IFERROR(__xludf.DUMMYFUNCTION("""COMPUTED_VALUE"""),4.84)</f>
        <v>4.84</v>
      </c>
      <c r="F1383">
        <f>IFERROR(__xludf.DUMMYFUNCTION("""COMPUTED_VALUE"""),29.08)</f>
        <v>29.08</v>
      </c>
      <c r="G1383">
        <f>IFERROR(__xludf.DUMMYFUNCTION("""COMPUTED_VALUE"""),0.0)</f>
        <v>0</v>
      </c>
    </row>
    <row r="1384">
      <c r="A1384">
        <f>IFERROR(__xludf.DUMMYFUNCTION("""COMPUTED_VALUE"""),172132.0)</f>
        <v>172132</v>
      </c>
      <c r="B1384" t="str">
        <f>IFERROR(__xludf.DUMMYFUNCTION("""COMPUTED_VALUE"""),"Beef Chuck Shoulder Clod Shoulder Top And Center Steaks Separable Lean And Fat Trimmed To 0 Inch Fat All Grades Raw")</f>
        <v>Beef Chuck Shoulder Clod Shoulder Top And Center Steaks Separable Lean And Fat Trimmed To 0 Inch Fat All Grades Raw</v>
      </c>
      <c r="C1384" t="str">
        <f>IFERROR(__xludf.DUMMYFUNCTION("""COMPUTED_VALUE"""),"Meats")</f>
        <v>Meats</v>
      </c>
      <c r="D1384">
        <f>IFERROR(__xludf.DUMMYFUNCTION("""COMPUTED_VALUE"""),141.0)</f>
        <v>141</v>
      </c>
      <c r="E1384">
        <f>IFERROR(__xludf.DUMMYFUNCTION("""COMPUTED_VALUE"""),5.88)</f>
        <v>5.88</v>
      </c>
      <c r="F1384">
        <f>IFERROR(__xludf.DUMMYFUNCTION("""COMPUTED_VALUE"""),20.67)</f>
        <v>20.67</v>
      </c>
      <c r="G1384">
        <f>IFERROR(__xludf.DUMMYFUNCTION("""COMPUTED_VALUE"""),0.0)</f>
        <v>0</v>
      </c>
    </row>
    <row r="1385">
      <c r="A1385">
        <f>IFERROR(__xludf.DUMMYFUNCTION("""COMPUTED_VALUE"""),172133.0)</f>
        <v>172133</v>
      </c>
      <c r="B1385" t="str">
        <f>IFERROR(__xludf.DUMMYFUNCTION("""COMPUTED_VALUE"""),"Beef Chuck Shoulder Clod Shoulder Top And Center Steaks Separable Lean And Fat Trimmed To 0 Inch Fat All Grades Cooked Grilled")</f>
        <v>Beef Chuck Shoulder Clod Shoulder Top And Center Steaks Separable Lean And Fat Trimmed To 0 Inch Fat All Grades Cooked Grilled</v>
      </c>
      <c r="C1385" t="str">
        <f>IFERROR(__xludf.DUMMYFUNCTION("""COMPUTED_VALUE"""),"Meats")</f>
        <v>Meats</v>
      </c>
      <c r="D1385">
        <f>IFERROR(__xludf.DUMMYFUNCTION("""COMPUTED_VALUE"""),182.0)</f>
        <v>182</v>
      </c>
      <c r="E1385">
        <f>IFERROR(__xludf.DUMMYFUNCTION("""COMPUTED_VALUE"""),7.66)</f>
        <v>7.66</v>
      </c>
      <c r="F1385">
        <f>IFERROR(__xludf.DUMMYFUNCTION("""COMPUTED_VALUE"""),26.3)</f>
        <v>26.3</v>
      </c>
      <c r="G1385">
        <f>IFERROR(__xludf.DUMMYFUNCTION("""COMPUTED_VALUE"""),0.12)</f>
        <v>0.12</v>
      </c>
    </row>
    <row r="1386">
      <c r="A1386">
        <f>IFERROR(__xludf.DUMMYFUNCTION("""COMPUTED_VALUE"""),172134.0)</f>
        <v>172134</v>
      </c>
      <c r="B1386" t="str">
        <f>IFERROR(__xludf.DUMMYFUNCTION("""COMPUTED_VALUE"""),"Beef Chuck Shoulder Clod Top Blade Steak Separable Lean And Fat Trimmed To 0 Inch Fat All Grades Raw")</f>
        <v>Beef Chuck Shoulder Clod Top Blade Steak Separable Lean And Fat Trimmed To 0 Inch Fat All Grades Raw</v>
      </c>
      <c r="C1386" t="str">
        <f>IFERROR(__xludf.DUMMYFUNCTION("""COMPUTED_VALUE"""),"Meats")</f>
        <v>Meats</v>
      </c>
      <c r="D1386">
        <f>IFERROR(__xludf.DUMMYFUNCTION("""COMPUTED_VALUE"""),176.0)</f>
        <v>176</v>
      </c>
      <c r="E1386">
        <f>IFERROR(__xludf.DUMMYFUNCTION("""COMPUTED_VALUE"""),10.52)</f>
        <v>10.52</v>
      </c>
      <c r="F1386">
        <f>IFERROR(__xludf.DUMMYFUNCTION("""COMPUTED_VALUE"""),18.99)</f>
        <v>18.99</v>
      </c>
      <c r="G1386">
        <f>IFERROR(__xludf.DUMMYFUNCTION("""COMPUTED_VALUE"""),0.0)</f>
        <v>0</v>
      </c>
    </row>
    <row r="1387">
      <c r="A1387">
        <f>IFERROR(__xludf.DUMMYFUNCTION("""COMPUTED_VALUE"""),172135.0)</f>
        <v>172135</v>
      </c>
      <c r="B1387" t="str">
        <f>IFERROR(__xludf.DUMMYFUNCTION("""COMPUTED_VALUE"""),"Beef Round Outside Round Bottom Round Steak Separable Lean And Fat Trimmed To 0 Inch Fat All Grades Cooked Grilled")</f>
        <v>Beef Round Outside Round Bottom Round Steak Separable Lean And Fat Trimmed To 0 Inch Fat All Grades Cooked Grilled</v>
      </c>
      <c r="C1387" t="str">
        <f>IFERROR(__xludf.DUMMYFUNCTION("""COMPUTED_VALUE"""),"Meats")</f>
        <v>Meats</v>
      </c>
      <c r="D1387">
        <f>IFERROR(__xludf.DUMMYFUNCTION("""COMPUTED_VALUE"""),182.0)</f>
        <v>182</v>
      </c>
      <c r="E1387">
        <f>IFERROR(__xludf.DUMMYFUNCTION("""COMPUTED_VALUE"""),7.1)</f>
        <v>7.1</v>
      </c>
      <c r="F1387">
        <f>IFERROR(__xludf.DUMMYFUNCTION("""COMPUTED_VALUE"""),27.52)</f>
        <v>27.52</v>
      </c>
      <c r="G1387">
        <f>IFERROR(__xludf.DUMMYFUNCTION("""COMPUTED_VALUE"""),0.0)</f>
        <v>0</v>
      </c>
    </row>
    <row r="1388">
      <c r="A1388">
        <f>IFERROR(__xludf.DUMMYFUNCTION("""COMPUTED_VALUE"""),172136.0)</f>
        <v>172136</v>
      </c>
      <c r="B1388" t="str">
        <f>IFERROR(__xludf.DUMMYFUNCTION("""COMPUTED_VALUE"""),"Beef Chuck Shoulder Clod Shoulder Tender Medallion Separable Lean And Fat Trimmed To 0 Inch Fat Select Cooked Grilled")</f>
        <v>Beef Chuck Shoulder Clod Shoulder Tender Medallion Separable Lean And Fat Trimmed To 0 Inch Fat Select Cooked Grilled</v>
      </c>
      <c r="C1388" t="str">
        <f>IFERROR(__xludf.DUMMYFUNCTION("""COMPUTED_VALUE"""),"Meats")</f>
        <v>Meats</v>
      </c>
      <c r="D1388">
        <f>IFERROR(__xludf.DUMMYFUNCTION("""COMPUTED_VALUE"""),172.0)</f>
        <v>172</v>
      </c>
      <c r="E1388">
        <f>IFERROR(__xludf.DUMMYFUNCTION("""COMPUTED_VALUE"""),6.43)</f>
        <v>6.43</v>
      </c>
      <c r="F1388">
        <f>IFERROR(__xludf.DUMMYFUNCTION("""COMPUTED_VALUE"""),26.45)</f>
        <v>26.45</v>
      </c>
      <c r="G1388">
        <f>IFERROR(__xludf.DUMMYFUNCTION("""COMPUTED_VALUE"""),0.33)</f>
        <v>0.33</v>
      </c>
    </row>
    <row r="1389">
      <c r="A1389">
        <f>IFERROR(__xludf.DUMMYFUNCTION("""COMPUTED_VALUE"""),172137.0)</f>
        <v>172137</v>
      </c>
      <c r="B1389" t="str">
        <f>IFERROR(__xludf.DUMMYFUNCTION("""COMPUTED_VALUE"""),"Beef Plate Steak Boneless Inside Skirt Separable Lean Only Trimmed To 0 Inch Fat Choice Raw")</f>
        <v>Beef Plate Steak Boneless Inside Skirt Separable Lean Only Trimmed To 0 Inch Fat Choice Raw</v>
      </c>
      <c r="C1389" t="str">
        <f>IFERROR(__xludf.DUMMYFUNCTION("""COMPUTED_VALUE"""),"Meats")</f>
        <v>Meats</v>
      </c>
      <c r="D1389">
        <f>IFERROR(__xludf.DUMMYFUNCTION("""COMPUTED_VALUE"""),171.0)</f>
        <v>171</v>
      </c>
      <c r="E1389">
        <f>IFERROR(__xludf.DUMMYFUNCTION("""COMPUTED_VALUE"""),9.76)</f>
        <v>9.76</v>
      </c>
      <c r="F1389">
        <f>IFERROR(__xludf.DUMMYFUNCTION("""COMPUTED_VALUE"""),20.89)</f>
        <v>20.89</v>
      </c>
      <c r="G1389">
        <f>IFERROR(__xludf.DUMMYFUNCTION("""COMPUTED_VALUE"""),0.0)</f>
        <v>0</v>
      </c>
    </row>
    <row r="1390">
      <c r="A1390">
        <f>IFERROR(__xludf.DUMMYFUNCTION("""COMPUTED_VALUE"""),172138.0)</f>
        <v>172138</v>
      </c>
      <c r="B1390" t="str">
        <f>IFERROR(__xludf.DUMMYFUNCTION("""COMPUTED_VALUE"""),"Beef Plate Steak Boneless Inside Skirt Separable Lean Only Trimmed To 0 Inch Fat Select Cooked Grilled")</f>
        <v>Beef Plate Steak Boneless Inside Skirt Separable Lean Only Trimmed To 0 Inch Fat Select Cooked Grilled</v>
      </c>
      <c r="C1390" t="str">
        <f>IFERROR(__xludf.DUMMYFUNCTION("""COMPUTED_VALUE"""),"Meats")</f>
        <v>Meats</v>
      </c>
      <c r="D1390">
        <f>IFERROR(__xludf.DUMMYFUNCTION("""COMPUTED_VALUE"""),223.0)</f>
        <v>223</v>
      </c>
      <c r="E1390">
        <f>IFERROR(__xludf.DUMMYFUNCTION("""COMPUTED_VALUE"""),11.16)</f>
        <v>11.16</v>
      </c>
      <c r="F1390">
        <f>IFERROR(__xludf.DUMMYFUNCTION("""COMPUTED_VALUE"""),30.64)</f>
        <v>30.64</v>
      </c>
      <c r="G1390">
        <f>IFERROR(__xludf.DUMMYFUNCTION("""COMPUTED_VALUE"""),0.0)</f>
        <v>0</v>
      </c>
    </row>
    <row r="1391">
      <c r="A1391">
        <f>IFERROR(__xludf.DUMMYFUNCTION("""COMPUTED_VALUE"""),172139.0)</f>
        <v>172139</v>
      </c>
      <c r="B1391" t="str">
        <f>IFERROR(__xludf.DUMMYFUNCTION("""COMPUTED_VALUE"""),"Beef Plate Steak Boneless Inside Skirt Separable Lean Only Trimmed To 0 Inch Fat Select Raw")</f>
        <v>Beef Plate Steak Boneless Inside Skirt Separable Lean Only Trimmed To 0 Inch Fat Select Raw</v>
      </c>
      <c r="C1391" t="str">
        <f>IFERROR(__xludf.DUMMYFUNCTION("""COMPUTED_VALUE"""),"Meats")</f>
        <v>Meats</v>
      </c>
      <c r="D1391">
        <f>IFERROR(__xludf.DUMMYFUNCTION("""COMPUTED_VALUE"""),153.0)</f>
        <v>153</v>
      </c>
      <c r="E1391">
        <f>IFERROR(__xludf.DUMMYFUNCTION("""COMPUTED_VALUE"""),7.41)</f>
        <v>7.41</v>
      </c>
      <c r="F1391">
        <f>IFERROR(__xludf.DUMMYFUNCTION("""COMPUTED_VALUE"""),21.61)</f>
        <v>21.61</v>
      </c>
      <c r="G1391">
        <f>IFERROR(__xludf.DUMMYFUNCTION("""COMPUTED_VALUE"""),0.0)</f>
        <v>0</v>
      </c>
    </row>
    <row r="1392">
      <c r="A1392">
        <f>IFERROR(__xludf.DUMMYFUNCTION("""COMPUTED_VALUE"""),172140.0)</f>
        <v>172140</v>
      </c>
      <c r="B1392" t="str">
        <f>IFERROR(__xludf.DUMMYFUNCTION("""COMPUTED_VALUE"""),"Beef Plate Steak Boneless Outside Skirt Separable Lean Only Trimmed To 0 Inch Fat All Grades Cooked Grilled")</f>
        <v>Beef Plate Steak Boneless Outside Skirt Separable Lean Only Trimmed To 0 Inch Fat All Grades Cooked Grilled</v>
      </c>
      <c r="C1392" t="str">
        <f>IFERROR(__xludf.DUMMYFUNCTION("""COMPUTED_VALUE"""),"Meats")</f>
        <v>Meats</v>
      </c>
      <c r="D1392">
        <f>IFERROR(__xludf.DUMMYFUNCTION("""COMPUTED_VALUE"""),282.0)</f>
        <v>282</v>
      </c>
      <c r="E1392">
        <f>IFERROR(__xludf.DUMMYFUNCTION("""COMPUTED_VALUE"""),19.01)</f>
        <v>19.01</v>
      </c>
      <c r="F1392">
        <f>IFERROR(__xludf.DUMMYFUNCTION("""COMPUTED_VALUE"""),27.68)</f>
        <v>27.68</v>
      </c>
      <c r="G1392">
        <f>IFERROR(__xludf.DUMMYFUNCTION("""COMPUTED_VALUE"""),0.0)</f>
        <v>0</v>
      </c>
    </row>
    <row r="1393">
      <c r="A1393">
        <f>IFERROR(__xludf.DUMMYFUNCTION("""COMPUTED_VALUE"""),172141.0)</f>
        <v>172141</v>
      </c>
      <c r="B1393" t="str">
        <f>IFERROR(__xludf.DUMMYFUNCTION("""COMPUTED_VALUE"""),"Beef Plate Steak Boneless Outside Skirt Separable Lean Only Trimmed To 0 Inch Fat Select Raw")</f>
        <v>Beef Plate Steak Boneless Outside Skirt Separable Lean Only Trimmed To 0 Inch Fat Select Raw</v>
      </c>
      <c r="C1393" t="str">
        <f>IFERROR(__xludf.DUMMYFUNCTION("""COMPUTED_VALUE"""),"Meats")</f>
        <v>Meats</v>
      </c>
      <c r="D1393">
        <f>IFERROR(__xludf.DUMMYFUNCTION("""COMPUTED_VALUE"""),198.0)</f>
        <v>198</v>
      </c>
      <c r="E1393">
        <f>IFERROR(__xludf.DUMMYFUNCTION("""COMPUTED_VALUE"""),13.44)</f>
        <v>13.44</v>
      </c>
      <c r="F1393">
        <f>IFERROR(__xludf.DUMMYFUNCTION("""COMPUTED_VALUE"""),19.14)</f>
        <v>19.14</v>
      </c>
      <c r="G1393">
        <f>IFERROR(__xludf.DUMMYFUNCTION("""COMPUTED_VALUE"""),0.23)</f>
        <v>0.23</v>
      </c>
    </row>
    <row r="1394">
      <c r="A1394">
        <f>IFERROR(__xludf.DUMMYFUNCTION("""COMPUTED_VALUE"""),172142.0)</f>
        <v>172142</v>
      </c>
      <c r="B1394" t="str">
        <f>IFERROR(__xludf.DUMMYFUNCTION("""COMPUTED_VALUE"""),"Beef Rib Eye Steak Boneless Lip Off Separable Lean Only Trimmed To 0 Inch Fat All Grades Cooked Grilled")</f>
        <v>Beef Rib Eye Steak Boneless Lip Off Separable Lean Only Trimmed To 0 Inch Fat All Grades Cooked Grilled</v>
      </c>
      <c r="C1394" t="str">
        <f>IFERROR(__xludf.DUMMYFUNCTION("""COMPUTED_VALUE"""),"Meats")</f>
        <v>Meats</v>
      </c>
      <c r="D1394">
        <f>IFERROR(__xludf.DUMMYFUNCTION("""COMPUTED_VALUE"""),206.0)</f>
        <v>206</v>
      </c>
      <c r="E1394">
        <f>IFERROR(__xludf.DUMMYFUNCTION("""COMPUTED_VALUE"""),10.37)</f>
        <v>10.37</v>
      </c>
      <c r="F1394">
        <f>IFERROR(__xludf.DUMMYFUNCTION("""COMPUTED_VALUE"""),28.11)</f>
        <v>28.11</v>
      </c>
      <c r="G1394">
        <f>IFERROR(__xludf.DUMMYFUNCTION("""COMPUTED_VALUE"""),0.0)</f>
        <v>0</v>
      </c>
    </row>
    <row r="1395">
      <c r="A1395">
        <f>IFERROR(__xludf.DUMMYFUNCTION("""COMPUTED_VALUE"""),172143.0)</f>
        <v>172143</v>
      </c>
      <c r="B1395" t="str">
        <f>IFERROR(__xludf.DUMMYFUNCTION("""COMPUTED_VALUE"""),"Beef Rib Eye Steak Boneless Lip Off Separable Lean Only Trimmed To 0 Inch Fat All Grades Raw")</f>
        <v>Beef Rib Eye Steak Boneless Lip Off Separable Lean Only Trimmed To 0 Inch Fat All Grades Raw</v>
      </c>
      <c r="C1395" t="str">
        <f>IFERROR(__xludf.DUMMYFUNCTION("""COMPUTED_VALUE"""),"Meats")</f>
        <v>Meats</v>
      </c>
      <c r="D1395">
        <f>IFERROR(__xludf.DUMMYFUNCTION("""COMPUTED_VALUE"""),154.0)</f>
        <v>154</v>
      </c>
      <c r="E1395">
        <f>IFERROR(__xludf.DUMMYFUNCTION("""COMPUTED_VALUE"""),7.41)</f>
        <v>7.41</v>
      </c>
      <c r="F1395">
        <f>IFERROR(__xludf.DUMMYFUNCTION("""COMPUTED_VALUE"""),21.85)</f>
        <v>21.85</v>
      </c>
      <c r="G1395">
        <f>IFERROR(__xludf.DUMMYFUNCTION("""COMPUTED_VALUE"""),0.0)</f>
        <v>0</v>
      </c>
    </row>
    <row r="1396">
      <c r="A1396">
        <f>IFERROR(__xludf.DUMMYFUNCTION("""COMPUTED_VALUE"""),172144.0)</f>
        <v>172144</v>
      </c>
      <c r="B1396" t="str">
        <f>IFERROR(__xludf.DUMMYFUNCTION("""COMPUTED_VALUE"""),"Beef Rib Eye Steak Boneless Lip Off Separable Lean Only Trimmed To 0 Inch Fat Choice Cooked Grilled")</f>
        <v>Beef Rib Eye Steak Boneless Lip Off Separable Lean Only Trimmed To 0 Inch Fat Choice Cooked Grilled</v>
      </c>
      <c r="C1396" t="str">
        <f>IFERROR(__xludf.DUMMYFUNCTION("""COMPUTED_VALUE"""),"Meats")</f>
        <v>Meats</v>
      </c>
      <c r="D1396">
        <f>IFERROR(__xludf.DUMMYFUNCTION("""COMPUTED_VALUE"""),215.0)</f>
        <v>215</v>
      </c>
      <c r="E1396">
        <f>IFERROR(__xludf.DUMMYFUNCTION("""COMPUTED_VALUE"""),11.75)</f>
        <v>11.75</v>
      </c>
      <c r="F1396">
        <f>IFERROR(__xludf.DUMMYFUNCTION("""COMPUTED_VALUE"""),27.39)</f>
        <v>27.39</v>
      </c>
      <c r="G1396">
        <f>IFERROR(__xludf.DUMMYFUNCTION("""COMPUTED_VALUE"""),0.0)</f>
        <v>0</v>
      </c>
    </row>
    <row r="1397">
      <c r="A1397">
        <f>IFERROR(__xludf.DUMMYFUNCTION("""COMPUTED_VALUE"""),172145.0)</f>
        <v>172145</v>
      </c>
      <c r="B1397" t="str">
        <f>IFERROR(__xludf.DUMMYFUNCTION("""COMPUTED_VALUE"""),"Beef Rib Back Ribs Bone-In Separable Lean Only Trimmed To 0 Inch Fat All Grades Raw")</f>
        <v>Beef Rib Back Ribs Bone-In Separable Lean Only Trimmed To 0 Inch Fat All Grades Raw</v>
      </c>
      <c r="C1397" t="str">
        <f>IFERROR(__xludf.DUMMYFUNCTION("""COMPUTED_VALUE"""),"Meats")</f>
        <v>Meats</v>
      </c>
      <c r="D1397">
        <f>IFERROR(__xludf.DUMMYFUNCTION("""COMPUTED_VALUE"""),239.0)</f>
        <v>239</v>
      </c>
      <c r="E1397">
        <f>IFERROR(__xludf.DUMMYFUNCTION("""COMPUTED_VALUE"""),17.91)</f>
        <v>17.91</v>
      </c>
      <c r="F1397">
        <f>IFERROR(__xludf.DUMMYFUNCTION("""COMPUTED_VALUE"""),19.11)</f>
        <v>19.11</v>
      </c>
      <c r="G1397">
        <f>IFERROR(__xludf.DUMMYFUNCTION("""COMPUTED_VALUE"""),0.46)</f>
        <v>0.46</v>
      </c>
    </row>
    <row r="1398">
      <c r="A1398">
        <f>IFERROR(__xludf.DUMMYFUNCTION("""COMPUTED_VALUE"""),172146.0)</f>
        <v>172146</v>
      </c>
      <c r="B1398" t="str">
        <f>IFERROR(__xludf.DUMMYFUNCTION("""COMPUTED_VALUE"""),"Beef Rib Back Ribs Bone-In Separable Lean Only Trimmed To 0 Inch Fat Choice Cooked Braised")</f>
        <v>Beef Rib Back Ribs Bone-In Separable Lean Only Trimmed To 0 Inch Fat Choice Cooked Braised</v>
      </c>
      <c r="C1398" t="str">
        <f>IFERROR(__xludf.DUMMYFUNCTION("""COMPUTED_VALUE"""),"Meats")</f>
        <v>Meats</v>
      </c>
      <c r="D1398">
        <f>IFERROR(__xludf.DUMMYFUNCTION("""COMPUTED_VALUE"""),306.0)</f>
        <v>306</v>
      </c>
      <c r="E1398">
        <f>IFERROR(__xludf.DUMMYFUNCTION("""COMPUTED_VALUE"""),21.72)</f>
        <v>21.72</v>
      </c>
      <c r="F1398">
        <f>IFERROR(__xludf.DUMMYFUNCTION("""COMPUTED_VALUE"""),27.75)</f>
        <v>27.75</v>
      </c>
      <c r="G1398">
        <f>IFERROR(__xludf.DUMMYFUNCTION("""COMPUTED_VALUE"""),0.0)</f>
        <v>0</v>
      </c>
    </row>
    <row r="1399">
      <c r="A1399">
        <f>IFERROR(__xludf.DUMMYFUNCTION("""COMPUTED_VALUE"""),172147.0)</f>
        <v>172147</v>
      </c>
      <c r="B1399" t="str">
        <f>IFERROR(__xludf.DUMMYFUNCTION("""COMPUTED_VALUE"""),"Beef Rib Back Ribs Bone-In Separable Lean Only Trimmed To 0 Inch Fat Choice Raw")</f>
        <v>Beef Rib Back Ribs Bone-In Separable Lean Only Trimmed To 0 Inch Fat Choice Raw</v>
      </c>
      <c r="C1399" t="str">
        <f>IFERROR(__xludf.DUMMYFUNCTION("""COMPUTED_VALUE"""),"Meats")</f>
        <v>Meats</v>
      </c>
      <c r="D1399">
        <f>IFERROR(__xludf.DUMMYFUNCTION("""COMPUTED_VALUE"""),252.0)</f>
        <v>252</v>
      </c>
      <c r="E1399">
        <f>IFERROR(__xludf.DUMMYFUNCTION("""COMPUTED_VALUE"""),19.36)</f>
        <v>19.36</v>
      </c>
      <c r="F1399">
        <f>IFERROR(__xludf.DUMMYFUNCTION("""COMPUTED_VALUE"""),18.72)</f>
        <v>18.72</v>
      </c>
      <c r="G1399">
        <f>IFERROR(__xludf.DUMMYFUNCTION("""COMPUTED_VALUE"""),0.64)</f>
        <v>0.64</v>
      </c>
    </row>
    <row r="1400">
      <c r="A1400">
        <f>IFERROR(__xludf.DUMMYFUNCTION("""COMPUTED_VALUE"""),172148.0)</f>
        <v>172148</v>
      </c>
      <c r="B1400" t="str">
        <f>IFERROR(__xludf.DUMMYFUNCTION("""COMPUTED_VALUE"""),"Beef Rib Back Ribs Bone-In Separable Lean Only Trimmed To 0 Inch Fat Select Cooked Braised")</f>
        <v>Beef Rib Back Ribs Bone-In Separable Lean Only Trimmed To 0 Inch Fat Select Cooked Braised</v>
      </c>
      <c r="C1400" t="str">
        <f>IFERROR(__xludf.DUMMYFUNCTION("""COMPUTED_VALUE"""),"Meats")</f>
        <v>Meats</v>
      </c>
      <c r="D1400">
        <f>IFERROR(__xludf.DUMMYFUNCTION("""COMPUTED_VALUE"""),287.0)</f>
        <v>287</v>
      </c>
      <c r="E1400">
        <f>IFERROR(__xludf.DUMMYFUNCTION("""COMPUTED_VALUE"""),18.84)</f>
        <v>18.84</v>
      </c>
      <c r="F1400">
        <f>IFERROR(__xludf.DUMMYFUNCTION("""COMPUTED_VALUE"""),29.28)</f>
        <v>29.28</v>
      </c>
      <c r="G1400">
        <f>IFERROR(__xludf.DUMMYFUNCTION("""COMPUTED_VALUE"""),0.0)</f>
        <v>0</v>
      </c>
    </row>
    <row r="1401">
      <c r="A1401">
        <f>IFERROR(__xludf.DUMMYFUNCTION("""COMPUTED_VALUE"""),172149.0)</f>
        <v>172149</v>
      </c>
      <c r="B1401" t="str">
        <f>IFERROR(__xludf.DUMMYFUNCTION("""COMPUTED_VALUE"""),"Beef Rib Eye Roast Bone-In Lip-On Separable Lean And Fat Trimmed To 1/8 Inch Fat Select Cooked Roasted")</f>
        <v>Beef Rib Eye Roast Bone-In Lip-On Separable Lean And Fat Trimmed To 1/8 Inch Fat Select Cooked Roasted</v>
      </c>
      <c r="C1401" t="str">
        <f>IFERROR(__xludf.DUMMYFUNCTION("""COMPUTED_VALUE"""),"Meats")</f>
        <v>Meats</v>
      </c>
      <c r="D1401">
        <f>IFERROR(__xludf.DUMMYFUNCTION("""COMPUTED_VALUE"""),290.0)</f>
        <v>290</v>
      </c>
      <c r="E1401">
        <f>IFERROR(__xludf.DUMMYFUNCTION("""COMPUTED_VALUE"""),21.85)</f>
        <v>21.85</v>
      </c>
      <c r="F1401">
        <f>IFERROR(__xludf.DUMMYFUNCTION("""COMPUTED_VALUE"""),23.36)</f>
        <v>23.36</v>
      </c>
      <c r="G1401">
        <f>IFERROR(__xludf.DUMMYFUNCTION("""COMPUTED_VALUE"""),0.0)</f>
        <v>0</v>
      </c>
    </row>
    <row r="1402">
      <c r="A1402">
        <f>IFERROR(__xludf.DUMMYFUNCTION("""COMPUTED_VALUE"""),172150.0)</f>
        <v>172150</v>
      </c>
      <c r="B1402" t="str">
        <f>IFERROR(__xludf.DUMMYFUNCTION("""COMPUTED_VALUE"""),"Beef Rib Eye Roast Bone-In Lip-On Separable Lean And Fat Trimmed To 1/8 Inch Fat All Grades Cooked Roasted")</f>
        <v>Beef Rib Eye Roast Bone-In Lip-On Separable Lean And Fat Trimmed To 1/8 Inch Fat All Grades Cooked Roasted</v>
      </c>
      <c r="C1402" t="str">
        <f>IFERROR(__xludf.DUMMYFUNCTION("""COMPUTED_VALUE"""),"Meats")</f>
        <v>Meats</v>
      </c>
      <c r="D1402">
        <f>IFERROR(__xludf.DUMMYFUNCTION("""COMPUTED_VALUE"""),300.0)</f>
        <v>300</v>
      </c>
      <c r="E1402">
        <f>IFERROR(__xludf.DUMMYFUNCTION("""COMPUTED_VALUE"""),22.91)</f>
        <v>22.91</v>
      </c>
      <c r="F1402">
        <f>IFERROR(__xludf.DUMMYFUNCTION("""COMPUTED_VALUE"""),23.47)</f>
        <v>23.47</v>
      </c>
      <c r="G1402">
        <f>IFERROR(__xludf.DUMMYFUNCTION("""COMPUTED_VALUE"""),0.0)</f>
        <v>0</v>
      </c>
    </row>
    <row r="1403">
      <c r="A1403">
        <f>IFERROR(__xludf.DUMMYFUNCTION("""COMPUTED_VALUE"""),172151.0)</f>
        <v>172151</v>
      </c>
      <c r="B1403" t="str">
        <f>IFERROR(__xludf.DUMMYFUNCTION("""COMPUTED_VALUE"""),"Beef Rib Eye Steak/roast Bone-In Lip-On Separable Lean And Fat Trimmed To 1/8 Inch Fat All Grades Raw")</f>
        <v>Beef Rib Eye Steak/roast Bone-In Lip-On Separable Lean And Fat Trimmed To 1/8 Inch Fat All Grades Raw</v>
      </c>
      <c r="C1403" t="str">
        <f>IFERROR(__xludf.DUMMYFUNCTION("""COMPUTED_VALUE"""),"Meats")</f>
        <v>Meats</v>
      </c>
      <c r="D1403">
        <f>IFERROR(__xludf.DUMMYFUNCTION("""COMPUTED_VALUE"""),255.0)</f>
        <v>255</v>
      </c>
      <c r="E1403">
        <f>IFERROR(__xludf.DUMMYFUNCTION("""COMPUTED_VALUE"""),20.31)</f>
        <v>20.31</v>
      </c>
      <c r="F1403">
        <f>IFERROR(__xludf.DUMMYFUNCTION("""COMPUTED_VALUE"""),18.13)</f>
        <v>18.13</v>
      </c>
      <c r="G1403">
        <f>IFERROR(__xludf.DUMMYFUNCTION("""COMPUTED_VALUE"""),0.0)</f>
        <v>0</v>
      </c>
    </row>
    <row r="1404">
      <c r="A1404">
        <f>IFERROR(__xludf.DUMMYFUNCTION("""COMPUTED_VALUE"""),172152.0)</f>
        <v>172152</v>
      </c>
      <c r="B1404" t="str">
        <f>IFERROR(__xludf.DUMMYFUNCTION("""COMPUTED_VALUE"""),"Beef Rib Eye Steak/roast Bone-In Lip-On Separable Lean And Fat Trimmed To 1/8 Inch Fat Choice Raw")</f>
        <v>Beef Rib Eye Steak/roast Bone-In Lip-On Separable Lean And Fat Trimmed To 1/8 Inch Fat Choice Raw</v>
      </c>
      <c r="C1404" t="str">
        <f>IFERROR(__xludf.DUMMYFUNCTION("""COMPUTED_VALUE"""),"Meats")</f>
        <v>Meats</v>
      </c>
      <c r="D1404">
        <f>IFERROR(__xludf.DUMMYFUNCTION("""COMPUTED_VALUE"""),260.0)</f>
        <v>260</v>
      </c>
      <c r="E1404">
        <f>IFERROR(__xludf.DUMMYFUNCTION("""COMPUTED_VALUE"""),20.96)</f>
        <v>20.96</v>
      </c>
      <c r="F1404">
        <f>IFERROR(__xludf.DUMMYFUNCTION("""COMPUTED_VALUE"""),17.92)</f>
        <v>17.92</v>
      </c>
      <c r="G1404">
        <f>IFERROR(__xludf.DUMMYFUNCTION("""COMPUTED_VALUE"""),0.0)</f>
        <v>0</v>
      </c>
    </row>
    <row r="1405">
      <c r="A1405">
        <f>IFERROR(__xludf.DUMMYFUNCTION("""COMPUTED_VALUE"""),172153.0)</f>
        <v>172153</v>
      </c>
      <c r="B1405" t="str">
        <f>IFERROR(__xludf.DUMMYFUNCTION("""COMPUTED_VALUE"""),"Beef Rib Eye Roast Boneless Lip-On Separable Lean And Fat Trimmed To 1/8 Inch Fat All Grades Cooked Roasted")</f>
        <v>Beef Rib Eye Roast Boneless Lip-On Separable Lean And Fat Trimmed To 1/8 Inch Fat All Grades Cooked Roasted</v>
      </c>
      <c r="C1405" t="str">
        <f>IFERROR(__xludf.DUMMYFUNCTION("""COMPUTED_VALUE"""),"Meats")</f>
        <v>Meats</v>
      </c>
      <c r="D1405">
        <f>IFERROR(__xludf.DUMMYFUNCTION("""COMPUTED_VALUE"""),292.0)</f>
        <v>292</v>
      </c>
      <c r="E1405">
        <f>IFERROR(__xludf.DUMMYFUNCTION("""COMPUTED_VALUE"""),21.66)</f>
        <v>21.66</v>
      </c>
      <c r="F1405">
        <f>IFERROR(__xludf.DUMMYFUNCTION("""COMPUTED_VALUE"""),24.3)</f>
        <v>24.3</v>
      </c>
      <c r="G1405">
        <f>IFERROR(__xludf.DUMMYFUNCTION("""COMPUTED_VALUE"""),0.0)</f>
        <v>0</v>
      </c>
    </row>
    <row r="1406">
      <c r="A1406">
        <f>IFERROR(__xludf.DUMMYFUNCTION("""COMPUTED_VALUE"""),172154.0)</f>
        <v>172154</v>
      </c>
      <c r="B1406" t="str">
        <f>IFERROR(__xludf.DUMMYFUNCTION("""COMPUTED_VALUE"""),"Beef Rib Eye Roast Boneless Lip-On Separable Lean And Fat Trimmed To 1/8 Inch Fat Choice Cooked Roasted")</f>
        <v>Beef Rib Eye Roast Boneless Lip-On Separable Lean And Fat Trimmed To 1/8 Inch Fat Choice Cooked Roasted</v>
      </c>
      <c r="C1406" t="str">
        <f>IFERROR(__xludf.DUMMYFUNCTION("""COMPUTED_VALUE"""),"Meats")</f>
        <v>Meats</v>
      </c>
      <c r="D1406">
        <f>IFERROR(__xludf.DUMMYFUNCTION("""COMPUTED_VALUE"""),303.0)</f>
        <v>303</v>
      </c>
      <c r="E1406">
        <f>IFERROR(__xludf.DUMMYFUNCTION("""COMPUTED_VALUE"""),22.98)</f>
        <v>22.98</v>
      </c>
      <c r="F1406">
        <f>IFERROR(__xludf.DUMMYFUNCTION("""COMPUTED_VALUE"""),23.92)</f>
        <v>23.92</v>
      </c>
      <c r="G1406">
        <f>IFERROR(__xludf.DUMMYFUNCTION("""COMPUTED_VALUE"""),0.0)</f>
        <v>0</v>
      </c>
    </row>
    <row r="1407">
      <c r="A1407">
        <f>IFERROR(__xludf.DUMMYFUNCTION("""COMPUTED_VALUE"""),172155.0)</f>
        <v>172155</v>
      </c>
      <c r="B1407" t="str">
        <f>IFERROR(__xludf.DUMMYFUNCTION("""COMPUTED_VALUE"""),"Beef Rib Eye Roast Boneless Lip-On Separable Lean And Fat Trimmed To 1/8 Inch Fat Select Cooked Roasted")</f>
        <v>Beef Rib Eye Roast Boneless Lip-On Separable Lean And Fat Trimmed To 1/8 Inch Fat Select Cooked Roasted</v>
      </c>
      <c r="C1407" t="str">
        <f>IFERROR(__xludf.DUMMYFUNCTION("""COMPUTED_VALUE"""),"Meats")</f>
        <v>Meats</v>
      </c>
      <c r="D1407">
        <f>IFERROR(__xludf.DUMMYFUNCTION("""COMPUTED_VALUE"""),277.0)</f>
        <v>277</v>
      </c>
      <c r="E1407">
        <f>IFERROR(__xludf.DUMMYFUNCTION("""COMPUTED_VALUE"""),19.68)</f>
        <v>19.68</v>
      </c>
      <c r="F1407">
        <f>IFERROR(__xludf.DUMMYFUNCTION("""COMPUTED_VALUE"""),24.85)</f>
        <v>24.85</v>
      </c>
      <c r="G1407">
        <f>IFERROR(__xludf.DUMMYFUNCTION("""COMPUTED_VALUE"""),0.0)</f>
        <v>0</v>
      </c>
    </row>
    <row r="1408">
      <c r="A1408">
        <f>IFERROR(__xludf.DUMMYFUNCTION("""COMPUTED_VALUE"""),172156.0)</f>
        <v>172156</v>
      </c>
      <c r="B1408" t="str">
        <f>IFERROR(__xludf.DUMMYFUNCTION("""COMPUTED_VALUE"""),"Beef Rib Eye Steak/roast Boneless Lip-On Separable Lean And Fat Trimmed To 1/8 Inch Fat All Grades Raw")</f>
        <v>Beef Rib Eye Steak/roast Boneless Lip-On Separable Lean And Fat Trimmed To 1/8 Inch Fat All Grades Raw</v>
      </c>
      <c r="C1408" t="str">
        <f>IFERROR(__xludf.DUMMYFUNCTION("""COMPUTED_VALUE"""),"Meats")</f>
        <v>Meats</v>
      </c>
      <c r="D1408">
        <f>IFERROR(__xludf.DUMMYFUNCTION("""COMPUTED_VALUE"""),244.0)</f>
        <v>244</v>
      </c>
      <c r="E1408">
        <f>IFERROR(__xludf.DUMMYFUNCTION("""COMPUTED_VALUE"""),18.73)</f>
        <v>18.73</v>
      </c>
      <c r="F1408">
        <f>IFERROR(__xludf.DUMMYFUNCTION("""COMPUTED_VALUE"""),18.85)</f>
        <v>18.85</v>
      </c>
      <c r="G1408">
        <f>IFERROR(__xludf.DUMMYFUNCTION("""COMPUTED_VALUE"""),0.0)</f>
        <v>0</v>
      </c>
    </row>
    <row r="1409">
      <c r="A1409">
        <f>IFERROR(__xludf.DUMMYFUNCTION("""COMPUTED_VALUE"""),172157.0)</f>
        <v>172157</v>
      </c>
      <c r="B1409" t="str">
        <f>IFERROR(__xludf.DUMMYFUNCTION("""COMPUTED_VALUE"""),"Beef Plate Steak Boneless Inside Skirt Separable Lean And Fat Trimmed To 0 Inch Fat Select Cooked Grilled")</f>
        <v>Beef Plate Steak Boneless Inside Skirt Separable Lean And Fat Trimmed To 0 Inch Fat Select Cooked Grilled</v>
      </c>
      <c r="C1409" t="str">
        <f>IFERROR(__xludf.DUMMYFUNCTION("""COMPUTED_VALUE"""),"Meats")</f>
        <v>Meats</v>
      </c>
      <c r="D1409">
        <f>IFERROR(__xludf.DUMMYFUNCTION("""COMPUTED_VALUE"""),233.0)</f>
        <v>233</v>
      </c>
      <c r="E1409">
        <f>IFERROR(__xludf.DUMMYFUNCTION("""COMPUTED_VALUE"""),12.54)</f>
        <v>12.54</v>
      </c>
      <c r="F1409">
        <f>IFERROR(__xludf.DUMMYFUNCTION("""COMPUTED_VALUE"""),30.06)</f>
        <v>30.06</v>
      </c>
      <c r="G1409">
        <f>IFERROR(__xludf.DUMMYFUNCTION("""COMPUTED_VALUE"""),0.0)</f>
        <v>0</v>
      </c>
    </row>
    <row r="1410">
      <c r="A1410">
        <f>IFERROR(__xludf.DUMMYFUNCTION("""COMPUTED_VALUE"""),172158.0)</f>
        <v>172158</v>
      </c>
      <c r="B1410" t="str">
        <f>IFERROR(__xludf.DUMMYFUNCTION("""COMPUTED_VALUE"""),"Beef Plate Steak Boneless Inside Skirt Separable Lean And Fat Trimmed To 0 Inch Fat All Grades Raw")</f>
        <v>Beef Plate Steak Boneless Inside Skirt Separable Lean And Fat Trimmed To 0 Inch Fat All Grades Raw</v>
      </c>
      <c r="C1410" t="str">
        <f>IFERROR(__xludf.DUMMYFUNCTION("""COMPUTED_VALUE"""),"Meats")</f>
        <v>Meats</v>
      </c>
      <c r="D1410">
        <f>IFERROR(__xludf.DUMMYFUNCTION("""COMPUTED_VALUE"""),187.0)</f>
        <v>187</v>
      </c>
      <c r="E1410">
        <f>IFERROR(__xludf.DUMMYFUNCTION("""COMPUTED_VALUE"""),11.71)</f>
        <v>11.71</v>
      </c>
      <c r="F1410">
        <f>IFERROR(__xludf.DUMMYFUNCTION("""COMPUTED_VALUE"""),20.38)</f>
        <v>20.38</v>
      </c>
      <c r="G1410">
        <f>IFERROR(__xludf.DUMMYFUNCTION("""COMPUTED_VALUE"""),0.0)</f>
        <v>0</v>
      </c>
    </row>
    <row r="1411">
      <c r="A1411">
        <f>IFERROR(__xludf.DUMMYFUNCTION("""COMPUTED_VALUE"""),172159.0)</f>
        <v>172159</v>
      </c>
      <c r="B1411" t="str">
        <f>IFERROR(__xludf.DUMMYFUNCTION("""COMPUTED_VALUE"""),"Beef Plate Steak Boneless Inside Skirt Separable Lean And Fat Trimmed To 0 Inch Fat Choice Raw")</f>
        <v>Beef Plate Steak Boneless Inside Skirt Separable Lean And Fat Trimmed To 0 Inch Fat Choice Raw</v>
      </c>
      <c r="C1411" t="str">
        <f>IFERROR(__xludf.DUMMYFUNCTION("""COMPUTED_VALUE"""),"Meats")</f>
        <v>Meats</v>
      </c>
      <c r="D1411">
        <f>IFERROR(__xludf.DUMMYFUNCTION("""COMPUTED_VALUE"""),195.0)</f>
        <v>195</v>
      </c>
      <c r="E1411">
        <f>IFERROR(__xludf.DUMMYFUNCTION("""COMPUTED_VALUE"""),12.78)</f>
        <v>12.78</v>
      </c>
      <c r="F1411">
        <f>IFERROR(__xludf.DUMMYFUNCTION("""COMPUTED_VALUE"""),20.06)</f>
        <v>20.06</v>
      </c>
      <c r="G1411">
        <f>IFERROR(__xludf.DUMMYFUNCTION("""COMPUTED_VALUE"""),0.0)</f>
        <v>0</v>
      </c>
    </row>
    <row r="1412">
      <c r="A1412">
        <f>IFERROR(__xludf.DUMMYFUNCTION("""COMPUTED_VALUE"""),172160.0)</f>
        <v>172160</v>
      </c>
      <c r="B1412" t="str">
        <f>IFERROR(__xludf.DUMMYFUNCTION("""COMPUTED_VALUE"""),"Beef Plate Steak Boneless Inside Skirt Separable Lean And Fat Trimmed To 0 Inch Fat Select Raw")</f>
        <v>Beef Plate Steak Boneless Inside Skirt Separable Lean And Fat Trimmed To 0 Inch Fat Select Raw</v>
      </c>
      <c r="C1412" t="str">
        <f>IFERROR(__xludf.DUMMYFUNCTION("""COMPUTED_VALUE"""),"Meats")</f>
        <v>Meats</v>
      </c>
      <c r="D1412">
        <f>IFERROR(__xludf.DUMMYFUNCTION("""COMPUTED_VALUE"""),174.0)</f>
        <v>174</v>
      </c>
      <c r="E1412">
        <f>IFERROR(__xludf.DUMMYFUNCTION("""COMPUTED_VALUE"""),10.11)</f>
        <v>10.11</v>
      </c>
      <c r="F1412">
        <f>IFERROR(__xludf.DUMMYFUNCTION("""COMPUTED_VALUE"""),20.87)</f>
        <v>20.87</v>
      </c>
      <c r="G1412">
        <f>IFERROR(__xludf.DUMMYFUNCTION("""COMPUTED_VALUE"""),0.0)</f>
        <v>0</v>
      </c>
    </row>
    <row r="1413">
      <c r="A1413">
        <f>IFERROR(__xludf.DUMMYFUNCTION("""COMPUTED_VALUE"""),172161.0)</f>
        <v>172161</v>
      </c>
      <c r="B1413" t="str">
        <f>IFERROR(__xludf.DUMMYFUNCTION("""COMPUTED_VALUE"""),"Beef Ground Unspecified Fat Content Cooked")</f>
        <v>Beef Ground Unspecified Fat Content Cooked</v>
      </c>
      <c r="C1413" t="str">
        <f>IFERROR(__xludf.DUMMYFUNCTION("""COMPUTED_VALUE"""),"Meats")</f>
        <v>Meats</v>
      </c>
      <c r="D1413">
        <f>IFERROR(__xludf.DUMMYFUNCTION("""COMPUTED_VALUE"""),240.0)</f>
        <v>240</v>
      </c>
      <c r="E1413">
        <f>IFERROR(__xludf.DUMMYFUNCTION("""COMPUTED_VALUE"""),14.53)</f>
        <v>14.53</v>
      </c>
      <c r="F1413">
        <f>IFERROR(__xludf.DUMMYFUNCTION("""COMPUTED_VALUE"""),25.07)</f>
        <v>25.07</v>
      </c>
      <c r="G1413">
        <f>IFERROR(__xludf.DUMMYFUNCTION("""COMPUTED_VALUE"""),0.62)</f>
        <v>0.62</v>
      </c>
    </row>
    <row r="1414">
      <c r="A1414">
        <f>IFERROR(__xludf.DUMMYFUNCTION("""COMPUTED_VALUE"""),172162.0)</f>
        <v>172162</v>
      </c>
      <c r="B1414" t="str">
        <f>IFERROR(__xludf.DUMMYFUNCTION("""COMPUTED_VALUE"""),"Beef Plate Steak Boneless Outside Skirt Separable Lean And Fat Trimmed To 0 Inch Fat Choice Raw")</f>
        <v>Beef Plate Steak Boneless Outside Skirt Separable Lean And Fat Trimmed To 0 Inch Fat Choice Raw</v>
      </c>
      <c r="C1414" t="str">
        <f>IFERROR(__xludf.DUMMYFUNCTION("""COMPUTED_VALUE"""),"Meats")</f>
        <v>Meats</v>
      </c>
      <c r="D1414">
        <f>IFERROR(__xludf.DUMMYFUNCTION("""COMPUTED_VALUE"""),238.0)</f>
        <v>238</v>
      </c>
      <c r="E1414">
        <f>IFERROR(__xludf.DUMMYFUNCTION("""COMPUTED_VALUE"""),18.44)</f>
        <v>18.44</v>
      </c>
      <c r="F1414">
        <f>IFERROR(__xludf.DUMMYFUNCTION("""COMPUTED_VALUE"""),17.69)</f>
        <v>17.69</v>
      </c>
      <c r="G1414">
        <f>IFERROR(__xludf.DUMMYFUNCTION("""COMPUTED_VALUE"""),0.35)</f>
        <v>0.35</v>
      </c>
    </row>
    <row r="1415">
      <c r="A1415">
        <f>IFERROR(__xludf.DUMMYFUNCTION("""COMPUTED_VALUE"""),172163.0)</f>
        <v>172163</v>
      </c>
      <c r="B1415" t="str">
        <f>IFERROR(__xludf.DUMMYFUNCTION("""COMPUTED_VALUE"""),"Beef Plate Steak Boneless Outside Skirt Separable Lean And Fat Trimmed To 0 Inch Fat Select Raw")</f>
        <v>Beef Plate Steak Boneless Outside Skirt Separable Lean And Fat Trimmed To 0 Inch Fat Select Raw</v>
      </c>
      <c r="C1415" t="str">
        <f>IFERROR(__xludf.DUMMYFUNCTION("""COMPUTED_VALUE"""),"Meats")</f>
        <v>Meats</v>
      </c>
      <c r="D1415">
        <f>IFERROR(__xludf.DUMMYFUNCTION("""COMPUTED_VALUE"""),222.0)</f>
        <v>222</v>
      </c>
      <c r="E1415">
        <f>IFERROR(__xludf.DUMMYFUNCTION("""COMPUTED_VALUE"""),16.31)</f>
        <v>16.31</v>
      </c>
      <c r="F1415">
        <f>IFERROR(__xludf.DUMMYFUNCTION("""COMPUTED_VALUE"""),18.43)</f>
        <v>18.43</v>
      </c>
      <c r="G1415">
        <f>IFERROR(__xludf.DUMMYFUNCTION("""COMPUTED_VALUE"""),0.36)</f>
        <v>0.36</v>
      </c>
    </row>
    <row r="1416">
      <c r="A1416">
        <f>IFERROR(__xludf.DUMMYFUNCTION("""COMPUTED_VALUE"""),172164.0)</f>
        <v>172164</v>
      </c>
      <c r="B1416" t="str">
        <f>IFERROR(__xludf.DUMMYFUNCTION("""COMPUTED_VALUE"""),"Beef Rib Eye Steak Boneless Lip Off Separable Lean And Fat Trimmed To 0 Inch Fat All Grades Cooked Grilled")</f>
        <v>Beef Rib Eye Steak Boneless Lip Off Separable Lean And Fat Trimmed To 0 Inch Fat All Grades Cooked Grilled</v>
      </c>
      <c r="C1416" t="str">
        <f>IFERROR(__xludf.DUMMYFUNCTION("""COMPUTED_VALUE"""),"Meats")</f>
        <v>Meats</v>
      </c>
      <c r="D1416">
        <f>IFERROR(__xludf.DUMMYFUNCTION("""COMPUTED_VALUE"""),271.0)</f>
        <v>271</v>
      </c>
      <c r="E1416">
        <f>IFERROR(__xludf.DUMMYFUNCTION("""COMPUTED_VALUE"""),19.02)</f>
        <v>19.02</v>
      </c>
      <c r="F1416">
        <f>IFERROR(__xludf.DUMMYFUNCTION("""COMPUTED_VALUE"""),24.85)</f>
        <v>24.85</v>
      </c>
      <c r="G1416">
        <f>IFERROR(__xludf.DUMMYFUNCTION("""COMPUTED_VALUE"""),0.0)</f>
        <v>0</v>
      </c>
    </row>
    <row r="1417">
      <c r="A1417">
        <f>IFERROR(__xludf.DUMMYFUNCTION("""COMPUTED_VALUE"""),172165.0)</f>
        <v>172165</v>
      </c>
      <c r="B1417" t="str">
        <f>IFERROR(__xludf.DUMMYFUNCTION("""COMPUTED_VALUE"""),"Beef Rib Eye Steak Boneless Lip Off Separable Lean And Fat Trimmed To 0 Inch Fat Choice Cooked Grilled")</f>
        <v>Beef Rib Eye Steak Boneless Lip Off Separable Lean And Fat Trimmed To 0 Inch Fat Choice Cooked Grilled</v>
      </c>
      <c r="C1417" t="str">
        <f>IFERROR(__xludf.DUMMYFUNCTION("""COMPUTED_VALUE"""),"Meats")</f>
        <v>Meats</v>
      </c>
      <c r="D1417">
        <f>IFERROR(__xludf.DUMMYFUNCTION("""COMPUTED_VALUE"""),285.0)</f>
        <v>285</v>
      </c>
      <c r="E1417">
        <f>IFERROR(__xludf.DUMMYFUNCTION("""COMPUTED_VALUE"""),21.1)</f>
        <v>21.1</v>
      </c>
      <c r="F1417">
        <f>IFERROR(__xludf.DUMMYFUNCTION("""COMPUTED_VALUE"""),23.89)</f>
        <v>23.89</v>
      </c>
      <c r="G1417">
        <f>IFERROR(__xludf.DUMMYFUNCTION("""COMPUTED_VALUE"""),0.0)</f>
        <v>0</v>
      </c>
    </row>
    <row r="1418">
      <c r="A1418">
        <f>IFERROR(__xludf.DUMMYFUNCTION("""COMPUTED_VALUE"""),172166.0)</f>
        <v>172166</v>
      </c>
      <c r="B1418" t="str">
        <f>IFERROR(__xludf.DUMMYFUNCTION("""COMPUTED_VALUE"""),"Beef Rib Back Ribs Bone-In Separable Lean And Fat Trimmed To 0 Inch Fat All Grades Cooked Braised")</f>
        <v>Beef Rib Back Ribs Bone-In Separable Lean And Fat Trimmed To 0 Inch Fat All Grades Cooked Braised</v>
      </c>
      <c r="C1418" t="str">
        <f>IFERROR(__xludf.DUMMYFUNCTION("""COMPUTED_VALUE"""),"Meats")</f>
        <v>Meats</v>
      </c>
      <c r="D1418">
        <f>IFERROR(__xludf.DUMMYFUNCTION("""COMPUTED_VALUE"""),360.0)</f>
        <v>360</v>
      </c>
      <c r="E1418">
        <f>IFERROR(__xludf.DUMMYFUNCTION("""COMPUTED_VALUE"""),29.21)</f>
        <v>29.21</v>
      </c>
      <c r="F1418">
        <f>IFERROR(__xludf.DUMMYFUNCTION("""COMPUTED_VALUE"""),24.23)</f>
        <v>24.23</v>
      </c>
      <c r="G1418">
        <f>IFERROR(__xludf.DUMMYFUNCTION("""COMPUTED_VALUE"""),0.0)</f>
        <v>0</v>
      </c>
    </row>
    <row r="1419">
      <c r="A1419">
        <f>IFERROR(__xludf.DUMMYFUNCTION("""COMPUTED_VALUE"""),172167.0)</f>
        <v>172167</v>
      </c>
      <c r="B1419" t="str">
        <f>IFERROR(__xludf.DUMMYFUNCTION("""COMPUTED_VALUE"""),"Beef Rib Back Ribs Bone-In Separable Lean And Fat Trimmed To 0 Inch Fat Choice Cooked Braised")</f>
        <v>Beef Rib Back Ribs Bone-In Separable Lean And Fat Trimmed To 0 Inch Fat Choice Cooked Braised</v>
      </c>
      <c r="C1419" t="str">
        <f>IFERROR(__xludf.DUMMYFUNCTION("""COMPUTED_VALUE"""),"Meats")</f>
        <v>Meats</v>
      </c>
      <c r="D1419">
        <f>IFERROR(__xludf.DUMMYFUNCTION("""COMPUTED_VALUE"""),372.0)</f>
        <v>372</v>
      </c>
      <c r="E1419">
        <f>IFERROR(__xludf.DUMMYFUNCTION("""COMPUTED_VALUE"""),30.95)</f>
        <v>30.95</v>
      </c>
      <c r="F1419">
        <f>IFERROR(__xludf.DUMMYFUNCTION("""COMPUTED_VALUE"""),23.34)</f>
        <v>23.34</v>
      </c>
      <c r="G1419">
        <f>IFERROR(__xludf.DUMMYFUNCTION("""COMPUTED_VALUE"""),0.0)</f>
        <v>0</v>
      </c>
    </row>
    <row r="1420">
      <c r="A1420">
        <f>IFERROR(__xludf.DUMMYFUNCTION("""COMPUTED_VALUE"""),172168.0)</f>
        <v>172168</v>
      </c>
      <c r="B1420" t="str">
        <f>IFERROR(__xludf.DUMMYFUNCTION("""COMPUTED_VALUE"""),"Beef Rib Back Ribs Bone-In Separable Lean And Fat Trimmed To 0 Inch Fat Select Cooked Braised")</f>
        <v>Beef Rib Back Ribs Bone-In Separable Lean And Fat Trimmed To 0 Inch Fat Select Cooked Braised</v>
      </c>
      <c r="C1420" t="str">
        <f>IFERROR(__xludf.DUMMYFUNCTION("""COMPUTED_VALUE"""),"Meats")</f>
        <v>Meats</v>
      </c>
      <c r="D1420">
        <f>IFERROR(__xludf.DUMMYFUNCTION("""COMPUTED_VALUE"""),341.0)</f>
        <v>341</v>
      </c>
      <c r="E1420">
        <f>IFERROR(__xludf.DUMMYFUNCTION("""COMPUTED_VALUE"""),26.59)</f>
        <v>26.59</v>
      </c>
      <c r="F1420">
        <f>IFERROR(__xludf.DUMMYFUNCTION("""COMPUTED_VALUE"""),25.56)</f>
        <v>25.56</v>
      </c>
      <c r="G1420">
        <f>IFERROR(__xludf.DUMMYFUNCTION("""COMPUTED_VALUE"""),0.0)</f>
        <v>0</v>
      </c>
    </row>
    <row r="1421">
      <c r="A1421">
        <f>IFERROR(__xludf.DUMMYFUNCTION("""COMPUTED_VALUE"""),172169.0)</f>
        <v>172169</v>
      </c>
      <c r="B1421" t="str">
        <f>IFERROR(__xludf.DUMMYFUNCTION("""COMPUTED_VALUE"""),"Beef Rib Back Ribs Bone-In Separable Lean And Fat Trimmed To 0 Inch Fat All Grades Raw")</f>
        <v>Beef Rib Back Ribs Bone-In Separable Lean And Fat Trimmed To 0 Inch Fat All Grades Raw</v>
      </c>
      <c r="C1421" t="str">
        <f>IFERROR(__xludf.DUMMYFUNCTION("""COMPUTED_VALUE"""),"Meats")</f>
        <v>Meats</v>
      </c>
      <c r="D1421">
        <f>IFERROR(__xludf.DUMMYFUNCTION("""COMPUTED_VALUE"""),324.0)</f>
        <v>324</v>
      </c>
      <c r="E1421">
        <f>IFERROR(__xludf.DUMMYFUNCTION("""COMPUTED_VALUE"""),28.42)</f>
        <v>28.42</v>
      </c>
      <c r="F1421">
        <f>IFERROR(__xludf.DUMMYFUNCTION("""COMPUTED_VALUE"""),16.15)</f>
        <v>16.15</v>
      </c>
      <c r="G1421">
        <f>IFERROR(__xludf.DUMMYFUNCTION("""COMPUTED_VALUE"""),0.78)</f>
        <v>0.78</v>
      </c>
    </row>
    <row r="1422">
      <c r="A1422">
        <f>IFERROR(__xludf.DUMMYFUNCTION("""COMPUTED_VALUE"""),172170.0)</f>
        <v>172170</v>
      </c>
      <c r="B1422" t="str">
        <f>IFERROR(__xludf.DUMMYFUNCTION("""COMPUTED_VALUE"""),"Beef Loin Top Sirloin Cap Steak Boneless Separable Lean Only Trimmed To 1/8 Inch Fat All Grades Cooked Grilled")</f>
        <v>Beef Loin Top Sirloin Cap Steak Boneless Separable Lean Only Trimmed To 1/8 Inch Fat All Grades Cooked Grilled</v>
      </c>
      <c r="C1422" t="str">
        <f>IFERROR(__xludf.DUMMYFUNCTION("""COMPUTED_VALUE"""),"Meats")</f>
        <v>Meats</v>
      </c>
      <c r="D1422">
        <f>IFERROR(__xludf.DUMMYFUNCTION("""COMPUTED_VALUE"""),181.0)</f>
        <v>181</v>
      </c>
      <c r="E1422">
        <f>IFERROR(__xludf.DUMMYFUNCTION("""COMPUTED_VALUE"""),7.23)</f>
        <v>7.23</v>
      </c>
      <c r="F1422">
        <f>IFERROR(__xludf.DUMMYFUNCTION("""COMPUTED_VALUE"""),28.26)</f>
        <v>28.26</v>
      </c>
      <c r="G1422">
        <f>IFERROR(__xludf.DUMMYFUNCTION("""COMPUTED_VALUE"""),0.73)</f>
        <v>0.73</v>
      </c>
    </row>
    <row r="1423">
      <c r="A1423">
        <f>IFERROR(__xludf.DUMMYFUNCTION("""COMPUTED_VALUE"""),172171.0)</f>
        <v>172171</v>
      </c>
      <c r="B1423" t="str">
        <f>IFERROR(__xludf.DUMMYFUNCTION("""COMPUTED_VALUE"""),"Beef Loin Top Sirloin Cap Steak Boneless Separable Lean Only Trimmed To 1/8 Inch Fat Choice Cooked Grilled")</f>
        <v>Beef Loin Top Sirloin Cap Steak Boneless Separable Lean Only Trimmed To 1/8 Inch Fat Choice Cooked Grilled</v>
      </c>
      <c r="C1423" t="str">
        <f>IFERROR(__xludf.DUMMYFUNCTION("""COMPUTED_VALUE"""),"Meats")</f>
        <v>Meats</v>
      </c>
      <c r="D1423">
        <f>IFERROR(__xludf.DUMMYFUNCTION("""COMPUTED_VALUE"""),189.0)</f>
        <v>189</v>
      </c>
      <c r="E1423">
        <f>IFERROR(__xludf.DUMMYFUNCTION("""COMPUTED_VALUE"""),7.96)</f>
        <v>7.96</v>
      </c>
      <c r="F1423">
        <f>IFERROR(__xludf.DUMMYFUNCTION("""COMPUTED_VALUE"""),28.19)</f>
        <v>28.19</v>
      </c>
      <c r="G1423">
        <f>IFERROR(__xludf.DUMMYFUNCTION("""COMPUTED_VALUE"""),1.07)</f>
        <v>1.07</v>
      </c>
    </row>
    <row r="1424">
      <c r="A1424">
        <f>IFERROR(__xludf.DUMMYFUNCTION("""COMPUTED_VALUE"""),172172.0)</f>
        <v>172172</v>
      </c>
      <c r="B1424" t="str">
        <f>IFERROR(__xludf.DUMMYFUNCTION("""COMPUTED_VALUE"""),"Beef Loin Top Sirloin Cap Steak Boneless Separable Lean Only Trimmed To 1/8 Inch Fat Select Cooked Grilled")</f>
        <v>Beef Loin Top Sirloin Cap Steak Boneless Separable Lean Only Trimmed To 1/8 Inch Fat Select Cooked Grilled</v>
      </c>
      <c r="C1424" t="str">
        <f>IFERROR(__xludf.DUMMYFUNCTION("""COMPUTED_VALUE"""),"Meats")</f>
        <v>Meats</v>
      </c>
      <c r="D1424">
        <f>IFERROR(__xludf.DUMMYFUNCTION("""COMPUTED_VALUE"""),170.0)</f>
        <v>170</v>
      </c>
      <c r="E1424">
        <f>IFERROR(__xludf.DUMMYFUNCTION("""COMPUTED_VALUE"""),6.14)</f>
        <v>6.14</v>
      </c>
      <c r="F1424">
        <f>IFERROR(__xludf.DUMMYFUNCTION("""COMPUTED_VALUE"""),28.36)</f>
        <v>28.36</v>
      </c>
      <c r="G1424">
        <f>IFERROR(__xludf.DUMMYFUNCTION("""COMPUTED_VALUE"""),0.22)</f>
        <v>0.22</v>
      </c>
    </row>
    <row r="1425">
      <c r="A1425">
        <f>IFERROR(__xludf.DUMMYFUNCTION("""COMPUTED_VALUE"""),172173.0)</f>
        <v>172173</v>
      </c>
      <c r="B1425" t="str">
        <f>IFERROR(__xludf.DUMMYFUNCTION("""COMPUTED_VALUE"""),"Beef Loin Top Sirloin Cap Steak Boneless Separable Lean Only Trimmed To 1/8 Inch Fat All Grades Raw")</f>
        <v>Beef Loin Top Sirloin Cap Steak Boneless Separable Lean Only Trimmed To 1/8 Inch Fat All Grades Raw</v>
      </c>
      <c r="C1425" t="str">
        <f>IFERROR(__xludf.DUMMYFUNCTION("""COMPUTED_VALUE"""),"Meats")</f>
        <v>Meats</v>
      </c>
      <c r="D1425">
        <f>IFERROR(__xludf.DUMMYFUNCTION("""COMPUTED_VALUE"""),134.0)</f>
        <v>134</v>
      </c>
      <c r="E1425">
        <f>IFERROR(__xludf.DUMMYFUNCTION("""COMPUTED_VALUE"""),5.36)</f>
        <v>5.36</v>
      </c>
      <c r="F1425">
        <f>IFERROR(__xludf.DUMMYFUNCTION("""COMPUTED_VALUE"""),21.38)</f>
        <v>21.38</v>
      </c>
      <c r="G1425">
        <f>IFERROR(__xludf.DUMMYFUNCTION("""COMPUTED_VALUE"""),0.0)</f>
        <v>0</v>
      </c>
    </row>
    <row r="1426">
      <c r="A1426">
        <f>IFERROR(__xludf.DUMMYFUNCTION("""COMPUTED_VALUE"""),172174.0)</f>
        <v>172174</v>
      </c>
      <c r="B1426" t="str">
        <f>IFERROR(__xludf.DUMMYFUNCTION("""COMPUTED_VALUE"""),"Beef Loin Top Sirloin Cap Steak Boneless Separable Lean Only Trimmed To 1/8 Inch Fat Choice Raw")</f>
        <v>Beef Loin Top Sirloin Cap Steak Boneless Separable Lean Only Trimmed To 1/8 Inch Fat Choice Raw</v>
      </c>
      <c r="C1426" t="str">
        <f>IFERROR(__xludf.DUMMYFUNCTION("""COMPUTED_VALUE"""),"Meats")</f>
        <v>Meats</v>
      </c>
      <c r="D1426">
        <f>IFERROR(__xludf.DUMMYFUNCTION("""COMPUTED_VALUE"""),138.0)</f>
        <v>138</v>
      </c>
      <c r="E1426">
        <f>IFERROR(__xludf.DUMMYFUNCTION("""COMPUTED_VALUE"""),5.82)</f>
        <v>5.82</v>
      </c>
      <c r="F1426">
        <f>IFERROR(__xludf.DUMMYFUNCTION("""COMPUTED_VALUE"""),21.34)</f>
        <v>21.34</v>
      </c>
      <c r="G1426">
        <f>IFERROR(__xludf.DUMMYFUNCTION("""COMPUTED_VALUE"""),0.0)</f>
        <v>0</v>
      </c>
    </row>
    <row r="1427">
      <c r="A1427">
        <f>IFERROR(__xludf.DUMMYFUNCTION("""COMPUTED_VALUE"""),172175.0)</f>
        <v>172175</v>
      </c>
      <c r="B1427" t="str">
        <f>IFERROR(__xludf.DUMMYFUNCTION("""COMPUTED_VALUE"""),"Blue Cheese")</f>
        <v>Blue Cheese</v>
      </c>
      <c r="C1427" t="str">
        <f>IFERROR(__xludf.DUMMYFUNCTION("""COMPUTED_VALUE"""),"Dairy and Egg Products")</f>
        <v>Dairy and Egg Products</v>
      </c>
      <c r="D1427">
        <f>IFERROR(__xludf.DUMMYFUNCTION("""COMPUTED_VALUE"""),353.0)</f>
        <v>353</v>
      </c>
      <c r="E1427">
        <f>IFERROR(__xludf.DUMMYFUNCTION("""COMPUTED_VALUE"""),28.74)</f>
        <v>28.74</v>
      </c>
      <c r="F1427">
        <f>IFERROR(__xludf.DUMMYFUNCTION("""COMPUTED_VALUE"""),21.4)</f>
        <v>21.4</v>
      </c>
      <c r="G1427">
        <f>IFERROR(__xludf.DUMMYFUNCTION("""COMPUTED_VALUE"""),2.34)</f>
        <v>2.34</v>
      </c>
    </row>
    <row r="1428">
      <c r="A1428">
        <f>IFERROR(__xludf.DUMMYFUNCTION("""COMPUTED_VALUE"""),172176.0)</f>
        <v>172176</v>
      </c>
      <c r="B1428" t="str">
        <f>IFERROR(__xludf.DUMMYFUNCTION("""COMPUTED_VALUE"""),"Brick Cheese")</f>
        <v>Brick Cheese</v>
      </c>
      <c r="C1428" t="str">
        <f>IFERROR(__xludf.DUMMYFUNCTION("""COMPUTED_VALUE"""),"Dairy and Egg Products")</f>
        <v>Dairy and Egg Products</v>
      </c>
      <c r="D1428">
        <f>IFERROR(__xludf.DUMMYFUNCTION("""COMPUTED_VALUE"""),371.0)</f>
        <v>371</v>
      </c>
      <c r="E1428">
        <f>IFERROR(__xludf.DUMMYFUNCTION("""COMPUTED_VALUE"""),29.68)</f>
        <v>29.68</v>
      </c>
      <c r="F1428">
        <f>IFERROR(__xludf.DUMMYFUNCTION("""COMPUTED_VALUE"""),23.24)</f>
        <v>23.24</v>
      </c>
      <c r="G1428">
        <f>IFERROR(__xludf.DUMMYFUNCTION("""COMPUTED_VALUE"""),2.79)</f>
        <v>2.79</v>
      </c>
    </row>
    <row r="1429">
      <c r="A1429">
        <f>IFERROR(__xludf.DUMMYFUNCTION("""COMPUTED_VALUE"""),172177.0)</f>
        <v>172177</v>
      </c>
      <c r="B1429" t="str">
        <f>IFERROR(__xludf.DUMMYFUNCTION("""COMPUTED_VALUE"""),"Brie Cheese")</f>
        <v>Brie Cheese</v>
      </c>
      <c r="C1429" t="str">
        <f>IFERROR(__xludf.DUMMYFUNCTION("""COMPUTED_VALUE"""),"Dairy and Egg Products")</f>
        <v>Dairy and Egg Products</v>
      </c>
      <c r="D1429">
        <f>IFERROR(__xludf.DUMMYFUNCTION("""COMPUTED_VALUE"""),334.0)</f>
        <v>334</v>
      </c>
      <c r="E1429">
        <f>IFERROR(__xludf.DUMMYFUNCTION("""COMPUTED_VALUE"""),27.68)</f>
        <v>27.68</v>
      </c>
      <c r="F1429">
        <f>IFERROR(__xludf.DUMMYFUNCTION("""COMPUTED_VALUE"""),20.75)</f>
        <v>20.75</v>
      </c>
      <c r="G1429">
        <f>IFERROR(__xludf.DUMMYFUNCTION("""COMPUTED_VALUE"""),0.45)</f>
        <v>0.45</v>
      </c>
    </row>
    <row r="1430">
      <c r="A1430">
        <f>IFERROR(__xludf.DUMMYFUNCTION("""COMPUTED_VALUE"""),172178.0)</f>
        <v>172178</v>
      </c>
      <c r="B1430" t="str">
        <f>IFERROR(__xludf.DUMMYFUNCTION("""COMPUTED_VALUE"""),"Camambert")</f>
        <v>Camambert</v>
      </c>
      <c r="C1430" t="str">
        <f>IFERROR(__xludf.DUMMYFUNCTION("""COMPUTED_VALUE"""),"Dairy and Egg Products")</f>
        <v>Dairy and Egg Products</v>
      </c>
      <c r="D1430">
        <f>IFERROR(__xludf.DUMMYFUNCTION("""COMPUTED_VALUE"""),300.0)</f>
        <v>300</v>
      </c>
      <c r="E1430">
        <f>IFERROR(__xludf.DUMMYFUNCTION("""COMPUTED_VALUE"""),24.26)</f>
        <v>24.26</v>
      </c>
      <c r="F1430">
        <f>IFERROR(__xludf.DUMMYFUNCTION("""COMPUTED_VALUE"""),19.8)</f>
        <v>19.8</v>
      </c>
      <c r="G1430">
        <f>IFERROR(__xludf.DUMMYFUNCTION("""COMPUTED_VALUE"""),0.46)</f>
        <v>0.46</v>
      </c>
    </row>
    <row r="1431">
      <c r="A1431">
        <f>IFERROR(__xludf.DUMMYFUNCTION("""COMPUTED_VALUE"""),172179.0)</f>
        <v>172179</v>
      </c>
      <c r="B1431" t="str">
        <f>IFERROR(__xludf.DUMMYFUNCTION("""COMPUTED_VALUE"""),"Cottage Cheese (Blended)")</f>
        <v>Cottage Cheese (Blended)</v>
      </c>
      <c r="C1431" t="str">
        <f>IFERROR(__xludf.DUMMYFUNCTION("""COMPUTED_VALUE"""),"Dairy and Egg Products")</f>
        <v>Dairy and Egg Products</v>
      </c>
      <c r="D1431">
        <f>IFERROR(__xludf.DUMMYFUNCTION("""COMPUTED_VALUE"""),98.0)</f>
        <v>98</v>
      </c>
      <c r="E1431">
        <f>IFERROR(__xludf.DUMMYFUNCTION("""COMPUTED_VALUE"""),4.3)</f>
        <v>4.3</v>
      </c>
      <c r="F1431">
        <f>IFERROR(__xludf.DUMMYFUNCTION("""COMPUTED_VALUE"""),11.12)</f>
        <v>11.12</v>
      </c>
      <c r="G1431">
        <f>IFERROR(__xludf.DUMMYFUNCTION("""COMPUTED_VALUE"""),3.38)</f>
        <v>3.38</v>
      </c>
    </row>
    <row r="1432">
      <c r="A1432">
        <f>IFERROR(__xludf.DUMMYFUNCTION("""COMPUTED_VALUE"""),172180.0)</f>
        <v>172180</v>
      </c>
      <c r="B1432" t="str">
        <f>IFERROR(__xludf.DUMMYFUNCTION("""COMPUTED_VALUE"""),"Cottage Cheese (Blended With Fruit)")</f>
        <v>Cottage Cheese (Blended With Fruit)</v>
      </c>
      <c r="C1432" t="str">
        <f>IFERROR(__xludf.DUMMYFUNCTION("""COMPUTED_VALUE"""),"Dairy and Egg Products")</f>
        <v>Dairy and Egg Products</v>
      </c>
      <c r="D1432">
        <f>IFERROR(__xludf.DUMMYFUNCTION("""COMPUTED_VALUE"""),97.0)</f>
        <v>97</v>
      </c>
      <c r="E1432">
        <f>IFERROR(__xludf.DUMMYFUNCTION("""COMPUTED_VALUE"""),3.85)</f>
        <v>3.85</v>
      </c>
      <c r="F1432">
        <f>IFERROR(__xludf.DUMMYFUNCTION("""COMPUTED_VALUE"""),10.69)</f>
        <v>10.69</v>
      </c>
      <c r="G1432">
        <f>IFERROR(__xludf.DUMMYFUNCTION("""COMPUTED_VALUE"""),4.61)</f>
        <v>4.61</v>
      </c>
    </row>
    <row r="1433">
      <c r="A1433">
        <f>IFERROR(__xludf.DUMMYFUNCTION("""COMPUTED_VALUE"""),172181.0)</f>
        <v>172181</v>
      </c>
      <c r="B1433" t="str">
        <f>IFERROR(__xludf.DUMMYFUNCTION("""COMPUTED_VALUE"""),"Nonfat Cottage Cheese")</f>
        <v>Nonfat Cottage Cheese</v>
      </c>
      <c r="C1433" t="str">
        <f>IFERROR(__xludf.DUMMYFUNCTION("""COMPUTED_VALUE"""),"Dairy and Egg Products")</f>
        <v>Dairy and Egg Products</v>
      </c>
      <c r="D1433">
        <f>IFERROR(__xludf.DUMMYFUNCTION("""COMPUTED_VALUE"""),72.0)</f>
        <v>72</v>
      </c>
      <c r="E1433">
        <f>IFERROR(__xludf.DUMMYFUNCTION("""COMPUTED_VALUE"""),0.29)</f>
        <v>0.29</v>
      </c>
      <c r="F1433">
        <f>IFERROR(__xludf.DUMMYFUNCTION("""COMPUTED_VALUE"""),10.34)</f>
        <v>10.34</v>
      </c>
      <c r="G1433">
        <f>IFERROR(__xludf.DUMMYFUNCTION("""COMPUTED_VALUE"""),6.66)</f>
        <v>6.66</v>
      </c>
    </row>
    <row r="1434">
      <c r="A1434">
        <f>IFERROR(__xludf.DUMMYFUNCTION("""COMPUTED_VALUE"""),172182.0)</f>
        <v>172182</v>
      </c>
      <c r="B1434" t="str">
        <f>IFERROR(__xludf.DUMMYFUNCTION("""COMPUTED_VALUE"""),"Lowfat Cottage Cheese (2%)")</f>
        <v>Lowfat Cottage Cheese (2%)</v>
      </c>
      <c r="C1434" t="str">
        <f>IFERROR(__xludf.DUMMYFUNCTION("""COMPUTED_VALUE"""),"Dairy and Egg Products")</f>
        <v>Dairy and Egg Products</v>
      </c>
      <c r="D1434">
        <f>IFERROR(__xludf.DUMMYFUNCTION("""COMPUTED_VALUE"""),81.0)</f>
        <v>81</v>
      </c>
      <c r="E1434">
        <f>IFERROR(__xludf.DUMMYFUNCTION("""COMPUTED_VALUE"""),2.27)</f>
        <v>2.27</v>
      </c>
      <c r="F1434">
        <f>IFERROR(__xludf.DUMMYFUNCTION("""COMPUTED_VALUE"""),10.45)</f>
        <v>10.45</v>
      </c>
      <c r="G1434">
        <f>IFERROR(__xludf.DUMMYFUNCTION("""COMPUTED_VALUE"""),4.76)</f>
        <v>4.76</v>
      </c>
    </row>
    <row r="1435">
      <c r="A1435">
        <f>IFERROR(__xludf.DUMMYFUNCTION("""COMPUTED_VALUE"""),172183.0)</f>
        <v>172183</v>
      </c>
      <c r="B1435" t="str">
        <f>IFERROR(__xludf.DUMMYFUNCTION("""COMPUTED_VALUE"""),"Egg Whites (Raw)")</f>
        <v>Egg Whites (Raw)</v>
      </c>
      <c r="C1435" t="str">
        <f>IFERROR(__xludf.DUMMYFUNCTION("""COMPUTED_VALUE"""),"Dairy and Egg Products")</f>
        <v>Dairy and Egg Products</v>
      </c>
      <c r="D1435">
        <f>IFERROR(__xludf.DUMMYFUNCTION("""COMPUTED_VALUE"""),52.0)</f>
        <v>52</v>
      </c>
      <c r="E1435">
        <f>IFERROR(__xludf.DUMMYFUNCTION("""COMPUTED_VALUE"""),0.17)</f>
        <v>0.17</v>
      </c>
      <c r="F1435">
        <f>IFERROR(__xludf.DUMMYFUNCTION("""COMPUTED_VALUE"""),10.9)</f>
        <v>10.9</v>
      </c>
      <c r="G1435">
        <f>IFERROR(__xludf.DUMMYFUNCTION("""COMPUTED_VALUE"""),0.73)</f>
        <v>0.73</v>
      </c>
    </row>
    <row r="1436">
      <c r="A1436">
        <f>IFERROR(__xludf.DUMMYFUNCTION("""COMPUTED_VALUE"""),172184.0)</f>
        <v>172184</v>
      </c>
      <c r="B1436" t="str">
        <f>IFERROR(__xludf.DUMMYFUNCTION("""COMPUTED_VALUE"""),"Egg Yolks (Raw)")</f>
        <v>Egg Yolks (Raw)</v>
      </c>
      <c r="C1436" t="str">
        <f>IFERROR(__xludf.DUMMYFUNCTION("""COMPUTED_VALUE"""),"Dairy and Egg Products")</f>
        <v>Dairy and Egg Products</v>
      </c>
      <c r="D1436">
        <f>IFERROR(__xludf.DUMMYFUNCTION("""COMPUTED_VALUE"""),322.0)</f>
        <v>322</v>
      </c>
      <c r="E1436">
        <f>IFERROR(__xludf.DUMMYFUNCTION("""COMPUTED_VALUE"""),26.54)</f>
        <v>26.54</v>
      </c>
      <c r="F1436">
        <f>IFERROR(__xludf.DUMMYFUNCTION("""COMPUTED_VALUE"""),15.86)</f>
        <v>15.86</v>
      </c>
      <c r="G1436">
        <f>IFERROR(__xludf.DUMMYFUNCTION("""COMPUTED_VALUE"""),3.59)</f>
        <v>3.59</v>
      </c>
    </row>
    <row r="1437">
      <c r="A1437">
        <f>IFERROR(__xludf.DUMMYFUNCTION("""COMPUTED_VALUE"""),172185.0)</f>
        <v>172185</v>
      </c>
      <c r="B1437" t="str">
        <f>IFERROR(__xludf.DUMMYFUNCTION("""COMPUTED_VALUE"""),"Egg Omelet")</f>
        <v>Egg Omelet</v>
      </c>
      <c r="C1437" t="str">
        <f>IFERROR(__xludf.DUMMYFUNCTION("""COMPUTED_VALUE"""),"Dairy and Egg Products")</f>
        <v>Dairy and Egg Products</v>
      </c>
      <c r="D1437">
        <f>IFERROR(__xludf.DUMMYFUNCTION("""COMPUTED_VALUE"""),154.0)</f>
        <v>154</v>
      </c>
      <c r="E1437">
        <f>IFERROR(__xludf.DUMMYFUNCTION("""COMPUTED_VALUE"""),11.66)</f>
        <v>11.66</v>
      </c>
      <c r="F1437">
        <f>IFERROR(__xludf.DUMMYFUNCTION("""COMPUTED_VALUE"""),10.57)</f>
        <v>10.57</v>
      </c>
      <c r="G1437">
        <f>IFERROR(__xludf.DUMMYFUNCTION("""COMPUTED_VALUE"""),0.64)</f>
        <v>0.64</v>
      </c>
    </row>
    <row r="1438">
      <c r="A1438">
        <f>IFERROR(__xludf.DUMMYFUNCTION("""COMPUTED_VALUE"""),172186.0)</f>
        <v>172186</v>
      </c>
      <c r="B1438" t="str">
        <f>IFERROR(__xludf.DUMMYFUNCTION("""COMPUTED_VALUE"""),"Poached Eggs")</f>
        <v>Poached Eggs</v>
      </c>
      <c r="C1438" t="str">
        <f>IFERROR(__xludf.DUMMYFUNCTION("""COMPUTED_VALUE"""),"Dairy and Egg Products")</f>
        <v>Dairy and Egg Products</v>
      </c>
      <c r="D1438">
        <f>IFERROR(__xludf.DUMMYFUNCTION("""COMPUTED_VALUE"""),143.0)</f>
        <v>143</v>
      </c>
      <c r="E1438">
        <f>IFERROR(__xludf.DUMMYFUNCTION("""COMPUTED_VALUE"""),9.47)</f>
        <v>9.47</v>
      </c>
      <c r="F1438">
        <f>IFERROR(__xludf.DUMMYFUNCTION("""COMPUTED_VALUE"""),12.51)</f>
        <v>12.51</v>
      </c>
      <c r="G1438">
        <f>IFERROR(__xludf.DUMMYFUNCTION("""COMPUTED_VALUE"""),0.71)</f>
        <v>0.71</v>
      </c>
    </row>
    <row r="1439">
      <c r="A1439">
        <f>IFERROR(__xludf.DUMMYFUNCTION("""COMPUTED_VALUE"""),172187.0)</f>
        <v>172187</v>
      </c>
      <c r="B1439" t="str">
        <f>IFERROR(__xludf.DUMMYFUNCTION("""COMPUTED_VALUE"""),"Scrambled Eggs")</f>
        <v>Scrambled Eggs</v>
      </c>
      <c r="C1439" t="str">
        <f>IFERROR(__xludf.DUMMYFUNCTION("""COMPUTED_VALUE"""),"Dairy and Egg Products")</f>
        <v>Dairy and Egg Products</v>
      </c>
      <c r="D1439">
        <f>IFERROR(__xludf.DUMMYFUNCTION("""COMPUTED_VALUE"""),149.0)</f>
        <v>149</v>
      </c>
      <c r="E1439">
        <f>IFERROR(__xludf.DUMMYFUNCTION("""COMPUTED_VALUE"""),10.98)</f>
        <v>10.98</v>
      </c>
      <c r="F1439">
        <f>IFERROR(__xludf.DUMMYFUNCTION("""COMPUTED_VALUE"""),9.99)</f>
        <v>9.99</v>
      </c>
      <c r="G1439">
        <f>IFERROR(__xludf.DUMMYFUNCTION("""COMPUTED_VALUE"""),1.61)</f>
        <v>1.61</v>
      </c>
    </row>
    <row r="1440">
      <c r="A1440">
        <f>IFERROR(__xludf.DUMMYFUNCTION("""COMPUTED_VALUE"""),172188.0)</f>
        <v>172188</v>
      </c>
      <c r="B1440" t="str">
        <f>IFERROR(__xludf.DUMMYFUNCTION("""COMPUTED_VALUE"""),"Dried Eggs")</f>
        <v>Dried Eggs</v>
      </c>
      <c r="C1440" t="str">
        <f>IFERROR(__xludf.DUMMYFUNCTION("""COMPUTED_VALUE"""),"Dairy and Egg Products")</f>
        <v>Dairy and Egg Products</v>
      </c>
      <c r="D1440">
        <f>IFERROR(__xludf.DUMMYFUNCTION("""COMPUTED_VALUE"""),592.0)</f>
        <v>592</v>
      </c>
      <c r="E1440">
        <f>IFERROR(__xludf.DUMMYFUNCTION("""COMPUTED_VALUE"""),43.9)</f>
        <v>43.9</v>
      </c>
      <c r="F1440">
        <f>IFERROR(__xludf.DUMMYFUNCTION("""COMPUTED_VALUE"""),48.05)</f>
        <v>48.05</v>
      </c>
      <c r="G1440">
        <f>IFERROR(__xludf.DUMMYFUNCTION("""COMPUTED_VALUE"""),1.13)</f>
        <v>1.13</v>
      </c>
    </row>
    <row r="1441">
      <c r="A1441">
        <f>IFERROR(__xludf.DUMMYFUNCTION("""COMPUTED_VALUE"""),172189.0)</f>
        <v>172189</v>
      </c>
      <c r="B1441" t="str">
        <f>IFERROR(__xludf.DUMMYFUNCTION("""COMPUTED_VALUE"""),"Egg Duck Whole Fresh Raw")</f>
        <v>Egg Duck Whole Fresh Raw</v>
      </c>
      <c r="C1441" t="str">
        <f>IFERROR(__xludf.DUMMYFUNCTION("""COMPUTED_VALUE"""),"Dairy and Egg Products")</f>
        <v>Dairy and Egg Products</v>
      </c>
      <c r="D1441">
        <f>IFERROR(__xludf.DUMMYFUNCTION("""COMPUTED_VALUE"""),185.0)</f>
        <v>185</v>
      </c>
      <c r="E1441">
        <f>IFERROR(__xludf.DUMMYFUNCTION("""COMPUTED_VALUE"""),13.77)</f>
        <v>13.77</v>
      </c>
      <c r="F1441">
        <f>IFERROR(__xludf.DUMMYFUNCTION("""COMPUTED_VALUE"""),12.81)</f>
        <v>12.81</v>
      </c>
      <c r="G1441">
        <f>IFERROR(__xludf.DUMMYFUNCTION("""COMPUTED_VALUE"""),1.45)</f>
        <v>1.45</v>
      </c>
    </row>
    <row r="1442">
      <c r="A1442">
        <f>IFERROR(__xludf.DUMMYFUNCTION("""COMPUTED_VALUE"""),172190.0)</f>
        <v>172190</v>
      </c>
      <c r="B1442" t="str">
        <f>IFERROR(__xludf.DUMMYFUNCTION("""COMPUTED_VALUE"""),"Egg Goose Whole Fresh Raw")</f>
        <v>Egg Goose Whole Fresh Raw</v>
      </c>
      <c r="C1442" t="str">
        <f>IFERROR(__xludf.DUMMYFUNCTION("""COMPUTED_VALUE"""),"Dairy and Egg Products")</f>
        <v>Dairy and Egg Products</v>
      </c>
      <c r="D1442">
        <f>IFERROR(__xludf.DUMMYFUNCTION("""COMPUTED_VALUE"""),185.0)</f>
        <v>185</v>
      </c>
      <c r="E1442">
        <f>IFERROR(__xludf.DUMMYFUNCTION("""COMPUTED_VALUE"""),13.27)</f>
        <v>13.27</v>
      </c>
      <c r="F1442">
        <f>IFERROR(__xludf.DUMMYFUNCTION("""COMPUTED_VALUE"""),13.87)</f>
        <v>13.87</v>
      </c>
      <c r="G1442">
        <f>IFERROR(__xludf.DUMMYFUNCTION("""COMPUTED_VALUE"""),1.35)</f>
        <v>1.35</v>
      </c>
    </row>
    <row r="1443">
      <c r="A1443">
        <f>IFERROR(__xludf.DUMMYFUNCTION("""COMPUTED_VALUE"""),172191.0)</f>
        <v>172191</v>
      </c>
      <c r="B1443" t="str">
        <f>IFERROR(__xludf.DUMMYFUNCTION("""COMPUTED_VALUE"""),"Egg Quail Whole Fresh Raw")</f>
        <v>Egg Quail Whole Fresh Raw</v>
      </c>
      <c r="C1443" t="str">
        <f>IFERROR(__xludf.DUMMYFUNCTION("""COMPUTED_VALUE"""),"Dairy and Egg Products")</f>
        <v>Dairy and Egg Products</v>
      </c>
      <c r="D1443">
        <f>IFERROR(__xludf.DUMMYFUNCTION("""COMPUTED_VALUE"""),158.0)</f>
        <v>158</v>
      </c>
      <c r="E1443">
        <f>IFERROR(__xludf.DUMMYFUNCTION("""COMPUTED_VALUE"""),11.09)</f>
        <v>11.09</v>
      </c>
      <c r="F1443">
        <f>IFERROR(__xludf.DUMMYFUNCTION("""COMPUTED_VALUE"""),13.05)</f>
        <v>13.05</v>
      </c>
      <c r="G1443">
        <f>IFERROR(__xludf.DUMMYFUNCTION("""COMPUTED_VALUE"""),0.41)</f>
        <v>0.41</v>
      </c>
    </row>
    <row r="1444">
      <c r="A1444">
        <f>IFERROR(__xludf.DUMMYFUNCTION("""COMPUTED_VALUE"""),172192.0)</f>
        <v>172192</v>
      </c>
      <c r="B1444" t="str">
        <f>IFERROR(__xludf.DUMMYFUNCTION("""COMPUTED_VALUE"""),"Egg Turkey Whole Fresh Raw")</f>
        <v>Egg Turkey Whole Fresh Raw</v>
      </c>
      <c r="C1444" t="str">
        <f>IFERROR(__xludf.DUMMYFUNCTION("""COMPUTED_VALUE"""),"Dairy and Egg Products")</f>
        <v>Dairy and Egg Products</v>
      </c>
      <c r="D1444">
        <f>IFERROR(__xludf.DUMMYFUNCTION("""COMPUTED_VALUE"""),171.0)</f>
        <v>171</v>
      </c>
      <c r="E1444">
        <f>IFERROR(__xludf.DUMMYFUNCTION("""COMPUTED_VALUE"""),11.88)</f>
        <v>11.88</v>
      </c>
      <c r="F1444">
        <f>IFERROR(__xludf.DUMMYFUNCTION("""COMPUTED_VALUE"""),13.68)</f>
        <v>13.68</v>
      </c>
      <c r="G1444">
        <f>IFERROR(__xludf.DUMMYFUNCTION("""COMPUTED_VALUE"""),1.15)</f>
        <v>1.15</v>
      </c>
    </row>
    <row r="1445">
      <c r="A1445">
        <f>IFERROR(__xludf.DUMMYFUNCTION("""COMPUTED_VALUE"""),172193.0)</f>
        <v>172193</v>
      </c>
      <c r="B1445" t="str">
        <f>IFERROR(__xludf.DUMMYFUNCTION("""COMPUTED_VALUE"""),"Milk Reduced Fat Fluid 2% Milkfat With Added Nonfat Milk Solids Without Added Vitamin A")</f>
        <v>Milk Reduced Fat Fluid 2% Milkfat With Added Nonfat Milk Solids Without Added Vitamin A</v>
      </c>
      <c r="C1445" t="str">
        <f>IFERROR(__xludf.DUMMYFUNCTION("""COMPUTED_VALUE"""),"Dairy and Egg Products")</f>
        <v>Dairy and Egg Products</v>
      </c>
      <c r="D1445">
        <f>IFERROR(__xludf.DUMMYFUNCTION("""COMPUTED_VALUE"""),56.0)</f>
        <v>56</v>
      </c>
      <c r="E1445">
        <f>IFERROR(__xludf.DUMMYFUNCTION("""COMPUTED_VALUE"""),1.98)</f>
        <v>1.98</v>
      </c>
      <c r="F1445">
        <f>IFERROR(__xludf.DUMMYFUNCTION("""COMPUTED_VALUE"""),3.95)</f>
        <v>3.95</v>
      </c>
      <c r="G1445">
        <f>IFERROR(__xludf.DUMMYFUNCTION("""COMPUTED_VALUE"""),5.49)</f>
        <v>5.49</v>
      </c>
    </row>
    <row r="1446">
      <c r="A1446">
        <f>IFERROR(__xludf.DUMMYFUNCTION("""COMPUTED_VALUE"""),172194.0)</f>
        <v>172194</v>
      </c>
      <c r="B1446" t="str">
        <f>IFERROR(__xludf.DUMMYFUNCTION("""COMPUTED_VALUE"""),"Milk Canned Evaporated With Added Vitamin A")</f>
        <v>Milk Canned Evaporated With Added Vitamin A</v>
      </c>
      <c r="C1446" t="str">
        <f>IFERROR(__xludf.DUMMYFUNCTION("""COMPUTED_VALUE"""),"Dairy and Egg Products")</f>
        <v>Dairy and Egg Products</v>
      </c>
      <c r="D1446">
        <f>IFERROR(__xludf.DUMMYFUNCTION("""COMPUTED_VALUE"""),134.0)</f>
        <v>134</v>
      </c>
      <c r="E1446">
        <f>IFERROR(__xludf.DUMMYFUNCTION("""COMPUTED_VALUE"""),7.56)</f>
        <v>7.56</v>
      </c>
      <c r="F1446">
        <f>IFERROR(__xludf.DUMMYFUNCTION("""COMPUTED_VALUE"""),6.81)</f>
        <v>6.81</v>
      </c>
      <c r="G1446">
        <f>IFERROR(__xludf.DUMMYFUNCTION("""COMPUTED_VALUE"""),10.04)</f>
        <v>10.04</v>
      </c>
    </row>
    <row r="1447">
      <c r="A1447">
        <f>IFERROR(__xludf.DUMMYFUNCTION("""COMPUTED_VALUE"""),172195.0)</f>
        <v>172195</v>
      </c>
      <c r="B1447" t="str">
        <f>IFERROR(__xludf.DUMMYFUNCTION("""COMPUTED_VALUE"""),"Milk Dry Nonfat Regular With Added Vitamin A And Vitamin D")</f>
        <v>Milk Dry Nonfat Regular With Added Vitamin A And Vitamin D</v>
      </c>
      <c r="C1447" t="str">
        <f>IFERROR(__xludf.DUMMYFUNCTION("""COMPUTED_VALUE"""),"Dairy and Egg Products")</f>
        <v>Dairy and Egg Products</v>
      </c>
      <c r="D1447">
        <f>IFERROR(__xludf.DUMMYFUNCTION("""COMPUTED_VALUE"""),362.0)</f>
        <v>362</v>
      </c>
      <c r="E1447">
        <f>IFERROR(__xludf.DUMMYFUNCTION("""COMPUTED_VALUE"""),0.77)</f>
        <v>0.77</v>
      </c>
      <c r="F1447">
        <f>IFERROR(__xludf.DUMMYFUNCTION("""COMPUTED_VALUE"""),36.16)</f>
        <v>36.16</v>
      </c>
      <c r="G1447">
        <f>IFERROR(__xludf.DUMMYFUNCTION("""COMPUTED_VALUE"""),51.98)</f>
        <v>51.98</v>
      </c>
    </row>
    <row r="1448">
      <c r="A1448">
        <f>IFERROR(__xludf.DUMMYFUNCTION("""COMPUTED_VALUE"""),172196.0)</f>
        <v>172196</v>
      </c>
      <c r="B1448" t="str">
        <f>IFERROR(__xludf.DUMMYFUNCTION("""COMPUTED_VALUE"""),"Milk Dry Nonfat Instant Without Added Vitamin A And Vitamin D")</f>
        <v>Milk Dry Nonfat Instant Without Added Vitamin A And Vitamin D</v>
      </c>
      <c r="C1448" t="str">
        <f>IFERROR(__xludf.DUMMYFUNCTION("""COMPUTED_VALUE"""),"Dairy and Egg Products")</f>
        <v>Dairy and Egg Products</v>
      </c>
      <c r="D1448">
        <f>IFERROR(__xludf.DUMMYFUNCTION("""COMPUTED_VALUE"""),358.0)</f>
        <v>358</v>
      </c>
      <c r="E1448">
        <f>IFERROR(__xludf.DUMMYFUNCTION("""COMPUTED_VALUE"""),0.72)</f>
        <v>0.72</v>
      </c>
      <c r="F1448">
        <f>IFERROR(__xludf.DUMMYFUNCTION("""COMPUTED_VALUE"""),35.1)</f>
        <v>35.1</v>
      </c>
      <c r="G1448">
        <f>IFERROR(__xludf.DUMMYFUNCTION("""COMPUTED_VALUE"""),52.19)</f>
        <v>52.19</v>
      </c>
    </row>
    <row r="1449">
      <c r="A1449">
        <f>IFERROR(__xludf.DUMMYFUNCTION("""COMPUTED_VALUE"""),172197.0)</f>
        <v>172197</v>
      </c>
      <c r="B1449" t="str">
        <f>IFERROR(__xludf.DUMMYFUNCTION("""COMPUTED_VALUE"""),"Hard Goat Cheese")</f>
        <v>Hard Goat Cheese</v>
      </c>
      <c r="C1449" t="str">
        <f>IFERROR(__xludf.DUMMYFUNCTION("""COMPUTED_VALUE"""),"Dairy and Egg Products")</f>
        <v>Dairy and Egg Products</v>
      </c>
      <c r="D1449">
        <f>IFERROR(__xludf.DUMMYFUNCTION("""COMPUTED_VALUE"""),452.0)</f>
        <v>452</v>
      </c>
      <c r="E1449">
        <f>IFERROR(__xludf.DUMMYFUNCTION("""COMPUTED_VALUE"""),35.59)</f>
        <v>35.59</v>
      </c>
      <c r="F1449">
        <f>IFERROR(__xludf.DUMMYFUNCTION("""COMPUTED_VALUE"""),30.52)</f>
        <v>30.52</v>
      </c>
      <c r="G1449">
        <f>IFERROR(__xludf.DUMMYFUNCTION("""COMPUTED_VALUE"""),2.17)</f>
        <v>2.17</v>
      </c>
    </row>
    <row r="1450">
      <c r="A1450">
        <f>IFERROR(__xludf.DUMMYFUNCTION("""COMPUTED_VALUE"""),172198.0)</f>
        <v>172198</v>
      </c>
      <c r="B1450" t="str">
        <f>IFERROR(__xludf.DUMMYFUNCTION("""COMPUTED_VALUE"""),"Cheese Substitute Mozzarella")</f>
        <v>Cheese Substitute Mozzarella</v>
      </c>
      <c r="C1450" t="str">
        <f>IFERROR(__xludf.DUMMYFUNCTION("""COMPUTED_VALUE"""),"Dairy and Egg Products")</f>
        <v>Dairy and Egg Products</v>
      </c>
      <c r="D1450">
        <f>IFERROR(__xludf.DUMMYFUNCTION("""COMPUTED_VALUE"""),248.0)</f>
        <v>248</v>
      </c>
      <c r="E1450">
        <f>IFERROR(__xludf.DUMMYFUNCTION("""COMPUTED_VALUE"""),12.22)</f>
        <v>12.22</v>
      </c>
      <c r="F1450">
        <f>IFERROR(__xludf.DUMMYFUNCTION("""COMPUTED_VALUE"""),11.47)</f>
        <v>11.47</v>
      </c>
      <c r="G1450">
        <f>IFERROR(__xludf.DUMMYFUNCTION("""COMPUTED_VALUE"""),23.67)</f>
        <v>23.67</v>
      </c>
    </row>
    <row r="1451">
      <c r="A1451">
        <f>IFERROR(__xludf.DUMMYFUNCTION("""COMPUTED_VALUE"""),172200.0)</f>
        <v>172200</v>
      </c>
      <c r="B1451" t="str">
        <f>IFERROR(__xludf.DUMMYFUNCTION("""COMPUTED_VALUE"""),"Cheese Sauce Prepared From Recipe")</f>
        <v>Cheese Sauce Prepared From Recipe</v>
      </c>
      <c r="C1451" t="str">
        <f>IFERROR(__xludf.DUMMYFUNCTION("""COMPUTED_VALUE"""),"Dairy and Egg Products")</f>
        <v>Dairy and Egg Products</v>
      </c>
      <c r="D1451">
        <f>IFERROR(__xludf.DUMMYFUNCTION("""COMPUTED_VALUE"""),197.0)</f>
        <v>197</v>
      </c>
      <c r="E1451">
        <f>IFERROR(__xludf.DUMMYFUNCTION("""COMPUTED_VALUE"""),14.92)</f>
        <v>14.92</v>
      </c>
      <c r="F1451">
        <f>IFERROR(__xludf.DUMMYFUNCTION("""COMPUTED_VALUE"""),10.33)</f>
        <v>10.33</v>
      </c>
      <c r="G1451">
        <f>IFERROR(__xludf.DUMMYFUNCTION("""COMPUTED_VALUE"""),5.48)</f>
        <v>5.48</v>
      </c>
    </row>
    <row r="1452">
      <c r="A1452">
        <f>IFERROR(__xludf.DUMMYFUNCTION("""COMPUTED_VALUE"""),172201.0)</f>
        <v>172201</v>
      </c>
      <c r="B1452" t="str">
        <f>IFERROR(__xludf.DUMMYFUNCTION("""COMPUTED_VALUE"""),"Cheese Mexican Queso Anejo")</f>
        <v>Cheese Mexican Queso Anejo</v>
      </c>
      <c r="C1452" t="str">
        <f>IFERROR(__xludf.DUMMYFUNCTION("""COMPUTED_VALUE"""),"Dairy and Egg Products")</f>
        <v>Dairy and Egg Products</v>
      </c>
      <c r="D1452">
        <f>IFERROR(__xludf.DUMMYFUNCTION("""COMPUTED_VALUE"""),373.0)</f>
        <v>373</v>
      </c>
      <c r="E1452">
        <f>IFERROR(__xludf.DUMMYFUNCTION("""COMPUTED_VALUE"""),29.98)</f>
        <v>29.98</v>
      </c>
      <c r="F1452">
        <f>IFERROR(__xludf.DUMMYFUNCTION("""COMPUTED_VALUE"""),21.44)</f>
        <v>21.44</v>
      </c>
      <c r="G1452">
        <f>IFERROR(__xludf.DUMMYFUNCTION("""COMPUTED_VALUE"""),4.63)</f>
        <v>4.63</v>
      </c>
    </row>
    <row r="1453">
      <c r="A1453">
        <f>IFERROR(__xludf.DUMMYFUNCTION("""COMPUTED_VALUE"""),172202.0)</f>
        <v>172202</v>
      </c>
      <c r="B1453" t="str">
        <f>IFERROR(__xludf.DUMMYFUNCTION("""COMPUTED_VALUE"""),"Egg Whole Raw Frozen Pasteurized")</f>
        <v>Egg Whole Raw Frozen Pasteurized</v>
      </c>
      <c r="C1453" t="str">
        <f>IFERROR(__xludf.DUMMYFUNCTION("""COMPUTED_VALUE"""),"Dairy and Egg Products")</f>
        <v>Dairy and Egg Products</v>
      </c>
      <c r="D1453">
        <f>IFERROR(__xludf.DUMMYFUNCTION("""COMPUTED_VALUE"""),147.0)</f>
        <v>147</v>
      </c>
      <c r="E1453">
        <f>IFERROR(__xludf.DUMMYFUNCTION("""COMPUTED_VALUE"""),9.95)</f>
        <v>9.95</v>
      </c>
      <c r="F1453">
        <f>IFERROR(__xludf.DUMMYFUNCTION("""COMPUTED_VALUE"""),12.33)</f>
        <v>12.33</v>
      </c>
      <c r="G1453">
        <f>IFERROR(__xludf.DUMMYFUNCTION("""COMPUTED_VALUE"""),1.01)</f>
        <v>1.01</v>
      </c>
    </row>
    <row r="1454">
      <c r="A1454">
        <f>IFERROR(__xludf.DUMMYFUNCTION("""COMPUTED_VALUE"""),172203.0)</f>
        <v>172203</v>
      </c>
      <c r="B1454" t="str">
        <f>IFERROR(__xludf.DUMMYFUNCTION("""COMPUTED_VALUE"""),"Egg White Raw Frozen Pasteurized")</f>
        <v>Egg White Raw Frozen Pasteurized</v>
      </c>
      <c r="C1454" t="str">
        <f>IFERROR(__xludf.DUMMYFUNCTION("""COMPUTED_VALUE"""),"Dairy and Egg Products")</f>
        <v>Dairy and Egg Products</v>
      </c>
      <c r="D1454">
        <f>IFERROR(__xludf.DUMMYFUNCTION("""COMPUTED_VALUE"""),48.0)</f>
        <v>48</v>
      </c>
      <c r="E1454">
        <f>IFERROR(__xludf.DUMMYFUNCTION("""COMPUTED_VALUE"""),0.0)</f>
        <v>0</v>
      </c>
      <c r="F1454">
        <f>IFERROR(__xludf.DUMMYFUNCTION("""COMPUTED_VALUE"""),10.2)</f>
        <v>10.2</v>
      </c>
      <c r="G1454">
        <f>IFERROR(__xludf.DUMMYFUNCTION("""COMPUTED_VALUE"""),1.04)</f>
        <v>1.04</v>
      </c>
    </row>
    <row r="1455">
      <c r="A1455">
        <f>IFERROR(__xludf.DUMMYFUNCTION("""COMPUTED_VALUE"""),172204.0)</f>
        <v>172204</v>
      </c>
      <c r="B1455" t="str">
        <f>IFERROR(__xludf.DUMMYFUNCTION("""COMPUTED_VALUE"""),"Egg White Dried")</f>
        <v>Egg White Dried</v>
      </c>
      <c r="C1455" t="str">
        <f>IFERROR(__xludf.DUMMYFUNCTION("""COMPUTED_VALUE"""),"Dairy and Egg Products")</f>
        <v>Dairy and Egg Products</v>
      </c>
      <c r="D1455">
        <f>IFERROR(__xludf.DUMMYFUNCTION("""COMPUTED_VALUE"""),382.0)</f>
        <v>382</v>
      </c>
      <c r="E1455">
        <f>IFERROR(__xludf.DUMMYFUNCTION("""COMPUTED_VALUE"""),0.0)</f>
        <v>0</v>
      </c>
      <c r="F1455">
        <f>IFERROR(__xludf.DUMMYFUNCTION("""COMPUTED_VALUE"""),81.1)</f>
        <v>81.1</v>
      </c>
      <c r="G1455">
        <f>IFERROR(__xludf.DUMMYFUNCTION("""COMPUTED_VALUE"""),7.8)</f>
        <v>7.8</v>
      </c>
    </row>
    <row r="1456">
      <c r="A1456">
        <f>IFERROR(__xludf.DUMMYFUNCTION("""COMPUTED_VALUE"""),172205.0)</f>
        <v>172205</v>
      </c>
      <c r="B1456" t="str">
        <f>IFERROR(__xludf.DUMMYFUNCTION("""COMPUTED_VALUE"""),"Milk Reduced Fat Fluid 2% Milkfat Without Added Vitamin A And Vitamin D")</f>
        <v>Milk Reduced Fat Fluid 2% Milkfat Without Added Vitamin A And Vitamin D</v>
      </c>
      <c r="C1456" t="str">
        <f>IFERROR(__xludf.DUMMYFUNCTION("""COMPUTED_VALUE"""),"Dairy and Egg Products")</f>
        <v>Dairy and Egg Products</v>
      </c>
      <c r="D1456">
        <f>IFERROR(__xludf.DUMMYFUNCTION("""COMPUTED_VALUE"""),50.0)</f>
        <v>50</v>
      </c>
      <c r="E1456">
        <f>IFERROR(__xludf.DUMMYFUNCTION("""COMPUTED_VALUE"""),1.98)</f>
        <v>1.98</v>
      </c>
      <c r="F1456">
        <f>IFERROR(__xludf.DUMMYFUNCTION("""COMPUTED_VALUE"""),3.3)</f>
        <v>3.3</v>
      </c>
      <c r="G1456">
        <f>IFERROR(__xludf.DUMMYFUNCTION("""COMPUTED_VALUE"""),4.8)</f>
        <v>4.8</v>
      </c>
    </row>
    <row r="1457">
      <c r="A1457">
        <f>IFERROR(__xludf.DUMMYFUNCTION("""COMPUTED_VALUE"""),172206.0)</f>
        <v>172206</v>
      </c>
      <c r="B1457" t="str">
        <f>IFERROR(__xludf.DUMMYFUNCTION("""COMPUTED_VALUE"""),"Parmesan Cheese Topping Fat Free")</f>
        <v>Parmesan Cheese Topping Fat Free</v>
      </c>
      <c r="C1457" t="str">
        <f>IFERROR(__xludf.DUMMYFUNCTION("""COMPUTED_VALUE"""),"Dairy and Egg Products")</f>
        <v>Dairy and Egg Products</v>
      </c>
      <c r="D1457">
        <f>IFERROR(__xludf.DUMMYFUNCTION("""COMPUTED_VALUE"""),370.0)</f>
        <v>370</v>
      </c>
      <c r="E1457">
        <f>IFERROR(__xludf.DUMMYFUNCTION("""COMPUTED_VALUE"""),5.0)</f>
        <v>5</v>
      </c>
      <c r="F1457">
        <f>IFERROR(__xludf.DUMMYFUNCTION("""COMPUTED_VALUE"""),40.0)</f>
        <v>40</v>
      </c>
      <c r="G1457">
        <f>IFERROR(__xludf.DUMMYFUNCTION("""COMPUTED_VALUE"""),40.0)</f>
        <v>40</v>
      </c>
    </row>
    <row r="1458">
      <c r="A1458">
        <f>IFERROR(__xludf.DUMMYFUNCTION("""COMPUTED_VALUE"""),172207.0)</f>
        <v>172207</v>
      </c>
      <c r="B1458" t="str">
        <f>IFERROR(__xludf.DUMMYFUNCTION("""COMPUTED_VALUE"""),"Fat Free Cream Cheese")</f>
        <v>Fat Free Cream Cheese</v>
      </c>
      <c r="C1458" t="str">
        <f>IFERROR(__xludf.DUMMYFUNCTION("""COMPUTED_VALUE"""),"Dairy and Egg Products")</f>
        <v>Dairy and Egg Products</v>
      </c>
      <c r="D1458">
        <f>IFERROR(__xludf.DUMMYFUNCTION("""COMPUTED_VALUE"""),105.0)</f>
        <v>105</v>
      </c>
      <c r="E1458">
        <f>IFERROR(__xludf.DUMMYFUNCTION("""COMPUTED_VALUE"""),1.0)</f>
        <v>1</v>
      </c>
      <c r="F1458">
        <f>IFERROR(__xludf.DUMMYFUNCTION("""COMPUTED_VALUE"""),15.69)</f>
        <v>15.69</v>
      </c>
      <c r="G1458">
        <f>IFERROR(__xludf.DUMMYFUNCTION("""COMPUTED_VALUE"""),7.66)</f>
        <v>7.66</v>
      </c>
    </row>
    <row r="1459">
      <c r="A1459">
        <f>IFERROR(__xludf.DUMMYFUNCTION("""COMPUTED_VALUE"""),172208.0)</f>
        <v>172208</v>
      </c>
      <c r="B1459" t="str">
        <f>IFERROR(__xludf.DUMMYFUNCTION("""COMPUTED_VALUE"""),"Yogurt Chocolate Nonfat Milk")</f>
        <v>Yogurt Chocolate Nonfat Milk</v>
      </c>
      <c r="C1459" t="str">
        <f>IFERROR(__xludf.DUMMYFUNCTION("""COMPUTED_VALUE"""),"Dairy and Egg Products")</f>
        <v>Dairy and Egg Products</v>
      </c>
      <c r="D1459">
        <f>IFERROR(__xludf.DUMMYFUNCTION("""COMPUTED_VALUE"""),112.0)</f>
        <v>112</v>
      </c>
      <c r="E1459">
        <f>IFERROR(__xludf.DUMMYFUNCTION("""COMPUTED_VALUE"""),0.0)</f>
        <v>0</v>
      </c>
      <c r="F1459">
        <f>IFERROR(__xludf.DUMMYFUNCTION("""COMPUTED_VALUE"""),3.53)</f>
        <v>3.53</v>
      </c>
      <c r="G1459">
        <f>IFERROR(__xludf.DUMMYFUNCTION("""COMPUTED_VALUE"""),23.53)</f>
        <v>23.53</v>
      </c>
    </row>
    <row r="1460">
      <c r="A1460">
        <f>IFERROR(__xludf.DUMMYFUNCTION("""COMPUTED_VALUE"""),172209.0)</f>
        <v>172209</v>
      </c>
      <c r="B1460" t="str">
        <f>IFERROR(__xludf.DUMMYFUNCTION("""COMPUTED_VALUE"""),"Kraft Cheez Whiz Pasteurized Process Cheese Sauce")</f>
        <v>Kraft Cheez Whiz Pasteurized Process Cheese Sauce</v>
      </c>
      <c r="C1460" t="str">
        <f>IFERROR(__xludf.DUMMYFUNCTION("""COMPUTED_VALUE"""),"Dairy and Egg Products")</f>
        <v>Dairy and Egg Products</v>
      </c>
      <c r="D1460">
        <f>IFERROR(__xludf.DUMMYFUNCTION("""COMPUTED_VALUE"""),276.0)</f>
        <v>276</v>
      </c>
      <c r="E1460">
        <f>IFERROR(__xludf.DUMMYFUNCTION("""COMPUTED_VALUE"""),21.0)</f>
        <v>21</v>
      </c>
      <c r="F1460">
        <f>IFERROR(__xludf.DUMMYFUNCTION("""COMPUTED_VALUE"""),12.0)</f>
        <v>12</v>
      </c>
      <c r="G1460">
        <f>IFERROR(__xludf.DUMMYFUNCTION("""COMPUTED_VALUE"""),9.2)</f>
        <v>9.2</v>
      </c>
    </row>
    <row r="1461">
      <c r="A1461">
        <f>IFERROR(__xludf.DUMMYFUNCTION("""COMPUTED_VALUE"""),172210.0)</f>
        <v>172210</v>
      </c>
      <c r="B1461" t="str">
        <f>IFERROR(__xludf.DUMMYFUNCTION("""COMPUTED_VALUE"""),"Kraft Breakstones Reduced Fat Sour Cream")</f>
        <v>Kraft Breakstones Reduced Fat Sour Cream</v>
      </c>
      <c r="C1461" t="str">
        <f>IFERROR(__xludf.DUMMYFUNCTION("""COMPUTED_VALUE"""),"Dairy and Egg Products")</f>
        <v>Dairy and Egg Products</v>
      </c>
      <c r="D1461">
        <f>IFERROR(__xludf.DUMMYFUNCTION("""COMPUTED_VALUE"""),152.0)</f>
        <v>152</v>
      </c>
      <c r="E1461">
        <f>IFERROR(__xludf.DUMMYFUNCTION("""COMPUTED_VALUE"""),12.0)</f>
        <v>12</v>
      </c>
      <c r="F1461">
        <f>IFERROR(__xludf.DUMMYFUNCTION("""COMPUTED_VALUE"""),4.5)</f>
        <v>4.5</v>
      </c>
      <c r="G1461">
        <f>IFERROR(__xludf.DUMMYFUNCTION("""COMPUTED_VALUE"""),6.5)</f>
        <v>6.5</v>
      </c>
    </row>
    <row r="1462">
      <c r="A1462">
        <f>IFERROR(__xludf.DUMMYFUNCTION("""COMPUTED_VALUE"""),172211.0)</f>
        <v>172211</v>
      </c>
      <c r="B1462" t="str">
        <f>IFERROR(__xludf.DUMMYFUNCTION("""COMPUTED_VALUE"""),"Kraft Breakstones Free Fat Free Sour Cream")</f>
        <v>Kraft Breakstones Free Fat Free Sour Cream</v>
      </c>
      <c r="C1462" t="str">
        <f>IFERROR(__xludf.DUMMYFUNCTION("""COMPUTED_VALUE"""),"Dairy and Egg Products")</f>
        <v>Dairy and Egg Products</v>
      </c>
      <c r="D1462">
        <f>IFERROR(__xludf.DUMMYFUNCTION("""COMPUTED_VALUE"""),91.0)</f>
        <v>91</v>
      </c>
      <c r="E1462">
        <f>IFERROR(__xludf.DUMMYFUNCTION("""COMPUTED_VALUE"""),1.3)</f>
        <v>1.3</v>
      </c>
      <c r="F1462">
        <f>IFERROR(__xludf.DUMMYFUNCTION("""COMPUTED_VALUE"""),4.7)</f>
        <v>4.7</v>
      </c>
      <c r="G1462">
        <f>IFERROR(__xludf.DUMMYFUNCTION("""COMPUTED_VALUE"""),15.1)</f>
        <v>15.1</v>
      </c>
    </row>
    <row r="1463">
      <c r="A1463">
        <f>IFERROR(__xludf.DUMMYFUNCTION("""COMPUTED_VALUE"""),172212.0)</f>
        <v>172212</v>
      </c>
      <c r="B1463" t="str">
        <f>IFERROR(__xludf.DUMMYFUNCTION("""COMPUTED_VALUE"""),"Cream Half And Half Fat Free")</f>
        <v>Cream Half And Half Fat Free</v>
      </c>
      <c r="C1463" t="str">
        <f>IFERROR(__xludf.DUMMYFUNCTION("""COMPUTED_VALUE"""),"Dairy and Egg Products")</f>
        <v>Dairy and Egg Products</v>
      </c>
      <c r="D1463">
        <f>IFERROR(__xludf.DUMMYFUNCTION("""COMPUTED_VALUE"""),59.0)</f>
        <v>59</v>
      </c>
      <c r="E1463">
        <f>IFERROR(__xludf.DUMMYFUNCTION("""COMPUTED_VALUE"""),1.4)</f>
        <v>1.4</v>
      </c>
      <c r="F1463">
        <f>IFERROR(__xludf.DUMMYFUNCTION("""COMPUTED_VALUE"""),2.6)</f>
        <v>2.6</v>
      </c>
      <c r="G1463">
        <f>IFERROR(__xludf.DUMMYFUNCTION("""COMPUTED_VALUE"""),9.0)</f>
        <v>9</v>
      </c>
    </row>
    <row r="1464">
      <c r="A1464">
        <f>IFERROR(__xludf.DUMMYFUNCTION("""COMPUTED_VALUE"""),172213.0)</f>
        <v>172213</v>
      </c>
      <c r="B1464" t="str">
        <f>IFERROR(__xludf.DUMMYFUNCTION("""COMPUTED_VALUE"""),"Reddi Wip Fat Free Whipped Topping")</f>
        <v>Reddi Wip Fat Free Whipped Topping</v>
      </c>
      <c r="C1464" t="str">
        <f>IFERROR(__xludf.DUMMYFUNCTION("""COMPUTED_VALUE"""),"Dairy and Egg Products")</f>
        <v>Dairy and Egg Products</v>
      </c>
      <c r="D1464">
        <f>IFERROR(__xludf.DUMMYFUNCTION("""COMPUTED_VALUE"""),149.0)</f>
        <v>149</v>
      </c>
      <c r="E1464">
        <f>IFERROR(__xludf.DUMMYFUNCTION("""COMPUTED_VALUE"""),5.0)</f>
        <v>5</v>
      </c>
      <c r="F1464">
        <f>IFERROR(__xludf.DUMMYFUNCTION("""COMPUTED_VALUE"""),3.0)</f>
        <v>3</v>
      </c>
      <c r="G1464">
        <f>IFERROR(__xludf.DUMMYFUNCTION("""COMPUTED_VALUE"""),25.0)</f>
        <v>25</v>
      </c>
    </row>
    <row r="1465">
      <c r="A1465">
        <f>IFERROR(__xludf.DUMMYFUNCTION("""COMPUTED_VALUE"""),172214.0)</f>
        <v>172214</v>
      </c>
      <c r="B1465" t="str">
        <f>IFERROR(__xludf.DUMMYFUNCTION("""COMPUTED_VALUE"""),"Cream Substitute Flavored Powdered")</f>
        <v>Cream Substitute Flavored Powdered</v>
      </c>
      <c r="C1465" t="str">
        <f>IFERROR(__xludf.DUMMYFUNCTION("""COMPUTED_VALUE"""),"Dairy and Egg Products")</f>
        <v>Dairy and Egg Products</v>
      </c>
      <c r="D1465">
        <f>IFERROR(__xludf.DUMMYFUNCTION("""COMPUTED_VALUE"""),482.0)</f>
        <v>482</v>
      </c>
      <c r="E1465">
        <f>IFERROR(__xludf.DUMMYFUNCTION("""COMPUTED_VALUE"""),21.47)</f>
        <v>21.47</v>
      </c>
      <c r="F1465">
        <f>IFERROR(__xludf.DUMMYFUNCTION("""COMPUTED_VALUE"""),0.68)</f>
        <v>0.68</v>
      </c>
      <c r="G1465">
        <f>IFERROR(__xludf.DUMMYFUNCTION("""COMPUTED_VALUE"""),75.42)</f>
        <v>75.42</v>
      </c>
    </row>
    <row r="1466">
      <c r="A1466">
        <f>IFERROR(__xludf.DUMMYFUNCTION("""COMPUTED_VALUE"""),172215.0)</f>
        <v>172215</v>
      </c>
      <c r="B1466" t="str">
        <f>IFERROR(__xludf.DUMMYFUNCTION("""COMPUTED_VALUE"""),"Low Fat Provolone")</f>
        <v>Low Fat Provolone</v>
      </c>
      <c r="C1466" t="str">
        <f>IFERROR(__xludf.DUMMYFUNCTION("""COMPUTED_VALUE"""),"Dairy and Egg Products")</f>
        <v>Dairy and Egg Products</v>
      </c>
      <c r="D1466">
        <f>IFERROR(__xludf.DUMMYFUNCTION("""COMPUTED_VALUE"""),274.0)</f>
        <v>274</v>
      </c>
      <c r="E1466">
        <f>IFERROR(__xludf.DUMMYFUNCTION("""COMPUTED_VALUE"""),17.6)</f>
        <v>17.6</v>
      </c>
      <c r="F1466">
        <f>IFERROR(__xludf.DUMMYFUNCTION("""COMPUTED_VALUE"""),24.7)</f>
        <v>24.7</v>
      </c>
      <c r="G1466">
        <f>IFERROR(__xludf.DUMMYFUNCTION("""COMPUTED_VALUE"""),3.5)</f>
        <v>3.5</v>
      </c>
    </row>
    <row r="1467">
      <c r="A1467">
        <f>IFERROR(__xludf.DUMMYFUNCTION("""COMPUTED_VALUE"""),172216.0)</f>
        <v>172216</v>
      </c>
      <c r="B1467" t="str">
        <f>IFERROR(__xludf.DUMMYFUNCTION("""COMPUTED_VALUE"""),"Cheese Mexican Blend Reduced Fat")</f>
        <v>Cheese Mexican Blend Reduced Fat</v>
      </c>
      <c r="C1467" t="str">
        <f>IFERROR(__xludf.DUMMYFUNCTION("""COMPUTED_VALUE"""),"Dairy and Egg Products")</f>
        <v>Dairy and Egg Products</v>
      </c>
      <c r="D1467">
        <f>IFERROR(__xludf.DUMMYFUNCTION("""COMPUTED_VALUE"""),282.0)</f>
        <v>282</v>
      </c>
      <c r="E1467">
        <f>IFERROR(__xludf.DUMMYFUNCTION("""COMPUTED_VALUE"""),19.4)</f>
        <v>19.4</v>
      </c>
      <c r="F1467">
        <f>IFERROR(__xludf.DUMMYFUNCTION("""COMPUTED_VALUE"""),24.69)</f>
        <v>24.69</v>
      </c>
      <c r="G1467">
        <f>IFERROR(__xludf.DUMMYFUNCTION("""COMPUTED_VALUE"""),3.41)</f>
        <v>3.41</v>
      </c>
    </row>
    <row r="1468">
      <c r="A1468">
        <f>IFERROR(__xludf.DUMMYFUNCTION("""COMPUTED_VALUE"""),172217.0)</f>
        <v>172217</v>
      </c>
      <c r="B1468" t="str">
        <f>IFERROR(__xludf.DUMMYFUNCTION("""COMPUTED_VALUE"""),"Milk Whole 3.25% Milkfat Without Added Vitamin A And Vitamin D")</f>
        <v>Milk Whole 3.25% Milkfat Without Added Vitamin A And Vitamin D</v>
      </c>
      <c r="C1468" t="str">
        <f>IFERROR(__xludf.DUMMYFUNCTION("""COMPUTED_VALUE"""),"Dairy and Egg Products")</f>
        <v>Dairy and Egg Products</v>
      </c>
      <c r="D1468">
        <f>IFERROR(__xludf.DUMMYFUNCTION("""COMPUTED_VALUE"""),61.0)</f>
        <v>61</v>
      </c>
      <c r="E1468">
        <f>IFERROR(__xludf.DUMMYFUNCTION("""COMPUTED_VALUE"""),3.27)</f>
        <v>3.27</v>
      </c>
      <c r="F1468">
        <f>IFERROR(__xludf.DUMMYFUNCTION("""COMPUTED_VALUE"""),3.15)</f>
        <v>3.15</v>
      </c>
      <c r="G1468">
        <f>IFERROR(__xludf.DUMMYFUNCTION("""COMPUTED_VALUE"""),4.78)</f>
        <v>4.78</v>
      </c>
    </row>
    <row r="1469">
      <c r="A1469">
        <f>IFERROR(__xludf.DUMMYFUNCTION("""COMPUTED_VALUE"""),172218.0)</f>
        <v>172218</v>
      </c>
      <c r="B1469" t="str">
        <f>IFERROR(__xludf.DUMMYFUNCTION("""COMPUTED_VALUE"""),"Yogurt Fruit Lowfat With Low Calorie Sweetener Fortified With Vitamin D")</f>
        <v>Yogurt Fruit Lowfat With Low Calorie Sweetener Fortified With Vitamin D</v>
      </c>
      <c r="C1469" t="str">
        <f>IFERROR(__xludf.DUMMYFUNCTION("""COMPUTED_VALUE"""),"Dairy and Egg Products")</f>
        <v>Dairy and Egg Products</v>
      </c>
      <c r="D1469">
        <f>IFERROR(__xludf.DUMMYFUNCTION("""COMPUTED_VALUE"""),105.0)</f>
        <v>105</v>
      </c>
      <c r="E1469">
        <f>IFERROR(__xludf.DUMMYFUNCTION("""COMPUTED_VALUE"""),1.41)</f>
        <v>1.41</v>
      </c>
      <c r="F1469">
        <f>IFERROR(__xludf.DUMMYFUNCTION("""COMPUTED_VALUE"""),4.86)</f>
        <v>4.86</v>
      </c>
      <c r="G1469">
        <f>IFERROR(__xludf.DUMMYFUNCTION("""COMPUTED_VALUE"""),18.6)</f>
        <v>18.6</v>
      </c>
    </row>
    <row r="1470">
      <c r="A1470">
        <f>IFERROR(__xludf.DUMMYFUNCTION("""COMPUTED_VALUE"""),172219.0)</f>
        <v>172219</v>
      </c>
      <c r="B1470" t="str">
        <f>IFERROR(__xludf.DUMMYFUNCTION("""COMPUTED_VALUE"""),"Yogurt Vanilla Low Fat 11 Grams Protein Per 8 Ounce Fortified With Vitamin D")</f>
        <v>Yogurt Vanilla Low Fat 11 Grams Protein Per 8 Ounce Fortified With Vitamin D</v>
      </c>
      <c r="C1470" t="str">
        <f>IFERROR(__xludf.DUMMYFUNCTION("""COMPUTED_VALUE"""),"Dairy and Egg Products")</f>
        <v>Dairy and Egg Products</v>
      </c>
      <c r="D1470">
        <f>IFERROR(__xludf.DUMMYFUNCTION("""COMPUTED_VALUE"""),85.0)</f>
        <v>85</v>
      </c>
      <c r="E1470">
        <f>IFERROR(__xludf.DUMMYFUNCTION("""COMPUTED_VALUE"""),1.25)</f>
        <v>1.25</v>
      </c>
      <c r="F1470">
        <f>IFERROR(__xludf.DUMMYFUNCTION("""COMPUTED_VALUE"""),4.93)</f>
        <v>4.93</v>
      </c>
      <c r="G1470">
        <f>IFERROR(__xludf.DUMMYFUNCTION("""COMPUTED_VALUE"""),13.8)</f>
        <v>13.8</v>
      </c>
    </row>
    <row r="1471">
      <c r="A1471">
        <f>IFERROR(__xludf.DUMMYFUNCTION("""COMPUTED_VALUE"""),172220.0)</f>
        <v>172220</v>
      </c>
      <c r="B1471" t="str">
        <f>IFERROR(__xludf.DUMMYFUNCTION("""COMPUTED_VALUE"""),"Yogurt Vanilla Or Lemon Flavor Nonfat Milk Sweetened With Low-Calorie Sweetener Fortified With Vitamin D")</f>
        <v>Yogurt Vanilla Or Lemon Flavor Nonfat Milk Sweetened With Low-Calorie Sweetener Fortified With Vitamin D</v>
      </c>
      <c r="C1471" t="str">
        <f>IFERROR(__xludf.DUMMYFUNCTION("""COMPUTED_VALUE"""),"Dairy and Egg Products")</f>
        <v>Dairy and Egg Products</v>
      </c>
      <c r="D1471">
        <f>IFERROR(__xludf.DUMMYFUNCTION("""COMPUTED_VALUE"""),43.0)</f>
        <v>43</v>
      </c>
      <c r="E1471">
        <f>IFERROR(__xludf.DUMMYFUNCTION("""COMPUTED_VALUE"""),0.18)</f>
        <v>0.18</v>
      </c>
      <c r="F1471">
        <f>IFERROR(__xludf.DUMMYFUNCTION("""COMPUTED_VALUE"""),3.86)</f>
        <v>3.86</v>
      </c>
      <c r="G1471">
        <f>IFERROR(__xludf.DUMMYFUNCTION("""COMPUTED_VALUE"""),7.5)</f>
        <v>7.5</v>
      </c>
    </row>
    <row r="1472">
      <c r="A1472">
        <f>IFERROR(__xludf.DUMMYFUNCTION("""COMPUTED_VALUE"""),172221.0)</f>
        <v>172221</v>
      </c>
      <c r="B1472" t="str">
        <f>IFERROR(__xludf.DUMMYFUNCTION("""COMPUTED_VALUE"""),"Nonfat Chocolate Yogurt")</f>
        <v>Nonfat Chocolate Yogurt</v>
      </c>
      <c r="C1472" t="str">
        <f>IFERROR(__xludf.DUMMYFUNCTION("""COMPUTED_VALUE"""),"Dairy and Egg Products")</f>
        <v>Dairy and Egg Products</v>
      </c>
      <c r="D1472">
        <f>IFERROR(__xludf.DUMMYFUNCTION("""COMPUTED_VALUE"""),112.0)</f>
        <v>112</v>
      </c>
      <c r="E1472">
        <f>IFERROR(__xludf.DUMMYFUNCTION("""COMPUTED_VALUE"""),0.0)</f>
        <v>0</v>
      </c>
      <c r="F1472">
        <f>IFERROR(__xludf.DUMMYFUNCTION("""COMPUTED_VALUE"""),3.53)</f>
        <v>3.53</v>
      </c>
      <c r="G1472">
        <f>IFERROR(__xludf.DUMMYFUNCTION("""COMPUTED_VALUE"""),23.53)</f>
        <v>23.53</v>
      </c>
    </row>
    <row r="1473">
      <c r="A1473">
        <f>IFERROR(__xludf.DUMMYFUNCTION("""COMPUTED_VALUE"""),172222.0)</f>
        <v>172222</v>
      </c>
      <c r="B1473" t="str">
        <f>IFERROR(__xludf.DUMMYFUNCTION("""COMPUTED_VALUE"""),"Cheese Dry White Queso Seco")</f>
        <v>Cheese Dry White Queso Seco</v>
      </c>
      <c r="C1473" t="str">
        <f>IFERROR(__xludf.DUMMYFUNCTION("""COMPUTED_VALUE"""),"Dairy and Egg Products")</f>
        <v>Dairy and Egg Products</v>
      </c>
      <c r="D1473">
        <f>IFERROR(__xludf.DUMMYFUNCTION("""COMPUTED_VALUE"""),325.0)</f>
        <v>325</v>
      </c>
      <c r="E1473">
        <f>IFERROR(__xludf.DUMMYFUNCTION("""COMPUTED_VALUE"""),24.35)</f>
        <v>24.35</v>
      </c>
      <c r="F1473">
        <f>IFERROR(__xludf.DUMMYFUNCTION("""COMPUTED_VALUE"""),24.51)</f>
        <v>24.51</v>
      </c>
      <c r="G1473">
        <f>IFERROR(__xludf.DUMMYFUNCTION("""COMPUTED_VALUE"""),2.04)</f>
        <v>2.04</v>
      </c>
    </row>
    <row r="1474">
      <c r="A1474">
        <f>IFERROR(__xludf.DUMMYFUNCTION("""COMPUTED_VALUE"""),172223.0)</f>
        <v>172223</v>
      </c>
      <c r="B1474" t="str">
        <f>IFERROR(__xludf.DUMMYFUNCTION("""COMPUTED_VALUE"""),"Queso Fresco")</f>
        <v>Queso Fresco</v>
      </c>
      <c r="C1474" t="str">
        <f>IFERROR(__xludf.DUMMYFUNCTION("""COMPUTED_VALUE"""),"Dairy and Egg Products")</f>
        <v>Dairy and Egg Products</v>
      </c>
      <c r="D1474">
        <f>IFERROR(__xludf.DUMMYFUNCTION("""COMPUTED_VALUE"""),299.0)</f>
        <v>299</v>
      </c>
      <c r="E1474">
        <f>IFERROR(__xludf.DUMMYFUNCTION("""COMPUTED_VALUE"""),23.82)</f>
        <v>23.82</v>
      </c>
      <c r="F1474">
        <f>IFERROR(__xludf.DUMMYFUNCTION("""COMPUTED_VALUE"""),18.09)</f>
        <v>18.09</v>
      </c>
      <c r="G1474">
        <f>IFERROR(__xludf.DUMMYFUNCTION("""COMPUTED_VALUE"""),2.98)</f>
        <v>2.98</v>
      </c>
    </row>
    <row r="1475">
      <c r="A1475">
        <f>IFERROR(__xludf.DUMMYFUNCTION("""COMPUTED_VALUE"""),172224.0)</f>
        <v>172224</v>
      </c>
      <c r="B1475" t="str">
        <f>IFERROR(__xludf.DUMMYFUNCTION("""COMPUTED_VALUE"""),"Queso Blanco")</f>
        <v>Queso Blanco</v>
      </c>
      <c r="C1475" t="str">
        <f>IFERROR(__xludf.DUMMYFUNCTION("""COMPUTED_VALUE"""),"Dairy and Egg Products")</f>
        <v>Dairy and Egg Products</v>
      </c>
      <c r="D1475">
        <f>IFERROR(__xludf.DUMMYFUNCTION("""COMPUTED_VALUE"""),310.0)</f>
        <v>310</v>
      </c>
      <c r="E1475">
        <f>IFERROR(__xludf.DUMMYFUNCTION("""COMPUTED_VALUE"""),24.31)</f>
        <v>24.31</v>
      </c>
      <c r="F1475">
        <f>IFERROR(__xludf.DUMMYFUNCTION("""COMPUTED_VALUE"""),20.38)</f>
        <v>20.38</v>
      </c>
      <c r="G1475">
        <f>IFERROR(__xludf.DUMMYFUNCTION("""COMPUTED_VALUE"""),2.53)</f>
        <v>2.53</v>
      </c>
    </row>
    <row r="1476">
      <c r="A1476">
        <f>IFERROR(__xludf.DUMMYFUNCTION("""COMPUTED_VALUE"""),172225.0)</f>
        <v>172225</v>
      </c>
      <c r="B1476" t="str">
        <f>IFERROR(__xludf.DUMMYFUNCTION("""COMPUTED_VALUE"""),"Buttermilk")</f>
        <v>Buttermilk</v>
      </c>
      <c r="C1476" t="str">
        <f>IFERROR(__xludf.DUMMYFUNCTION("""COMPUTED_VALUE"""),"Dairy and Egg Products")</f>
        <v>Dairy and Egg Products</v>
      </c>
      <c r="D1476">
        <f>IFERROR(__xludf.DUMMYFUNCTION("""COMPUTED_VALUE"""),62.0)</f>
        <v>62</v>
      </c>
      <c r="E1476">
        <f>IFERROR(__xludf.DUMMYFUNCTION("""COMPUTED_VALUE"""),3.31)</f>
        <v>3.31</v>
      </c>
      <c r="F1476">
        <f>IFERROR(__xludf.DUMMYFUNCTION("""COMPUTED_VALUE"""),3.21)</f>
        <v>3.21</v>
      </c>
      <c r="G1476">
        <f>IFERROR(__xludf.DUMMYFUNCTION("""COMPUTED_VALUE"""),4.88)</f>
        <v>4.88</v>
      </c>
    </row>
    <row r="1477">
      <c r="A1477">
        <f>IFERROR(__xludf.DUMMYFUNCTION("""COMPUTED_VALUE"""),172226.0)</f>
        <v>172226</v>
      </c>
      <c r="B1477" t="str">
        <f>IFERROR(__xludf.DUMMYFUNCTION("""COMPUTED_VALUE"""),"Ice Cream Sandwich")</f>
        <v>Ice Cream Sandwich</v>
      </c>
      <c r="C1477" t="str">
        <f>IFERROR(__xludf.DUMMYFUNCTION("""COMPUTED_VALUE"""),"Dairy and Egg Products")</f>
        <v>Dairy and Egg Products</v>
      </c>
      <c r="D1477">
        <f>IFERROR(__xludf.DUMMYFUNCTION("""COMPUTED_VALUE"""),237.0)</f>
        <v>237</v>
      </c>
      <c r="E1477">
        <f>IFERROR(__xludf.DUMMYFUNCTION("""COMPUTED_VALUE"""),8.57)</f>
        <v>8.57</v>
      </c>
      <c r="F1477">
        <f>IFERROR(__xludf.DUMMYFUNCTION("""COMPUTED_VALUE"""),4.29)</f>
        <v>4.29</v>
      </c>
      <c r="G1477">
        <f>IFERROR(__xludf.DUMMYFUNCTION("""COMPUTED_VALUE"""),37.14)</f>
        <v>37.14</v>
      </c>
    </row>
    <row r="1478">
      <c r="A1478">
        <f>IFERROR(__xludf.DUMMYFUNCTION("""COMPUTED_VALUE"""),172227.0)</f>
        <v>172227</v>
      </c>
      <c r="B1478" t="str">
        <f>IFERROR(__xludf.DUMMYFUNCTION("""COMPUTED_VALUE"""),"Ice Cream Cookie Sandwich")</f>
        <v>Ice Cream Cookie Sandwich</v>
      </c>
      <c r="C1478" t="str">
        <f>IFERROR(__xludf.DUMMYFUNCTION("""COMPUTED_VALUE"""),"Dairy and Egg Products")</f>
        <v>Dairy and Egg Products</v>
      </c>
      <c r="D1478">
        <f>IFERROR(__xludf.DUMMYFUNCTION("""COMPUTED_VALUE"""),240.0)</f>
        <v>240</v>
      </c>
      <c r="E1478">
        <f>IFERROR(__xludf.DUMMYFUNCTION("""COMPUTED_VALUE"""),7.4)</f>
        <v>7.4</v>
      </c>
      <c r="F1478">
        <f>IFERROR(__xludf.DUMMYFUNCTION("""COMPUTED_VALUE"""),3.7)</f>
        <v>3.7</v>
      </c>
      <c r="G1478">
        <f>IFERROR(__xludf.DUMMYFUNCTION("""COMPUTED_VALUE"""),39.6)</f>
        <v>39.6</v>
      </c>
    </row>
    <row r="1479">
      <c r="A1479">
        <f>IFERROR(__xludf.DUMMYFUNCTION("""COMPUTED_VALUE"""),172228.0)</f>
        <v>172228</v>
      </c>
      <c r="B1479" t="str">
        <f>IFERROR(__xludf.DUMMYFUNCTION("""COMPUTED_VALUE"""),"Ice Cream Cone Chocolate Covered With Nuts Flavors Other Than Chocolate")</f>
        <v>Ice Cream Cone Chocolate Covered With Nuts Flavors Other Than Chocolate</v>
      </c>
      <c r="C1479" t="str">
        <f>IFERROR(__xludf.DUMMYFUNCTION("""COMPUTED_VALUE"""),"Dairy and Egg Products")</f>
        <v>Dairy and Egg Products</v>
      </c>
      <c r="D1479">
        <f>IFERROR(__xludf.DUMMYFUNCTION("""COMPUTED_VALUE"""),354.0)</f>
        <v>354</v>
      </c>
      <c r="E1479">
        <f>IFERROR(__xludf.DUMMYFUNCTION("""COMPUTED_VALUE"""),21.88)</f>
        <v>21.88</v>
      </c>
      <c r="F1479">
        <f>IFERROR(__xludf.DUMMYFUNCTION("""COMPUTED_VALUE"""),5.21)</f>
        <v>5.21</v>
      </c>
      <c r="G1479">
        <f>IFERROR(__xludf.DUMMYFUNCTION("""COMPUTED_VALUE"""),34.38)</f>
        <v>34.38</v>
      </c>
    </row>
    <row r="1480">
      <c r="A1480">
        <f>IFERROR(__xludf.DUMMYFUNCTION("""COMPUTED_VALUE"""),172229.0)</f>
        <v>172229</v>
      </c>
      <c r="B1480" t="str">
        <f>IFERROR(__xludf.DUMMYFUNCTION("""COMPUTED_VALUE"""),"Ice Cream Sandwich Made With Light Ice Cream Vanilla")</f>
        <v>Ice Cream Sandwich Made With Light Ice Cream Vanilla</v>
      </c>
      <c r="C1480" t="str">
        <f>IFERROR(__xludf.DUMMYFUNCTION("""COMPUTED_VALUE"""),"Dairy and Egg Products")</f>
        <v>Dairy and Egg Products</v>
      </c>
      <c r="D1480">
        <f>IFERROR(__xludf.DUMMYFUNCTION("""COMPUTED_VALUE"""),186.0)</f>
        <v>186</v>
      </c>
      <c r="E1480">
        <f>IFERROR(__xludf.DUMMYFUNCTION("""COMPUTED_VALUE"""),3.04)</f>
        <v>3.04</v>
      </c>
      <c r="F1480">
        <f>IFERROR(__xludf.DUMMYFUNCTION("""COMPUTED_VALUE"""),4.29)</f>
        <v>4.29</v>
      </c>
      <c r="G1480">
        <f>IFERROR(__xludf.DUMMYFUNCTION("""COMPUTED_VALUE"""),39.64)</f>
        <v>39.64</v>
      </c>
    </row>
    <row r="1481">
      <c r="A1481">
        <f>IFERROR(__xludf.DUMMYFUNCTION("""COMPUTED_VALUE"""),172230.0)</f>
        <v>172230</v>
      </c>
      <c r="B1481" t="str">
        <f>IFERROR(__xludf.DUMMYFUNCTION("""COMPUTED_VALUE"""),"Ice Cream Sandwich Vanilla Light No Sugar Added")</f>
        <v>Ice Cream Sandwich Vanilla Light No Sugar Added</v>
      </c>
      <c r="C1481" t="str">
        <f>IFERROR(__xludf.DUMMYFUNCTION("""COMPUTED_VALUE"""),"Dairy and Egg Products")</f>
        <v>Dairy and Egg Products</v>
      </c>
      <c r="D1481">
        <f>IFERROR(__xludf.DUMMYFUNCTION("""COMPUTED_VALUE"""),200.0)</f>
        <v>200</v>
      </c>
      <c r="E1481">
        <f>IFERROR(__xludf.DUMMYFUNCTION("""COMPUTED_VALUE"""),2.86)</f>
        <v>2.86</v>
      </c>
      <c r="F1481">
        <f>IFERROR(__xludf.DUMMYFUNCTION("""COMPUTED_VALUE"""),5.71)</f>
        <v>5.71</v>
      </c>
      <c r="G1481">
        <f>IFERROR(__xludf.DUMMYFUNCTION("""COMPUTED_VALUE"""),42.86)</f>
        <v>42.86</v>
      </c>
    </row>
    <row r="1482">
      <c r="A1482">
        <f>IFERROR(__xludf.DUMMYFUNCTION("""COMPUTED_VALUE"""),172373.0)</f>
        <v>172373</v>
      </c>
      <c r="B1482" t="str">
        <f>IFERROR(__xludf.DUMMYFUNCTION("""COMPUTED_VALUE"""),"Raw Chicken Drumsticks")</f>
        <v>Raw Chicken Drumsticks</v>
      </c>
      <c r="C1482" t="str">
        <f>IFERROR(__xludf.DUMMYFUNCTION("""COMPUTED_VALUE"""),"Meats")</f>
        <v>Meats</v>
      </c>
      <c r="D1482">
        <f>IFERROR(__xludf.DUMMYFUNCTION("""COMPUTED_VALUE"""),161.0)</f>
        <v>161</v>
      </c>
      <c r="E1482">
        <f>IFERROR(__xludf.DUMMYFUNCTION("""COMPUTED_VALUE"""),9.2)</f>
        <v>9.2</v>
      </c>
      <c r="F1482">
        <f>IFERROR(__xludf.DUMMYFUNCTION("""COMPUTED_VALUE"""),18.08)</f>
        <v>18.08</v>
      </c>
      <c r="G1482">
        <f>IFERROR(__xludf.DUMMYFUNCTION("""COMPUTED_VALUE"""),0.11)</f>
        <v>0.11</v>
      </c>
    </row>
    <row r="1483">
      <c r="A1483">
        <f>IFERROR(__xludf.DUMMYFUNCTION("""COMPUTED_VALUE"""),172374.0)</f>
        <v>172374</v>
      </c>
      <c r="B1483" t="str">
        <f>IFERROR(__xludf.DUMMYFUNCTION("""COMPUTED_VALUE"""),"Chicken Broilers Or Fryers Drumstick Meat And Skin Cooked Fried Batter")</f>
        <v>Chicken Broilers Or Fryers Drumstick Meat And Skin Cooked Fried Batter</v>
      </c>
      <c r="C1483" t="str">
        <f>IFERROR(__xludf.DUMMYFUNCTION("""COMPUTED_VALUE"""),"Meats")</f>
        <v>Meats</v>
      </c>
      <c r="D1483">
        <f>IFERROR(__xludf.DUMMYFUNCTION("""COMPUTED_VALUE"""),268.0)</f>
        <v>268</v>
      </c>
      <c r="E1483">
        <f>IFERROR(__xludf.DUMMYFUNCTION("""COMPUTED_VALUE"""),15.75)</f>
        <v>15.75</v>
      </c>
      <c r="F1483">
        <f>IFERROR(__xludf.DUMMYFUNCTION("""COMPUTED_VALUE"""),21.95)</f>
        <v>21.95</v>
      </c>
      <c r="G1483">
        <f>IFERROR(__xludf.DUMMYFUNCTION("""COMPUTED_VALUE"""),8.28)</f>
        <v>8.28</v>
      </c>
    </row>
    <row r="1484">
      <c r="A1484">
        <f>IFERROR(__xludf.DUMMYFUNCTION("""COMPUTED_VALUE"""),172375.0)</f>
        <v>172375</v>
      </c>
      <c r="B1484" t="str">
        <f>IFERROR(__xludf.DUMMYFUNCTION("""COMPUTED_VALUE"""),"Chicken Broilers Or Fryers Drumstick Meat Only Cooked Fried")</f>
        <v>Chicken Broilers Or Fryers Drumstick Meat Only Cooked Fried</v>
      </c>
      <c r="C1484" t="str">
        <f>IFERROR(__xludf.DUMMYFUNCTION("""COMPUTED_VALUE"""),"Meats")</f>
        <v>Meats</v>
      </c>
      <c r="D1484">
        <f>IFERROR(__xludf.DUMMYFUNCTION("""COMPUTED_VALUE"""),195.0)</f>
        <v>195</v>
      </c>
      <c r="E1484">
        <f>IFERROR(__xludf.DUMMYFUNCTION("""COMPUTED_VALUE"""),8.08)</f>
        <v>8.08</v>
      </c>
      <c r="F1484">
        <f>IFERROR(__xludf.DUMMYFUNCTION("""COMPUTED_VALUE"""),28.62)</f>
        <v>28.62</v>
      </c>
      <c r="G1484">
        <f>IFERROR(__xludf.DUMMYFUNCTION("""COMPUTED_VALUE"""),0.0)</f>
        <v>0</v>
      </c>
    </row>
    <row r="1485">
      <c r="A1485">
        <f>IFERROR(__xludf.DUMMYFUNCTION("""COMPUTED_VALUE"""),172376.0)</f>
        <v>172376</v>
      </c>
      <c r="B1485" t="str">
        <f>IFERROR(__xludf.DUMMYFUNCTION("""COMPUTED_VALUE"""),"Roasted Skinless Chicken Drumstick")</f>
        <v>Roasted Skinless Chicken Drumstick</v>
      </c>
      <c r="C1485" t="str">
        <f>IFERROR(__xludf.DUMMYFUNCTION("""COMPUTED_VALUE"""),"Meats")</f>
        <v>Meats</v>
      </c>
      <c r="D1485">
        <f>IFERROR(__xludf.DUMMYFUNCTION("""COMPUTED_VALUE"""),155.0)</f>
        <v>155</v>
      </c>
      <c r="E1485">
        <f>IFERROR(__xludf.DUMMYFUNCTION("""COMPUTED_VALUE"""),5.7)</f>
        <v>5.7</v>
      </c>
      <c r="F1485">
        <f>IFERROR(__xludf.DUMMYFUNCTION("""COMPUTED_VALUE"""),24.24)</f>
        <v>24.24</v>
      </c>
      <c r="G1485">
        <f>IFERROR(__xludf.DUMMYFUNCTION("""COMPUTED_VALUE"""),0.0)</f>
        <v>0</v>
      </c>
    </row>
    <row r="1486">
      <c r="A1486">
        <f>IFERROR(__xludf.DUMMYFUNCTION("""COMPUTED_VALUE"""),172377.0)</f>
        <v>172377</v>
      </c>
      <c r="B1486" t="str">
        <f>IFERROR(__xludf.DUMMYFUNCTION("""COMPUTED_VALUE"""),"Chicken Broilers Or Fryers Drumstick Meat Only Cooked Stewed")</f>
        <v>Chicken Broilers Or Fryers Drumstick Meat Only Cooked Stewed</v>
      </c>
      <c r="C1486" t="str">
        <f>IFERROR(__xludf.DUMMYFUNCTION("""COMPUTED_VALUE"""),"Meats")</f>
        <v>Meats</v>
      </c>
      <c r="D1486">
        <f>IFERROR(__xludf.DUMMYFUNCTION("""COMPUTED_VALUE"""),169.0)</f>
        <v>169</v>
      </c>
      <c r="E1486">
        <f>IFERROR(__xludf.DUMMYFUNCTION("""COMPUTED_VALUE"""),5.71)</f>
        <v>5.71</v>
      </c>
      <c r="F1486">
        <f>IFERROR(__xludf.DUMMYFUNCTION("""COMPUTED_VALUE"""),27.5)</f>
        <v>27.5</v>
      </c>
      <c r="G1486">
        <f>IFERROR(__xludf.DUMMYFUNCTION("""COMPUTED_VALUE"""),0.0)</f>
        <v>0</v>
      </c>
    </row>
    <row r="1487">
      <c r="A1487">
        <f>IFERROR(__xludf.DUMMYFUNCTION("""COMPUTED_VALUE"""),172378.0)</f>
        <v>172378</v>
      </c>
      <c r="B1487" t="str">
        <f>IFERROR(__xludf.DUMMYFUNCTION("""COMPUTED_VALUE"""),"Raw Chicken Leg")</f>
        <v>Raw Chicken Leg</v>
      </c>
      <c r="C1487" t="str">
        <f>IFERROR(__xludf.DUMMYFUNCTION("""COMPUTED_VALUE"""),"Meats")</f>
        <v>Meats</v>
      </c>
      <c r="D1487">
        <f>IFERROR(__xludf.DUMMYFUNCTION("""COMPUTED_VALUE"""),214.0)</f>
        <v>214</v>
      </c>
      <c r="E1487">
        <f>IFERROR(__xludf.DUMMYFUNCTION("""COMPUTED_VALUE"""),15.95)</f>
        <v>15.95</v>
      </c>
      <c r="F1487">
        <f>IFERROR(__xludf.DUMMYFUNCTION("""COMPUTED_VALUE"""),16.37)</f>
        <v>16.37</v>
      </c>
      <c r="G1487">
        <f>IFERROR(__xludf.DUMMYFUNCTION("""COMPUTED_VALUE"""),0.17)</f>
        <v>0.17</v>
      </c>
    </row>
    <row r="1488">
      <c r="A1488">
        <f>IFERROR(__xludf.DUMMYFUNCTION("""COMPUTED_VALUE"""),172379.0)</f>
        <v>172379</v>
      </c>
      <c r="B1488" t="str">
        <f>IFERROR(__xludf.DUMMYFUNCTION("""COMPUTED_VALUE"""),"Chicken Broilers Or Fryers Leg Meat Only Cooked Fried")</f>
        <v>Chicken Broilers Or Fryers Leg Meat Only Cooked Fried</v>
      </c>
      <c r="C1488" t="str">
        <f>IFERROR(__xludf.DUMMYFUNCTION("""COMPUTED_VALUE"""),"Meats")</f>
        <v>Meats</v>
      </c>
      <c r="D1488">
        <f>IFERROR(__xludf.DUMMYFUNCTION("""COMPUTED_VALUE"""),208.0)</f>
        <v>208</v>
      </c>
      <c r="E1488">
        <f>IFERROR(__xludf.DUMMYFUNCTION("""COMPUTED_VALUE"""),9.32)</f>
        <v>9.32</v>
      </c>
      <c r="F1488">
        <f>IFERROR(__xludf.DUMMYFUNCTION("""COMPUTED_VALUE"""),28.38)</f>
        <v>28.38</v>
      </c>
      <c r="G1488">
        <f>IFERROR(__xludf.DUMMYFUNCTION("""COMPUTED_VALUE"""),0.65)</f>
        <v>0.65</v>
      </c>
    </row>
    <row r="1489">
      <c r="A1489">
        <f>IFERROR(__xludf.DUMMYFUNCTION("""COMPUTED_VALUE"""),172380.0)</f>
        <v>172380</v>
      </c>
      <c r="B1489" t="str">
        <f>IFERROR(__xludf.DUMMYFUNCTION("""COMPUTED_VALUE"""),"Roasted Boneless Skinless Chicken Leg")</f>
        <v>Roasted Boneless Skinless Chicken Leg</v>
      </c>
      <c r="C1489" t="str">
        <f>IFERROR(__xludf.DUMMYFUNCTION("""COMPUTED_VALUE"""),"Meats")</f>
        <v>Meats</v>
      </c>
      <c r="D1489">
        <f>IFERROR(__xludf.DUMMYFUNCTION("""COMPUTED_VALUE"""),174.0)</f>
        <v>174</v>
      </c>
      <c r="E1489">
        <f>IFERROR(__xludf.DUMMYFUNCTION("""COMPUTED_VALUE"""),7.8)</f>
        <v>7.8</v>
      </c>
      <c r="F1489">
        <f>IFERROR(__xludf.DUMMYFUNCTION("""COMPUTED_VALUE"""),24.22)</f>
        <v>24.22</v>
      </c>
      <c r="G1489">
        <f>IFERROR(__xludf.DUMMYFUNCTION("""COMPUTED_VALUE"""),0.0)</f>
        <v>0</v>
      </c>
    </row>
    <row r="1490">
      <c r="A1490">
        <f>IFERROR(__xludf.DUMMYFUNCTION("""COMPUTED_VALUE"""),172381.0)</f>
        <v>172381</v>
      </c>
      <c r="B1490" t="str">
        <f>IFERROR(__xludf.DUMMYFUNCTION("""COMPUTED_VALUE"""),"Chicken Broilers Or Fryers Leg Meat Only Cooked Stewed")</f>
        <v>Chicken Broilers Or Fryers Leg Meat Only Cooked Stewed</v>
      </c>
      <c r="C1490" t="str">
        <f>IFERROR(__xludf.DUMMYFUNCTION("""COMPUTED_VALUE"""),"Meats")</f>
        <v>Meats</v>
      </c>
      <c r="D1490">
        <f>IFERROR(__xludf.DUMMYFUNCTION("""COMPUTED_VALUE"""),185.0)</f>
        <v>185</v>
      </c>
      <c r="E1490">
        <f>IFERROR(__xludf.DUMMYFUNCTION("""COMPUTED_VALUE"""),8.06)</f>
        <v>8.06</v>
      </c>
      <c r="F1490">
        <f>IFERROR(__xludf.DUMMYFUNCTION("""COMPUTED_VALUE"""),26.26)</f>
        <v>26.26</v>
      </c>
      <c r="G1490">
        <f>IFERROR(__xludf.DUMMYFUNCTION("""COMPUTED_VALUE"""),0.0)</f>
        <v>0</v>
      </c>
    </row>
    <row r="1491">
      <c r="A1491">
        <f>IFERROR(__xludf.DUMMYFUNCTION("""COMPUTED_VALUE"""),172382.0)</f>
        <v>172382</v>
      </c>
      <c r="B1491" t="str">
        <f>IFERROR(__xludf.DUMMYFUNCTION("""COMPUTED_VALUE"""),"Chicken Broilers Or Fryers Neck Meat And Skin Raw")</f>
        <v>Chicken Broilers Or Fryers Neck Meat And Skin Raw</v>
      </c>
      <c r="C1491" t="str">
        <f>IFERROR(__xludf.DUMMYFUNCTION("""COMPUTED_VALUE"""),"Meats")</f>
        <v>Meats</v>
      </c>
      <c r="D1491">
        <f>IFERROR(__xludf.DUMMYFUNCTION("""COMPUTED_VALUE"""),297.0)</f>
        <v>297</v>
      </c>
      <c r="E1491">
        <f>IFERROR(__xludf.DUMMYFUNCTION("""COMPUTED_VALUE"""),26.24)</f>
        <v>26.24</v>
      </c>
      <c r="F1491">
        <f>IFERROR(__xludf.DUMMYFUNCTION("""COMPUTED_VALUE"""),14.07)</f>
        <v>14.07</v>
      </c>
      <c r="G1491">
        <f>IFERROR(__xludf.DUMMYFUNCTION("""COMPUTED_VALUE"""),0.0)</f>
        <v>0</v>
      </c>
    </row>
    <row r="1492">
      <c r="A1492">
        <f>IFERROR(__xludf.DUMMYFUNCTION("""COMPUTED_VALUE"""),172383.0)</f>
        <v>172383</v>
      </c>
      <c r="B1492" t="str">
        <f>IFERROR(__xludf.DUMMYFUNCTION("""COMPUTED_VALUE"""),"Chicken Broilers Or Fryers Neck Meat Only Cooked Fried")</f>
        <v>Chicken Broilers Or Fryers Neck Meat Only Cooked Fried</v>
      </c>
      <c r="C1492" t="str">
        <f>IFERROR(__xludf.DUMMYFUNCTION("""COMPUTED_VALUE"""),"Meats")</f>
        <v>Meats</v>
      </c>
      <c r="D1492">
        <f>IFERROR(__xludf.DUMMYFUNCTION("""COMPUTED_VALUE"""),229.0)</f>
        <v>229</v>
      </c>
      <c r="E1492">
        <f>IFERROR(__xludf.DUMMYFUNCTION("""COMPUTED_VALUE"""),11.88)</f>
        <v>11.88</v>
      </c>
      <c r="F1492">
        <f>IFERROR(__xludf.DUMMYFUNCTION("""COMPUTED_VALUE"""),26.87)</f>
        <v>26.87</v>
      </c>
      <c r="G1492">
        <f>IFERROR(__xludf.DUMMYFUNCTION("""COMPUTED_VALUE"""),1.77)</f>
        <v>1.77</v>
      </c>
    </row>
    <row r="1493">
      <c r="A1493">
        <f>IFERROR(__xludf.DUMMYFUNCTION("""COMPUTED_VALUE"""),172384.0)</f>
        <v>172384</v>
      </c>
      <c r="B1493" t="str">
        <f>IFERROR(__xludf.DUMMYFUNCTION("""COMPUTED_VALUE"""),"Chicken Broilers Or Fryers Neck Meat Only Cooked Simmered")</f>
        <v>Chicken Broilers Or Fryers Neck Meat Only Cooked Simmered</v>
      </c>
      <c r="C1493" t="str">
        <f>IFERROR(__xludf.DUMMYFUNCTION("""COMPUTED_VALUE"""),"Meats")</f>
        <v>Meats</v>
      </c>
      <c r="D1493">
        <f>IFERROR(__xludf.DUMMYFUNCTION("""COMPUTED_VALUE"""),179.0)</f>
        <v>179</v>
      </c>
      <c r="E1493">
        <f>IFERROR(__xludf.DUMMYFUNCTION("""COMPUTED_VALUE"""),8.18)</f>
        <v>8.18</v>
      </c>
      <c r="F1493">
        <f>IFERROR(__xludf.DUMMYFUNCTION("""COMPUTED_VALUE"""),24.56)</f>
        <v>24.56</v>
      </c>
      <c r="G1493">
        <f>IFERROR(__xludf.DUMMYFUNCTION("""COMPUTED_VALUE"""),0.0)</f>
        <v>0</v>
      </c>
    </row>
    <row r="1494">
      <c r="A1494">
        <f>IFERROR(__xludf.DUMMYFUNCTION("""COMPUTED_VALUE"""),172385.0)</f>
        <v>172385</v>
      </c>
      <c r="B1494" t="str">
        <f>IFERROR(__xludf.DUMMYFUNCTION("""COMPUTED_VALUE"""),"Raw Chicken Thigh")</f>
        <v>Raw Chicken Thigh</v>
      </c>
      <c r="C1494" t="str">
        <f>IFERROR(__xludf.DUMMYFUNCTION("""COMPUTED_VALUE"""),"Meats")</f>
        <v>Meats</v>
      </c>
      <c r="D1494">
        <f>IFERROR(__xludf.DUMMYFUNCTION("""COMPUTED_VALUE"""),221.0)</f>
        <v>221</v>
      </c>
      <c r="E1494">
        <f>IFERROR(__xludf.DUMMYFUNCTION("""COMPUTED_VALUE"""),16.61)</f>
        <v>16.61</v>
      </c>
      <c r="F1494">
        <f>IFERROR(__xludf.DUMMYFUNCTION("""COMPUTED_VALUE"""),16.52)</f>
        <v>16.52</v>
      </c>
      <c r="G1494">
        <f>IFERROR(__xludf.DUMMYFUNCTION("""COMPUTED_VALUE"""),0.25)</f>
        <v>0.25</v>
      </c>
    </row>
    <row r="1495">
      <c r="A1495">
        <f>IFERROR(__xludf.DUMMYFUNCTION("""COMPUTED_VALUE"""),172386.0)</f>
        <v>172386</v>
      </c>
      <c r="B1495" t="str">
        <f>IFERROR(__xludf.DUMMYFUNCTION("""COMPUTED_VALUE"""),"Chicken Broilers Or Fryers Thigh Meat And Skin Cooked Fried Batter")</f>
        <v>Chicken Broilers Or Fryers Thigh Meat And Skin Cooked Fried Batter</v>
      </c>
      <c r="C1495" t="str">
        <f>IFERROR(__xludf.DUMMYFUNCTION("""COMPUTED_VALUE"""),"Meats")</f>
        <v>Meats</v>
      </c>
      <c r="D1495">
        <f>IFERROR(__xludf.DUMMYFUNCTION("""COMPUTED_VALUE"""),277.0)</f>
        <v>277</v>
      </c>
      <c r="E1495">
        <f>IFERROR(__xludf.DUMMYFUNCTION("""COMPUTED_VALUE"""),16.53)</f>
        <v>16.53</v>
      </c>
      <c r="F1495">
        <f>IFERROR(__xludf.DUMMYFUNCTION("""COMPUTED_VALUE"""),21.61)</f>
        <v>21.61</v>
      </c>
      <c r="G1495">
        <f>IFERROR(__xludf.DUMMYFUNCTION("""COMPUTED_VALUE"""),9.08)</f>
        <v>9.08</v>
      </c>
    </row>
    <row r="1496">
      <c r="A1496">
        <f>IFERROR(__xludf.DUMMYFUNCTION("""COMPUTED_VALUE"""),172387.0)</f>
        <v>172387</v>
      </c>
      <c r="B1496" t="str">
        <f>IFERROR(__xludf.DUMMYFUNCTION("""COMPUTED_VALUE"""),"Chicken Broilers Or Fryers Thigh Meat Only Cooked Fried")</f>
        <v>Chicken Broilers Or Fryers Thigh Meat Only Cooked Fried</v>
      </c>
      <c r="C1496" t="str">
        <f>IFERROR(__xludf.DUMMYFUNCTION("""COMPUTED_VALUE"""),"Meats")</f>
        <v>Meats</v>
      </c>
      <c r="D1496">
        <f>IFERROR(__xludf.DUMMYFUNCTION("""COMPUTED_VALUE"""),218.0)</f>
        <v>218</v>
      </c>
      <c r="E1496">
        <f>IFERROR(__xludf.DUMMYFUNCTION("""COMPUTED_VALUE"""),10.3)</f>
        <v>10.3</v>
      </c>
      <c r="F1496">
        <f>IFERROR(__xludf.DUMMYFUNCTION("""COMPUTED_VALUE"""),28.18)</f>
        <v>28.18</v>
      </c>
      <c r="G1496">
        <f>IFERROR(__xludf.DUMMYFUNCTION("""COMPUTED_VALUE"""),1.18)</f>
        <v>1.18</v>
      </c>
    </row>
    <row r="1497">
      <c r="A1497">
        <f>IFERROR(__xludf.DUMMYFUNCTION("""COMPUTED_VALUE"""),172388.0)</f>
        <v>172388</v>
      </c>
      <c r="B1497" t="str">
        <f>IFERROR(__xludf.DUMMYFUNCTION("""COMPUTED_VALUE"""),"Roasted Boneless Skinless Thigh Meat")</f>
        <v>Roasted Boneless Skinless Thigh Meat</v>
      </c>
      <c r="C1497" t="str">
        <f>IFERROR(__xludf.DUMMYFUNCTION("""COMPUTED_VALUE"""),"Meats")</f>
        <v>Meats</v>
      </c>
      <c r="D1497">
        <f>IFERROR(__xludf.DUMMYFUNCTION("""COMPUTED_VALUE"""),179.0)</f>
        <v>179</v>
      </c>
      <c r="E1497">
        <f>IFERROR(__xludf.DUMMYFUNCTION("""COMPUTED_VALUE"""),8.15)</f>
        <v>8.15</v>
      </c>
      <c r="F1497">
        <f>IFERROR(__xludf.DUMMYFUNCTION("""COMPUTED_VALUE"""),24.76)</f>
        <v>24.76</v>
      </c>
      <c r="G1497">
        <f>IFERROR(__xludf.DUMMYFUNCTION("""COMPUTED_VALUE"""),0.0)</f>
        <v>0</v>
      </c>
    </row>
    <row r="1498">
      <c r="A1498">
        <f>IFERROR(__xludf.DUMMYFUNCTION("""COMPUTED_VALUE"""),172389.0)</f>
        <v>172389</v>
      </c>
      <c r="B1498" t="str">
        <f>IFERROR(__xludf.DUMMYFUNCTION("""COMPUTED_VALUE"""),"Chicken Broilers Or Fryers Thigh Meat Only Cooked Stewed")</f>
        <v>Chicken Broilers Or Fryers Thigh Meat Only Cooked Stewed</v>
      </c>
      <c r="C1498" t="str">
        <f>IFERROR(__xludf.DUMMYFUNCTION("""COMPUTED_VALUE"""),"Meats")</f>
        <v>Meats</v>
      </c>
      <c r="D1498">
        <f>IFERROR(__xludf.DUMMYFUNCTION("""COMPUTED_VALUE"""),195.0)</f>
        <v>195</v>
      </c>
      <c r="E1498">
        <f>IFERROR(__xludf.DUMMYFUNCTION("""COMPUTED_VALUE"""),9.79)</f>
        <v>9.79</v>
      </c>
      <c r="F1498">
        <f>IFERROR(__xludf.DUMMYFUNCTION("""COMPUTED_VALUE"""),25.0)</f>
        <v>25</v>
      </c>
      <c r="G1498">
        <f>IFERROR(__xludf.DUMMYFUNCTION("""COMPUTED_VALUE"""),0.0)</f>
        <v>0</v>
      </c>
    </row>
    <row r="1499">
      <c r="A1499">
        <f>IFERROR(__xludf.DUMMYFUNCTION("""COMPUTED_VALUE"""),172390.0)</f>
        <v>172390</v>
      </c>
      <c r="B1499" t="str">
        <f>IFERROR(__xludf.DUMMYFUNCTION("""COMPUTED_VALUE"""),"Raw Chicken Wings")</f>
        <v>Raw Chicken Wings</v>
      </c>
      <c r="C1499" t="str">
        <f>IFERROR(__xludf.DUMMYFUNCTION("""COMPUTED_VALUE"""),"Meats")</f>
        <v>Meats</v>
      </c>
      <c r="D1499">
        <f>IFERROR(__xludf.DUMMYFUNCTION("""COMPUTED_VALUE"""),191.0)</f>
        <v>191</v>
      </c>
      <c r="E1499">
        <f>IFERROR(__xludf.DUMMYFUNCTION("""COMPUTED_VALUE"""),12.85)</f>
        <v>12.85</v>
      </c>
      <c r="F1499">
        <f>IFERROR(__xludf.DUMMYFUNCTION("""COMPUTED_VALUE"""),17.52)</f>
        <v>17.52</v>
      </c>
      <c r="G1499">
        <f>IFERROR(__xludf.DUMMYFUNCTION("""COMPUTED_VALUE"""),0.0)</f>
        <v>0</v>
      </c>
    </row>
    <row r="1500">
      <c r="A1500">
        <f>IFERROR(__xludf.DUMMYFUNCTION("""COMPUTED_VALUE"""),172391.0)</f>
        <v>172391</v>
      </c>
      <c r="B1500" t="str">
        <f>IFERROR(__xludf.DUMMYFUNCTION("""COMPUTED_VALUE"""),"Chicken Broilers Or Fryers Wing Meat Only Cooked Fried")</f>
        <v>Chicken Broilers Or Fryers Wing Meat Only Cooked Fried</v>
      </c>
      <c r="C1500" t="str">
        <f>IFERROR(__xludf.DUMMYFUNCTION("""COMPUTED_VALUE"""),"Meats")</f>
        <v>Meats</v>
      </c>
      <c r="D1500">
        <f>IFERROR(__xludf.DUMMYFUNCTION("""COMPUTED_VALUE"""),211.0)</f>
        <v>211</v>
      </c>
      <c r="E1500">
        <f>IFERROR(__xludf.DUMMYFUNCTION("""COMPUTED_VALUE"""),9.15)</f>
        <v>9.15</v>
      </c>
      <c r="F1500">
        <f>IFERROR(__xludf.DUMMYFUNCTION("""COMPUTED_VALUE"""),30.15)</f>
        <v>30.15</v>
      </c>
      <c r="G1500">
        <f>IFERROR(__xludf.DUMMYFUNCTION("""COMPUTED_VALUE"""),0.0)</f>
        <v>0</v>
      </c>
    </row>
    <row r="1501">
      <c r="A1501">
        <f>IFERROR(__xludf.DUMMYFUNCTION("""COMPUTED_VALUE"""),172392.0)</f>
        <v>172392</v>
      </c>
      <c r="B1501" t="str">
        <f>IFERROR(__xludf.DUMMYFUNCTION("""COMPUTED_VALUE"""),"Chicken Broilers Or Fryers Wing Meat Only Cooked Roasted")</f>
        <v>Chicken Broilers Or Fryers Wing Meat Only Cooked Roasted</v>
      </c>
      <c r="C1501" t="str">
        <f>IFERROR(__xludf.DUMMYFUNCTION("""COMPUTED_VALUE"""),"Meats")</f>
        <v>Meats</v>
      </c>
      <c r="D1501">
        <f>IFERROR(__xludf.DUMMYFUNCTION("""COMPUTED_VALUE"""),203.0)</f>
        <v>203</v>
      </c>
      <c r="E1501">
        <f>IFERROR(__xludf.DUMMYFUNCTION("""COMPUTED_VALUE"""),8.13)</f>
        <v>8.13</v>
      </c>
      <c r="F1501">
        <f>IFERROR(__xludf.DUMMYFUNCTION("""COMPUTED_VALUE"""),30.46)</f>
        <v>30.46</v>
      </c>
      <c r="G1501">
        <f>IFERROR(__xludf.DUMMYFUNCTION("""COMPUTED_VALUE"""),0.0)</f>
        <v>0</v>
      </c>
    </row>
    <row r="1502">
      <c r="A1502">
        <f>IFERROR(__xludf.DUMMYFUNCTION("""COMPUTED_VALUE"""),172393.0)</f>
        <v>172393</v>
      </c>
      <c r="B1502" t="str">
        <f>IFERROR(__xludf.DUMMYFUNCTION("""COMPUTED_VALUE"""),"Chicken Broilers Or Fryers Wing Meat Only Cooked Stewed")</f>
        <v>Chicken Broilers Or Fryers Wing Meat Only Cooked Stewed</v>
      </c>
      <c r="C1502" t="str">
        <f>IFERROR(__xludf.DUMMYFUNCTION("""COMPUTED_VALUE"""),"Meats")</f>
        <v>Meats</v>
      </c>
      <c r="D1502">
        <f>IFERROR(__xludf.DUMMYFUNCTION("""COMPUTED_VALUE"""),181.0)</f>
        <v>181</v>
      </c>
      <c r="E1502">
        <f>IFERROR(__xludf.DUMMYFUNCTION("""COMPUTED_VALUE"""),7.18)</f>
        <v>7.18</v>
      </c>
      <c r="F1502">
        <f>IFERROR(__xludf.DUMMYFUNCTION("""COMPUTED_VALUE"""),27.18)</f>
        <v>27.18</v>
      </c>
      <c r="G1502">
        <f>IFERROR(__xludf.DUMMYFUNCTION("""COMPUTED_VALUE"""),0.0)</f>
        <v>0</v>
      </c>
    </row>
    <row r="1503">
      <c r="A1503">
        <f>IFERROR(__xludf.DUMMYFUNCTION("""COMPUTED_VALUE"""),172394.0)</f>
        <v>172394</v>
      </c>
      <c r="B1503" t="str">
        <f>IFERROR(__xludf.DUMMYFUNCTION("""COMPUTED_VALUE"""),"Chicken Roasting Meat And Skin And Giblets And Neck Raw")</f>
        <v>Chicken Roasting Meat And Skin And Giblets And Neck Raw</v>
      </c>
      <c r="C1503" t="str">
        <f>IFERROR(__xludf.DUMMYFUNCTION("""COMPUTED_VALUE"""),"Meats")</f>
        <v>Meats</v>
      </c>
      <c r="D1503">
        <f>IFERROR(__xludf.DUMMYFUNCTION("""COMPUTED_VALUE"""),213.0)</f>
        <v>213</v>
      </c>
      <c r="E1503">
        <f>IFERROR(__xludf.DUMMYFUNCTION("""COMPUTED_VALUE"""),15.46)</f>
        <v>15.46</v>
      </c>
      <c r="F1503">
        <f>IFERROR(__xludf.DUMMYFUNCTION("""COMPUTED_VALUE"""),17.09)</f>
        <v>17.09</v>
      </c>
      <c r="G1503">
        <f>IFERROR(__xludf.DUMMYFUNCTION("""COMPUTED_VALUE"""),0.09)</f>
        <v>0.09</v>
      </c>
    </row>
    <row r="1504">
      <c r="A1504">
        <f>IFERROR(__xludf.DUMMYFUNCTION("""COMPUTED_VALUE"""),172395.0)</f>
        <v>172395</v>
      </c>
      <c r="B1504" t="str">
        <f>IFERROR(__xludf.DUMMYFUNCTION("""COMPUTED_VALUE"""),"Chicken Roasting Meat Only Cooked Roasted")</f>
        <v>Chicken Roasting Meat Only Cooked Roasted</v>
      </c>
      <c r="C1504" t="str">
        <f>IFERROR(__xludf.DUMMYFUNCTION("""COMPUTED_VALUE"""),"Meats")</f>
        <v>Meats</v>
      </c>
      <c r="D1504">
        <f>IFERROR(__xludf.DUMMYFUNCTION("""COMPUTED_VALUE"""),167.0)</f>
        <v>167</v>
      </c>
      <c r="E1504">
        <f>IFERROR(__xludf.DUMMYFUNCTION("""COMPUTED_VALUE"""),6.63)</f>
        <v>6.63</v>
      </c>
      <c r="F1504">
        <f>IFERROR(__xludf.DUMMYFUNCTION("""COMPUTED_VALUE"""),25.01)</f>
        <v>25.01</v>
      </c>
      <c r="G1504">
        <f>IFERROR(__xludf.DUMMYFUNCTION("""COMPUTED_VALUE"""),0.0)</f>
        <v>0</v>
      </c>
    </row>
    <row r="1505">
      <c r="A1505">
        <f>IFERROR(__xludf.DUMMYFUNCTION("""COMPUTED_VALUE"""),172396.0)</f>
        <v>172396</v>
      </c>
      <c r="B1505" t="str">
        <f>IFERROR(__xludf.DUMMYFUNCTION("""COMPUTED_VALUE"""),"Chicken Roasting Giblets Raw")</f>
        <v>Chicken Roasting Giblets Raw</v>
      </c>
      <c r="C1505" t="str">
        <f>IFERROR(__xludf.DUMMYFUNCTION("""COMPUTED_VALUE"""),"Meats")</f>
        <v>Meats</v>
      </c>
      <c r="D1505">
        <f>IFERROR(__xludf.DUMMYFUNCTION("""COMPUTED_VALUE"""),127.0)</f>
        <v>127</v>
      </c>
      <c r="E1505">
        <f>IFERROR(__xludf.DUMMYFUNCTION("""COMPUTED_VALUE"""),5.04)</f>
        <v>5.04</v>
      </c>
      <c r="F1505">
        <f>IFERROR(__xludf.DUMMYFUNCTION("""COMPUTED_VALUE"""),18.14)</f>
        <v>18.14</v>
      </c>
      <c r="G1505">
        <f>IFERROR(__xludf.DUMMYFUNCTION("""COMPUTED_VALUE"""),1.14)</f>
        <v>1.14</v>
      </c>
    </row>
    <row r="1506">
      <c r="A1506">
        <f>IFERROR(__xludf.DUMMYFUNCTION("""COMPUTED_VALUE"""),172397.0)</f>
        <v>172397</v>
      </c>
      <c r="B1506" t="str">
        <f>IFERROR(__xludf.DUMMYFUNCTION("""COMPUTED_VALUE"""),"Chicken Roasting Giblets Cooked Simmered")</f>
        <v>Chicken Roasting Giblets Cooked Simmered</v>
      </c>
      <c r="C1506" t="str">
        <f>IFERROR(__xludf.DUMMYFUNCTION("""COMPUTED_VALUE"""),"Meats")</f>
        <v>Meats</v>
      </c>
      <c r="D1506">
        <f>IFERROR(__xludf.DUMMYFUNCTION("""COMPUTED_VALUE"""),165.0)</f>
        <v>165</v>
      </c>
      <c r="E1506">
        <f>IFERROR(__xludf.DUMMYFUNCTION("""COMPUTED_VALUE"""),5.22)</f>
        <v>5.22</v>
      </c>
      <c r="F1506">
        <f>IFERROR(__xludf.DUMMYFUNCTION("""COMPUTED_VALUE"""),26.77)</f>
        <v>26.77</v>
      </c>
      <c r="G1506">
        <f>IFERROR(__xludf.DUMMYFUNCTION("""COMPUTED_VALUE"""),0.86)</f>
        <v>0.86</v>
      </c>
    </row>
    <row r="1507">
      <c r="A1507">
        <f>IFERROR(__xludf.DUMMYFUNCTION("""COMPUTED_VALUE"""),172398.0)</f>
        <v>172398</v>
      </c>
      <c r="B1507" t="str">
        <f>IFERROR(__xludf.DUMMYFUNCTION("""COMPUTED_VALUE"""),"Chicken Roasting Light Meat Meat Only Raw")</f>
        <v>Chicken Roasting Light Meat Meat Only Raw</v>
      </c>
      <c r="C1507" t="str">
        <f>IFERROR(__xludf.DUMMYFUNCTION("""COMPUTED_VALUE"""),"Meats")</f>
        <v>Meats</v>
      </c>
      <c r="D1507">
        <f>IFERROR(__xludf.DUMMYFUNCTION("""COMPUTED_VALUE"""),109.0)</f>
        <v>109</v>
      </c>
      <c r="E1507">
        <f>IFERROR(__xludf.DUMMYFUNCTION("""COMPUTED_VALUE"""),1.63)</f>
        <v>1.63</v>
      </c>
      <c r="F1507">
        <f>IFERROR(__xludf.DUMMYFUNCTION("""COMPUTED_VALUE"""),22.2)</f>
        <v>22.2</v>
      </c>
      <c r="G1507">
        <f>IFERROR(__xludf.DUMMYFUNCTION("""COMPUTED_VALUE"""),0.0)</f>
        <v>0</v>
      </c>
    </row>
    <row r="1508">
      <c r="A1508">
        <f>IFERROR(__xludf.DUMMYFUNCTION("""COMPUTED_VALUE"""),172399.0)</f>
        <v>172399</v>
      </c>
      <c r="B1508" t="str">
        <f>IFERROR(__xludf.DUMMYFUNCTION("""COMPUTED_VALUE"""),"Chicken Stewing Meat And Skin And Giblets And Neck Cooked Stewed")</f>
        <v>Chicken Stewing Meat And Skin And Giblets And Neck Cooked Stewed</v>
      </c>
      <c r="C1508" t="str">
        <f>IFERROR(__xludf.DUMMYFUNCTION("""COMPUTED_VALUE"""),"Meats")</f>
        <v>Meats</v>
      </c>
      <c r="D1508">
        <f>IFERROR(__xludf.DUMMYFUNCTION("""COMPUTED_VALUE"""),214.0)</f>
        <v>214</v>
      </c>
      <c r="E1508">
        <f>IFERROR(__xludf.DUMMYFUNCTION("""COMPUTED_VALUE"""),11.91)</f>
        <v>11.91</v>
      </c>
      <c r="F1508">
        <f>IFERROR(__xludf.DUMMYFUNCTION("""COMPUTED_VALUE"""),24.88)</f>
        <v>24.88</v>
      </c>
      <c r="G1508">
        <f>IFERROR(__xludf.DUMMYFUNCTION("""COMPUTED_VALUE"""),0.0)</f>
        <v>0</v>
      </c>
    </row>
    <row r="1509">
      <c r="A1509">
        <f>IFERROR(__xludf.DUMMYFUNCTION("""COMPUTED_VALUE"""),172400.0)</f>
        <v>172400</v>
      </c>
      <c r="B1509" t="str">
        <f>IFERROR(__xludf.DUMMYFUNCTION("""COMPUTED_VALUE"""),"Chicken Stewing Meat And Skin Raw")</f>
        <v>Chicken Stewing Meat And Skin Raw</v>
      </c>
      <c r="C1509" t="str">
        <f>IFERROR(__xludf.DUMMYFUNCTION("""COMPUTED_VALUE"""),"Meats")</f>
        <v>Meats</v>
      </c>
      <c r="D1509">
        <f>IFERROR(__xludf.DUMMYFUNCTION("""COMPUTED_VALUE"""),258.0)</f>
        <v>258</v>
      </c>
      <c r="E1509">
        <f>IFERROR(__xludf.DUMMYFUNCTION("""COMPUTED_VALUE"""),20.33)</f>
        <v>20.33</v>
      </c>
      <c r="F1509">
        <f>IFERROR(__xludf.DUMMYFUNCTION("""COMPUTED_VALUE"""),17.55)</f>
        <v>17.55</v>
      </c>
      <c r="G1509">
        <f>IFERROR(__xludf.DUMMYFUNCTION("""COMPUTED_VALUE"""),0.0)</f>
        <v>0</v>
      </c>
    </row>
    <row r="1510">
      <c r="A1510">
        <f>IFERROR(__xludf.DUMMYFUNCTION("""COMPUTED_VALUE"""),172401.0)</f>
        <v>172401</v>
      </c>
      <c r="B1510" t="str">
        <f>IFERROR(__xludf.DUMMYFUNCTION("""COMPUTED_VALUE"""),"Chicken Stewing Meat And Skin Cooked Stewed")</f>
        <v>Chicken Stewing Meat And Skin Cooked Stewed</v>
      </c>
      <c r="C1510" t="str">
        <f>IFERROR(__xludf.DUMMYFUNCTION("""COMPUTED_VALUE"""),"Meats")</f>
        <v>Meats</v>
      </c>
      <c r="D1510">
        <f>IFERROR(__xludf.DUMMYFUNCTION("""COMPUTED_VALUE"""),285.0)</f>
        <v>285</v>
      </c>
      <c r="E1510">
        <f>IFERROR(__xludf.DUMMYFUNCTION("""COMPUTED_VALUE"""),18.87)</f>
        <v>18.87</v>
      </c>
      <c r="F1510">
        <f>IFERROR(__xludf.DUMMYFUNCTION("""COMPUTED_VALUE"""),26.88)</f>
        <v>26.88</v>
      </c>
      <c r="G1510">
        <f>IFERROR(__xludf.DUMMYFUNCTION("""COMPUTED_VALUE"""),0.0)</f>
        <v>0</v>
      </c>
    </row>
    <row r="1511">
      <c r="A1511">
        <f>IFERROR(__xludf.DUMMYFUNCTION("""COMPUTED_VALUE"""),172402.0)</f>
        <v>172402</v>
      </c>
      <c r="B1511" t="str">
        <f>IFERROR(__xludf.DUMMYFUNCTION("""COMPUTED_VALUE"""),"Chicken Stewing Meat Only Raw")</f>
        <v>Chicken Stewing Meat Only Raw</v>
      </c>
      <c r="C1511" t="str">
        <f>IFERROR(__xludf.DUMMYFUNCTION("""COMPUTED_VALUE"""),"Meats")</f>
        <v>Meats</v>
      </c>
      <c r="D1511">
        <f>IFERROR(__xludf.DUMMYFUNCTION("""COMPUTED_VALUE"""),148.0)</f>
        <v>148</v>
      </c>
      <c r="E1511">
        <f>IFERROR(__xludf.DUMMYFUNCTION("""COMPUTED_VALUE"""),6.32)</f>
        <v>6.32</v>
      </c>
      <c r="F1511">
        <f>IFERROR(__xludf.DUMMYFUNCTION("""COMPUTED_VALUE"""),21.26)</f>
        <v>21.26</v>
      </c>
      <c r="G1511">
        <f>IFERROR(__xludf.DUMMYFUNCTION("""COMPUTED_VALUE"""),0.0)</f>
        <v>0</v>
      </c>
    </row>
    <row r="1512">
      <c r="A1512">
        <f>IFERROR(__xludf.DUMMYFUNCTION("""COMPUTED_VALUE"""),172403.0)</f>
        <v>172403</v>
      </c>
      <c r="B1512" t="str">
        <f>IFERROR(__xludf.DUMMYFUNCTION("""COMPUTED_VALUE"""),"Chicken Stewing Meat Only Cooked Stewed")</f>
        <v>Chicken Stewing Meat Only Cooked Stewed</v>
      </c>
      <c r="C1512" t="str">
        <f>IFERROR(__xludf.DUMMYFUNCTION("""COMPUTED_VALUE"""),"Meats")</f>
        <v>Meats</v>
      </c>
      <c r="D1512">
        <f>IFERROR(__xludf.DUMMYFUNCTION("""COMPUTED_VALUE"""),237.0)</f>
        <v>237</v>
      </c>
      <c r="E1512">
        <f>IFERROR(__xludf.DUMMYFUNCTION("""COMPUTED_VALUE"""),11.89)</f>
        <v>11.89</v>
      </c>
      <c r="F1512">
        <f>IFERROR(__xludf.DUMMYFUNCTION("""COMPUTED_VALUE"""),30.42)</f>
        <v>30.42</v>
      </c>
      <c r="G1512">
        <f>IFERROR(__xludf.DUMMYFUNCTION("""COMPUTED_VALUE"""),0.0)</f>
        <v>0</v>
      </c>
    </row>
    <row r="1513">
      <c r="A1513">
        <f>IFERROR(__xludf.DUMMYFUNCTION("""COMPUTED_VALUE"""),172404.0)</f>
        <v>172404</v>
      </c>
      <c r="B1513" t="str">
        <f>IFERROR(__xludf.DUMMYFUNCTION("""COMPUTED_VALUE"""),"Chicken Stewing Dark Meat Meat Only Raw")</f>
        <v>Chicken Stewing Dark Meat Meat Only Raw</v>
      </c>
      <c r="C1513" t="str">
        <f>IFERROR(__xludf.DUMMYFUNCTION("""COMPUTED_VALUE"""),"Meats")</f>
        <v>Meats</v>
      </c>
      <c r="D1513">
        <f>IFERROR(__xludf.DUMMYFUNCTION("""COMPUTED_VALUE"""),157.0)</f>
        <v>157</v>
      </c>
      <c r="E1513">
        <f>IFERROR(__xludf.DUMMYFUNCTION("""COMPUTED_VALUE"""),8.12)</f>
        <v>8.12</v>
      </c>
      <c r="F1513">
        <f>IFERROR(__xludf.DUMMYFUNCTION("""COMPUTED_VALUE"""),19.7)</f>
        <v>19.7</v>
      </c>
      <c r="G1513">
        <f>IFERROR(__xludf.DUMMYFUNCTION("""COMPUTED_VALUE"""),0.0)</f>
        <v>0</v>
      </c>
    </row>
    <row r="1514">
      <c r="A1514">
        <f>IFERROR(__xludf.DUMMYFUNCTION("""COMPUTED_VALUE"""),172405.0)</f>
        <v>172405</v>
      </c>
      <c r="B1514" t="str">
        <f>IFERROR(__xludf.DUMMYFUNCTION("""COMPUTED_VALUE"""),"Chicken Stewing Dark Meat Meat Only Cooked Stewed")</f>
        <v>Chicken Stewing Dark Meat Meat Only Cooked Stewed</v>
      </c>
      <c r="C1514" t="str">
        <f>IFERROR(__xludf.DUMMYFUNCTION("""COMPUTED_VALUE"""),"Meats")</f>
        <v>Meats</v>
      </c>
      <c r="D1514">
        <f>IFERROR(__xludf.DUMMYFUNCTION("""COMPUTED_VALUE"""),258.0)</f>
        <v>258</v>
      </c>
      <c r="E1514">
        <f>IFERROR(__xludf.DUMMYFUNCTION("""COMPUTED_VALUE"""),15.28)</f>
        <v>15.28</v>
      </c>
      <c r="F1514">
        <f>IFERROR(__xludf.DUMMYFUNCTION("""COMPUTED_VALUE"""),28.14)</f>
        <v>28.14</v>
      </c>
      <c r="G1514">
        <f>IFERROR(__xludf.DUMMYFUNCTION("""COMPUTED_VALUE"""),0.0)</f>
        <v>0</v>
      </c>
    </row>
    <row r="1515">
      <c r="A1515">
        <f>IFERROR(__xludf.DUMMYFUNCTION("""COMPUTED_VALUE"""),172406.0)</f>
        <v>172406</v>
      </c>
      <c r="B1515" t="str">
        <f>IFERROR(__xludf.DUMMYFUNCTION("""COMPUTED_VALUE"""),"Chicken Capons Meat And Skin And Giblets And Neck Raw")</f>
        <v>Chicken Capons Meat And Skin And Giblets And Neck Raw</v>
      </c>
      <c r="C1515" t="str">
        <f>IFERROR(__xludf.DUMMYFUNCTION("""COMPUTED_VALUE"""),"Meats")</f>
        <v>Meats</v>
      </c>
      <c r="D1515">
        <f>IFERROR(__xludf.DUMMYFUNCTION("""COMPUTED_VALUE"""),232.0)</f>
        <v>232</v>
      </c>
      <c r="E1515">
        <f>IFERROR(__xludf.DUMMYFUNCTION("""COMPUTED_VALUE"""),16.9)</f>
        <v>16.9</v>
      </c>
      <c r="F1515">
        <f>IFERROR(__xludf.DUMMYFUNCTION("""COMPUTED_VALUE"""),18.51)</f>
        <v>18.51</v>
      </c>
      <c r="G1515">
        <f>IFERROR(__xludf.DUMMYFUNCTION("""COMPUTED_VALUE"""),0.08)</f>
        <v>0.08</v>
      </c>
    </row>
    <row r="1516">
      <c r="A1516">
        <f>IFERROR(__xludf.DUMMYFUNCTION("""COMPUTED_VALUE"""),172407.0)</f>
        <v>172407</v>
      </c>
      <c r="B1516" t="str">
        <f>IFERROR(__xludf.DUMMYFUNCTION("""COMPUTED_VALUE"""),"Chicken Capons Meat And Skin And Giblets And Neck Cooked Roasted")</f>
        <v>Chicken Capons Meat And Skin And Giblets And Neck Cooked Roasted</v>
      </c>
      <c r="C1516" t="str">
        <f>IFERROR(__xludf.DUMMYFUNCTION("""COMPUTED_VALUE"""),"Meats")</f>
        <v>Meats</v>
      </c>
      <c r="D1516">
        <f>IFERROR(__xludf.DUMMYFUNCTION("""COMPUTED_VALUE"""),226.0)</f>
        <v>226</v>
      </c>
      <c r="E1516">
        <f>IFERROR(__xludf.DUMMYFUNCTION("""COMPUTED_VALUE"""),11.67)</f>
        <v>11.67</v>
      </c>
      <c r="F1516">
        <f>IFERROR(__xludf.DUMMYFUNCTION("""COMPUTED_VALUE"""),28.35)</f>
        <v>28.35</v>
      </c>
      <c r="G1516">
        <f>IFERROR(__xludf.DUMMYFUNCTION("""COMPUTED_VALUE"""),0.04)</f>
        <v>0.04</v>
      </c>
    </row>
    <row r="1517">
      <c r="A1517">
        <f>IFERROR(__xludf.DUMMYFUNCTION("""COMPUTED_VALUE"""),172408.0)</f>
        <v>172408</v>
      </c>
      <c r="B1517" t="str">
        <f>IFERROR(__xludf.DUMMYFUNCTION("""COMPUTED_VALUE"""),"Duck Domesticated Meat And Skin Raw")</f>
        <v>Duck Domesticated Meat And Skin Raw</v>
      </c>
      <c r="C1517" t="str">
        <f>IFERROR(__xludf.DUMMYFUNCTION("""COMPUTED_VALUE"""),"Meats")</f>
        <v>Meats</v>
      </c>
      <c r="D1517">
        <f>IFERROR(__xludf.DUMMYFUNCTION("""COMPUTED_VALUE"""),404.0)</f>
        <v>404</v>
      </c>
      <c r="E1517">
        <f>IFERROR(__xludf.DUMMYFUNCTION("""COMPUTED_VALUE"""),39.34)</f>
        <v>39.34</v>
      </c>
      <c r="F1517">
        <f>IFERROR(__xludf.DUMMYFUNCTION("""COMPUTED_VALUE"""),11.49)</f>
        <v>11.49</v>
      </c>
      <c r="G1517">
        <f>IFERROR(__xludf.DUMMYFUNCTION("""COMPUTED_VALUE"""),0.0)</f>
        <v>0</v>
      </c>
    </row>
    <row r="1518">
      <c r="A1518">
        <f>IFERROR(__xludf.DUMMYFUNCTION("""COMPUTED_VALUE"""),172409.0)</f>
        <v>172409</v>
      </c>
      <c r="B1518" t="str">
        <f>IFERROR(__xludf.DUMMYFUNCTION("""COMPUTED_VALUE"""),"Duck Domesticated Meat And Skin Cooked Roasted")</f>
        <v>Duck Domesticated Meat And Skin Cooked Roasted</v>
      </c>
      <c r="C1518" t="str">
        <f>IFERROR(__xludf.DUMMYFUNCTION("""COMPUTED_VALUE"""),"Meats")</f>
        <v>Meats</v>
      </c>
      <c r="D1518">
        <f>IFERROR(__xludf.DUMMYFUNCTION("""COMPUTED_VALUE"""),337.0)</f>
        <v>337</v>
      </c>
      <c r="E1518">
        <f>IFERROR(__xludf.DUMMYFUNCTION("""COMPUTED_VALUE"""),28.35)</f>
        <v>28.35</v>
      </c>
      <c r="F1518">
        <f>IFERROR(__xludf.DUMMYFUNCTION("""COMPUTED_VALUE"""),18.99)</f>
        <v>18.99</v>
      </c>
      <c r="G1518">
        <f>IFERROR(__xludf.DUMMYFUNCTION("""COMPUTED_VALUE"""),0.0)</f>
        <v>0</v>
      </c>
    </row>
    <row r="1519">
      <c r="A1519">
        <f>IFERROR(__xludf.DUMMYFUNCTION("""COMPUTED_VALUE"""),172410.0)</f>
        <v>172410</v>
      </c>
      <c r="B1519" t="str">
        <f>IFERROR(__xludf.DUMMYFUNCTION("""COMPUTED_VALUE"""),"Duck Domesticated Meat Only Raw")</f>
        <v>Duck Domesticated Meat Only Raw</v>
      </c>
      <c r="C1519" t="str">
        <f>IFERROR(__xludf.DUMMYFUNCTION("""COMPUTED_VALUE"""),"Meats")</f>
        <v>Meats</v>
      </c>
      <c r="D1519">
        <f>IFERROR(__xludf.DUMMYFUNCTION("""COMPUTED_VALUE"""),135.0)</f>
        <v>135</v>
      </c>
      <c r="E1519">
        <f>IFERROR(__xludf.DUMMYFUNCTION("""COMPUTED_VALUE"""),5.95)</f>
        <v>5.95</v>
      </c>
      <c r="F1519">
        <f>IFERROR(__xludf.DUMMYFUNCTION("""COMPUTED_VALUE"""),18.28)</f>
        <v>18.28</v>
      </c>
      <c r="G1519">
        <f>IFERROR(__xludf.DUMMYFUNCTION("""COMPUTED_VALUE"""),0.94)</f>
        <v>0.94</v>
      </c>
    </row>
    <row r="1520">
      <c r="A1520">
        <f>IFERROR(__xludf.DUMMYFUNCTION("""COMPUTED_VALUE"""),172411.0)</f>
        <v>172411</v>
      </c>
      <c r="B1520" t="str">
        <f>IFERROR(__xludf.DUMMYFUNCTION("""COMPUTED_VALUE"""),"Roast Duck")</f>
        <v>Roast Duck</v>
      </c>
      <c r="C1520" t="str">
        <f>IFERROR(__xludf.DUMMYFUNCTION("""COMPUTED_VALUE"""),"Meats")</f>
        <v>Meats</v>
      </c>
      <c r="D1520">
        <f>IFERROR(__xludf.DUMMYFUNCTION("""COMPUTED_VALUE"""),201.0)</f>
        <v>201</v>
      </c>
      <c r="E1520">
        <f>IFERROR(__xludf.DUMMYFUNCTION("""COMPUTED_VALUE"""),11.2)</f>
        <v>11.2</v>
      </c>
      <c r="F1520">
        <f>IFERROR(__xludf.DUMMYFUNCTION("""COMPUTED_VALUE"""),23.48)</f>
        <v>23.48</v>
      </c>
      <c r="G1520">
        <f>IFERROR(__xludf.DUMMYFUNCTION("""COMPUTED_VALUE"""),0.0)</f>
        <v>0</v>
      </c>
    </row>
    <row r="1521">
      <c r="A1521">
        <f>IFERROR(__xludf.DUMMYFUNCTION("""COMPUTED_VALUE"""),172412.0)</f>
        <v>172412</v>
      </c>
      <c r="B1521" t="str">
        <f>IFERROR(__xludf.DUMMYFUNCTION("""COMPUTED_VALUE"""),"Goose Domesticated Meat And Skin Cooked Roasted")</f>
        <v>Goose Domesticated Meat And Skin Cooked Roasted</v>
      </c>
      <c r="C1521" t="str">
        <f>IFERROR(__xludf.DUMMYFUNCTION("""COMPUTED_VALUE"""),"Meats")</f>
        <v>Meats</v>
      </c>
      <c r="D1521">
        <f>IFERROR(__xludf.DUMMYFUNCTION("""COMPUTED_VALUE"""),305.0)</f>
        <v>305</v>
      </c>
      <c r="E1521">
        <f>IFERROR(__xludf.DUMMYFUNCTION("""COMPUTED_VALUE"""),21.92)</f>
        <v>21.92</v>
      </c>
      <c r="F1521">
        <f>IFERROR(__xludf.DUMMYFUNCTION("""COMPUTED_VALUE"""),25.16)</f>
        <v>25.16</v>
      </c>
      <c r="G1521">
        <f>IFERROR(__xludf.DUMMYFUNCTION("""COMPUTED_VALUE"""),0.0)</f>
        <v>0</v>
      </c>
    </row>
    <row r="1522">
      <c r="A1522">
        <f>IFERROR(__xludf.DUMMYFUNCTION("""COMPUTED_VALUE"""),172413.0)</f>
        <v>172413</v>
      </c>
      <c r="B1522" t="str">
        <f>IFERROR(__xludf.DUMMYFUNCTION("""COMPUTED_VALUE"""),"Goose Domesticated Meat Only Raw")</f>
        <v>Goose Domesticated Meat Only Raw</v>
      </c>
      <c r="C1522" t="str">
        <f>IFERROR(__xludf.DUMMYFUNCTION("""COMPUTED_VALUE"""),"Meats")</f>
        <v>Meats</v>
      </c>
      <c r="D1522">
        <f>IFERROR(__xludf.DUMMYFUNCTION("""COMPUTED_VALUE"""),161.0)</f>
        <v>161</v>
      </c>
      <c r="E1522">
        <f>IFERROR(__xludf.DUMMYFUNCTION("""COMPUTED_VALUE"""),7.13)</f>
        <v>7.13</v>
      </c>
      <c r="F1522">
        <f>IFERROR(__xludf.DUMMYFUNCTION("""COMPUTED_VALUE"""),22.75)</f>
        <v>22.75</v>
      </c>
      <c r="G1522">
        <f>IFERROR(__xludf.DUMMYFUNCTION("""COMPUTED_VALUE"""),0.0)</f>
        <v>0</v>
      </c>
    </row>
    <row r="1523">
      <c r="A1523">
        <f>IFERROR(__xludf.DUMMYFUNCTION("""COMPUTED_VALUE"""),172414.0)</f>
        <v>172414</v>
      </c>
      <c r="B1523" t="str">
        <f>IFERROR(__xludf.DUMMYFUNCTION("""COMPUTED_VALUE"""),"Roast Goose")</f>
        <v>Roast Goose</v>
      </c>
      <c r="C1523" t="str">
        <f>IFERROR(__xludf.DUMMYFUNCTION("""COMPUTED_VALUE"""),"Meats")</f>
        <v>Meats</v>
      </c>
      <c r="D1523">
        <f>IFERROR(__xludf.DUMMYFUNCTION("""COMPUTED_VALUE"""),238.0)</f>
        <v>238</v>
      </c>
      <c r="E1523">
        <f>IFERROR(__xludf.DUMMYFUNCTION("""COMPUTED_VALUE"""),12.67)</f>
        <v>12.67</v>
      </c>
      <c r="F1523">
        <f>IFERROR(__xludf.DUMMYFUNCTION("""COMPUTED_VALUE"""),28.97)</f>
        <v>28.97</v>
      </c>
      <c r="G1523">
        <f>IFERROR(__xludf.DUMMYFUNCTION("""COMPUTED_VALUE"""),0.0)</f>
        <v>0</v>
      </c>
    </row>
    <row r="1524">
      <c r="A1524">
        <f>IFERROR(__xludf.DUMMYFUNCTION("""COMPUTED_VALUE"""),172415.0)</f>
        <v>172415</v>
      </c>
      <c r="B1524" t="str">
        <f>IFERROR(__xludf.DUMMYFUNCTION("""COMPUTED_VALUE"""),"Goose Liver Raw")</f>
        <v>Goose Liver Raw</v>
      </c>
      <c r="C1524" t="str">
        <f>IFERROR(__xludf.DUMMYFUNCTION("""COMPUTED_VALUE"""),"Meats")</f>
        <v>Meats</v>
      </c>
      <c r="D1524">
        <f>IFERROR(__xludf.DUMMYFUNCTION("""COMPUTED_VALUE"""),133.0)</f>
        <v>133</v>
      </c>
      <c r="E1524">
        <f>IFERROR(__xludf.DUMMYFUNCTION("""COMPUTED_VALUE"""),4.28)</f>
        <v>4.28</v>
      </c>
      <c r="F1524">
        <f>IFERROR(__xludf.DUMMYFUNCTION("""COMPUTED_VALUE"""),16.37)</f>
        <v>16.37</v>
      </c>
      <c r="G1524">
        <f>IFERROR(__xludf.DUMMYFUNCTION("""COMPUTED_VALUE"""),6.32)</f>
        <v>6.32</v>
      </c>
    </row>
    <row r="1525">
      <c r="A1525">
        <f>IFERROR(__xludf.DUMMYFUNCTION("""COMPUTED_VALUE"""),172416.0)</f>
        <v>172416</v>
      </c>
      <c r="B1525" t="str">
        <f>IFERROR(__xludf.DUMMYFUNCTION("""COMPUTED_VALUE"""),"Guinea Hen Meat And Skin Raw")</f>
        <v>Guinea Hen Meat And Skin Raw</v>
      </c>
      <c r="C1525" t="str">
        <f>IFERROR(__xludf.DUMMYFUNCTION("""COMPUTED_VALUE"""),"Meats")</f>
        <v>Meats</v>
      </c>
      <c r="D1525">
        <f>IFERROR(__xludf.DUMMYFUNCTION("""COMPUTED_VALUE"""),158.0)</f>
        <v>158</v>
      </c>
      <c r="E1525">
        <f>IFERROR(__xludf.DUMMYFUNCTION("""COMPUTED_VALUE"""),6.45)</f>
        <v>6.45</v>
      </c>
      <c r="F1525">
        <f>IFERROR(__xludf.DUMMYFUNCTION("""COMPUTED_VALUE"""),23.4)</f>
        <v>23.4</v>
      </c>
      <c r="G1525">
        <f>IFERROR(__xludf.DUMMYFUNCTION("""COMPUTED_VALUE"""),0.0)</f>
        <v>0</v>
      </c>
    </row>
    <row r="1526">
      <c r="A1526">
        <f>IFERROR(__xludf.DUMMYFUNCTION("""COMPUTED_VALUE"""),172417.0)</f>
        <v>172417</v>
      </c>
      <c r="B1526" t="str">
        <f>IFERROR(__xludf.DUMMYFUNCTION("""COMPUTED_VALUE"""),"Pheasant Leg Meat Only Raw")</f>
        <v>Pheasant Leg Meat Only Raw</v>
      </c>
      <c r="C1526" t="str">
        <f>IFERROR(__xludf.DUMMYFUNCTION("""COMPUTED_VALUE"""),"Meats")</f>
        <v>Meats</v>
      </c>
      <c r="D1526">
        <f>IFERROR(__xludf.DUMMYFUNCTION("""COMPUTED_VALUE"""),134.0)</f>
        <v>134</v>
      </c>
      <c r="E1526">
        <f>IFERROR(__xludf.DUMMYFUNCTION("""COMPUTED_VALUE"""),4.3)</f>
        <v>4.3</v>
      </c>
      <c r="F1526">
        <f>IFERROR(__xludf.DUMMYFUNCTION("""COMPUTED_VALUE"""),22.2)</f>
        <v>22.2</v>
      </c>
      <c r="G1526">
        <f>IFERROR(__xludf.DUMMYFUNCTION("""COMPUTED_VALUE"""),0.0)</f>
        <v>0</v>
      </c>
    </row>
    <row r="1527">
      <c r="A1527">
        <f>IFERROR(__xludf.DUMMYFUNCTION("""COMPUTED_VALUE"""),172418.0)</f>
        <v>172418</v>
      </c>
      <c r="B1527" t="str">
        <f>IFERROR(__xludf.DUMMYFUNCTION("""COMPUTED_VALUE"""),"Quail Meat And Skin Raw")</f>
        <v>Quail Meat And Skin Raw</v>
      </c>
      <c r="C1527" t="str">
        <f>IFERROR(__xludf.DUMMYFUNCTION("""COMPUTED_VALUE"""),"Meats")</f>
        <v>Meats</v>
      </c>
      <c r="D1527">
        <f>IFERROR(__xludf.DUMMYFUNCTION("""COMPUTED_VALUE"""),192.0)</f>
        <v>192</v>
      </c>
      <c r="E1527">
        <f>IFERROR(__xludf.DUMMYFUNCTION("""COMPUTED_VALUE"""),12.05)</f>
        <v>12.05</v>
      </c>
      <c r="F1527">
        <f>IFERROR(__xludf.DUMMYFUNCTION("""COMPUTED_VALUE"""),19.63)</f>
        <v>19.63</v>
      </c>
      <c r="G1527">
        <f>IFERROR(__xludf.DUMMYFUNCTION("""COMPUTED_VALUE"""),0.0)</f>
        <v>0</v>
      </c>
    </row>
    <row r="1528">
      <c r="A1528">
        <f>IFERROR(__xludf.DUMMYFUNCTION("""COMPUTED_VALUE"""),172419.0)</f>
        <v>172419</v>
      </c>
      <c r="B1528" t="str">
        <f>IFERROR(__xludf.DUMMYFUNCTION("""COMPUTED_VALUE"""),"Quail Meat Only Raw")</f>
        <v>Quail Meat Only Raw</v>
      </c>
      <c r="C1528" t="str">
        <f>IFERROR(__xludf.DUMMYFUNCTION("""COMPUTED_VALUE"""),"Meats")</f>
        <v>Meats</v>
      </c>
      <c r="D1528">
        <f>IFERROR(__xludf.DUMMYFUNCTION("""COMPUTED_VALUE"""),134.0)</f>
        <v>134</v>
      </c>
      <c r="E1528">
        <f>IFERROR(__xludf.DUMMYFUNCTION("""COMPUTED_VALUE"""),4.53)</f>
        <v>4.53</v>
      </c>
      <c r="F1528">
        <f>IFERROR(__xludf.DUMMYFUNCTION("""COMPUTED_VALUE"""),21.76)</f>
        <v>21.76</v>
      </c>
      <c r="G1528">
        <f>IFERROR(__xludf.DUMMYFUNCTION("""COMPUTED_VALUE"""),0.0)</f>
        <v>0</v>
      </c>
    </row>
    <row r="1529">
      <c r="A1529">
        <f>IFERROR(__xludf.DUMMYFUNCTION("""COMPUTED_VALUE"""),172478.0)</f>
        <v>172478</v>
      </c>
      <c r="B1529" t="str">
        <f>IFERROR(__xludf.DUMMYFUNCTION("""COMPUTED_VALUE"""),"Veal Australian Rib Rib Roast Separable Lean Only Raw")</f>
        <v>Veal Australian Rib Rib Roast Separable Lean Only Raw</v>
      </c>
      <c r="C1529" t="str">
        <f>IFERROR(__xludf.DUMMYFUNCTION("""COMPUTED_VALUE"""),"Meats")</f>
        <v>Meats</v>
      </c>
      <c r="D1529">
        <f>IFERROR(__xludf.DUMMYFUNCTION("""COMPUTED_VALUE"""),134.0)</f>
        <v>134</v>
      </c>
      <c r="E1529">
        <f>IFERROR(__xludf.DUMMYFUNCTION("""COMPUTED_VALUE"""),4.63)</f>
        <v>4.63</v>
      </c>
      <c r="F1529">
        <f>IFERROR(__xludf.DUMMYFUNCTION("""COMPUTED_VALUE"""),21.7)</f>
        <v>21.7</v>
      </c>
      <c r="G1529">
        <f>IFERROR(__xludf.DUMMYFUNCTION("""COMPUTED_VALUE"""),1.4)</f>
        <v>1.4</v>
      </c>
    </row>
    <row r="1530">
      <c r="A1530">
        <f>IFERROR(__xludf.DUMMYFUNCTION("""COMPUTED_VALUE"""),172479.0)</f>
        <v>172479</v>
      </c>
      <c r="B1530" t="str">
        <f>IFERROR(__xludf.DUMMYFUNCTION("""COMPUTED_VALUE"""),"Lamb Domestic Composite Of Trimmed Retail Cuts Separable Lean And Fat Trimmed To 1/4 Inch Fat Choice Raw")</f>
        <v>Lamb Domestic Composite Of Trimmed Retail Cuts Separable Lean And Fat Trimmed To 1/4 Inch Fat Choice Raw</v>
      </c>
      <c r="C1530" t="str">
        <f>IFERROR(__xludf.DUMMYFUNCTION("""COMPUTED_VALUE"""),"Meats")</f>
        <v>Meats</v>
      </c>
      <c r="D1530">
        <f>IFERROR(__xludf.DUMMYFUNCTION("""COMPUTED_VALUE"""),267.0)</f>
        <v>267</v>
      </c>
      <c r="E1530">
        <f>IFERROR(__xludf.DUMMYFUNCTION("""COMPUTED_VALUE"""),21.59)</f>
        <v>21.59</v>
      </c>
      <c r="F1530">
        <f>IFERROR(__xludf.DUMMYFUNCTION("""COMPUTED_VALUE"""),16.88)</f>
        <v>16.88</v>
      </c>
      <c r="G1530">
        <f>IFERROR(__xludf.DUMMYFUNCTION("""COMPUTED_VALUE"""),0.0)</f>
        <v>0</v>
      </c>
    </row>
    <row r="1531">
      <c r="A1531">
        <f>IFERROR(__xludf.DUMMYFUNCTION("""COMPUTED_VALUE"""),172480.0)</f>
        <v>172480</v>
      </c>
      <c r="B1531" t="str">
        <f>IFERROR(__xludf.DUMMYFUNCTION("""COMPUTED_VALUE"""),"Lamb Domestic Composite Of Trimmed Retail Cuts Separable Lean And Fat Trimmed To 1/4 Inch Fat Choice Cooked")</f>
        <v>Lamb Domestic Composite Of Trimmed Retail Cuts Separable Lean And Fat Trimmed To 1/4 Inch Fat Choice Cooked</v>
      </c>
      <c r="C1531" t="str">
        <f>IFERROR(__xludf.DUMMYFUNCTION("""COMPUTED_VALUE"""),"Meats")</f>
        <v>Meats</v>
      </c>
      <c r="D1531">
        <f>IFERROR(__xludf.DUMMYFUNCTION("""COMPUTED_VALUE"""),294.0)</f>
        <v>294</v>
      </c>
      <c r="E1531">
        <f>IFERROR(__xludf.DUMMYFUNCTION("""COMPUTED_VALUE"""),20.94)</f>
        <v>20.94</v>
      </c>
      <c r="F1531">
        <f>IFERROR(__xludf.DUMMYFUNCTION("""COMPUTED_VALUE"""),24.52)</f>
        <v>24.52</v>
      </c>
      <c r="G1531">
        <f>IFERROR(__xludf.DUMMYFUNCTION("""COMPUTED_VALUE"""),0.0)</f>
        <v>0</v>
      </c>
    </row>
    <row r="1532">
      <c r="A1532">
        <f>IFERROR(__xludf.DUMMYFUNCTION("""COMPUTED_VALUE"""),172481.0)</f>
        <v>172481</v>
      </c>
      <c r="B1532" t="str">
        <f>IFERROR(__xludf.DUMMYFUNCTION("""COMPUTED_VALUE"""),"Lamb Domestic Foreshank Separable Lean And Fat Trimmed To 1/4 Inch Fat Choice Raw")</f>
        <v>Lamb Domestic Foreshank Separable Lean And Fat Trimmed To 1/4 Inch Fat Choice Raw</v>
      </c>
      <c r="C1532" t="str">
        <f>IFERROR(__xludf.DUMMYFUNCTION("""COMPUTED_VALUE"""),"Meats")</f>
        <v>Meats</v>
      </c>
      <c r="D1532">
        <f>IFERROR(__xludf.DUMMYFUNCTION("""COMPUTED_VALUE"""),201.0)</f>
        <v>201</v>
      </c>
      <c r="E1532">
        <f>IFERROR(__xludf.DUMMYFUNCTION("""COMPUTED_VALUE"""),13.38)</f>
        <v>13.38</v>
      </c>
      <c r="F1532">
        <f>IFERROR(__xludf.DUMMYFUNCTION("""COMPUTED_VALUE"""),18.91)</f>
        <v>18.91</v>
      </c>
      <c r="G1532">
        <f>IFERROR(__xludf.DUMMYFUNCTION("""COMPUTED_VALUE"""),0.0)</f>
        <v>0</v>
      </c>
    </row>
    <row r="1533">
      <c r="A1533">
        <f>IFERROR(__xludf.DUMMYFUNCTION("""COMPUTED_VALUE"""),172482.0)</f>
        <v>172482</v>
      </c>
      <c r="B1533" t="str">
        <f>IFERROR(__xludf.DUMMYFUNCTION("""COMPUTED_VALUE"""),"Lamb Domestic Foreshank Separable Lean And Fat Trimmed To 1/4 Inch Fat Choice Cooked Braised")</f>
        <v>Lamb Domestic Foreshank Separable Lean And Fat Trimmed To 1/4 Inch Fat Choice Cooked Braised</v>
      </c>
      <c r="C1533" t="str">
        <f>IFERROR(__xludf.DUMMYFUNCTION("""COMPUTED_VALUE"""),"Meats")</f>
        <v>Meats</v>
      </c>
      <c r="D1533">
        <f>IFERROR(__xludf.DUMMYFUNCTION("""COMPUTED_VALUE"""),243.0)</f>
        <v>243</v>
      </c>
      <c r="E1533">
        <f>IFERROR(__xludf.DUMMYFUNCTION("""COMPUTED_VALUE"""),13.46)</f>
        <v>13.46</v>
      </c>
      <c r="F1533">
        <f>IFERROR(__xludf.DUMMYFUNCTION("""COMPUTED_VALUE"""),28.37)</f>
        <v>28.37</v>
      </c>
      <c r="G1533">
        <f>IFERROR(__xludf.DUMMYFUNCTION("""COMPUTED_VALUE"""),0.0)</f>
        <v>0</v>
      </c>
    </row>
    <row r="1534">
      <c r="A1534">
        <f>IFERROR(__xludf.DUMMYFUNCTION("""COMPUTED_VALUE"""),172483.0)</f>
        <v>172483</v>
      </c>
      <c r="B1534" t="str">
        <f>IFERROR(__xludf.DUMMYFUNCTION("""COMPUTED_VALUE"""),"Lamb Domestic Foreshank Separable Lean Only Trimmed To 1/4 Inch Fat Choice Raw")</f>
        <v>Lamb Domestic Foreshank Separable Lean Only Trimmed To 1/4 Inch Fat Choice Raw</v>
      </c>
      <c r="C1534" t="str">
        <f>IFERROR(__xludf.DUMMYFUNCTION("""COMPUTED_VALUE"""),"Meats")</f>
        <v>Meats</v>
      </c>
      <c r="D1534">
        <f>IFERROR(__xludf.DUMMYFUNCTION("""COMPUTED_VALUE"""),120.0)</f>
        <v>120</v>
      </c>
      <c r="E1534">
        <f>IFERROR(__xludf.DUMMYFUNCTION("""COMPUTED_VALUE"""),3.29)</f>
        <v>3.29</v>
      </c>
      <c r="F1534">
        <f>IFERROR(__xludf.DUMMYFUNCTION("""COMPUTED_VALUE"""),21.08)</f>
        <v>21.08</v>
      </c>
      <c r="G1534">
        <f>IFERROR(__xludf.DUMMYFUNCTION("""COMPUTED_VALUE"""),0.0)</f>
        <v>0</v>
      </c>
    </row>
    <row r="1535">
      <c r="A1535">
        <f>IFERROR(__xludf.DUMMYFUNCTION("""COMPUTED_VALUE"""),172484.0)</f>
        <v>172484</v>
      </c>
      <c r="B1535" t="str">
        <f>IFERROR(__xludf.DUMMYFUNCTION("""COMPUTED_VALUE"""),"Lamb Domestic Foreshank Separable Lean Only Trimmed To 1/4 Inch Fat Choice Cooked Braised")</f>
        <v>Lamb Domestic Foreshank Separable Lean Only Trimmed To 1/4 Inch Fat Choice Cooked Braised</v>
      </c>
      <c r="C1535" t="str">
        <f>IFERROR(__xludf.DUMMYFUNCTION("""COMPUTED_VALUE"""),"Meats")</f>
        <v>Meats</v>
      </c>
      <c r="D1535">
        <f>IFERROR(__xludf.DUMMYFUNCTION("""COMPUTED_VALUE"""),187.0)</f>
        <v>187</v>
      </c>
      <c r="E1535">
        <f>IFERROR(__xludf.DUMMYFUNCTION("""COMPUTED_VALUE"""),6.02)</f>
        <v>6.02</v>
      </c>
      <c r="F1535">
        <f>IFERROR(__xludf.DUMMYFUNCTION("""COMPUTED_VALUE"""),31.01)</f>
        <v>31.01</v>
      </c>
      <c r="G1535">
        <f>IFERROR(__xludf.DUMMYFUNCTION("""COMPUTED_VALUE"""),0.0)</f>
        <v>0</v>
      </c>
    </row>
    <row r="1536">
      <c r="A1536">
        <f>IFERROR(__xludf.DUMMYFUNCTION("""COMPUTED_VALUE"""),172485.0)</f>
        <v>172485</v>
      </c>
      <c r="B1536" t="str">
        <f>IFERROR(__xludf.DUMMYFUNCTION("""COMPUTED_VALUE"""),"Lamb Domestic Leg Shank Half Separable Lean And Fat Trimmed To 1/4 Inch Fat Choice Cooked Roasted")</f>
        <v>Lamb Domestic Leg Shank Half Separable Lean And Fat Trimmed To 1/4 Inch Fat Choice Cooked Roasted</v>
      </c>
      <c r="C1536" t="str">
        <f>IFERROR(__xludf.DUMMYFUNCTION("""COMPUTED_VALUE"""),"Meats")</f>
        <v>Meats</v>
      </c>
      <c r="D1536">
        <f>IFERROR(__xludf.DUMMYFUNCTION("""COMPUTED_VALUE"""),225.0)</f>
        <v>225</v>
      </c>
      <c r="E1536">
        <f>IFERROR(__xludf.DUMMYFUNCTION("""COMPUTED_VALUE"""),12.45)</f>
        <v>12.45</v>
      </c>
      <c r="F1536">
        <f>IFERROR(__xludf.DUMMYFUNCTION("""COMPUTED_VALUE"""),26.41)</f>
        <v>26.41</v>
      </c>
      <c r="G1536">
        <f>IFERROR(__xludf.DUMMYFUNCTION("""COMPUTED_VALUE"""),0.0)</f>
        <v>0</v>
      </c>
    </row>
    <row r="1537">
      <c r="A1537">
        <f>IFERROR(__xludf.DUMMYFUNCTION("""COMPUTED_VALUE"""),172486.0)</f>
        <v>172486</v>
      </c>
      <c r="B1537" t="str">
        <f>IFERROR(__xludf.DUMMYFUNCTION("""COMPUTED_VALUE"""),"Lamb Domestic Leg Shank Half Separable Lean Only Trimmed To 1/4 Inch Fat Choice Raw")</f>
        <v>Lamb Domestic Leg Shank Half Separable Lean Only Trimmed To 1/4 Inch Fat Choice Raw</v>
      </c>
      <c r="C1537" t="str">
        <f>IFERROR(__xludf.DUMMYFUNCTION("""COMPUTED_VALUE"""),"Meats")</f>
        <v>Meats</v>
      </c>
      <c r="D1537">
        <f>IFERROR(__xludf.DUMMYFUNCTION("""COMPUTED_VALUE"""),125.0)</f>
        <v>125</v>
      </c>
      <c r="E1537">
        <f>IFERROR(__xludf.DUMMYFUNCTION("""COMPUTED_VALUE"""),4.19)</f>
        <v>4.19</v>
      </c>
      <c r="F1537">
        <f>IFERROR(__xludf.DUMMYFUNCTION("""COMPUTED_VALUE"""),20.52)</f>
        <v>20.52</v>
      </c>
      <c r="G1537">
        <f>IFERROR(__xludf.DUMMYFUNCTION("""COMPUTED_VALUE"""),0.0)</f>
        <v>0</v>
      </c>
    </row>
    <row r="1538">
      <c r="A1538">
        <f>IFERROR(__xludf.DUMMYFUNCTION("""COMPUTED_VALUE"""),172487.0)</f>
        <v>172487</v>
      </c>
      <c r="B1538" t="str">
        <f>IFERROR(__xludf.DUMMYFUNCTION("""COMPUTED_VALUE"""),"Lamb Shank")</f>
        <v>Lamb Shank</v>
      </c>
      <c r="C1538" t="str">
        <f>IFERROR(__xludf.DUMMYFUNCTION("""COMPUTED_VALUE"""),"Meats")</f>
        <v>Meats</v>
      </c>
      <c r="D1538">
        <f>IFERROR(__xludf.DUMMYFUNCTION("""COMPUTED_VALUE"""),180.0)</f>
        <v>180</v>
      </c>
      <c r="E1538">
        <f>IFERROR(__xludf.DUMMYFUNCTION("""COMPUTED_VALUE"""),6.67)</f>
        <v>6.67</v>
      </c>
      <c r="F1538">
        <f>IFERROR(__xludf.DUMMYFUNCTION("""COMPUTED_VALUE"""),28.17)</f>
        <v>28.17</v>
      </c>
      <c r="G1538">
        <f>IFERROR(__xludf.DUMMYFUNCTION("""COMPUTED_VALUE"""),0.0)</f>
        <v>0</v>
      </c>
    </row>
    <row r="1539">
      <c r="A1539">
        <f>IFERROR(__xludf.DUMMYFUNCTION("""COMPUTED_VALUE"""),172488.0)</f>
        <v>172488</v>
      </c>
      <c r="B1539" t="str">
        <f>IFERROR(__xludf.DUMMYFUNCTION("""COMPUTED_VALUE"""),"Lamb Domestic Leg Sirloin Half Separable Lean And Fat Trimmed To 1/4 Inch Fat Choice Raw")</f>
        <v>Lamb Domestic Leg Sirloin Half Separable Lean And Fat Trimmed To 1/4 Inch Fat Choice Raw</v>
      </c>
      <c r="C1539" t="str">
        <f>IFERROR(__xludf.DUMMYFUNCTION("""COMPUTED_VALUE"""),"Meats")</f>
        <v>Meats</v>
      </c>
      <c r="D1539">
        <f>IFERROR(__xludf.DUMMYFUNCTION("""COMPUTED_VALUE"""),272.0)</f>
        <v>272</v>
      </c>
      <c r="E1539">
        <f>IFERROR(__xludf.DUMMYFUNCTION("""COMPUTED_VALUE"""),22.11)</f>
        <v>22.11</v>
      </c>
      <c r="F1539">
        <f>IFERROR(__xludf.DUMMYFUNCTION("""COMPUTED_VALUE"""),16.94)</f>
        <v>16.94</v>
      </c>
      <c r="G1539">
        <f>IFERROR(__xludf.DUMMYFUNCTION("""COMPUTED_VALUE"""),0.0)</f>
        <v>0</v>
      </c>
    </row>
    <row r="1540">
      <c r="A1540">
        <f>IFERROR(__xludf.DUMMYFUNCTION("""COMPUTED_VALUE"""),172489.0)</f>
        <v>172489</v>
      </c>
      <c r="B1540" t="str">
        <f>IFERROR(__xludf.DUMMYFUNCTION("""COMPUTED_VALUE"""),"Lamb Domestic Loin Separable Lean And Fat Trimmed To 1/4 Inch Fat Choice Cooked Broiled")</f>
        <v>Lamb Domestic Loin Separable Lean And Fat Trimmed To 1/4 Inch Fat Choice Cooked Broiled</v>
      </c>
      <c r="C1540" t="str">
        <f>IFERROR(__xludf.DUMMYFUNCTION("""COMPUTED_VALUE"""),"Meats")</f>
        <v>Meats</v>
      </c>
      <c r="D1540">
        <f>IFERROR(__xludf.DUMMYFUNCTION("""COMPUTED_VALUE"""),316.0)</f>
        <v>316</v>
      </c>
      <c r="E1540">
        <f>IFERROR(__xludf.DUMMYFUNCTION("""COMPUTED_VALUE"""),23.08)</f>
        <v>23.08</v>
      </c>
      <c r="F1540">
        <f>IFERROR(__xludf.DUMMYFUNCTION("""COMPUTED_VALUE"""),25.17)</f>
        <v>25.17</v>
      </c>
      <c r="G1540">
        <f>IFERROR(__xludf.DUMMYFUNCTION("""COMPUTED_VALUE"""),0.0)</f>
        <v>0</v>
      </c>
    </row>
    <row r="1541">
      <c r="A1541">
        <f>IFERROR(__xludf.DUMMYFUNCTION("""COMPUTED_VALUE"""),172490.0)</f>
        <v>172490</v>
      </c>
      <c r="B1541" t="str">
        <f>IFERROR(__xludf.DUMMYFUNCTION("""COMPUTED_VALUE"""),"Lamb Domestic Loin Separable Lean And Fat Trimmed To 1/4 Inch Fat Choice Cooked Roasted")</f>
        <v>Lamb Domestic Loin Separable Lean And Fat Trimmed To 1/4 Inch Fat Choice Cooked Roasted</v>
      </c>
      <c r="C1541" t="str">
        <f>IFERROR(__xludf.DUMMYFUNCTION("""COMPUTED_VALUE"""),"Meats")</f>
        <v>Meats</v>
      </c>
      <c r="D1541">
        <f>IFERROR(__xludf.DUMMYFUNCTION("""COMPUTED_VALUE"""),309.0)</f>
        <v>309</v>
      </c>
      <c r="E1541">
        <f>IFERROR(__xludf.DUMMYFUNCTION("""COMPUTED_VALUE"""),23.59)</f>
        <v>23.59</v>
      </c>
      <c r="F1541">
        <f>IFERROR(__xludf.DUMMYFUNCTION("""COMPUTED_VALUE"""),22.55)</f>
        <v>22.55</v>
      </c>
      <c r="G1541">
        <f>IFERROR(__xludf.DUMMYFUNCTION("""COMPUTED_VALUE"""),0.0)</f>
        <v>0</v>
      </c>
    </row>
    <row r="1542">
      <c r="A1542">
        <f>IFERROR(__xludf.DUMMYFUNCTION("""COMPUTED_VALUE"""),172491.0)</f>
        <v>172491</v>
      </c>
      <c r="B1542" t="str">
        <f>IFERROR(__xludf.DUMMYFUNCTION("""COMPUTED_VALUE"""),"Lamb Domestic Loin Separable Lean Only Trimmed To 1/4 Inch Fat Choice Raw")</f>
        <v>Lamb Domestic Loin Separable Lean Only Trimmed To 1/4 Inch Fat Choice Raw</v>
      </c>
      <c r="C1542" t="str">
        <f>IFERROR(__xludf.DUMMYFUNCTION("""COMPUTED_VALUE"""),"Meats")</f>
        <v>Meats</v>
      </c>
      <c r="D1542">
        <f>IFERROR(__xludf.DUMMYFUNCTION("""COMPUTED_VALUE"""),143.0)</f>
        <v>143</v>
      </c>
      <c r="E1542">
        <f>IFERROR(__xludf.DUMMYFUNCTION("""COMPUTED_VALUE"""),5.94)</f>
        <v>5.94</v>
      </c>
      <c r="F1542">
        <f>IFERROR(__xludf.DUMMYFUNCTION("""COMPUTED_VALUE"""),20.88)</f>
        <v>20.88</v>
      </c>
      <c r="G1542">
        <f>IFERROR(__xludf.DUMMYFUNCTION("""COMPUTED_VALUE"""),0.0)</f>
        <v>0</v>
      </c>
    </row>
    <row r="1543">
      <c r="A1543">
        <f>IFERROR(__xludf.DUMMYFUNCTION("""COMPUTED_VALUE"""),172492.0)</f>
        <v>172492</v>
      </c>
      <c r="B1543" t="str">
        <f>IFERROR(__xludf.DUMMYFUNCTION("""COMPUTED_VALUE"""),"Lamb Domestic Loin Separable Lean Only Trimmed To 1/4 Inch Fat Choice Cooked Broiled")</f>
        <v>Lamb Domestic Loin Separable Lean Only Trimmed To 1/4 Inch Fat Choice Cooked Broiled</v>
      </c>
      <c r="C1543" t="str">
        <f>IFERROR(__xludf.DUMMYFUNCTION("""COMPUTED_VALUE"""),"Meats")</f>
        <v>Meats</v>
      </c>
      <c r="D1543">
        <f>IFERROR(__xludf.DUMMYFUNCTION("""COMPUTED_VALUE"""),216.0)</f>
        <v>216</v>
      </c>
      <c r="E1543">
        <f>IFERROR(__xludf.DUMMYFUNCTION("""COMPUTED_VALUE"""),9.73)</f>
        <v>9.73</v>
      </c>
      <c r="F1543">
        <f>IFERROR(__xludf.DUMMYFUNCTION("""COMPUTED_VALUE"""),29.99)</f>
        <v>29.99</v>
      </c>
      <c r="G1543">
        <f>IFERROR(__xludf.DUMMYFUNCTION("""COMPUTED_VALUE"""),0.0)</f>
        <v>0</v>
      </c>
    </row>
    <row r="1544">
      <c r="A1544">
        <f>IFERROR(__xludf.DUMMYFUNCTION("""COMPUTED_VALUE"""),172493.0)</f>
        <v>172493</v>
      </c>
      <c r="B1544" t="str">
        <f>IFERROR(__xludf.DUMMYFUNCTION("""COMPUTED_VALUE"""),"Lamb Domestic Rib Separable Lean Only Trimmed To 1/4 Inch Fat Choice Raw")</f>
        <v>Lamb Domestic Rib Separable Lean Only Trimmed To 1/4 Inch Fat Choice Raw</v>
      </c>
      <c r="C1544" t="str">
        <f>IFERROR(__xludf.DUMMYFUNCTION("""COMPUTED_VALUE"""),"Meats")</f>
        <v>Meats</v>
      </c>
      <c r="D1544">
        <f>IFERROR(__xludf.DUMMYFUNCTION("""COMPUTED_VALUE"""),169.0)</f>
        <v>169</v>
      </c>
      <c r="E1544">
        <f>IFERROR(__xludf.DUMMYFUNCTION("""COMPUTED_VALUE"""),9.23)</f>
        <v>9.23</v>
      </c>
      <c r="F1544">
        <f>IFERROR(__xludf.DUMMYFUNCTION("""COMPUTED_VALUE"""),19.98)</f>
        <v>19.98</v>
      </c>
      <c r="G1544">
        <f>IFERROR(__xludf.DUMMYFUNCTION("""COMPUTED_VALUE"""),0.0)</f>
        <v>0</v>
      </c>
    </row>
    <row r="1545">
      <c r="A1545">
        <f>IFERROR(__xludf.DUMMYFUNCTION("""COMPUTED_VALUE"""),172494.0)</f>
        <v>172494</v>
      </c>
      <c r="B1545" t="str">
        <f>IFERROR(__xludf.DUMMYFUNCTION("""COMPUTED_VALUE"""),"Lamb Domestic Rib Separable Lean Only Trimmed To 1/4 Inch Fat Choice Cooked Broiled")</f>
        <v>Lamb Domestic Rib Separable Lean Only Trimmed To 1/4 Inch Fat Choice Cooked Broiled</v>
      </c>
      <c r="C1545" t="str">
        <f>IFERROR(__xludf.DUMMYFUNCTION("""COMPUTED_VALUE"""),"Meats")</f>
        <v>Meats</v>
      </c>
      <c r="D1545">
        <f>IFERROR(__xludf.DUMMYFUNCTION("""COMPUTED_VALUE"""),235.0)</f>
        <v>235</v>
      </c>
      <c r="E1545">
        <f>IFERROR(__xludf.DUMMYFUNCTION("""COMPUTED_VALUE"""),12.95)</f>
        <v>12.95</v>
      </c>
      <c r="F1545">
        <f>IFERROR(__xludf.DUMMYFUNCTION("""COMPUTED_VALUE"""),27.74)</f>
        <v>27.74</v>
      </c>
      <c r="G1545">
        <f>IFERROR(__xludf.DUMMYFUNCTION("""COMPUTED_VALUE"""),0.0)</f>
        <v>0</v>
      </c>
    </row>
    <row r="1546">
      <c r="A1546">
        <f>IFERROR(__xludf.DUMMYFUNCTION("""COMPUTED_VALUE"""),172495.0)</f>
        <v>172495</v>
      </c>
      <c r="B1546" t="str">
        <f>IFERROR(__xludf.DUMMYFUNCTION("""COMPUTED_VALUE"""),"Lamb Domestic Rib Separable Lean Only Trimmed To 1/4 Inch Fat Choice Cooked Roasted")</f>
        <v>Lamb Domestic Rib Separable Lean Only Trimmed To 1/4 Inch Fat Choice Cooked Roasted</v>
      </c>
      <c r="C1546" t="str">
        <f>IFERROR(__xludf.DUMMYFUNCTION("""COMPUTED_VALUE"""),"Meats")</f>
        <v>Meats</v>
      </c>
      <c r="D1546">
        <f>IFERROR(__xludf.DUMMYFUNCTION("""COMPUTED_VALUE"""),232.0)</f>
        <v>232</v>
      </c>
      <c r="E1546">
        <f>IFERROR(__xludf.DUMMYFUNCTION("""COMPUTED_VALUE"""),13.31)</f>
        <v>13.31</v>
      </c>
      <c r="F1546">
        <f>IFERROR(__xludf.DUMMYFUNCTION("""COMPUTED_VALUE"""),26.16)</f>
        <v>26.16</v>
      </c>
      <c r="G1546">
        <f>IFERROR(__xludf.DUMMYFUNCTION("""COMPUTED_VALUE"""),0.0)</f>
        <v>0</v>
      </c>
    </row>
    <row r="1547">
      <c r="A1547">
        <f>IFERROR(__xludf.DUMMYFUNCTION("""COMPUTED_VALUE"""),172496.0)</f>
        <v>172496</v>
      </c>
      <c r="B1547" t="str">
        <f>IFERROR(__xludf.DUMMYFUNCTION("""COMPUTED_VALUE"""),"Lamb Domestic Shoulder Whole (Arm And Blade) Separable Lean And Fat Trimmed To 1/4 Inch Fat Choice Raw")</f>
        <v>Lamb Domestic Shoulder Whole (Arm And Blade) Separable Lean And Fat Trimmed To 1/4 Inch Fat Choice Raw</v>
      </c>
      <c r="C1547" t="str">
        <f>IFERROR(__xludf.DUMMYFUNCTION("""COMPUTED_VALUE"""),"Meats")</f>
        <v>Meats</v>
      </c>
      <c r="D1547">
        <f>IFERROR(__xludf.DUMMYFUNCTION("""COMPUTED_VALUE"""),264.0)</f>
        <v>264</v>
      </c>
      <c r="E1547">
        <f>IFERROR(__xludf.DUMMYFUNCTION("""COMPUTED_VALUE"""),21.45)</f>
        <v>21.45</v>
      </c>
      <c r="F1547">
        <f>IFERROR(__xludf.DUMMYFUNCTION("""COMPUTED_VALUE"""),16.58)</f>
        <v>16.58</v>
      </c>
      <c r="G1547">
        <f>IFERROR(__xludf.DUMMYFUNCTION("""COMPUTED_VALUE"""),0.0)</f>
        <v>0</v>
      </c>
    </row>
    <row r="1548">
      <c r="A1548">
        <f>IFERROR(__xludf.DUMMYFUNCTION("""COMPUTED_VALUE"""),172497.0)</f>
        <v>172497</v>
      </c>
      <c r="B1548" t="str">
        <f>IFERROR(__xludf.DUMMYFUNCTION("""COMPUTED_VALUE"""),"Lamb Domestic Shoulder Whole (Arm And Blade) Separable Lean And Fat Trimmed To 1/4 Inch Fat Choice Cooked Braised")</f>
        <v>Lamb Domestic Shoulder Whole (Arm And Blade) Separable Lean And Fat Trimmed To 1/4 Inch Fat Choice Cooked Braised</v>
      </c>
      <c r="C1548" t="str">
        <f>IFERROR(__xludf.DUMMYFUNCTION("""COMPUTED_VALUE"""),"Meats")</f>
        <v>Meats</v>
      </c>
      <c r="D1548">
        <f>IFERROR(__xludf.DUMMYFUNCTION("""COMPUTED_VALUE"""),344.0)</f>
        <v>344</v>
      </c>
      <c r="E1548">
        <f>IFERROR(__xludf.DUMMYFUNCTION("""COMPUTED_VALUE"""),24.55)</f>
        <v>24.55</v>
      </c>
      <c r="F1548">
        <f>IFERROR(__xludf.DUMMYFUNCTION("""COMPUTED_VALUE"""),28.68)</f>
        <v>28.68</v>
      </c>
      <c r="G1548">
        <f>IFERROR(__xludf.DUMMYFUNCTION("""COMPUTED_VALUE"""),0.0)</f>
        <v>0</v>
      </c>
    </row>
    <row r="1549">
      <c r="A1549">
        <f>IFERROR(__xludf.DUMMYFUNCTION("""COMPUTED_VALUE"""),172498.0)</f>
        <v>172498</v>
      </c>
      <c r="B1549" t="str">
        <f>IFERROR(__xludf.DUMMYFUNCTION("""COMPUTED_VALUE"""),"Lamb Domestic Shoulder Whole (Arm And Blade) Separable Lean Only Trimmed To 1/4 Inch Fat Choice Cooked Broiled")</f>
        <v>Lamb Domestic Shoulder Whole (Arm And Blade) Separable Lean Only Trimmed To 1/4 Inch Fat Choice Cooked Broiled</v>
      </c>
      <c r="C1549" t="str">
        <f>IFERROR(__xludf.DUMMYFUNCTION("""COMPUTED_VALUE"""),"Meats")</f>
        <v>Meats</v>
      </c>
      <c r="D1549">
        <f>IFERROR(__xludf.DUMMYFUNCTION("""COMPUTED_VALUE"""),210.0)</f>
        <v>210</v>
      </c>
      <c r="E1549">
        <f>IFERROR(__xludf.DUMMYFUNCTION("""COMPUTED_VALUE"""),10.5)</f>
        <v>10.5</v>
      </c>
      <c r="F1549">
        <f>IFERROR(__xludf.DUMMYFUNCTION("""COMPUTED_VALUE"""),27.12)</f>
        <v>27.12</v>
      </c>
      <c r="G1549">
        <f>IFERROR(__xludf.DUMMYFUNCTION("""COMPUTED_VALUE"""),0.0)</f>
        <v>0</v>
      </c>
    </row>
    <row r="1550">
      <c r="A1550">
        <f>IFERROR(__xludf.DUMMYFUNCTION("""COMPUTED_VALUE"""),172499.0)</f>
        <v>172499</v>
      </c>
      <c r="B1550" t="str">
        <f>IFERROR(__xludf.DUMMYFUNCTION("""COMPUTED_VALUE"""),"Lamb Domestic Shoulder Whole (Arm And Blade) Separable Lean Only Trimmed To 1/4 Inch Fat Choice Cooked Roasted")</f>
        <v>Lamb Domestic Shoulder Whole (Arm And Blade) Separable Lean Only Trimmed To 1/4 Inch Fat Choice Cooked Roasted</v>
      </c>
      <c r="C1550" t="str">
        <f>IFERROR(__xludf.DUMMYFUNCTION("""COMPUTED_VALUE"""),"Meats")</f>
        <v>Meats</v>
      </c>
      <c r="D1550">
        <f>IFERROR(__xludf.DUMMYFUNCTION("""COMPUTED_VALUE"""),204.0)</f>
        <v>204</v>
      </c>
      <c r="E1550">
        <f>IFERROR(__xludf.DUMMYFUNCTION("""COMPUTED_VALUE"""),10.77)</f>
        <v>10.77</v>
      </c>
      <c r="F1550">
        <f>IFERROR(__xludf.DUMMYFUNCTION("""COMPUTED_VALUE"""),24.94)</f>
        <v>24.94</v>
      </c>
      <c r="G1550">
        <f>IFERROR(__xludf.DUMMYFUNCTION("""COMPUTED_VALUE"""),0.0)</f>
        <v>0</v>
      </c>
    </row>
    <row r="1551">
      <c r="A1551">
        <f>IFERROR(__xludf.DUMMYFUNCTION("""COMPUTED_VALUE"""),172500.0)</f>
        <v>172500</v>
      </c>
      <c r="B1551" t="str">
        <f>IFERROR(__xludf.DUMMYFUNCTION("""COMPUTED_VALUE"""),"Lamb Domestic Shoulder Arm Separable Lean And Fat Trimmed To 1/4 Inch Fat Choice Raw")</f>
        <v>Lamb Domestic Shoulder Arm Separable Lean And Fat Trimmed To 1/4 Inch Fat Choice Raw</v>
      </c>
      <c r="C1551" t="str">
        <f>IFERROR(__xludf.DUMMYFUNCTION("""COMPUTED_VALUE"""),"Meats")</f>
        <v>Meats</v>
      </c>
      <c r="D1551">
        <f>IFERROR(__xludf.DUMMYFUNCTION("""COMPUTED_VALUE"""),260.0)</f>
        <v>260</v>
      </c>
      <c r="E1551">
        <f>IFERROR(__xludf.DUMMYFUNCTION("""COMPUTED_VALUE"""),20.9)</f>
        <v>20.9</v>
      </c>
      <c r="F1551">
        <f>IFERROR(__xludf.DUMMYFUNCTION("""COMPUTED_VALUE"""),16.79)</f>
        <v>16.79</v>
      </c>
      <c r="G1551">
        <f>IFERROR(__xludf.DUMMYFUNCTION("""COMPUTED_VALUE"""),0.0)</f>
        <v>0</v>
      </c>
    </row>
    <row r="1552">
      <c r="A1552">
        <f>IFERROR(__xludf.DUMMYFUNCTION("""COMPUTED_VALUE"""),172501.0)</f>
        <v>172501</v>
      </c>
      <c r="B1552" t="str">
        <f>IFERROR(__xludf.DUMMYFUNCTION("""COMPUTED_VALUE"""),"Lamb Domestic Shoulder Arm Separable Lean And Fat Trimmed To 1/4 Inch Fat Choice Cooked Braised")</f>
        <v>Lamb Domestic Shoulder Arm Separable Lean And Fat Trimmed To 1/4 Inch Fat Choice Cooked Braised</v>
      </c>
      <c r="C1552" t="str">
        <f>IFERROR(__xludf.DUMMYFUNCTION("""COMPUTED_VALUE"""),"Meats")</f>
        <v>Meats</v>
      </c>
      <c r="D1552">
        <f>IFERROR(__xludf.DUMMYFUNCTION("""COMPUTED_VALUE"""),346.0)</f>
        <v>346</v>
      </c>
      <c r="E1552">
        <f>IFERROR(__xludf.DUMMYFUNCTION("""COMPUTED_VALUE"""),24.0)</f>
        <v>24</v>
      </c>
      <c r="F1552">
        <f>IFERROR(__xludf.DUMMYFUNCTION("""COMPUTED_VALUE"""),30.39)</f>
        <v>30.39</v>
      </c>
      <c r="G1552">
        <f>IFERROR(__xludf.DUMMYFUNCTION("""COMPUTED_VALUE"""),0.0)</f>
        <v>0</v>
      </c>
    </row>
    <row r="1553">
      <c r="A1553">
        <f>IFERROR(__xludf.DUMMYFUNCTION("""COMPUTED_VALUE"""),172502.0)</f>
        <v>172502</v>
      </c>
      <c r="B1553" t="str">
        <f>IFERROR(__xludf.DUMMYFUNCTION("""COMPUTED_VALUE"""),"Lamb Domestic Shoulder Arm Separable Lean Only Trimmed To 1/4 Inch Fat Choice Cooked Broiled")</f>
        <v>Lamb Domestic Shoulder Arm Separable Lean Only Trimmed To 1/4 Inch Fat Choice Cooked Broiled</v>
      </c>
      <c r="C1553" t="str">
        <f>IFERROR(__xludf.DUMMYFUNCTION("""COMPUTED_VALUE"""),"Meats")</f>
        <v>Meats</v>
      </c>
      <c r="D1553">
        <f>IFERROR(__xludf.DUMMYFUNCTION("""COMPUTED_VALUE"""),200.0)</f>
        <v>200</v>
      </c>
      <c r="E1553">
        <f>IFERROR(__xludf.DUMMYFUNCTION("""COMPUTED_VALUE"""),9.02)</f>
        <v>9.02</v>
      </c>
      <c r="F1553">
        <f>IFERROR(__xludf.DUMMYFUNCTION("""COMPUTED_VALUE"""),27.71)</f>
        <v>27.71</v>
      </c>
      <c r="G1553">
        <f>IFERROR(__xludf.DUMMYFUNCTION("""COMPUTED_VALUE"""),0.0)</f>
        <v>0</v>
      </c>
    </row>
    <row r="1554">
      <c r="A1554">
        <f>IFERROR(__xludf.DUMMYFUNCTION("""COMPUTED_VALUE"""),172503.0)</f>
        <v>172503</v>
      </c>
      <c r="B1554" t="str">
        <f>IFERROR(__xludf.DUMMYFUNCTION("""COMPUTED_VALUE"""),"Lamb Domestic Shoulder Arm Separable Lean Only Trimmed To 1/4 Inch Fat Choice Cooked Roasted")</f>
        <v>Lamb Domestic Shoulder Arm Separable Lean Only Trimmed To 1/4 Inch Fat Choice Cooked Roasted</v>
      </c>
      <c r="C1554" t="str">
        <f>IFERROR(__xludf.DUMMYFUNCTION("""COMPUTED_VALUE"""),"Meats")</f>
        <v>Meats</v>
      </c>
      <c r="D1554">
        <f>IFERROR(__xludf.DUMMYFUNCTION("""COMPUTED_VALUE"""),192.0)</f>
        <v>192</v>
      </c>
      <c r="E1554">
        <f>IFERROR(__xludf.DUMMYFUNCTION("""COMPUTED_VALUE"""),9.26)</f>
        <v>9.26</v>
      </c>
      <c r="F1554">
        <f>IFERROR(__xludf.DUMMYFUNCTION("""COMPUTED_VALUE"""),25.46)</f>
        <v>25.46</v>
      </c>
      <c r="G1554">
        <f>IFERROR(__xludf.DUMMYFUNCTION("""COMPUTED_VALUE"""),0.0)</f>
        <v>0</v>
      </c>
    </row>
    <row r="1555">
      <c r="A1555">
        <f>IFERROR(__xludf.DUMMYFUNCTION("""COMPUTED_VALUE"""),172504.0)</f>
        <v>172504</v>
      </c>
      <c r="B1555" t="str">
        <f>IFERROR(__xludf.DUMMYFUNCTION("""COMPUTED_VALUE"""),"Lamb Domestic Shoulder Blade Separable Lean And Fat Trimmed To 1/4 Inch Fat Choice Raw")</f>
        <v>Lamb Domestic Shoulder Blade Separable Lean And Fat Trimmed To 1/4 Inch Fat Choice Raw</v>
      </c>
      <c r="C1555" t="str">
        <f>IFERROR(__xludf.DUMMYFUNCTION("""COMPUTED_VALUE"""),"Meats")</f>
        <v>Meats</v>
      </c>
      <c r="D1555">
        <f>IFERROR(__xludf.DUMMYFUNCTION("""COMPUTED_VALUE"""),259.0)</f>
        <v>259</v>
      </c>
      <c r="E1555">
        <f>IFERROR(__xludf.DUMMYFUNCTION("""COMPUTED_VALUE"""),20.86)</f>
        <v>20.86</v>
      </c>
      <c r="F1555">
        <f>IFERROR(__xludf.DUMMYFUNCTION("""COMPUTED_VALUE"""),16.63)</f>
        <v>16.63</v>
      </c>
      <c r="G1555">
        <f>IFERROR(__xludf.DUMMYFUNCTION("""COMPUTED_VALUE"""),0.0)</f>
        <v>0</v>
      </c>
    </row>
    <row r="1556">
      <c r="A1556">
        <f>IFERROR(__xludf.DUMMYFUNCTION("""COMPUTED_VALUE"""),172505.0)</f>
        <v>172505</v>
      </c>
      <c r="B1556" t="str">
        <f>IFERROR(__xludf.DUMMYFUNCTION("""COMPUTED_VALUE"""),"Lamb Domestic Shoulder Blade Separable Lean And Fat Trimmed To 1/4 Inch Fat Choice Cooked Braised")</f>
        <v>Lamb Domestic Shoulder Blade Separable Lean And Fat Trimmed To 1/4 Inch Fat Choice Cooked Braised</v>
      </c>
      <c r="C1556" t="str">
        <f>IFERROR(__xludf.DUMMYFUNCTION("""COMPUTED_VALUE"""),"Meats")</f>
        <v>Meats</v>
      </c>
      <c r="D1556">
        <f>IFERROR(__xludf.DUMMYFUNCTION("""COMPUTED_VALUE"""),345.0)</f>
        <v>345</v>
      </c>
      <c r="E1556">
        <f>IFERROR(__xludf.DUMMYFUNCTION("""COMPUTED_VALUE"""),24.73)</f>
        <v>24.73</v>
      </c>
      <c r="F1556">
        <f>IFERROR(__xludf.DUMMYFUNCTION("""COMPUTED_VALUE"""),28.51)</f>
        <v>28.51</v>
      </c>
      <c r="G1556">
        <f>IFERROR(__xludf.DUMMYFUNCTION("""COMPUTED_VALUE"""),0.0)</f>
        <v>0</v>
      </c>
    </row>
    <row r="1557">
      <c r="A1557">
        <f>IFERROR(__xludf.DUMMYFUNCTION("""COMPUTED_VALUE"""),172506.0)</f>
        <v>172506</v>
      </c>
      <c r="B1557" t="str">
        <f>IFERROR(__xludf.DUMMYFUNCTION("""COMPUTED_VALUE"""),"Lamb Domestic Shoulder Blade Separable Lean Only Trimmed To 1/4 Inch Fat Choice Cooked Broiled")</f>
        <v>Lamb Domestic Shoulder Blade Separable Lean Only Trimmed To 1/4 Inch Fat Choice Cooked Broiled</v>
      </c>
      <c r="C1557" t="str">
        <f>IFERROR(__xludf.DUMMYFUNCTION("""COMPUTED_VALUE"""),"Meats")</f>
        <v>Meats</v>
      </c>
      <c r="D1557">
        <f>IFERROR(__xludf.DUMMYFUNCTION("""COMPUTED_VALUE"""),211.0)</f>
        <v>211</v>
      </c>
      <c r="E1557">
        <f>IFERROR(__xludf.DUMMYFUNCTION("""COMPUTED_VALUE"""),11.32)</f>
        <v>11.32</v>
      </c>
      <c r="F1557">
        <f>IFERROR(__xludf.DUMMYFUNCTION("""COMPUTED_VALUE"""),25.48)</f>
        <v>25.48</v>
      </c>
      <c r="G1557">
        <f>IFERROR(__xludf.DUMMYFUNCTION("""COMPUTED_VALUE"""),0.0)</f>
        <v>0</v>
      </c>
    </row>
    <row r="1558">
      <c r="A1558">
        <f>IFERROR(__xludf.DUMMYFUNCTION("""COMPUTED_VALUE"""),172507.0)</f>
        <v>172507</v>
      </c>
      <c r="B1558" t="str">
        <f>IFERROR(__xludf.DUMMYFUNCTION("""COMPUTED_VALUE"""),"Lamb Domestic Shoulder Blade Separable Lean Only Trimmed To 1/4 Inch Fat Choice Cooked Roasted")</f>
        <v>Lamb Domestic Shoulder Blade Separable Lean Only Trimmed To 1/4 Inch Fat Choice Cooked Roasted</v>
      </c>
      <c r="C1558" t="str">
        <f>IFERROR(__xludf.DUMMYFUNCTION("""COMPUTED_VALUE"""),"Meats")</f>
        <v>Meats</v>
      </c>
      <c r="D1558">
        <f>IFERROR(__xludf.DUMMYFUNCTION("""COMPUTED_VALUE"""),209.0)</f>
        <v>209</v>
      </c>
      <c r="E1558">
        <f>IFERROR(__xludf.DUMMYFUNCTION("""COMPUTED_VALUE"""),11.57)</f>
        <v>11.57</v>
      </c>
      <c r="F1558">
        <f>IFERROR(__xludf.DUMMYFUNCTION("""COMPUTED_VALUE"""),24.61)</f>
        <v>24.61</v>
      </c>
      <c r="G1558">
        <f>IFERROR(__xludf.DUMMYFUNCTION("""COMPUTED_VALUE"""),0.0)</f>
        <v>0</v>
      </c>
    </row>
    <row r="1559">
      <c r="A1559">
        <f>IFERROR(__xludf.DUMMYFUNCTION("""COMPUTED_VALUE"""),172508.0)</f>
        <v>172508</v>
      </c>
      <c r="B1559" t="str">
        <f>IFERROR(__xludf.DUMMYFUNCTION("""COMPUTED_VALUE"""),"Lamb Domestic Cubed For Stew Or Kabob (Leg And Shoulder) Separable Lean Only Trimmed To 1/4 Inch Fat Raw")</f>
        <v>Lamb Domestic Cubed For Stew Or Kabob (Leg And Shoulder) Separable Lean Only Trimmed To 1/4 Inch Fat Raw</v>
      </c>
      <c r="C1559" t="str">
        <f>IFERROR(__xludf.DUMMYFUNCTION("""COMPUTED_VALUE"""),"Meats")</f>
        <v>Meats</v>
      </c>
      <c r="D1559">
        <f>IFERROR(__xludf.DUMMYFUNCTION("""COMPUTED_VALUE"""),134.0)</f>
        <v>134</v>
      </c>
      <c r="E1559">
        <f>IFERROR(__xludf.DUMMYFUNCTION("""COMPUTED_VALUE"""),5.28)</f>
        <v>5.28</v>
      </c>
      <c r="F1559">
        <f>IFERROR(__xludf.DUMMYFUNCTION("""COMPUTED_VALUE"""),20.21)</f>
        <v>20.21</v>
      </c>
      <c r="G1559">
        <f>IFERROR(__xludf.DUMMYFUNCTION("""COMPUTED_VALUE"""),0.0)</f>
        <v>0</v>
      </c>
    </row>
    <row r="1560">
      <c r="A1560">
        <f>IFERROR(__xludf.DUMMYFUNCTION("""COMPUTED_VALUE"""),172509.0)</f>
        <v>172509</v>
      </c>
      <c r="B1560" t="str">
        <f>IFERROR(__xludf.DUMMYFUNCTION("""COMPUTED_VALUE"""),"Lamb Domestic Cubed For Stew Or Kabob (Leg And Shoulder) Separable Lean Only Trimmed To 1/4 Inch Fat Cooked Braised")</f>
        <v>Lamb Domestic Cubed For Stew Or Kabob (Leg And Shoulder) Separable Lean Only Trimmed To 1/4 Inch Fat Cooked Braised</v>
      </c>
      <c r="C1560" t="str">
        <f>IFERROR(__xludf.DUMMYFUNCTION("""COMPUTED_VALUE"""),"Meats")</f>
        <v>Meats</v>
      </c>
      <c r="D1560">
        <f>IFERROR(__xludf.DUMMYFUNCTION("""COMPUTED_VALUE"""),223.0)</f>
        <v>223</v>
      </c>
      <c r="E1560">
        <f>IFERROR(__xludf.DUMMYFUNCTION("""COMPUTED_VALUE"""),8.8)</f>
        <v>8.8</v>
      </c>
      <c r="F1560">
        <f>IFERROR(__xludf.DUMMYFUNCTION("""COMPUTED_VALUE"""),33.69)</f>
        <v>33.69</v>
      </c>
      <c r="G1560">
        <f>IFERROR(__xludf.DUMMYFUNCTION("""COMPUTED_VALUE"""),0.0)</f>
        <v>0</v>
      </c>
    </row>
    <row r="1561">
      <c r="A1561">
        <f>IFERROR(__xludf.DUMMYFUNCTION("""COMPUTED_VALUE"""),172510.0)</f>
        <v>172510</v>
      </c>
      <c r="B1561" t="str">
        <f>IFERROR(__xludf.DUMMYFUNCTION("""COMPUTED_VALUE"""),"Lamb Domestic Cubed For Stew Or Kabob (Leg And Shoulder) Separable Lean Only Trimmed To 1/4 Inch Fat Cooked Broiled")</f>
        <v>Lamb Domestic Cubed For Stew Or Kabob (Leg And Shoulder) Separable Lean Only Trimmed To 1/4 Inch Fat Cooked Broiled</v>
      </c>
      <c r="C1561" t="str">
        <f>IFERROR(__xludf.DUMMYFUNCTION("""COMPUTED_VALUE"""),"Meats")</f>
        <v>Meats</v>
      </c>
      <c r="D1561">
        <f>IFERROR(__xludf.DUMMYFUNCTION("""COMPUTED_VALUE"""),186.0)</f>
        <v>186</v>
      </c>
      <c r="E1561">
        <f>IFERROR(__xludf.DUMMYFUNCTION("""COMPUTED_VALUE"""),7.33)</f>
        <v>7.33</v>
      </c>
      <c r="F1561">
        <f>IFERROR(__xludf.DUMMYFUNCTION("""COMPUTED_VALUE"""),28.08)</f>
        <v>28.08</v>
      </c>
      <c r="G1561">
        <f>IFERROR(__xludf.DUMMYFUNCTION("""COMPUTED_VALUE"""),0.0)</f>
        <v>0</v>
      </c>
    </row>
    <row r="1562">
      <c r="A1562">
        <f>IFERROR(__xludf.DUMMYFUNCTION("""COMPUTED_VALUE"""),172511.0)</f>
        <v>172511</v>
      </c>
      <c r="B1562" t="str">
        <f>IFERROR(__xludf.DUMMYFUNCTION("""COMPUTED_VALUE"""),"Lamb New Zealand Imported Frozen Composite Of Trimmed Retail Cuts Separable Fat Raw")</f>
        <v>Lamb New Zealand Imported Frozen Composite Of Trimmed Retail Cuts Separable Fat Raw</v>
      </c>
      <c r="C1562" t="str">
        <f>IFERROR(__xludf.DUMMYFUNCTION("""COMPUTED_VALUE"""),"Meats")</f>
        <v>Meats</v>
      </c>
      <c r="D1562">
        <f>IFERROR(__xludf.DUMMYFUNCTION("""COMPUTED_VALUE"""),640.0)</f>
        <v>640</v>
      </c>
      <c r="E1562">
        <f>IFERROR(__xludf.DUMMYFUNCTION("""COMPUTED_VALUE"""),67.63)</f>
        <v>67.63</v>
      </c>
      <c r="F1562">
        <f>IFERROR(__xludf.DUMMYFUNCTION("""COMPUTED_VALUE"""),6.92)</f>
        <v>6.92</v>
      </c>
      <c r="G1562">
        <f>IFERROR(__xludf.DUMMYFUNCTION("""COMPUTED_VALUE"""),0.0)</f>
        <v>0</v>
      </c>
    </row>
    <row r="1563">
      <c r="A1563">
        <f>IFERROR(__xludf.DUMMYFUNCTION("""COMPUTED_VALUE"""),172512.0)</f>
        <v>172512</v>
      </c>
      <c r="B1563" t="str">
        <f>IFERROR(__xludf.DUMMYFUNCTION("""COMPUTED_VALUE"""),"Lamb New Zealand Imported Frozen Composite Of Trimmed Retail Cuts Separable Fat Cooked")</f>
        <v>Lamb New Zealand Imported Frozen Composite Of Trimmed Retail Cuts Separable Fat Cooked</v>
      </c>
      <c r="C1563" t="str">
        <f>IFERROR(__xludf.DUMMYFUNCTION("""COMPUTED_VALUE"""),"Meats")</f>
        <v>Meats</v>
      </c>
      <c r="D1563">
        <f>IFERROR(__xludf.DUMMYFUNCTION("""COMPUTED_VALUE"""),586.0)</f>
        <v>586</v>
      </c>
      <c r="E1563">
        <f>IFERROR(__xludf.DUMMYFUNCTION("""COMPUTED_VALUE"""),60.39)</f>
        <v>60.39</v>
      </c>
      <c r="F1563">
        <f>IFERROR(__xludf.DUMMYFUNCTION("""COMPUTED_VALUE"""),9.72)</f>
        <v>9.72</v>
      </c>
      <c r="G1563">
        <f>IFERROR(__xludf.DUMMYFUNCTION("""COMPUTED_VALUE"""),0.0)</f>
        <v>0</v>
      </c>
    </row>
    <row r="1564">
      <c r="A1564">
        <f>IFERROR(__xludf.DUMMYFUNCTION("""COMPUTED_VALUE"""),172513.0)</f>
        <v>172513</v>
      </c>
      <c r="B1564" t="str">
        <f>IFERROR(__xludf.DUMMYFUNCTION("""COMPUTED_VALUE"""),"Lamb New Zealand Imported Fore-Shank Separable Lean And Fat Raw")</f>
        <v>Lamb New Zealand Imported Fore-Shank Separable Lean And Fat Raw</v>
      </c>
      <c r="C1564" t="str">
        <f>IFERROR(__xludf.DUMMYFUNCTION("""COMPUTED_VALUE"""),"Meats")</f>
        <v>Meats</v>
      </c>
      <c r="D1564">
        <f>IFERROR(__xludf.DUMMYFUNCTION("""COMPUTED_VALUE"""),183.0)</f>
        <v>183</v>
      </c>
      <c r="E1564">
        <f>IFERROR(__xludf.DUMMYFUNCTION("""COMPUTED_VALUE"""),11.38)</f>
        <v>11.38</v>
      </c>
      <c r="F1564">
        <f>IFERROR(__xludf.DUMMYFUNCTION("""COMPUTED_VALUE"""),20.09)</f>
        <v>20.09</v>
      </c>
      <c r="G1564">
        <f>IFERROR(__xludf.DUMMYFUNCTION("""COMPUTED_VALUE"""),0.09)</f>
        <v>0.09</v>
      </c>
    </row>
    <row r="1565">
      <c r="A1565">
        <f>IFERROR(__xludf.DUMMYFUNCTION("""COMPUTED_VALUE"""),172514.0)</f>
        <v>172514</v>
      </c>
      <c r="B1565" t="str">
        <f>IFERROR(__xludf.DUMMYFUNCTION("""COMPUTED_VALUE"""),"Lamb New Zealand Imported Fore-Shank Separable Lean And Fat Cooked Braised")</f>
        <v>Lamb New Zealand Imported Fore-Shank Separable Lean And Fat Cooked Braised</v>
      </c>
      <c r="C1565" t="str">
        <f>IFERROR(__xludf.DUMMYFUNCTION("""COMPUTED_VALUE"""),"Meats")</f>
        <v>Meats</v>
      </c>
      <c r="D1565">
        <f>IFERROR(__xludf.DUMMYFUNCTION("""COMPUTED_VALUE"""),256.0)</f>
        <v>256</v>
      </c>
      <c r="E1565">
        <f>IFERROR(__xludf.DUMMYFUNCTION("""COMPUTED_VALUE"""),14.99)</f>
        <v>14.99</v>
      </c>
      <c r="F1565">
        <f>IFERROR(__xludf.DUMMYFUNCTION("""COMPUTED_VALUE"""),30.35)</f>
        <v>30.35</v>
      </c>
      <c r="G1565">
        <f>IFERROR(__xludf.DUMMYFUNCTION("""COMPUTED_VALUE"""),0.03)</f>
        <v>0.03</v>
      </c>
    </row>
    <row r="1566">
      <c r="A1566">
        <f>IFERROR(__xludf.DUMMYFUNCTION("""COMPUTED_VALUE"""),172515.0)</f>
        <v>172515</v>
      </c>
      <c r="B1566" t="str">
        <f>IFERROR(__xludf.DUMMYFUNCTION("""COMPUTED_VALUE"""),"Lamb New Zealand Imported Leg Chop/steak Bone-In Separable Lean Only Raw")</f>
        <v>Lamb New Zealand Imported Leg Chop/steak Bone-In Separable Lean Only Raw</v>
      </c>
      <c r="C1566" t="str">
        <f>IFERROR(__xludf.DUMMYFUNCTION("""COMPUTED_VALUE"""),"Meats")</f>
        <v>Meats</v>
      </c>
      <c r="D1566">
        <f>IFERROR(__xludf.DUMMYFUNCTION("""COMPUTED_VALUE"""),126.0)</f>
        <v>126</v>
      </c>
      <c r="E1566">
        <f>IFERROR(__xludf.DUMMYFUNCTION("""COMPUTED_VALUE"""),4.64)</f>
        <v>4.64</v>
      </c>
      <c r="F1566">
        <f>IFERROR(__xludf.DUMMYFUNCTION("""COMPUTED_VALUE"""),21.1)</f>
        <v>21.1</v>
      </c>
      <c r="G1566">
        <f>IFERROR(__xludf.DUMMYFUNCTION("""COMPUTED_VALUE"""),0.0)</f>
        <v>0</v>
      </c>
    </row>
    <row r="1567">
      <c r="A1567">
        <f>IFERROR(__xludf.DUMMYFUNCTION("""COMPUTED_VALUE"""),172516.0)</f>
        <v>172516</v>
      </c>
      <c r="B1567" t="str">
        <f>IFERROR(__xludf.DUMMYFUNCTION("""COMPUTED_VALUE"""),"Lamb New Zealand Imported Frozen Leg Whole (Shank And Sirloin) Separable Lean Only Cooked Roasted")</f>
        <v>Lamb New Zealand Imported Frozen Leg Whole (Shank And Sirloin) Separable Lean Only Cooked Roasted</v>
      </c>
      <c r="C1567" t="str">
        <f>IFERROR(__xludf.DUMMYFUNCTION("""COMPUTED_VALUE"""),"Meats")</f>
        <v>Meats</v>
      </c>
      <c r="D1567">
        <f>IFERROR(__xludf.DUMMYFUNCTION("""COMPUTED_VALUE"""),181.0)</f>
        <v>181</v>
      </c>
      <c r="E1567">
        <f>IFERROR(__xludf.DUMMYFUNCTION("""COMPUTED_VALUE"""),7.01)</f>
        <v>7.01</v>
      </c>
      <c r="F1567">
        <f>IFERROR(__xludf.DUMMYFUNCTION("""COMPUTED_VALUE"""),27.68)</f>
        <v>27.68</v>
      </c>
      <c r="G1567">
        <f>IFERROR(__xludf.DUMMYFUNCTION("""COMPUTED_VALUE"""),0.0)</f>
        <v>0</v>
      </c>
    </row>
    <row r="1568">
      <c r="A1568">
        <f>IFERROR(__xludf.DUMMYFUNCTION("""COMPUTED_VALUE"""),172517.0)</f>
        <v>172517</v>
      </c>
      <c r="B1568" t="str">
        <f>IFERROR(__xludf.DUMMYFUNCTION("""COMPUTED_VALUE"""),"Lamb New Zealand Imported Loin Chop Separable Lean And Fat Raw")</f>
        <v>Lamb New Zealand Imported Loin Chop Separable Lean And Fat Raw</v>
      </c>
      <c r="C1568" t="str">
        <f>IFERROR(__xludf.DUMMYFUNCTION("""COMPUTED_VALUE"""),"Meats")</f>
        <v>Meats</v>
      </c>
      <c r="D1568">
        <f>IFERROR(__xludf.DUMMYFUNCTION("""COMPUTED_VALUE"""),298.0)</f>
        <v>298</v>
      </c>
      <c r="E1568">
        <f>IFERROR(__xludf.DUMMYFUNCTION("""COMPUTED_VALUE"""),26.19)</f>
        <v>26.19</v>
      </c>
      <c r="F1568">
        <f>IFERROR(__xludf.DUMMYFUNCTION("""COMPUTED_VALUE"""),15.4)</f>
        <v>15.4</v>
      </c>
      <c r="G1568">
        <f>IFERROR(__xludf.DUMMYFUNCTION("""COMPUTED_VALUE"""),0.22)</f>
        <v>0.22</v>
      </c>
    </row>
    <row r="1569">
      <c r="A1569">
        <f>IFERROR(__xludf.DUMMYFUNCTION("""COMPUTED_VALUE"""),172518.0)</f>
        <v>172518</v>
      </c>
      <c r="B1569" t="str">
        <f>IFERROR(__xludf.DUMMYFUNCTION("""COMPUTED_VALUE"""),"Game Meat Muskrat Raw")</f>
        <v>Game Meat Muskrat Raw</v>
      </c>
      <c r="C1569" t="str">
        <f>IFERROR(__xludf.DUMMYFUNCTION("""COMPUTED_VALUE"""),"Meats")</f>
        <v>Meats</v>
      </c>
      <c r="D1569">
        <f>IFERROR(__xludf.DUMMYFUNCTION("""COMPUTED_VALUE"""),162.0)</f>
        <v>162</v>
      </c>
      <c r="E1569">
        <f>IFERROR(__xludf.DUMMYFUNCTION("""COMPUTED_VALUE"""),8.1)</f>
        <v>8.1</v>
      </c>
      <c r="F1569">
        <f>IFERROR(__xludf.DUMMYFUNCTION("""COMPUTED_VALUE"""),20.76)</f>
        <v>20.76</v>
      </c>
      <c r="G1569">
        <f>IFERROR(__xludf.DUMMYFUNCTION("""COMPUTED_VALUE"""),0.0)</f>
        <v>0</v>
      </c>
    </row>
    <row r="1570">
      <c r="A1570">
        <f>IFERROR(__xludf.DUMMYFUNCTION("""COMPUTED_VALUE"""),172519.0)</f>
        <v>172519</v>
      </c>
      <c r="B1570" t="str">
        <f>IFERROR(__xludf.DUMMYFUNCTION("""COMPUTED_VALUE"""),"Game Meat Muskrat Cooked Roasted")</f>
        <v>Game Meat Muskrat Cooked Roasted</v>
      </c>
      <c r="C1570" t="str">
        <f>IFERROR(__xludf.DUMMYFUNCTION("""COMPUTED_VALUE"""),"Meats")</f>
        <v>Meats</v>
      </c>
      <c r="D1570">
        <f>IFERROR(__xludf.DUMMYFUNCTION("""COMPUTED_VALUE"""),234.0)</f>
        <v>234</v>
      </c>
      <c r="E1570">
        <f>IFERROR(__xludf.DUMMYFUNCTION("""COMPUTED_VALUE"""),11.74)</f>
        <v>11.74</v>
      </c>
      <c r="F1570">
        <f>IFERROR(__xludf.DUMMYFUNCTION("""COMPUTED_VALUE"""),30.09)</f>
        <v>30.09</v>
      </c>
      <c r="G1570">
        <f>IFERROR(__xludf.DUMMYFUNCTION("""COMPUTED_VALUE"""),0.0)</f>
        <v>0</v>
      </c>
    </row>
    <row r="1571">
      <c r="A1571">
        <f>IFERROR(__xludf.DUMMYFUNCTION("""COMPUTED_VALUE"""),172520.0)</f>
        <v>172520</v>
      </c>
      <c r="B1571" t="str">
        <f>IFERROR(__xludf.DUMMYFUNCTION("""COMPUTED_VALUE"""),"Game Meat Opossum Cooked Roasted")</f>
        <v>Game Meat Opossum Cooked Roasted</v>
      </c>
      <c r="C1571" t="str">
        <f>IFERROR(__xludf.DUMMYFUNCTION("""COMPUTED_VALUE"""),"Meats")</f>
        <v>Meats</v>
      </c>
      <c r="D1571">
        <f>IFERROR(__xludf.DUMMYFUNCTION("""COMPUTED_VALUE"""),221.0)</f>
        <v>221</v>
      </c>
      <c r="E1571">
        <f>IFERROR(__xludf.DUMMYFUNCTION("""COMPUTED_VALUE"""),10.2)</f>
        <v>10.2</v>
      </c>
      <c r="F1571">
        <f>IFERROR(__xludf.DUMMYFUNCTION("""COMPUTED_VALUE"""),30.2)</f>
        <v>30.2</v>
      </c>
      <c r="G1571">
        <f>IFERROR(__xludf.DUMMYFUNCTION("""COMPUTED_VALUE"""),0.0)</f>
        <v>0</v>
      </c>
    </row>
    <row r="1572">
      <c r="A1572">
        <f>IFERROR(__xludf.DUMMYFUNCTION("""COMPUTED_VALUE"""),172521.0)</f>
        <v>172521</v>
      </c>
      <c r="B1572" t="str">
        <f>IFERROR(__xludf.DUMMYFUNCTION("""COMPUTED_VALUE"""),"Game Meat Rabbit Domesticated Composite Of Cuts Raw")</f>
        <v>Game Meat Rabbit Domesticated Composite Of Cuts Raw</v>
      </c>
      <c r="C1572" t="str">
        <f>IFERROR(__xludf.DUMMYFUNCTION("""COMPUTED_VALUE"""),"Meats")</f>
        <v>Meats</v>
      </c>
      <c r="D1572">
        <f>IFERROR(__xludf.DUMMYFUNCTION("""COMPUTED_VALUE"""),136.0)</f>
        <v>136</v>
      </c>
      <c r="E1572">
        <f>IFERROR(__xludf.DUMMYFUNCTION("""COMPUTED_VALUE"""),5.55)</f>
        <v>5.55</v>
      </c>
      <c r="F1572">
        <f>IFERROR(__xludf.DUMMYFUNCTION("""COMPUTED_VALUE"""),20.05)</f>
        <v>20.05</v>
      </c>
      <c r="G1572">
        <f>IFERROR(__xludf.DUMMYFUNCTION("""COMPUTED_VALUE"""),0.0)</f>
        <v>0</v>
      </c>
    </row>
    <row r="1573">
      <c r="A1573">
        <f>IFERROR(__xludf.DUMMYFUNCTION("""COMPUTED_VALUE"""),172522.0)</f>
        <v>172522</v>
      </c>
      <c r="B1573" t="str">
        <f>IFERROR(__xludf.DUMMYFUNCTION("""COMPUTED_VALUE"""),"Game Meat Rabbit Domesticated Composite Of Cuts Cooked Roasted")</f>
        <v>Game Meat Rabbit Domesticated Composite Of Cuts Cooked Roasted</v>
      </c>
      <c r="C1573" t="str">
        <f>IFERROR(__xludf.DUMMYFUNCTION("""COMPUTED_VALUE"""),"Meats")</f>
        <v>Meats</v>
      </c>
      <c r="D1573">
        <f>IFERROR(__xludf.DUMMYFUNCTION("""COMPUTED_VALUE"""),197.0)</f>
        <v>197</v>
      </c>
      <c r="E1573">
        <f>IFERROR(__xludf.DUMMYFUNCTION("""COMPUTED_VALUE"""),8.05)</f>
        <v>8.05</v>
      </c>
      <c r="F1573">
        <f>IFERROR(__xludf.DUMMYFUNCTION("""COMPUTED_VALUE"""),29.06)</f>
        <v>29.06</v>
      </c>
      <c r="G1573">
        <f>IFERROR(__xludf.DUMMYFUNCTION("""COMPUTED_VALUE"""),0.0)</f>
        <v>0</v>
      </c>
    </row>
    <row r="1574">
      <c r="A1574">
        <f>IFERROR(__xludf.DUMMYFUNCTION("""COMPUTED_VALUE"""),172523.0)</f>
        <v>172523</v>
      </c>
      <c r="B1574" t="str">
        <f>IFERROR(__xludf.DUMMYFUNCTION("""COMPUTED_VALUE"""),"Game Meat Squirrel Raw")</f>
        <v>Game Meat Squirrel Raw</v>
      </c>
      <c r="C1574" t="str">
        <f>IFERROR(__xludf.DUMMYFUNCTION("""COMPUTED_VALUE"""),"Meats")</f>
        <v>Meats</v>
      </c>
      <c r="D1574">
        <f>IFERROR(__xludf.DUMMYFUNCTION("""COMPUTED_VALUE"""),120.0)</f>
        <v>120</v>
      </c>
      <c r="E1574">
        <f>IFERROR(__xludf.DUMMYFUNCTION("""COMPUTED_VALUE"""),3.21)</f>
        <v>3.21</v>
      </c>
      <c r="F1574">
        <f>IFERROR(__xludf.DUMMYFUNCTION("""COMPUTED_VALUE"""),21.23)</f>
        <v>21.23</v>
      </c>
      <c r="G1574">
        <f>IFERROR(__xludf.DUMMYFUNCTION("""COMPUTED_VALUE"""),0.0)</f>
        <v>0</v>
      </c>
    </row>
    <row r="1575">
      <c r="A1575">
        <f>IFERROR(__xludf.DUMMYFUNCTION("""COMPUTED_VALUE"""),172524.0)</f>
        <v>172524</v>
      </c>
      <c r="B1575" t="str">
        <f>IFERROR(__xludf.DUMMYFUNCTION("""COMPUTED_VALUE"""),"Game Meat Squirrel Cooked Roasted")</f>
        <v>Game Meat Squirrel Cooked Roasted</v>
      </c>
      <c r="C1575" t="str">
        <f>IFERROR(__xludf.DUMMYFUNCTION("""COMPUTED_VALUE"""),"Meats")</f>
        <v>Meats</v>
      </c>
      <c r="D1575">
        <f>IFERROR(__xludf.DUMMYFUNCTION("""COMPUTED_VALUE"""),173.0)</f>
        <v>173</v>
      </c>
      <c r="E1575">
        <f>IFERROR(__xludf.DUMMYFUNCTION("""COMPUTED_VALUE"""),4.69)</f>
        <v>4.69</v>
      </c>
      <c r="F1575">
        <f>IFERROR(__xludf.DUMMYFUNCTION("""COMPUTED_VALUE"""),30.77)</f>
        <v>30.77</v>
      </c>
      <c r="G1575">
        <f>IFERROR(__xludf.DUMMYFUNCTION("""COMPUTED_VALUE"""),0.0)</f>
        <v>0</v>
      </c>
    </row>
    <row r="1576">
      <c r="A1576">
        <f>IFERROR(__xludf.DUMMYFUNCTION("""COMPUTED_VALUE"""),172525.0)</f>
        <v>172525</v>
      </c>
      <c r="B1576" t="str">
        <f>IFERROR(__xludf.DUMMYFUNCTION("""COMPUTED_VALUE"""),"Lamb Variety Meats And By-Products Brain Raw")</f>
        <v>Lamb Variety Meats And By-Products Brain Raw</v>
      </c>
      <c r="C1576" t="str">
        <f>IFERROR(__xludf.DUMMYFUNCTION("""COMPUTED_VALUE"""),"Meats")</f>
        <v>Meats</v>
      </c>
      <c r="D1576">
        <f>IFERROR(__xludf.DUMMYFUNCTION("""COMPUTED_VALUE"""),122.0)</f>
        <v>122</v>
      </c>
      <c r="E1576">
        <f>IFERROR(__xludf.DUMMYFUNCTION("""COMPUTED_VALUE"""),8.58)</f>
        <v>8.58</v>
      </c>
      <c r="F1576">
        <f>IFERROR(__xludf.DUMMYFUNCTION("""COMPUTED_VALUE"""),10.4)</f>
        <v>10.4</v>
      </c>
      <c r="G1576">
        <f>IFERROR(__xludf.DUMMYFUNCTION("""COMPUTED_VALUE"""),0.0)</f>
        <v>0</v>
      </c>
    </row>
    <row r="1577">
      <c r="A1577">
        <f>IFERROR(__xludf.DUMMYFUNCTION("""COMPUTED_VALUE"""),172526.0)</f>
        <v>172526</v>
      </c>
      <c r="B1577" t="str">
        <f>IFERROR(__xludf.DUMMYFUNCTION("""COMPUTED_VALUE"""),"Lamb Variety Meats And By-Products Brain Cooked Braised")</f>
        <v>Lamb Variety Meats And By-Products Brain Cooked Braised</v>
      </c>
      <c r="C1577" t="str">
        <f>IFERROR(__xludf.DUMMYFUNCTION("""COMPUTED_VALUE"""),"Meats")</f>
        <v>Meats</v>
      </c>
      <c r="D1577">
        <f>IFERROR(__xludf.DUMMYFUNCTION("""COMPUTED_VALUE"""),145.0)</f>
        <v>145</v>
      </c>
      <c r="E1577">
        <f>IFERROR(__xludf.DUMMYFUNCTION("""COMPUTED_VALUE"""),10.17)</f>
        <v>10.17</v>
      </c>
      <c r="F1577">
        <f>IFERROR(__xludf.DUMMYFUNCTION("""COMPUTED_VALUE"""),12.55)</f>
        <v>12.55</v>
      </c>
      <c r="G1577">
        <f>IFERROR(__xludf.DUMMYFUNCTION("""COMPUTED_VALUE"""),0.0)</f>
        <v>0</v>
      </c>
    </row>
    <row r="1578">
      <c r="A1578">
        <f>IFERROR(__xludf.DUMMYFUNCTION("""COMPUTED_VALUE"""),172527.0)</f>
        <v>172527</v>
      </c>
      <c r="B1578" t="str">
        <f>IFERROR(__xludf.DUMMYFUNCTION("""COMPUTED_VALUE"""),"Lamb Variety Meats And By-Products Heart Raw")</f>
        <v>Lamb Variety Meats And By-Products Heart Raw</v>
      </c>
      <c r="C1578" t="str">
        <f>IFERROR(__xludf.DUMMYFUNCTION("""COMPUTED_VALUE"""),"Meats")</f>
        <v>Meats</v>
      </c>
      <c r="D1578">
        <f>IFERROR(__xludf.DUMMYFUNCTION("""COMPUTED_VALUE"""),122.0)</f>
        <v>122</v>
      </c>
      <c r="E1578">
        <f>IFERROR(__xludf.DUMMYFUNCTION("""COMPUTED_VALUE"""),5.68)</f>
        <v>5.68</v>
      </c>
      <c r="F1578">
        <f>IFERROR(__xludf.DUMMYFUNCTION("""COMPUTED_VALUE"""),16.47)</f>
        <v>16.47</v>
      </c>
      <c r="G1578">
        <f>IFERROR(__xludf.DUMMYFUNCTION("""COMPUTED_VALUE"""),0.21)</f>
        <v>0.21</v>
      </c>
    </row>
    <row r="1579">
      <c r="A1579">
        <f>IFERROR(__xludf.DUMMYFUNCTION("""COMPUTED_VALUE"""),172528.0)</f>
        <v>172528</v>
      </c>
      <c r="B1579" t="str">
        <f>IFERROR(__xludf.DUMMYFUNCTION("""COMPUTED_VALUE"""),"Lamb Variety Meats And By-Products Heart Cooked Braised")</f>
        <v>Lamb Variety Meats And By-Products Heart Cooked Braised</v>
      </c>
      <c r="C1579" t="str">
        <f>IFERROR(__xludf.DUMMYFUNCTION("""COMPUTED_VALUE"""),"Meats")</f>
        <v>Meats</v>
      </c>
      <c r="D1579">
        <f>IFERROR(__xludf.DUMMYFUNCTION("""COMPUTED_VALUE"""),185.0)</f>
        <v>185</v>
      </c>
      <c r="E1579">
        <f>IFERROR(__xludf.DUMMYFUNCTION("""COMPUTED_VALUE"""),7.91)</f>
        <v>7.91</v>
      </c>
      <c r="F1579">
        <f>IFERROR(__xludf.DUMMYFUNCTION("""COMPUTED_VALUE"""),24.97)</f>
        <v>24.97</v>
      </c>
      <c r="G1579">
        <f>IFERROR(__xludf.DUMMYFUNCTION("""COMPUTED_VALUE"""),1.93)</f>
        <v>1.93</v>
      </c>
    </row>
    <row r="1580">
      <c r="A1580">
        <f>IFERROR(__xludf.DUMMYFUNCTION("""COMPUTED_VALUE"""),172529.0)</f>
        <v>172529</v>
      </c>
      <c r="B1580" t="str">
        <f>IFERROR(__xludf.DUMMYFUNCTION("""COMPUTED_VALUE"""),"Veal Variety Meats And By-Products Heart Raw")</f>
        <v>Veal Variety Meats And By-Products Heart Raw</v>
      </c>
      <c r="C1580" t="str">
        <f>IFERROR(__xludf.DUMMYFUNCTION("""COMPUTED_VALUE"""),"Meats")</f>
        <v>Meats</v>
      </c>
      <c r="D1580">
        <f>IFERROR(__xludf.DUMMYFUNCTION("""COMPUTED_VALUE"""),110.0)</f>
        <v>110</v>
      </c>
      <c r="E1580">
        <f>IFERROR(__xludf.DUMMYFUNCTION("""COMPUTED_VALUE"""),3.98)</f>
        <v>3.98</v>
      </c>
      <c r="F1580">
        <f>IFERROR(__xludf.DUMMYFUNCTION("""COMPUTED_VALUE"""),17.18)</f>
        <v>17.18</v>
      </c>
      <c r="G1580">
        <f>IFERROR(__xludf.DUMMYFUNCTION("""COMPUTED_VALUE"""),0.08)</f>
        <v>0.08</v>
      </c>
    </row>
    <row r="1581">
      <c r="A1581">
        <f>IFERROR(__xludf.DUMMYFUNCTION("""COMPUTED_VALUE"""),172530.0)</f>
        <v>172530</v>
      </c>
      <c r="B1581" t="str">
        <f>IFERROR(__xludf.DUMMYFUNCTION("""COMPUTED_VALUE"""),"Veal Variety Meats And By-Products Heart Cooked Braised")</f>
        <v>Veal Variety Meats And By-Products Heart Cooked Braised</v>
      </c>
      <c r="C1581" t="str">
        <f>IFERROR(__xludf.DUMMYFUNCTION("""COMPUTED_VALUE"""),"Meats")</f>
        <v>Meats</v>
      </c>
      <c r="D1581">
        <f>IFERROR(__xludf.DUMMYFUNCTION("""COMPUTED_VALUE"""),186.0)</f>
        <v>186</v>
      </c>
      <c r="E1581">
        <f>IFERROR(__xludf.DUMMYFUNCTION("""COMPUTED_VALUE"""),6.75)</f>
        <v>6.75</v>
      </c>
      <c r="F1581">
        <f>IFERROR(__xludf.DUMMYFUNCTION("""COMPUTED_VALUE"""),29.12)</f>
        <v>29.12</v>
      </c>
      <c r="G1581">
        <f>IFERROR(__xludf.DUMMYFUNCTION("""COMPUTED_VALUE"""),0.13)</f>
        <v>0.13</v>
      </c>
    </row>
    <row r="1582">
      <c r="A1582">
        <f>IFERROR(__xludf.DUMMYFUNCTION("""COMPUTED_VALUE"""),172531.0)</f>
        <v>172531</v>
      </c>
      <c r="B1582" t="str">
        <f>IFERROR(__xludf.DUMMYFUNCTION("""COMPUTED_VALUE"""),"Lamb Variety Meats And By-Products Liver Raw")</f>
        <v>Lamb Variety Meats And By-Products Liver Raw</v>
      </c>
      <c r="C1582" t="str">
        <f>IFERROR(__xludf.DUMMYFUNCTION("""COMPUTED_VALUE"""),"Meats")</f>
        <v>Meats</v>
      </c>
      <c r="D1582">
        <f>IFERROR(__xludf.DUMMYFUNCTION("""COMPUTED_VALUE"""),139.0)</f>
        <v>139</v>
      </c>
      <c r="E1582">
        <f>IFERROR(__xludf.DUMMYFUNCTION("""COMPUTED_VALUE"""),5.02)</f>
        <v>5.02</v>
      </c>
      <c r="F1582">
        <f>IFERROR(__xludf.DUMMYFUNCTION("""COMPUTED_VALUE"""),20.38)</f>
        <v>20.38</v>
      </c>
      <c r="G1582">
        <f>IFERROR(__xludf.DUMMYFUNCTION("""COMPUTED_VALUE"""),1.78)</f>
        <v>1.78</v>
      </c>
    </row>
    <row r="1583">
      <c r="A1583">
        <f>IFERROR(__xludf.DUMMYFUNCTION("""COMPUTED_VALUE"""),172532.0)</f>
        <v>172532</v>
      </c>
      <c r="B1583" t="str">
        <f>IFERROR(__xludf.DUMMYFUNCTION("""COMPUTED_VALUE"""),"Lamb Variety Meats And By-Products Liver Cooked Braised")</f>
        <v>Lamb Variety Meats And By-Products Liver Cooked Braised</v>
      </c>
      <c r="C1583" t="str">
        <f>IFERROR(__xludf.DUMMYFUNCTION("""COMPUTED_VALUE"""),"Meats")</f>
        <v>Meats</v>
      </c>
      <c r="D1583">
        <f>IFERROR(__xludf.DUMMYFUNCTION("""COMPUTED_VALUE"""),220.0)</f>
        <v>220</v>
      </c>
      <c r="E1583">
        <f>IFERROR(__xludf.DUMMYFUNCTION("""COMPUTED_VALUE"""),8.81)</f>
        <v>8.81</v>
      </c>
      <c r="F1583">
        <f>IFERROR(__xludf.DUMMYFUNCTION("""COMPUTED_VALUE"""),30.57)</f>
        <v>30.57</v>
      </c>
      <c r="G1583">
        <f>IFERROR(__xludf.DUMMYFUNCTION("""COMPUTED_VALUE"""),2.53)</f>
        <v>2.53</v>
      </c>
    </row>
    <row r="1584">
      <c r="A1584">
        <f>IFERROR(__xludf.DUMMYFUNCTION("""COMPUTED_VALUE"""),172533.0)</f>
        <v>172533</v>
      </c>
      <c r="B1584" t="str">
        <f>IFERROR(__xludf.DUMMYFUNCTION("""COMPUTED_VALUE"""),"Lamb Liver (Cooked)")</f>
        <v>Lamb Liver (Cooked)</v>
      </c>
      <c r="C1584" t="str">
        <f>IFERROR(__xludf.DUMMYFUNCTION("""COMPUTED_VALUE"""),"Meats")</f>
        <v>Meats</v>
      </c>
      <c r="D1584">
        <f>IFERROR(__xludf.DUMMYFUNCTION("""COMPUTED_VALUE"""),238.0)</f>
        <v>238</v>
      </c>
      <c r="E1584">
        <f>IFERROR(__xludf.DUMMYFUNCTION("""COMPUTED_VALUE"""),12.65)</f>
        <v>12.65</v>
      </c>
      <c r="F1584">
        <f>IFERROR(__xludf.DUMMYFUNCTION("""COMPUTED_VALUE"""),25.53)</f>
        <v>25.53</v>
      </c>
      <c r="G1584">
        <f>IFERROR(__xludf.DUMMYFUNCTION("""COMPUTED_VALUE"""),3.78)</f>
        <v>3.78</v>
      </c>
    </row>
    <row r="1585">
      <c r="A1585">
        <f>IFERROR(__xludf.DUMMYFUNCTION("""COMPUTED_VALUE"""),172534.0)</f>
        <v>172534</v>
      </c>
      <c r="B1585" t="str">
        <f>IFERROR(__xludf.DUMMYFUNCTION("""COMPUTED_VALUE"""),"Veal Variety Meats And By-Products Liver Raw")</f>
        <v>Veal Variety Meats And By-Products Liver Raw</v>
      </c>
      <c r="C1585" t="str">
        <f>IFERROR(__xludf.DUMMYFUNCTION("""COMPUTED_VALUE"""),"Meats")</f>
        <v>Meats</v>
      </c>
      <c r="D1585">
        <f>IFERROR(__xludf.DUMMYFUNCTION("""COMPUTED_VALUE"""),140.0)</f>
        <v>140</v>
      </c>
      <c r="E1585">
        <f>IFERROR(__xludf.DUMMYFUNCTION("""COMPUTED_VALUE"""),4.85)</f>
        <v>4.85</v>
      </c>
      <c r="F1585">
        <f>IFERROR(__xludf.DUMMYFUNCTION("""COMPUTED_VALUE"""),19.93)</f>
        <v>19.93</v>
      </c>
      <c r="G1585">
        <f>IFERROR(__xludf.DUMMYFUNCTION("""COMPUTED_VALUE"""),2.91)</f>
        <v>2.91</v>
      </c>
    </row>
    <row r="1586">
      <c r="A1586">
        <f>IFERROR(__xludf.DUMMYFUNCTION("""COMPUTED_VALUE"""),172535.0)</f>
        <v>172535</v>
      </c>
      <c r="B1586" t="str">
        <f>IFERROR(__xludf.DUMMYFUNCTION("""COMPUTED_VALUE"""),"Veal Variety Meats And By-Products Liver Cooked Braised")</f>
        <v>Veal Variety Meats And By-Products Liver Cooked Braised</v>
      </c>
      <c r="C1586" t="str">
        <f>IFERROR(__xludf.DUMMYFUNCTION("""COMPUTED_VALUE"""),"Meats")</f>
        <v>Meats</v>
      </c>
      <c r="D1586">
        <f>IFERROR(__xludf.DUMMYFUNCTION("""COMPUTED_VALUE"""),192.0)</f>
        <v>192</v>
      </c>
      <c r="E1586">
        <f>IFERROR(__xludf.DUMMYFUNCTION("""COMPUTED_VALUE"""),6.26)</f>
        <v>6.26</v>
      </c>
      <c r="F1586">
        <f>IFERROR(__xludf.DUMMYFUNCTION("""COMPUTED_VALUE"""),28.42)</f>
        <v>28.42</v>
      </c>
      <c r="G1586">
        <f>IFERROR(__xludf.DUMMYFUNCTION("""COMPUTED_VALUE"""),3.77)</f>
        <v>3.77</v>
      </c>
    </row>
    <row r="1587">
      <c r="A1587">
        <f>IFERROR(__xludf.DUMMYFUNCTION("""COMPUTED_VALUE"""),172536.0)</f>
        <v>172536</v>
      </c>
      <c r="B1587" t="str">
        <f>IFERROR(__xludf.DUMMYFUNCTION("""COMPUTED_VALUE"""),"Veal Variety Meats And By-Products Lungs Cooked Braised")</f>
        <v>Veal Variety Meats And By-Products Lungs Cooked Braised</v>
      </c>
      <c r="C1587" t="str">
        <f>IFERROR(__xludf.DUMMYFUNCTION("""COMPUTED_VALUE"""),"Meats")</f>
        <v>Meats</v>
      </c>
      <c r="D1587">
        <f>IFERROR(__xludf.DUMMYFUNCTION("""COMPUTED_VALUE"""),104.0)</f>
        <v>104</v>
      </c>
      <c r="E1587">
        <f>IFERROR(__xludf.DUMMYFUNCTION("""COMPUTED_VALUE"""),2.64)</f>
        <v>2.64</v>
      </c>
      <c r="F1587">
        <f>IFERROR(__xludf.DUMMYFUNCTION("""COMPUTED_VALUE"""),18.74)</f>
        <v>18.74</v>
      </c>
      <c r="G1587">
        <f>IFERROR(__xludf.DUMMYFUNCTION("""COMPUTED_VALUE"""),0.0)</f>
        <v>0</v>
      </c>
    </row>
    <row r="1588">
      <c r="A1588">
        <f>IFERROR(__xludf.DUMMYFUNCTION("""COMPUTED_VALUE"""),172537.0)</f>
        <v>172537</v>
      </c>
      <c r="B1588" t="str">
        <f>IFERROR(__xludf.DUMMYFUNCTION("""COMPUTED_VALUE"""),"Lamb Variety Meats And By-Products Mechanically Separated Raw")</f>
        <v>Lamb Variety Meats And By-Products Mechanically Separated Raw</v>
      </c>
      <c r="C1588" t="str">
        <f>IFERROR(__xludf.DUMMYFUNCTION("""COMPUTED_VALUE"""),"Meats")</f>
        <v>Meats</v>
      </c>
      <c r="D1588">
        <f>IFERROR(__xludf.DUMMYFUNCTION("""COMPUTED_VALUE"""),276.0)</f>
        <v>276</v>
      </c>
      <c r="E1588">
        <f>IFERROR(__xludf.DUMMYFUNCTION("""COMPUTED_VALUE"""),23.54)</f>
        <v>23.54</v>
      </c>
      <c r="F1588">
        <f>IFERROR(__xludf.DUMMYFUNCTION("""COMPUTED_VALUE"""),14.97)</f>
        <v>14.97</v>
      </c>
      <c r="G1588">
        <f>IFERROR(__xludf.DUMMYFUNCTION("""COMPUTED_VALUE"""),0.0)</f>
        <v>0</v>
      </c>
    </row>
    <row r="1589">
      <c r="A1589">
        <f>IFERROR(__xludf.DUMMYFUNCTION("""COMPUTED_VALUE"""),172538.0)</f>
        <v>172538</v>
      </c>
      <c r="B1589" t="str">
        <f>IFERROR(__xludf.DUMMYFUNCTION("""COMPUTED_VALUE"""),"Lamb Variety Meats And By-Products Pancreas Raw")</f>
        <v>Lamb Variety Meats And By-Products Pancreas Raw</v>
      </c>
      <c r="C1589" t="str">
        <f>IFERROR(__xludf.DUMMYFUNCTION("""COMPUTED_VALUE"""),"Meats")</f>
        <v>Meats</v>
      </c>
      <c r="D1589">
        <f>IFERROR(__xludf.DUMMYFUNCTION("""COMPUTED_VALUE"""),152.0)</f>
        <v>152</v>
      </c>
      <c r="E1589">
        <f>IFERROR(__xludf.DUMMYFUNCTION("""COMPUTED_VALUE"""),9.82)</f>
        <v>9.82</v>
      </c>
      <c r="F1589">
        <f>IFERROR(__xludf.DUMMYFUNCTION("""COMPUTED_VALUE"""),14.84)</f>
        <v>14.84</v>
      </c>
      <c r="G1589">
        <f>IFERROR(__xludf.DUMMYFUNCTION("""COMPUTED_VALUE"""),0.0)</f>
        <v>0</v>
      </c>
    </row>
    <row r="1590">
      <c r="A1590">
        <f>IFERROR(__xludf.DUMMYFUNCTION("""COMPUTED_VALUE"""),172539.0)</f>
        <v>172539</v>
      </c>
      <c r="B1590" t="str">
        <f>IFERROR(__xludf.DUMMYFUNCTION("""COMPUTED_VALUE"""),"Lamb Variety Meats And By-Products Pancreas Cooked Braised")</f>
        <v>Lamb Variety Meats And By-Products Pancreas Cooked Braised</v>
      </c>
      <c r="C1590" t="str">
        <f>IFERROR(__xludf.DUMMYFUNCTION("""COMPUTED_VALUE"""),"Meats")</f>
        <v>Meats</v>
      </c>
      <c r="D1590">
        <f>IFERROR(__xludf.DUMMYFUNCTION("""COMPUTED_VALUE"""),234.0)</f>
        <v>234</v>
      </c>
      <c r="E1590">
        <f>IFERROR(__xludf.DUMMYFUNCTION("""COMPUTED_VALUE"""),15.12)</f>
        <v>15.12</v>
      </c>
      <c r="F1590">
        <f>IFERROR(__xludf.DUMMYFUNCTION("""COMPUTED_VALUE"""),22.83)</f>
        <v>22.83</v>
      </c>
      <c r="G1590">
        <f>IFERROR(__xludf.DUMMYFUNCTION("""COMPUTED_VALUE"""),0.0)</f>
        <v>0</v>
      </c>
    </row>
    <row r="1591">
      <c r="A1591">
        <f>IFERROR(__xludf.DUMMYFUNCTION("""COMPUTED_VALUE"""),172540.0)</f>
        <v>172540</v>
      </c>
      <c r="B1591" t="str">
        <f>IFERROR(__xludf.DUMMYFUNCTION("""COMPUTED_VALUE"""),"Veal Variety Meats And By-Products Spleen Raw")</f>
        <v>Veal Variety Meats And By-Products Spleen Raw</v>
      </c>
      <c r="C1591" t="str">
        <f>IFERROR(__xludf.DUMMYFUNCTION("""COMPUTED_VALUE"""),"Meats")</f>
        <v>Meats</v>
      </c>
      <c r="D1591">
        <f>IFERROR(__xludf.DUMMYFUNCTION("""COMPUTED_VALUE"""),98.0)</f>
        <v>98</v>
      </c>
      <c r="E1591">
        <f>IFERROR(__xludf.DUMMYFUNCTION("""COMPUTED_VALUE"""),2.2)</f>
        <v>2.2</v>
      </c>
      <c r="F1591">
        <f>IFERROR(__xludf.DUMMYFUNCTION("""COMPUTED_VALUE"""),18.3)</f>
        <v>18.3</v>
      </c>
      <c r="G1591">
        <f>IFERROR(__xludf.DUMMYFUNCTION("""COMPUTED_VALUE"""),0.0)</f>
        <v>0</v>
      </c>
    </row>
    <row r="1592">
      <c r="A1592">
        <f>IFERROR(__xludf.DUMMYFUNCTION("""COMPUTED_VALUE"""),172541.0)</f>
        <v>172541</v>
      </c>
      <c r="B1592" t="str">
        <f>IFERROR(__xludf.DUMMYFUNCTION("""COMPUTED_VALUE"""),"Veal Variety Meats And By-Products Spleen Cooked Braised")</f>
        <v>Veal Variety Meats And By-Products Spleen Cooked Braised</v>
      </c>
      <c r="C1592" t="str">
        <f>IFERROR(__xludf.DUMMYFUNCTION("""COMPUTED_VALUE"""),"Meats")</f>
        <v>Meats</v>
      </c>
      <c r="D1592">
        <f>IFERROR(__xludf.DUMMYFUNCTION("""COMPUTED_VALUE"""),129.0)</f>
        <v>129</v>
      </c>
      <c r="E1592">
        <f>IFERROR(__xludf.DUMMYFUNCTION("""COMPUTED_VALUE"""),2.89)</f>
        <v>2.89</v>
      </c>
      <c r="F1592">
        <f>IFERROR(__xludf.DUMMYFUNCTION("""COMPUTED_VALUE"""),24.08)</f>
        <v>24.08</v>
      </c>
      <c r="G1592">
        <f>IFERROR(__xludf.DUMMYFUNCTION("""COMPUTED_VALUE"""),0.0)</f>
        <v>0</v>
      </c>
    </row>
    <row r="1593">
      <c r="A1593">
        <f>IFERROR(__xludf.DUMMYFUNCTION("""COMPUTED_VALUE"""),172542.0)</f>
        <v>172542</v>
      </c>
      <c r="B1593" t="str">
        <f>IFERROR(__xludf.DUMMYFUNCTION("""COMPUTED_VALUE"""),"Veal Variety Meats And By-Products Thymus Raw")</f>
        <v>Veal Variety Meats And By-Products Thymus Raw</v>
      </c>
      <c r="C1593" t="str">
        <f>IFERROR(__xludf.DUMMYFUNCTION("""COMPUTED_VALUE"""),"Meats")</f>
        <v>Meats</v>
      </c>
      <c r="D1593">
        <f>IFERROR(__xludf.DUMMYFUNCTION("""COMPUTED_VALUE"""),101.0)</f>
        <v>101</v>
      </c>
      <c r="E1593">
        <f>IFERROR(__xludf.DUMMYFUNCTION("""COMPUTED_VALUE"""),3.07)</f>
        <v>3.07</v>
      </c>
      <c r="F1593">
        <f>IFERROR(__xludf.DUMMYFUNCTION("""COMPUTED_VALUE"""),17.21)</f>
        <v>17.21</v>
      </c>
      <c r="G1593">
        <f>IFERROR(__xludf.DUMMYFUNCTION("""COMPUTED_VALUE"""),0.0)</f>
        <v>0</v>
      </c>
    </row>
    <row r="1594">
      <c r="A1594">
        <f>IFERROR(__xludf.DUMMYFUNCTION("""COMPUTED_VALUE"""),172543.0)</f>
        <v>172543</v>
      </c>
      <c r="B1594" t="str">
        <f>IFERROR(__xludf.DUMMYFUNCTION("""COMPUTED_VALUE"""),"Veal Variety Meats And By-Products Thymus Cooked Braised")</f>
        <v>Veal Variety Meats And By-Products Thymus Cooked Braised</v>
      </c>
      <c r="C1594" t="str">
        <f>IFERROR(__xludf.DUMMYFUNCTION("""COMPUTED_VALUE"""),"Meats")</f>
        <v>Meats</v>
      </c>
      <c r="D1594">
        <f>IFERROR(__xludf.DUMMYFUNCTION("""COMPUTED_VALUE"""),125.0)</f>
        <v>125</v>
      </c>
      <c r="E1594">
        <f>IFERROR(__xludf.DUMMYFUNCTION("""COMPUTED_VALUE"""),3.11)</f>
        <v>3.11</v>
      </c>
      <c r="F1594">
        <f>IFERROR(__xludf.DUMMYFUNCTION("""COMPUTED_VALUE"""),22.67)</f>
        <v>22.67</v>
      </c>
      <c r="G1594">
        <f>IFERROR(__xludf.DUMMYFUNCTION("""COMPUTED_VALUE"""),0.0)</f>
        <v>0</v>
      </c>
    </row>
    <row r="1595">
      <c r="A1595">
        <f>IFERROR(__xludf.DUMMYFUNCTION("""COMPUTED_VALUE"""),172544.0)</f>
        <v>172544</v>
      </c>
      <c r="B1595" t="str">
        <f>IFERROR(__xludf.DUMMYFUNCTION("""COMPUTED_VALUE"""),"Broiled Ground Lamb")</f>
        <v>Broiled Ground Lamb</v>
      </c>
      <c r="C1595" t="str">
        <f>IFERROR(__xludf.DUMMYFUNCTION("""COMPUTED_VALUE"""),"Meats")</f>
        <v>Meats</v>
      </c>
      <c r="D1595">
        <f>IFERROR(__xludf.DUMMYFUNCTION("""COMPUTED_VALUE"""),283.0)</f>
        <v>283</v>
      </c>
      <c r="E1595">
        <f>IFERROR(__xludf.DUMMYFUNCTION("""COMPUTED_VALUE"""),19.65)</f>
        <v>19.65</v>
      </c>
      <c r="F1595">
        <f>IFERROR(__xludf.DUMMYFUNCTION("""COMPUTED_VALUE"""),24.75)</f>
        <v>24.75</v>
      </c>
      <c r="G1595">
        <f>IFERROR(__xludf.DUMMYFUNCTION("""COMPUTED_VALUE"""),0.0)</f>
        <v>0</v>
      </c>
    </row>
    <row r="1596">
      <c r="A1596">
        <f>IFERROR(__xludf.DUMMYFUNCTION("""COMPUTED_VALUE"""),172545.0)</f>
        <v>172545</v>
      </c>
      <c r="B1596" t="str">
        <f>IFERROR(__xludf.DUMMYFUNCTION("""COMPUTED_VALUE"""),"Lamb Domestic Composite Of Trimmed Retail Cuts Separable Lean And Fat Trimmed To 1/8 Inch Fat Choice Raw")</f>
        <v>Lamb Domestic Composite Of Trimmed Retail Cuts Separable Lean And Fat Trimmed To 1/8 Inch Fat Choice Raw</v>
      </c>
      <c r="C1596" t="str">
        <f>IFERROR(__xludf.DUMMYFUNCTION("""COMPUTED_VALUE"""),"Meats")</f>
        <v>Meats</v>
      </c>
      <c r="D1596">
        <f>IFERROR(__xludf.DUMMYFUNCTION("""COMPUTED_VALUE"""),243.0)</f>
        <v>243</v>
      </c>
      <c r="E1596">
        <f>IFERROR(__xludf.DUMMYFUNCTION("""COMPUTED_VALUE"""),18.66)</f>
        <v>18.66</v>
      </c>
      <c r="F1596">
        <f>IFERROR(__xludf.DUMMYFUNCTION("""COMPUTED_VALUE"""),17.54)</f>
        <v>17.54</v>
      </c>
      <c r="G1596">
        <f>IFERROR(__xludf.DUMMYFUNCTION("""COMPUTED_VALUE"""),0.0)</f>
        <v>0</v>
      </c>
    </row>
    <row r="1597">
      <c r="A1597">
        <f>IFERROR(__xludf.DUMMYFUNCTION("""COMPUTED_VALUE"""),172546.0)</f>
        <v>172546</v>
      </c>
      <c r="B1597" t="str">
        <f>IFERROR(__xludf.DUMMYFUNCTION("""COMPUTED_VALUE"""),"Lamb Domestic Composite Of Trimmed Retail Cuts Separable Lean And Fat Trimmed To 1/8 Inch Fat Choice Cooked")</f>
        <v>Lamb Domestic Composite Of Trimmed Retail Cuts Separable Lean And Fat Trimmed To 1/8 Inch Fat Choice Cooked</v>
      </c>
      <c r="C1597" t="str">
        <f>IFERROR(__xludf.DUMMYFUNCTION("""COMPUTED_VALUE"""),"Meats")</f>
        <v>Meats</v>
      </c>
      <c r="D1597">
        <f>IFERROR(__xludf.DUMMYFUNCTION("""COMPUTED_VALUE"""),271.0)</f>
        <v>271</v>
      </c>
      <c r="E1597">
        <f>IFERROR(__xludf.DUMMYFUNCTION("""COMPUTED_VALUE"""),18.01)</f>
        <v>18.01</v>
      </c>
      <c r="F1597">
        <f>IFERROR(__xludf.DUMMYFUNCTION("""COMPUTED_VALUE"""),25.51)</f>
        <v>25.51</v>
      </c>
      <c r="G1597">
        <f>IFERROR(__xludf.DUMMYFUNCTION("""COMPUTED_VALUE"""),0.0)</f>
        <v>0</v>
      </c>
    </row>
    <row r="1598">
      <c r="A1598">
        <f>IFERROR(__xludf.DUMMYFUNCTION("""COMPUTED_VALUE"""),172547.0)</f>
        <v>172547</v>
      </c>
      <c r="B1598" t="str">
        <f>IFERROR(__xludf.DUMMYFUNCTION("""COMPUTED_VALUE"""),"Lamb Domestic Foreshank Separable Lean And Fat Trimmed To 1/8 Inch Fat Choice Raw")</f>
        <v>Lamb Domestic Foreshank Separable Lean And Fat Trimmed To 1/8 Inch Fat Choice Raw</v>
      </c>
      <c r="C1598" t="str">
        <f>IFERROR(__xludf.DUMMYFUNCTION("""COMPUTED_VALUE"""),"Meats")</f>
        <v>Meats</v>
      </c>
      <c r="D1598">
        <f>IFERROR(__xludf.DUMMYFUNCTION("""COMPUTED_VALUE"""),201.0)</f>
        <v>201</v>
      </c>
      <c r="E1598">
        <f>IFERROR(__xludf.DUMMYFUNCTION("""COMPUTED_VALUE"""),13.38)</f>
        <v>13.38</v>
      </c>
      <c r="F1598">
        <f>IFERROR(__xludf.DUMMYFUNCTION("""COMPUTED_VALUE"""),18.91)</f>
        <v>18.91</v>
      </c>
      <c r="G1598">
        <f>IFERROR(__xludf.DUMMYFUNCTION("""COMPUTED_VALUE"""),0.0)</f>
        <v>0</v>
      </c>
    </row>
    <row r="1599">
      <c r="A1599">
        <f>IFERROR(__xludf.DUMMYFUNCTION("""COMPUTED_VALUE"""),172548.0)</f>
        <v>172548</v>
      </c>
      <c r="B1599" t="str">
        <f>IFERROR(__xludf.DUMMYFUNCTION("""COMPUTED_VALUE"""),"Lamb Domestic Leg Shank Half Separable Lean And Fat Trimmed To 1/8 Inch Fat Choice Cooked Roasted")</f>
        <v>Lamb Domestic Leg Shank Half Separable Lean And Fat Trimmed To 1/8 Inch Fat Choice Cooked Roasted</v>
      </c>
      <c r="C1599" t="str">
        <f>IFERROR(__xludf.DUMMYFUNCTION("""COMPUTED_VALUE"""),"Meats")</f>
        <v>Meats</v>
      </c>
      <c r="D1599">
        <f>IFERROR(__xludf.DUMMYFUNCTION("""COMPUTED_VALUE"""),217.0)</f>
        <v>217</v>
      </c>
      <c r="E1599">
        <f>IFERROR(__xludf.DUMMYFUNCTION("""COMPUTED_VALUE"""),11.4)</f>
        <v>11.4</v>
      </c>
      <c r="F1599">
        <f>IFERROR(__xludf.DUMMYFUNCTION("""COMPUTED_VALUE"""),26.73)</f>
        <v>26.73</v>
      </c>
      <c r="G1599">
        <f>IFERROR(__xludf.DUMMYFUNCTION("""COMPUTED_VALUE"""),0.0)</f>
        <v>0</v>
      </c>
    </row>
    <row r="1600">
      <c r="A1600">
        <f>IFERROR(__xludf.DUMMYFUNCTION("""COMPUTED_VALUE"""),172549.0)</f>
        <v>172549</v>
      </c>
      <c r="B1600" t="str">
        <f>IFERROR(__xludf.DUMMYFUNCTION("""COMPUTED_VALUE"""),"Lamb Domestic Leg Sirloin Half Separable Lean And Fat Trimmed To 1/8 Inch Fat Choice Raw")</f>
        <v>Lamb Domestic Leg Sirloin Half Separable Lean And Fat Trimmed To 1/8 Inch Fat Choice Raw</v>
      </c>
      <c r="C1600" t="str">
        <f>IFERROR(__xludf.DUMMYFUNCTION("""COMPUTED_VALUE"""),"Meats")</f>
        <v>Meats</v>
      </c>
      <c r="D1600">
        <f>IFERROR(__xludf.DUMMYFUNCTION("""COMPUTED_VALUE"""),261.0)</f>
        <v>261</v>
      </c>
      <c r="E1600">
        <f>IFERROR(__xludf.DUMMYFUNCTION("""COMPUTED_VALUE"""),20.8)</f>
        <v>20.8</v>
      </c>
      <c r="F1600">
        <f>IFERROR(__xludf.DUMMYFUNCTION("""COMPUTED_VALUE"""),17.21)</f>
        <v>17.21</v>
      </c>
      <c r="G1600">
        <f>IFERROR(__xludf.DUMMYFUNCTION("""COMPUTED_VALUE"""),0.0)</f>
        <v>0</v>
      </c>
    </row>
    <row r="1601">
      <c r="A1601">
        <f>IFERROR(__xludf.DUMMYFUNCTION("""COMPUTED_VALUE"""),172550.0)</f>
        <v>172550</v>
      </c>
      <c r="B1601" t="str">
        <f>IFERROR(__xludf.DUMMYFUNCTION("""COMPUTED_VALUE"""),"Lamb Domestic Leg Sirloin Half Separable Lean And Fat Trimmed To 1/8 Inch Fat Choice Cooked Roasted")</f>
        <v>Lamb Domestic Leg Sirloin Half Separable Lean And Fat Trimmed To 1/8 Inch Fat Choice Cooked Roasted</v>
      </c>
      <c r="C1601" t="str">
        <f>IFERROR(__xludf.DUMMYFUNCTION("""COMPUTED_VALUE"""),"Meats")</f>
        <v>Meats</v>
      </c>
      <c r="D1601">
        <f>IFERROR(__xludf.DUMMYFUNCTION("""COMPUTED_VALUE"""),284.0)</f>
        <v>284</v>
      </c>
      <c r="E1601">
        <f>IFERROR(__xludf.DUMMYFUNCTION("""COMPUTED_VALUE"""),19.67)</f>
        <v>19.67</v>
      </c>
      <c r="F1601">
        <f>IFERROR(__xludf.DUMMYFUNCTION("""COMPUTED_VALUE"""),24.95)</f>
        <v>24.95</v>
      </c>
      <c r="G1601">
        <f>IFERROR(__xludf.DUMMYFUNCTION("""COMPUTED_VALUE"""),0.0)</f>
        <v>0</v>
      </c>
    </row>
    <row r="1602">
      <c r="A1602">
        <f>IFERROR(__xludf.DUMMYFUNCTION("""COMPUTED_VALUE"""),172551.0)</f>
        <v>172551</v>
      </c>
      <c r="B1602" t="str">
        <f>IFERROR(__xludf.DUMMYFUNCTION("""COMPUTED_VALUE"""),"Lamb Domestic Loin Separable Lean And Fat Trimmed To 1/8 Inch Fat Choice Raw")</f>
        <v>Lamb Domestic Loin Separable Lean And Fat Trimmed To 1/8 Inch Fat Choice Raw</v>
      </c>
      <c r="C1602" t="str">
        <f>IFERROR(__xludf.DUMMYFUNCTION("""COMPUTED_VALUE"""),"Meats")</f>
        <v>Meats</v>
      </c>
      <c r="D1602">
        <f>IFERROR(__xludf.DUMMYFUNCTION("""COMPUTED_VALUE"""),279.0)</f>
        <v>279</v>
      </c>
      <c r="E1602">
        <f>IFERROR(__xludf.DUMMYFUNCTION("""COMPUTED_VALUE"""),22.75)</f>
        <v>22.75</v>
      </c>
      <c r="F1602">
        <f>IFERROR(__xludf.DUMMYFUNCTION("""COMPUTED_VALUE"""),17.18)</f>
        <v>17.18</v>
      </c>
      <c r="G1602">
        <f>IFERROR(__xludf.DUMMYFUNCTION("""COMPUTED_VALUE"""),0.0)</f>
        <v>0</v>
      </c>
    </row>
    <row r="1603">
      <c r="A1603">
        <f>IFERROR(__xludf.DUMMYFUNCTION("""COMPUTED_VALUE"""),172552.0)</f>
        <v>172552</v>
      </c>
      <c r="B1603" t="str">
        <f>IFERROR(__xludf.DUMMYFUNCTION("""COMPUTED_VALUE"""),"Lamb Domestic Rib Separable Lean And Fat Trimmed To 1/8 Inch Fat Choice Cooked Roasted")</f>
        <v>Lamb Domestic Rib Separable Lean And Fat Trimmed To 1/8 Inch Fat Choice Cooked Roasted</v>
      </c>
      <c r="C1603" t="str">
        <f>IFERROR(__xludf.DUMMYFUNCTION("""COMPUTED_VALUE"""),"Meats")</f>
        <v>Meats</v>
      </c>
      <c r="D1603">
        <f>IFERROR(__xludf.DUMMYFUNCTION("""COMPUTED_VALUE"""),341.0)</f>
        <v>341</v>
      </c>
      <c r="E1603">
        <f>IFERROR(__xludf.DUMMYFUNCTION("""COMPUTED_VALUE"""),27.53)</f>
        <v>27.53</v>
      </c>
      <c r="F1603">
        <f>IFERROR(__xludf.DUMMYFUNCTION("""COMPUTED_VALUE"""),21.82)</f>
        <v>21.82</v>
      </c>
      <c r="G1603">
        <f>IFERROR(__xludf.DUMMYFUNCTION("""COMPUTED_VALUE"""),0.0)</f>
        <v>0</v>
      </c>
    </row>
    <row r="1604">
      <c r="A1604">
        <f>IFERROR(__xludf.DUMMYFUNCTION("""COMPUTED_VALUE"""),172553.0)</f>
        <v>172553</v>
      </c>
      <c r="B1604" t="str">
        <f>IFERROR(__xludf.DUMMYFUNCTION("""COMPUTED_VALUE"""),"Lamb Domestic Shoulder Whole (Arm And Blade) Separable Lean And Fat Trimmed To 1/8 Inch Fat Choice Raw")</f>
        <v>Lamb Domestic Shoulder Whole (Arm And Blade) Separable Lean And Fat Trimmed To 1/8 Inch Fat Choice Raw</v>
      </c>
      <c r="C1604" t="str">
        <f>IFERROR(__xludf.DUMMYFUNCTION("""COMPUTED_VALUE"""),"Meats")</f>
        <v>Meats</v>
      </c>
      <c r="D1604">
        <f>IFERROR(__xludf.DUMMYFUNCTION("""COMPUTED_VALUE"""),244.0)</f>
        <v>244</v>
      </c>
      <c r="E1604">
        <f>IFERROR(__xludf.DUMMYFUNCTION("""COMPUTED_VALUE"""),18.96)</f>
        <v>18.96</v>
      </c>
      <c r="F1604">
        <f>IFERROR(__xludf.DUMMYFUNCTION("""COMPUTED_VALUE"""),17.07)</f>
        <v>17.07</v>
      </c>
      <c r="G1604">
        <f>IFERROR(__xludf.DUMMYFUNCTION("""COMPUTED_VALUE"""),0.0)</f>
        <v>0</v>
      </c>
    </row>
    <row r="1605">
      <c r="A1605">
        <f>IFERROR(__xludf.DUMMYFUNCTION("""COMPUTED_VALUE"""),172554.0)</f>
        <v>172554</v>
      </c>
      <c r="B1605" t="str">
        <f>IFERROR(__xludf.DUMMYFUNCTION("""COMPUTED_VALUE"""),"Lamb Domestic Shoulder Whole (Arm And Blade) Separable Lean And Fat Trimmed To 1/8 Inch Fat Choice Cooked Braised")</f>
        <v>Lamb Domestic Shoulder Whole (Arm And Blade) Separable Lean And Fat Trimmed To 1/8 Inch Fat Choice Cooked Braised</v>
      </c>
      <c r="C1605" t="str">
        <f>IFERROR(__xludf.DUMMYFUNCTION("""COMPUTED_VALUE"""),"Meats")</f>
        <v>Meats</v>
      </c>
      <c r="D1605">
        <f>IFERROR(__xludf.DUMMYFUNCTION("""COMPUTED_VALUE"""),338.0)</f>
        <v>338</v>
      </c>
      <c r="E1605">
        <f>IFERROR(__xludf.DUMMYFUNCTION("""COMPUTED_VALUE"""),23.57)</f>
        <v>23.57</v>
      </c>
      <c r="F1605">
        <f>IFERROR(__xludf.DUMMYFUNCTION("""COMPUTED_VALUE"""),29.46)</f>
        <v>29.46</v>
      </c>
      <c r="G1605">
        <f>IFERROR(__xludf.DUMMYFUNCTION("""COMPUTED_VALUE"""),0.0)</f>
        <v>0</v>
      </c>
    </row>
    <row r="1606">
      <c r="A1606">
        <f>IFERROR(__xludf.DUMMYFUNCTION("""COMPUTED_VALUE"""),172555.0)</f>
        <v>172555</v>
      </c>
      <c r="B1606" t="str">
        <f>IFERROR(__xludf.DUMMYFUNCTION("""COMPUTED_VALUE"""),"Lamb Domestic Shoulder Whole (Arm And Blade) Separable Lean And Fat Trimmed To 1/8 Inch Fat Choice Cooked Broiled")</f>
        <v>Lamb Domestic Shoulder Whole (Arm And Blade) Separable Lean And Fat Trimmed To 1/8 Inch Fat Choice Cooked Broiled</v>
      </c>
      <c r="C1606" t="str">
        <f>IFERROR(__xludf.DUMMYFUNCTION("""COMPUTED_VALUE"""),"Meats")</f>
        <v>Meats</v>
      </c>
      <c r="D1606">
        <f>IFERROR(__xludf.DUMMYFUNCTION("""COMPUTED_VALUE"""),268.0)</f>
        <v>268</v>
      </c>
      <c r="E1606">
        <f>IFERROR(__xludf.DUMMYFUNCTION("""COMPUTED_VALUE"""),18.39)</f>
        <v>18.39</v>
      </c>
      <c r="F1606">
        <f>IFERROR(__xludf.DUMMYFUNCTION("""COMPUTED_VALUE"""),23.84)</f>
        <v>23.84</v>
      </c>
      <c r="G1606">
        <f>IFERROR(__xludf.DUMMYFUNCTION("""COMPUTED_VALUE"""),0.0)</f>
        <v>0</v>
      </c>
    </row>
    <row r="1607">
      <c r="A1607">
        <f>IFERROR(__xludf.DUMMYFUNCTION("""COMPUTED_VALUE"""),172556.0)</f>
        <v>172556</v>
      </c>
      <c r="B1607" t="str">
        <f>IFERROR(__xludf.DUMMYFUNCTION("""COMPUTED_VALUE"""),"Lamb Domestic Shoulder Blade Separable Lean And Fat Trimmed To 1/8 Inch Fat Choice Raw")</f>
        <v>Lamb Domestic Shoulder Blade Separable Lean And Fat Trimmed To 1/8 Inch Fat Choice Raw</v>
      </c>
      <c r="C1607" t="str">
        <f>IFERROR(__xludf.DUMMYFUNCTION("""COMPUTED_VALUE"""),"Meats")</f>
        <v>Meats</v>
      </c>
      <c r="D1607">
        <f>IFERROR(__xludf.DUMMYFUNCTION("""COMPUTED_VALUE"""),244.0)</f>
        <v>244</v>
      </c>
      <c r="E1607">
        <f>IFERROR(__xludf.DUMMYFUNCTION("""COMPUTED_VALUE"""),18.97)</f>
        <v>18.97</v>
      </c>
      <c r="F1607">
        <f>IFERROR(__xludf.DUMMYFUNCTION("""COMPUTED_VALUE"""),17.01)</f>
        <v>17.01</v>
      </c>
      <c r="G1607">
        <f>IFERROR(__xludf.DUMMYFUNCTION("""COMPUTED_VALUE"""),0.0)</f>
        <v>0</v>
      </c>
    </row>
    <row r="1608">
      <c r="A1608">
        <f>IFERROR(__xludf.DUMMYFUNCTION("""COMPUTED_VALUE"""),172557.0)</f>
        <v>172557</v>
      </c>
      <c r="B1608" t="str">
        <f>IFERROR(__xludf.DUMMYFUNCTION("""COMPUTED_VALUE"""),"Lamb Domestic Shoulder Blade Separable Lean And Fat Trimmed To 1/8 Inch Fat Choice Cooked Braised")</f>
        <v>Lamb Domestic Shoulder Blade Separable Lean And Fat Trimmed To 1/8 Inch Fat Choice Cooked Braised</v>
      </c>
      <c r="C1608" t="str">
        <f>IFERROR(__xludf.DUMMYFUNCTION("""COMPUTED_VALUE"""),"Meats")</f>
        <v>Meats</v>
      </c>
      <c r="D1608">
        <f>IFERROR(__xludf.DUMMYFUNCTION("""COMPUTED_VALUE"""),339.0)</f>
        <v>339</v>
      </c>
      <c r="E1608">
        <f>IFERROR(__xludf.DUMMYFUNCTION("""COMPUTED_VALUE"""),23.88)</f>
        <v>23.88</v>
      </c>
      <c r="F1608">
        <f>IFERROR(__xludf.DUMMYFUNCTION("""COMPUTED_VALUE"""),28.92)</f>
        <v>28.92</v>
      </c>
      <c r="G1608">
        <f>IFERROR(__xludf.DUMMYFUNCTION("""COMPUTED_VALUE"""),0.0)</f>
        <v>0</v>
      </c>
    </row>
    <row r="1609">
      <c r="A1609">
        <f>IFERROR(__xludf.DUMMYFUNCTION("""COMPUTED_VALUE"""),172558.0)</f>
        <v>172558</v>
      </c>
      <c r="B1609" t="str">
        <f>IFERROR(__xludf.DUMMYFUNCTION("""COMPUTED_VALUE"""),"Lamb Domestic Shoulder Blade Separable Lean And Fat Trimmed To 1/8 Inch Fat Choice Cooked Broiled")</f>
        <v>Lamb Domestic Shoulder Blade Separable Lean And Fat Trimmed To 1/8 Inch Fat Choice Cooked Broiled</v>
      </c>
      <c r="C1609" t="str">
        <f>IFERROR(__xludf.DUMMYFUNCTION("""COMPUTED_VALUE"""),"Meats")</f>
        <v>Meats</v>
      </c>
      <c r="D1609">
        <f>IFERROR(__xludf.DUMMYFUNCTION("""COMPUTED_VALUE"""),267.0)</f>
        <v>267</v>
      </c>
      <c r="E1609">
        <f>IFERROR(__xludf.DUMMYFUNCTION("""COMPUTED_VALUE"""),18.5)</f>
        <v>18.5</v>
      </c>
      <c r="F1609">
        <f>IFERROR(__xludf.DUMMYFUNCTION("""COMPUTED_VALUE"""),23.48)</f>
        <v>23.48</v>
      </c>
      <c r="G1609">
        <f>IFERROR(__xludf.DUMMYFUNCTION("""COMPUTED_VALUE"""),0.0)</f>
        <v>0</v>
      </c>
    </row>
    <row r="1610">
      <c r="A1610">
        <f>IFERROR(__xludf.DUMMYFUNCTION("""COMPUTED_VALUE"""),172559.0)</f>
        <v>172559</v>
      </c>
      <c r="B1610" t="str">
        <f>IFERROR(__xludf.DUMMYFUNCTION("""COMPUTED_VALUE"""),"Lamb Domestic Shoulder Blade Separable Lean And Fat Trimmed To 1/8 Inch Fat Choice Cooked Roasted")</f>
        <v>Lamb Domestic Shoulder Blade Separable Lean And Fat Trimmed To 1/8 Inch Fat Choice Cooked Roasted</v>
      </c>
      <c r="C1610" t="str">
        <f>IFERROR(__xludf.DUMMYFUNCTION("""COMPUTED_VALUE"""),"Meats")</f>
        <v>Meats</v>
      </c>
      <c r="D1610">
        <f>IFERROR(__xludf.DUMMYFUNCTION("""COMPUTED_VALUE"""),270.0)</f>
        <v>270</v>
      </c>
      <c r="E1610">
        <f>IFERROR(__xludf.DUMMYFUNCTION("""COMPUTED_VALUE"""),19.19)</f>
        <v>19.19</v>
      </c>
      <c r="F1610">
        <f>IFERROR(__xludf.DUMMYFUNCTION("""COMPUTED_VALUE"""),22.62)</f>
        <v>22.62</v>
      </c>
      <c r="G1610">
        <f>IFERROR(__xludf.DUMMYFUNCTION("""COMPUTED_VALUE"""),0.0)</f>
        <v>0</v>
      </c>
    </row>
    <row r="1611">
      <c r="A1611">
        <f>IFERROR(__xludf.DUMMYFUNCTION("""COMPUTED_VALUE"""),172560.0)</f>
        <v>172560</v>
      </c>
      <c r="B1611" t="str">
        <f>IFERROR(__xludf.DUMMYFUNCTION("""COMPUTED_VALUE"""),"Lamb New Zealand Imported Frozen Leg Whole (Shank And Sirloin) Separable Lean And Fat Trimmed To 1/8 Inch Fat Raw")</f>
        <v>Lamb New Zealand Imported Frozen Leg Whole (Shank And Sirloin) Separable Lean And Fat Trimmed To 1/8 Inch Fat Raw</v>
      </c>
      <c r="C1611" t="str">
        <f>IFERROR(__xludf.DUMMYFUNCTION("""COMPUTED_VALUE"""),"Meats")</f>
        <v>Meats</v>
      </c>
      <c r="D1611">
        <f>IFERROR(__xludf.DUMMYFUNCTION("""COMPUTED_VALUE"""),201.0)</f>
        <v>201</v>
      </c>
      <c r="E1611">
        <f>IFERROR(__xludf.DUMMYFUNCTION("""COMPUTED_VALUE"""),13.37)</f>
        <v>13.37</v>
      </c>
      <c r="F1611">
        <f>IFERROR(__xludf.DUMMYFUNCTION("""COMPUTED_VALUE"""),18.76)</f>
        <v>18.76</v>
      </c>
      <c r="G1611">
        <f>IFERROR(__xludf.DUMMYFUNCTION("""COMPUTED_VALUE"""),0.0)</f>
        <v>0</v>
      </c>
    </row>
    <row r="1612">
      <c r="A1612">
        <f>IFERROR(__xludf.DUMMYFUNCTION("""COMPUTED_VALUE"""),172561.0)</f>
        <v>172561</v>
      </c>
      <c r="B1612" t="str">
        <f>IFERROR(__xludf.DUMMYFUNCTION("""COMPUTED_VALUE"""),"Lamb New Zealand Imported Frozen Leg Whole (Shank And Sirloin) Separable Lean And Fat Trimmed To 1/8 Inch Fat Cooked Roasted")</f>
        <v>Lamb New Zealand Imported Frozen Leg Whole (Shank And Sirloin) Separable Lean And Fat Trimmed To 1/8 Inch Fat Cooked Roasted</v>
      </c>
      <c r="C1612" t="str">
        <f>IFERROR(__xludf.DUMMYFUNCTION("""COMPUTED_VALUE"""),"Meats")</f>
        <v>Meats</v>
      </c>
      <c r="D1612">
        <f>IFERROR(__xludf.DUMMYFUNCTION("""COMPUTED_VALUE"""),234.0)</f>
        <v>234</v>
      </c>
      <c r="E1612">
        <f>IFERROR(__xludf.DUMMYFUNCTION("""COMPUTED_VALUE"""),13.95)</f>
        <v>13.95</v>
      </c>
      <c r="F1612">
        <f>IFERROR(__xludf.DUMMYFUNCTION("""COMPUTED_VALUE"""),25.34)</f>
        <v>25.34</v>
      </c>
      <c r="G1612">
        <f>IFERROR(__xludf.DUMMYFUNCTION("""COMPUTED_VALUE"""),0.0)</f>
        <v>0</v>
      </c>
    </row>
    <row r="1613">
      <c r="A1613">
        <f>IFERROR(__xludf.DUMMYFUNCTION("""COMPUTED_VALUE"""),172562.0)</f>
        <v>172562</v>
      </c>
      <c r="B1613" t="str">
        <f>IFERROR(__xludf.DUMMYFUNCTION("""COMPUTED_VALUE"""),"Lamb New Zealand Imported Frozen Loin Separable Lean And Fat Trimmed To 1/8 Inch Fat Raw")</f>
        <v>Lamb New Zealand Imported Frozen Loin Separable Lean And Fat Trimmed To 1/8 Inch Fat Raw</v>
      </c>
      <c r="C1613" t="str">
        <f>IFERROR(__xludf.DUMMYFUNCTION("""COMPUTED_VALUE"""),"Meats")</f>
        <v>Meats</v>
      </c>
      <c r="D1613">
        <f>IFERROR(__xludf.DUMMYFUNCTION("""COMPUTED_VALUE"""),273.0)</f>
        <v>273</v>
      </c>
      <c r="E1613">
        <f>IFERROR(__xludf.DUMMYFUNCTION("""COMPUTED_VALUE"""),22.1)</f>
        <v>22.1</v>
      </c>
      <c r="F1613">
        <f>IFERROR(__xludf.DUMMYFUNCTION("""COMPUTED_VALUE"""),17.18)</f>
        <v>17.18</v>
      </c>
      <c r="G1613">
        <f>IFERROR(__xludf.DUMMYFUNCTION("""COMPUTED_VALUE"""),0.0)</f>
        <v>0</v>
      </c>
    </row>
    <row r="1614">
      <c r="A1614">
        <f>IFERROR(__xludf.DUMMYFUNCTION("""COMPUTED_VALUE"""),172563.0)</f>
        <v>172563</v>
      </c>
      <c r="B1614" t="str">
        <f>IFERROR(__xludf.DUMMYFUNCTION("""COMPUTED_VALUE"""),"Lamb New Zealand Imported Frozen Loin Separable Lean And Fat Trimmed To 1/8 Inch Fat Cooked Broiled")</f>
        <v>Lamb New Zealand Imported Frozen Loin Separable Lean And Fat Trimmed To 1/8 Inch Fat Cooked Broiled</v>
      </c>
      <c r="C1614" t="str">
        <f>IFERROR(__xludf.DUMMYFUNCTION("""COMPUTED_VALUE"""),"Meats")</f>
        <v>Meats</v>
      </c>
      <c r="D1614">
        <f>IFERROR(__xludf.DUMMYFUNCTION("""COMPUTED_VALUE"""),296.0)</f>
        <v>296</v>
      </c>
      <c r="E1614">
        <f>IFERROR(__xludf.DUMMYFUNCTION("""COMPUTED_VALUE"""),21.28)</f>
        <v>21.28</v>
      </c>
      <c r="F1614">
        <f>IFERROR(__xludf.DUMMYFUNCTION("""COMPUTED_VALUE"""),24.41)</f>
        <v>24.41</v>
      </c>
      <c r="G1614">
        <f>IFERROR(__xludf.DUMMYFUNCTION("""COMPUTED_VALUE"""),0.0)</f>
        <v>0</v>
      </c>
    </row>
    <row r="1615">
      <c r="A1615">
        <f>IFERROR(__xludf.DUMMYFUNCTION("""COMPUTED_VALUE"""),172564.0)</f>
        <v>172564</v>
      </c>
      <c r="B1615" t="str">
        <f>IFERROR(__xludf.DUMMYFUNCTION("""COMPUTED_VALUE"""),"Game Meat Bison Top Sirloin Separable Lean Only Trimmed To 0 Inch Fat Raw")</f>
        <v>Game Meat Bison Top Sirloin Separable Lean Only Trimmed To 0 Inch Fat Raw</v>
      </c>
      <c r="C1615" t="str">
        <f>IFERROR(__xludf.DUMMYFUNCTION("""COMPUTED_VALUE"""),"Meats")</f>
        <v>Meats</v>
      </c>
      <c r="D1615">
        <f>IFERROR(__xludf.DUMMYFUNCTION("""COMPUTED_VALUE"""),113.0)</f>
        <v>113</v>
      </c>
      <c r="E1615">
        <f>IFERROR(__xludf.DUMMYFUNCTION("""COMPUTED_VALUE"""),2.4)</f>
        <v>2.4</v>
      </c>
      <c r="F1615">
        <f>IFERROR(__xludf.DUMMYFUNCTION("""COMPUTED_VALUE"""),21.4)</f>
        <v>21.4</v>
      </c>
      <c r="G1615">
        <f>IFERROR(__xludf.DUMMYFUNCTION("""COMPUTED_VALUE"""),0.0)</f>
        <v>0</v>
      </c>
    </row>
    <row r="1616">
      <c r="A1616">
        <f>IFERROR(__xludf.DUMMYFUNCTION("""COMPUTED_VALUE"""),172565.0)</f>
        <v>172565</v>
      </c>
      <c r="B1616" t="str">
        <f>IFERROR(__xludf.DUMMYFUNCTION("""COMPUTED_VALUE"""),"Game Meat Bison Ribeye Separable Lean Only Trimmed To 0 Inch Fat Raw")</f>
        <v>Game Meat Bison Ribeye Separable Lean Only Trimmed To 0 Inch Fat Raw</v>
      </c>
      <c r="C1616" t="str">
        <f>IFERROR(__xludf.DUMMYFUNCTION("""COMPUTED_VALUE"""),"Meats")</f>
        <v>Meats</v>
      </c>
      <c r="D1616">
        <f>IFERROR(__xludf.DUMMYFUNCTION("""COMPUTED_VALUE"""),116.0)</f>
        <v>116</v>
      </c>
      <c r="E1616">
        <f>IFERROR(__xludf.DUMMYFUNCTION("""COMPUTED_VALUE"""),2.4)</f>
        <v>2.4</v>
      </c>
      <c r="F1616">
        <f>IFERROR(__xludf.DUMMYFUNCTION("""COMPUTED_VALUE"""),22.1)</f>
        <v>22.1</v>
      </c>
      <c r="G1616">
        <f>IFERROR(__xludf.DUMMYFUNCTION("""COMPUTED_VALUE"""),0.0)</f>
        <v>0</v>
      </c>
    </row>
    <row r="1617">
      <c r="A1617">
        <f>IFERROR(__xludf.DUMMYFUNCTION("""COMPUTED_VALUE"""),172566.0)</f>
        <v>172566</v>
      </c>
      <c r="B1617" t="str">
        <f>IFERROR(__xludf.DUMMYFUNCTION("""COMPUTED_VALUE"""),"Game Meat Bison Shoulder Clod Separable Lean Only Trimmed To 0 Inch Fat Raw")</f>
        <v>Game Meat Bison Shoulder Clod Separable Lean Only Trimmed To 0 Inch Fat Raw</v>
      </c>
      <c r="C1617" t="str">
        <f>IFERROR(__xludf.DUMMYFUNCTION("""COMPUTED_VALUE"""),"Meats")</f>
        <v>Meats</v>
      </c>
      <c r="D1617">
        <f>IFERROR(__xludf.DUMMYFUNCTION("""COMPUTED_VALUE"""),109.0)</f>
        <v>109</v>
      </c>
      <c r="E1617">
        <f>IFERROR(__xludf.DUMMYFUNCTION("""COMPUTED_VALUE"""),2.1)</f>
        <v>2.1</v>
      </c>
      <c r="F1617">
        <f>IFERROR(__xludf.DUMMYFUNCTION("""COMPUTED_VALUE"""),21.1)</f>
        <v>21.1</v>
      </c>
      <c r="G1617">
        <f>IFERROR(__xludf.DUMMYFUNCTION("""COMPUTED_VALUE"""),0.0)</f>
        <v>0</v>
      </c>
    </row>
    <row r="1618">
      <c r="A1618">
        <f>IFERROR(__xludf.DUMMYFUNCTION("""COMPUTED_VALUE"""),172567.0)</f>
        <v>172567</v>
      </c>
      <c r="B1618" t="str">
        <f>IFERROR(__xludf.DUMMYFUNCTION("""COMPUTED_VALUE"""),"Veal Breast Separable Fat Cooked")</f>
        <v>Veal Breast Separable Fat Cooked</v>
      </c>
      <c r="C1618" t="str">
        <f>IFERROR(__xludf.DUMMYFUNCTION("""COMPUTED_VALUE"""),"Meats")</f>
        <v>Meats</v>
      </c>
      <c r="D1618">
        <f>IFERROR(__xludf.DUMMYFUNCTION("""COMPUTED_VALUE"""),521.0)</f>
        <v>521</v>
      </c>
      <c r="E1618">
        <f>IFERROR(__xludf.DUMMYFUNCTION("""COMPUTED_VALUE"""),53.35)</f>
        <v>53.35</v>
      </c>
      <c r="F1618">
        <f>IFERROR(__xludf.DUMMYFUNCTION("""COMPUTED_VALUE"""),9.4)</f>
        <v>9.4</v>
      </c>
      <c r="G1618">
        <f>IFERROR(__xludf.DUMMYFUNCTION("""COMPUTED_VALUE"""),0.0)</f>
        <v>0</v>
      </c>
    </row>
    <row r="1619">
      <c r="A1619">
        <f>IFERROR(__xludf.DUMMYFUNCTION("""COMPUTED_VALUE"""),172568.0)</f>
        <v>172568</v>
      </c>
      <c r="B1619" t="str">
        <f>IFERROR(__xludf.DUMMYFUNCTION("""COMPUTED_VALUE"""),"Veal Shank (Fore And Hind) Separable Lean And Fat Raw")</f>
        <v>Veal Shank (Fore And Hind) Separable Lean And Fat Raw</v>
      </c>
      <c r="C1619" t="str">
        <f>IFERROR(__xludf.DUMMYFUNCTION("""COMPUTED_VALUE"""),"Meats")</f>
        <v>Meats</v>
      </c>
      <c r="D1619">
        <f>IFERROR(__xludf.DUMMYFUNCTION("""COMPUTED_VALUE"""),113.0)</f>
        <v>113</v>
      </c>
      <c r="E1619">
        <f>IFERROR(__xludf.DUMMYFUNCTION("""COMPUTED_VALUE"""),3.48)</f>
        <v>3.48</v>
      </c>
      <c r="F1619">
        <f>IFERROR(__xludf.DUMMYFUNCTION("""COMPUTED_VALUE"""),19.15)</f>
        <v>19.15</v>
      </c>
      <c r="G1619">
        <f>IFERROR(__xludf.DUMMYFUNCTION("""COMPUTED_VALUE"""),0.0)</f>
        <v>0</v>
      </c>
    </row>
    <row r="1620">
      <c r="A1620">
        <f>IFERROR(__xludf.DUMMYFUNCTION("""COMPUTED_VALUE"""),172569.0)</f>
        <v>172569</v>
      </c>
      <c r="B1620" t="str">
        <f>IFERROR(__xludf.DUMMYFUNCTION("""COMPUTED_VALUE"""),"Veal Shank (Fore And Hind) Separable Lean And Fat Cooked Braised")</f>
        <v>Veal Shank (Fore And Hind) Separable Lean And Fat Cooked Braised</v>
      </c>
      <c r="C1620" t="str">
        <f>IFERROR(__xludf.DUMMYFUNCTION("""COMPUTED_VALUE"""),"Meats")</f>
        <v>Meats</v>
      </c>
      <c r="D1620">
        <f>IFERROR(__xludf.DUMMYFUNCTION("""COMPUTED_VALUE"""),191.0)</f>
        <v>191</v>
      </c>
      <c r="E1620">
        <f>IFERROR(__xludf.DUMMYFUNCTION("""COMPUTED_VALUE"""),6.2)</f>
        <v>6.2</v>
      </c>
      <c r="F1620">
        <f>IFERROR(__xludf.DUMMYFUNCTION("""COMPUTED_VALUE"""),31.54)</f>
        <v>31.54</v>
      </c>
      <c r="G1620">
        <f>IFERROR(__xludf.DUMMYFUNCTION("""COMPUTED_VALUE"""),0.0)</f>
        <v>0</v>
      </c>
    </row>
    <row r="1621">
      <c r="A1621">
        <f>IFERROR(__xludf.DUMMYFUNCTION("""COMPUTED_VALUE"""),172570.0)</f>
        <v>172570</v>
      </c>
      <c r="B1621" t="str">
        <f>IFERROR(__xludf.DUMMYFUNCTION("""COMPUTED_VALUE"""),"Veal Shank (Fore And Hind) Separable Lean Only Raw")</f>
        <v>Veal Shank (Fore And Hind) Separable Lean Only Raw</v>
      </c>
      <c r="C1621" t="str">
        <f>IFERROR(__xludf.DUMMYFUNCTION("""COMPUTED_VALUE"""),"Meats")</f>
        <v>Meats</v>
      </c>
      <c r="D1621">
        <f>IFERROR(__xludf.DUMMYFUNCTION("""COMPUTED_VALUE"""),108.0)</f>
        <v>108</v>
      </c>
      <c r="E1621">
        <f>IFERROR(__xludf.DUMMYFUNCTION("""COMPUTED_VALUE"""),2.83)</f>
        <v>2.83</v>
      </c>
      <c r="F1621">
        <f>IFERROR(__xludf.DUMMYFUNCTION("""COMPUTED_VALUE"""),19.28)</f>
        <v>19.28</v>
      </c>
      <c r="G1621">
        <f>IFERROR(__xludf.DUMMYFUNCTION("""COMPUTED_VALUE"""),0.0)</f>
        <v>0</v>
      </c>
    </row>
    <row r="1622">
      <c r="A1622">
        <f>IFERROR(__xludf.DUMMYFUNCTION("""COMPUTED_VALUE"""),172571.0)</f>
        <v>172571</v>
      </c>
      <c r="B1622" t="str">
        <f>IFERROR(__xludf.DUMMYFUNCTION("""COMPUTED_VALUE"""),"Veal Shank (Fore And Hind) Separable Lean Only Cooked Braised")</f>
        <v>Veal Shank (Fore And Hind) Separable Lean Only Cooked Braised</v>
      </c>
      <c r="C1622" t="str">
        <f>IFERROR(__xludf.DUMMYFUNCTION("""COMPUTED_VALUE"""),"Meats")</f>
        <v>Meats</v>
      </c>
      <c r="D1622">
        <f>IFERROR(__xludf.DUMMYFUNCTION("""COMPUTED_VALUE"""),177.0)</f>
        <v>177</v>
      </c>
      <c r="E1622">
        <f>IFERROR(__xludf.DUMMYFUNCTION("""COMPUTED_VALUE"""),4.33)</f>
        <v>4.33</v>
      </c>
      <c r="F1622">
        <f>IFERROR(__xludf.DUMMYFUNCTION("""COMPUTED_VALUE"""),32.22)</f>
        <v>32.22</v>
      </c>
      <c r="G1622">
        <f>IFERROR(__xludf.DUMMYFUNCTION("""COMPUTED_VALUE"""),0.0)</f>
        <v>0</v>
      </c>
    </row>
    <row r="1623">
      <c r="A1623">
        <f>IFERROR(__xludf.DUMMYFUNCTION("""COMPUTED_VALUE"""),172572.0)</f>
        <v>172572</v>
      </c>
      <c r="B1623" t="str">
        <f>IFERROR(__xludf.DUMMYFUNCTION("""COMPUTED_VALUE"""),"Lamb Australian Imported Fresh Separable Fat Raw")</f>
        <v>Lamb Australian Imported Fresh Separable Fat Raw</v>
      </c>
      <c r="C1623" t="str">
        <f>IFERROR(__xludf.DUMMYFUNCTION("""COMPUTED_VALUE"""),"Meats")</f>
        <v>Meats</v>
      </c>
      <c r="D1623">
        <f>IFERROR(__xludf.DUMMYFUNCTION("""COMPUTED_VALUE"""),648.0)</f>
        <v>648</v>
      </c>
      <c r="E1623">
        <f>IFERROR(__xludf.DUMMYFUNCTION("""COMPUTED_VALUE"""),68.87)</f>
        <v>68.87</v>
      </c>
      <c r="F1623">
        <f>IFERROR(__xludf.DUMMYFUNCTION("""COMPUTED_VALUE"""),6.27)</f>
        <v>6.27</v>
      </c>
      <c r="G1623">
        <f>IFERROR(__xludf.DUMMYFUNCTION("""COMPUTED_VALUE"""),0.0)</f>
        <v>0</v>
      </c>
    </row>
    <row r="1624">
      <c r="A1624">
        <f>IFERROR(__xludf.DUMMYFUNCTION("""COMPUTED_VALUE"""),172573.0)</f>
        <v>172573</v>
      </c>
      <c r="B1624" t="str">
        <f>IFERROR(__xludf.DUMMYFUNCTION("""COMPUTED_VALUE"""),"Lamb Australian Imported Fresh Separable Fat Cooked")</f>
        <v>Lamb Australian Imported Fresh Separable Fat Cooked</v>
      </c>
      <c r="C1624" t="str">
        <f>IFERROR(__xludf.DUMMYFUNCTION("""COMPUTED_VALUE"""),"Meats")</f>
        <v>Meats</v>
      </c>
      <c r="D1624">
        <f>IFERROR(__xludf.DUMMYFUNCTION("""COMPUTED_VALUE"""),639.0)</f>
        <v>639</v>
      </c>
      <c r="E1624">
        <f>IFERROR(__xludf.DUMMYFUNCTION("""COMPUTED_VALUE"""),66.4)</f>
        <v>66.4</v>
      </c>
      <c r="F1624">
        <f>IFERROR(__xludf.DUMMYFUNCTION("""COMPUTED_VALUE"""),9.42)</f>
        <v>9.42</v>
      </c>
      <c r="G1624">
        <f>IFERROR(__xludf.DUMMYFUNCTION("""COMPUTED_VALUE"""),0.0)</f>
        <v>0</v>
      </c>
    </row>
    <row r="1625">
      <c r="A1625">
        <f>IFERROR(__xludf.DUMMYFUNCTION("""COMPUTED_VALUE"""),172574.0)</f>
        <v>172574</v>
      </c>
      <c r="B1625" t="str">
        <f>IFERROR(__xludf.DUMMYFUNCTION("""COMPUTED_VALUE"""),"Lamb Australian Imported Fresh Foreshank Separable Lean And Fat Trimmed To 1/8 Inch Fat Raw")</f>
        <v>Lamb Australian Imported Fresh Foreshank Separable Lean And Fat Trimmed To 1/8 Inch Fat Raw</v>
      </c>
      <c r="C1625" t="str">
        <f>IFERROR(__xludf.DUMMYFUNCTION("""COMPUTED_VALUE"""),"Meats")</f>
        <v>Meats</v>
      </c>
      <c r="D1625">
        <f>IFERROR(__xludf.DUMMYFUNCTION("""COMPUTED_VALUE"""),195.0)</f>
        <v>195</v>
      </c>
      <c r="E1625">
        <f>IFERROR(__xludf.DUMMYFUNCTION("""COMPUTED_VALUE"""),12.68)</f>
        <v>12.68</v>
      </c>
      <c r="F1625">
        <f>IFERROR(__xludf.DUMMYFUNCTION("""COMPUTED_VALUE"""),18.85)</f>
        <v>18.85</v>
      </c>
      <c r="G1625">
        <f>IFERROR(__xludf.DUMMYFUNCTION("""COMPUTED_VALUE"""),0.0)</f>
        <v>0</v>
      </c>
    </row>
    <row r="1626">
      <c r="A1626">
        <f>IFERROR(__xludf.DUMMYFUNCTION("""COMPUTED_VALUE"""),172575.0)</f>
        <v>172575</v>
      </c>
      <c r="B1626" t="str">
        <f>IFERROR(__xludf.DUMMYFUNCTION("""COMPUTED_VALUE"""),"Lamb Australian Imported Fresh Foreshank Separable Lean And Fat Trimmed To 1/8 Inch Fat Cooked Braised")</f>
        <v>Lamb Australian Imported Fresh Foreshank Separable Lean And Fat Trimmed To 1/8 Inch Fat Cooked Braised</v>
      </c>
      <c r="C1626" t="str">
        <f>IFERROR(__xludf.DUMMYFUNCTION("""COMPUTED_VALUE"""),"Meats")</f>
        <v>Meats</v>
      </c>
      <c r="D1626">
        <f>IFERROR(__xludf.DUMMYFUNCTION("""COMPUTED_VALUE"""),236.0)</f>
        <v>236</v>
      </c>
      <c r="E1626">
        <f>IFERROR(__xludf.DUMMYFUNCTION("""COMPUTED_VALUE"""),14.44)</f>
        <v>14.44</v>
      </c>
      <c r="F1626">
        <f>IFERROR(__xludf.DUMMYFUNCTION("""COMPUTED_VALUE"""),24.78)</f>
        <v>24.78</v>
      </c>
      <c r="G1626">
        <f>IFERROR(__xludf.DUMMYFUNCTION("""COMPUTED_VALUE"""),0.0)</f>
        <v>0</v>
      </c>
    </row>
    <row r="1627">
      <c r="A1627">
        <f>IFERROR(__xludf.DUMMYFUNCTION("""COMPUTED_VALUE"""),172576.0)</f>
        <v>172576</v>
      </c>
      <c r="B1627" t="str">
        <f>IFERROR(__xludf.DUMMYFUNCTION("""COMPUTED_VALUE"""),"Lamb Australian Imported Fresh Leg Whole (Shank And Sirloin) Separable Lean Only Trimmed To 1/8 Inch Fat Raw")</f>
        <v>Lamb Australian Imported Fresh Leg Whole (Shank And Sirloin) Separable Lean Only Trimmed To 1/8 Inch Fat Raw</v>
      </c>
      <c r="C1627" t="str">
        <f>IFERROR(__xludf.DUMMYFUNCTION("""COMPUTED_VALUE"""),"Meats")</f>
        <v>Meats</v>
      </c>
      <c r="D1627">
        <f>IFERROR(__xludf.DUMMYFUNCTION("""COMPUTED_VALUE"""),135.0)</f>
        <v>135</v>
      </c>
      <c r="E1627">
        <f>IFERROR(__xludf.DUMMYFUNCTION("""COMPUTED_VALUE"""),5.23)</f>
        <v>5.23</v>
      </c>
      <c r="F1627">
        <f>IFERROR(__xludf.DUMMYFUNCTION("""COMPUTED_VALUE"""),20.46)</f>
        <v>20.46</v>
      </c>
      <c r="G1627">
        <f>IFERROR(__xludf.DUMMYFUNCTION("""COMPUTED_VALUE"""),0.0)</f>
        <v>0</v>
      </c>
    </row>
    <row r="1628">
      <c r="A1628">
        <f>IFERROR(__xludf.DUMMYFUNCTION("""COMPUTED_VALUE"""),172577.0)</f>
        <v>172577</v>
      </c>
      <c r="B1628" t="str">
        <f>IFERROR(__xludf.DUMMYFUNCTION("""COMPUTED_VALUE"""),"Lamb Australian Imported Fresh Leg Whole (Shank And Sirloin) Separable Lean Only Trimmed To 1/8 Inch Fat Cooked Roasted")</f>
        <v>Lamb Australian Imported Fresh Leg Whole (Shank And Sirloin) Separable Lean Only Trimmed To 1/8 Inch Fat Cooked Roasted</v>
      </c>
      <c r="C1628" t="str">
        <f>IFERROR(__xludf.DUMMYFUNCTION("""COMPUTED_VALUE"""),"Meats")</f>
        <v>Meats</v>
      </c>
      <c r="D1628">
        <f>IFERROR(__xludf.DUMMYFUNCTION("""COMPUTED_VALUE"""),190.0)</f>
        <v>190</v>
      </c>
      <c r="E1628">
        <f>IFERROR(__xludf.DUMMYFUNCTION("""COMPUTED_VALUE"""),8.1)</f>
        <v>8.1</v>
      </c>
      <c r="F1628">
        <f>IFERROR(__xludf.DUMMYFUNCTION("""COMPUTED_VALUE"""),27.31)</f>
        <v>27.31</v>
      </c>
      <c r="G1628">
        <f>IFERROR(__xludf.DUMMYFUNCTION("""COMPUTED_VALUE"""),0.0)</f>
        <v>0</v>
      </c>
    </row>
    <row r="1629">
      <c r="A1629">
        <f>IFERROR(__xludf.DUMMYFUNCTION("""COMPUTED_VALUE"""),172578.0)</f>
        <v>172578</v>
      </c>
      <c r="B1629" t="str">
        <f>IFERROR(__xludf.DUMMYFUNCTION("""COMPUTED_VALUE"""),"Lamb Australian Imported Fresh Leg Shank Half Separable Lean And Fat Trimmed To 1/8 Inch Fat Raw")</f>
        <v>Lamb Australian Imported Fresh Leg Shank Half Separable Lean And Fat Trimmed To 1/8 Inch Fat Raw</v>
      </c>
      <c r="C1629" t="str">
        <f>IFERROR(__xludf.DUMMYFUNCTION("""COMPUTED_VALUE"""),"Meats")</f>
        <v>Meats</v>
      </c>
      <c r="D1629">
        <f>IFERROR(__xludf.DUMMYFUNCTION("""COMPUTED_VALUE"""),201.0)</f>
        <v>201</v>
      </c>
      <c r="E1629">
        <f>IFERROR(__xludf.DUMMYFUNCTION("""COMPUTED_VALUE"""),13.48)</f>
        <v>13.48</v>
      </c>
      <c r="F1629">
        <f>IFERROR(__xludf.DUMMYFUNCTION("""COMPUTED_VALUE"""),18.59)</f>
        <v>18.59</v>
      </c>
      <c r="G1629">
        <f>IFERROR(__xludf.DUMMYFUNCTION("""COMPUTED_VALUE"""),0.0)</f>
        <v>0</v>
      </c>
    </row>
    <row r="1630">
      <c r="A1630">
        <f>IFERROR(__xludf.DUMMYFUNCTION("""COMPUTED_VALUE"""),172579.0)</f>
        <v>172579</v>
      </c>
      <c r="B1630" t="str">
        <f>IFERROR(__xludf.DUMMYFUNCTION("""COMPUTED_VALUE"""),"Lamb Australian Imported Fresh Leg Shank Half Separable Lean And Fat Trimmed To 1/8 Inch Fat Cooked Roasted")</f>
        <v>Lamb Australian Imported Fresh Leg Shank Half Separable Lean And Fat Trimmed To 1/8 Inch Fat Cooked Roasted</v>
      </c>
      <c r="C1630" t="str">
        <f>IFERROR(__xludf.DUMMYFUNCTION("""COMPUTED_VALUE"""),"Meats")</f>
        <v>Meats</v>
      </c>
      <c r="D1630">
        <f>IFERROR(__xludf.DUMMYFUNCTION("""COMPUTED_VALUE"""),231.0)</f>
        <v>231</v>
      </c>
      <c r="E1630">
        <f>IFERROR(__xludf.DUMMYFUNCTION("""COMPUTED_VALUE"""),13.69)</f>
        <v>13.69</v>
      </c>
      <c r="F1630">
        <f>IFERROR(__xludf.DUMMYFUNCTION("""COMPUTED_VALUE"""),25.25)</f>
        <v>25.25</v>
      </c>
      <c r="G1630">
        <f>IFERROR(__xludf.DUMMYFUNCTION("""COMPUTED_VALUE"""),0.0)</f>
        <v>0</v>
      </c>
    </row>
    <row r="1631">
      <c r="A1631">
        <f>IFERROR(__xludf.DUMMYFUNCTION("""COMPUTED_VALUE"""),172580.0)</f>
        <v>172580</v>
      </c>
      <c r="B1631" t="str">
        <f>IFERROR(__xludf.DUMMYFUNCTION("""COMPUTED_VALUE"""),"Lamb Australian Imported Fresh Leg Shank Half Separable Lean Only Trimmed To 1/8 Inch Fat Raw")</f>
        <v>Lamb Australian Imported Fresh Leg Shank Half Separable Lean Only Trimmed To 1/8 Inch Fat Raw</v>
      </c>
      <c r="C1631" t="str">
        <f>IFERROR(__xludf.DUMMYFUNCTION("""COMPUTED_VALUE"""),"Meats")</f>
        <v>Meats</v>
      </c>
      <c r="D1631">
        <f>IFERROR(__xludf.DUMMYFUNCTION("""COMPUTED_VALUE"""),133.0)</f>
        <v>133</v>
      </c>
      <c r="E1631">
        <f>IFERROR(__xludf.DUMMYFUNCTION("""COMPUTED_VALUE"""),5.1)</f>
        <v>5.1</v>
      </c>
      <c r="F1631">
        <f>IFERROR(__xludf.DUMMYFUNCTION("""COMPUTED_VALUE"""),20.45)</f>
        <v>20.45</v>
      </c>
      <c r="G1631">
        <f>IFERROR(__xludf.DUMMYFUNCTION("""COMPUTED_VALUE"""),0.0)</f>
        <v>0</v>
      </c>
    </row>
    <row r="1632">
      <c r="A1632">
        <f>IFERROR(__xludf.DUMMYFUNCTION("""COMPUTED_VALUE"""),172581.0)</f>
        <v>172581</v>
      </c>
      <c r="B1632" t="str">
        <f>IFERROR(__xludf.DUMMYFUNCTION("""COMPUTED_VALUE"""),"Lamb Australian Imported Fresh Leg Sirloin Half Boneless Separable Lean Only Trimmed To 1/8 Inch Fat Cooked Roasted")</f>
        <v>Lamb Australian Imported Fresh Leg Sirloin Half Boneless Separable Lean Only Trimmed To 1/8 Inch Fat Cooked Roasted</v>
      </c>
      <c r="C1632" t="str">
        <f>IFERROR(__xludf.DUMMYFUNCTION("""COMPUTED_VALUE"""),"Meats")</f>
        <v>Meats</v>
      </c>
      <c r="D1632">
        <f>IFERROR(__xludf.DUMMYFUNCTION("""COMPUTED_VALUE"""),215.0)</f>
        <v>215</v>
      </c>
      <c r="E1632">
        <f>IFERROR(__xludf.DUMMYFUNCTION("""COMPUTED_VALUE"""),10.65)</f>
        <v>10.65</v>
      </c>
      <c r="F1632">
        <f>IFERROR(__xludf.DUMMYFUNCTION("""COMPUTED_VALUE"""),27.75)</f>
        <v>27.75</v>
      </c>
      <c r="G1632">
        <f>IFERROR(__xludf.DUMMYFUNCTION("""COMPUTED_VALUE"""),0.0)</f>
        <v>0</v>
      </c>
    </row>
    <row r="1633">
      <c r="A1633">
        <f>IFERROR(__xludf.DUMMYFUNCTION("""COMPUTED_VALUE"""),172582.0)</f>
        <v>172582</v>
      </c>
      <c r="B1633" t="str">
        <f>IFERROR(__xludf.DUMMYFUNCTION("""COMPUTED_VALUE"""),"Lamb Australian Imported Fresh Leg Sirloin Chops Boneless Separable Lean And Fat Trimmed To 1/8 Inch Fat Raw")</f>
        <v>Lamb Australian Imported Fresh Leg Sirloin Chops Boneless Separable Lean And Fat Trimmed To 1/8 Inch Fat Raw</v>
      </c>
      <c r="C1633" t="str">
        <f>IFERROR(__xludf.DUMMYFUNCTION("""COMPUTED_VALUE"""),"Meats")</f>
        <v>Meats</v>
      </c>
      <c r="D1633">
        <f>IFERROR(__xludf.DUMMYFUNCTION("""COMPUTED_VALUE"""),208.0)</f>
        <v>208</v>
      </c>
      <c r="E1633">
        <f>IFERROR(__xludf.DUMMYFUNCTION("""COMPUTED_VALUE"""),14.38)</f>
        <v>14.38</v>
      </c>
      <c r="F1633">
        <f>IFERROR(__xludf.DUMMYFUNCTION("""COMPUTED_VALUE"""),18.33)</f>
        <v>18.33</v>
      </c>
      <c r="G1633">
        <f>IFERROR(__xludf.DUMMYFUNCTION("""COMPUTED_VALUE"""),0.0)</f>
        <v>0</v>
      </c>
    </row>
    <row r="1634">
      <c r="A1634">
        <f>IFERROR(__xludf.DUMMYFUNCTION("""COMPUTED_VALUE"""),172583.0)</f>
        <v>172583</v>
      </c>
      <c r="B1634" t="str">
        <f>IFERROR(__xludf.DUMMYFUNCTION("""COMPUTED_VALUE"""),"Lamb Australian Imported Fresh Leg Sirloin Chops Boneless Separable Lean And Fat Trimmed To 1/8 Inch Fat Cooked Broiled")</f>
        <v>Lamb Australian Imported Fresh Leg Sirloin Chops Boneless Separable Lean And Fat Trimmed To 1/8 Inch Fat Cooked Broiled</v>
      </c>
      <c r="C1634" t="str">
        <f>IFERROR(__xludf.DUMMYFUNCTION("""COMPUTED_VALUE"""),"Meats")</f>
        <v>Meats</v>
      </c>
      <c r="D1634">
        <f>IFERROR(__xludf.DUMMYFUNCTION("""COMPUTED_VALUE"""),235.0)</f>
        <v>235</v>
      </c>
      <c r="E1634">
        <f>IFERROR(__xludf.DUMMYFUNCTION("""COMPUTED_VALUE"""),13.83)</f>
        <v>13.83</v>
      </c>
      <c r="F1634">
        <f>IFERROR(__xludf.DUMMYFUNCTION("""COMPUTED_VALUE"""),25.75)</f>
        <v>25.75</v>
      </c>
      <c r="G1634">
        <f>IFERROR(__xludf.DUMMYFUNCTION("""COMPUTED_VALUE"""),0.0)</f>
        <v>0</v>
      </c>
    </row>
    <row r="1635">
      <c r="A1635">
        <f>IFERROR(__xludf.DUMMYFUNCTION("""COMPUTED_VALUE"""),172584.0)</f>
        <v>172584</v>
      </c>
      <c r="B1635" t="str">
        <f>IFERROR(__xludf.DUMMYFUNCTION("""COMPUTED_VALUE"""),"Lamb Australian Imported Fresh Leg Sirloin Chops Boneless Separable Lean Only Trimmed To 1/8 Inch Fat Raw")</f>
        <v>Lamb Australian Imported Fresh Leg Sirloin Chops Boneless Separable Lean Only Trimmed To 1/8 Inch Fat Raw</v>
      </c>
      <c r="C1635" t="str">
        <f>IFERROR(__xludf.DUMMYFUNCTION("""COMPUTED_VALUE"""),"Meats")</f>
        <v>Meats</v>
      </c>
      <c r="D1635">
        <f>IFERROR(__xludf.DUMMYFUNCTION("""COMPUTED_VALUE"""),132.0)</f>
        <v>132</v>
      </c>
      <c r="E1635">
        <f>IFERROR(__xludf.DUMMYFUNCTION("""COMPUTED_VALUE"""),4.91)</f>
        <v>4.91</v>
      </c>
      <c r="F1635">
        <f>IFERROR(__xludf.DUMMYFUNCTION("""COMPUTED_VALUE"""),20.43)</f>
        <v>20.43</v>
      </c>
      <c r="G1635">
        <f>IFERROR(__xludf.DUMMYFUNCTION("""COMPUTED_VALUE"""),0.0)</f>
        <v>0</v>
      </c>
    </row>
    <row r="1636">
      <c r="A1636">
        <f>IFERROR(__xludf.DUMMYFUNCTION("""COMPUTED_VALUE"""),172585.0)</f>
        <v>172585</v>
      </c>
      <c r="B1636" t="str">
        <f>IFERROR(__xludf.DUMMYFUNCTION("""COMPUTED_VALUE"""),"Lamb Australian Imported Fresh Leg Center Slice Bone-In Separable Lean Only Trimmed To 1/8 Inch Fat Cooked Broiled")</f>
        <v>Lamb Australian Imported Fresh Leg Center Slice Bone-In Separable Lean Only Trimmed To 1/8 Inch Fat Cooked Broiled</v>
      </c>
      <c r="C1636" t="str">
        <f>IFERROR(__xludf.DUMMYFUNCTION("""COMPUTED_VALUE"""),"Meats")</f>
        <v>Meats</v>
      </c>
      <c r="D1636">
        <f>IFERROR(__xludf.DUMMYFUNCTION("""COMPUTED_VALUE"""),183.0)</f>
        <v>183</v>
      </c>
      <c r="E1636">
        <f>IFERROR(__xludf.DUMMYFUNCTION("""COMPUTED_VALUE"""),7.68)</f>
        <v>7.68</v>
      </c>
      <c r="F1636">
        <f>IFERROR(__xludf.DUMMYFUNCTION("""COMPUTED_VALUE"""),26.75)</f>
        <v>26.75</v>
      </c>
      <c r="G1636">
        <f>IFERROR(__xludf.DUMMYFUNCTION("""COMPUTED_VALUE"""),0.0)</f>
        <v>0</v>
      </c>
    </row>
    <row r="1637">
      <c r="A1637">
        <f>IFERROR(__xludf.DUMMYFUNCTION("""COMPUTED_VALUE"""),172586.0)</f>
        <v>172586</v>
      </c>
      <c r="B1637" t="str">
        <f>IFERROR(__xludf.DUMMYFUNCTION("""COMPUTED_VALUE"""),"Lamb Australian Imported Fresh Loin Separable Lean And Fat Trimmed To 1/8 Inch Fat Raw")</f>
        <v>Lamb Australian Imported Fresh Loin Separable Lean And Fat Trimmed To 1/8 Inch Fat Raw</v>
      </c>
      <c r="C1637" t="str">
        <f>IFERROR(__xludf.DUMMYFUNCTION("""COMPUTED_VALUE"""),"Meats")</f>
        <v>Meats</v>
      </c>
      <c r="D1637">
        <f>IFERROR(__xludf.DUMMYFUNCTION("""COMPUTED_VALUE"""),203.0)</f>
        <v>203</v>
      </c>
      <c r="E1637">
        <f>IFERROR(__xludf.DUMMYFUNCTION("""COMPUTED_VALUE"""),13.38)</f>
        <v>13.38</v>
      </c>
      <c r="F1637">
        <f>IFERROR(__xludf.DUMMYFUNCTION("""COMPUTED_VALUE"""),19.32)</f>
        <v>19.32</v>
      </c>
      <c r="G1637">
        <f>IFERROR(__xludf.DUMMYFUNCTION("""COMPUTED_VALUE"""),0.0)</f>
        <v>0</v>
      </c>
    </row>
    <row r="1638">
      <c r="A1638">
        <f>IFERROR(__xludf.DUMMYFUNCTION("""COMPUTED_VALUE"""),172587.0)</f>
        <v>172587</v>
      </c>
      <c r="B1638" t="str">
        <f>IFERROR(__xludf.DUMMYFUNCTION("""COMPUTED_VALUE"""),"Lamb Australian Imported Fresh Loin Separable Lean And Fat Trimmed To 1/8 Inch Fat Cooked Broiled")</f>
        <v>Lamb Australian Imported Fresh Loin Separable Lean And Fat Trimmed To 1/8 Inch Fat Cooked Broiled</v>
      </c>
      <c r="C1638" t="str">
        <f>IFERROR(__xludf.DUMMYFUNCTION("""COMPUTED_VALUE"""),"Meats")</f>
        <v>Meats</v>
      </c>
      <c r="D1638">
        <f>IFERROR(__xludf.DUMMYFUNCTION("""COMPUTED_VALUE"""),219.0)</f>
        <v>219</v>
      </c>
      <c r="E1638">
        <f>IFERROR(__xludf.DUMMYFUNCTION("""COMPUTED_VALUE"""),12.25)</f>
        <v>12.25</v>
      </c>
      <c r="F1638">
        <f>IFERROR(__xludf.DUMMYFUNCTION("""COMPUTED_VALUE"""),25.49)</f>
        <v>25.49</v>
      </c>
      <c r="G1638">
        <f>IFERROR(__xludf.DUMMYFUNCTION("""COMPUTED_VALUE"""),0.0)</f>
        <v>0</v>
      </c>
    </row>
    <row r="1639">
      <c r="A1639">
        <f>IFERROR(__xludf.DUMMYFUNCTION("""COMPUTED_VALUE"""),172588.0)</f>
        <v>172588</v>
      </c>
      <c r="B1639" t="str">
        <f>IFERROR(__xludf.DUMMYFUNCTION("""COMPUTED_VALUE"""),"Lamb Australian Imported Fresh Loin Separable Lean Only Trimmed To 1/8 Inch Fat Raw")</f>
        <v>Lamb Australian Imported Fresh Loin Separable Lean Only Trimmed To 1/8 Inch Fat Raw</v>
      </c>
      <c r="C1639" t="str">
        <f>IFERROR(__xludf.DUMMYFUNCTION("""COMPUTED_VALUE"""),"Meats")</f>
        <v>Meats</v>
      </c>
      <c r="D1639">
        <f>IFERROR(__xludf.DUMMYFUNCTION("""COMPUTED_VALUE"""),146.0)</f>
        <v>146</v>
      </c>
      <c r="E1639">
        <f>IFERROR(__xludf.DUMMYFUNCTION("""COMPUTED_VALUE"""),6.24)</f>
        <v>6.24</v>
      </c>
      <c r="F1639">
        <f>IFERROR(__xludf.DUMMYFUNCTION("""COMPUTED_VALUE"""),21.0)</f>
        <v>21</v>
      </c>
      <c r="G1639">
        <f>IFERROR(__xludf.DUMMYFUNCTION("""COMPUTED_VALUE"""),0.0)</f>
        <v>0</v>
      </c>
    </row>
    <row r="1640">
      <c r="A1640">
        <f>IFERROR(__xludf.DUMMYFUNCTION("""COMPUTED_VALUE"""),172589.0)</f>
        <v>172589</v>
      </c>
      <c r="B1640" t="str">
        <f>IFERROR(__xludf.DUMMYFUNCTION("""COMPUTED_VALUE"""),"Lamb Australian Imported Fresh Rib Chop Frenched Bone-In Separable Lean Only Trimmed To 1/8 Inch Fat Cooked Grilled")</f>
        <v>Lamb Australian Imported Fresh Rib Chop Frenched Bone-In Separable Lean Only Trimmed To 1/8 Inch Fat Cooked Grilled</v>
      </c>
      <c r="C1640" t="str">
        <f>IFERROR(__xludf.DUMMYFUNCTION("""COMPUTED_VALUE"""),"Meats")</f>
        <v>Meats</v>
      </c>
      <c r="D1640">
        <f>IFERROR(__xludf.DUMMYFUNCTION("""COMPUTED_VALUE"""),234.0)</f>
        <v>234</v>
      </c>
      <c r="E1640">
        <f>IFERROR(__xludf.DUMMYFUNCTION("""COMPUTED_VALUE"""),11.68)</f>
        <v>11.68</v>
      </c>
      <c r="F1640">
        <f>IFERROR(__xludf.DUMMYFUNCTION("""COMPUTED_VALUE"""),32.16)</f>
        <v>32.16</v>
      </c>
      <c r="G1640">
        <f>IFERROR(__xludf.DUMMYFUNCTION("""COMPUTED_VALUE"""),0.0)</f>
        <v>0</v>
      </c>
    </row>
    <row r="1641">
      <c r="A1641">
        <f>IFERROR(__xludf.DUMMYFUNCTION("""COMPUTED_VALUE"""),172590.0)</f>
        <v>172590</v>
      </c>
      <c r="B1641" t="str">
        <f>IFERROR(__xludf.DUMMYFUNCTION("""COMPUTED_VALUE"""),"Lamb Australian Imported Fresh Shoulder Whole (Arm And Blade) Separable Lean And Fat Trimmed To 1/8 Inch Fat Raw")</f>
        <v>Lamb Australian Imported Fresh Shoulder Whole (Arm And Blade) Separable Lean And Fat Trimmed To 1/8 Inch Fat Raw</v>
      </c>
      <c r="C1641" t="str">
        <f>IFERROR(__xludf.DUMMYFUNCTION("""COMPUTED_VALUE"""),"Meats")</f>
        <v>Meats</v>
      </c>
      <c r="D1641">
        <f>IFERROR(__xludf.DUMMYFUNCTION("""COMPUTED_VALUE"""),256.0)</f>
        <v>256</v>
      </c>
      <c r="E1641">
        <f>IFERROR(__xludf.DUMMYFUNCTION("""COMPUTED_VALUE"""),20.47)</f>
        <v>20.47</v>
      </c>
      <c r="F1641">
        <f>IFERROR(__xludf.DUMMYFUNCTION("""COMPUTED_VALUE"""),16.68)</f>
        <v>16.68</v>
      </c>
      <c r="G1641">
        <f>IFERROR(__xludf.DUMMYFUNCTION("""COMPUTED_VALUE"""),0.0)</f>
        <v>0</v>
      </c>
    </row>
    <row r="1642">
      <c r="A1642">
        <f>IFERROR(__xludf.DUMMYFUNCTION("""COMPUTED_VALUE"""),172591.0)</f>
        <v>172591</v>
      </c>
      <c r="B1642" t="str">
        <f>IFERROR(__xludf.DUMMYFUNCTION("""COMPUTED_VALUE"""),"Lamb Australian Imported Fresh Shoulder Whole (Arm And Blade) Separable Lean And Fat Trimmed To 1/8 Inch Fat Cooked")</f>
        <v>Lamb Australian Imported Fresh Shoulder Whole (Arm And Blade) Separable Lean And Fat Trimmed To 1/8 Inch Fat Cooked</v>
      </c>
      <c r="C1642" t="str">
        <f>IFERROR(__xludf.DUMMYFUNCTION("""COMPUTED_VALUE"""),"Meats")</f>
        <v>Meats</v>
      </c>
      <c r="D1642">
        <f>IFERROR(__xludf.DUMMYFUNCTION("""COMPUTED_VALUE"""),296.0)</f>
        <v>296</v>
      </c>
      <c r="E1642">
        <f>IFERROR(__xludf.DUMMYFUNCTION("""COMPUTED_VALUE"""),21.65)</f>
        <v>21.65</v>
      </c>
      <c r="F1642">
        <f>IFERROR(__xludf.DUMMYFUNCTION("""COMPUTED_VALUE"""),23.58)</f>
        <v>23.58</v>
      </c>
      <c r="G1642">
        <f>IFERROR(__xludf.DUMMYFUNCTION("""COMPUTED_VALUE"""),0.0)</f>
        <v>0</v>
      </c>
    </row>
    <row r="1643">
      <c r="A1643">
        <f>IFERROR(__xludf.DUMMYFUNCTION("""COMPUTED_VALUE"""),172592.0)</f>
        <v>172592</v>
      </c>
      <c r="B1643" t="str">
        <f>IFERROR(__xludf.DUMMYFUNCTION("""COMPUTED_VALUE"""),"Lamb Australian Imported Fresh Shoulder Whole (Arm And Blade) Separable Lean Only   Trimmed To 1/8 Inch Fat Raw")</f>
        <v>Lamb Australian Imported Fresh Shoulder Whole (Arm And Blade) Separable Lean Only   Trimmed To 1/8 Inch Fat Raw</v>
      </c>
      <c r="C1643" t="str">
        <f>IFERROR(__xludf.DUMMYFUNCTION("""COMPUTED_VALUE"""),"Meats")</f>
        <v>Meats</v>
      </c>
      <c r="D1643">
        <f>IFERROR(__xludf.DUMMYFUNCTION("""COMPUTED_VALUE"""),155.0)</f>
        <v>155</v>
      </c>
      <c r="E1643">
        <f>IFERROR(__xludf.DUMMYFUNCTION("""COMPUTED_VALUE"""),8.01)</f>
        <v>8.01</v>
      </c>
      <c r="F1643">
        <f>IFERROR(__xludf.DUMMYFUNCTION("""COMPUTED_VALUE"""),19.36)</f>
        <v>19.36</v>
      </c>
      <c r="G1643">
        <f>IFERROR(__xludf.DUMMYFUNCTION("""COMPUTED_VALUE"""),0.0)</f>
        <v>0</v>
      </c>
    </row>
    <row r="1644">
      <c r="A1644">
        <f>IFERROR(__xludf.DUMMYFUNCTION("""COMPUTED_VALUE"""),172593.0)</f>
        <v>172593</v>
      </c>
      <c r="B1644" t="str">
        <f>IFERROR(__xludf.DUMMYFUNCTION("""COMPUTED_VALUE"""),"Lamb Australian Imported Fresh Shoulder Whole (Arm And Blade) Separable Lean Only Trimmed To 1/8 Inch Fat Cooked")</f>
        <v>Lamb Australian Imported Fresh Shoulder Whole (Arm And Blade) Separable Lean Only Trimmed To 1/8 Inch Fat Cooked</v>
      </c>
      <c r="C1644" t="str">
        <f>IFERROR(__xludf.DUMMYFUNCTION("""COMPUTED_VALUE"""),"Meats")</f>
        <v>Meats</v>
      </c>
      <c r="D1644">
        <f>IFERROR(__xludf.DUMMYFUNCTION("""COMPUTED_VALUE"""),233.0)</f>
        <v>233</v>
      </c>
      <c r="E1644">
        <f>IFERROR(__xludf.DUMMYFUNCTION("""COMPUTED_VALUE"""),13.44)</f>
        <v>13.44</v>
      </c>
      <c r="F1644">
        <f>IFERROR(__xludf.DUMMYFUNCTION("""COMPUTED_VALUE"""),26.18)</f>
        <v>26.18</v>
      </c>
      <c r="G1644">
        <f>IFERROR(__xludf.DUMMYFUNCTION("""COMPUTED_VALUE"""),0.0)</f>
        <v>0</v>
      </c>
    </row>
    <row r="1645">
      <c r="A1645">
        <f>IFERROR(__xludf.DUMMYFUNCTION("""COMPUTED_VALUE"""),172594.0)</f>
        <v>172594</v>
      </c>
      <c r="B1645" t="str">
        <f>IFERROR(__xludf.DUMMYFUNCTION("""COMPUTED_VALUE"""),"Lamb Australian Imported Fresh Shoulder Blade Separable Lean And Fat Trimmed To 1/8 Inch Fat Raw")</f>
        <v>Lamb Australian Imported Fresh Shoulder Blade Separable Lean And Fat Trimmed To 1/8 Inch Fat Raw</v>
      </c>
      <c r="C1645" t="str">
        <f>IFERROR(__xludf.DUMMYFUNCTION("""COMPUTED_VALUE"""),"Meats")</f>
        <v>Meats</v>
      </c>
      <c r="D1645">
        <f>IFERROR(__xludf.DUMMYFUNCTION("""COMPUTED_VALUE"""),262.0)</f>
        <v>262</v>
      </c>
      <c r="E1645">
        <f>IFERROR(__xludf.DUMMYFUNCTION("""COMPUTED_VALUE"""),21.28)</f>
        <v>21.28</v>
      </c>
      <c r="F1645">
        <f>IFERROR(__xludf.DUMMYFUNCTION("""COMPUTED_VALUE"""),16.48)</f>
        <v>16.48</v>
      </c>
      <c r="G1645">
        <f>IFERROR(__xludf.DUMMYFUNCTION("""COMPUTED_VALUE"""),0.0)</f>
        <v>0</v>
      </c>
    </row>
    <row r="1646">
      <c r="A1646">
        <f>IFERROR(__xludf.DUMMYFUNCTION("""COMPUTED_VALUE"""),172595.0)</f>
        <v>172595</v>
      </c>
      <c r="B1646" t="str">
        <f>IFERROR(__xludf.DUMMYFUNCTION("""COMPUTED_VALUE"""),"Lamb Australian Imported Fresh Shoulder Blade Separable Lean And Fat Trimmed To 1/8 Inch Fat Cooked Broiled")</f>
        <v>Lamb Australian Imported Fresh Shoulder Blade Separable Lean And Fat Trimmed To 1/8 Inch Fat Cooked Broiled</v>
      </c>
      <c r="C1646" t="str">
        <f>IFERROR(__xludf.DUMMYFUNCTION("""COMPUTED_VALUE"""),"Meats")</f>
        <v>Meats</v>
      </c>
      <c r="D1646">
        <f>IFERROR(__xludf.DUMMYFUNCTION("""COMPUTED_VALUE"""),291.0)</f>
        <v>291</v>
      </c>
      <c r="E1646">
        <f>IFERROR(__xludf.DUMMYFUNCTION("""COMPUTED_VALUE"""),22.03)</f>
        <v>22.03</v>
      </c>
      <c r="F1646">
        <f>IFERROR(__xludf.DUMMYFUNCTION("""COMPUTED_VALUE"""),21.71)</f>
        <v>21.71</v>
      </c>
      <c r="G1646">
        <f>IFERROR(__xludf.DUMMYFUNCTION("""COMPUTED_VALUE"""),0.0)</f>
        <v>0</v>
      </c>
    </row>
    <row r="1647">
      <c r="A1647">
        <f>IFERROR(__xludf.DUMMYFUNCTION("""COMPUTED_VALUE"""),172596.0)</f>
        <v>172596</v>
      </c>
      <c r="B1647" t="str">
        <f>IFERROR(__xludf.DUMMYFUNCTION("""COMPUTED_VALUE"""),"Lamb Australian Imported Fresh Shoulder Blade Separable Lean Only Trimmed To 1/8 Inch Fat Raw")</f>
        <v>Lamb Australian Imported Fresh Shoulder Blade Separable Lean Only Trimmed To 1/8 Inch Fat Raw</v>
      </c>
      <c r="C1647" t="str">
        <f>IFERROR(__xludf.DUMMYFUNCTION("""COMPUTED_VALUE"""),"Meats")</f>
        <v>Meats</v>
      </c>
      <c r="D1647">
        <f>IFERROR(__xludf.DUMMYFUNCTION("""COMPUTED_VALUE"""),164.0)</f>
        <v>164</v>
      </c>
      <c r="E1647">
        <f>IFERROR(__xludf.DUMMYFUNCTION("""COMPUTED_VALUE"""),9.09)</f>
        <v>9.09</v>
      </c>
      <c r="F1647">
        <f>IFERROR(__xludf.DUMMYFUNCTION("""COMPUTED_VALUE"""),19.1)</f>
        <v>19.1</v>
      </c>
      <c r="G1647">
        <f>IFERROR(__xludf.DUMMYFUNCTION("""COMPUTED_VALUE"""),0.0)</f>
        <v>0</v>
      </c>
    </row>
    <row r="1648">
      <c r="A1648">
        <f>IFERROR(__xludf.DUMMYFUNCTION("""COMPUTED_VALUE"""),172597.0)</f>
        <v>172597</v>
      </c>
      <c r="B1648" t="str">
        <f>IFERROR(__xludf.DUMMYFUNCTION("""COMPUTED_VALUE"""),"Lamb Australian Imported Fresh Shoulder Blade Separable Lean Only Trimmed To 1/8 Inch Fat Cooked Broiled")</f>
        <v>Lamb Australian Imported Fresh Shoulder Blade Separable Lean Only Trimmed To 1/8 Inch Fat Cooked Broiled</v>
      </c>
      <c r="C1648" t="str">
        <f>IFERROR(__xludf.DUMMYFUNCTION("""COMPUTED_VALUE"""),"Meats")</f>
        <v>Meats</v>
      </c>
      <c r="D1648">
        <f>IFERROR(__xludf.DUMMYFUNCTION("""COMPUTED_VALUE"""),231.0)</f>
        <v>231</v>
      </c>
      <c r="E1648">
        <f>IFERROR(__xludf.DUMMYFUNCTION("""COMPUTED_VALUE"""),14.38)</f>
        <v>14.38</v>
      </c>
      <c r="F1648">
        <f>IFERROR(__xludf.DUMMYFUNCTION("""COMPUTED_VALUE"""),23.83)</f>
        <v>23.83</v>
      </c>
      <c r="G1648">
        <f>IFERROR(__xludf.DUMMYFUNCTION("""COMPUTED_VALUE"""),0.0)</f>
        <v>0</v>
      </c>
    </row>
    <row r="1649">
      <c r="A1649">
        <f>IFERROR(__xludf.DUMMYFUNCTION("""COMPUTED_VALUE"""),172598.0)</f>
        <v>172598</v>
      </c>
      <c r="B1649" t="str">
        <f>IFERROR(__xludf.DUMMYFUNCTION("""COMPUTED_VALUE"""),"Game Meat Bison Chuck Shoulder Clod Separable Lean Only Raw")</f>
        <v>Game Meat Bison Chuck Shoulder Clod Separable Lean Only Raw</v>
      </c>
      <c r="C1649" t="str">
        <f>IFERROR(__xludf.DUMMYFUNCTION("""COMPUTED_VALUE"""),"Meats")</f>
        <v>Meats</v>
      </c>
      <c r="D1649">
        <f>IFERROR(__xludf.DUMMYFUNCTION("""COMPUTED_VALUE"""),119.0)</f>
        <v>119</v>
      </c>
      <c r="E1649">
        <f>IFERROR(__xludf.DUMMYFUNCTION("""COMPUTED_VALUE"""),3.15)</f>
        <v>3.15</v>
      </c>
      <c r="F1649">
        <f>IFERROR(__xludf.DUMMYFUNCTION("""COMPUTED_VALUE"""),21.12)</f>
        <v>21.12</v>
      </c>
      <c r="G1649">
        <f>IFERROR(__xludf.DUMMYFUNCTION("""COMPUTED_VALUE"""),0.0)</f>
        <v>0</v>
      </c>
    </row>
    <row r="1650">
      <c r="A1650">
        <f>IFERROR(__xludf.DUMMYFUNCTION("""COMPUTED_VALUE"""),172599.0)</f>
        <v>172599</v>
      </c>
      <c r="B1650" t="str">
        <f>IFERROR(__xludf.DUMMYFUNCTION("""COMPUTED_VALUE"""),"Game Meat Bison Ribeye Separable Lean Only 1 Inch Steak Cooked Broiled")</f>
        <v>Game Meat Bison Ribeye Separable Lean Only 1 Inch Steak Cooked Broiled</v>
      </c>
      <c r="C1650" t="str">
        <f>IFERROR(__xludf.DUMMYFUNCTION("""COMPUTED_VALUE"""),"Meats")</f>
        <v>Meats</v>
      </c>
      <c r="D1650">
        <f>IFERROR(__xludf.DUMMYFUNCTION("""COMPUTED_VALUE"""),177.0)</f>
        <v>177</v>
      </c>
      <c r="E1650">
        <f>IFERROR(__xludf.DUMMYFUNCTION("""COMPUTED_VALUE"""),5.67)</f>
        <v>5.67</v>
      </c>
      <c r="F1650">
        <f>IFERROR(__xludf.DUMMYFUNCTION("""COMPUTED_VALUE"""),29.45)</f>
        <v>29.45</v>
      </c>
      <c r="G1650">
        <f>IFERROR(__xludf.DUMMYFUNCTION("""COMPUTED_VALUE"""),0.0)</f>
        <v>0</v>
      </c>
    </row>
    <row r="1651">
      <c r="A1651">
        <f>IFERROR(__xludf.DUMMYFUNCTION("""COMPUTED_VALUE"""),172600.0)</f>
        <v>172600</v>
      </c>
      <c r="B1651" t="str">
        <f>IFERROR(__xludf.DUMMYFUNCTION("""COMPUTED_VALUE"""),"Game Meat Bison Top Round Separable Lean Only 1 Inch Steak Cooked Broiled")</f>
        <v>Game Meat Bison Top Round Separable Lean Only 1 Inch Steak Cooked Broiled</v>
      </c>
      <c r="C1651" t="str">
        <f>IFERROR(__xludf.DUMMYFUNCTION("""COMPUTED_VALUE"""),"Meats")</f>
        <v>Meats</v>
      </c>
      <c r="D1651">
        <f>IFERROR(__xludf.DUMMYFUNCTION("""COMPUTED_VALUE"""),174.0)</f>
        <v>174</v>
      </c>
      <c r="E1651">
        <f>IFERROR(__xludf.DUMMYFUNCTION("""COMPUTED_VALUE"""),4.96)</f>
        <v>4.96</v>
      </c>
      <c r="F1651">
        <f>IFERROR(__xludf.DUMMYFUNCTION("""COMPUTED_VALUE"""),30.18)</f>
        <v>30.18</v>
      </c>
      <c r="G1651">
        <f>IFERROR(__xludf.DUMMYFUNCTION("""COMPUTED_VALUE"""),0.0)</f>
        <v>0</v>
      </c>
    </row>
    <row r="1652">
      <c r="A1652">
        <f>IFERROR(__xludf.DUMMYFUNCTION("""COMPUTED_VALUE"""),172601.0)</f>
        <v>172601</v>
      </c>
      <c r="B1652" t="str">
        <f>IFERROR(__xludf.DUMMYFUNCTION("""COMPUTED_VALUE"""),"Game Meat Bison Top Round Separable Lean Only 1 Inch Steak Raw")</f>
        <v>Game Meat Bison Top Round Separable Lean Only 1 Inch Steak Raw</v>
      </c>
      <c r="C1652" t="str">
        <f>IFERROR(__xludf.DUMMYFUNCTION("""COMPUTED_VALUE"""),"Meats")</f>
        <v>Meats</v>
      </c>
      <c r="D1652">
        <f>IFERROR(__xludf.DUMMYFUNCTION("""COMPUTED_VALUE"""),122.0)</f>
        <v>122</v>
      </c>
      <c r="E1652">
        <f>IFERROR(__xludf.DUMMYFUNCTION("""COMPUTED_VALUE"""),2.43)</f>
        <v>2.43</v>
      </c>
      <c r="F1652">
        <f>IFERROR(__xludf.DUMMYFUNCTION("""COMPUTED_VALUE"""),23.32)</f>
        <v>23.32</v>
      </c>
      <c r="G1652">
        <f>IFERROR(__xludf.DUMMYFUNCTION("""COMPUTED_VALUE"""),0.0)</f>
        <v>0</v>
      </c>
    </row>
    <row r="1653">
      <c r="A1653">
        <f>IFERROR(__xludf.DUMMYFUNCTION("""COMPUTED_VALUE"""),172602.0)</f>
        <v>172602</v>
      </c>
      <c r="B1653" t="str">
        <f>IFERROR(__xludf.DUMMYFUNCTION("""COMPUTED_VALUE"""),"Game Meat Deer Ground Raw")</f>
        <v>Game Meat Deer Ground Raw</v>
      </c>
      <c r="C1653" t="str">
        <f>IFERROR(__xludf.DUMMYFUNCTION("""COMPUTED_VALUE"""),"Meats")</f>
        <v>Meats</v>
      </c>
      <c r="D1653">
        <f>IFERROR(__xludf.DUMMYFUNCTION("""COMPUTED_VALUE"""),157.0)</f>
        <v>157</v>
      </c>
      <c r="E1653">
        <f>IFERROR(__xludf.DUMMYFUNCTION("""COMPUTED_VALUE"""),7.13)</f>
        <v>7.13</v>
      </c>
      <c r="F1653">
        <f>IFERROR(__xludf.DUMMYFUNCTION("""COMPUTED_VALUE"""),21.78)</f>
        <v>21.78</v>
      </c>
      <c r="G1653">
        <f>IFERROR(__xludf.DUMMYFUNCTION("""COMPUTED_VALUE"""),0.0)</f>
        <v>0</v>
      </c>
    </row>
    <row r="1654">
      <c r="A1654">
        <f>IFERROR(__xludf.DUMMYFUNCTION("""COMPUTED_VALUE"""),172603.0)</f>
        <v>172603</v>
      </c>
      <c r="B1654" t="str">
        <f>IFERROR(__xludf.DUMMYFUNCTION("""COMPUTED_VALUE"""),"Game Meat Deer Ground Cooked Pan-Broiled")</f>
        <v>Game Meat Deer Ground Cooked Pan-Broiled</v>
      </c>
      <c r="C1654" t="str">
        <f>IFERROR(__xludf.DUMMYFUNCTION("""COMPUTED_VALUE"""),"Meats")</f>
        <v>Meats</v>
      </c>
      <c r="D1654">
        <f>IFERROR(__xludf.DUMMYFUNCTION("""COMPUTED_VALUE"""),187.0)</f>
        <v>187</v>
      </c>
      <c r="E1654">
        <f>IFERROR(__xludf.DUMMYFUNCTION("""COMPUTED_VALUE"""),8.22)</f>
        <v>8.22</v>
      </c>
      <c r="F1654">
        <f>IFERROR(__xludf.DUMMYFUNCTION("""COMPUTED_VALUE"""),26.45)</f>
        <v>26.45</v>
      </c>
      <c r="G1654">
        <f>IFERROR(__xludf.DUMMYFUNCTION("""COMPUTED_VALUE"""),0.0)</f>
        <v>0</v>
      </c>
    </row>
    <row r="1655">
      <c r="A1655">
        <f>IFERROR(__xludf.DUMMYFUNCTION("""COMPUTED_VALUE"""),172604.0)</f>
        <v>172604</v>
      </c>
      <c r="B1655" t="str">
        <f>IFERROR(__xludf.DUMMYFUNCTION("""COMPUTED_VALUE"""),"Game Meat Deer Loin Separable Lean Only 1 Inch Steak Cooked Broiled")</f>
        <v>Game Meat Deer Loin Separable Lean Only 1 Inch Steak Cooked Broiled</v>
      </c>
      <c r="C1655" t="str">
        <f>IFERROR(__xludf.DUMMYFUNCTION("""COMPUTED_VALUE"""),"Meats")</f>
        <v>Meats</v>
      </c>
      <c r="D1655">
        <f>IFERROR(__xludf.DUMMYFUNCTION("""COMPUTED_VALUE"""),150.0)</f>
        <v>150</v>
      </c>
      <c r="E1655">
        <f>IFERROR(__xludf.DUMMYFUNCTION("""COMPUTED_VALUE"""),2.38)</f>
        <v>2.38</v>
      </c>
      <c r="F1655">
        <f>IFERROR(__xludf.DUMMYFUNCTION("""COMPUTED_VALUE"""),30.2)</f>
        <v>30.2</v>
      </c>
      <c r="G1655">
        <f>IFERROR(__xludf.DUMMYFUNCTION("""COMPUTED_VALUE"""),0.0)</f>
        <v>0</v>
      </c>
    </row>
    <row r="1656">
      <c r="A1656">
        <f>IFERROR(__xludf.DUMMYFUNCTION("""COMPUTED_VALUE"""),172605.0)</f>
        <v>172605</v>
      </c>
      <c r="B1656" t="str">
        <f>IFERROR(__xludf.DUMMYFUNCTION("""COMPUTED_VALUE"""),"Game Meat Deer Shoulder Clod Separable Lean Only Cooked Braised")</f>
        <v>Game Meat Deer Shoulder Clod Separable Lean Only Cooked Braised</v>
      </c>
      <c r="C1656" t="str">
        <f>IFERROR(__xludf.DUMMYFUNCTION("""COMPUTED_VALUE"""),"Meats")</f>
        <v>Meats</v>
      </c>
      <c r="D1656">
        <f>IFERROR(__xludf.DUMMYFUNCTION("""COMPUTED_VALUE"""),191.0)</f>
        <v>191</v>
      </c>
      <c r="E1656">
        <f>IFERROR(__xludf.DUMMYFUNCTION("""COMPUTED_VALUE"""),3.95)</f>
        <v>3.95</v>
      </c>
      <c r="F1656">
        <f>IFERROR(__xludf.DUMMYFUNCTION("""COMPUTED_VALUE"""),36.28)</f>
        <v>36.28</v>
      </c>
      <c r="G1656">
        <f>IFERROR(__xludf.DUMMYFUNCTION("""COMPUTED_VALUE"""),0.0)</f>
        <v>0</v>
      </c>
    </row>
    <row r="1657">
      <c r="A1657">
        <f>IFERROR(__xludf.DUMMYFUNCTION("""COMPUTED_VALUE"""),172606.0)</f>
        <v>172606</v>
      </c>
      <c r="B1657" t="str">
        <f>IFERROR(__xludf.DUMMYFUNCTION("""COMPUTED_VALUE"""),"Veal Australian Shank Hind Bone-In Separable Lean Only Raw")</f>
        <v>Veal Australian Shank Hind Bone-In Separable Lean Only Raw</v>
      </c>
      <c r="C1657" t="str">
        <f>IFERROR(__xludf.DUMMYFUNCTION("""COMPUTED_VALUE"""),"Meats")</f>
        <v>Meats</v>
      </c>
      <c r="D1657">
        <f>IFERROR(__xludf.DUMMYFUNCTION("""COMPUTED_VALUE"""),122.0)</f>
        <v>122</v>
      </c>
      <c r="E1657">
        <f>IFERROR(__xludf.DUMMYFUNCTION("""COMPUTED_VALUE"""),4.47)</f>
        <v>4.47</v>
      </c>
      <c r="F1657">
        <f>IFERROR(__xludf.DUMMYFUNCTION("""COMPUTED_VALUE"""),20.37)</f>
        <v>20.37</v>
      </c>
      <c r="G1657">
        <f>IFERROR(__xludf.DUMMYFUNCTION("""COMPUTED_VALUE"""),0.0)</f>
        <v>0</v>
      </c>
    </row>
    <row r="1658">
      <c r="A1658">
        <f>IFERROR(__xludf.DUMMYFUNCTION("""COMPUTED_VALUE"""),172607.0)</f>
        <v>172607</v>
      </c>
      <c r="B1658" t="str">
        <f>IFERROR(__xludf.DUMMYFUNCTION("""COMPUTED_VALUE"""),"Veal Australian Shank Hind Bone-In Separable Lean And Fat")</f>
        <v>Veal Australian Shank Hind Bone-In Separable Lean And Fat</v>
      </c>
      <c r="C1658" t="str">
        <f>IFERROR(__xludf.DUMMYFUNCTION("""COMPUTED_VALUE"""),"Meats")</f>
        <v>Meats</v>
      </c>
      <c r="D1658">
        <f>IFERROR(__xludf.DUMMYFUNCTION("""COMPUTED_VALUE"""),144.0)</f>
        <v>144</v>
      </c>
      <c r="E1658">
        <f>IFERROR(__xludf.DUMMYFUNCTION("""COMPUTED_VALUE"""),7.2)</f>
        <v>7.2</v>
      </c>
      <c r="F1658">
        <f>IFERROR(__xludf.DUMMYFUNCTION("""COMPUTED_VALUE"""),19.78)</f>
        <v>19.78</v>
      </c>
      <c r="G1658">
        <f>IFERROR(__xludf.DUMMYFUNCTION("""COMPUTED_VALUE"""),0.0)</f>
        <v>0</v>
      </c>
    </row>
    <row r="1659">
      <c r="A1659">
        <f>IFERROR(__xludf.DUMMYFUNCTION("""COMPUTED_VALUE"""),172608.0)</f>
        <v>172608</v>
      </c>
      <c r="B1659" t="str">
        <f>IFERROR(__xludf.DUMMYFUNCTION("""COMPUTED_VALUE"""),"Lamb Australian Ground  85% Lean / 15% Fat Raw")</f>
        <v>Lamb Australian Ground  85% Lean / 15% Fat Raw</v>
      </c>
      <c r="C1659" t="str">
        <f>IFERROR(__xludf.DUMMYFUNCTION("""COMPUTED_VALUE"""),"Meats")</f>
        <v>Meats</v>
      </c>
      <c r="D1659">
        <f>IFERROR(__xludf.DUMMYFUNCTION("""COMPUTED_VALUE"""),255.0)</f>
        <v>255</v>
      </c>
      <c r="E1659">
        <f>IFERROR(__xludf.DUMMYFUNCTION("""COMPUTED_VALUE"""),20.71)</f>
        <v>20.71</v>
      </c>
      <c r="F1659">
        <f>IFERROR(__xludf.DUMMYFUNCTION("""COMPUTED_VALUE"""),17.14)</f>
        <v>17.14</v>
      </c>
      <c r="G1659">
        <f>IFERROR(__xludf.DUMMYFUNCTION("""COMPUTED_VALUE"""),0.0)</f>
        <v>0</v>
      </c>
    </row>
    <row r="1660">
      <c r="A1660">
        <f>IFERROR(__xludf.DUMMYFUNCTION("""COMPUTED_VALUE"""),172609.0)</f>
        <v>172609</v>
      </c>
      <c r="B1660" t="str">
        <f>IFERROR(__xludf.DUMMYFUNCTION("""COMPUTED_VALUE"""),"Lamb New Zealand Imported Intermuscular Fat Cooked")</f>
        <v>Lamb New Zealand Imported Intermuscular Fat Cooked</v>
      </c>
      <c r="C1660" t="str">
        <f>IFERROR(__xludf.DUMMYFUNCTION("""COMPUTED_VALUE"""),"Meats")</f>
        <v>Meats</v>
      </c>
      <c r="D1660">
        <f>IFERROR(__xludf.DUMMYFUNCTION("""COMPUTED_VALUE"""),596.0)</f>
        <v>596</v>
      </c>
      <c r="E1660">
        <f>IFERROR(__xludf.DUMMYFUNCTION("""COMPUTED_VALUE"""),62.44)</f>
        <v>62.44</v>
      </c>
      <c r="F1660">
        <f>IFERROR(__xludf.DUMMYFUNCTION("""COMPUTED_VALUE"""),8.53)</f>
        <v>8.53</v>
      </c>
      <c r="G1660">
        <f>IFERROR(__xludf.DUMMYFUNCTION("""COMPUTED_VALUE"""),0.0)</f>
        <v>0</v>
      </c>
    </row>
    <row r="1661">
      <c r="A1661">
        <f>IFERROR(__xludf.DUMMYFUNCTION("""COMPUTED_VALUE"""),172610.0)</f>
        <v>172610</v>
      </c>
      <c r="B1661" t="str">
        <f>IFERROR(__xludf.DUMMYFUNCTION("""COMPUTED_VALUE"""),"Lamb New Zealand Imported Breast Separable Lean Only Cooked Braised")</f>
        <v>Lamb New Zealand Imported Breast Separable Lean Only Cooked Braised</v>
      </c>
      <c r="C1661" t="str">
        <f>IFERROR(__xludf.DUMMYFUNCTION("""COMPUTED_VALUE"""),"Meats")</f>
        <v>Meats</v>
      </c>
      <c r="D1661">
        <f>IFERROR(__xludf.DUMMYFUNCTION("""COMPUTED_VALUE"""),270.0)</f>
        <v>270</v>
      </c>
      <c r="E1661">
        <f>IFERROR(__xludf.DUMMYFUNCTION("""COMPUTED_VALUE"""),17.53)</f>
        <v>17.53</v>
      </c>
      <c r="F1661">
        <f>IFERROR(__xludf.DUMMYFUNCTION("""COMPUTED_VALUE"""),28.16)</f>
        <v>28.16</v>
      </c>
      <c r="G1661">
        <f>IFERROR(__xludf.DUMMYFUNCTION("""COMPUTED_VALUE"""),0.0)</f>
        <v>0</v>
      </c>
    </row>
    <row r="1662">
      <c r="A1662">
        <f>IFERROR(__xludf.DUMMYFUNCTION("""COMPUTED_VALUE"""),172611.0)</f>
        <v>172611</v>
      </c>
      <c r="B1662" t="str">
        <f>IFERROR(__xludf.DUMMYFUNCTION("""COMPUTED_VALUE"""),"Lamb New Zealand Imported Breast Separable Lean Only Raw")</f>
        <v>Lamb New Zealand Imported Breast Separable Lean Only Raw</v>
      </c>
      <c r="C1662" t="str">
        <f>IFERROR(__xludf.DUMMYFUNCTION("""COMPUTED_VALUE"""),"Meats")</f>
        <v>Meats</v>
      </c>
      <c r="D1662">
        <f>IFERROR(__xludf.DUMMYFUNCTION("""COMPUTED_VALUE"""),149.0)</f>
        <v>149</v>
      </c>
      <c r="E1662">
        <f>IFERROR(__xludf.DUMMYFUNCTION("""COMPUTED_VALUE"""),7.98)</f>
        <v>7.98</v>
      </c>
      <c r="F1662">
        <f>IFERROR(__xludf.DUMMYFUNCTION("""COMPUTED_VALUE"""),18.31)</f>
        <v>18.31</v>
      </c>
      <c r="G1662">
        <f>IFERROR(__xludf.DUMMYFUNCTION("""COMPUTED_VALUE"""),1.02)</f>
        <v>1.02</v>
      </c>
    </row>
    <row r="1663">
      <c r="A1663">
        <f>IFERROR(__xludf.DUMMYFUNCTION("""COMPUTED_VALUE"""),172612.0)</f>
        <v>172612</v>
      </c>
      <c r="B1663" t="str">
        <f>IFERROR(__xludf.DUMMYFUNCTION("""COMPUTED_VALUE"""),"Lamb New Zealand Imported Chump Boneless Separable Lean Only Cooked Fast Roasted")</f>
        <v>Lamb New Zealand Imported Chump Boneless Separable Lean Only Cooked Fast Roasted</v>
      </c>
      <c r="C1663" t="str">
        <f>IFERROR(__xludf.DUMMYFUNCTION("""COMPUTED_VALUE"""),"Meats")</f>
        <v>Meats</v>
      </c>
      <c r="D1663">
        <f>IFERROR(__xludf.DUMMYFUNCTION("""COMPUTED_VALUE"""),142.0)</f>
        <v>142</v>
      </c>
      <c r="E1663">
        <f>IFERROR(__xludf.DUMMYFUNCTION("""COMPUTED_VALUE"""),5.27)</f>
        <v>5.27</v>
      </c>
      <c r="F1663">
        <f>IFERROR(__xludf.DUMMYFUNCTION("""COMPUTED_VALUE"""),23.69)</f>
        <v>23.69</v>
      </c>
      <c r="G1663">
        <f>IFERROR(__xludf.DUMMYFUNCTION("""COMPUTED_VALUE"""),0.0)</f>
        <v>0</v>
      </c>
    </row>
    <row r="1664">
      <c r="A1664">
        <f>IFERROR(__xludf.DUMMYFUNCTION("""COMPUTED_VALUE"""),172613.0)</f>
        <v>172613</v>
      </c>
      <c r="B1664" t="str">
        <f>IFERROR(__xludf.DUMMYFUNCTION("""COMPUTED_VALUE"""),"Lamb New Zealand Imported Subcutaneous Fat Cooked")</f>
        <v>Lamb New Zealand Imported Subcutaneous Fat Cooked</v>
      </c>
      <c r="C1664" t="str">
        <f>IFERROR(__xludf.DUMMYFUNCTION("""COMPUTED_VALUE"""),"Meats")</f>
        <v>Meats</v>
      </c>
      <c r="D1664">
        <f>IFERROR(__xludf.DUMMYFUNCTION("""COMPUTED_VALUE"""),674.0)</f>
        <v>674</v>
      </c>
      <c r="E1664">
        <f>IFERROR(__xludf.DUMMYFUNCTION("""COMPUTED_VALUE"""),72.28)</f>
        <v>72.28</v>
      </c>
      <c r="F1664">
        <f>IFERROR(__xludf.DUMMYFUNCTION("""COMPUTED_VALUE"""),5.24)</f>
        <v>5.24</v>
      </c>
      <c r="G1664">
        <f>IFERROR(__xludf.DUMMYFUNCTION("""COMPUTED_VALUE"""),0.62)</f>
        <v>0.62</v>
      </c>
    </row>
    <row r="1665">
      <c r="A1665">
        <f>IFERROR(__xludf.DUMMYFUNCTION("""COMPUTED_VALUE"""),172614.0)</f>
        <v>172614</v>
      </c>
      <c r="B1665" t="str">
        <f>IFERROR(__xludf.DUMMYFUNCTION("""COMPUTED_VALUE"""),"Lamb New Zealand Imported Liver Cooked Soaked And Fried")</f>
        <v>Lamb New Zealand Imported Liver Cooked Soaked And Fried</v>
      </c>
      <c r="C1665" t="str">
        <f>IFERROR(__xludf.DUMMYFUNCTION("""COMPUTED_VALUE"""),"Meats")</f>
        <v>Meats</v>
      </c>
      <c r="D1665">
        <f>IFERROR(__xludf.DUMMYFUNCTION("""COMPUTED_VALUE"""),168.0)</f>
        <v>168</v>
      </c>
      <c r="E1665">
        <f>IFERROR(__xludf.DUMMYFUNCTION("""COMPUTED_VALUE"""),6.56)</f>
        <v>6.56</v>
      </c>
      <c r="F1665">
        <f>IFERROR(__xludf.DUMMYFUNCTION("""COMPUTED_VALUE"""),25.8)</f>
        <v>25.8</v>
      </c>
      <c r="G1665">
        <f>IFERROR(__xludf.DUMMYFUNCTION("""COMPUTED_VALUE"""),1.48)</f>
        <v>1.48</v>
      </c>
    </row>
    <row r="1666">
      <c r="A1666">
        <f>IFERROR(__xludf.DUMMYFUNCTION("""COMPUTED_VALUE"""),172615.0)</f>
        <v>172615</v>
      </c>
      <c r="B1666" t="str">
        <f>IFERROR(__xludf.DUMMYFUNCTION("""COMPUTED_VALUE"""),"Lamb New Zealand Imported Liver Raw")</f>
        <v>Lamb New Zealand Imported Liver Raw</v>
      </c>
      <c r="C1666" t="str">
        <f>IFERROR(__xludf.DUMMYFUNCTION("""COMPUTED_VALUE"""),"Meats")</f>
        <v>Meats</v>
      </c>
      <c r="D1666">
        <f>IFERROR(__xludf.DUMMYFUNCTION("""COMPUTED_VALUE"""),136.0)</f>
        <v>136</v>
      </c>
      <c r="E1666">
        <f>IFERROR(__xludf.DUMMYFUNCTION("""COMPUTED_VALUE"""),4.92)</f>
        <v>4.92</v>
      </c>
      <c r="F1666">
        <f>IFERROR(__xludf.DUMMYFUNCTION("""COMPUTED_VALUE"""),20.7)</f>
        <v>20.7</v>
      </c>
      <c r="G1666">
        <f>IFERROR(__xludf.DUMMYFUNCTION("""COMPUTED_VALUE"""),2.22)</f>
        <v>2.22</v>
      </c>
    </row>
    <row r="1667">
      <c r="A1667">
        <f>IFERROR(__xludf.DUMMYFUNCTION("""COMPUTED_VALUE"""),172616.0)</f>
        <v>172616</v>
      </c>
      <c r="B1667" t="str">
        <f>IFERROR(__xludf.DUMMYFUNCTION("""COMPUTED_VALUE"""),"Lamb New Zealand Imported Ground Lamb Cooked Braised")</f>
        <v>Lamb New Zealand Imported Ground Lamb Cooked Braised</v>
      </c>
      <c r="C1667" t="str">
        <f>IFERROR(__xludf.DUMMYFUNCTION("""COMPUTED_VALUE"""),"Meats")</f>
        <v>Meats</v>
      </c>
      <c r="D1667">
        <f>IFERROR(__xludf.DUMMYFUNCTION("""COMPUTED_VALUE"""),192.0)</f>
        <v>192</v>
      </c>
      <c r="E1667">
        <f>IFERROR(__xludf.DUMMYFUNCTION("""COMPUTED_VALUE"""),11.34)</f>
        <v>11.34</v>
      </c>
      <c r="F1667">
        <f>IFERROR(__xludf.DUMMYFUNCTION("""COMPUTED_VALUE"""),22.6)</f>
        <v>22.6</v>
      </c>
      <c r="G1667">
        <f>IFERROR(__xludf.DUMMYFUNCTION("""COMPUTED_VALUE"""),0.0)</f>
        <v>0</v>
      </c>
    </row>
    <row r="1668">
      <c r="A1668">
        <f>IFERROR(__xludf.DUMMYFUNCTION("""COMPUTED_VALUE"""),172617.0)</f>
        <v>172617</v>
      </c>
      <c r="B1668" t="str">
        <f>IFERROR(__xludf.DUMMYFUNCTION("""COMPUTED_VALUE"""),"Lamb New Zealand Imported Ground Lamb Raw")</f>
        <v>Lamb New Zealand Imported Ground Lamb Raw</v>
      </c>
      <c r="C1668" t="str">
        <f>IFERROR(__xludf.DUMMYFUNCTION("""COMPUTED_VALUE"""),"Meats")</f>
        <v>Meats</v>
      </c>
      <c r="D1668">
        <f>IFERROR(__xludf.DUMMYFUNCTION("""COMPUTED_VALUE"""),193.0)</f>
        <v>193</v>
      </c>
      <c r="E1668">
        <f>IFERROR(__xludf.DUMMYFUNCTION("""COMPUTED_VALUE"""),12.41)</f>
        <v>12.41</v>
      </c>
      <c r="F1668">
        <f>IFERROR(__xludf.DUMMYFUNCTION("""COMPUTED_VALUE"""),20.33)</f>
        <v>20.33</v>
      </c>
      <c r="G1668">
        <f>IFERROR(__xludf.DUMMYFUNCTION("""COMPUTED_VALUE"""),0.0)</f>
        <v>0</v>
      </c>
    </row>
    <row r="1669">
      <c r="A1669">
        <f>IFERROR(__xludf.DUMMYFUNCTION("""COMPUTED_VALUE"""),172618.0)</f>
        <v>172618</v>
      </c>
      <c r="B1669" t="str">
        <f>IFERROR(__xludf.DUMMYFUNCTION("""COMPUTED_VALUE"""),"Lamb New Zealand Imported Testes Cooked Soaked And Fried")</f>
        <v>Lamb New Zealand Imported Testes Cooked Soaked And Fried</v>
      </c>
      <c r="C1669" t="str">
        <f>IFERROR(__xludf.DUMMYFUNCTION("""COMPUTED_VALUE"""),"Meats")</f>
        <v>Meats</v>
      </c>
      <c r="D1669">
        <f>IFERROR(__xludf.DUMMYFUNCTION("""COMPUTED_VALUE"""),125.0)</f>
        <v>125</v>
      </c>
      <c r="E1669">
        <f>IFERROR(__xludf.DUMMYFUNCTION("""COMPUTED_VALUE"""),4.56)</f>
        <v>4.56</v>
      </c>
      <c r="F1669">
        <f>IFERROR(__xludf.DUMMYFUNCTION("""COMPUTED_VALUE"""),21.01)</f>
        <v>21.01</v>
      </c>
      <c r="G1669">
        <f>IFERROR(__xludf.DUMMYFUNCTION("""COMPUTED_VALUE"""),0.0)</f>
        <v>0</v>
      </c>
    </row>
    <row r="1670">
      <c r="A1670">
        <f>IFERROR(__xludf.DUMMYFUNCTION("""COMPUTED_VALUE"""),172619.0)</f>
        <v>172619</v>
      </c>
      <c r="B1670" t="str">
        <f>IFERROR(__xludf.DUMMYFUNCTION("""COMPUTED_VALUE"""),"Lamb New Zealand Imported Testes Raw")</f>
        <v>Lamb New Zealand Imported Testes Raw</v>
      </c>
      <c r="C1670" t="str">
        <f>IFERROR(__xludf.DUMMYFUNCTION("""COMPUTED_VALUE"""),"Meats")</f>
        <v>Meats</v>
      </c>
      <c r="D1670">
        <f>IFERROR(__xludf.DUMMYFUNCTION("""COMPUTED_VALUE"""),68.0)</f>
        <v>68</v>
      </c>
      <c r="E1670">
        <f>IFERROR(__xludf.DUMMYFUNCTION("""COMPUTED_VALUE"""),2.38)</f>
        <v>2.38</v>
      </c>
      <c r="F1670">
        <f>IFERROR(__xludf.DUMMYFUNCTION("""COMPUTED_VALUE"""),11.4)</f>
        <v>11.4</v>
      </c>
      <c r="G1670">
        <f>IFERROR(__xludf.DUMMYFUNCTION("""COMPUTED_VALUE"""),0.14)</f>
        <v>0.14</v>
      </c>
    </row>
    <row r="1671">
      <c r="A1671">
        <f>IFERROR(__xludf.DUMMYFUNCTION("""COMPUTED_VALUE"""),172620.0)</f>
        <v>172620</v>
      </c>
      <c r="B1671" t="str">
        <f>IFERROR(__xludf.DUMMYFUNCTION("""COMPUTED_VALUE"""),"Lamb New Zealand Imported Tongue - Swiss Cut Cooked Soaked And Simmered")</f>
        <v>Lamb New Zealand Imported Tongue - Swiss Cut Cooked Soaked And Simmered</v>
      </c>
      <c r="C1671" t="str">
        <f>IFERROR(__xludf.DUMMYFUNCTION("""COMPUTED_VALUE"""),"Meats")</f>
        <v>Meats</v>
      </c>
      <c r="D1671">
        <f>IFERROR(__xludf.DUMMYFUNCTION("""COMPUTED_VALUE"""),272.0)</f>
        <v>272</v>
      </c>
      <c r="E1671">
        <f>IFERROR(__xludf.DUMMYFUNCTION("""COMPUTED_VALUE"""),22.04)</f>
        <v>22.04</v>
      </c>
      <c r="F1671">
        <f>IFERROR(__xludf.DUMMYFUNCTION("""COMPUTED_VALUE"""),17.51)</f>
        <v>17.51</v>
      </c>
      <c r="G1671">
        <f>IFERROR(__xludf.DUMMYFUNCTION("""COMPUTED_VALUE"""),0.86)</f>
        <v>0.86</v>
      </c>
    </row>
    <row r="1672">
      <c r="A1672">
        <f>IFERROR(__xludf.DUMMYFUNCTION("""COMPUTED_VALUE"""),172621.0)</f>
        <v>172621</v>
      </c>
      <c r="B1672" t="str">
        <f>IFERROR(__xludf.DUMMYFUNCTION("""COMPUTED_VALUE"""),"Lamb New Zealand Imported Tongue - Swiss Cut Raw")</f>
        <v>Lamb New Zealand Imported Tongue - Swiss Cut Raw</v>
      </c>
      <c r="C1672" t="str">
        <f>IFERROR(__xludf.DUMMYFUNCTION("""COMPUTED_VALUE"""),"Meats")</f>
        <v>Meats</v>
      </c>
      <c r="D1672">
        <f>IFERROR(__xludf.DUMMYFUNCTION("""COMPUTED_VALUE"""),225.0)</f>
        <v>225</v>
      </c>
      <c r="E1672">
        <f>IFERROR(__xludf.DUMMYFUNCTION("""COMPUTED_VALUE"""),18.61)</f>
        <v>18.61</v>
      </c>
      <c r="F1672">
        <f>IFERROR(__xludf.DUMMYFUNCTION("""COMPUTED_VALUE"""),14.27)</f>
        <v>14.27</v>
      </c>
      <c r="G1672">
        <f>IFERROR(__xludf.DUMMYFUNCTION("""COMPUTED_VALUE"""),0.0)</f>
        <v>0</v>
      </c>
    </row>
    <row r="1673">
      <c r="A1673">
        <f>IFERROR(__xludf.DUMMYFUNCTION("""COMPUTED_VALUE"""),172622.0)</f>
        <v>172622</v>
      </c>
      <c r="B1673" t="str">
        <f>IFERROR(__xludf.DUMMYFUNCTION("""COMPUTED_VALUE"""),"Lamb New Zealand Imported Tenderloin Separable Lean Only Cooked Fast Fried")</f>
        <v>Lamb New Zealand Imported Tenderloin Separable Lean Only Cooked Fast Fried</v>
      </c>
      <c r="C1673" t="str">
        <f>IFERROR(__xludf.DUMMYFUNCTION("""COMPUTED_VALUE"""),"Meats")</f>
        <v>Meats</v>
      </c>
      <c r="D1673">
        <f>IFERROR(__xludf.DUMMYFUNCTION("""COMPUTED_VALUE"""),155.0)</f>
        <v>155</v>
      </c>
      <c r="E1673">
        <f>IFERROR(__xludf.DUMMYFUNCTION("""COMPUTED_VALUE"""),4.81)</f>
        <v>4.81</v>
      </c>
      <c r="F1673">
        <f>IFERROR(__xludf.DUMMYFUNCTION("""COMPUTED_VALUE"""),27.94)</f>
        <v>27.94</v>
      </c>
      <c r="G1673">
        <f>IFERROR(__xludf.DUMMYFUNCTION("""COMPUTED_VALUE"""),0.0)</f>
        <v>0</v>
      </c>
    </row>
    <row r="1674">
      <c r="A1674">
        <f>IFERROR(__xludf.DUMMYFUNCTION("""COMPUTED_VALUE"""),172623.0)</f>
        <v>172623</v>
      </c>
      <c r="B1674" t="str">
        <f>IFERROR(__xludf.DUMMYFUNCTION("""COMPUTED_VALUE"""),"Lamb New Zealand Imported Tenderloin Separable Lean Only Raw")</f>
        <v>Lamb New Zealand Imported Tenderloin Separable Lean Only Raw</v>
      </c>
      <c r="C1674" t="str">
        <f>IFERROR(__xludf.DUMMYFUNCTION("""COMPUTED_VALUE"""),"Meats")</f>
        <v>Meats</v>
      </c>
      <c r="D1674">
        <f>IFERROR(__xludf.DUMMYFUNCTION("""COMPUTED_VALUE"""),116.0)</f>
        <v>116</v>
      </c>
      <c r="E1674">
        <f>IFERROR(__xludf.DUMMYFUNCTION("""COMPUTED_VALUE"""),3.81)</f>
        <v>3.81</v>
      </c>
      <c r="F1674">
        <f>IFERROR(__xludf.DUMMYFUNCTION("""COMPUTED_VALUE"""),20.53)</f>
        <v>20.53</v>
      </c>
      <c r="G1674">
        <f>IFERROR(__xludf.DUMMYFUNCTION("""COMPUTED_VALUE"""),0.0)</f>
        <v>0</v>
      </c>
    </row>
    <row r="1675">
      <c r="A1675">
        <f>IFERROR(__xludf.DUMMYFUNCTION("""COMPUTED_VALUE"""),172624.0)</f>
        <v>172624</v>
      </c>
      <c r="B1675" t="str">
        <f>IFERROR(__xludf.DUMMYFUNCTION("""COMPUTED_VALUE"""),"Lamb New Zealand Imported Loin Saddle Separable Lean Only Cooked Fast Roasted")</f>
        <v>Lamb New Zealand Imported Loin Saddle Separable Lean Only Cooked Fast Roasted</v>
      </c>
      <c r="C1675" t="str">
        <f>IFERROR(__xludf.DUMMYFUNCTION("""COMPUTED_VALUE"""),"Meats")</f>
        <v>Meats</v>
      </c>
      <c r="D1675">
        <f>IFERROR(__xludf.DUMMYFUNCTION("""COMPUTED_VALUE"""),162.0)</f>
        <v>162</v>
      </c>
      <c r="E1675">
        <f>IFERROR(__xludf.DUMMYFUNCTION("""COMPUTED_VALUE"""),6.7)</f>
        <v>6.7</v>
      </c>
      <c r="F1675">
        <f>IFERROR(__xludf.DUMMYFUNCTION("""COMPUTED_VALUE"""),25.53)</f>
        <v>25.53</v>
      </c>
      <c r="G1675">
        <f>IFERROR(__xludf.DUMMYFUNCTION("""COMPUTED_VALUE"""),0.0)</f>
        <v>0</v>
      </c>
    </row>
    <row r="1676">
      <c r="A1676">
        <f>IFERROR(__xludf.DUMMYFUNCTION("""COMPUTED_VALUE"""),172625.0)</f>
        <v>172625</v>
      </c>
      <c r="B1676" t="str">
        <f>IFERROR(__xludf.DUMMYFUNCTION("""COMPUTED_VALUE"""),"Lamb New Zealand Imported Loin Saddle Separable Lean Only Raw")</f>
        <v>Lamb New Zealand Imported Loin Saddle Separable Lean Only Raw</v>
      </c>
      <c r="C1676" t="str">
        <f>IFERROR(__xludf.DUMMYFUNCTION("""COMPUTED_VALUE"""),"Meats")</f>
        <v>Meats</v>
      </c>
      <c r="D1676">
        <f>IFERROR(__xludf.DUMMYFUNCTION("""COMPUTED_VALUE"""),131.0)</f>
        <v>131</v>
      </c>
      <c r="E1676">
        <f>IFERROR(__xludf.DUMMYFUNCTION("""COMPUTED_VALUE"""),5.32)</f>
        <v>5.32</v>
      </c>
      <c r="F1676">
        <f>IFERROR(__xludf.DUMMYFUNCTION("""COMPUTED_VALUE"""),20.86)</f>
        <v>20.86</v>
      </c>
      <c r="G1676">
        <f>IFERROR(__xludf.DUMMYFUNCTION("""COMPUTED_VALUE"""),0.0)</f>
        <v>0</v>
      </c>
    </row>
    <row r="1677">
      <c r="A1677">
        <f>IFERROR(__xludf.DUMMYFUNCTION("""COMPUTED_VALUE"""),172626.0)</f>
        <v>172626</v>
      </c>
      <c r="B1677" t="str">
        <f>IFERROR(__xludf.DUMMYFUNCTION("""COMPUTED_VALUE"""),"Lamb New Zealand Imported Neck Chops Separable Lean Only Cooked Braised")</f>
        <v>Lamb New Zealand Imported Neck Chops Separable Lean Only Cooked Braised</v>
      </c>
      <c r="C1677" t="str">
        <f>IFERROR(__xludf.DUMMYFUNCTION("""COMPUTED_VALUE"""),"Meats")</f>
        <v>Meats</v>
      </c>
      <c r="D1677">
        <f>IFERROR(__xludf.DUMMYFUNCTION("""COMPUTED_VALUE"""),264.0)</f>
        <v>264</v>
      </c>
      <c r="E1677">
        <f>IFERROR(__xludf.DUMMYFUNCTION("""COMPUTED_VALUE"""),15.36)</f>
        <v>15.36</v>
      </c>
      <c r="F1677">
        <f>IFERROR(__xludf.DUMMYFUNCTION("""COMPUTED_VALUE"""),31.4)</f>
        <v>31.4</v>
      </c>
      <c r="G1677">
        <f>IFERROR(__xludf.DUMMYFUNCTION("""COMPUTED_VALUE"""),0.0)</f>
        <v>0</v>
      </c>
    </row>
    <row r="1678">
      <c r="A1678">
        <f>IFERROR(__xludf.DUMMYFUNCTION("""COMPUTED_VALUE"""),172627.0)</f>
        <v>172627</v>
      </c>
      <c r="B1678" t="str">
        <f>IFERROR(__xludf.DUMMYFUNCTION("""COMPUTED_VALUE"""),"Lamb New Zealand Imported Netted Shoulder Rolled Boneless Separable Lean Only Cooked Slow Roasted")</f>
        <v>Lamb New Zealand Imported Netted Shoulder Rolled Boneless Separable Lean Only Cooked Slow Roasted</v>
      </c>
      <c r="C1678" t="str">
        <f>IFERROR(__xludf.DUMMYFUNCTION("""COMPUTED_VALUE"""),"Meats")</f>
        <v>Meats</v>
      </c>
      <c r="D1678">
        <f>IFERROR(__xludf.DUMMYFUNCTION("""COMPUTED_VALUE"""),199.0)</f>
        <v>199</v>
      </c>
      <c r="E1678">
        <f>IFERROR(__xludf.DUMMYFUNCTION("""COMPUTED_VALUE"""),10.91)</f>
        <v>10.91</v>
      </c>
      <c r="F1678">
        <f>IFERROR(__xludf.DUMMYFUNCTION("""COMPUTED_VALUE"""),25.14)</f>
        <v>25.14</v>
      </c>
      <c r="G1678">
        <f>IFERROR(__xludf.DUMMYFUNCTION("""COMPUTED_VALUE"""),0.0)</f>
        <v>0</v>
      </c>
    </row>
    <row r="1679">
      <c r="A1679">
        <f>IFERROR(__xludf.DUMMYFUNCTION("""COMPUTED_VALUE"""),172628.0)</f>
        <v>172628</v>
      </c>
      <c r="B1679" t="str">
        <f>IFERROR(__xludf.DUMMYFUNCTION("""COMPUTED_VALUE"""),"Lamb New Zealand Imported Netted Shoulder Rolled Boneless Separable Lean Only Raw")</f>
        <v>Lamb New Zealand Imported Netted Shoulder Rolled Boneless Separable Lean Only Raw</v>
      </c>
      <c r="C1679" t="str">
        <f>IFERROR(__xludf.DUMMYFUNCTION("""COMPUTED_VALUE"""),"Meats")</f>
        <v>Meats</v>
      </c>
      <c r="D1679">
        <f>IFERROR(__xludf.DUMMYFUNCTION("""COMPUTED_VALUE"""),143.0)</f>
        <v>143</v>
      </c>
      <c r="E1679">
        <f>IFERROR(__xludf.DUMMYFUNCTION("""COMPUTED_VALUE"""),6.88)</f>
        <v>6.88</v>
      </c>
      <c r="F1679">
        <f>IFERROR(__xludf.DUMMYFUNCTION("""COMPUTED_VALUE"""),20.2)</f>
        <v>20.2</v>
      </c>
      <c r="G1679">
        <f>IFERROR(__xludf.DUMMYFUNCTION("""COMPUTED_VALUE"""),0.0)</f>
        <v>0</v>
      </c>
    </row>
    <row r="1680">
      <c r="A1680">
        <f>IFERROR(__xludf.DUMMYFUNCTION("""COMPUTED_VALUE"""),172629.0)</f>
        <v>172629</v>
      </c>
      <c r="B1680" t="str">
        <f>IFERROR(__xludf.DUMMYFUNCTION("""COMPUTED_VALUE"""),"Lamb New Zealand Imported Rack - Fully Frenched Separable Lean Only Cooked Fast Roasted")</f>
        <v>Lamb New Zealand Imported Rack - Fully Frenched Separable Lean Only Cooked Fast Roasted</v>
      </c>
      <c r="C1680" t="str">
        <f>IFERROR(__xludf.DUMMYFUNCTION("""COMPUTED_VALUE"""),"Meats")</f>
        <v>Meats</v>
      </c>
      <c r="D1680">
        <f>IFERROR(__xludf.DUMMYFUNCTION("""COMPUTED_VALUE"""),173.0)</f>
        <v>173</v>
      </c>
      <c r="E1680">
        <f>IFERROR(__xludf.DUMMYFUNCTION("""COMPUTED_VALUE"""),8.38)</f>
        <v>8.38</v>
      </c>
      <c r="F1680">
        <f>IFERROR(__xludf.DUMMYFUNCTION("""COMPUTED_VALUE"""),24.39)</f>
        <v>24.39</v>
      </c>
      <c r="G1680">
        <f>IFERROR(__xludf.DUMMYFUNCTION("""COMPUTED_VALUE"""),0.0)</f>
        <v>0</v>
      </c>
    </row>
    <row r="1681">
      <c r="A1681">
        <f>IFERROR(__xludf.DUMMYFUNCTION("""COMPUTED_VALUE"""),172630.0)</f>
        <v>172630</v>
      </c>
      <c r="B1681" t="str">
        <f>IFERROR(__xludf.DUMMYFUNCTION("""COMPUTED_VALUE"""),"Lamb New Zealand Imported Flap Boneless Separable Lean And Fat Cooked Braised")</f>
        <v>Lamb New Zealand Imported Flap Boneless Separable Lean And Fat Cooked Braised</v>
      </c>
      <c r="C1681" t="str">
        <f>IFERROR(__xludf.DUMMYFUNCTION("""COMPUTED_VALUE"""),"Meats")</f>
        <v>Meats</v>
      </c>
      <c r="D1681">
        <f>IFERROR(__xludf.DUMMYFUNCTION("""COMPUTED_VALUE"""),376.0)</f>
        <v>376</v>
      </c>
      <c r="E1681">
        <f>IFERROR(__xludf.DUMMYFUNCTION("""COMPUTED_VALUE"""),32.63)</f>
        <v>32.63</v>
      </c>
      <c r="F1681">
        <f>IFERROR(__xludf.DUMMYFUNCTION("""COMPUTED_VALUE"""),20.48)</f>
        <v>20.48</v>
      </c>
      <c r="G1681">
        <f>IFERROR(__xludf.DUMMYFUNCTION("""COMPUTED_VALUE"""),0.14)</f>
        <v>0.14</v>
      </c>
    </row>
    <row r="1682">
      <c r="A1682">
        <f>IFERROR(__xludf.DUMMYFUNCTION("""COMPUTED_VALUE"""),172631.0)</f>
        <v>172631</v>
      </c>
      <c r="B1682" t="str">
        <f>IFERROR(__xludf.DUMMYFUNCTION("""COMPUTED_VALUE"""),"Lamb New Zealand Imported Flap Boneless Separable Lean And Fat Raw")</f>
        <v>Lamb New Zealand Imported Flap Boneless Separable Lean And Fat Raw</v>
      </c>
      <c r="C1682" t="str">
        <f>IFERROR(__xludf.DUMMYFUNCTION("""COMPUTED_VALUE"""),"Meats")</f>
        <v>Meats</v>
      </c>
      <c r="D1682">
        <f>IFERROR(__xludf.DUMMYFUNCTION("""COMPUTED_VALUE"""),337.0)</f>
        <v>337</v>
      </c>
      <c r="E1682">
        <f>IFERROR(__xludf.DUMMYFUNCTION("""COMPUTED_VALUE"""),30.14)</f>
        <v>30.14</v>
      </c>
      <c r="F1682">
        <f>IFERROR(__xludf.DUMMYFUNCTION("""COMPUTED_VALUE"""),16.17)</f>
        <v>16.17</v>
      </c>
      <c r="G1682">
        <f>IFERROR(__xludf.DUMMYFUNCTION("""COMPUTED_VALUE"""),0.27)</f>
        <v>0.27</v>
      </c>
    </row>
    <row r="1683">
      <c r="A1683">
        <f>IFERROR(__xludf.DUMMYFUNCTION("""COMPUTED_VALUE"""),172632.0)</f>
        <v>172632</v>
      </c>
      <c r="B1683" t="str">
        <f>IFERROR(__xludf.DUMMYFUNCTION("""COMPUTED_VALUE"""),"Lamb New Zealand Imported Hind-Shank Separable Lean And Fat Cooked Braised")</f>
        <v>Lamb New Zealand Imported Hind-Shank Separable Lean And Fat Cooked Braised</v>
      </c>
      <c r="C1683" t="str">
        <f>IFERROR(__xludf.DUMMYFUNCTION("""COMPUTED_VALUE"""),"Meats")</f>
        <v>Meats</v>
      </c>
      <c r="D1683">
        <f>IFERROR(__xludf.DUMMYFUNCTION("""COMPUTED_VALUE"""),247.0)</f>
        <v>247</v>
      </c>
      <c r="E1683">
        <f>IFERROR(__xludf.DUMMYFUNCTION("""COMPUTED_VALUE"""),14.22)</f>
        <v>14.22</v>
      </c>
      <c r="F1683">
        <f>IFERROR(__xludf.DUMMYFUNCTION("""COMPUTED_VALUE"""),29.59)</f>
        <v>29.59</v>
      </c>
      <c r="G1683">
        <f>IFERROR(__xludf.DUMMYFUNCTION("""COMPUTED_VALUE"""),0.04)</f>
        <v>0.04</v>
      </c>
    </row>
    <row r="1684">
      <c r="A1684">
        <f>IFERROR(__xludf.DUMMYFUNCTION("""COMPUTED_VALUE"""),172633.0)</f>
        <v>172633</v>
      </c>
      <c r="B1684" t="str">
        <f>IFERROR(__xludf.DUMMYFUNCTION("""COMPUTED_VALUE"""),"Lamb New Zealand Imported Hind-Shank Separable Lean And Fat Raw")</f>
        <v>Lamb New Zealand Imported Hind-Shank Separable Lean And Fat Raw</v>
      </c>
      <c r="C1684" t="str">
        <f>IFERROR(__xludf.DUMMYFUNCTION("""COMPUTED_VALUE"""),"Meats")</f>
        <v>Meats</v>
      </c>
      <c r="D1684">
        <f>IFERROR(__xludf.DUMMYFUNCTION("""COMPUTED_VALUE"""),186.0)</f>
        <v>186</v>
      </c>
      <c r="E1684">
        <f>IFERROR(__xludf.DUMMYFUNCTION("""COMPUTED_VALUE"""),12.12)</f>
        <v>12.12</v>
      </c>
      <c r="F1684">
        <f>IFERROR(__xludf.DUMMYFUNCTION("""COMPUTED_VALUE"""),18.39)</f>
        <v>18.39</v>
      </c>
      <c r="G1684">
        <f>IFERROR(__xludf.DUMMYFUNCTION("""COMPUTED_VALUE"""),0.73)</f>
        <v>0.73</v>
      </c>
    </row>
    <row r="1685">
      <c r="A1685">
        <f>IFERROR(__xludf.DUMMYFUNCTION("""COMPUTED_VALUE"""),172634.0)</f>
        <v>172634</v>
      </c>
      <c r="B1685" t="str">
        <f>IFERROR(__xludf.DUMMYFUNCTION("""COMPUTED_VALUE"""),"Lamb New Zealand Imported Loin Boneless Separable Lean And Fat Cooked Fast Roasted")</f>
        <v>Lamb New Zealand Imported Loin Boneless Separable Lean And Fat Cooked Fast Roasted</v>
      </c>
      <c r="C1685" t="str">
        <f>IFERROR(__xludf.DUMMYFUNCTION("""COMPUTED_VALUE"""),"Meats")</f>
        <v>Meats</v>
      </c>
      <c r="D1685">
        <f>IFERROR(__xludf.DUMMYFUNCTION("""COMPUTED_VALUE"""),157.0)</f>
        <v>157</v>
      </c>
      <c r="E1685">
        <f>IFERROR(__xludf.DUMMYFUNCTION("""COMPUTED_VALUE"""),4.57)</f>
        <v>4.57</v>
      </c>
      <c r="F1685">
        <f>IFERROR(__xludf.DUMMYFUNCTION("""COMPUTED_VALUE"""),28.96)</f>
        <v>28.96</v>
      </c>
      <c r="G1685">
        <f>IFERROR(__xludf.DUMMYFUNCTION("""COMPUTED_VALUE"""),0.0)</f>
        <v>0</v>
      </c>
    </row>
    <row r="1686">
      <c r="A1686">
        <f>IFERROR(__xludf.DUMMYFUNCTION("""COMPUTED_VALUE"""),172635.0)</f>
        <v>172635</v>
      </c>
      <c r="B1686" t="str">
        <f>IFERROR(__xludf.DUMMYFUNCTION("""COMPUTED_VALUE"""),"Lamb New Zealand Imported Loin Boneless Separable Lean And Fat Raw")</f>
        <v>Lamb New Zealand Imported Loin Boneless Separable Lean And Fat Raw</v>
      </c>
      <c r="C1686" t="str">
        <f>IFERROR(__xludf.DUMMYFUNCTION("""COMPUTED_VALUE"""),"Meats")</f>
        <v>Meats</v>
      </c>
      <c r="D1686">
        <f>IFERROR(__xludf.DUMMYFUNCTION("""COMPUTED_VALUE"""),122.0)</f>
        <v>122</v>
      </c>
      <c r="E1686">
        <f>IFERROR(__xludf.DUMMYFUNCTION("""COMPUTED_VALUE"""),3.99)</f>
        <v>3.99</v>
      </c>
      <c r="F1686">
        <f>IFERROR(__xludf.DUMMYFUNCTION("""COMPUTED_VALUE"""),21.44)</f>
        <v>21.44</v>
      </c>
      <c r="G1686">
        <f>IFERROR(__xludf.DUMMYFUNCTION("""COMPUTED_VALUE"""),0.0)</f>
        <v>0</v>
      </c>
    </row>
    <row r="1687">
      <c r="A1687">
        <f>IFERROR(__xludf.DUMMYFUNCTION("""COMPUTED_VALUE"""),172636.0)</f>
        <v>172636</v>
      </c>
      <c r="B1687" t="str">
        <f>IFERROR(__xludf.DUMMYFUNCTION("""COMPUTED_VALUE"""),"Lamb New Zealand Imported Neck Chops Separable Lean And Fat Cooked Braised")</f>
        <v>Lamb New Zealand Imported Neck Chops Separable Lean And Fat Cooked Braised</v>
      </c>
      <c r="C1687" t="str">
        <f>IFERROR(__xludf.DUMMYFUNCTION("""COMPUTED_VALUE"""),"Meats")</f>
        <v>Meats</v>
      </c>
      <c r="D1687">
        <f>IFERROR(__xludf.DUMMYFUNCTION("""COMPUTED_VALUE"""),307.0)</f>
        <v>307</v>
      </c>
      <c r="E1687">
        <f>IFERROR(__xludf.DUMMYFUNCTION("""COMPUTED_VALUE"""),21.43)</f>
        <v>21.43</v>
      </c>
      <c r="F1687">
        <f>IFERROR(__xludf.DUMMYFUNCTION("""COMPUTED_VALUE"""),28.53)</f>
        <v>28.53</v>
      </c>
      <c r="G1687">
        <f>IFERROR(__xludf.DUMMYFUNCTION("""COMPUTED_VALUE"""),0.03)</f>
        <v>0.03</v>
      </c>
    </row>
    <row r="1688">
      <c r="A1688">
        <f>IFERROR(__xludf.DUMMYFUNCTION("""COMPUTED_VALUE"""),172637.0)</f>
        <v>172637</v>
      </c>
      <c r="B1688" t="str">
        <f>IFERROR(__xludf.DUMMYFUNCTION("""COMPUTED_VALUE"""),"Lamb New Zealand Imported Neck Chops Separable Lean And Fat Raw")</f>
        <v>Lamb New Zealand Imported Neck Chops Separable Lean And Fat Raw</v>
      </c>
      <c r="C1688" t="str">
        <f>IFERROR(__xludf.DUMMYFUNCTION("""COMPUTED_VALUE"""),"Meats")</f>
        <v>Meats</v>
      </c>
      <c r="D1688">
        <f>IFERROR(__xludf.DUMMYFUNCTION("""COMPUTED_VALUE"""),231.0)</f>
        <v>231</v>
      </c>
      <c r="E1688">
        <f>IFERROR(__xludf.DUMMYFUNCTION("""COMPUTED_VALUE"""),17.9)</f>
        <v>17.9</v>
      </c>
      <c r="F1688">
        <f>IFERROR(__xludf.DUMMYFUNCTION("""COMPUTED_VALUE"""),17.43)</f>
        <v>17.43</v>
      </c>
      <c r="G1688">
        <f>IFERROR(__xludf.DUMMYFUNCTION("""COMPUTED_VALUE"""),0.14)</f>
        <v>0.14</v>
      </c>
    </row>
    <row r="1689">
      <c r="A1689">
        <f>IFERROR(__xludf.DUMMYFUNCTION("""COMPUTED_VALUE"""),172638.0)</f>
        <v>172638</v>
      </c>
      <c r="B1689" t="str">
        <f>IFERROR(__xludf.DUMMYFUNCTION("""COMPUTED_VALUE"""),"Lamb New Zealand Imported Netted Shoulder Rolled Boneless Separable Lean And Fat Cooked Slow Roasted")</f>
        <v>Lamb New Zealand Imported Netted Shoulder Rolled Boneless Separable Lean And Fat Cooked Slow Roasted</v>
      </c>
      <c r="C1689" t="str">
        <f>IFERROR(__xludf.DUMMYFUNCTION("""COMPUTED_VALUE"""),"Meats")</f>
        <v>Meats</v>
      </c>
      <c r="D1689">
        <f>IFERROR(__xludf.DUMMYFUNCTION("""COMPUTED_VALUE"""),287.0)</f>
        <v>287</v>
      </c>
      <c r="E1689">
        <f>IFERROR(__xludf.DUMMYFUNCTION("""COMPUTED_VALUE"""),22.33)</f>
        <v>22.33</v>
      </c>
      <c r="F1689">
        <f>IFERROR(__xludf.DUMMYFUNCTION("""COMPUTED_VALUE"""),21.45)</f>
        <v>21.45</v>
      </c>
      <c r="G1689">
        <f>IFERROR(__xludf.DUMMYFUNCTION("""COMPUTED_VALUE"""),0.05)</f>
        <v>0.05</v>
      </c>
    </row>
    <row r="1690">
      <c r="A1690">
        <f>IFERROR(__xludf.DUMMYFUNCTION("""COMPUTED_VALUE"""),172639.0)</f>
        <v>172639</v>
      </c>
      <c r="B1690" t="str">
        <f>IFERROR(__xludf.DUMMYFUNCTION("""COMPUTED_VALUE"""),"Lamb New Zealand Imported Tenderloin Separable Lean And Fat Cooked Fast Fried")</f>
        <v>Lamb New Zealand Imported Tenderloin Separable Lean And Fat Cooked Fast Fried</v>
      </c>
      <c r="C1690" t="str">
        <f>IFERROR(__xludf.DUMMYFUNCTION("""COMPUTED_VALUE"""),"Meats")</f>
        <v>Meats</v>
      </c>
      <c r="D1690">
        <f>IFERROR(__xludf.DUMMYFUNCTION("""COMPUTED_VALUE"""),157.0)</f>
        <v>157</v>
      </c>
      <c r="E1690">
        <f>IFERROR(__xludf.DUMMYFUNCTION("""COMPUTED_VALUE"""),5.0)</f>
        <v>5</v>
      </c>
      <c r="F1690">
        <f>IFERROR(__xludf.DUMMYFUNCTION("""COMPUTED_VALUE"""),27.87)</f>
        <v>27.87</v>
      </c>
      <c r="G1690">
        <f>IFERROR(__xludf.DUMMYFUNCTION("""COMPUTED_VALUE"""),0.0)</f>
        <v>0</v>
      </c>
    </row>
    <row r="1691">
      <c r="A1691">
        <f>IFERROR(__xludf.DUMMYFUNCTION("""COMPUTED_VALUE"""),172640.0)</f>
        <v>172640</v>
      </c>
      <c r="B1691" t="str">
        <f>IFERROR(__xludf.DUMMYFUNCTION("""COMPUTED_VALUE"""),"Lamb New Zealand Imported Rack - Fully Frenched Separable Lean And Fat Cooked Fast Roasted")</f>
        <v>Lamb New Zealand Imported Rack - Fully Frenched Separable Lean And Fat Cooked Fast Roasted</v>
      </c>
      <c r="C1691" t="str">
        <f>IFERROR(__xludf.DUMMYFUNCTION("""COMPUTED_VALUE"""),"Meats")</f>
        <v>Meats</v>
      </c>
      <c r="D1691">
        <f>IFERROR(__xludf.DUMMYFUNCTION("""COMPUTED_VALUE"""),195.0)</f>
        <v>195</v>
      </c>
      <c r="E1691">
        <f>IFERROR(__xludf.DUMMYFUNCTION("""COMPUTED_VALUE"""),11.2)</f>
        <v>11.2</v>
      </c>
      <c r="F1691">
        <f>IFERROR(__xludf.DUMMYFUNCTION("""COMPUTED_VALUE"""),23.56)</f>
        <v>23.56</v>
      </c>
      <c r="G1691">
        <f>IFERROR(__xludf.DUMMYFUNCTION("""COMPUTED_VALUE"""),0.01)</f>
        <v>0.01</v>
      </c>
    </row>
    <row r="1692">
      <c r="A1692">
        <f>IFERROR(__xludf.DUMMYFUNCTION("""COMPUTED_VALUE"""),172641.0)</f>
        <v>172641</v>
      </c>
      <c r="B1692" t="str">
        <f>IFERROR(__xludf.DUMMYFUNCTION("""COMPUTED_VALUE"""),"Lamb New Zealand Imported Rack - Fully Frenched Separable Lean And Fat Raw")</f>
        <v>Lamb New Zealand Imported Rack - Fully Frenched Separable Lean And Fat Raw</v>
      </c>
      <c r="C1692" t="str">
        <f>IFERROR(__xludf.DUMMYFUNCTION("""COMPUTED_VALUE"""),"Meats")</f>
        <v>Meats</v>
      </c>
      <c r="D1692">
        <f>IFERROR(__xludf.DUMMYFUNCTION("""COMPUTED_VALUE"""),169.0)</f>
        <v>169</v>
      </c>
      <c r="E1692">
        <f>IFERROR(__xludf.DUMMYFUNCTION("""COMPUTED_VALUE"""),9.96)</f>
        <v>9.96</v>
      </c>
      <c r="F1692">
        <f>IFERROR(__xludf.DUMMYFUNCTION("""COMPUTED_VALUE"""),19.88)</f>
        <v>19.88</v>
      </c>
      <c r="G1692">
        <f>IFERROR(__xludf.DUMMYFUNCTION("""COMPUTED_VALUE"""),0.05)</f>
        <v>0.05</v>
      </c>
    </row>
    <row r="1693">
      <c r="A1693">
        <f>IFERROR(__xludf.DUMMYFUNCTION("""COMPUTED_VALUE"""),172642.0)</f>
        <v>172642</v>
      </c>
      <c r="B1693" t="str">
        <f>IFERROR(__xludf.DUMMYFUNCTION("""COMPUTED_VALUE"""),"Lamb New Zealand Imported Tunnel-Boned Leg Chump Off Shank Off Separable Lean And Fat Cooked Slow Roasted")</f>
        <v>Lamb New Zealand Imported Tunnel-Boned Leg Chump Off Shank Off Separable Lean And Fat Cooked Slow Roasted</v>
      </c>
      <c r="C1693" t="str">
        <f>IFERROR(__xludf.DUMMYFUNCTION("""COMPUTED_VALUE"""),"Meats")</f>
        <v>Meats</v>
      </c>
      <c r="D1693">
        <f>IFERROR(__xludf.DUMMYFUNCTION("""COMPUTED_VALUE"""),208.0)</f>
        <v>208</v>
      </c>
      <c r="E1693">
        <f>IFERROR(__xludf.DUMMYFUNCTION("""COMPUTED_VALUE"""),12.68)</f>
        <v>12.68</v>
      </c>
      <c r="F1693">
        <f>IFERROR(__xludf.DUMMYFUNCTION("""COMPUTED_VALUE"""),23.41)</f>
        <v>23.41</v>
      </c>
      <c r="G1693">
        <f>IFERROR(__xludf.DUMMYFUNCTION("""COMPUTED_VALUE"""),0.03)</f>
        <v>0.03</v>
      </c>
    </row>
    <row r="1694">
      <c r="A1694">
        <f>IFERROR(__xludf.DUMMYFUNCTION("""COMPUTED_VALUE"""),172643.0)</f>
        <v>172643</v>
      </c>
      <c r="B1694" t="str">
        <f>IFERROR(__xludf.DUMMYFUNCTION("""COMPUTED_VALUE"""),"Veal Leg Top Round Cap Off Cutlet Boneless Raw")</f>
        <v>Veal Leg Top Round Cap Off Cutlet Boneless Raw</v>
      </c>
      <c r="C1694" t="str">
        <f>IFERROR(__xludf.DUMMYFUNCTION("""COMPUTED_VALUE"""),"Meats")</f>
        <v>Meats</v>
      </c>
      <c r="D1694">
        <f>IFERROR(__xludf.DUMMYFUNCTION("""COMPUTED_VALUE"""),107.0)</f>
        <v>107</v>
      </c>
      <c r="E1694">
        <f>IFERROR(__xludf.DUMMYFUNCTION("""COMPUTED_VALUE"""),2.07)</f>
        <v>2.07</v>
      </c>
      <c r="F1694">
        <f>IFERROR(__xludf.DUMMYFUNCTION("""COMPUTED_VALUE"""),22.07)</f>
        <v>22.07</v>
      </c>
      <c r="G1694">
        <f>IFERROR(__xludf.DUMMYFUNCTION("""COMPUTED_VALUE"""),0.0)</f>
        <v>0</v>
      </c>
    </row>
    <row r="1695">
      <c r="A1695">
        <f>IFERROR(__xludf.DUMMYFUNCTION("""COMPUTED_VALUE"""),172644.0)</f>
        <v>172644</v>
      </c>
      <c r="B1695" t="str">
        <f>IFERROR(__xludf.DUMMYFUNCTION("""COMPUTED_VALUE"""),"Veal Loin Chop Separable Lean Only Cooked Grilled")</f>
        <v>Veal Loin Chop Separable Lean Only Cooked Grilled</v>
      </c>
      <c r="C1695" t="str">
        <f>IFERROR(__xludf.DUMMYFUNCTION("""COMPUTED_VALUE"""),"Meats")</f>
        <v>Meats</v>
      </c>
      <c r="D1695">
        <f>IFERROR(__xludf.DUMMYFUNCTION("""COMPUTED_VALUE"""),159.0)</f>
        <v>159</v>
      </c>
      <c r="E1695">
        <f>IFERROR(__xludf.DUMMYFUNCTION("""COMPUTED_VALUE"""),4.44)</f>
        <v>4.44</v>
      </c>
      <c r="F1695">
        <f>IFERROR(__xludf.DUMMYFUNCTION("""COMPUTED_VALUE"""),29.75)</f>
        <v>29.75</v>
      </c>
      <c r="G1695">
        <f>IFERROR(__xludf.DUMMYFUNCTION("""COMPUTED_VALUE"""),0.07)</f>
        <v>0.07</v>
      </c>
    </row>
    <row r="1696">
      <c r="A1696">
        <f>IFERROR(__xludf.DUMMYFUNCTION("""COMPUTED_VALUE"""),172645.0)</f>
        <v>172645</v>
      </c>
      <c r="B1696" t="str">
        <f>IFERROR(__xludf.DUMMYFUNCTION("""COMPUTED_VALUE"""),"Veal Shank Separable Lean Only Raw")</f>
        <v>Veal Shank Separable Lean Only Raw</v>
      </c>
      <c r="C1696" t="str">
        <f>IFERROR(__xludf.DUMMYFUNCTION("""COMPUTED_VALUE"""),"Meats")</f>
        <v>Meats</v>
      </c>
      <c r="D1696">
        <f>IFERROR(__xludf.DUMMYFUNCTION("""COMPUTED_VALUE"""),94.0)</f>
        <v>94</v>
      </c>
      <c r="E1696">
        <f>IFERROR(__xludf.DUMMYFUNCTION("""COMPUTED_VALUE"""),1.64)</f>
        <v>1.64</v>
      </c>
      <c r="F1696">
        <f>IFERROR(__xludf.DUMMYFUNCTION("""COMPUTED_VALUE"""),19.77)</f>
        <v>19.77</v>
      </c>
      <c r="G1696">
        <f>IFERROR(__xludf.DUMMYFUNCTION("""COMPUTED_VALUE"""),0.0)</f>
        <v>0</v>
      </c>
    </row>
    <row r="1697">
      <c r="A1697">
        <f>IFERROR(__xludf.DUMMYFUNCTION("""COMPUTED_VALUE"""),172646.0)</f>
        <v>172646</v>
      </c>
      <c r="B1697" t="str">
        <f>IFERROR(__xludf.DUMMYFUNCTION("""COMPUTED_VALUE"""),"Veal Foreshank Osso Buco Separable Lean Only Cooked Braised")</f>
        <v>Veal Foreshank Osso Buco Separable Lean Only Cooked Braised</v>
      </c>
      <c r="C1697" t="str">
        <f>IFERROR(__xludf.DUMMYFUNCTION("""COMPUTED_VALUE"""),"Meats")</f>
        <v>Meats</v>
      </c>
      <c r="D1697">
        <f>IFERROR(__xludf.DUMMYFUNCTION("""COMPUTED_VALUE"""),157.0)</f>
        <v>157</v>
      </c>
      <c r="E1697">
        <f>IFERROR(__xludf.DUMMYFUNCTION("""COMPUTED_VALUE"""),4.51)</f>
        <v>4.51</v>
      </c>
      <c r="F1697">
        <f>IFERROR(__xludf.DUMMYFUNCTION("""COMPUTED_VALUE"""),29.12)</f>
        <v>29.12</v>
      </c>
      <c r="G1697">
        <f>IFERROR(__xludf.DUMMYFUNCTION("""COMPUTED_VALUE"""),0.0)</f>
        <v>0</v>
      </c>
    </row>
    <row r="1698">
      <c r="A1698">
        <f>IFERROR(__xludf.DUMMYFUNCTION("""COMPUTED_VALUE"""),172647.0)</f>
        <v>172647</v>
      </c>
      <c r="B1698" t="str">
        <f>IFERROR(__xludf.DUMMYFUNCTION("""COMPUTED_VALUE"""),"Veal Seam Fat Only Cooked")</f>
        <v>Veal Seam Fat Only Cooked</v>
      </c>
      <c r="C1698" t="str">
        <f>IFERROR(__xludf.DUMMYFUNCTION("""COMPUTED_VALUE"""),"Meats")</f>
        <v>Meats</v>
      </c>
      <c r="D1698">
        <f>IFERROR(__xludf.DUMMYFUNCTION("""COMPUTED_VALUE"""),505.0)</f>
        <v>505</v>
      </c>
      <c r="E1698">
        <f>IFERROR(__xludf.DUMMYFUNCTION("""COMPUTED_VALUE"""),50.17)</f>
        <v>50.17</v>
      </c>
      <c r="F1698">
        <f>IFERROR(__xludf.DUMMYFUNCTION("""COMPUTED_VALUE"""),11.16)</f>
        <v>11.16</v>
      </c>
      <c r="G1698">
        <f>IFERROR(__xludf.DUMMYFUNCTION("""COMPUTED_VALUE"""),2.11)</f>
        <v>2.11</v>
      </c>
    </row>
    <row r="1699">
      <c r="A1699">
        <f>IFERROR(__xludf.DUMMYFUNCTION("""COMPUTED_VALUE"""),172648.0)</f>
        <v>172648</v>
      </c>
      <c r="B1699" t="str">
        <f>IFERROR(__xludf.DUMMYFUNCTION("""COMPUTED_VALUE"""),"Veal Shank Separable Lean And Fat Raw")</f>
        <v>Veal Shank Separable Lean And Fat Raw</v>
      </c>
      <c r="C1699" t="str">
        <f>IFERROR(__xludf.DUMMYFUNCTION("""COMPUTED_VALUE"""),"Meats")</f>
        <v>Meats</v>
      </c>
      <c r="D1699">
        <f>IFERROR(__xludf.DUMMYFUNCTION("""COMPUTED_VALUE"""),107.0)</f>
        <v>107</v>
      </c>
      <c r="E1699">
        <f>IFERROR(__xludf.DUMMYFUNCTION("""COMPUTED_VALUE"""),3.3)</f>
        <v>3.3</v>
      </c>
      <c r="F1699">
        <f>IFERROR(__xludf.DUMMYFUNCTION("""COMPUTED_VALUE"""),19.28)</f>
        <v>19.28</v>
      </c>
      <c r="G1699">
        <f>IFERROR(__xludf.DUMMYFUNCTION("""COMPUTED_VALUE"""),0.0)</f>
        <v>0</v>
      </c>
    </row>
    <row r="1700">
      <c r="A1700">
        <f>IFERROR(__xludf.DUMMYFUNCTION("""COMPUTED_VALUE"""),172649.0)</f>
        <v>172649</v>
      </c>
      <c r="B1700" t="str">
        <f>IFERROR(__xludf.DUMMYFUNCTION("""COMPUTED_VALUE"""),"Veal Foreshank Osso Buco Separable Lean And Fat Cooked Braised")</f>
        <v>Veal Foreshank Osso Buco Separable Lean And Fat Cooked Braised</v>
      </c>
      <c r="C1700" t="str">
        <f>IFERROR(__xludf.DUMMYFUNCTION("""COMPUTED_VALUE"""),"Meats")</f>
        <v>Meats</v>
      </c>
      <c r="D1700">
        <f>IFERROR(__xludf.DUMMYFUNCTION("""COMPUTED_VALUE"""),182.0)</f>
        <v>182</v>
      </c>
      <c r="E1700">
        <f>IFERROR(__xludf.DUMMYFUNCTION("""COMPUTED_VALUE"""),7.77)</f>
        <v>7.77</v>
      </c>
      <c r="F1700">
        <f>IFERROR(__xludf.DUMMYFUNCTION("""COMPUTED_VALUE"""),27.94)</f>
        <v>27.94</v>
      </c>
      <c r="G1700">
        <f>IFERROR(__xludf.DUMMYFUNCTION("""COMPUTED_VALUE"""),0.11)</f>
        <v>0.11</v>
      </c>
    </row>
    <row r="1701">
      <c r="A1701">
        <f>IFERROR(__xludf.DUMMYFUNCTION("""COMPUTED_VALUE"""),172650.0)</f>
        <v>172650</v>
      </c>
      <c r="B1701" t="str">
        <f>IFERROR(__xludf.DUMMYFUNCTION("""COMPUTED_VALUE"""),"Veal Loin Chop Separable Lean And Fat Cooked Grilled")</f>
        <v>Veal Loin Chop Separable Lean And Fat Cooked Grilled</v>
      </c>
      <c r="C1701" t="str">
        <f>IFERROR(__xludf.DUMMYFUNCTION("""COMPUTED_VALUE"""),"Meats")</f>
        <v>Meats</v>
      </c>
      <c r="D1701">
        <f>IFERROR(__xludf.DUMMYFUNCTION("""COMPUTED_VALUE"""),198.0)</f>
        <v>198</v>
      </c>
      <c r="E1701">
        <f>IFERROR(__xludf.DUMMYFUNCTION("""COMPUTED_VALUE"""),9.48)</f>
        <v>9.48</v>
      </c>
      <c r="F1701">
        <f>IFERROR(__xludf.DUMMYFUNCTION("""COMPUTED_VALUE"""),28.04)</f>
        <v>28.04</v>
      </c>
      <c r="G1701">
        <f>IFERROR(__xludf.DUMMYFUNCTION("""COMPUTED_VALUE"""),0.16)</f>
        <v>0.16</v>
      </c>
    </row>
    <row r="1702">
      <c r="A1702">
        <f>IFERROR(__xludf.DUMMYFUNCTION("""COMPUTED_VALUE"""),172651.0)</f>
        <v>172651</v>
      </c>
      <c r="B1702" t="str">
        <f>IFERROR(__xludf.DUMMYFUNCTION("""COMPUTED_VALUE"""),"Veal Shoulder Blade Chop Separable Lean And Fat Cooked Grilled")</f>
        <v>Veal Shoulder Blade Chop Separable Lean And Fat Cooked Grilled</v>
      </c>
      <c r="C1702" t="str">
        <f>IFERROR(__xludf.DUMMYFUNCTION("""COMPUTED_VALUE"""),"Meats")</f>
        <v>Meats</v>
      </c>
      <c r="D1702">
        <f>IFERROR(__xludf.DUMMYFUNCTION("""COMPUTED_VALUE"""),199.0)</f>
        <v>199</v>
      </c>
      <c r="E1702">
        <f>IFERROR(__xludf.DUMMYFUNCTION("""COMPUTED_VALUE"""),10.57)</f>
        <v>10.57</v>
      </c>
      <c r="F1702">
        <f>IFERROR(__xludf.DUMMYFUNCTION("""COMPUTED_VALUE"""),25.72)</f>
        <v>25.72</v>
      </c>
      <c r="G1702">
        <f>IFERROR(__xludf.DUMMYFUNCTION("""COMPUTED_VALUE"""),0.15)</f>
        <v>0.15</v>
      </c>
    </row>
    <row r="1703">
      <c r="A1703">
        <f>IFERROR(__xludf.DUMMYFUNCTION("""COMPUTED_VALUE"""),172652.0)</f>
        <v>172652</v>
      </c>
      <c r="B1703" t="str">
        <f>IFERROR(__xludf.DUMMYFUNCTION("""COMPUTED_VALUE"""),"Lamb Australian Imported Fresh Tenderloin Boneless Separable Lean Only Trimmed To 1/8 Inch Fat Raw")</f>
        <v>Lamb Australian Imported Fresh Tenderloin Boneless Separable Lean Only Trimmed To 1/8 Inch Fat Raw</v>
      </c>
      <c r="C1703" t="str">
        <f>IFERROR(__xludf.DUMMYFUNCTION("""COMPUTED_VALUE"""),"Meats")</f>
        <v>Meats</v>
      </c>
      <c r="D1703">
        <f>IFERROR(__xludf.DUMMYFUNCTION("""COMPUTED_VALUE"""),136.0)</f>
        <v>136</v>
      </c>
      <c r="E1703">
        <f>IFERROR(__xludf.DUMMYFUNCTION("""COMPUTED_VALUE"""),4.73)</f>
        <v>4.73</v>
      </c>
      <c r="F1703">
        <f>IFERROR(__xludf.DUMMYFUNCTION("""COMPUTED_VALUE"""),23.42)</f>
        <v>23.42</v>
      </c>
      <c r="G1703">
        <f>IFERROR(__xludf.DUMMYFUNCTION("""COMPUTED_VALUE"""),0.0)</f>
        <v>0</v>
      </c>
    </row>
    <row r="1704">
      <c r="A1704">
        <f>IFERROR(__xludf.DUMMYFUNCTION("""COMPUTED_VALUE"""),172653.0)</f>
        <v>172653</v>
      </c>
      <c r="B1704" t="str">
        <f>IFERROR(__xludf.DUMMYFUNCTION("""COMPUTED_VALUE"""),"Lamb Australian Imported Fresh Leg Bottom Boneless Separable Lean Only Trimmed To 1/8 Inch Fat Raw")</f>
        <v>Lamb Australian Imported Fresh Leg Bottom Boneless Separable Lean Only Trimmed To 1/8 Inch Fat Raw</v>
      </c>
      <c r="C1704" t="str">
        <f>IFERROR(__xludf.DUMMYFUNCTION("""COMPUTED_VALUE"""),"Meats")</f>
        <v>Meats</v>
      </c>
      <c r="D1704">
        <f>IFERROR(__xludf.DUMMYFUNCTION("""COMPUTED_VALUE"""),136.0)</f>
        <v>136</v>
      </c>
      <c r="E1704">
        <f>IFERROR(__xludf.DUMMYFUNCTION("""COMPUTED_VALUE"""),5.24)</f>
        <v>5.24</v>
      </c>
      <c r="F1704">
        <f>IFERROR(__xludf.DUMMYFUNCTION("""COMPUTED_VALUE"""),22.28)</f>
        <v>22.28</v>
      </c>
      <c r="G1704">
        <f>IFERROR(__xludf.DUMMYFUNCTION("""COMPUTED_VALUE"""),0.0)</f>
        <v>0</v>
      </c>
    </row>
    <row r="1705">
      <c r="A1705">
        <f>IFERROR(__xludf.DUMMYFUNCTION("""COMPUTED_VALUE"""),172654.0)</f>
        <v>172654</v>
      </c>
      <c r="B1705" t="str">
        <f>IFERROR(__xludf.DUMMYFUNCTION("""COMPUTED_VALUE"""),"Lamb Australian Imported Fresh Leg Trotter Off Bone-In Separable Lean Only Trimmed To 1/8 Inch Fat Cooked Roasted")</f>
        <v>Lamb Australian Imported Fresh Leg Trotter Off Bone-In Separable Lean Only Trimmed To 1/8 Inch Fat Cooked Roasted</v>
      </c>
      <c r="C1705" t="str">
        <f>IFERROR(__xludf.DUMMYFUNCTION("""COMPUTED_VALUE"""),"Meats")</f>
        <v>Meats</v>
      </c>
      <c r="D1705">
        <f>IFERROR(__xludf.DUMMYFUNCTION("""COMPUTED_VALUE"""),215.0)</f>
        <v>215</v>
      </c>
      <c r="E1705">
        <f>IFERROR(__xludf.DUMMYFUNCTION("""COMPUTED_VALUE"""),9.59)</f>
        <v>9.59</v>
      </c>
      <c r="F1705">
        <f>IFERROR(__xludf.DUMMYFUNCTION("""COMPUTED_VALUE"""),32.08)</f>
        <v>32.08</v>
      </c>
      <c r="G1705">
        <f>IFERROR(__xludf.DUMMYFUNCTION("""COMPUTED_VALUE"""),0.0)</f>
        <v>0</v>
      </c>
    </row>
    <row r="1706">
      <c r="A1706">
        <f>IFERROR(__xludf.DUMMYFUNCTION("""COMPUTED_VALUE"""),172655.0)</f>
        <v>172655</v>
      </c>
      <c r="B1706" t="str">
        <f>IFERROR(__xludf.DUMMYFUNCTION("""COMPUTED_VALUE"""),"Lamb Australian Imported Fresh Leg Trotter Off Bone-In Separable Lean Only Trimmed To 1/8 Inch Fat Raw")</f>
        <v>Lamb Australian Imported Fresh Leg Trotter Off Bone-In Separable Lean Only Trimmed To 1/8 Inch Fat Raw</v>
      </c>
      <c r="C1706" t="str">
        <f>IFERROR(__xludf.DUMMYFUNCTION("""COMPUTED_VALUE"""),"Meats")</f>
        <v>Meats</v>
      </c>
      <c r="D1706">
        <f>IFERROR(__xludf.DUMMYFUNCTION("""COMPUTED_VALUE"""),131.0)</f>
        <v>131</v>
      </c>
      <c r="E1706">
        <f>IFERROR(__xludf.DUMMYFUNCTION("""COMPUTED_VALUE"""),4.33)</f>
        <v>4.33</v>
      </c>
      <c r="F1706">
        <f>IFERROR(__xludf.DUMMYFUNCTION("""COMPUTED_VALUE"""),23.11)</f>
        <v>23.11</v>
      </c>
      <c r="G1706">
        <f>IFERROR(__xludf.DUMMYFUNCTION("""COMPUTED_VALUE"""),0.0)</f>
        <v>0</v>
      </c>
    </row>
    <row r="1707">
      <c r="A1707">
        <f>IFERROR(__xludf.DUMMYFUNCTION("""COMPUTED_VALUE"""),172656.0)</f>
        <v>172656</v>
      </c>
      <c r="B1707" t="str">
        <f>IFERROR(__xludf.DUMMYFUNCTION("""COMPUTED_VALUE"""),"Lamb Australian Imported Fresh Seam Fat Cooked")</f>
        <v>Lamb Australian Imported Fresh Seam Fat Cooked</v>
      </c>
      <c r="C1707" t="str">
        <f>IFERROR(__xludf.DUMMYFUNCTION("""COMPUTED_VALUE"""),"Meats")</f>
        <v>Meats</v>
      </c>
      <c r="D1707">
        <f>IFERROR(__xludf.DUMMYFUNCTION("""COMPUTED_VALUE"""),554.0)</f>
        <v>554</v>
      </c>
      <c r="E1707">
        <f>IFERROR(__xludf.DUMMYFUNCTION("""COMPUTED_VALUE"""),54.72)</f>
        <v>54.72</v>
      </c>
      <c r="F1707">
        <f>IFERROR(__xludf.DUMMYFUNCTION("""COMPUTED_VALUE"""),13.81)</f>
        <v>13.81</v>
      </c>
      <c r="G1707">
        <f>IFERROR(__xludf.DUMMYFUNCTION("""COMPUTED_VALUE"""),1.55)</f>
        <v>1.55</v>
      </c>
    </row>
    <row r="1708">
      <c r="A1708">
        <f>IFERROR(__xludf.DUMMYFUNCTION("""COMPUTED_VALUE"""),172657.0)</f>
        <v>172657</v>
      </c>
      <c r="B1708" t="str">
        <f>IFERROR(__xludf.DUMMYFUNCTION("""COMPUTED_VALUE"""),"Lamb Australian Imported Fresh Seam Fat Raw")</f>
        <v>Lamb Australian Imported Fresh Seam Fat Raw</v>
      </c>
      <c r="C1708" t="str">
        <f>IFERROR(__xludf.DUMMYFUNCTION("""COMPUTED_VALUE"""),"Meats")</f>
        <v>Meats</v>
      </c>
      <c r="D1708">
        <f>IFERROR(__xludf.DUMMYFUNCTION("""COMPUTED_VALUE"""),459.0)</f>
        <v>459</v>
      </c>
      <c r="E1708">
        <f>IFERROR(__xludf.DUMMYFUNCTION("""COMPUTED_VALUE"""),44.01)</f>
        <v>44.01</v>
      </c>
      <c r="F1708">
        <f>IFERROR(__xludf.DUMMYFUNCTION("""COMPUTED_VALUE"""),15.65)</f>
        <v>15.65</v>
      </c>
      <c r="G1708">
        <f>IFERROR(__xludf.DUMMYFUNCTION("""COMPUTED_VALUE"""),0.0)</f>
        <v>0</v>
      </c>
    </row>
    <row r="1709">
      <c r="A1709">
        <f>IFERROR(__xludf.DUMMYFUNCTION("""COMPUTED_VALUE"""),172658.0)</f>
        <v>172658</v>
      </c>
      <c r="B1709" t="str">
        <f>IFERROR(__xludf.DUMMYFUNCTION("""COMPUTED_VALUE"""),"Lamb Australian Imported Fresh Leg Bottom Boneless Separable Lean And Fat Trimmed To 1/8 Inch Fat Cooked Roasted")</f>
        <v>Lamb Australian Imported Fresh Leg Bottom Boneless Separable Lean And Fat Trimmed To 1/8 Inch Fat Cooked Roasted</v>
      </c>
      <c r="C1709" t="str">
        <f>IFERROR(__xludf.DUMMYFUNCTION("""COMPUTED_VALUE"""),"Meats")</f>
        <v>Meats</v>
      </c>
      <c r="D1709">
        <f>IFERROR(__xludf.DUMMYFUNCTION("""COMPUTED_VALUE"""),219.0)</f>
        <v>219</v>
      </c>
      <c r="E1709">
        <f>IFERROR(__xludf.DUMMYFUNCTION("""COMPUTED_VALUE"""),12.04)</f>
        <v>12.04</v>
      </c>
      <c r="F1709">
        <f>IFERROR(__xludf.DUMMYFUNCTION("""COMPUTED_VALUE"""),27.54)</f>
        <v>27.54</v>
      </c>
      <c r="G1709">
        <f>IFERROR(__xludf.DUMMYFUNCTION("""COMPUTED_VALUE"""),0.0)</f>
        <v>0</v>
      </c>
    </row>
    <row r="1710">
      <c r="A1710">
        <f>IFERROR(__xludf.DUMMYFUNCTION("""COMPUTED_VALUE"""),172659.0)</f>
        <v>172659</v>
      </c>
      <c r="B1710" t="str">
        <f>IFERROR(__xludf.DUMMYFUNCTION("""COMPUTED_VALUE"""),"Lamb Australian Imported Fresh Leg Bottom Boneless Separable Lean And Fat Trimmed To 1/8 Inch Fat Raw")</f>
        <v>Lamb Australian Imported Fresh Leg Bottom Boneless Separable Lean And Fat Trimmed To 1/8 Inch Fat Raw</v>
      </c>
      <c r="C1710" t="str">
        <f>IFERROR(__xludf.DUMMYFUNCTION("""COMPUTED_VALUE"""),"Meats")</f>
        <v>Meats</v>
      </c>
      <c r="D1710">
        <f>IFERROR(__xludf.DUMMYFUNCTION("""COMPUTED_VALUE"""),187.0)</f>
        <v>187</v>
      </c>
      <c r="E1710">
        <f>IFERROR(__xludf.DUMMYFUNCTION("""COMPUTED_VALUE"""),11.43)</f>
        <v>11.43</v>
      </c>
      <c r="F1710">
        <f>IFERROR(__xludf.DUMMYFUNCTION("""COMPUTED_VALUE"""),20.97)</f>
        <v>20.97</v>
      </c>
      <c r="G1710">
        <f>IFERROR(__xludf.DUMMYFUNCTION("""COMPUTED_VALUE"""),0.0)</f>
        <v>0</v>
      </c>
    </row>
    <row r="1711">
      <c r="A1711">
        <f>IFERROR(__xludf.DUMMYFUNCTION("""COMPUTED_VALUE"""),172660.0)</f>
        <v>172660</v>
      </c>
      <c r="B1711" t="str">
        <f>IFERROR(__xludf.DUMMYFUNCTION("""COMPUTED_VALUE"""),"Lamb Australian Imported Fresh Tenderloin Boneless Separable Lean And Fat Trimmed To 1/8 Inch Fat Raw")</f>
        <v>Lamb Australian Imported Fresh Tenderloin Boneless Separable Lean And Fat Trimmed To 1/8 Inch Fat Raw</v>
      </c>
      <c r="C1711" t="str">
        <f>IFERROR(__xludf.DUMMYFUNCTION("""COMPUTED_VALUE"""),"Meats")</f>
        <v>Meats</v>
      </c>
      <c r="D1711">
        <f>IFERROR(__xludf.DUMMYFUNCTION("""COMPUTED_VALUE"""),143.0)</f>
        <v>143</v>
      </c>
      <c r="E1711">
        <f>IFERROR(__xludf.DUMMYFUNCTION("""COMPUTED_VALUE"""),5.52)</f>
        <v>5.52</v>
      </c>
      <c r="F1711">
        <f>IFERROR(__xludf.DUMMYFUNCTION("""COMPUTED_VALUE"""),23.23)</f>
        <v>23.23</v>
      </c>
      <c r="G1711">
        <f>IFERROR(__xludf.DUMMYFUNCTION("""COMPUTED_VALUE"""),0.0)</f>
        <v>0</v>
      </c>
    </row>
    <row r="1712">
      <c r="A1712">
        <f>IFERROR(__xludf.DUMMYFUNCTION("""COMPUTED_VALUE"""),172661.0)</f>
        <v>172661</v>
      </c>
      <c r="B1712" t="str">
        <f>IFERROR(__xludf.DUMMYFUNCTION("""COMPUTED_VALUE"""),"Lamb Australian Imported Fresh Rib Chop Frenched Denuded Bone-In Separable Lean Only Trimmed To 0 Inch Fat Cooked Grilled")</f>
        <v>Lamb Australian Imported Fresh Rib Chop Frenched Denuded Bone-In Separable Lean Only Trimmed To 0 Inch Fat Cooked Grilled</v>
      </c>
      <c r="C1712" t="str">
        <f>IFERROR(__xludf.DUMMYFUNCTION("""COMPUTED_VALUE"""),"Meats")</f>
        <v>Meats</v>
      </c>
      <c r="D1712">
        <f>IFERROR(__xludf.DUMMYFUNCTION("""COMPUTED_VALUE"""),236.0)</f>
        <v>236</v>
      </c>
      <c r="E1712">
        <f>IFERROR(__xludf.DUMMYFUNCTION("""COMPUTED_VALUE"""),11.5)</f>
        <v>11.5</v>
      </c>
      <c r="F1712">
        <f>IFERROR(__xludf.DUMMYFUNCTION("""COMPUTED_VALUE"""),33.17)</f>
        <v>33.17</v>
      </c>
      <c r="G1712">
        <f>IFERROR(__xludf.DUMMYFUNCTION("""COMPUTED_VALUE"""),0.0)</f>
        <v>0</v>
      </c>
    </row>
    <row r="1713">
      <c r="A1713">
        <f>IFERROR(__xludf.DUMMYFUNCTION("""COMPUTED_VALUE"""),172662.0)</f>
        <v>172662</v>
      </c>
      <c r="B1713" t="str">
        <f>IFERROR(__xludf.DUMMYFUNCTION("""COMPUTED_VALUE"""),"Lamb Australian Imported Fresh Rack Roast Frenched Denuded Bone-In Separable Lean And Fat Trimmed To 0 Inch Fat Cooked Roasted")</f>
        <v>Lamb Australian Imported Fresh Rack Roast Frenched Denuded Bone-In Separable Lean And Fat Trimmed To 0 Inch Fat Cooked Roasted</v>
      </c>
      <c r="C1713" t="str">
        <f>IFERROR(__xludf.DUMMYFUNCTION("""COMPUTED_VALUE"""),"Meats")</f>
        <v>Meats</v>
      </c>
      <c r="D1713">
        <f>IFERROR(__xludf.DUMMYFUNCTION("""COMPUTED_VALUE"""),193.0)</f>
        <v>193</v>
      </c>
      <c r="E1713">
        <f>IFERROR(__xludf.DUMMYFUNCTION("""COMPUTED_VALUE"""),9.91)</f>
        <v>9.91</v>
      </c>
      <c r="F1713">
        <f>IFERROR(__xludf.DUMMYFUNCTION("""COMPUTED_VALUE"""),25.95)</f>
        <v>25.95</v>
      </c>
      <c r="G1713">
        <f>IFERROR(__xludf.DUMMYFUNCTION("""COMPUTED_VALUE"""),0.0)</f>
        <v>0</v>
      </c>
    </row>
    <row r="1714">
      <c r="A1714">
        <f>IFERROR(__xludf.DUMMYFUNCTION("""COMPUTED_VALUE"""),172663.0)</f>
        <v>172663</v>
      </c>
      <c r="B1714" t="str">
        <f>IFERROR(__xludf.DUMMYFUNCTION("""COMPUTED_VALUE"""),"Lamb Australian Imported Fresh Rack Roast Frenched Bone-In Separable Lean And Fat Trimmed To 1/8 Inch Fat Cooked Roasted")</f>
        <v>Lamb Australian Imported Fresh Rack Roast Frenched Bone-In Separable Lean And Fat Trimmed To 1/8 Inch Fat Cooked Roasted</v>
      </c>
      <c r="C1714" t="str">
        <f>IFERROR(__xludf.DUMMYFUNCTION("""COMPUTED_VALUE"""),"Meats")</f>
        <v>Meats</v>
      </c>
      <c r="D1714">
        <f>IFERROR(__xludf.DUMMYFUNCTION("""COMPUTED_VALUE"""),291.0)</f>
        <v>291</v>
      </c>
      <c r="E1714">
        <f>IFERROR(__xludf.DUMMYFUNCTION("""COMPUTED_VALUE"""),20.77)</f>
        <v>20.77</v>
      </c>
      <c r="F1714">
        <f>IFERROR(__xludf.DUMMYFUNCTION("""COMPUTED_VALUE"""),25.96)</f>
        <v>25.96</v>
      </c>
      <c r="G1714">
        <f>IFERROR(__xludf.DUMMYFUNCTION("""COMPUTED_VALUE"""),0.0)</f>
        <v>0</v>
      </c>
    </row>
    <row r="1715">
      <c r="A1715">
        <f>IFERROR(__xludf.DUMMYFUNCTION("""COMPUTED_VALUE"""),172829.0)</f>
        <v>172829</v>
      </c>
      <c r="B1715" t="str">
        <f>IFERROR(__xludf.DUMMYFUNCTION("""COMPUTED_VALUE"""),"Quail Breast Meat Only Raw")</f>
        <v>Quail Breast Meat Only Raw</v>
      </c>
      <c r="C1715" t="str">
        <f>IFERROR(__xludf.DUMMYFUNCTION("""COMPUTED_VALUE"""),"Meats")</f>
        <v>Meats</v>
      </c>
      <c r="D1715">
        <f>IFERROR(__xludf.DUMMYFUNCTION("""COMPUTED_VALUE"""),123.0)</f>
        <v>123</v>
      </c>
      <c r="E1715">
        <f>IFERROR(__xludf.DUMMYFUNCTION("""COMPUTED_VALUE"""),2.99)</f>
        <v>2.99</v>
      </c>
      <c r="F1715">
        <f>IFERROR(__xludf.DUMMYFUNCTION("""COMPUTED_VALUE"""),22.59)</f>
        <v>22.59</v>
      </c>
      <c r="G1715">
        <f>IFERROR(__xludf.DUMMYFUNCTION("""COMPUTED_VALUE"""),0.0)</f>
        <v>0</v>
      </c>
    </row>
    <row r="1716">
      <c r="A1716">
        <f>IFERROR(__xludf.DUMMYFUNCTION("""COMPUTED_VALUE"""),172830.0)</f>
        <v>172830</v>
      </c>
      <c r="B1716" t="str">
        <f>IFERROR(__xludf.DUMMYFUNCTION("""COMPUTED_VALUE"""),"Chicken Broiler Rotisserie BBQ Wing Meat And Skin")</f>
        <v>Chicken Broiler Rotisserie BBQ Wing Meat And Skin</v>
      </c>
      <c r="C1716" t="str">
        <f>IFERROR(__xludf.DUMMYFUNCTION("""COMPUTED_VALUE"""),"Meats")</f>
        <v>Meats</v>
      </c>
      <c r="D1716">
        <f>IFERROR(__xludf.DUMMYFUNCTION("""COMPUTED_VALUE"""),257.0)</f>
        <v>257</v>
      </c>
      <c r="E1716">
        <f>IFERROR(__xludf.DUMMYFUNCTION("""COMPUTED_VALUE"""),18.04)</f>
        <v>18.04</v>
      </c>
      <c r="F1716">
        <f>IFERROR(__xludf.DUMMYFUNCTION("""COMPUTED_VALUE"""),23.42)</f>
        <v>23.42</v>
      </c>
      <c r="G1716">
        <f>IFERROR(__xludf.DUMMYFUNCTION("""COMPUTED_VALUE"""),0.6)</f>
        <v>0.6</v>
      </c>
    </row>
    <row r="1717">
      <c r="A1717">
        <f>IFERROR(__xludf.DUMMYFUNCTION("""COMPUTED_VALUE"""),172831.0)</f>
        <v>172831</v>
      </c>
      <c r="B1717" t="str">
        <f>IFERROR(__xludf.DUMMYFUNCTION("""COMPUTED_VALUE"""),"Ruffed Grouse Breast Meat Skinless Raw")</f>
        <v>Ruffed Grouse Breast Meat Skinless Raw</v>
      </c>
      <c r="C1717" t="str">
        <f>IFERROR(__xludf.DUMMYFUNCTION("""COMPUTED_VALUE"""),"Meats")</f>
        <v>Meats</v>
      </c>
      <c r="D1717">
        <f>IFERROR(__xludf.DUMMYFUNCTION("""COMPUTED_VALUE"""),112.0)</f>
        <v>112</v>
      </c>
      <c r="E1717">
        <f>IFERROR(__xludf.DUMMYFUNCTION("""COMPUTED_VALUE"""),0.88)</f>
        <v>0.88</v>
      </c>
      <c r="F1717">
        <f>IFERROR(__xludf.DUMMYFUNCTION("""COMPUTED_VALUE"""),25.94)</f>
        <v>25.94</v>
      </c>
      <c r="G1717">
        <f>IFERROR(__xludf.DUMMYFUNCTION("""COMPUTED_VALUE"""),0.0)</f>
        <v>0</v>
      </c>
    </row>
    <row r="1718">
      <c r="A1718">
        <f>IFERROR(__xludf.DUMMYFUNCTION("""COMPUTED_VALUE"""),172832.0)</f>
        <v>172832</v>
      </c>
      <c r="B1718" t="str">
        <f>IFERROR(__xludf.DUMMYFUNCTION("""COMPUTED_VALUE"""),"Emu Ground Raw")</f>
        <v>Emu Ground Raw</v>
      </c>
      <c r="C1718" t="str">
        <f>IFERROR(__xludf.DUMMYFUNCTION("""COMPUTED_VALUE"""),"Meats")</f>
        <v>Meats</v>
      </c>
      <c r="D1718">
        <f>IFERROR(__xludf.DUMMYFUNCTION("""COMPUTED_VALUE"""),134.0)</f>
        <v>134</v>
      </c>
      <c r="E1718">
        <f>IFERROR(__xludf.DUMMYFUNCTION("""COMPUTED_VALUE"""),4.03)</f>
        <v>4.03</v>
      </c>
      <c r="F1718">
        <f>IFERROR(__xludf.DUMMYFUNCTION("""COMPUTED_VALUE"""),22.77)</f>
        <v>22.77</v>
      </c>
      <c r="G1718">
        <f>IFERROR(__xludf.DUMMYFUNCTION("""COMPUTED_VALUE"""),0.0)</f>
        <v>0</v>
      </c>
    </row>
    <row r="1719">
      <c r="A1719">
        <f>IFERROR(__xludf.DUMMYFUNCTION("""COMPUTED_VALUE"""),172833.0)</f>
        <v>172833</v>
      </c>
      <c r="B1719" t="str">
        <f>IFERROR(__xludf.DUMMYFUNCTION("""COMPUTED_VALUE"""),"Emu Ground Cooked Pan-Broiled")</f>
        <v>Emu Ground Cooked Pan-Broiled</v>
      </c>
      <c r="C1719" t="str">
        <f>IFERROR(__xludf.DUMMYFUNCTION("""COMPUTED_VALUE"""),"Meats")</f>
        <v>Meats</v>
      </c>
      <c r="D1719">
        <f>IFERROR(__xludf.DUMMYFUNCTION("""COMPUTED_VALUE"""),163.0)</f>
        <v>163</v>
      </c>
      <c r="E1719">
        <f>IFERROR(__xludf.DUMMYFUNCTION("""COMPUTED_VALUE"""),4.65)</f>
        <v>4.65</v>
      </c>
      <c r="F1719">
        <f>IFERROR(__xludf.DUMMYFUNCTION("""COMPUTED_VALUE"""),28.43)</f>
        <v>28.43</v>
      </c>
      <c r="G1719">
        <f>IFERROR(__xludf.DUMMYFUNCTION("""COMPUTED_VALUE"""),0.0)</f>
        <v>0</v>
      </c>
    </row>
    <row r="1720">
      <c r="A1720">
        <f>IFERROR(__xludf.DUMMYFUNCTION("""COMPUTED_VALUE"""),172834.0)</f>
        <v>172834</v>
      </c>
      <c r="B1720" t="str">
        <f>IFERROR(__xludf.DUMMYFUNCTION("""COMPUTED_VALUE"""),"Emu Full Rump Cooked Broiled")</f>
        <v>Emu Full Rump Cooked Broiled</v>
      </c>
      <c r="C1720" t="str">
        <f>IFERROR(__xludf.DUMMYFUNCTION("""COMPUTED_VALUE"""),"Meats")</f>
        <v>Meats</v>
      </c>
      <c r="D1720">
        <f>IFERROR(__xludf.DUMMYFUNCTION("""COMPUTED_VALUE"""),168.0)</f>
        <v>168</v>
      </c>
      <c r="E1720">
        <f>IFERROR(__xludf.DUMMYFUNCTION("""COMPUTED_VALUE"""),2.68)</f>
        <v>2.68</v>
      </c>
      <c r="F1720">
        <f>IFERROR(__xludf.DUMMYFUNCTION("""COMPUTED_VALUE"""),33.67)</f>
        <v>33.67</v>
      </c>
      <c r="G1720">
        <f>IFERROR(__xludf.DUMMYFUNCTION("""COMPUTED_VALUE"""),0.0)</f>
        <v>0</v>
      </c>
    </row>
    <row r="1721">
      <c r="A1721">
        <f>IFERROR(__xludf.DUMMYFUNCTION("""COMPUTED_VALUE"""),172835.0)</f>
        <v>172835</v>
      </c>
      <c r="B1721" t="str">
        <f>IFERROR(__xludf.DUMMYFUNCTION("""COMPUTED_VALUE"""),"Emu Inside Drum Raw")</f>
        <v>Emu Inside Drum Raw</v>
      </c>
      <c r="C1721" t="str">
        <f>IFERROR(__xludf.DUMMYFUNCTION("""COMPUTED_VALUE"""),"Meats")</f>
        <v>Meats</v>
      </c>
      <c r="D1721">
        <f>IFERROR(__xludf.DUMMYFUNCTION("""COMPUTED_VALUE"""),108.0)</f>
        <v>108</v>
      </c>
      <c r="E1721">
        <f>IFERROR(__xludf.DUMMYFUNCTION("""COMPUTED_VALUE"""),1.49)</f>
        <v>1.49</v>
      </c>
      <c r="F1721">
        <f>IFERROR(__xludf.DUMMYFUNCTION("""COMPUTED_VALUE"""),22.22)</f>
        <v>22.22</v>
      </c>
      <c r="G1721">
        <f>IFERROR(__xludf.DUMMYFUNCTION("""COMPUTED_VALUE"""),0.0)</f>
        <v>0</v>
      </c>
    </row>
    <row r="1722">
      <c r="A1722">
        <f>IFERROR(__xludf.DUMMYFUNCTION("""COMPUTED_VALUE"""),172836.0)</f>
        <v>172836</v>
      </c>
      <c r="B1722" t="str">
        <f>IFERROR(__xludf.DUMMYFUNCTION("""COMPUTED_VALUE"""),"Emu Inside Drums Cooked Broiled")</f>
        <v>Emu Inside Drums Cooked Broiled</v>
      </c>
      <c r="C1722" t="str">
        <f>IFERROR(__xludf.DUMMYFUNCTION("""COMPUTED_VALUE"""),"Meats")</f>
        <v>Meats</v>
      </c>
      <c r="D1722">
        <f>IFERROR(__xludf.DUMMYFUNCTION("""COMPUTED_VALUE"""),156.0)</f>
        <v>156</v>
      </c>
      <c r="E1722">
        <f>IFERROR(__xludf.DUMMYFUNCTION("""COMPUTED_VALUE"""),2.01)</f>
        <v>2.01</v>
      </c>
      <c r="F1722">
        <f>IFERROR(__xludf.DUMMYFUNCTION("""COMPUTED_VALUE"""),32.38)</f>
        <v>32.38</v>
      </c>
      <c r="G1722">
        <f>IFERROR(__xludf.DUMMYFUNCTION("""COMPUTED_VALUE"""),0.0)</f>
        <v>0</v>
      </c>
    </row>
    <row r="1723">
      <c r="A1723">
        <f>IFERROR(__xludf.DUMMYFUNCTION("""COMPUTED_VALUE"""),172837.0)</f>
        <v>172837</v>
      </c>
      <c r="B1723" t="str">
        <f>IFERROR(__xludf.DUMMYFUNCTION("""COMPUTED_VALUE"""),"Emu Outside Drum Raw")</f>
        <v>Emu Outside Drum Raw</v>
      </c>
      <c r="C1723" t="str">
        <f>IFERROR(__xludf.DUMMYFUNCTION("""COMPUTED_VALUE"""),"Meats")</f>
        <v>Meats</v>
      </c>
      <c r="D1723">
        <f>IFERROR(__xludf.DUMMYFUNCTION("""COMPUTED_VALUE"""),103.0)</f>
        <v>103</v>
      </c>
      <c r="E1723">
        <f>IFERROR(__xludf.DUMMYFUNCTION("""COMPUTED_VALUE"""),0.48)</f>
        <v>0.48</v>
      </c>
      <c r="F1723">
        <f>IFERROR(__xludf.DUMMYFUNCTION("""COMPUTED_VALUE"""),23.08)</f>
        <v>23.08</v>
      </c>
      <c r="G1723">
        <f>IFERROR(__xludf.DUMMYFUNCTION("""COMPUTED_VALUE"""),0.0)</f>
        <v>0</v>
      </c>
    </row>
    <row r="1724">
      <c r="A1724">
        <f>IFERROR(__xludf.DUMMYFUNCTION("""COMPUTED_VALUE"""),172838.0)</f>
        <v>172838</v>
      </c>
      <c r="B1724" t="str">
        <f>IFERROR(__xludf.DUMMYFUNCTION("""COMPUTED_VALUE"""),"Emu Oyster Raw")</f>
        <v>Emu Oyster Raw</v>
      </c>
      <c r="C1724" t="str">
        <f>IFERROR(__xludf.DUMMYFUNCTION("""COMPUTED_VALUE"""),"Meats")</f>
        <v>Meats</v>
      </c>
      <c r="D1724">
        <f>IFERROR(__xludf.DUMMYFUNCTION("""COMPUTED_VALUE"""),141.0)</f>
        <v>141</v>
      </c>
      <c r="E1724">
        <f>IFERROR(__xludf.DUMMYFUNCTION("""COMPUTED_VALUE"""),4.86)</f>
        <v>4.86</v>
      </c>
      <c r="F1724">
        <f>IFERROR(__xludf.DUMMYFUNCTION("""COMPUTED_VALUE"""),22.81)</f>
        <v>22.81</v>
      </c>
      <c r="G1724">
        <f>IFERROR(__xludf.DUMMYFUNCTION("""COMPUTED_VALUE"""),0.0)</f>
        <v>0</v>
      </c>
    </row>
    <row r="1725">
      <c r="A1725">
        <f>IFERROR(__xludf.DUMMYFUNCTION("""COMPUTED_VALUE"""),172839.0)</f>
        <v>172839</v>
      </c>
      <c r="B1725" t="str">
        <f>IFERROR(__xludf.DUMMYFUNCTION("""COMPUTED_VALUE"""),"Ostrich Inside Leg Raw")</f>
        <v>Ostrich Inside Leg Raw</v>
      </c>
      <c r="C1725" t="str">
        <f>IFERROR(__xludf.DUMMYFUNCTION("""COMPUTED_VALUE"""),"Meats")</f>
        <v>Meats</v>
      </c>
      <c r="D1725">
        <f>IFERROR(__xludf.DUMMYFUNCTION("""COMPUTED_VALUE"""),111.0)</f>
        <v>111</v>
      </c>
      <c r="E1725">
        <f>IFERROR(__xludf.DUMMYFUNCTION("""COMPUTED_VALUE"""),1.72)</f>
        <v>1.72</v>
      </c>
      <c r="F1725">
        <f>IFERROR(__xludf.DUMMYFUNCTION("""COMPUTED_VALUE"""),22.39)</f>
        <v>22.39</v>
      </c>
      <c r="G1725">
        <f>IFERROR(__xludf.DUMMYFUNCTION("""COMPUTED_VALUE"""),0.0)</f>
        <v>0</v>
      </c>
    </row>
    <row r="1726">
      <c r="A1726">
        <f>IFERROR(__xludf.DUMMYFUNCTION("""COMPUTED_VALUE"""),172840.0)</f>
        <v>172840</v>
      </c>
      <c r="B1726" t="str">
        <f>IFERROR(__xludf.DUMMYFUNCTION("""COMPUTED_VALUE"""),"Ostrich Inside Leg Cooked")</f>
        <v>Ostrich Inside Leg Cooked</v>
      </c>
      <c r="C1726" t="str">
        <f>IFERROR(__xludf.DUMMYFUNCTION("""COMPUTED_VALUE"""),"Meats")</f>
        <v>Meats</v>
      </c>
      <c r="D1726">
        <f>IFERROR(__xludf.DUMMYFUNCTION("""COMPUTED_VALUE"""),141.0)</f>
        <v>141</v>
      </c>
      <c r="E1726">
        <f>IFERROR(__xludf.DUMMYFUNCTION("""COMPUTED_VALUE"""),1.94)</f>
        <v>1.94</v>
      </c>
      <c r="F1726">
        <f>IFERROR(__xludf.DUMMYFUNCTION("""COMPUTED_VALUE"""),29.01)</f>
        <v>29.01</v>
      </c>
      <c r="G1726">
        <f>IFERROR(__xludf.DUMMYFUNCTION("""COMPUTED_VALUE"""),0.0)</f>
        <v>0</v>
      </c>
    </row>
    <row r="1727">
      <c r="A1727">
        <f>IFERROR(__xludf.DUMMYFUNCTION("""COMPUTED_VALUE"""),172841.0)</f>
        <v>172841</v>
      </c>
      <c r="B1727" t="str">
        <f>IFERROR(__xludf.DUMMYFUNCTION("""COMPUTED_VALUE"""),"Ostrich Inside Strip Raw")</f>
        <v>Ostrich Inside Strip Raw</v>
      </c>
      <c r="C1727" t="str">
        <f>IFERROR(__xludf.DUMMYFUNCTION("""COMPUTED_VALUE"""),"Meats")</f>
        <v>Meats</v>
      </c>
      <c r="D1727">
        <f>IFERROR(__xludf.DUMMYFUNCTION("""COMPUTED_VALUE"""),127.0)</f>
        <v>127</v>
      </c>
      <c r="E1727">
        <f>IFERROR(__xludf.DUMMYFUNCTION("""COMPUTED_VALUE"""),2.87)</f>
        <v>2.87</v>
      </c>
      <c r="F1727">
        <f>IFERROR(__xludf.DUMMYFUNCTION("""COMPUTED_VALUE"""),23.69)</f>
        <v>23.69</v>
      </c>
      <c r="G1727">
        <f>IFERROR(__xludf.DUMMYFUNCTION("""COMPUTED_VALUE"""),0.0)</f>
        <v>0</v>
      </c>
    </row>
    <row r="1728">
      <c r="A1728">
        <f>IFERROR(__xludf.DUMMYFUNCTION("""COMPUTED_VALUE"""),172842.0)</f>
        <v>172842</v>
      </c>
      <c r="B1728" t="str">
        <f>IFERROR(__xludf.DUMMYFUNCTION("""COMPUTED_VALUE"""),"Ostrich Steak")</f>
        <v>Ostrich Steak</v>
      </c>
      <c r="C1728" t="str">
        <f>IFERROR(__xludf.DUMMYFUNCTION("""COMPUTED_VALUE"""),"Meats")</f>
        <v>Meats</v>
      </c>
      <c r="D1728">
        <f>IFERROR(__xludf.DUMMYFUNCTION("""COMPUTED_VALUE"""),164.0)</f>
        <v>164</v>
      </c>
      <c r="E1728">
        <f>IFERROR(__xludf.DUMMYFUNCTION("""COMPUTED_VALUE"""),4.26)</f>
        <v>4.26</v>
      </c>
      <c r="F1728">
        <f>IFERROR(__xludf.DUMMYFUNCTION("""COMPUTED_VALUE"""),29.37)</f>
        <v>29.37</v>
      </c>
      <c r="G1728">
        <f>IFERROR(__xludf.DUMMYFUNCTION("""COMPUTED_VALUE"""),0.0)</f>
        <v>0</v>
      </c>
    </row>
    <row r="1729">
      <c r="A1729">
        <f>IFERROR(__xludf.DUMMYFUNCTION("""COMPUTED_VALUE"""),172843.0)</f>
        <v>172843</v>
      </c>
      <c r="B1729" t="str">
        <f>IFERROR(__xludf.DUMMYFUNCTION("""COMPUTED_VALUE"""),"Ostrich Oyster Cooked")</f>
        <v>Ostrich Oyster Cooked</v>
      </c>
      <c r="C1729" t="str">
        <f>IFERROR(__xludf.DUMMYFUNCTION("""COMPUTED_VALUE"""),"Meats")</f>
        <v>Meats</v>
      </c>
      <c r="D1729">
        <f>IFERROR(__xludf.DUMMYFUNCTION("""COMPUTED_VALUE"""),159.0)</f>
        <v>159</v>
      </c>
      <c r="E1729">
        <f>IFERROR(__xludf.DUMMYFUNCTION("""COMPUTED_VALUE"""),3.97)</f>
        <v>3.97</v>
      </c>
      <c r="F1729">
        <f>IFERROR(__xludf.DUMMYFUNCTION("""COMPUTED_VALUE"""),28.81)</f>
        <v>28.81</v>
      </c>
      <c r="G1729">
        <f>IFERROR(__xludf.DUMMYFUNCTION("""COMPUTED_VALUE"""),0.0)</f>
        <v>0</v>
      </c>
    </row>
    <row r="1730">
      <c r="A1730">
        <f>IFERROR(__xludf.DUMMYFUNCTION("""COMPUTED_VALUE"""),172844.0)</f>
        <v>172844</v>
      </c>
      <c r="B1730" t="str">
        <f>IFERROR(__xludf.DUMMYFUNCTION("""COMPUTED_VALUE"""),"Ostrich Round Raw")</f>
        <v>Ostrich Round Raw</v>
      </c>
      <c r="C1730" t="str">
        <f>IFERROR(__xludf.DUMMYFUNCTION("""COMPUTED_VALUE"""),"Meats")</f>
        <v>Meats</v>
      </c>
      <c r="D1730">
        <f>IFERROR(__xludf.DUMMYFUNCTION("""COMPUTED_VALUE"""),116.0)</f>
        <v>116</v>
      </c>
      <c r="E1730">
        <f>IFERROR(__xludf.DUMMYFUNCTION("""COMPUTED_VALUE"""),2.4)</f>
        <v>2.4</v>
      </c>
      <c r="F1730">
        <f>IFERROR(__xludf.DUMMYFUNCTION("""COMPUTED_VALUE"""),21.99)</f>
        <v>21.99</v>
      </c>
      <c r="G1730">
        <f>IFERROR(__xludf.DUMMYFUNCTION("""COMPUTED_VALUE"""),0.0)</f>
        <v>0</v>
      </c>
    </row>
    <row r="1731">
      <c r="A1731">
        <f>IFERROR(__xludf.DUMMYFUNCTION("""COMPUTED_VALUE"""),172845.0)</f>
        <v>172845</v>
      </c>
      <c r="B1731" t="str">
        <f>IFERROR(__xludf.DUMMYFUNCTION("""COMPUTED_VALUE"""),"Ostrich Tenderloin Raw")</f>
        <v>Ostrich Tenderloin Raw</v>
      </c>
      <c r="C1731" t="str">
        <f>IFERROR(__xludf.DUMMYFUNCTION("""COMPUTED_VALUE"""),"Meats")</f>
        <v>Meats</v>
      </c>
      <c r="D1731">
        <f>IFERROR(__xludf.DUMMYFUNCTION("""COMPUTED_VALUE"""),123.0)</f>
        <v>123</v>
      </c>
      <c r="E1731">
        <f>IFERROR(__xludf.DUMMYFUNCTION("""COMPUTED_VALUE"""),3.19)</f>
        <v>3.19</v>
      </c>
      <c r="F1731">
        <f>IFERROR(__xludf.DUMMYFUNCTION("""COMPUTED_VALUE"""),22.07)</f>
        <v>22.07</v>
      </c>
      <c r="G1731">
        <f>IFERROR(__xludf.DUMMYFUNCTION("""COMPUTED_VALUE"""),0.0)</f>
        <v>0</v>
      </c>
    </row>
    <row r="1732">
      <c r="A1732">
        <f>IFERROR(__xludf.DUMMYFUNCTION("""COMPUTED_VALUE"""),172846.0)</f>
        <v>172846</v>
      </c>
      <c r="B1732" t="str">
        <f>IFERROR(__xludf.DUMMYFUNCTION("""COMPUTED_VALUE"""),"Ostrich Tip Trimmed Raw")</f>
        <v>Ostrich Tip Trimmed Raw</v>
      </c>
      <c r="C1732" t="str">
        <f>IFERROR(__xludf.DUMMYFUNCTION("""COMPUTED_VALUE"""),"Meats")</f>
        <v>Meats</v>
      </c>
      <c r="D1732">
        <f>IFERROR(__xludf.DUMMYFUNCTION("""COMPUTED_VALUE"""),114.0)</f>
        <v>114</v>
      </c>
      <c r="E1732">
        <f>IFERROR(__xludf.DUMMYFUNCTION("""COMPUTED_VALUE"""),2.3)</f>
        <v>2.3</v>
      </c>
      <c r="F1732">
        <f>IFERROR(__xludf.DUMMYFUNCTION("""COMPUTED_VALUE"""),21.85)</f>
        <v>21.85</v>
      </c>
      <c r="G1732">
        <f>IFERROR(__xludf.DUMMYFUNCTION("""COMPUTED_VALUE"""),0.0)</f>
        <v>0</v>
      </c>
    </row>
    <row r="1733">
      <c r="A1733">
        <f>IFERROR(__xludf.DUMMYFUNCTION("""COMPUTED_VALUE"""),172847.0)</f>
        <v>172847</v>
      </c>
      <c r="B1733" t="str">
        <f>IFERROR(__xludf.DUMMYFUNCTION("""COMPUTED_VALUE"""),"Raw Fatfree Ground Turkey")</f>
        <v>Raw Fatfree Ground Turkey</v>
      </c>
      <c r="C1733" t="str">
        <f>IFERROR(__xludf.DUMMYFUNCTION("""COMPUTED_VALUE"""),"Meats")</f>
        <v>Meats</v>
      </c>
      <c r="D1733">
        <f>IFERROR(__xludf.DUMMYFUNCTION("""COMPUTED_VALUE"""),112.0)</f>
        <v>112</v>
      </c>
      <c r="E1733">
        <f>IFERROR(__xludf.DUMMYFUNCTION("""COMPUTED_VALUE"""),1.95)</f>
        <v>1.95</v>
      </c>
      <c r="F1733">
        <f>IFERROR(__xludf.DUMMYFUNCTION("""COMPUTED_VALUE"""),23.57)</f>
        <v>23.57</v>
      </c>
      <c r="G1733">
        <f>IFERROR(__xludf.DUMMYFUNCTION("""COMPUTED_VALUE"""),0.0)</f>
        <v>0</v>
      </c>
    </row>
    <row r="1734">
      <c r="A1734">
        <f>IFERROR(__xludf.DUMMYFUNCTION("""COMPUTED_VALUE"""),172848.0)</f>
        <v>172848</v>
      </c>
      <c r="B1734" t="str">
        <f>IFERROR(__xludf.DUMMYFUNCTION("""COMPUTED_VALUE"""),"Fat Free Ground Turkey")</f>
        <v>Fat Free Ground Turkey</v>
      </c>
      <c r="C1734" t="str">
        <f>IFERROR(__xludf.DUMMYFUNCTION("""COMPUTED_VALUE"""),"Meats")</f>
        <v>Meats</v>
      </c>
      <c r="D1734">
        <f>IFERROR(__xludf.DUMMYFUNCTION("""COMPUTED_VALUE"""),151.0)</f>
        <v>151</v>
      </c>
      <c r="E1734">
        <f>IFERROR(__xludf.DUMMYFUNCTION("""COMPUTED_VALUE"""),2.71)</f>
        <v>2.71</v>
      </c>
      <c r="F1734">
        <f>IFERROR(__xludf.DUMMYFUNCTION("""COMPUTED_VALUE"""),31.69)</f>
        <v>31.69</v>
      </c>
      <c r="G1734">
        <f>IFERROR(__xludf.DUMMYFUNCTION("""COMPUTED_VALUE"""),0.0)</f>
        <v>0</v>
      </c>
    </row>
    <row r="1735">
      <c r="A1735">
        <f>IFERROR(__xludf.DUMMYFUNCTION("""COMPUTED_VALUE"""),172849.0)</f>
        <v>172849</v>
      </c>
      <c r="B1735" t="str">
        <f>IFERROR(__xludf.DUMMYFUNCTION("""COMPUTED_VALUE"""),"Fat Free Broiled Turkey Patties")</f>
        <v>Fat Free Broiled Turkey Patties</v>
      </c>
      <c r="C1735" t="str">
        <f>IFERROR(__xludf.DUMMYFUNCTION("""COMPUTED_VALUE"""),"Meats")</f>
        <v>Meats</v>
      </c>
      <c r="D1735">
        <f>IFERROR(__xludf.DUMMYFUNCTION("""COMPUTED_VALUE"""),138.0)</f>
        <v>138</v>
      </c>
      <c r="E1735">
        <f>IFERROR(__xludf.DUMMYFUNCTION("""COMPUTED_VALUE"""),2.48)</f>
        <v>2.48</v>
      </c>
      <c r="F1735">
        <f>IFERROR(__xludf.DUMMYFUNCTION("""COMPUTED_VALUE"""),28.99)</f>
        <v>28.99</v>
      </c>
      <c r="G1735">
        <f>IFERROR(__xludf.DUMMYFUNCTION("""COMPUTED_VALUE"""),0.0)</f>
        <v>0</v>
      </c>
    </row>
    <row r="1736">
      <c r="A1736">
        <f>IFERROR(__xludf.DUMMYFUNCTION("""COMPUTED_VALUE"""),172850.0)</f>
        <v>172850</v>
      </c>
      <c r="B1736" t="str">
        <f>IFERROR(__xludf.DUMMYFUNCTION("""COMPUTED_VALUE"""),"Ground Turkey 93% Lean 7% Fat Raw")</f>
        <v>Ground Turkey 93% Lean 7% Fat Raw</v>
      </c>
      <c r="C1736" t="str">
        <f>IFERROR(__xludf.DUMMYFUNCTION("""COMPUTED_VALUE"""),"Meats")</f>
        <v>Meats</v>
      </c>
      <c r="D1736">
        <f>IFERROR(__xludf.DUMMYFUNCTION("""COMPUTED_VALUE"""),150.0)</f>
        <v>150</v>
      </c>
      <c r="E1736">
        <f>IFERROR(__xludf.DUMMYFUNCTION("""COMPUTED_VALUE"""),8.34)</f>
        <v>8.34</v>
      </c>
      <c r="F1736">
        <f>IFERROR(__xludf.DUMMYFUNCTION("""COMPUTED_VALUE"""),18.73)</f>
        <v>18.73</v>
      </c>
      <c r="G1736">
        <f>IFERROR(__xludf.DUMMYFUNCTION("""COMPUTED_VALUE"""),0.0)</f>
        <v>0</v>
      </c>
    </row>
    <row r="1737">
      <c r="A1737">
        <f>IFERROR(__xludf.DUMMYFUNCTION("""COMPUTED_VALUE"""),172851.0)</f>
        <v>172851</v>
      </c>
      <c r="B1737" t="str">
        <f>IFERROR(__xludf.DUMMYFUNCTION("""COMPUTED_VALUE"""),"Ground Turkey 93% Lean 7% Fat Pan-Broiled Crumbles")</f>
        <v>Ground Turkey 93% Lean 7% Fat Pan-Broiled Crumbles</v>
      </c>
      <c r="C1737" t="str">
        <f>IFERROR(__xludf.DUMMYFUNCTION("""COMPUTED_VALUE"""),"Meats")</f>
        <v>Meats</v>
      </c>
      <c r="D1737">
        <f>IFERROR(__xludf.DUMMYFUNCTION("""COMPUTED_VALUE"""),213.0)</f>
        <v>213</v>
      </c>
      <c r="E1737">
        <f>IFERROR(__xludf.DUMMYFUNCTION("""COMPUTED_VALUE"""),11.6)</f>
        <v>11.6</v>
      </c>
      <c r="F1737">
        <f>IFERROR(__xludf.DUMMYFUNCTION("""COMPUTED_VALUE"""),27.1)</f>
        <v>27.1</v>
      </c>
      <c r="G1737">
        <f>IFERROR(__xludf.DUMMYFUNCTION("""COMPUTED_VALUE"""),0.0)</f>
        <v>0</v>
      </c>
    </row>
    <row r="1738">
      <c r="A1738">
        <f>IFERROR(__xludf.DUMMYFUNCTION("""COMPUTED_VALUE"""),172852.0)</f>
        <v>172852</v>
      </c>
      <c r="B1738" t="str">
        <f>IFERROR(__xludf.DUMMYFUNCTION("""COMPUTED_VALUE"""),"Chicken Broilers Or Fryers Dark Meat Drumstick Meat Only Cooked Braised")</f>
        <v>Chicken Broilers Or Fryers Dark Meat Drumstick Meat Only Cooked Braised</v>
      </c>
      <c r="C1738" t="str">
        <f>IFERROR(__xludf.DUMMYFUNCTION("""COMPUTED_VALUE"""),"Meats")</f>
        <v>Meats</v>
      </c>
      <c r="D1738">
        <f>IFERROR(__xludf.DUMMYFUNCTION("""COMPUTED_VALUE"""),149.0)</f>
        <v>149</v>
      </c>
      <c r="E1738">
        <f>IFERROR(__xludf.DUMMYFUNCTION("""COMPUTED_VALUE"""),5.95)</f>
        <v>5.95</v>
      </c>
      <c r="F1738">
        <f>IFERROR(__xludf.DUMMYFUNCTION("""COMPUTED_VALUE"""),23.93)</f>
        <v>23.93</v>
      </c>
      <c r="G1738">
        <f>IFERROR(__xludf.DUMMYFUNCTION("""COMPUTED_VALUE"""),0.0)</f>
        <v>0</v>
      </c>
    </row>
    <row r="1739">
      <c r="A1739">
        <f>IFERROR(__xludf.DUMMYFUNCTION("""COMPUTED_VALUE"""),172853.0)</f>
        <v>172853</v>
      </c>
      <c r="B1739" t="str">
        <f>IFERROR(__xludf.DUMMYFUNCTION("""COMPUTED_VALUE"""),"Chicken Broilers Or Fryers Dark Meat Thigh Meat Only Cooked Braised")</f>
        <v>Chicken Broilers Or Fryers Dark Meat Thigh Meat Only Cooked Braised</v>
      </c>
      <c r="C1739" t="str">
        <f>IFERROR(__xludf.DUMMYFUNCTION("""COMPUTED_VALUE"""),"Meats")</f>
        <v>Meats</v>
      </c>
      <c r="D1739">
        <f>IFERROR(__xludf.DUMMYFUNCTION("""COMPUTED_VALUE"""),176.0)</f>
        <v>176</v>
      </c>
      <c r="E1739">
        <f>IFERROR(__xludf.DUMMYFUNCTION("""COMPUTED_VALUE"""),8.63)</f>
        <v>8.63</v>
      </c>
      <c r="F1739">
        <f>IFERROR(__xludf.DUMMYFUNCTION("""COMPUTED_VALUE"""),24.55)</f>
        <v>24.55</v>
      </c>
      <c r="G1739">
        <f>IFERROR(__xludf.DUMMYFUNCTION("""COMPUTED_VALUE"""),0.0)</f>
        <v>0</v>
      </c>
    </row>
    <row r="1740">
      <c r="A1740">
        <f>IFERROR(__xludf.DUMMYFUNCTION("""COMPUTED_VALUE"""),172854.0)</f>
        <v>172854</v>
      </c>
      <c r="B1740" t="str">
        <f>IFERROR(__xludf.DUMMYFUNCTION("""COMPUTED_VALUE"""),"Chicken Skin (Drumsticks And Thighs) Cooked Braised")</f>
        <v>Chicken Skin (Drumsticks And Thighs) Cooked Braised</v>
      </c>
      <c r="C1740" t="str">
        <f>IFERROR(__xludf.DUMMYFUNCTION("""COMPUTED_VALUE"""),"Meats")</f>
        <v>Meats</v>
      </c>
      <c r="D1740">
        <f>IFERROR(__xludf.DUMMYFUNCTION("""COMPUTED_VALUE"""),443.0)</f>
        <v>443</v>
      </c>
      <c r="E1740">
        <f>IFERROR(__xludf.DUMMYFUNCTION("""COMPUTED_VALUE"""),42.76)</f>
        <v>42.76</v>
      </c>
      <c r="F1740">
        <f>IFERROR(__xludf.DUMMYFUNCTION("""COMPUTED_VALUE"""),14.61)</f>
        <v>14.61</v>
      </c>
      <c r="G1740">
        <f>IFERROR(__xludf.DUMMYFUNCTION("""COMPUTED_VALUE"""),0.0)</f>
        <v>0</v>
      </c>
    </row>
    <row r="1741">
      <c r="A1741">
        <f>IFERROR(__xludf.DUMMYFUNCTION("""COMPUTED_VALUE"""),172855.0)</f>
        <v>172855</v>
      </c>
      <c r="B1741" t="str">
        <f>IFERROR(__xludf.DUMMYFUNCTION("""COMPUTED_VALUE"""),"Chicken Skin (Drumsticks And Thighs) Raw")</f>
        <v>Chicken Skin (Drumsticks And Thighs) Raw</v>
      </c>
      <c r="C1741" t="str">
        <f>IFERROR(__xludf.DUMMYFUNCTION("""COMPUTED_VALUE"""),"Meats")</f>
        <v>Meats</v>
      </c>
      <c r="D1741">
        <f>IFERROR(__xludf.DUMMYFUNCTION("""COMPUTED_VALUE"""),440.0)</f>
        <v>440</v>
      </c>
      <c r="E1741">
        <f>IFERROR(__xludf.DUMMYFUNCTION("""COMPUTED_VALUE"""),44.23)</f>
        <v>44.23</v>
      </c>
      <c r="F1741">
        <f>IFERROR(__xludf.DUMMYFUNCTION("""COMPUTED_VALUE"""),9.58)</f>
        <v>9.58</v>
      </c>
      <c r="G1741">
        <f>IFERROR(__xludf.DUMMYFUNCTION("""COMPUTED_VALUE"""),0.79)</f>
        <v>0.79</v>
      </c>
    </row>
    <row r="1742">
      <c r="A1742">
        <f>IFERROR(__xludf.DUMMYFUNCTION("""COMPUTED_VALUE"""),172856.0)</f>
        <v>172856</v>
      </c>
      <c r="B1742" t="str">
        <f>IFERROR(__xludf.DUMMYFUNCTION("""COMPUTED_VALUE"""),"Chicken Dark Meat Drumstick Meat Only With Added Solution Cooked Roasted")</f>
        <v>Chicken Dark Meat Drumstick Meat Only With Added Solution Cooked Roasted</v>
      </c>
      <c r="C1742" t="str">
        <f>IFERROR(__xludf.DUMMYFUNCTION("""COMPUTED_VALUE"""),"Meats")</f>
        <v>Meats</v>
      </c>
      <c r="D1742">
        <f>IFERROR(__xludf.DUMMYFUNCTION("""COMPUTED_VALUE"""),146.0)</f>
        <v>146</v>
      </c>
      <c r="E1742">
        <f>IFERROR(__xludf.DUMMYFUNCTION("""COMPUTED_VALUE"""),5.0)</f>
        <v>5</v>
      </c>
      <c r="F1742">
        <f>IFERROR(__xludf.DUMMYFUNCTION("""COMPUTED_VALUE"""),25.34)</f>
        <v>25.34</v>
      </c>
      <c r="G1742">
        <f>IFERROR(__xludf.DUMMYFUNCTION("""COMPUTED_VALUE"""),0.0)</f>
        <v>0</v>
      </c>
    </row>
    <row r="1743">
      <c r="A1743">
        <f>IFERROR(__xludf.DUMMYFUNCTION("""COMPUTED_VALUE"""),172857.0)</f>
        <v>172857</v>
      </c>
      <c r="B1743" t="str">
        <f>IFERROR(__xludf.DUMMYFUNCTION("""COMPUTED_VALUE"""),"Chicken Dark Meat Drumstick Meat Only With Added Solution Cooked Braised")</f>
        <v>Chicken Dark Meat Drumstick Meat Only With Added Solution Cooked Braised</v>
      </c>
      <c r="C1743" t="str">
        <f>IFERROR(__xludf.DUMMYFUNCTION("""COMPUTED_VALUE"""),"Meats")</f>
        <v>Meats</v>
      </c>
      <c r="D1743">
        <f>IFERROR(__xludf.DUMMYFUNCTION("""COMPUTED_VALUE"""),149.0)</f>
        <v>149</v>
      </c>
      <c r="E1743">
        <f>IFERROR(__xludf.DUMMYFUNCTION("""COMPUTED_VALUE"""),6.33)</f>
        <v>6.33</v>
      </c>
      <c r="F1743">
        <f>IFERROR(__xludf.DUMMYFUNCTION("""COMPUTED_VALUE"""),22.99)</f>
        <v>22.99</v>
      </c>
      <c r="G1743">
        <f>IFERROR(__xludf.DUMMYFUNCTION("""COMPUTED_VALUE"""),0.0)</f>
        <v>0</v>
      </c>
    </row>
    <row r="1744">
      <c r="A1744">
        <f>IFERROR(__xludf.DUMMYFUNCTION("""COMPUTED_VALUE"""),172858.0)</f>
        <v>172858</v>
      </c>
      <c r="B1744" t="str">
        <f>IFERROR(__xludf.DUMMYFUNCTION("""COMPUTED_VALUE"""),"Chicken Dark Meat Thigh Meat Only With Added Solution Cooked Braised")</f>
        <v>Chicken Dark Meat Thigh Meat Only With Added Solution Cooked Braised</v>
      </c>
      <c r="C1744" t="str">
        <f>IFERROR(__xludf.DUMMYFUNCTION("""COMPUTED_VALUE"""),"Meats")</f>
        <v>Meats</v>
      </c>
      <c r="D1744">
        <f>IFERROR(__xludf.DUMMYFUNCTION("""COMPUTED_VALUE"""),164.0)</f>
        <v>164</v>
      </c>
      <c r="E1744">
        <f>IFERROR(__xludf.DUMMYFUNCTION("""COMPUTED_VALUE"""),7.96)</f>
        <v>7.96</v>
      </c>
      <c r="F1744">
        <f>IFERROR(__xludf.DUMMYFUNCTION("""COMPUTED_VALUE"""),23.0)</f>
        <v>23</v>
      </c>
      <c r="G1744">
        <f>IFERROR(__xludf.DUMMYFUNCTION("""COMPUTED_VALUE"""),0.0)</f>
        <v>0</v>
      </c>
    </row>
    <row r="1745">
      <c r="A1745">
        <f>IFERROR(__xludf.DUMMYFUNCTION("""COMPUTED_VALUE"""),172859.0)</f>
        <v>172859</v>
      </c>
      <c r="B1745" t="str">
        <f>IFERROR(__xludf.DUMMYFUNCTION("""COMPUTED_VALUE"""),"Chicken Dark Meat Thigh Meat Only With Added Solution Raw")</f>
        <v>Chicken Dark Meat Thigh Meat Only With Added Solution Raw</v>
      </c>
      <c r="C1745" t="str">
        <f>IFERROR(__xludf.DUMMYFUNCTION("""COMPUTED_VALUE"""),"Meats")</f>
        <v>Meats</v>
      </c>
      <c r="D1745">
        <f>IFERROR(__xludf.DUMMYFUNCTION("""COMPUTED_VALUE"""),110.0)</f>
        <v>110</v>
      </c>
      <c r="E1745">
        <f>IFERROR(__xludf.DUMMYFUNCTION("""COMPUTED_VALUE"""),3.69)</f>
        <v>3.69</v>
      </c>
      <c r="F1745">
        <f>IFERROR(__xludf.DUMMYFUNCTION("""COMPUTED_VALUE"""),19.11)</f>
        <v>19.11</v>
      </c>
      <c r="G1745">
        <f>IFERROR(__xludf.DUMMYFUNCTION("""COMPUTED_VALUE"""),0.0)</f>
        <v>0</v>
      </c>
    </row>
    <row r="1746">
      <c r="A1746">
        <f>IFERROR(__xludf.DUMMYFUNCTION("""COMPUTED_VALUE"""),172860.0)</f>
        <v>172860</v>
      </c>
      <c r="B1746" t="str">
        <f>IFERROR(__xludf.DUMMYFUNCTION("""COMPUTED_VALUE"""),"Chicken Dark Meat Drumstick Meat And Skin With Added Solution Raw")</f>
        <v>Chicken Dark Meat Drumstick Meat And Skin With Added Solution Raw</v>
      </c>
      <c r="C1746" t="str">
        <f>IFERROR(__xludf.DUMMYFUNCTION("""COMPUTED_VALUE"""),"Meats")</f>
        <v>Meats</v>
      </c>
      <c r="D1746">
        <f>IFERROR(__xludf.DUMMYFUNCTION("""COMPUTED_VALUE"""),146.0)</f>
        <v>146</v>
      </c>
      <c r="E1746">
        <f>IFERROR(__xludf.DUMMYFUNCTION("""COMPUTED_VALUE"""),8.24)</f>
        <v>8.24</v>
      </c>
      <c r="F1746">
        <f>IFERROR(__xludf.DUMMYFUNCTION("""COMPUTED_VALUE"""),18.03)</f>
        <v>18.03</v>
      </c>
      <c r="G1746">
        <f>IFERROR(__xludf.DUMMYFUNCTION("""COMPUTED_VALUE"""),0.0)</f>
        <v>0</v>
      </c>
    </row>
    <row r="1747">
      <c r="A1747">
        <f>IFERROR(__xludf.DUMMYFUNCTION("""COMPUTED_VALUE"""),172861.0)</f>
        <v>172861</v>
      </c>
      <c r="B1747" t="str">
        <f>IFERROR(__xludf.DUMMYFUNCTION("""COMPUTED_VALUE"""),"Chicken Dark Meat Drumstick Meat And Skin With Added Solution Cooked Roasted")</f>
        <v>Chicken Dark Meat Drumstick Meat And Skin With Added Solution Cooked Roasted</v>
      </c>
      <c r="C1747" t="str">
        <f>IFERROR(__xludf.DUMMYFUNCTION("""COMPUTED_VALUE"""),"Meats")</f>
        <v>Meats</v>
      </c>
      <c r="D1747">
        <f>IFERROR(__xludf.DUMMYFUNCTION("""COMPUTED_VALUE"""),180.0)</f>
        <v>180</v>
      </c>
      <c r="E1747">
        <f>IFERROR(__xludf.DUMMYFUNCTION("""COMPUTED_VALUE"""),9.0)</f>
        <v>9</v>
      </c>
      <c r="F1747">
        <f>IFERROR(__xludf.DUMMYFUNCTION("""COMPUTED_VALUE"""),24.72)</f>
        <v>24.72</v>
      </c>
      <c r="G1747">
        <f>IFERROR(__xludf.DUMMYFUNCTION("""COMPUTED_VALUE"""),0.05)</f>
        <v>0.05</v>
      </c>
    </row>
    <row r="1748">
      <c r="A1748">
        <f>IFERROR(__xludf.DUMMYFUNCTION("""COMPUTED_VALUE"""),172862.0)</f>
        <v>172862</v>
      </c>
      <c r="B1748" t="str">
        <f>IFERROR(__xludf.DUMMYFUNCTION("""COMPUTED_VALUE"""),"Chicken Dark Meat Thigh Meat And Skin With Added Solution Cooked Braised")</f>
        <v>Chicken Dark Meat Thigh Meat And Skin With Added Solution Cooked Braised</v>
      </c>
      <c r="C1748" t="str">
        <f>IFERROR(__xludf.DUMMYFUNCTION("""COMPUTED_VALUE"""),"Meats")</f>
        <v>Meats</v>
      </c>
      <c r="D1748">
        <f>IFERROR(__xludf.DUMMYFUNCTION("""COMPUTED_VALUE"""),215.0)</f>
        <v>215</v>
      </c>
      <c r="E1748">
        <f>IFERROR(__xludf.DUMMYFUNCTION("""COMPUTED_VALUE"""),14.62)</f>
        <v>14.62</v>
      </c>
      <c r="F1748">
        <f>IFERROR(__xludf.DUMMYFUNCTION("""COMPUTED_VALUE"""),20.7)</f>
        <v>20.7</v>
      </c>
      <c r="G1748">
        <f>IFERROR(__xludf.DUMMYFUNCTION("""COMPUTED_VALUE"""),0.21)</f>
        <v>0.21</v>
      </c>
    </row>
    <row r="1749">
      <c r="A1749">
        <f>IFERROR(__xludf.DUMMYFUNCTION("""COMPUTED_VALUE"""),172863.0)</f>
        <v>172863</v>
      </c>
      <c r="B1749" t="str">
        <f>IFERROR(__xludf.DUMMYFUNCTION("""COMPUTED_VALUE"""),"Chicken Dark Meat Thigh Meat And Skin With Added Solution Raw")</f>
        <v>Chicken Dark Meat Thigh Meat And Skin With Added Solution Raw</v>
      </c>
      <c r="C1749" t="str">
        <f>IFERROR(__xludf.DUMMYFUNCTION("""COMPUTED_VALUE"""),"Meats")</f>
        <v>Meats</v>
      </c>
      <c r="D1749">
        <f>IFERROR(__xludf.DUMMYFUNCTION("""COMPUTED_VALUE"""),197.0)</f>
        <v>197</v>
      </c>
      <c r="E1749">
        <f>IFERROR(__xludf.DUMMYFUNCTION("""COMPUTED_VALUE"""),14.58)</f>
        <v>14.58</v>
      </c>
      <c r="F1749">
        <f>IFERROR(__xludf.DUMMYFUNCTION("""COMPUTED_VALUE"""),16.56)</f>
        <v>16.56</v>
      </c>
      <c r="G1749">
        <f>IFERROR(__xludf.DUMMYFUNCTION("""COMPUTED_VALUE"""),0.0)</f>
        <v>0</v>
      </c>
    </row>
    <row r="1750">
      <c r="A1750">
        <f>IFERROR(__xludf.DUMMYFUNCTION("""COMPUTED_VALUE"""),172864.0)</f>
        <v>172864</v>
      </c>
      <c r="B1750" t="str">
        <f>IFERROR(__xludf.DUMMYFUNCTION("""COMPUTED_VALUE"""),"Turkey From Whole Light Meat Meat Only With Added Solution Raw")</f>
        <v>Turkey From Whole Light Meat Meat Only With Added Solution Raw</v>
      </c>
      <c r="C1750" t="str">
        <f>IFERROR(__xludf.DUMMYFUNCTION("""COMPUTED_VALUE"""),"Meats")</f>
        <v>Meats</v>
      </c>
      <c r="D1750">
        <f>IFERROR(__xludf.DUMMYFUNCTION("""COMPUTED_VALUE"""),101.0)</f>
        <v>101</v>
      </c>
      <c r="E1750">
        <f>IFERROR(__xludf.DUMMYFUNCTION("""COMPUTED_VALUE"""),1.66)</f>
        <v>1.66</v>
      </c>
      <c r="F1750">
        <f>IFERROR(__xludf.DUMMYFUNCTION("""COMPUTED_VALUE"""),21.54)</f>
        <v>21.54</v>
      </c>
      <c r="G1750">
        <f>IFERROR(__xludf.DUMMYFUNCTION("""COMPUTED_VALUE"""),0.0)</f>
        <v>0</v>
      </c>
    </row>
    <row r="1751">
      <c r="A1751">
        <f>IFERROR(__xludf.DUMMYFUNCTION("""COMPUTED_VALUE"""),172865.0)</f>
        <v>172865</v>
      </c>
      <c r="B1751" t="str">
        <f>IFERROR(__xludf.DUMMYFUNCTION("""COMPUTED_VALUE"""),"Turkey From Whole Light Meat Meat Only With Added Solution Cooked Roasted")</f>
        <v>Turkey From Whole Light Meat Meat Only With Added Solution Cooked Roasted</v>
      </c>
      <c r="C1751" t="str">
        <f>IFERROR(__xludf.DUMMYFUNCTION("""COMPUTED_VALUE"""),"Meats")</f>
        <v>Meats</v>
      </c>
      <c r="D1751">
        <f>IFERROR(__xludf.DUMMYFUNCTION("""COMPUTED_VALUE"""),127.0)</f>
        <v>127</v>
      </c>
      <c r="E1751">
        <f>IFERROR(__xludf.DUMMYFUNCTION("""COMPUTED_VALUE"""),2.08)</f>
        <v>2.08</v>
      </c>
      <c r="F1751">
        <f>IFERROR(__xludf.DUMMYFUNCTION("""COMPUTED_VALUE"""),26.97)</f>
        <v>26.97</v>
      </c>
      <c r="G1751">
        <f>IFERROR(__xludf.DUMMYFUNCTION("""COMPUTED_VALUE"""),0.0)</f>
        <v>0</v>
      </c>
    </row>
    <row r="1752">
      <c r="A1752">
        <f>IFERROR(__xludf.DUMMYFUNCTION("""COMPUTED_VALUE"""),172866.0)</f>
        <v>172866</v>
      </c>
      <c r="B1752" t="str">
        <f>IFERROR(__xludf.DUMMYFUNCTION("""COMPUTED_VALUE"""),"Turkey Skin From Whole (Light And Dark) With Added Solution Raw")</f>
        <v>Turkey Skin From Whole (Light And Dark) With Added Solution Raw</v>
      </c>
      <c r="C1752" t="str">
        <f>IFERROR(__xludf.DUMMYFUNCTION("""COMPUTED_VALUE"""),"Meats")</f>
        <v>Meats</v>
      </c>
      <c r="D1752">
        <f>IFERROR(__xludf.DUMMYFUNCTION("""COMPUTED_VALUE"""),381.0)</f>
        <v>381</v>
      </c>
      <c r="E1752">
        <f>IFERROR(__xludf.DUMMYFUNCTION("""COMPUTED_VALUE"""),36.8)</f>
        <v>36.8</v>
      </c>
      <c r="F1752">
        <f>IFERROR(__xludf.DUMMYFUNCTION("""COMPUTED_VALUE"""),12.29)</f>
        <v>12.29</v>
      </c>
      <c r="G1752">
        <f>IFERROR(__xludf.DUMMYFUNCTION("""COMPUTED_VALUE"""),0.21)</f>
        <v>0.21</v>
      </c>
    </row>
    <row r="1753">
      <c r="A1753">
        <f>IFERROR(__xludf.DUMMYFUNCTION("""COMPUTED_VALUE"""),172867.0)</f>
        <v>172867</v>
      </c>
      <c r="B1753" t="str">
        <f>IFERROR(__xludf.DUMMYFUNCTION("""COMPUTED_VALUE"""),"Turkey Skin From Whole (Light And Dark) With Added Solution Roasted")</f>
        <v>Turkey Skin From Whole (Light And Dark) With Added Solution Roasted</v>
      </c>
      <c r="C1753" t="str">
        <f>IFERROR(__xludf.DUMMYFUNCTION("""COMPUTED_VALUE"""),"Meats")</f>
        <v>Meats</v>
      </c>
      <c r="D1753">
        <f>IFERROR(__xludf.DUMMYFUNCTION("""COMPUTED_VALUE"""),451.0)</f>
        <v>451</v>
      </c>
      <c r="E1753">
        <f>IFERROR(__xludf.DUMMYFUNCTION("""COMPUTED_VALUE"""),40.31)</f>
        <v>40.31</v>
      </c>
      <c r="F1753">
        <f>IFERROR(__xludf.DUMMYFUNCTION("""COMPUTED_VALUE"""),22.15)</f>
        <v>22.15</v>
      </c>
      <c r="G1753">
        <f>IFERROR(__xludf.DUMMYFUNCTION("""COMPUTED_VALUE"""),0.0)</f>
        <v>0</v>
      </c>
    </row>
    <row r="1754">
      <c r="A1754">
        <f>IFERROR(__xludf.DUMMYFUNCTION("""COMPUTED_VALUE"""),172868.0)</f>
        <v>172868</v>
      </c>
      <c r="B1754" t="str">
        <f>IFERROR(__xludf.DUMMYFUNCTION("""COMPUTED_VALUE"""),"Turkey Whole Meat Only With Added Solution Raw")</f>
        <v>Turkey Whole Meat Only With Added Solution Raw</v>
      </c>
      <c r="C1754" t="str">
        <f>IFERROR(__xludf.DUMMYFUNCTION("""COMPUTED_VALUE"""),"Meats")</f>
        <v>Meats</v>
      </c>
      <c r="D1754">
        <f>IFERROR(__xludf.DUMMYFUNCTION("""COMPUTED_VALUE"""),106.0)</f>
        <v>106</v>
      </c>
      <c r="E1754">
        <f>IFERROR(__xludf.DUMMYFUNCTION("""COMPUTED_VALUE"""),2.39)</f>
        <v>2.39</v>
      </c>
      <c r="F1754">
        <f>IFERROR(__xludf.DUMMYFUNCTION("""COMPUTED_VALUE"""),20.87)</f>
        <v>20.87</v>
      </c>
      <c r="G1754">
        <f>IFERROR(__xludf.DUMMYFUNCTION("""COMPUTED_VALUE"""),0.14)</f>
        <v>0.14</v>
      </c>
    </row>
    <row r="1755">
      <c r="A1755">
        <f>IFERROR(__xludf.DUMMYFUNCTION("""COMPUTED_VALUE"""),172869.0)</f>
        <v>172869</v>
      </c>
      <c r="B1755" t="str">
        <f>IFERROR(__xludf.DUMMYFUNCTION("""COMPUTED_VALUE"""),"Turkey Whole Meat Only With Added Solution Roasted")</f>
        <v>Turkey Whole Meat Only With Added Solution Roasted</v>
      </c>
      <c r="C1755" t="str">
        <f>IFERROR(__xludf.DUMMYFUNCTION("""COMPUTED_VALUE"""),"Meats")</f>
        <v>Meats</v>
      </c>
      <c r="D1755">
        <f>IFERROR(__xludf.DUMMYFUNCTION("""COMPUTED_VALUE"""),140.0)</f>
        <v>140</v>
      </c>
      <c r="E1755">
        <f>IFERROR(__xludf.DUMMYFUNCTION("""COMPUTED_VALUE"""),3.7)</f>
        <v>3.7</v>
      </c>
      <c r="F1755">
        <f>IFERROR(__xludf.DUMMYFUNCTION("""COMPUTED_VALUE"""),26.61)</f>
        <v>26.61</v>
      </c>
      <c r="G1755">
        <f>IFERROR(__xludf.DUMMYFUNCTION("""COMPUTED_VALUE"""),0.0)</f>
        <v>0</v>
      </c>
    </row>
    <row r="1756">
      <c r="A1756">
        <f>IFERROR(__xludf.DUMMYFUNCTION("""COMPUTED_VALUE"""),172870.0)</f>
        <v>172870</v>
      </c>
      <c r="B1756" t="str">
        <f>IFERROR(__xludf.DUMMYFUNCTION("""COMPUTED_VALUE"""),"Turkey Whole Meat And Skin With Added Solution Raw")</f>
        <v>Turkey Whole Meat And Skin With Added Solution Raw</v>
      </c>
      <c r="C1756" t="str">
        <f>IFERROR(__xludf.DUMMYFUNCTION("""COMPUTED_VALUE"""),"Meats")</f>
        <v>Meats</v>
      </c>
      <c r="D1756">
        <f>IFERROR(__xludf.DUMMYFUNCTION("""COMPUTED_VALUE"""),159.0)</f>
        <v>159</v>
      </c>
      <c r="E1756">
        <f>IFERROR(__xludf.DUMMYFUNCTION("""COMPUTED_VALUE"""),9.1)</f>
        <v>9.1</v>
      </c>
      <c r="F1756">
        <f>IFERROR(__xludf.DUMMYFUNCTION("""COMPUTED_VALUE"""),19.03)</f>
        <v>19.03</v>
      </c>
      <c r="G1756">
        <f>IFERROR(__xludf.DUMMYFUNCTION("""COMPUTED_VALUE"""),0.15)</f>
        <v>0.15</v>
      </c>
    </row>
    <row r="1757">
      <c r="A1757">
        <f>IFERROR(__xludf.DUMMYFUNCTION("""COMPUTED_VALUE"""),172871.0)</f>
        <v>172871</v>
      </c>
      <c r="B1757" t="str">
        <f>IFERROR(__xludf.DUMMYFUNCTION("""COMPUTED_VALUE"""),"Turkey Whole Meat And Skin With Added Solution Roasted")</f>
        <v>Turkey Whole Meat And Skin With Added Solution Roasted</v>
      </c>
      <c r="C1757" t="str">
        <f>IFERROR(__xludf.DUMMYFUNCTION("""COMPUTED_VALUE"""),"Meats")</f>
        <v>Meats</v>
      </c>
      <c r="D1757">
        <f>IFERROR(__xludf.DUMMYFUNCTION("""COMPUTED_VALUE"""),176.0)</f>
        <v>176</v>
      </c>
      <c r="E1757">
        <f>IFERROR(__xludf.DUMMYFUNCTION("""COMPUTED_VALUE"""),8.01)</f>
        <v>8.01</v>
      </c>
      <c r="F1757">
        <f>IFERROR(__xludf.DUMMYFUNCTION("""COMPUTED_VALUE"""),26.09)</f>
        <v>26.09</v>
      </c>
      <c r="G1757">
        <f>IFERROR(__xludf.DUMMYFUNCTION("""COMPUTED_VALUE"""),0.0)</f>
        <v>0</v>
      </c>
    </row>
    <row r="1758">
      <c r="A1758">
        <f>IFERROR(__xludf.DUMMYFUNCTION("""COMPUTED_VALUE"""),172872.0)</f>
        <v>172872</v>
      </c>
      <c r="B1758" t="str">
        <f>IFERROR(__xludf.DUMMYFUNCTION("""COMPUTED_VALUE"""),"Turkey Retail Parts Wing Meat Only Cooked Roasted")</f>
        <v>Turkey Retail Parts Wing Meat Only Cooked Roasted</v>
      </c>
      <c r="C1758" t="str">
        <f>IFERROR(__xludf.DUMMYFUNCTION("""COMPUTED_VALUE"""),"Meats")</f>
        <v>Meats</v>
      </c>
      <c r="D1758">
        <f>IFERROR(__xludf.DUMMYFUNCTION("""COMPUTED_VALUE"""),170.0)</f>
        <v>170</v>
      </c>
      <c r="E1758">
        <f>IFERROR(__xludf.DUMMYFUNCTION("""COMPUTED_VALUE"""),5.51)</f>
        <v>5.51</v>
      </c>
      <c r="F1758">
        <f>IFERROR(__xludf.DUMMYFUNCTION("""COMPUTED_VALUE"""),30.17)</f>
        <v>30.17</v>
      </c>
      <c r="G1758">
        <f>IFERROR(__xludf.DUMMYFUNCTION("""COMPUTED_VALUE"""),0.0)</f>
        <v>0</v>
      </c>
    </row>
    <row r="1759">
      <c r="A1759">
        <f>IFERROR(__xludf.DUMMYFUNCTION("""COMPUTED_VALUE"""),172873.0)</f>
        <v>172873</v>
      </c>
      <c r="B1759" t="str">
        <f>IFERROR(__xludf.DUMMYFUNCTION("""COMPUTED_VALUE"""),"Turkey Skin From Retail Parts From Dark Meat Raw")</f>
        <v>Turkey Skin From Retail Parts From Dark Meat Raw</v>
      </c>
      <c r="C1759" t="str">
        <f>IFERROR(__xludf.DUMMYFUNCTION("""COMPUTED_VALUE"""),"Meats")</f>
        <v>Meats</v>
      </c>
      <c r="D1759">
        <f>IFERROR(__xludf.DUMMYFUNCTION("""COMPUTED_VALUE"""),380.0)</f>
        <v>380</v>
      </c>
      <c r="E1759">
        <f>IFERROR(__xludf.DUMMYFUNCTION("""COMPUTED_VALUE"""),35.83)</f>
        <v>35.83</v>
      </c>
      <c r="F1759">
        <f>IFERROR(__xludf.DUMMYFUNCTION("""COMPUTED_VALUE"""),14.35)</f>
        <v>14.35</v>
      </c>
      <c r="G1759">
        <f>IFERROR(__xludf.DUMMYFUNCTION("""COMPUTED_VALUE"""),0.0)</f>
        <v>0</v>
      </c>
    </row>
    <row r="1760">
      <c r="A1760">
        <f>IFERROR(__xludf.DUMMYFUNCTION("""COMPUTED_VALUE"""),172874.0)</f>
        <v>172874</v>
      </c>
      <c r="B1760" t="str">
        <f>IFERROR(__xludf.DUMMYFUNCTION("""COMPUTED_VALUE"""),"Turkey Skin From Retail Parts From Dark Meat Cooked Roasted")</f>
        <v>Turkey Skin From Retail Parts From Dark Meat Cooked Roasted</v>
      </c>
      <c r="C1760" t="str">
        <f>IFERROR(__xludf.DUMMYFUNCTION("""COMPUTED_VALUE"""),"Meats")</f>
        <v>Meats</v>
      </c>
      <c r="D1760">
        <f>IFERROR(__xludf.DUMMYFUNCTION("""COMPUTED_VALUE"""),414.0)</f>
        <v>414</v>
      </c>
      <c r="E1760">
        <f>IFERROR(__xludf.DUMMYFUNCTION("""COMPUTED_VALUE"""),35.03)</f>
        <v>35.03</v>
      </c>
      <c r="F1760">
        <f>IFERROR(__xludf.DUMMYFUNCTION("""COMPUTED_VALUE"""),24.58)</f>
        <v>24.58</v>
      </c>
      <c r="G1760">
        <f>IFERROR(__xludf.DUMMYFUNCTION("""COMPUTED_VALUE"""),0.0)</f>
        <v>0</v>
      </c>
    </row>
    <row r="1761">
      <c r="A1761">
        <f>IFERROR(__xludf.DUMMYFUNCTION("""COMPUTED_VALUE"""),172875.0)</f>
        <v>172875</v>
      </c>
      <c r="B1761" t="str">
        <f>IFERROR(__xludf.DUMMYFUNCTION("""COMPUTED_VALUE"""),"Turkey Retail Parts Drumstick Meat Only Raw")</f>
        <v>Turkey Retail Parts Drumstick Meat Only Raw</v>
      </c>
      <c r="C1761" t="str">
        <f>IFERROR(__xludf.DUMMYFUNCTION("""COMPUTED_VALUE"""),"Meats")</f>
        <v>Meats</v>
      </c>
      <c r="D1761">
        <f>IFERROR(__xludf.DUMMYFUNCTION("""COMPUTED_VALUE"""),118.0)</f>
        <v>118</v>
      </c>
      <c r="E1761">
        <f>IFERROR(__xludf.DUMMYFUNCTION("""COMPUTED_VALUE"""),3.97)</f>
        <v>3.97</v>
      </c>
      <c r="F1761">
        <f>IFERROR(__xludf.DUMMYFUNCTION("""COMPUTED_VALUE"""),20.52)</f>
        <v>20.52</v>
      </c>
      <c r="G1761">
        <f>IFERROR(__xludf.DUMMYFUNCTION("""COMPUTED_VALUE"""),0.0)</f>
        <v>0</v>
      </c>
    </row>
    <row r="1762">
      <c r="A1762">
        <f>IFERROR(__xludf.DUMMYFUNCTION("""COMPUTED_VALUE"""),172876.0)</f>
        <v>172876</v>
      </c>
      <c r="B1762" t="str">
        <f>IFERROR(__xludf.DUMMYFUNCTION("""COMPUTED_VALUE"""),"Turkey Breast From Whole Bird Meat Only With Added Solution Raw")</f>
        <v>Turkey Breast From Whole Bird Meat Only With Added Solution Raw</v>
      </c>
      <c r="C1762" t="str">
        <f>IFERROR(__xludf.DUMMYFUNCTION("""COMPUTED_VALUE"""),"Meats")</f>
        <v>Meats</v>
      </c>
      <c r="D1762">
        <f>IFERROR(__xludf.DUMMYFUNCTION("""COMPUTED_VALUE"""),102.0)</f>
        <v>102</v>
      </c>
      <c r="E1762">
        <f>IFERROR(__xludf.DUMMYFUNCTION("""COMPUTED_VALUE"""),1.66)</f>
        <v>1.66</v>
      </c>
      <c r="F1762">
        <f>IFERROR(__xludf.DUMMYFUNCTION("""COMPUTED_VALUE"""),21.54)</f>
        <v>21.54</v>
      </c>
      <c r="G1762">
        <f>IFERROR(__xludf.DUMMYFUNCTION("""COMPUTED_VALUE"""),0.14)</f>
        <v>0.14</v>
      </c>
    </row>
    <row r="1763">
      <c r="A1763">
        <f>IFERROR(__xludf.DUMMYFUNCTION("""COMPUTED_VALUE"""),172877.0)</f>
        <v>172877</v>
      </c>
      <c r="B1763" t="str">
        <f>IFERROR(__xludf.DUMMYFUNCTION("""COMPUTED_VALUE"""),"Turkey Retail Parts Thigh Meat Only Cooked Roasted")</f>
        <v>Turkey Retail Parts Thigh Meat Only Cooked Roasted</v>
      </c>
      <c r="C1763" t="str">
        <f>IFERROR(__xludf.DUMMYFUNCTION("""COMPUTED_VALUE"""),"Meats")</f>
        <v>Meats</v>
      </c>
      <c r="D1763">
        <f>IFERROR(__xludf.DUMMYFUNCTION("""COMPUTED_VALUE"""),159.0)</f>
        <v>159</v>
      </c>
      <c r="E1763">
        <f>IFERROR(__xludf.DUMMYFUNCTION("""COMPUTED_VALUE"""),6.25)</f>
        <v>6.25</v>
      </c>
      <c r="F1763">
        <f>IFERROR(__xludf.DUMMYFUNCTION("""COMPUTED_VALUE"""),25.14)</f>
        <v>25.14</v>
      </c>
      <c r="G1763">
        <f>IFERROR(__xludf.DUMMYFUNCTION("""COMPUTED_VALUE"""),0.46)</f>
        <v>0.46</v>
      </c>
    </row>
    <row r="1764">
      <c r="A1764">
        <f>IFERROR(__xludf.DUMMYFUNCTION("""COMPUTED_VALUE"""),172878.0)</f>
        <v>172878</v>
      </c>
      <c r="B1764" t="str">
        <f>IFERROR(__xludf.DUMMYFUNCTION("""COMPUTED_VALUE"""),"Turkey Retail Parts Drumstick Meat Only Cooked Roasted")</f>
        <v>Turkey Retail Parts Drumstick Meat Only Cooked Roasted</v>
      </c>
      <c r="C1764" t="str">
        <f>IFERROR(__xludf.DUMMYFUNCTION("""COMPUTED_VALUE"""),"Meats")</f>
        <v>Meats</v>
      </c>
      <c r="D1764">
        <f>IFERROR(__xludf.DUMMYFUNCTION("""COMPUTED_VALUE"""),173.0)</f>
        <v>173</v>
      </c>
      <c r="E1764">
        <f>IFERROR(__xludf.DUMMYFUNCTION("""COMPUTED_VALUE"""),6.52)</f>
        <v>6.52</v>
      </c>
      <c r="F1764">
        <f>IFERROR(__xludf.DUMMYFUNCTION("""COMPUTED_VALUE"""),28.61)</f>
        <v>28.61</v>
      </c>
      <c r="G1764">
        <f>IFERROR(__xludf.DUMMYFUNCTION("""COMPUTED_VALUE"""),0.0)</f>
        <v>0</v>
      </c>
    </row>
    <row r="1765">
      <c r="A1765">
        <f>IFERROR(__xludf.DUMMYFUNCTION("""COMPUTED_VALUE"""),172926.0)</f>
        <v>172926</v>
      </c>
      <c r="B1765" t="str">
        <f>IFERROR(__xludf.DUMMYFUNCTION("""COMPUTED_VALUE"""),"Olive Loaf Pork")</f>
        <v>Olive Loaf Pork</v>
      </c>
      <c r="C1765" t="str">
        <f>IFERROR(__xludf.DUMMYFUNCTION("""COMPUTED_VALUE"""),"Meats")</f>
        <v>Meats</v>
      </c>
      <c r="D1765">
        <f>IFERROR(__xludf.DUMMYFUNCTION("""COMPUTED_VALUE"""),235.0)</f>
        <v>235</v>
      </c>
      <c r="E1765">
        <f>IFERROR(__xludf.DUMMYFUNCTION("""COMPUTED_VALUE"""),16.5)</f>
        <v>16.5</v>
      </c>
      <c r="F1765">
        <f>IFERROR(__xludf.DUMMYFUNCTION("""COMPUTED_VALUE"""),11.8)</f>
        <v>11.8</v>
      </c>
      <c r="G1765">
        <f>IFERROR(__xludf.DUMMYFUNCTION("""COMPUTED_VALUE"""),9.2)</f>
        <v>9.2</v>
      </c>
    </row>
    <row r="1766">
      <c r="A1766">
        <f>IFERROR(__xludf.DUMMYFUNCTION("""COMPUTED_VALUE"""),172927.0)</f>
        <v>172927</v>
      </c>
      <c r="B1766" t="str">
        <f>IFERROR(__xludf.DUMMYFUNCTION("""COMPUTED_VALUE"""),"Pastrami Turkey")</f>
        <v>Pastrami Turkey</v>
      </c>
      <c r="C1766" t="str">
        <f>IFERROR(__xludf.DUMMYFUNCTION("""COMPUTED_VALUE"""),"Meats")</f>
        <v>Meats</v>
      </c>
      <c r="D1766">
        <f>IFERROR(__xludf.DUMMYFUNCTION("""COMPUTED_VALUE"""),139.0)</f>
        <v>139</v>
      </c>
      <c r="E1766">
        <f>IFERROR(__xludf.DUMMYFUNCTION("""COMPUTED_VALUE"""),6.21)</f>
        <v>6.21</v>
      </c>
      <c r="F1766">
        <f>IFERROR(__xludf.DUMMYFUNCTION("""COMPUTED_VALUE"""),16.3)</f>
        <v>16.3</v>
      </c>
      <c r="G1766">
        <f>IFERROR(__xludf.DUMMYFUNCTION("""COMPUTED_VALUE"""),3.34)</f>
        <v>3.34</v>
      </c>
    </row>
    <row r="1767">
      <c r="A1767">
        <f>IFERROR(__xludf.DUMMYFUNCTION("""COMPUTED_VALUE"""),172928.0)</f>
        <v>172928</v>
      </c>
      <c r="B1767" t="str">
        <f>IFERROR(__xludf.DUMMYFUNCTION("""COMPUTED_VALUE"""),"Pate Chicken Liver Canned")</f>
        <v>Pate Chicken Liver Canned</v>
      </c>
      <c r="C1767" t="str">
        <f>IFERROR(__xludf.DUMMYFUNCTION("""COMPUTED_VALUE"""),"Meats")</f>
        <v>Meats</v>
      </c>
      <c r="D1767">
        <f>IFERROR(__xludf.DUMMYFUNCTION("""COMPUTED_VALUE"""),201.0)</f>
        <v>201</v>
      </c>
      <c r="E1767">
        <f>IFERROR(__xludf.DUMMYFUNCTION("""COMPUTED_VALUE"""),13.1)</f>
        <v>13.1</v>
      </c>
      <c r="F1767">
        <f>IFERROR(__xludf.DUMMYFUNCTION("""COMPUTED_VALUE"""),13.45)</f>
        <v>13.45</v>
      </c>
      <c r="G1767">
        <f>IFERROR(__xludf.DUMMYFUNCTION("""COMPUTED_VALUE"""),6.55)</f>
        <v>6.55</v>
      </c>
    </row>
    <row r="1768">
      <c r="A1768">
        <f>IFERROR(__xludf.DUMMYFUNCTION("""COMPUTED_VALUE"""),172929.0)</f>
        <v>172929</v>
      </c>
      <c r="B1768" t="str">
        <f>IFERROR(__xludf.DUMMYFUNCTION("""COMPUTED_VALUE"""),"Pate Goose Liver Smoked Canned")</f>
        <v>Pate Goose Liver Smoked Canned</v>
      </c>
      <c r="C1768" t="str">
        <f>IFERROR(__xludf.DUMMYFUNCTION("""COMPUTED_VALUE"""),"Meats")</f>
        <v>Meats</v>
      </c>
      <c r="D1768">
        <f>IFERROR(__xludf.DUMMYFUNCTION("""COMPUTED_VALUE"""),462.0)</f>
        <v>462</v>
      </c>
      <c r="E1768">
        <f>IFERROR(__xludf.DUMMYFUNCTION("""COMPUTED_VALUE"""),43.84)</f>
        <v>43.84</v>
      </c>
      <c r="F1768">
        <f>IFERROR(__xludf.DUMMYFUNCTION("""COMPUTED_VALUE"""),11.4)</f>
        <v>11.4</v>
      </c>
      <c r="G1768">
        <f>IFERROR(__xludf.DUMMYFUNCTION("""COMPUTED_VALUE"""),4.67)</f>
        <v>4.67</v>
      </c>
    </row>
    <row r="1769">
      <c r="A1769">
        <f>IFERROR(__xludf.DUMMYFUNCTION("""COMPUTED_VALUE"""),172930.0)</f>
        <v>172930</v>
      </c>
      <c r="B1769" t="str">
        <f>IFERROR(__xludf.DUMMYFUNCTION("""COMPUTED_VALUE"""),"Pate Liver Not Specified Canned")</f>
        <v>Pate Liver Not Specified Canned</v>
      </c>
      <c r="C1769" t="str">
        <f>IFERROR(__xludf.DUMMYFUNCTION("""COMPUTED_VALUE"""),"Meats")</f>
        <v>Meats</v>
      </c>
      <c r="D1769">
        <f>IFERROR(__xludf.DUMMYFUNCTION("""COMPUTED_VALUE"""),319.0)</f>
        <v>319</v>
      </c>
      <c r="E1769">
        <f>IFERROR(__xludf.DUMMYFUNCTION("""COMPUTED_VALUE"""),28.0)</f>
        <v>28</v>
      </c>
      <c r="F1769">
        <f>IFERROR(__xludf.DUMMYFUNCTION("""COMPUTED_VALUE"""),14.2)</f>
        <v>14.2</v>
      </c>
      <c r="G1769">
        <f>IFERROR(__xludf.DUMMYFUNCTION("""COMPUTED_VALUE"""),1.5)</f>
        <v>1.5</v>
      </c>
    </row>
    <row r="1770">
      <c r="A1770">
        <f>IFERROR(__xludf.DUMMYFUNCTION("""COMPUTED_VALUE"""),172931.0)</f>
        <v>172931</v>
      </c>
      <c r="B1770" t="str">
        <f>IFERROR(__xludf.DUMMYFUNCTION("""COMPUTED_VALUE"""),"Luxury Loaf Pork")</f>
        <v>Luxury Loaf Pork</v>
      </c>
      <c r="C1770" t="str">
        <f>IFERROR(__xludf.DUMMYFUNCTION("""COMPUTED_VALUE"""),"Meats")</f>
        <v>Meats</v>
      </c>
      <c r="D1770">
        <f>IFERROR(__xludf.DUMMYFUNCTION("""COMPUTED_VALUE"""),141.0)</f>
        <v>141</v>
      </c>
      <c r="E1770">
        <f>IFERROR(__xludf.DUMMYFUNCTION("""COMPUTED_VALUE"""),4.8)</f>
        <v>4.8</v>
      </c>
      <c r="F1770">
        <f>IFERROR(__xludf.DUMMYFUNCTION("""COMPUTED_VALUE"""),18.4)</f>
        <v>18.4</v>
      </c>
      <c r="G1770">
        <f>IFERROR(__xludf.DUMMYFUNCTION("""COMPUTED_VALUE"""),4.9)</f>
        <v>4.9</v>
      </c>
    </row>
    <row r="1771">
      <c r="A1771">
        <f>IFERROR(__xludf.DUMMYFUNCTION("""COMPUTED_VALUE"""),172932.0)</f>
        <v>172932</v>
      </c>
      <c r="B1771" t="str">
        <f>IFERROR(__xludf.DUMMYFUNCTION("""COMPUTED_VALUE"""),"Mothers Loaf Pork")</f>
        <v>Mothers Loaf Pork</v>
      </c>
      <c r="C1771" t="str">
        <f>IFERROR(__xludf.DUMMYFUNCTION("""COMPUTED_VALUE"""),"Meats")</f>
        <v>Meats</v>
      </c>
      <c r="D1771">
        <f>IFERROR(__xludf.DUMMYFUNCTION("""COMPUTED_VALUE"""),282.0)</f>
        <v>282</v>
      </c>
      <c r="E1771">
        <f>IFERROR(__xludf.DUMMYFUNCTION("""COMPUTED_VALUE"""),22.3)</f>
        <v>22.3</v>
      </c>
      <c r="F1771">
        <f>IFERROR(__xludf.DUMMYFUNCTION("""COMPUTED_VALUE"""),12.07)</f>
        <v>12.07</v>
      </c>
      <c r="G1771">
        <f>IFERROR(__xludf.DUMMYFUNCTION("""COMPUTED_VALUE"""),7.53)</f>
        <v>7.53</v>
      </c>
    </row>
    <row r="1772">
      <c r="A1772">
        <f>IFERROR(__xludf.DUMMYFUNCTION("""COMPUTED_VALUE"""),172933.0)</f>
        <v>172933</v>
      </c>
      <c r="B1772" t="str">
        <f>IFERROR(__xludf.DUMMYFUNCTION("""COMPUTED_VALUE"""),"Picnic Loaf Pork Beef")</f>
        <v>Picnic Loaf Pork Beef</v>
      </c>
      <c r="C1772" t="str">
        <f>IFERROR(__xludf.DUMMYFUNCTION("""COMPUTED_VALUE"""),"Meats")</f>
        <v>Meats</v>
      </c>
      <c r="D1772">
        <f>IFERROR(__xludf.DUMMYFUNCTION("""COMPUTED_VALUE"""),232.0)</f>
        <v>232</v>
      </c>
      <c r="E1772">
        <f>IFERROR(__xludf.DUMMYFUNCTION("""COMPUTED_VALUE"""),16.64)</f>
        <v>16.64</v>
      </c>
      <c r="F1772">
        <f>IFERROR(__xludf.DUMMYFUNCTION("""COMPUTED_VALUE"""),14.92)</f>
        <v>14.92</v>
      </c>
      <c r="G1772">
        <f>IFERROR(__xludf.DUMMYFUNCTION("""COMPUTED_VALUE"""),4.76)</f>
        <v>4.76</v>
      </c>
    </row>
    <row r="1773">
      <c r="A1773">
        <f>IFERROR(__xludf.DUMMYFUNCTION("""COMPUTED_VALUE"""),172934.0)</f>
        <v>172934</v>
      </c>
      <c r="B1773" t="str">
        <f>IFERROR(__xludf.DUMMYFUNCTION("""COMPUTED_VALUE"""),"Pork Sausage Link/patty Unprepared")</f>
        <v>Pork Sausage Link/patty Unprepared</v>
      </c>
      <c r="C1773" t="str">
        <f>IFERROR(__xludf.DUMMYFUNCTION("""COMPUTED_VALUE"""),"Meats")</f>
        <v>Meats</v>
      </c>
      <c r="D1773">
        <f>IFERROR(__xludf.DUMMYFUNCTION("""COMPUTED_VALUE"""),288.0)</f>
        <v>288</v>
      </c>
      <c r="E1773">
        <f>IFERROR(__xludf.DUMMYFUNCTION("""COMPUTED_VALUE"""),24.8)</f>
        <v>24.8</v>
      </c>
      <c r="F1773">
        <f>IFERROR(__xludf.DUMMYFUNCTION("""COMPUTED_VALUE"""),15.39)</f>
        <v>15.39</v>
      </c>
      <c r="G1773">
        <f>IFERROR(__xludf.DUMMYFUNCTION("""COMPUTED_VALUE"""),0.93)</f>
        <v>0.93</v>
      </c>
    </row>
    <row r="1774">
      <c r="A1774">
        <f>IFERROR(__xludf.DUMMYFUNCTION("""COMPUTED_VALUE"""),172935.0)</f>
        <v>172935</v>
      </c>
      <c r="B1774" t="str">
        <f>IFERROR(__xludf.DUMMYFUNCTION("""COMPUTED_VALUE"""),"Salami Cooked Beef")</f>
        <v>Salami Cooked Beef</v>
      </c>
      <c r="C1774" t="str">
        <f>IFERROR(__xludf.DUMMYFUNCTION("""COMPUTED_VALUE"""),"Meats")</f>
        <v>Meats</v>
      </c>
      <c r="D1774">
        <f>IFERROR(__xludf.DUMMYFUNCTION("""COMPUTED_VALUE"""),261.0)</f>
        <v>261</v>
      </c>
      <c r="E1774">
        <f>IFERROR(__xludf.DUMMYFUNCTION("""COMPUTED_VALUE"""),22.2)</f>
        <v>22.2</v>
      </c>
      <c r="F1774">
        <f>IFERROR(__xludf.DUMMYFUNCTION("""COMPUTED_VALUE"""),12.6)</f>
        <v>12.6</v>
      </c>
      <c r="G1774">
        <f>IFERROR(__xludf.DUMMYFUNCTION("""COMPUTED_VALUE"""),1.9)</f>
        <v>1.9</v>
      </c>
    </row>
    <row r="1775">
      <c r="A1775">
        <f>IFERROR(__xludf.DUMMYFUNCTION("""COMPUTED_VALUE"""),172936.0)</f>
        <v>172936</v>
      </c>
      <c r="B1775" t="str">
        <f>IFERROR(__xludf.DUMMYFUNCTION("""COMPUTED_VALUE"""),"Salami Cooked Beef And Pork")</f>
        <v>Salami Cooked Beef And Pork</v>
      </c>
      <c r="C1775" t="str">
        <f>IFERROR(__xludf.DUMMYFUNCTION("""COMPUTED_VALUE"""),"Meats")</f>
        <v>Meats</v>
      </c>
      <c r="D1775">
        <f>IFERROR(__xludf.DUMMYFUNCTION("""COMPUTED_VALUE"""),336.0)</f>
        <v>336</v>
      </c>
      <c r="E1775">
        <f>IFERROR(__xludf.DUMMYFUNCTION("""COMPUTED_VALUE"""),25.9)</f>
        <v>25.9</v>
      </c>
      <c r="F1775">
        <f>IFERROR(__xludf.DUMMYFUNCTION("""COMPUTED_VALUE"""),21.85)</f>
        <v>21.85</v>
      </c>
      <c r="G1775">
        <f>IFERROR(__xludf.DUMMYFUNCTION("""COMPUTED_VALUE"""),2.4)</f>
        <v>2.4</v>
      </c>
    </row>
    <row r="1776">
      <c r="A1776">
        <f>IFERROR(__xludf.DUMMYFUNCTION("""COMPUTED_VALUE"""),172937.0)</f>
        <v>172937</v>
      </c>
      <c r="B1776" t="str">
        <f>IFERROR(__xludf.DUMMYFUNCTION("""COMPUTED_VALUE"""),"Turkey Salami")</f>
        <v>Turkey Salami</v>
      </c>
      <c r="C1776" t="str">
        <f>IFERROR(__xludf.DUMMYFUNCTION("""COMPUTED_VALUE"""),"Meats")</f>
        <v>Meats</v>
      </c>
      <c r="D1776">
        <f>IFERROR(__xludf.DUMMYFUNCTION("""COMPUTED_VALUE"""),172.0)</f>
        <v>172</v>
      </c>
      <c r="E1776">
        <f>IFERROR(__xludf.DUMMYFUNCTION("""COMPUTED_VALUE"""),9.21)</f>
        <v>9.21</v>
      </c>
      <c r="F1776">
        <f>IFERROR(__xludf.DUMMYFUNCTION("""COMPUTED_VALUE"""),19.2)</f>
        <v>19.2</v>
      </c>
      <c r="G1776">
        <f>IFERROR(__xludf.DUMMYFUNCTION("""COMPUTED_VALUE"""),1.55)</f>
        <v>1.55</v>
      </c>
    </row>
    <row r="1777">
      <c r="A1777">
        <f>IFERROR(__xludf.DUMMYFUNCTION("""COMPUTED_VALUE"""),172938.0)</f>
        <v>172938</v>
      </c>
      <c r="B1777" t="str">
        <f>IFERROR(__xludf.DUMMYFUNCTION("""COMPUTED_VALUE"""),"Dry Pork Salami")</f>
        <v>Dry Pork Salami</v>
      </c>
      <c r="C1777" t="str">
        <f>IFERROR(__xludf.DUMMYFUNCTION("""COMPUTED_VALUE"""),"Meats")</f>
        <v>Meats</v>
      </c>
      <c r="D1777">
        <f>IFERROR(__xludf.DUMMYFUNCTION("""COMPUTED_VALUE"""),407.0)</f>
        <v>407</v>
      </c>
      <c r="E1777">
        <f>IFERROR(__xludf.DUMMYFUNCTION("""COMPUTED_VALUE"""),33.72)</f>
        <v>33.72</v>
      </c>
      <c r="F1777">
        <f>IFERROR(__xludf.DUMMYFUNCTION("""COMPUTED_VALUE"""),22.58)</f>
        <v>22.58</v>
      </c>
      <c r="G1777">
        <f>IFERROR(__xludf.DUMMYFUNCTION("""COMPUTED_VALUE"""),1.6)</f>
        <v>1.6</v>
      </c>
    </row>
    <row r="1778">
      <c r="A1778">
        <f>IFERROR(__xludf.DUMMYFUNCTION("""COMPUTED_VALUE"""),172939.0)</f>
        <v>172939</v>
      </c>
      <c r="B1778" t="str">
        <f>IFERROR(__xludf.DUMMYFUNCTION("""COMPUTED_VALUE"""),"Smoked Link Sausage Pork And Beef Nonfat Dry Milk Added")</f>
        <v>Smoked Link Sausage Pork And Beef Nonfat Dry Milk Added</v>
      </c>
      <c r="C1778" t="str">
        <f>IFERROR(__xludf.DUMMYFUNCTION("""COMPUTED_VALUE"""),"Meats")</f>
        <v>Meats</v>
      </c>
      <c r="D1778">
        <f>IFERROR(__xludf.DUMMYFUNCTION("""COMPUTED_VALUE"""),313.0)</f>
        <v>313</v>
      </c>
      <c r="E1778">
        <f>IFERROR(__xludf.DUMMYFUNCTION("""COMPUTED_VALUE"""),27.61)</f>
        <v>27.61</v>
      </c>
      <c r="F1778">
        <f>IFERROR(__xludf.DUMMYFUNCTION("""COMPUTED_VALUE"""),13.28)</f>
        <v>13.28</v>
      </c>
      <c r="G1778">
        <f>IFERROR(__xludf.DUMMYFUNCTION("""COMPUTED_VALUE"""),1.92)</f>
        <v>1.92</v>
      </c>
    </row>
    <row r="1779">
      <c r="A1779">
        <f>IFERROR(__xludf.DUMMYFUNCTION("""COMPUTED_VALUE"""),172940.0)</f>
        <v>172940</v>
      </c>
      <c r="B1779" t="str">
        <f>IFERROR(__xludf.DUMMYFUNCTION("""COMPUTED_VALUE"""),"Thuringer Cervelat Summer Sausage Beef Pork")</f>
        <v>Thuringer Cervelat Summer Sausage Beef Pork</v>
      </c>
      <c r="C1779" t="str">
        <f>IFERROR(__xludf.DUMMYFUNCTION("""COMPUTED_VALUE"""),"Meats")</f>
        <v>Meats</v>
      </c>
      <c r="D1779">
        <f>IFERROR(__xludf.DUMMYFUNCTION("""COMPUTED_VALUE"""),362.0)</f>
        <v>362</v>
      </c>
      <c r="E1779">
        <f>IFERROR(__xludf.DUMMYFUNCTION("""COMPUTED_VALUE"""),30.43)</f>
        <v>30.43</v>
      </c>
      <c r="F1779">
        <f>IFERROR(__xludf.DUMMYFUNCTION("""COMPUTED_VALUE"""),17.45)</f>
        <v>17.45</v>
      </c>
      <c r="G1779">
        <f>IFERROR(__xludf.DUMMYFUNCTION("""COMPUTED_VALUE"""),3.33)</f>
        <v>3.33</v>
      </c>
    </row>
    <row r="1780">
      <c r="A1780">
        <f>IFERROR(__xludf.DUMMYFUNCTION("""COMPUTED_VALUE"""),172941.0)</f>
        <v>172941</v>
      </c>
      <c r="B1780" t="str">
        <f>IFERROR(__xludf.DUMMYFUNCTION("""COMPUTED_VALUE"""),"Turkey Breast Sliced Prepackaged")</f>
        <v>Turkey Breast Sliced Prepackaged</v>
      </c>
      <c r="C1780" t="str">
        <f>IFERROR(__xludf.DUMMYFUNCTION("""COMPUTED_VALUE"""),"Meats")</f>
        <v>Meats</v>
      </c>
      <c r="D1780">
        <f>IFERROR(__xludf.DUMMYFUNCTION("""COMPUTED_VALUE"""),106.0)</f>
        <v>106</v>
      </c>
      <c r="E1780">
        <f>IFERROR(__xludf.DUMMYFUNCTION("""COMPUTED_VALUE"""),3.77)</f>
        <v>3.77</v>
      </c>
      <c r="F1780">
        <f>IFERROR(__xludf.DUMMYFUNCTION("""COMPUTED_VALUE"""),14.81)</f>
        <v>14.81</v>
      </c>
      <c r="G1780">
        <f>IFERROR(__xludf.DUMMYFUNCTION("""COMPUTED_VALUE"""),2.2)</f>
        <v>2.2</v>
      </c>
    </row>
    <row r="1781">
      <c r="A1781">
        <f>IFERROR(__xludf.DUMMYFUNCTION("""COMPUTED_VALUE"""),172942.0)</f>
        <v>172942</v>
      </c>
      <c r="B1781" t="str">
        <f>IFERROR(__xludf.DUMMYFUNCTION("""COMPUTED_VALUE"""),"Sausage Vienna Canned Chicken Beef Pork")</f>
        <v>Sausage Vienna Canned Chicken Beef Pork</v>
      </c>
      <c r="C1781" t="str">
        <f>IFERROR(__xludf.DUMMYFUNCTION("""COMPUTED_VALUE"""),"Meats")</f>
        <v>Meats</v>
      </c>
      <c r="D1781">
        <f>IFERROR(__xludf.DUMMYFUNCTION("""COMPUTED_VALUE"""),230.0)</f>
        <v>230</v>
      </c>
      <c r="E1781">
        <f>IFERROR(__xludf.DUMMYFUNCTION("""COMPUTED_VALUE"""),19.4)</f>
        <v>19.4</v>
      </c>
      <c r="F1781">
        <f>IFERROR(__xludf.DUMMYFUNCTION("""COMPUTED_VALUE"""),10.5)</f>
        <v>10.5</v>
      </c>
      <c r="G1781">
        <f>IFERROR(__xludf.DUMMYFUNCTION("""COMPUTED_VALUE"""),2.6)</f>
        <v>2.6</v>
      </c>
    </row>
    <row r="1782">
      <c r="A1782">
        <f>IFERROR(__xludf.DUMMYFUNCTION("""COMPUTED_VALUE"""),172943.0)</f>
        <v>172943</v>
      </c>
      <c r="B1782" t="str">
        <f>IFERROR(__xludf.DUMMYFUNCTION("""COMPUTED_VALUE"""),"Honey Roll Sausage Beef")</f>
        <v>Honey Roll Sausage Beef</v>
      </c>
      <c r="C1782" t="str">
        <f>IFERROR(__xludf.DUMMYFUNCTION("""COMPUTED_VALUE"""),"Meats")</f>
        <v>Meats</v>
      </c>
      <c r="D1782">
        <f>IFERROR(__xludf.DUMMYFUNCTION("""COMPUTED_VALUE"""),182.0)</f>
        <v>182</v>
      </c>
      <c r="E1782">
        <f>IFERROR(__xludf.DUMMYFUNCTION("""COMPUTED_VALUE"""),10.5)</f>
        <v>10.5</v>
      </c>
      <c r="F1782">
        <f>IFERROR(__xludf.DUMMYFUNCTION("""COMPUTED_VALUE"""),18.58)</f>
        <v>18.58</v>
      </c>
      <c r="G1782">
        <f>IFERROR(__xludf.DUMMYFUNCTION("""COMPUTED_VALUE"""),2.18)</f>
        <v>2.18</v>
      </c>
    </row>
    <row r="1783">
      <c r="A1783">
        <f>IFERROR(__xludf.DUMMYFUNCTION("""COMPUTED_VALUE"""),172944.0)</f>
        <v>172944</v>
      </c>
      <c r="B1783" t="str">
        <f>IFERROR(__xludf.DUMMYFUNCTION("""COMPUTED_VALUE"""),"Oscar Mayer Braunschweiger Liver Sausage (Sliced)")</f>
        <v>Oscar Mayer Braunschweiger Liver Sausage (Sliced)</v>
      </c>
      <c r="C1783" t="str">
        <f>IFERROR(__xludf.DUMMYFUNCTION("""COMPUTED_VALUE"""),"Meats")</f>
        <v>Meats</v>
      </c>
      <c r="D1783">
        <f>IFERROR(__xludf.DUMMYFUNCTION("""COMPUTED_VALUE"""),331.0)</f>
        <v>331</v>
      </c>
      <c r="E1783">
        <f>IFERROR(__xludf.DUMMYFUNCTION("""COMPUTED_VALUE"""),29.35)</f>
        <v>29.35</v>
      </c>
      <c r="F1783">
        <f>IFERROR(__xludf.DUMMYFUNCTION("""COMPUTED_VALUE"""),14.25)</f>
        <v>14.25</v>
      </c>
      <c r="G1783">
        <f>IFERROR(__xludf.DUMMYFUNCTION("""COMPUTED_VALUE"""),2.6)</f>
        <v>2.6</v>
      </c>
    </row>
    <row r="1784">
      <c r="A1784">
        <f>IFERROR(__xludf.DUMMYFUNCTION("""COMPUTED_VALUE"""),172945.0)</f>
        <v>172945</v>
      </c>
      <c r="B1784" t="str">
        <f>IFERROR(__xludf.DUMMYFUNCTION("""COMPUTED_VALUE"""),"Oscar Mayer Chicken Breast (Honey Glazed)")</f>
        <v>Oscar Mayer Chicken Breast (Honey Glazed)</v>
      </c>
      <c r="C1784" t="str">
        <f>IFERROR(__xludf.DUMMYFUNCTION("""COMPUTED_VALUE"""),"Meats")</f>
        <v>Meats</v>
      </c>
      <c r="D1784">
        <f>IFERROR(__xludf.DUMMYFUNCTION("""COMPUTED_VALUE"""),109.0)</f>
        <v>109</v>
      </c>
      <c r="E1784">
        <f>IFERROR(__xludf.DUMMYFUNCTION("""COMPUTED_VALUE"""),1.5)</f>
        <v>1.5</v>
      </c>
      <c r="F1784">
        <f>IFERROR(__xludf.DUMMYFUNCTION("""COMPUTED_VALUE"""),19.85)</f>
        <v>19.85</v>
      </c>
      <c r="G1784">
        <f>IFERROR(__xludf.DUMMYFUNCTION("""COMPUTED_VALUE"""),4.3)</f>
        <v>4.3</v>
      </c>
    </row>
    <row r="1785">
      <c r="A1785">
        <f>IFERROR(__xludf.DUMMYFUNCTION("""COMPUTED_VALUE"""),172946.0)</f>
        <v>172946</v>
      </c>
      <c r="B1785" t="str">
        <f>IFERROR(__xludf.DUMMYFUNCTION("""COMPUTED_VALUE"""),"Oscar Mayer Ham (Chopped With Natural Juice)")</f>
        <v>Oscar Mayer Ham (Chopped With Natural Juice)</v>
      </c>
      <c r="C1785" t="str">
        <f>IFERROR(__xludf.DUMMYFUNCTION("""COMPUTED_VALUE"""),"Meats")</f>
        <v>Meats</v>
      </c>
      <c r="D1785">
        <f>IFERROR(__xludf.DUMMYFUNCTION("""COMPUTED_VALUE"""),180.0)</f>
        <v>180</v>
      </c>
      <c r="E1785">
        <f>IFERROR(__xludf.DUMMYFUNCTION("""COMPUTED_VALUE"""),11.15)</f>
        <v>11.15</v>
      </c>
      <c r="F1785">
        <f>IFERROR(__xludf.DUMMYFUNCTION("""COMPUTED_VALUE"""),16.3)</f>
        <v>16.3</v>
      </c>
      <c r="G1785">
        <f>IFERROR(__xludf.DUMMYFUNCTION("""COMPUTED_VALUE"""),3.65)</f>
        <v>3.65</v>
      </c>
    </row>
    <row r="1786">
      <c r="A1786">
        <f>IFERROR(__xludf.DUMMYFUNCTION("""COMPUTED_VALUE"""),172947.0)</f>
        <v>172947</v>
      </c>
      <c r="B1786" t="str">
        <f>IFERROR(__xludf.DUMMYFUNCTION("""COMPUTED_VALUE"""),"Oscar Mayer Salami (Hard)")</f>
        <v>Oscar Mayer Salami (Hard)</v>
      </c>
      <c r="C1786" t="str">
        <f>IFERROR(__xludf.DUMMYFUNCTION("""COMPUTED_VALUE"""),"Meats")</f>
        <v>Meats</v>
      </c>
      <c r="D1786">
        <f>IFERROR(__xludf.DUMMYFUNCTION("""COMPUTED_VALUE"""),368.0)</f>
        <v>368</v>
      </c>
      <c r="E1786">
        <f>IFERROR(__xludf.DUMMYFUNCTION("""COMPUTED_VALUE"""),28.7)</f>
        <v>28.7</v>
      </c>
      <c r="F1786">
        <f>IFERROR(__xludf.DUMMYFUNCTION("""COMPUTED_VALUE"""),25.9)</f>
        <v>25.9</v>
      </c>
      <c r="G1786">
        <f>IFERROR(__xludf.DUMMYFUNCTION("""COMPUTED_VALUE"""),1.6)</f>
        <v>1.6</v>
      </c>
    </row>
    <row r="1787">
      <c r="A1787">
        <f>IFERROR(__xludf.DUMMYFUNCTION("""COMPUTED_VALUE"""),172948.0)</f>
        <v>172948</v>
      </c>
      <c r="B1787" t="str">
        <f>IFERROR(__xludf.DUMMYFUNCTION("""COMPUTED_VALUE"""),"Turkey Pork And Beef Sausage Low Fat Smoked")</f>
        <v>Turkey Pork And Beef Sausage Low Fat Smoked</v>
      </c>
      <c r="C1787" t="str">
        <f>IFERROR(__xludf.DUMMYFUNCTION("""COMPUTED_VALUE"""),"Meats")</f>
        <v>Meats</v>
      </c>
      <c r="D1787">
        <f>IFERROR(__xludf.DUMMYFUNCTION("""COMPUTED_VALUE"""),101.0)</f>
        <v>101</v>
      </c>
      <c r="E1787">
        <f>IFERROR(__xludf.DUMMYFUNCTION("""COMPUTED_VALUE"""),2.5)</f>
        <v>2.5</v>
      </c>
      <c r="F1787">
        <f>IFERROR(__xludf.DUMMYFUNCTION("""COMPUTED_VALUE"""),8.0)</f>
        <v>8</v>
      </c>
      <c r="G1787">
        <f>IFERROR(__xludf.DUMMYFUNCTION("""COMPUTED_VALUE"""),11.54)</f>
        <v>11.54</v>
      </c>
    </row>
    <row r="1788">
      <c r="A1788">
        <f>IFERROR(__xludf.DUMMYFUNCTION("""COMPUTED_VALUE"""),172949.0)</f>
        <v>172949</v>
      </c>
      <c r="B1788" t="str">
        <f>IFERROR(__xludf.DUMMYFUNCTION("""COMPUTED_VALUE"""),"Frankfurter Beef Pork And Turkey Fat Free")</f>
        <v>Frankfurter Beef Pork And Turkey Fat Free</v>
      </c>
      <c r="C1788" t="str">
        <f>IFERROR(__xludf.DUMMYFUNCTION("""COMPUTED_VALUE"""),"Meats")</f>
        <v>Meats</v>
      </c>
      <c r="D1788">
        <f>IFERROR(__xludf.DUMMYFUNCTION("""COMPUTED_VALUE"""),109.0)</f>
        <v>109</v>
      </c>
      <c r="E1788">
        <f>IFERROR(__xludf.DUMMYFUNCTION("""COMPUTED_VALUE"""),1.59)</f>
        <v>1.59</v>
      </c>
      <c r="F1788">
        <f>IFERROR(__xludf.DUMMYFUNCTION("""COMPUTED_VALUE"""),12.5)</f>
        <v>12.5</v>
      </c>
      <c r="G1788">
        <f>IFERROR(__xludf.DUMMYFUNCTION("""COMPUTED_VALUE"""),11.21)</f>
        <v>11.21</v>
      </c>
    </row>
    <row r="1789">
      <c r="A1789">
        <f>IFERROR(__xludf.DUMMYFUNCTION("""COMPUTED_VALUE"""),172950.0)</f>
        <v>172950</v>
      </c>
      <c r="B1789" t="str">
        <f>IFERROR(__xludf.DUMMYFUNCTION("""COMPUTED_VALUE"""),"Luncheon Meat Pork Ham And Chicken Minced Canned Reduced Sodium Added Ascorbic Acid Includes Spam 25% Less Sodium")</f>
        <v>Luncheon Meat Pork Ham And Chicken Minced Canned Reduced Sodium Added Ascorbic Acid Includes Spam 25% Less Sodium</v>
      </c>
      <c r="C1789" t="str">
        <f>IFERROR(__xludf.DUMMYFUNCTION("""COMPUTED_VALUE"""),"Meats")</f>
        <v>Meats</v>
      </c>
      <c r="D1789">
        <f>IFERROR(__xludf.DUMMYFUNCTION("""COMPUTED_VALUE"""),293.0)</f>
        <v>293</v>
      </c>
      <c r="E1789">
        <f>IFERROR(__xludf.DUMMYFUNCTION("""COMPUTED_VALUE"""),25.1)</f>
        <v>25.1</v>
      </c>
      <c r="F1789">
        <f>IFERROR(__xludf.DUMMYFUNCTION("""COMPUTED_VALUE"""),12.5)</f>
        <v>12.5</v>
      </c>
      <c r="G1789">
        <f>IFERROR(__xludf.DUMMYFUNCTION("""COMPUTED_VALUE"""),3.4)</f>
        <v>3.4</v>
      </c>
    </row>
    <row r="1790">
      <c r="A1790">
        <f>IFERROR(__xludf.DUMMYFUNCTION("""COMPUTED_VALUE"""),172951.0)</f>
        <v>172951</v>
      </c>
      <c r="B1790" t="str">
        <f>IFERROR(__xludf.DUMMYFUNCTION("""COMPUTED_VALUE"""),"Luncheon Meat Pork With Ham Minced Canned Includes Spam (Hormel)")</f>
        <v>Luncheon Meat Pork With Ham Minced Canned Includes Spam (Hormel)</v>
      </c>
      <c r="C1790" t="str">
        <f>IFERROR(__xludf.DUMMYFUNCTION("""COMPUTED_VALUE"""),"Meats")</f>
        <v>Meats</v>
      </c>
      <c r="D1790">
        <f>IFERROR(__xludf.DUMMYFUNCTION("""COMPUTED_VALUE"""),315.0)</f>
        <v>315</v>
      </c>
      <c r="E1790">
        <f>IFERROR(__xludf.DUMMYFUNCTION("""COMPUTED_VALUE"""),26.6)</f>
        <v>26.6</v>
      </c>
      <c r="F1790">
        <f>IFERROR(__xludf.DUMMYFUNCTION("""COMPUTED_VALUE"""),13.4)</f>
        <v>13.4</v>
      </c>
      <c r="G1790">
        <f>IFERROR(__xludf.DUMMYFUNCTION("""COMPUTED_VALUE"""),4.6)</f>
        <v>4.6</v>
      </c>
    </row>
    <row r="1791">
      <c r="A1791">
        <f>IFERROR(__xludf.DUMMYFUNCTION("""COMPUTED_VALUE"""),172952.0)</f>
        <v>172952</v>
      </c>
      <c r="B1791" t="str">
        <f>IFERROR(__xludf.DUMMYFUNCTION("""COMPUTED_VALUE"""),"Sweet Italian Sausage")</f>
        <v>Sweet Italian Sausage</v>
      </c>
      <c r="C1791" t="str">
        <f>IFERROR(__xludf.DUMMYFUNCTION("""COMPUTED_VALUE"""),"Meats")</f>
        <v>Meats</v>
      </c>
      <c r="D1791">
        <f>IFERROR(__xludf.DUMMYFUNCTION("""COMPUTED_VALUE"""),149.0)</f>
        <v>149</v>
      </c>
      <c r="E1791">
        <f>IFERROR(__xludf.DUMMYFUNCTION("""COMPUTED_VALUE"""),8.42)</f>
        <v>8.42</v>
      </c>
      <c r="F1791">
        <f>IFERROR(__xludf.DUMMYFUNCTION("""COMPUTED_VALUE"""),16.13)</f>
        <v>16.13</v>
      </c>
      <c r="G1791">
        <f>IFERROR(__xludf.DUMMYFUNCTION("""COMPUTED_VALUE"""),2.1)</f>
        <v>2.1</v>
      </c>
    </row>
    <row r="1792">
      <c r="A1792">
        <f>IFERROR(__xludf.DUMMYFUNCTION("""COMPUTED_VALUE"""),172953.0)</f>
        <v>172953</v>
      </c>
      <c r="B1792" t="str">
        <f>IFERROR(__xludf.DUMMYFUNCTION("""COMPUTED_VALUE"""),"Beef And Chicken Polish Sausage")</f>
        <v>Beef And Chicken Polish Sausage</v>
      </c>
      <c r="C1792" t="str">
        <f>IFERROR(__xludf.DUMMYFUNCTION("""COMPUTED_VALUE"""),"Meats")</f>
        <v>Meats</v>
      </c>
      <c r="D1792">
        <f>IFERROR(__xludf.DUMMYFUNCTION("""COMPUTED_VALUE"""),259.0)</f>
        <v>259</v>
      </c>
      <c r="E1792">
        <f>IFERROR(__xludf.DUMMYFUNCTION("""COMPUTED_VALUE"""),19.4)</f>
        <v>19.4</v>
      </c>
      <c r="F1792">
        <f>IFERROR(__xludf.DUMMYFUNCTION("""COMPUTED_VALUE"""),17.6)</f>
        <v>17.6</v>
      </c>
      <c r="G1792">
        <f>IFERROR(__xludf.DUMMYFUNCTION("""COMPUTED_VALUE"""),3.6)</f>
        <v>3.6</v>
      </c>
    </row>
    <row r="1793">
      <c r="A1793">
        <f>IFERROR(__xludf.DUMMYFUNCTION("""COMPUTED_VALUE"""),172954.0)</f>
        <v>172954</v>
      </c>
      <c r="B1793" t="str">
        <f>IFERROR(__xludf.DUMMYFUNCTION("""COMPUTED_VALUE"""),"Sausage Polish Pork And Beef Smoked")</f>
        <v>Sausage Polish Pork And Beef Smoked</v>
      </c>
      <c r="C1793" t="str">
        <f>IFERROR(__xludf.DUMMYFUNCTION("""COMPUTED_VALUE"""),"Meats")</f>
        <v>Meats</v>
      </c>
      <c r="D1793">
        <f>IFERROR(__xludf.DUMMYFUNCTION("""COMPUTED_VALUE"""),301.0)</f>
        <v>301</v>
      </c>
      <c r="E1793">
        <f>IFERROR(__xludf.DUMMYFUNCTION("""COMPUTED_VALUE"""),26.56)</f>
        <v>26.56</v>
      </c>
      <c r="F1793">
        <f>IFERROR(__xludf.DUMMYFUNCTION("""COMPUTED_VALUE"""),12.07)</f>
        <v>12.07</v>
      </c>
      <c r="G1793">
        <f>IFERROR(__xludf.DUMMYFUNCTION("""COMPUTED_VALUE"""),1.98)</f>
        <v>1.98</v>
      </c>
    </row>
    <row r="1794">
      <c r="A1794">
        <f>IFERROR(__xludf.DUMMYFUNCTION("""COMPUTED_VALUE"""),172955.0)</f>
        <v>172955</v>
      </c>
      <c r="B1794" t="str">
        <f>IFERROR(__xludf.DUMMYFUNCTION("""COMPUTED_VALUE"""),"Sausage Pork And Beef With Cheddar Cheese Smoked")</f>
        <v>Sausage Pork And Beef With Cheddar Cheese Smoked</v>
      </c>
      <c r="C1794" t="str">
        <f>IFERROR(__xludf.DUMMYFUNCTION("""COMPUTED_VALUE"""),"Meats")</f>
        <v>Meats</v>
      </c>
      <c r="D1794">
        <f>IFERROR(__xludf.DUMMYFUNCTION("""COMPUTED_VALUE"""),296.0)</f>
        <v>296</v>
      </c>
      <c r="E1794">
        <f>IFERROR(__xludf.DUMMYFUNCTION("""COMPUTED_VALUE"""),25.84)</f>
        <v>25.84</v>
      </c>
      <c r="F1794">
        <f>IFERROR(__xludf.DUMMYFUNCTION("""COMPUTED_VALUE"""),12.89)</f>
        <v>12.89</v>
      </c>
      <c r="G1794">
        <f>IFERROR(__xludf.DUMMYFUNCTION("""COMPUTED_VALUE"""),2.13)</f>
        <v>2.13</v>
      </c>
    </row>
    <row r="1795">
      <c r="A1795">
        <f>IFERROR(__xludf.DUMMYFUNCTION("""COMPUTED_VALUE"""),172956.0)</f>
        <v>172956</v>
      </c>
      <c r="B1795" t="str">
        <f>IFERROR(__xludf.DUMMYFUNCTION("""COMPUTED_VALUE"""),"Bratwurst Beef And Pork Smoked")</f>
        <v>Bratwurst Beef And Pork Smoked</v>
      </c>
      <c r="C1795" t="str">
        <f>IFERROR(__xludf.DUMMYFUNCTION("""COMPUTED_VALUE"""),"Meats")</f>
        <v>Meats</v>
      </c>
      <c r="D1795">
        <f>IFERROR(__xludf.DUMMYFUNCTION("""COMPUTED_VALUE"""),297.0)</f>
        <v>297</v>
      </c>
      <c r="E1795">
        <f>IFERROR(__xludf.DUMMYFUNCTION("""COMPUTED_VALUE"""),26.34)</f>
        <v>26.34</v>
      </c>
      <c r="F1795">
        <f>IFERROR(__xludf.DUMMYFUNCTION("""COMPUTED_VALUE"""),12.2)</f>
        <v>12.2</v>
      </c>
      <c r="G1795">
        <f>IFERROR(__xludf.DUMMYFUNCTION("""COMPUTED_VALUE"""),2.0)</f>
        <v>2</v>
      </c>
    </row>
    <row r="1796">
      <c r="A1796">
        <f>IFERROR(__xludf.DUMMYFUNCTION("""COMPUTED_VALUE"""),172957.0)</f>
        <v>172957</v>
      </c>
      <c r="B1796" t="str">
        <f>IFERROR(__xludf.DUMMYFUNCTION("""COMPUTED_VALUE"""),"Bratwurst Chicken Cooked")</f>
        <v>Bratwurst Chicken Cooked</v>
      </c>
      <c r="C1796" t="str">
        <f>IFERROR(__xludf.DUMMYFUNCTION("""COMPUTED_VALUE"""),"Meats")</f>
        <v>Meats</v>
      </c>
      <c r="D1796">
        <f>IFERROR(__xludf.DUMMYFUNCTION("""COMPUTED_VALUE"""),176.0)</f>
        <v>176</v>
      </c>
      <c r="E1796">
        <f>IFERROR(__xludf.DUMMYFUNCTION("""COMPUTED_VALUE"""),10.35)</f>
        <v>10.35</v>
      </c>
      <c r="F1796">
        <f>IFERROR(__xludf.DUMMYFUNCTION("""COMPUTED_VALUE"""),19.44)</f>
        <v>19.44</v>
      </c>
      <c r="G1796">
        <f>IFERROR(__xludf.DUMMYFUNCTION("""COMPUTED_VALUE"""),0.0)</f>
        <v>0</v>
      </c>
    </row>
    <row r="1797">
      <c r="A1797">
        <f>IFERROR(__xludf.DUMMYFUNCTION("""COMPUTED_VALUE"""),172958.0)</f>
        <v>172958</v>
      </c>
      <c r="B1797" t="str">
        <f>IFERROR(__xludf.DUMMYFUNCTION("""COMPUTED_VALUE"""),"Bratwurst Pork Beef And Turkey Lite Smoked")</f>
        <v>Bratwurst Pork Beef And Turkey Lite Smoked</v>
      </c>
      <c r="C1797" t="str">
        <f>IFERROR(__xludf.DUMMYFUNCTION("""COMPUTED_VALUE"""),"Meats")</f>
        <v>Meats</v>
      </c>
      <c r="D1797">
        <f>IFERROR(__xludf.DUMMYFUNCTION("""COMPUTED_VALUE"""),186.0)</f>
        <v>186</v>
      </c>
      <c r="E1797">
        <f>IFERROR(__xludf.DUMMYFUNCTION("""COMPUTED_VALUE"""),13.53)</f>
        <v>13.53</v>
      </c>
      <c r="F1797">
        <f>IFERROR(__xludf.DUMMYFUNCTION("""COMPUTED_VALUE"""),14.45)</f>
        <v>14.45</v>
      </c>
      <c r="G1797">
        <f>IFERROR(__xludf.DUMMYFUNCTION("""COMPUTED_VALUE"""),1.62)</f>
        <v>1.62</v>
      </c>
    </row>
    <row r="1798">
      <c r="A1798">
        <f>IFERROR(__xludf.DUMMYFUNCTION("""COMPUTED_VALUE"""),172959.0)</f>
        <v>172959</v>
      </c>
      <c r="B1798" t="str">
        <f>IFERROR(__xludf.DUMMYFUNCTION("""COMPUTED_VALUE"""),"Lowfat Pastrami")</f>
        <v>Lowfat Pastrami</v>
      </c>
      <c r="C1798" t="str">
        <f>IFERROR(__xludf.DUMMYFUNCTION("""COMPUTED_VALUE"""),"Meats")</f>
        <v>Meats</v>
      </c>
      <c r="D1798">
        <f>IFERROR(__xludf.DUMMYFUNCTION("""COMPUTED_VALUE"""),95.0)</f>
        <v>95</v>
      </c>
      <c r="E1798">
        <f>IFERROR(__xludf.DUMMYFUNCTION("""COMPUTED_VALUE"""),1.16)</f>
        <v>1.16</v>
      </c>
      <c r="F1798">
        <f>IFERROR(__xludf.DUMMYFUNCTION("""COMPUTED_VALUE"""),19.6)</f>
        <v>19.6</v>
      </c>
      <c r="G1798">
        <f>IFERROR(__xludf.DUMMYFUNCTION("""COMPUTED_VALUE"""),1.54)</f>
        <v>1.54</v>
      </c>
    </row>
    <row r="1799">
      <c r="A1799">
        <f>IFERROR(__xludf.DUMMYFUNCTION("""COMPUTED_VALUE"""),172960.0)</f>
        <v>172960</v>
      </c>
      <c r="B1799" t="str">
        <f>IFERROR(__xludf.DUMMYFUNCTION("""COMPUTED_VALUE"""),"Yachtwurst With Pistachio Nuts Cooked")</f>
        <v>Yachtwurst With Pistachio Nuts Cooked</v>
      </c>
      <c r="C1799" t="str">
        <f>IFERROR(__xludf.DUMMYFUNCTION("""COMPUTED_VALUE"""),"Meats")</f>
        <v>Meats</v>
      </c>
      <c r="D1799">
        <f>IFERROR(__xludf.DUMMYFUNCTION("""COMPUTED_VALUE"""),268.0)</f>
        <v>268</v>
      </c>
      <c r="E1799">
        <f>IFERROR(__xludf.DUMMYFUNCTION("""COMPUTED_VALUE"""),22.6)</f>
        <v>22.6</v>
      </c>
      <c r="F1799">
        <f>IFERROR(__xludf.DUMMYFUNCTION("""COMPUTED_VALUE"""),14.8)</f>
        <v>14.8</v>
      </c>
      <c r="G1799">
        <f>IFERROR(__xludf.DUMMYFUNCTION("""COMPUTED_VALUE"""),1.4)</f>
        <v>1.4</v>
      </c>
    </row>
    <row r="1800">
      <c r="A1800">
        <f>IFERROR(__xludf.DUMMYFUNCTION("""COMPUTED_VALUE"""),172961.0)</f>
        <v>172961</v>
      </c>
      <c r="B1800" t="str">
        <f>IFERROR(__xludf.DUMMYFUNCTION("""COMPUTED_VALUE"""),"Beerwurst Pork And Beef")</f>
        <v>Beerwurst Pork And Beef</v>
      </c>
      <c r="C1800" t="str">
        <f>IFERROR(__xludf.DUMMYFUNCTION("""COMPUTED_VALUE"""),"Meats")</f>
        <v>Meats</v>
      </c>
      <c r="D1800">
        <f>IFERROR(__xludf.DUMMYFUNCTION("""COMPUTED_VALUE"""),276.0)</f>
        <v>276</v>
      </c>
      <c r="E1800">
        <f>IFERROR(__xludf.DUMMYFUNCTION("""COMPUTED_VALUE"""),22.53)</f>
        <v>22.53</v>
      </c>
      <c r="F1800">
        <f>IFERROR(__xludf.DUMMYFUNCTION("""COMPUTED_VALUE"""),14.0)</f>
        <v>14</v>
      </c>
      <c r="G1800">
        <f>IFERROR(__xludf.DUMMYFUNCTION("""COMPUTED_VALUE"""),4.27)</f>
        <v>4.27</v>
      </c>
    </row>
    <row r="1801">
      <c r="A1801">
        <f>IFERROR(__xludf.DUMMYFUNCTION("""COMPUTED_VALUE"""),172962.0)</f>
        <v>172962</v>
      </c>
      <c r="B1801" t="str">
        <f>IFERROR(__xludf.DUMMYFUNCTION("""COMPUTED_VALUE"""),"Chicken Breast Fat-Free Mesquite Flavor Sliced")</f>
        <v>Chicken Breast Fat-Free Mesquite Flavor Sliced</v>
      </c>
      <c r="C1801" t="str">
        <f>IFERROR(__xludf.DUMMYFUNCTION("""COMPUTED_VALUE"""),"Meats")</f>
        <v>Meats</v>
      </c>
      <c r="D1801">
        <f>IFERROR(__xludf.DUMMYFUNCTION("""COMPUTED_VALUE"""),80.0)</f>
        <v>80</v>
      </c>
      <c r="E1801">
        <f>IFERROR(__xludf.DUMMYFUNCTION("""COMPUTED_VALUE"""),0.39)</f>
        <v>0.39</v>
      </c>
      <c r="F1801">
        <f>IFERROR(__xludf.DUMMYFUNCTION("""COMPUTED_VALUE"""),16.8)</f>
        <v>16.8</v>
      </c>
      <c r="G1801">
        <f>IFERROR(__xludf.DUMMYFUNCTION("""COMPUTED_VALUE"""),2.25)</f>
        <v>2.25</v>
      </c>
    </row>
    <row r="1802">
      <c r="A1802">
        <f>IFERROR(__xludf.DUMMYFUNCTION("""COMPUTED_VALUE"""),172963.0)</f>
        <v>172963</v>
      </c>
      <c r="B1802" t="str">
        <f>IFERROR(__xludf.DUMMYFUNCTION("""COMPUTED_VALUE"""),"Chicken Breast Oven-Roasted Fat-Free Sliced")</f>
        <v>Chicken Breast Oven-Roasted Fat-Free Sliced</v>
      </c>
      <c r="C1802" t="str">
        <f>IFERROR(__xludf.DUMMYFUNCTION("""COMPUTED_VALUE"""),"Meats")</f>
        <v>Meats</v>
      </c>
      <c r="D1802">
        <f>IFERROR(__xludf.DUMMYFUNCTION("""COMPUTED_VALUE"""),79.0)</f>
        <v>79</v>
      </c>
      <c r="E1802">
        <f>IFERROR(__xludf.DUMMYFUNCTION("""COMPUTED_VALUE"""),0.39)</f>
        <v>0.39</v>
      </c>
      <c r="F1802">
        <f>IFERROR(__xludf.DUMMYFUNCTION("""COMPUTED_VALUE"""),16.79)</f>
        <v>16.79</v>
      </c>
      <c r="G1802">
        <f>IFERROR(__xludf.DUMMYFUNCTION("""COMPUTED_VALUE"""),2.17)</f>
        <v>2.17</v>
      </c>
    </row>
    <row r="1803">
      <c r="A1803">
        <f>IFERROR(__xludf.DUMMYFUNCTION("""COMPUTED_VALUE"""),172964.0)</f>
        <v>172964</v>
      </c>
      <c r="B1803" t="str">
        <f>IFERROR(__xludf.DUMMYFUNCTION("""COMPUTED_VALUE"""),"Frankfurter Pork")</f>
        <v>Frankfurter Pork</v>
      </c>
      <c r="C1803" t="str">
        <f>IFERROR(__xludf.DUMMYFUNCTION("""COMPUTED_VALUE"""),"Meats")</f>
        <v>Meats</v>
      </c>
      <c r="D1803">
        <f>IFERROR(__xludf.DUMMYFUNCTION("""COMPUTED_VALUE"""),269.0)</f>
        <v>269</v>
      </c>
      <c r="E1803">
        <f>IFERROR(__xludf.DUMMYFUNCTION("""COMPUTED_VALUE"""),23.68)</f>
        <v>23.68</v>
      </c>
      <c r="F1803">
        <f>IFERROR(__xludf.DUMMYFUNCTION("""COMPUTED_VALUE"""),12.81)</f>
        <v>12.81</v>
      </c>
      <c r="G1803">
        <f>IFERROR(__xludf.DUMMYFUNCTION("""COMPUTED_VALUE"""),0.28)</f>
        <v>0.28</v>
      </c>
    </row>
    <row r="1804">
      <c r="A1804">
        <f>IFERROR(__xludf.DUMMYFUNCTION("""COMPUTED_VALUE"""),172965.0)</f>
        <v>172965</v>
      </c>
      <c r="B1804" t="str">
        <f>IFERROR(__xludf.DUMMYFUNCTION("""COMPUTED_VALUE"""),"Macaroni And Cheese Loaf Chicken Pork And Beef")</f>
        <v>Macaroni And Cheese Loaf Chicken Pork And Beef</v>
      </c>
      <c r="C1804" t="str">
        <f>IFERROR(__xludf.DUMMYFUNCTION("""COMPUTED_VALUE"""),"Meats")</f>
        <v>Meats</v>
      </c>
      <c r="D1804">
        <f>IFERROR(__xludf.DUMMYFUNCTION("""COMPUTED_VALUE"""),228.0)</f>
        <v>228</v>
      </c>
      <c r="E1804">
        <f>IFERROR(__xludf.DUMMYFUNCTION("""COMPUTED_VALUE"""),14.96)</f>
        <v>14.96</v>
      </c>
      <c r="F1804">
        <f>IFERROR(__xludf.DUMMYFUNCTION("""COMPUTED_VALUE"""),11.76)</f>
        <v>11.76</v>
      </c>
      <c r="G1804">
        <f>IFERROR(__xludf.DUMMYFUNCTION("""COMPUTED_VALUE"""),11.63)</f>
        <v>11.63</v>
      </c>
    </row>
    <row r="1805">
      <c r="A1805">
        <f>IFERROR(__xludf.DUMMYFUNCTION("""COMPUTED_VALUE"""),172966.0)</f>
        <v>172966</v>
      </c>
      <c r="B1805" t="str">
        <f>IFERROR(__xludf.DUMMYFUNCTION("""COMPUTED_VALUE"""),"Salami Italian Pork And Beef Dry Sliced 50% Less Sodium")</f>
        <v>Salami Italian Pork And Beef Dry Sliced 50% Less Sodium</v>
      </c>
      <c r="C1805" t="str">
        <f>IFERROR(__xludf.DUMMYFUNCTION("""COMPUTED_VALUE"""),"Meats")</f>
        <v>Meats</v>
      </c>
      <c r="D1805">
        <f>IFERROR(__xludf.DUMMYFUNCTION("""COMPUTED_VALUE"""),350.0)</f>
        <v>350</v>
      </c>
      <c r="E1805">
        <f>IFERROR(__xludf.DUMMYFUNCTION("""COMPUTED_VALUE"""),26.4)</f>
        <v>26.4</v>
      </c>
      <c r="F1805">
        <f>IFERROR(__xludf.DUMMYFUNCTION("""COMPUTED_VALUE"""),21.8)</f>
        <v>21.8</v>
      </c>
      <c r="G1805">
        <f>IFERROR(__xludf.DUMMYFUNCTION("""COMPUTED_VALUE"""),6.4)</f>
        <v>6.4</v>
      </c>
    </row>
    <row r="1806">
      <c r="A1806">
        <f>IFERROR(__xludf.DUMMYFUNCTION("""COMPUTED_VALUE"""),172967.0)</f>
        <v>172967</v>
      </c>
      <c r="B1806" t="str">
        <f>IFERROR(__xludf.DUMMYFUNCTION("""COMPUTED_VALUE"""),"Pate Truffle Flavor")</f>
        <v>Pate Truffle Flavor</v>
      </c>
      <c r="C1806" t="str">
        <f>IFERROR(__xludf.DUMMYFUNCTION("""COMPUTED_VALUE"""),"Meats")</f>
        <v>Meats</v>
      </c>
      <c r="D1806">
        <f>IFERROR(__xludf.DUMMYFUNCTION("""COMPUTED_VALUE"""),327.0)</f>
        <v>327</v>
      </c>
      <c r="E1806">
        <f>IFERROR(__xludf.DUMMYFUNCTION("""COMPUTED_VALUE"""),28.5)</f>
        <v>28.5</v>
      </c>
      <c r="F1806">
        <f>IFERROR(__xludf.DUMMYFUNCTION("""COMPUTED_VALUE"""),11.2)</f>
        <v>11.2</v>
      </c>
      <c r="G1806">
        <f>IFERROR(__xludf.DUMMYFUNCTION("""COMPUTED_VALUE"""),6.3)</f>
        <v>6.3</v>
      </c>
    </row>
    <row r="1807">
      <c r="A1807">
        <f>IFERROR(__xludf.DUMMYFUNCTION("""COMPUTED_VALUE"""),172968.0)</f>
        <v>172968</v>
      </c>
      <c r="B1807" t="str">
        <f>IFERROR(__xludf.DUMMYFUNCTION("""COMPUTED_VALUE"""),"Frankfurter Meat")</f>
        <v>Frankfurter Meat</v>
      </c>
      <c r="C1807" t="str">
        <f>IFERROR(__xludf.DUMMYFUNCTION("""COMPUTED_VALUE"""),"Meats")</f>
        <v>Meats</v>
      </c>
      <c r="D1807">
        <f>IFERROR(__xludf.DUMMYFUNCTION("""COMPUTED_VALUE"""),290.0)</f>
        <v>290</v>
      </c>
      <c r="E1807">
        <f>IFERROR(__xludf.DUMMYFUNCTION("""COMPUTED_VALUE"""),25.76)</f>
        <v>25.76</v>
      </c>
      <c r="F1807">
        <f>IFERROR(__xludf.DUMMYFUNCTION("""COMPUTED_VALUE"""),10.26)</f>
        <v>10.26</v>
      </c>
      <c r="G1807">
        <f>IFERROR(__xludf.DUMMYFUNCTION("""COMPUTED_VALUE"""),4.17)</f>
        <v>4.17</v>
      </c>
    </row>
    <row r="1808">
      <c r="A1808">
        <f>IFERROR(__xludf.DUMMYFUNCTION("""COMPUTED_VALUE"""),172969.0)</f>
        <v>172969</v>
      </c>
      <c r="B1808" t="str">
        <f>IFERROR(__xludf.DUMMYFUNCTION("""COMPUTED_VALUE"""),"Scrapple Pork")</f>
        <v>Scrapple Pork</v>
      </c>
      <c r="C1808" t="str">
        <f>IFERROR(__xludf.DUMMYFUNCTION("""COMPUTED_VALUE"""),"Meats")</f>
        <v>Meats</v>
      </c>
      <c r="D1808">
        <f>IFERROR(__xludf.DUMMYFUNCTION("""COMPUTED_VALUE"""),213.0)</f>
        <v>213</v>
      </c>
      <c r="E1808">
        <f>IFERROR(__xludf.DUMMYFUNCTION("""COMPUTED_VALUE"""),13.87)</f>
        <v>13.87</v>
      </c>
      <c r="F1808">
        <f>IFERROR(__xludf.DUMMYFUNCTION("""COMPUTED_VALUE"""),8.06)</f>
        <v>8.06</v>
      </c>
      <c r="G1808">
        <f>IFERROR(__xludf.DUMMYFUNCTION("""COMPUTED_VALUE"""),14.06)</f>
        <v>14.06</v>
      </c>
    </row>
    <row r="1809">
      <c r="A1809">
        <f>IFERROR(__xludf.DUMMYFUNCTION("""COMPUTED_VALUE"""),172970.0)</f>
        <v>172970</v>
      </c>
      <c r="B1809" t="str">
        <f>IFERROR(__xludf.DUMMYFUNCTION("""COMPUTED_VALUE"""),"Bologna Chicken Turkey Pork")</f>
        <v>Bologna Chicken Turkey Pork</v>
      </c>
      <c r="C1809" t="str">
        <f>IFERROR(__xludf.DUMMYFUNCTION("""COMPUTED_VALUE"""),"Meats")</f>
        <v>Meats</v>
      </c>
      <c r="D1809">
        <f>IFERROR(__xludf.DUMMYFUNCTION("""COMPUTED_VALUE"""),298.0)</f>
        <v>298</v>
      </c>
      <c r="E1809">
        <f>IFERROR(__xludf.DUMMYFUNCTION("""COMPUTED_VALUE"""),26.18)</f>
        <v>26.18</v>
      </c>
      <c r="F1809">
        <f>IFERROR(__xludf.DUMMYFUNCTION("""COMPUTED_VALUE"""),9.88)</f>
        <v>9.88</v>
      </c>
      <c r="G1809">
        <f>IFERROR(__xludf.DUMMYFUNCTION("""COMPUTED_VALUE"""),5.65)</f>
        <v>5.65</v>
      </c>
    </row>
    <row r="1810">
      <c r="A1810">
        <f>IFERROR(__xludf.DUMMYFUNCTION("""COMPUTED_VALUE"""),172971.0)</f>
        <v>172971</v>
      </c>
      <c r="B1810" t="str">
        <f>IFERROR(__xludf.DUMMYFUNCTION("""COMPUTED_VALUE"""),"Pork Sausage Link/patty Fully Cooked Microwaved")</f>
        <v>Pork Sausage Link/patty Fully Cooked Microwaved</v>
      </c>
      <c r="C1810" t="str">
        <f>IFERROR(__xludf.DUMMYFUNCTION("""COMPUTED_VALUE"""),"Meats")</f>
        <v>Meats</v>
      </c>
      <c r="D1810">
        <f>IFERROR(__xludf.DUMMYFUNCTION("""COMPUTED_VALUE"""),438.0)</f>
        <v>438</v>
      </c>
      <c r="E1810">
        <f>IFERROR(__xludf.DUMMYFUNCTION("""COMPUTED_VALUE"""),41.66)</f>
        <v>41.66</v>
      </c>
      <c r="F1810">
        <f>IFERROR(__xludf.DUMMYFUNCTION("""COMPUTED_VALUE"""),15.12)</f>
        <v>15.12</v>
      </c>
      <c r="G1810">
        <f>IFERROR(__xludf.DUMMYFUNCTION("""COMPUTED_VALUE"""),0.62)</f>
        <v>0.62</v>
      </c>
    </row>
    <row r="1811">
      <c r="A1811">
        <f>IFERROR(__xludf.DUMMYFUNCTION("""COMPUTED_VALUE"""),173046.0)</f>
        <v>173046</v>
      </c>
      <c r="B1811" t="str">
        <f>IFERROR(__xludf.DUMMYFUNCTION("""COMPUTED_VALUE"""),"Beef Top Loin Petite Roast Boneless Separable Lean Only Trimmed To 1/8 Inch Fat All Grades Cooked Roasted")</f>
        <v>Beef Top Loin Petite Roast Boneless Separable Lean Only Trimmed To 1/8 Inch Fat All Grades Cooked Roasted</v>
      </c>
      <c r="C1811" t="str">
        <f>IFERROR(__xludf.DUMMYFUNCTION("""COMPUTED_VALUE"""),"Meats")</f>
        <v>Meats</v>
      </c>
      <c r="D1811">
        <f>IFERROR(__xludf.DUMMYFUNCTION("""COMPUTED_VALUE"""),195.0)</f>
        <v>195</v>
      </c>
      <c r="E1811">
        <f>IFERROR(__xludf.DUMMYFUNCTION("""COMPUTED_VALUE"""),8.76)</f>
        <v>8.76</v>
      </c>
      <c r="F1811">
        <f>IFERROR(__xludf.DUMMYFUNCTION("""COMPUTED_VALUE"""),28.33)</f>
        <v>28.33</v>
      </c>
      <c r="G1811">
        <f>IFERROR(__xludf.DUMMYFUNCTION("""COMPUTED_VALUE"""),0.82)</f>
        <v>0.82</v>
      </c>
    </row>
    <row r="1812">
      <c r="A1812">
        <f>IFERROR(__xludf.DUMMYFUNCTION("""COMPUTED_VALUE"""),173047.0)</f>
        <v>173047</v>
      </c>
      <c r="B1812" t="str">
        <f>IFERROR(__xludf.DUMMYFUNCTION("""COMPUTED_VALUE"""),"Beef Top Loin Petite Roast Boneless Separable Lean Only Trimmed To 1/8 Inch Fat Choice Cooked Roasted")</f>
        <v>Beef Top Loin Petite Roast Boneless Separable Lean Only Trimmed To 1/8 Inch Fat Choice Cooked Roasted</v>
      </c>
      <c r="C1812" t="str">
        <f>IFERROR(__xludf.DUMMYFUNCTION("""COMPUTED_VALUE"""),"Meats")</f>
        <v>Meats</v>
      </c>
      <c r="D1812">
        <f>IFERROR(__xludf.DUMMYFUNCTION("""COMPUTED_VALUE"""),206.0)</f>
        <v>206</v>
      </c>
      <c r="E1812">
        <f>IFERROR(__xludf.DUMMYFUNCTION("""COMPUTED_VALUE"""),9.97)</f>
        <v>9.97</v>
      </c>
      <c r="F1812">
        <f>IFERROR(__xludf.DUMMYFUNCTION("""COMPUTED_VALUE"""),28.24)</f>
        <v>28.24</v>
      </c>
      <c r="G1812">
        <f>IFERROR(__xludf.DUMMYFUNCTION("""COMPUTED_VALUE"""),0.88)</f>
        <v>0.88</v>
      </c>
    </row>
    <row r="1813">
      <c r="A1813">
        <f>IFERROR(__xludf.DUMMYFUNCTION("""COMPUTED_VALUE"""),173048.0)</f>
        <v>173048</v>
      </c>
      <c r="B1813" t="str">
        <f>IFERROR(__xludf.DUMMYFUNCTION("""COMPUTED_VALUE"""),"Beef Top Loin Petite Roast Boneless Separable Lean Only Trimmed To 1/8 Inch Fat Select Cooked Roasted")</f>
        <v>Beef Top Loin Petite Roast Boneless Separable Lean Only Trimmed To 1/8 Inch Fat Select Cooked Roasted</v>
      </c>
      <c r="C1813" t="str">
        <f>IFERROR(__xludf.DUMMYFUNCTION("""COMPUTED_VALUE"""),"Meats")</f>
        <v>Meats</v>
      </c>
      <c r="D1813">
        <f>IFERROR(__xludf.DUMMYFUNCTION("""COMPUTED_VALUE"""),179.0)</f>
        <v>179</v>
      </c>
      <c r="E1813">
        <f>IFERROR(__xludf.DUMMYFUNCTION("""COMPUTED_VALUE"""),6.95)</f>
        <v>6.95</v>
      </c>
      <c r="F1813">
        <f>IFERROR(__xludf.DUMMYFUNCTION("""COMPUTED_VALUE"""),28.48)</f>
        <v>28.48</v>
      </c>
      <c r="G1813">
        <f>IFERROR(__xludf.DUMMYFUNCTION("""COMPUTED_VALUE"""),0.74)</f>
        <v>0.74</v>
      </c>
    </row>
    <row r="1814">
      <c r="A1814">
        <f>IFERROR(__xludf.DUMMYFUNCTION("""COMPUTED_VALUE"""),173049.0)</f>
        <v>173049</v>
      </c>
      <c r="B1814" t="str">
        <f>IFERROR(__xludf.DUMMYFUNCTION("""COMPUTED_VALUE"""),"Beef Top Loin Petite Roast/filet Boneless Separable Lean Only Trimmed To 1/8 Inch Fat All Grades Raw")</f>
        <v>Beef Top Loin Petite Roast/filet Boneless Separable Lean Only Trimmed To 1/8 Inch Fat All Grades Raw</v>
      </c>
      <c r="C1814" t="str">
        <f>IFERROR(__xludf.DUMMYFUNCTION("""COMPUTED_VALUE"""),"Meats")</f>
        <v>Meats</v>
      </c>
      <c r="D1814">
        <f>IFERROR(__xludf.DUMMYFUNCTION("""COMPUTED_VALUE"""),143.0)</f>
        <v>143</v>
      </c>
      <c r="E1814">
        <f>IFERROR(__xludf.DUMMYFUNCTION("""COMPUTED_VALUE"""),5.84)</f>
        <v>5.84</v>
      </c>
      <c r="F1814">
        <f>IFERROR(__xludf.DUMMYFUNCTION("""COMPUTED_VALUE"""),22.61)</f>
        <v>22.61</v>
      </c>
      <c r="G1814">
        <f>IFERROR(__xludf.DUMMYFUNCTION("""COMPUTED_VALUE"""),0.0)</f>
        <v>0</v>
      </c>
    </row>
    <row r="1815">
      <c r="A1815">
        <f>IFERROR(__xludf.DUMMYFUNCTION("""COMPUTED_VALUE"""),173050.0)</f>
        <v>173050</v>
      </c>
      <c r="B1815" t="str">
        <f>IFERROR(__xludf.DUMMYFUNCTION("""COMPUTED_VALUE"""),"Beef Loin Top Sirloin Filet Boneless Separable Lean Only Trimmed To 0 Inch Fat Select Cooked Grilled")</f>
        <v>Beef Loin Top Sirloin Filet Boneless Separable Lean Only Trimmed To 0 Inch Fat Select Cooked Grilled</v>
      </c>
      <c r="C1815" t="str">
        <f>IFERROR(__xludf.DUMMYFUNCTION("""COMPUTED_VALUE"""),"Meats")</f>
        <v>Meats</v>
      </c>
      <c r="D1815">
        <f>IFERROR(__xludf.DUMMYFUNCTION("""COMPUTED_VALUE"""),165.0)</f>
        <v>165</v>
      </c>
      <c r="E1815">
        <f>IFERROR(__xludf.DUMMYFUNCTION("""COMPUTED_VALUE"""),4.68)</f>
        <v>4.68</v>
      </c>
      <c r="F1815">
        <f>IFERROR(__xludf.DUMMYFUNCTION("""COMPUTED_VALUE"""),30.78)</f>
        <v>30.78</v>
      </c>
      <c r="G1815">
        <f>IFERROR(__xludf.DUMMYFUNCTION("""COMPUTED_VALUE"""),0.0)</f>
        <v>0</v>
      </c>
    </row>
    <row r="1816">
      <c r="A1816">
        <f>IFERROR(__xludf.DUMMYFUNCTION("""COMPUTED_VALUE"""),173051.0)</f>
        <v>173051</v>
      </c>
      <c r="B1816" t="str">
        <f>IFERROR(__xludf.DUMMYFUNCTION("""COMPUTED_VALUE"""),"Beef Loin Top Sirloin Petite Roast Boneless Separable Lean Only Trimmed To 0 Inch Fat All Grades Cooked Roasted")</f>
        <v>Beef Loin Top Sirloin Petite Roast Boneless Separable Lean Only Trimmed To 0 Inch Fat All Grades Cooked Roasted</v>
      </c>
      <c r="C1816" t="str">
        <f>IFERROR(__xludf.DUMMYFUNCTION("""COMPUTED_VALUE"""),"Meats")</f>
        <v>Meats</v>
      </c>
      <c r="D1816">
        <f>IFERROR(__xludf.DUMMYFUNCTION("""COMPUTED_VALUE"""),170.0)</f>
        <v>170</v>
      </c>
      <c r="E1816">
        <f>IFERROR(__xludf.DUMMYFUNCTION("""COMPUTED_VALUE"""),5.92)</f>
        <v>5.92</v>
      </c>
      <c r="F1816">
        <f>IFERROR(__xludf.DUMMYFUNCTION("""COMPUTED_VALUE"""),29.12)</f>
        <v>29.12</v>
      </c>
      <c r="G1816">
        <f>IFERROR(__xludf.DUMMYFUNCTION("""COMPUTED_VALUE"""),0.0)</f>
        <v>0</v>
      </c>
    </row>
    <row r="1817">
      <c r="A1817">
        <f>IFERROR(__xludf.DUMMYFUNCTION("""COMPUTED_VALUE"""),173052.0)</f>
        <v>173052</v>
      </c>
      <c r="B1817" t="str">
        <f>IFERROR(__xludf.DUMMYFUNCTION("""COMPUTED_VALUE"""),"Beef Loin Top Sirloin Petite Roast Boneless Separable Lean Only Trimmed To 0 Inch Fat Select Cooked Roasted")</f>
        <v>Beef Loin Top Sirloin Petite Roast Boneless Separable Lean Only Trimmed To 0 Inch Fat Select Cooked Roasted</v>
      </c>
      <c r="C1817" t="str">
        <f>IFERROR(__xludf.DUMMYFUNCTION("""COMPUTED_VALUE"""),"Meats")</f>
        <v>Meats</v>
      </c>
      <c r="D1817">
        <f>IFERROR(__xludf.DUMMYFUNCTION("""COMPUTED_VALUE"""),165.0)</f>
        <v>165</v>
      </c>
      <c r="E1817">
        <f>IFERROR(__xludf.DUMMYFUNCTION("""COMPUTED_VALUE"""),5.25)</f>
        <v>5.25</v>
      </c>
      <c r="F1817">
        <f>IFERROR(__xludf.DUMMYFUNCTION("""COMPUTED_VALUE"""),29.35)</f>
        <v>29.35</v>
      </c>
      <c r="G1817">
        <f>IFERROR(__xludf.DUMMYFUNCTION("""COMPUTED_VALUE"""),0.0)</f>
        <v>0</v>
      </c>
    </row>
    <row r="1818">
      <c r="A1818">
        <f>IFERROR(__xludf.DUMMYFUNCTION("""COMPUTED_VALUE"""),173053.0)</f>
        <v>173053</v>
      </c>
      <c r="B1818" t="str">
        <f>IFERROR(__xludf.DUMMYFUNCTION("""COMPUTED_VALUE"""),"Beef Loin Top Sirloin Petite Roast/filet Boneless Separable Lean Only Trimmed To 0 Inch Fat All Grades Raw")</f>
        <v>Beef Loin Top Sirloin Petite Roast/filet Boneless Separable Lean Only Trimmed To 0 Inch Fat All Grades Raw</v>
      </c>
      <c r="C1818" t="str">
        <f>IFERROR(__xludf.DUMMYFUNCTION("""COMPUTED_VALUE"""),"Meats")</f>
        <v>Meats</v>
      </c>
      <c r="D1818">
        <f>IFERROR(__xludf.DUMMYFUNCTION("""COMPUTED_VALUE"""),128.0)</f>
        <v>128</v>
      </c>
      <c r="E1818">
        <f>IFERROR(__xludf.DUMMYFUNCTION("""COMPUTED_VALUE"""),3.98)</f>
        <v>3.98</v>
      </c>
      <c r="F1818">
        <f>IFERROR(__xludf.DUMMYFUNCTION("""COMPUTED_VALUE"""),23.04)</f>
        <v>23.04</v>
      </c>
      <c r="G1818">
        <f>IFERROR(__xludf.DUMMYFUNCTION("""COMPUTED_VALUE"""),0.0)</f>
        <v>0</v>
      </c>
    </row>
    <row r="1819">
      <c r="A1819">
        <f>IFERROR(__xludf.DUMMYFUNCTION("""COMPUTED_VALUE"""),173054.0)</f>
        <v>173054</v>
      </c>
      <c r="B1819" t="str">
        <f>IFERROR(__xludf.DUMMYFUNCTION("""COMPUTED_VALUE"""),"Beef Ribeye Cap Steak Boneless Separable Lean Only Trimmed To 0 Inch Fat All Grades Cooked Grilled")</f>
        <v>Beef Ribeye Cap Steak Boneless Separable Lean Only Trimmed To 0 Inch Fat All Grades Cooked Grilled</v>
      </c>
      <c r="C1819" t="str">
        <f>IFERROR(__xludf.DUMMYFUNCTION("""COMPUTED_VALUE"""),"Meats")</f>
        <v>Meats</v>
      </c>
      <c r="D1819">
        <f>IFERROR(__xludf.DUMMYFUNCTION("""COMPUTED_VALUE"""),246.0)</f>
        <v>246</v>
      </c>
      <c r="E1819">
        <f>IFERROR(__xludf.DUMMYFUNCTION("""COMPUTED_VALUE"""),15.7)</f>
        <v>15.7</v>
      </c>
      <c r="F1819">
        <f>IFERROR(__xludf.DUMMYFUNCTION("""COMPUTED_VALUE"""),24.66)</f>
        <v>24.66</v>
      </c>
      <c r="G1819">
        <f>IFERROR(__xludf.DUMMYFUNCTION("""COMPUTED_VALUE"""),1.53)</f>
        <v>1.53</v>
      </c>
    </row>
    <row r="1820">
      <c r="A1820">
        <f>IFERROR(__xludf.DUMMYFUNCTION("""COMPUTED_VALUE"""),173055.0)</f>
        <v>173055</v>
      </c>
      <c r="B1820" t="str">
        <f>IFERROR(__xludf.DUMMYFUNCTION("""COMPUTED_VALUE"""),"Beef Ribeye Cap Steak Boneless Separable Lean Only Trimmed To 0 Inch Fat Choice Cooked Grilled")</f>
        <v>Beef Ribeye Cap Steak Boneless Separable Lean Only Trimmed To 0 Inch Fat Choice Cooked Grilled</v>
      </c>
      <c r="C1820" t="str">
        <f>IFERROR(__xludf.DUMMYFUNCTION("""COMPUTED_VALUE"""),"Meats")</f>
        <v>Meats</v>
      </c>
      <c r="D1820">
        <f>IFERROR(__xludf.DUMMYFUNCTION("""COMPUTED_VALUE"""),259.0)</f>
        <v>259</v>
      </c>
      <c r="E1820">
        <f>IFERROR(__xludf.DUMMYFUNCTION("""COMPUTED_VALUE"""),17.21)</f>
        <v>17.21</v>
      </c>
      <c r="F1820">
        <f>IFERROR(__xludf.DUMMYFUNCTION("""COMPUTED_VALUE"""),24.24)</f>
        <v>24.24</v>
      </c>
      <c r="G1820">
        <f>IFERROR(__xludf.DUMMYFUNCTION("""COMPUTED_VALUE"""),1.81)</f>
        <v>1.81</v>
      </c>
    </row>
    <row r="1821">
      <c r="A1821">
        <f>IFERROR(__xludf.DUMMYFUNCTION("""COMPUTED_VALUE"""),173056.0)</f>
        <v>173056</v>
      </c>
      <c r="B1821" t="str">
        <f>IFERROR(__xludf.DUMMYFUNCTION("""COMPUTED_VALUE"""),"Beef Ribeye Cap Steak Boneless Separable Lean Only Trimmed To 0 Inch Fat Select Cooked Grilled")</f>
        <v>Beef Ribeye Cap Steak Boneless Separable Lean Only Trimmed To 0 Inch Fat Select Cooked Grilled</v>
      </c>
      <c r="C1821" t="str">
        <f>IFERROR(__xludf.DUMMYFUNCTION("""COMPUTED_VALUE"""),"Meats")</f>
        <v>Meats</v>
      </c>
      <c r="D1821">
        <f>IFERROR(__xludf.DUMMYFUNCTION("""COMPUTED_VALUE"""),226.0)</f>
        <v>226</v>
      </c>
      <c r="E1821">
        <f>IFERROR(__xludf.DUMMYFUNCTION("""COMPUTED_VALUE"""),13.43)</f>
        <v>13.43</v>
      </c>
      <c r="F1821">
        <f>IFERROR(__xludf.DUMMYFUNCTION("""COMPUTED_VALUE"""),25.28)</f>
        <v>25.28</v>
      </c>
      <c r="G1821">
        <f>IFERROR(__xludf.DUMMYFUNCTION("""COMPUTED_VALUE"""),1.1)</f>
        <v>1.1</v>
      </c>
    </row>
    <row r="1822">
      <c r="A1822">
        <f>IFERROR(__xludf.DUMMYFUNCTION("""COMPUTED_VALUE"""),173057.0)</f>
        <v>173057</v>
      </c>
      <c r="B1822" t="str">
        <f>IFERROR(__xludf.DUMMYFUNCTION("""COMPUTED_VALUE"""),"Beef Ribeye Cap Steak Boneless Separable Lean Only Trimmed To 0 Inch Fat All Grades Raw")</f>
        <v>Beef Ribeye Cap Steak Boneless Separable Lean Only Trimmed To 0 Inch Fat All Grades Raw</v>
      </c>
      <c r="C1822" t="str">
        <f>IFERROR(__xludf.DUMMYFUNCTION("""COMPUTED_VALUE"""),"Meats")</f>
        <v>Meats</v>
      </c>
      <c r="D1822">
        <f>IFERROR(__xludf.DUMMYFUNCTION("""COMPUTED_VALUE"""),180.0)</f>
        <v>180</v>
      </c>
      <c r="E1822">
        <f>IFERROR(__xludf.DUMMYFUNCTION("""COMPUTED_VALUE"""),10.6)</f>
        <v>10.6</v>
      </c>
      <c r="F1822">
        <f>IFERROR(__xludf.DUMMYFUNCTION("""COMPUTED_VALUE"""),19.7)</f>
        <v>19.7</v>
      </c>
      <c r="G1822">
        <f>IFERROR(__xludf.DUMMYFUNCTION("""COMPUTED_VALUE"""),1.51)</f>
        <v>1.51</v>
      </c>
    </row>
    <row r="1823">
      <c r="A1823">
        <f>IFERROR(__xludf.DUMMYFUNCTION("""COMPUTED_VALUE"""),173058.0)</f>
        <v>173058</v>
      </c>
      <c r="B1823" t="str">
        <f>IFERROR(__xludf.DUMMYFUNCTION("""COMPUTED_VALUE"""),"Beef Ribeye Petite Roast Boneless Separable Lean Only Trimmed To 0 Inch Fat All Grades Cooked Roasted")</f>
        <v>Beef Ribeye Petite Roast Boneless Separable Lean Only Trimmed To 0 Inch Fat All Grades Cooked Roasted</v>
      </c>
      <c r="C1823" t="str">
        <f>IFERROR(__xludf.DUMMYFUNCTION("""COMPUTED_VALUE"""),"Meats")</f>
        <v>Meats</v>
      </c>
      <c r="D1823">
        <f>IFERROR(__xludf.DUMMYFUNCTION("""COMPUTED_VALUE"""),178.0)</f>
        <v>178</v>
      </c>
      <c r="E1823">
        <f>IFERROR(__xludf.DUMMYFUNCTION("""COMPUTED_VALUE"""),7.31)</f>
        <v>7.31</v>
      </c>
      <c r="F1823">
        <f>IFERROR(__xludf.DUMMYFUNCTION("""COMPUTED_VALUE"""),28.15)</f>
        <v>28.15</v>
      </c>
      <c r="G1823">
        <f>IFERROR(__xludf.DUMMYFUNCTION("""COMPUTED_VALUE"""),0.0)</f>
        <v>0</v>
      </c>
    </row>
    <row r="1824">
      <c r="A1824">
        <f>IFERROR(__xludf.DUMMYFUNCTION("""COMPUTED_VALUE"""),173059.0)</f>
        <v>173059</v>
      </c>
      <c r="B1824" t="str">
        <f>IFERROR(__xludf.DUMMYFUNCTION("""COMPUTED_VALUE"""),"Beef Ribeye Petite Roast Boneless Separable Lean Only Trimmed To 0 Inch Fat Choice Cooked Roasted")</f>
        <v>Beef Ribeye Petite Roast Boneless Separable Lean Only Trimmed To 0 Inch Fat Choice Cooked Roasted</v>
      </c>
      <c r="C1824" t="str">
        <f>IFERROR(__xludf.DUMMYFUNCTION("""COMPUTED_VALUE"""),"Meats")</f>
        <v>Meats</v>
      </c>
      <c r="D1824">
        <f>IFERROR(__xludf.DUMMYFUNCTION("""COMPUTED_VALUE"""),188.0)</f>
        <v>188</v>
      </c>
      <c r="E1824">
        <f>IFERROR(__xludf.DUMMYFUNCTION("""COMPUTED_VALUE"""),8.42)</f>
        <v>8.42</v>
      </c>
      <c r="F1824">
        <f>IFERROR(__xludf.DUMMYFUNCTION("""COMPUTED_VALUE"""),28.0)</f>
        <v>28</v>
      </c>
      <c r="G1824">
        <f>IFERROR(__xludf.DUMMYFUNCTION("""COMPUTED_VALUE"""),0.0)</f>
        <v>0</v>
      </c>
    </row>
    <row r="1825">
      <c r="A1825">
        <f>IFERROR(__xludf.DUMMYFUNCTION("""COMPUTED_VALUE"""),173060.0)</f>
        <v>173060</v>
      </c>
      <c r="B1825" t="str">
        <f>IFERROR(__xludf.DUMMYFUNCTION("""COMPUTED_VALUE"""),"Beef Ribeye Petite Roast Boneless Separable Lean Only Trimmed To 0 Inch Fat Select Cooked Roasted")</f>
        <v>Beef Ribeye Petite Roast Boneless Separable Lean Only Trimmed To 0 Inch Fat Select Cooked Roasted</v>
      </c>
      <c r="C1825" t="str">
        <f>IFERROR(__xludf.DUMMYFUNCTION("""COMPUTED_VALUE"""),"Meats")</f>
        <v>Meats</v>
      </c>
      <c r="D1825">
        <f>IFERROR(__xludf.DUMMYFUNCTION("""COMPUTED_VALUE"""),164.0)</f>
        <v>164</v>
      </c>
      <c r="E1825">
        <f>IFERROR(__xludf.DUMMYFUNCTION("""COMPUTED_VALUE"""),5.65)</f>
        <v>5.65</v>
      </c>
      <c r="F1825">
        <f>IFERROR(__xludf.DUMMYFUNCTION("""COMPUTED_VALUE"""),28.37)</f>
        <v>28.37</v>
      </c>
      <c r="G1825">
        <f>IFERROR(__xludf.DUMMYFUNCTION("""COMPUTED_VALUE"""),0.0)</f>
        <v>0</v>
      </c>
    </row>
    <row r="1826">
      <c r="A1826">
        <f>IFERROR(__xludf.DUMMYFUNCTION("""COMPUTED_VALUE"""),173061.0)</f>
        <v>173061</v>
      </c>
      <c r="B1826" t="str">
        <f>IFERROR(__xludf.DUMMYFUNCTION("""COMPUTED_VALUE"""),"Beef Loin Top Sirloin Cap Steak Boneless Separable Lean And Fat Trimmed To 1/8 Inch Fat All Grades Cooked Grilled")</f>
        <v>Beef Loin Top Sirloin Cap Steak Boneless Separable Lean And Fat Trimmed To 1/8 Inch Fat All Grades Cooked Grilled</v>
      </c>
      <c r="C1826" t="str">
        <f>IFERROR(__xludf.DUMMYFUNCTION("""COMPUTED_VALUE"""),"Meats")</f>
        <v>Meats</v>
      </c>
      <c r="D1826">
        <f>IFERROR(__xludf.DUMMYFUNCTION("""COMPUTED_VALUE"""),242.0)</f>
        <v>242</v>
      </c>
      <c r="E1826">
        <f>IFERROR(__xludf.DUMMYFUNCTION("""COMPUTED_VALUE"""),15.0)</f>
        <v>15</v>
      </c>
      <c r="F1826">
        <f>IFERROR(__xludf.DUMMYFUNCTION("""COMPUTED_VALUE"""),26.0)</f>
        <v>26</v>
      </c>
      <c r="G1826">
        <f>IFERROR(__xludf.DUMMYFUNCTION("""COMPUTED_VALUE"""),0.8)</f>
        <v>0.8</v>
      </c>
    </row>
    <row r="1827">
      <c r="A1827">
        <f>IFERROR(__xludf.DUMMYFUNCTION("""COMPUTED_VALUE"""),173062.0)</f>
        <v>173062</v>
      </c>
      <c r="B1827" t="str">
        <f>IFERROR(__xludf.DUMMYFUNCTION("""COMPUTED_VALUE"""),"Beef Loin Top Sirloin Cap Steak Boneless Separable Lean And Fat Trimmed To 1/8 Inch Fat Select Raw")</f>
        <v>Beef Loin Top Sirloin Cap Steak Boneless Separable Lean And Fat Trimmed To 1/8 Inch Fat Select Raw</v>
      </c>
      <c r="C1827" t="str">
        <f>IFERROR(__xludf.DUMMYFUNCTION("""COMPUTED_VALUE"""),"Meats")</f>
        <v>Meats</v>
      </c>
      <c r="D1827">
        <f>IFERROR(__xludf.DUMMYFUNCTION("""COMPUTED_VALUE"""),179.0)</f>
        <v>179</v>
      </c>
      <c r="E1827">
        <f>IFERROR(__xludf.DUMMYFUNCTION("""COMPUTED_VALUE"""),10.9)</f>
        <v>10.9</v>
      </c>
      <c r="F1827">
        <f>IFERROR(__xludf.DUMMYFUNCTION("""COMPUTED_VALUE"""),20.1)</f>
        <v>20.1</v>
      </c>
      <c r="G1827">
        <f>IFERROR(__xludf.DUMMYFUNCTION("""COMPUTED_VALUE"""),0.0)</f>
        <v>0</v>
      </c>
    </row>
    <row r="1828">
      <c r="A1828">
        <f>IFERROR(__xludf.DUMMYFUNCTION("""COMPUTED_VALUE"""),173063.0)</f>
        <v>173063</v>
      </c>
      <c r="B1828" t="str">
        <f>IFERROR(__xludf.DUMMYFUNCTION("""COMPUTED_VALUE"""),"Beef Top Loin Filet Boneless Separable Lean And Fat Trimmed To 1/8 Inch Fat All Grades Cooked Grilled")</f>
        <v>Beef Top Loin Filet Boneless Separable Lean And Fat Trimmed To 1/8 Inch Fat All Grades Cooked Grilled</v>
      </c>
      <c r="C1828" t="str">
        <f>IFERROR(__xludf.DUMMYFUNCTION("""COMPUTED_VALUE"""),"Meats")</f>
        <v>Meats</v>
      </c>
      <c r="D1828">
        <f>IFERROR(__xludf.DUMMYFUNCTION("""COMPUTED_VALUE"""),239.0)</f>
        <v>239</v>
      </c>
      <c r="E1828">
        <f>IFERROR(__xludf.DUMMYFUNCTION("""COMPUTED_VALUE"""),14.1)</f>
        <v>14.1</v>
      </c>
      <c r="F1828">
        <f>IFERROR(__xludf.DUMMYFUNCTION("""COMPUTED_VALUE"""),27.4)</f>
        <v>27.4</v>
      </c>
      <c r="G1828">
        <f>IFERROR(__xludf.DUMMYFUNCTION("""COMPUTED_VALUE"""),0.6)</f>
        <v>0.6</v>
      </c>
    </row>
    <row r="1829">
      <c r="A1829">
        <f>IFERROR(__xludf.DUMMYFUNCTION("""COMPUTED_VALUE"""),173064.0)</f>
        <v>173064</v>
      </c>
      <c r="B1829" t="str">
        <f>IFERROR(__xludf.DUMMYFUNCTION("""COMPUTED_VALUE"""),"Beef Top Loin Filet Boneless Separable Lean And Fat Trimmed To 1/8 Inch Fat Choice Cooked Grilled")</f>
        <v>Beef Top Loin Filet Boneless Separable Lean And Fat Trimmed To 1/8 Inch Fat Choice Cooked Grilled</v>
      </c>
      <c r="C1829" t="str">
        <f>IFERROR(__xludf.DUMMYFUNCTION("""COMPUTED_VALUE"""),"Meats")</f>
        <v>Meats</v>
      </c>
      <c r="D1829">
        <f>IFERROR(__xludf.DUMMYFUNCTION("""COMPUTED_VALUE"""),253.0)</f>
        <v>253</v>
      </c>
      <c r="E1829">
        <f>IFERROR(__xludf.DUMMYFUNCTION("""COMPUTED_VALUE"""),15.9)</f>
        <v>15.9</v>
      </c>
      <c r="F1829">
        <f>IFERROR(__xludf.DUMMYFUNCTION("""COMPUTED_VALUE"""),26.8)</f>
        <v>26.8</v>
      </c>
      <c r="G1829">
        <f>IFERROR(__xludf.DUMMYFUNCTION("""COMPUTED_VALUE"""),0.6)</f>
        <v>0.6</v>
      </c>
    </row>
    <row r="1830">
      <c r="A1830">
        <f>IFERROR(__xludf.DUMMYFUNCTION("""COMPUTED_VALUE"""),173065.0)</f>
        <v>173065</v>
      </c>
      <c r="B1830" t="str">
        <f>IFERROR(__xludf.DUMMYFUNCTION("""COMPUTED_VALUE"""),"Beef Top Loin Filet Boneless Separable Lean And Fat Trimmed To 1/8 Inch Fat Select Cooked Grilled")</f>
        <v>Beef Top Loin Filet Boneless Separable Lean And Fat Trimmed To 1/8 Inch Fat Select Cooked Grilled</v>
      </c>
      <c r="C1830" t="str">
        <f>IFERROR(__xludf.DUMMYFUNCTION("""COMPUTED_VALUE"""),"Meats")</f>
        <v>Meats</v>
      </c>
      <c r="D1830">
        <f>IFERROR(__xludf.DUMMYFUNCTION("""COMPUTED_VALUE"""),219.0)</f>
        <v>219</v>
      </c>
      <c r="E1830">
        <f>IFERROR(__xludf.DUMMYFUNCTION("""COMPUTED_VALUE"""),11.6)</f>
        <v>11.6</v>
      </c>
      <c r="F1830">
        <f>IFERROR(__xludf.DUMMYFUNCTION("""COMPUTED_VALUE"""),28.3)</f>
        <v>28.3</v>
      </c>
      <c r="G1830">
        <f>IFERROR(__xludf.DUMMYFUNCTION("""COMPUTED_VALUE"""),0.4)</f>
        <v>0.4</v>
      </c>
    </row>
    <row r="1831">
      <c r="A1831">
        <f>IFERROR(__xludf.DUMMYFUNCTION("""COMPUTED_VALUE"""),173066.0)</f>
        <v>173066</v>
      </c>
      <c r="B1831" t="str">
        <f>IFERROR(__xludf.DUMMYFUNCTION("""COMPUTED_VALUE"""),"Beef Top Loin Petite Roast/filet Boneless Separable Lean And Fat Trimmed To 1/8 Inch Fat Choice Raw")</f>
        <v>Beef Top Loin Petite Roast/filet Boneless Separable Lean And Fat Trimmed To 1/8 Inch Fat Choice Raw</v>
      </c>
      <c r="C1831" t="str">
        <f>IFERROR(__xludf.DUMMYFUNCTION("""COMPUTED_VALUE"""),"Meats")</f>
        <v>Meats</v>
      </c>
      <c r="D1831">
        <f>IFERROR(__xludf.DUMMYFUNCTION("""COMPUTED_VALUE"""),199.0)</f>
        <v>199</v>
      </c>
      <c r="E1831">
        <f>IFERROR(__xludf.DUMMYFUNCTION("""COMPUTED_VALUE"""),12.6)</f>
        <v>12.6</v>
      </c>
      <c r="F1831">
        <f>IFERROR(__xludf.DUMMYFUNCTION("""COMPUTED_VALUE"""),20.8)</f>
        <v>20.8</v>
      </c>
      <c r="G1831">
        <f>IFERROR(__xludf.DUMMYFUNCTION("""COMPUTED_VALUE"""),0.6)</f>
        <v>0.6</v>
      </c>
    </row>
    <row r="1832">
      <c r="A1832">
        <f>IFERROR(__xludf.DUMMYFUNCTION("""COMPUTED_VALUE"""),173067.0)</f>
        <v>173067</v>
      </c>
      <c r="B1832" t="str">
        <f>IFERROR(__xludf.DUMMYFUNCTION("""COMPUTED_VALUE"""),"Beef Top Loin Petite Roast/filet Boneless Separable Lean And Fat Trimmed To 1/8 Inch Fat Select Raw")</f>
        <v>Beef Top Loin Petite Roast/filet Boneless Separable Lean And Fat Trimmed To 1/8 Inch Fat Select Raw</v>
      </c>
      <c r="C1832" t="str">
        <f>IFERROR(__xludf.DUMMYFUNCTION("""COMPUTED_VALUE"""),"Meats")</f>
        <v>Meats</v>
      </c>
      <c r="D1832">
        <f>IFERROR(__xludf.DUMMYFUNCTION("""COMPUTED_VALUE"""),170.0)</f>
        <v>170</v>
      </c>
      <c r="E1832">
        <f>IFERROR(__xludf.DUMMYFUNCTION("""COMPUTED_VALUE"""),9.3)</f>
        <v>9.3</v>
      </c>
      <c r="F1832">
        <f>IFERROR(__xludf.DUMMYFUNCTION("""COMPUTED_VALUE"""),21.6)</f>
        <v>21.6</v>
      </c>
      <c r="G1832">
        <f>IFERROR(__xludf.DUMMYFUNCTION("""COMPUTED_VALUE"""),0.0)</f>
        <v>0</v>
      </c>
    </row>
    <row r="1833">
      <c r="A1833">
        <f>IFERROR(__xludf.DUMMYFUNCTION("""COMPUTED_VALUE"""),173068.0)</f>
        <v>173068</v>
      </c>
      <c r="B1833" t="str">
        <f>IFERROR(__xludf.DUMMYFUNCTION("""COMPUTED_VALUE"""),"Beef Australian Imported Grass-Fed Ground 85% Lean / 15% Fat Raw")</f>
        <v>Beef Australian Imported Grass-Fed Ground 85% Lean / 15% Fat Raw</v>
      </c>
      <c r="C1833" t="str">
        <f>IFERROR(__xludf.DUMMYFUNCTION("""COMPUTED_VALUE"""),"Meats")</f>
        <v>Meats</v>
      </c>
      <c r="D1833">
        <f>IFERROR(__xludf.DUMMYFUNCTION("""COMPUTED_VALUE"""),239.0)</f>
        <v>239</v>
      </c>
      <c r="E1833">
        <f>IFERROR(__xludf.DUMMYFUNCTION("""COMPUTED_VALUE"""),18.12)</f>
        <v>18.12</v>
      </c>
      <c r="F1833">
        <f>IFERROR(__xludf.DUMMYFUNCTION("""COMPUTED_VALUE"""),17.72)</f>
        <v>17.72</v>
      </c>
      <c r="G1833">
        <f>IFERROR(__xludf.DUMMYFUNCTION("""COMPUTED_VALUE"""),0.0)</f>
        <v>0</v>
      </c>
    </row>
    <row r="1834">
      <c r="A1834">
        <f>IFERROR(__xludf.DUMMYFUNCTION("""COMPUTED_VALUE"""),173069.0)</f>
        <v>173069</v>
      </c>
      <c r="B1834" t="str">
        <f>IFERROR(__xludf.DUMMYFUNCTION("""COMPUTED_VALUE"""),"Beef Loin Top Loin Steak Boneless Lip-On Separable Lean Only Trimmed To 1/8 Inch Fat Choice Cooked Grilled")</f>
        <v>Beef Loin Top Loin Steak Boneless Lip-On Separable Lean Only Trimmed To 1/8 Inch Fat Choice Cooked Grilled</v>
      </c>
      <c r="C1834" t="str">
        <f>IFERROR(__xludf.DUMMYFUNCTION("""COMPUTED_VALUE"""),"Meats")</f>
        <v>Meats</v>
      </c>
      <c r="D1834">
        <f>IFERROR(__xludf.DUMMYFUNCTION("""COMPUTED_VALUE"""),208.0)</f>
        <v>208</v>
      </c>
      <c r="E1834">
        <f>IFERROR(__xludf.DUMMYFUNCTION("""COMPUTED_VALUE"""),10.34)</f>
        <v>10.34</v>
      </c>
      <c r="F1834">
        <f>IFERROR(__xludf.DUMMYFUNCTION("""COMPUTED_VALUE"""),28.66)</f>
        <v>28.66</v>
      </c>
      <c r="G1834">
        <f>IFERROR(__xludf.DUMMYFUNCTION("""COMPUTED_VALUE"""),0.0)</f>
        <v>0</v>
      </c>
    </row>
    <row r="1835">
      <c r="A1835">
        <f>IFERROR(__xludf.DUMMYFUNCTION("""COMPUTED_VALUE"""),173070.0)</f>
        <v>173070</v>
      </c>
      <c r="B1835" t="str">
        <f>IFERROR(__xludf.DUMMYFUNCTION("""COMPUTED_VALUE"""),"Beef Loin Top Loin Steak Boneless Lip-On Separable Lean Only Trimmed To 1/8 Inch Fat Select Cooked Grilled")</f>
        <v>Beef Loin Top Loin Steak Boneless Lip-On Separable Lean Only Trimmed To 1/8 Inch Fat Select Cooked Grilled</v>
      </c>
      <c r="C1835" t="str">
        <f>IFERROR(__xludf.DUMMYFUNCTION("""COMPUTED_VALUE"""),"Meats")</f>
        <v>Meats</v>
      </c>
      <c r="D1835">
        <f>IFERROR(__xludf.DUMMYFUNCTION("""COMPUTED_VALUE"""),184.0)</f>
        <v>184</v>
      </c>
      <c r="E1835">
        <f>IFERROR(__xludf.DUMMYFUNCTION("""COMPUTED_VALUE"""),7.26)</f>
        <v>7.26</v>
      </c>
      <c r="F1835">
        <f>IFERROR(__xludf.DUMMYFUNCTION("""COMPUTED_VALUE"""),29.67)</f>
        <v>29.67</v>
      </c>
      <c r="G1835">
        <f>IFERROR(__xludf.DUMMYFUNCTION("""COMPUTED_VALUE"""),0.0)</f>
        <v>0</v>
      </c>
    </row>
    <row r="1836">
      <c r="A1836">
        <f>IFERROR(__xludf.DUMMYFUNCTION("""COMPUTED_VALUE"""),173071.0)</f>
        <v>173071</v>
      </c>
      <c r="B1836" t="str">
        <f>IFERROR(__xludf.DUMMYFUNCTION("""COMPUTED_VALUE"""),"Beef Loin Top Loin Steak Boneless Lip-On Separable Lean Only Trimmed To 1/8 Inch Fat All Grades Cooked Grilled")</f>
        <v>Beef Loin Top Loin Steak Boneless Lip-On Separable Lean Only Trimmed To 1/8 Inch Fat All Grades Cooked Grilled</v>
      </c>
      <c r="C1836" t="str">
        <f>IFERROR(__xludf.DUMMYFUNCTION("""COMPUTED_VALUE"""),"Meats")</f>
        <v>Meats</v>
      </c>
      <c r="D1836">
        <f>IFERROR(__xludf.DUMMYFUNCTION("""COMPUTED_VALUE"""),198.0)</f>
        <v>198</v>
      </c>
      <c r="E1836">
        <f>IFERROR(__xludf.DUMMYFUNCTION("""COMPUTED_VALUE"""),9.11)</f>
        <v>9.11</v>
      </c>
      <c r="F1836">
        <f>IFERROR(__xludf.DUMMYFUNCTION("""COMPUTED_VALUE"""),29.06)</f>
        <v>29.06</v>
      </c>
      <c r="G1836">
        <f>IFERROR(__xludf.DUMMYFUNCTION("""COMPUTED_VALUE"""),0.0)</f>
        <v>0</v>
      </c>
    </row>
    <row r="1837">
      <c r="A1837">
        <f>IFERROR(__xludf.DUMMYFUNCTION("""COMPUTED_VALUE"""),173072.0)</f>
        <v>173072</v>
      </c>
      <c r="B1837" t="str">
        <f>IFERROR(__xludf.DUMMYFUNCTION("""COMPUTED_VALUE"""),"Beef Loin Top Loin Steak Boneless Lip-On Separable Lean And Fat Trimmed To 1/8 Inch Fat Choice Raw")</f>
        <v>Beef Loin Top Loin Steak Boneless Lip-On Separable Lean And Fat Trimmed To 1/8 Inch Fat Choice Raw</v>
      </c>
      <c r="C1837" t="str">
        <f>IFERROR(__xludf.DUMMYFUNCTION("""COMPUTED_VALUE"""),"Meats")</f>
        <v>Meats</v>
      </c>
      <c r="D1837">
        <f>IFERROR(__xludf.DUMMYFUNCTION("""COMPUTED_VALUE"""),205.0)</f>
        <v>205</v>
      </c>
      <c r="E1837">
        <f>IFERROR(__xludf.DUMMYFUNCTION("""COMPUTED_VALUE"""),13.36)</f>
        <v>13.36</v>
      </c>
      <c r="F1837">
        <f>IFERROR(__xludf.DUMMYFUNCTION("""COMPUTED_VALUE"""),21.13)</f>
        <v>21.13</v>
      </c>
      <c r="G1837">
        <f>IFERROR(__xludf.DUMMYFUNCTION("""COMPUTED_VALUE"""),0.0)</f>
        <v>0</v>
      </c>
    </row>
    <row r="1838">
      <c r="A1838">
        <f>IFERROR(__xludf.DUMMYFUNCTION("""COMPUTED_VALUE"""),173073.0)</f>
        <v>173073</v>
      </c>
      <c r="B1838" t="str">
        <f>IFERROR(__xludf.DUMMYFUNCTION("""COMPUTED_VALUE"""),"Beef New Zealand Imported Brisket Point End Separable Lean Only Cooked Braised")</f>
        <v>Beef New Zealand Imported Brisket Point End Separable Lean Only Cooked Braised</v>
      </c>
      <c r="C1838" t="str">
        <f>IFERROR(__xludf.DUMMYFUNCTION("""COMPUTED_VALUE"""),"Meats")</f>
        <v>Meats</v>
      </c>
      <c r="D1838">
        <f>IFERROR(__xludf.DUMMYFUNCTION("""COMPUTED_VALUE"""),202.0)</f>
        <v>202</v>
      </c>
      <c r="E1838">
        <f>IFERROR(__xludf.DUMMYFUNCTION("""COMPUTED_VALUE"""),7.05)</f>
        <v>7.05</v>
      </c>
      <c r="F1838">
        <f>IFERROR(__xludf.DUMMYFUNCTION("""COMPUTED_VALUE"""),34.51)</f>
        <v>34.51</v>
      </c>
      <c r="G1838">
        <f>IFERROR(__xludf.DUMMYFUNCTION("""COMPUTED_VALUE"""),0.0)</f>
        <v>0</v>
      </c>
    </row>
    <row r="1839">
      <c r="A1839">
        <f>IFERROR(__xludf.DUMMYFUNCTION("""COMPUTED_VALUE"""),173074.0)</f>
        <v>173074</v>
      </c>
      <c r="B1839" t="str">
        <f>IFERROR(__xludf.DUMMYFUNCTION("""COMPUTED_VALUE"""),"Beef New Zealand Imported Brisket Point End Separable Lean Only Raw")</f>
        <v>Beef New Zealand Imported Brisket Point End Separable Lean Only Raw</v>
      </c>
      <c r="C1839" t="str">
        <f>IFERROR(__xludf.DUMMYFUNCTION("""COMPUTED_VALUE"""),"Meats")</f>
        <v>Meats</v>
      </c>
      <c r="D1839">
        <f>IFERROR(__xludf.DUMMYFUNCTION("""COMPUTED_VALUE"""),125.0)</f>
        <v>125</v>
      </c>
      <c r="E1839">
        <f>IFERROR(__xludf.DUMMYFUNCTION("""COMPUTED_VALUE"""),4.62)</f>
        <v>4.62</v>
      </c>
      <c r="F1839">
        <f>IFERROR(__xludf.DUMMYFUNCTION("""COMPUTED_VALUE"""),20.92)</f>
        <v>20.92</v>
      </c>
      <c r="G1839">
        <f>IFERROR(__xludf.DUMMYFUNCTION("""COMPUTED_VALUE"""),0.0)</f>
        <v>0</v>
      </c>
    </row>
    <row r="1840">
      <c r="A1840">
        <f>IFERROR(__xludf.DUMMYFUNCTION("""COMPUTED_VALUE"""),173075.0)</f>
        <v>173075</v>
      </c>
      <c r="B1840" t="str">
        <f>IFERROR(__xludf.DUMMYFUNCTION("""COMPUTED_VALUE"""),"Beef New Zealand Imported Chuck Eye Roll Separable Lean Only Raw")</f>
        <v>Beef New Zealand Imported Chuck Eye Roll Separable Lean Only Raw</v>
      </c>
      <c r="C1840" t="str">
        <f>IFERROR(__xludf.DUMMYFUNCTION("""COMPUTED_VALUE"""),"Meats")</f>
        <v>Meats</v>
      </c>
      <c r="D1840">
        <f>IFERROR(__xludf.DUMMYFUNCTION("""COMPUTED_VALUE"""),131.0)</f>
        <v>131</v>
      </c>
      <c r="E1840">
        <f>IFERROR(__xludf.DUMMYFUNCTION("""COMPUTED_VALUE"""),5.41)</f>
        <v>5.41</v>
      </c>
      <c r="F1840">
        <f>IFERROR(__xludf.DUMMYFUNCTION("""COMPUTED_VALUE"""),20.46)</f>
        <v>20.46</v>
      </c>
      <c r="G1840">
        <f>IFERROR(__xludf.DUMMYFUNCTION("""COMPUTED_VALUE"""),0.0)</f>
        <v>0</v>
      </c>
    </row>
    <row r="1841">
      <c r="A1841">
        <f>IFERROR(__xludf.DUMMYFUNCTION("""COMPUTED_VALUE"""),173076.0)</f>
        <v>173076</v>
      </c>
      <c r="B1841" t="str">
        <f>IFERROR(__xludf.DUMMYFUNCTION("""COMPUTED_VALUE"""),"Beef New Zealand Imported Chuck Eye Roll Separable Lean Only Cooked Braised")</f>
        <v>Beef New Zealand Imported Chuck Eye Roll Separable Lean Only Cooked Braised</v>
      </c>
      <c r="C1841" t="str">
        <f>IFERROR(__xludf.DUMMYFUNCTION("""COMPUTED_VALUE"""),"Meats")</f>
        <v>Meats</v>
      </c>
      <c r="D1841">
        <f>IFERROR(__xludf.DUMMYFUNCTION("""COMPUTED_VALUE"""),208.0)</f>
        <v>208</v>
      </c>
      <c r="E1841">
        <f>IFERROR(__xludf.DUMMYFUNCTION("""COMPUTED_VALUE"""),8.89)</f>
        <v>8.89</v>
      </c>
      <c r="F1841">
        <f>IFERROR(__xludf.DUMMYFUNCTION("""COMPUTED_VALUE"""),32.08)</f>
        <v>32.08</v>
      </c>
      <c r="G1841">
        <f>IFERROR(__xludf.DUMMYFUNCTION("""COMPUTED_VALUE"""),0.0)</f>
        <v>0</v>
      </c>
    </row>
    <row r="1842">
      <c r="A1842">
        <f>IFERROR(__xludf.DUMMYFUNCTION("""COMPUTED_VALUE"""),173077.0)</f>
        <v>173077</v>
      </c>
      <c r="B1842" t="str">
        <f>IFERROR(__xludf.DUMMYFUNCTION("""COMPUTED_VALUE"""),"Beef New Zealand Imported Flank Separable Lean Only Cooked Braised")</f>
        <v>Beef New Zealand Imported Flank Separable Lean Only Cooked Braised</v>
      </c>
      <c r="C1842" t="str">
        <f>IFERROR(__xludf.DUMMYFUNCTION("""COMPUTED_VALUE"""),"Meats")</f>
        <v>Meats</v>
      </c>
      <c r="D1842">
        <f>IFERROR(__xludf.DUMMYFUNCTION("""COMPUTED_VALUE"""),194.0)</f>
        <v>194</v>
      </c>
      <c r="E1842">
        <f>IFERROR(__xludf.DUMMYFUNCTION("""COMPUTED_VALUE"""),7.92)</f>
        <v>7.92</v>
      </c>
      <c r="F1842">
        <f>IFERROR(__xludf.DUMMYFUNCTION("""COMPUTED_VALUE"""),30.75)</f>
        <v>30.75</v>
      </c>
      <c r="G1842">
        <f>IFERROR(__xludf.DUMMYFUNCTION("""COMPUTED_VALUE"""),0.0)</f>
        <v>0</v>
      </c>
    </row>
    <row r="1843">
      <c r="A1843">
        <f>IFERROR(__xludf.DUMMYFUNCTION("""COMPUTED_VALUE"""),173078.0)</f>
        <v>173078</v>
      </c>
      <c r="B1843" t="str">
        <f>IFERROR(__xludf.DUMMYFUNCTION("""COMPUTED_VALUE"""),"Beef New Zealand Imported Flank Separable Lean Only Raw")</f>
        <v>Beef New Zealand Imported Flank Separable Lean Only Raw</v>
      </c>
      <c r="C1843" t="str">
        <f>IFERROR(__xludf.DUMMYFUNCTION("""COMPUTED_VALUE"""),"Meats")</f>
        <v>Meats</v>
      </c>
      <c r="D1843">
        <f>IFERROR(__xludf.DUMMYFUNCTION("""COMPUTED_VALUE"""),142.0)</f>
        <v>142</v>
      </c>
      <c r="E1843">
        <f>IFERROR(__xludf.DUMMYFUNCTION("""COMPUTED_VALUE"""),6.67)</f>
        <v>6.67</v>
      </c>
      <c r="F1843">
        <f>IFERROR(__xludf.DUMMYFUNCTION("""COMPUTED_VALUE"""),20.53)</f>
        <v>20.53</v>
      </c>
      <c r="G1843">
        <f>IFERROR(__xludf.DUMMYFUNCTION("""COMPUTED_VALUE"""),0.0)</f>
        <v>0</v>
      </c>
    </row>
    <row r="1844">
      <c r="A1844">
        <f>IFERROR(__xludf.DUMMYFUNCTION("""COMPUTED_VALUE"""),173079.0)</f>
        <v>173079</v>
      </c>
      <c r="B1844" t="str">
        <f>IFERROR(__xludf.DUMMYFUNCTION("""COMPUTED_VALUE"""),"Beef New Zealand Imported Flat Separable Lean Only Cooked Braised")</f>
        <v>Beef New Zealand Imported Flat Separable Lean Only Cooked Braised</v>
      </c>
      <c r="C1844" t="str">
        <f>IFERROR(__xludf.DUMMYFUNCTION("""COMPUTED_VALUE"""),"Meats")</f>
        <v>Meats</v>
      </c>
      <c r="D1844">
        <f>IFERROR(__xludf.DUMMYFUNCTION("""COMPUTED_VALUE"""),226.0)</f>
        <v>226</v>
      </c>
      <c r="E1844">
        <f>IFERROR(__xludf.DUMMYFUNCTION("""COMPUTED_VALUE"""),10.3)</f>
        <v>10.3</v>
      </c>
      <c r="F1844">
        <f>IFERROR(__xludf.DUMMYFUNCTION("""COMPUTED_VALUE"""),33.22)</f>
        <v>33.22</v>
      </c>
      <c r="G1844">
        <f>IFERROR(__xludf.DUMMYFUNCTION("""COMPUTED_VALUE"""),0.0)</f>
        <v>0</v>
      </c>
    </row>
    <row r="1845">
      <c r="A1845">
        <f>IFERROR(__xludf.DUMMYFUNCTION("""COMPUTED_VALUE"""),173080.0)</f>
        <v>173080</v>
      </c>
      <c r="B1845" t="str">
        <f>IFERROR(__xludf.DUMMYFUNCTION("""COMPUTED_VALUE"""),"Beef New Zealand Imported Flat Separable Lean Only Raw")</f>
        <v>Beef New Zealand Imported Flat Separable Lean Only Raw</v>
      </c>
      <c r="C1845" t="str">
        <f>IFERROR(__xludf.DUMMYFUNCTION("""COMPUTED_VALUE"""),"Meats")</f>
        <v>Meats</v>
      </c>
      <c r="D1845">
        <f>IFERROR(__xludf.DUMMYFUNCTION("""COMPUTED_VALUE"""),154.0)</f>
        <v>154</v>
      </c>
      <c r="E1845">
        <f>IFERROR(__xludf.DUMMYFUNCTION("""COMPUTED_VALUE"""),7.69)</f>
        <v>7.69</v>
      </c>
      <c r="F1845">
        <f>IFERROR(__xludf.DUMMYFUNCTION("""COMPUTED_VALUE"""),21.3)</f>
        <v>21.3</v>
      </c>
      <c r="G1845">
        <f>IFERROR(__xludf.DUMMYFUNCTION("""COMPUTED_VALUE"""),0.0)</f>
        <v>0</v>
      </c>
    </row>
    <row r="1846">
      <c r="A1846">
        <f>IFERROR(__xludf.DUMMYFUNCTION("""COMPUTED_VALUE"""),173081.0)</f>
        <v>173081</v>
      </c>
      <c r="B1846" t="str">
        <f>IFERROR(__xludf.DUMMYFUNCTION("""COMPUTED_VALUE"""),"Beef New Zealand Imported Variety Meats And By-Products Heart Cooked Boiled")</f>
        <v>Beef New Zealand Imported Variety Meats And By-Products Heart Cooked Boiled</v>
      </c>
      <c r="C1846" t="str">
        <f>IFERROR(__xludf.DUMMYFUNCTION("""COMPUTED_VALUE"""),"Meats")</f>
        <v>Meats</v>
      </c>
      <c r="D1846">
        <f>IFERROR(__xludf.DUMMYFUNCTION("""COMPUTED_VALUE"""),179.0)</f>
        <v>179</v>
      </c>
      <c r="E1846">
        <f>IFERROR(__xludf.DUMMYFUNCTION("""COMPUTED_VALUE"""),6.0)</f>
        <v>6</v>
      </c>
      <c r="F1846">
        <f>IFERROR(__xludf.DUMMYFUNCTION("""COMPUTED_VALUE"""),31.29)</f>
        <v>31.29</v>
      </c>
      <c r="G1846">
        <f>IFERROR(__xludf.DUMMYFUNCTION("""COMPUTED_VALUE"""),0.0)</f>
        <v>0</v>
      </c>
    </row>
    <row r="1847">
      <c r="A1847">
        <f>IFERROR(__xludf.DUMMYFUNCTION("""COMPUTED_VALUE"""),173082.0)</f>
        <v>173082</v>
      </c>
      <c r="B1847" t="str">
        <f>IFERROR(__xludf.DUMMYFUNCTION("""COMPUTED_VALUE"""),"Beef New Zealand Imported Intermuscular Fat Cooked")</f>
        <v>Beef New Zealand Imported Intermuscular Fat Cooked</v>
      </c>
      <c r="C1847" t="str">
        <f>IFERROR(__xludf.DUMMYFUNCTION("""COMPUTED_VALUE"""),"Meats")</f>
        <v>Meats</v>
      </c>
      <c r="D1847">
        <f>IFERROR(__xludf.DUMMYFUNCTION("""COMPUTED_VALUE"""),560.0)</f>
        <v>560</v>
      </c>
      <c r="E1847">
        <f>IFERROR(__xludf.DUMMYFUNCTION("""COMPUTED_VALUE"""),57.22)</f>
        <v>57.22</v>
      </c>
      <c r="F1847">
        <f>IFERROR(__xludf.DUMMYFUNCTION("""COMPUTED_VALUE"""),7.9)</f>
        <v>7.9</v>
      </c>
      <c r="G1847">
        <f>IFERROR(__xludf.DUMMYFUNCTION("""COMPUTED_VALUE"""),3.39)</f>
        <v>3.39</v>
      </c>
    </row>
    <row r="1848">
      <c r="A1848">
        <f>IFERROR(__xludf.DUMMYFUNCTION("""COMPUTED_VALUE"""),173083.0)</f>
        <v>173083</v>
      </c>
      <c r="B1848" t="str">
        <f>IFERROR(__xludf.DUMMYFUNCTION("""COMPUTED_VALUE"""),"Beef New Zealand Imported Intermuscular Fat Raw")</f>
        <v>Beef New Zealand Imported Intermuscular Fat Raw</v>
      </c>
      <c r="C1848" t="str">
        <f>IFERROR(__xludf.DUMMYFUNCTION("""COMPUTED_VALUE"""),"Meats")</f>
        <v>Meats</v>
      </c>
      <c r="D1848">
        <f>IFERROR(__xludf.DUMMYFUNCTION("""COMPUTED_VALUE"""),602.0)</f>
        <v>602</v>
      </c>
      <c r="E1848">
        <f>IFERROR(__xludf.DUMMYFUNCTION("""COMPUTED_VALUE"""),63.78)</f>
        <v>63.78</v>
      </c>
      <c r="F1848">
        <f>IFERROR(__xludf.DUMMYFUNCTION("""COMPUTED_VALUE"""),6.97)</f>
        <v>6.97</v>
      </c>
      <c r="G1848">
        <f>IFERROR(__xludf.DUMMYFUNCTION("""COMPUTED_VALUE"""),0.01)</f>
        <v>0.01</v>
      </c>
    </row>
    <row r="1849">
      <c r="A1849">
        <f>IFERROR(__xludf.DUMMYFUNCTION("""COMPUTED_VALUE"""),173084.0)</f>
        <v>173084</v>
      </c>
      <c r="B1849" t="str">
        <f>IFERROR(__xludf.DUMMYFUNCTION("""COMPUTED_VALUE"""),"Beef New Zealand Imported Variety Meats And By-Products Kidney Cooked Boiled")</f>
        <v>Beef New Zealand Imported Variety Meats And By-Products Kidney Cooked Boiled</v>
      </c>
      <c r="C1849" t="str">
        <f>IFERROR(__xludf.DUMMYFUNCTION("""COMPUTED_VALUE"""),"Meats")</f>
        <v>Meats</v>
      </c>
      <c r="D1849">
        <f>IFERROR(__xludf.DUMMYFUNCTION("""COMPUTED_VALUE"""),157.0)</f>
        <v>157</v>
      </c>
      <c r="E1849">
        <f>IFERROR(__xludf.DUMMYFUNCTION("""COMPUTED_VALUE"""),5.27)</f>
        <v>5.27</v>
      </c>
      <c r="F1849">
        <f>IFERROR(__xludf.DUMMYFUNCTION("""COMPUTED_VALUE"""),27.28)</f>
        <v>27.28</v>
      </c>
      <c r="G1849">
        <f>IFERROR(__xludf.DUMMYFUNCTION("""COMPUTED_VALUE"""),0.0)</f>
        <v>0</v>
      </c>
    </row>
    <row r="1850">
      <c r="A1850">
        <f>IFERROR(__xludf.DUMMYFUNCTION("""COMPUTED_VALUE"""),173085.0)</f>
        <v>173085</v>
      </c>
      <c r="B1850" t="str">
        <f>IFERROR(__xludf.DUMMYFUNCTION("""COMPUTED_VALUE"""),"Beef New Zealand Imported Knuckle Cooked Fast Fried")</f>
        <v>Beef New Zealand Imported Knuckle Cooked Fast Fried</v>
      </c>
      <c r="C1850" t="str">
        <f>IFERROR(__xludf.DUMMYFUNCTION("""COMPUTED_VALUE"""),"Meats")</f>
        <v>Meats</v>
      </c>
      <c r="D1850">
        <f>IFERROR(__xludf.DUMMYFUNCTION("""COMPUTED_VALUE"""),178.0)</f>
        <v>178</v>
      </c>
      <c r="E1850">
        <f>IFERROR(__xludf.DUMMYFUNCTION("""COMPUTED_VALUE"""),7.58)</f>
        <v>7.58</v>
      </c>
      <c r="F1850">
        <f>IFERROR(__xludf.DUMMYFUNCTION("""COMPUTED_VALUE"""),27.51)</f>
        <v>27.51</v>
      </c>
      <c r="G1850">
        <f>IFERROR(__xludf.DUMMYFUNCTION("""COMPUTED_VALUE"""),0.0)</f>
        <v>0</v>
      </c>
    </row>
    <row r="1851">
      <c r="A1851">
        <f>IFERROR(__xludf.DUMMYFUNCTION("""COMPUTED_VALUE"""),173086.0)</f>
        <v>173086</v>
      </c>
      <c r="B1851" t="str">
        <f>IFERROR(__xludf.DUMMYFUNCTION("""COMPUTED_VALUE"""),"Beef New Zealand Imported Manufacturing Beef Raw")</f>
        <v>Beef New Zealand Imported Manufacturing Beef Raw</v>
      </c>
      <c r="C1851" t="str">
        <f>IFERROR(__xludf.DUMMYFUNCTION("""COMPUTED_VALUE"""),"Meats")</f>
        <v>Meats</v>
      </c>
      <c r="D1851">
        <f>IFERROR(__xludf.DUMMYFUNCTION("""COMPUTED_VALUE"""),119.0)</f>
        <v>119</v>
      </c>
      <c r="E1851">
        <f>IFERROR(__xludf.DUMMYFUNCTION("""COMPUTED_VALUE"""),3.68)</f>
        <v>3.68</v>
      </c>
      <c r="F1851">
        <f>IFERROR(__xludf.DUMMYFUNCTION("""COMPUTED_VALUE"""),21.23)</f>
        <v>21.23</v>
      </c>
      <c r="G1851">
        <f>IFERROR(__xludf.DUMMYFUNCTION("""COMPUTED_VALUE"""),0.23)</f>
        <v>0.23</v>
      </c>
    </row>
    <row r="1852">
      <c r="A1852">
        <f>IFERROR(__xludf.DUMMYFUNCTION("""COMPUTED_VALUE"""),173087.0)</f>
        <v>173087</v>
      </c>
      <c r="B1852" t="str">
        <f>IFERROR(__xludf.DUMMYFUNCTION("""COMPUTED_VALUE"""),"Beef New Zealand Imported Oyster Blade Separable Lean Only Cooked Braised")</f>
        <v>Beef New Zealand Imported Oyster Blade Separable Lean Only Cooked Braised</v>
      </c>
      <c r="C1852" t="str">
        <f>IFERROR(__xludf.DUMMYFUNCTION("""COMPUTED_VALUE"""),"Meats")</f>
        <v>Meats</v>
      </c>
      <c r="D1852">
        <f>IFERROR(__xludf.DUMMYFUNCTION("""COMPUTED_VALUE"""),196.0)</f>
        <v>196</v>
      </c>
      <c r="E1852">
        <f>IFERROR(__xludf.DUMMYFUNCTION("""COMPUTED_VALUE"""),8.46)</f>
        <v>8.46</v>
      </c>
      <c r="F1852">
        <f>IFERROR(__xludf.DUMMYFUNCTION("""COMPUTED_VALUE"""),29.87)</f>
        <v>29.87</v>
      </c>
      <c r="G1852">
        <f>IFERROR(__xludf.DUMMYFUNCTION("""COMPUTED_VALUE"""),0.0)</f>
        <v>0</v>
      </c>
    </row>
    <row r="1853">
      <c r="A1853">
        <f>IFERROR(__xludf.DUMMYFUNCTION("""COMPUTED_VALUE"""),173088.0)</f>
        <v>173088</v>
      </c>
      <c r="B1853" t="str">
        <f>IFERROR(__xludf.DUMMYFUNCTION("""COMPUTED_VALUE"""),"Beef New Zealand Imported Oyster Blade Separable Lean Only Raw")</f>
        <v>Beef New Zealand Imported Oyster Blade Separable Lean Only Raw</v>
      </c>
      <c r="C1853" t="str">
        <f>IFERROR(__xludf.DUMMYFUNCTION("""COMPUTED_VALUE"""),"Meats")</f>
        <v>Meats</v>
      </c>
      <c r="D1853">
        <f>IFERROR(__xludf.DUMMYFUNCTION("""COMPUTED_VALUE"""),155.0)</f>
        <v>155</v>
      </c>
      <c r="E1853">
        <f>IFERROR(__xludf.DUMMYFUNCTION("""COMPUTED_VALUE"""),7.56)</f>
        <v>7.56</v>
      </c>
      <c r="F1853">
        <f>IFERROR(__xludf.DUMMYFUNCTION("""COMPUTED_VALUE"""),21.83)</f>
        <v>21.83</v>
      </c>
      <c r="G1853">
        <f>IFERROR(__xludf.DUMMYFUNCTION("""COMPUTED_VALUE"""),0.0)</f>
        <v>0</v>
      </c>
    </row>
    <row r="1854">
      <c r="A1854">
        <f>IFERROR(__xludf.DUMMYFUNCTION("""COMPUTED_VALUE"""),173089.0)</f>
        <v>173089</v>
      </c>
      <c r="B1854" t="str">
        <f>IFERROR(__xludf.DUMMYFUNCTION("""COMPUTED_VALUE"""),"Beef New Zealand Imported Ribs Prepared Cooked Fast Roasted")</f>
        <v>Beef New Zealand Imported Ribs Prepared Cooked Fast Roasted</v>
      </c>
      <c r="C1854" t="str">
        <f>IFERROR(__xludf.DUMMYFUNCTION("""COMPUTED_VALUE"""),"Meats")</f>
        <v>Meats</v>
      </c>
      <c r="D1854">
        <f>IFERROR(__xludf.DUMMYFUNCTION("""COMPUTED_VALUE"""),197.0)</f>
        <v>197</v>
      </c>
      <c r="E1854">
        <f>IFERROR(__xludf.DUMMYFUNCTION("""COMPUTED_VALUE"""),9.74)</f>
        <v>9.74</v>
      </c>
      <c r="F1854">
        <f>IFERROR(__xludf.DUMMYFUNCTION("""COMPUTED_VALUE"""),27.23)</f>
        <v>27.23</v>
      </c>
      <c r="G1854">
        <f>IFERROR(__xludf.DUMMYFUNCTION("""COMPUTED_VALUE"""),0.09)</f>
        <v>0.09</v>
      </c>
    </row>
    <row r="1855">
      <c r="A1855">
        <f>IFERROR(__xludf.DUMMYFUNCTION("""COMPUTED_VALUE"""),173090.0)</f>
        <v>173090</v>
      </c>
      <c r="B1855" t="str">
        <f>IFERROR(__xludf.DUMMYFUNCTION("""COMPUTED_VALUE"""),"Beef New Zealand Imported Subcutaneous Fat Cooked")</f>
        <v>Beef New Zealand Imported Subcutaneous Fat Cooked</v>
      </c>
      <c r="C1855" t="str">
        <f>IFERROR(__xludf.DUMMYFUNCTION("""COMPUTED_VALUE"""),"Meats")</f>
        <v>Meats</v>
      </c>
      <c r="D1855">
        <f>IFERROR(__xludf.DUMMYFUNCTION("""COMPUTED_VALUE"""),731.0)</f>
        <v>731</v>
      </c>
      <c r="E1855">
        <f>IFERROR(__xludf.DUMMYFUNCTION("""COMPUTED_VALUE"""),78.3)</f>
        <v>78.3</v>
      </c>
      <c r="F1855">
        <f>IFERROR(__xludf.DUMMYFUNCTION("""COMPUTED_VALUE"""),6.5)</f>
        <v>6.5</v>
      </c>
      <c r="G1855">
        <f>IFERROR(__xludf.DUMMYFUNCTION("""COMPUTED_VALUE"""),0.0)</f>
        <v>0</v>
      </c>
    </row>
    <row r="1856">
      <c r="A1856">
        <f>IFERROR(__xludf.DUMMYFUNCTION("""COMPUTED_VALUE"""),173091.0)</f>
        <v>173091</v>
      </c>
      <c r="B1856" t="str">
        <f>IFERROR(__xludf.DUMMYFUNCTION("""COMPUTED_VALUE"""),"Beef New Zealand Imported Subcutaneous Fat Raw")</f>
        <v>Beef New Zealand Imported Subcutaneous Fat Raw</v>
      </c>
      <c r="C1856" t="str">
        <f>IFERROR(__xludf.DUMMYFUNCTION("""COMPUTED_VALUE"""),"Meats")</f>
        <v>Meats</v>
      </c>
      <c r="D1856">
        <f>IFERROR(__xludf.DUMMYFUNCTION("""COMPUTED_VALUE"""),685.0)</f>
        <v>685</v>
      </c>
      <c r="E1856">
        <f>IFERROR(__xludf.DUMMYFUNCTION("""COMPUTED_VALUE"""),72.38)</f>
        <v>72.38</v>
      </c>
      <c r="F1856">
        <f>IFERROR(__xludf.DUMMYFUNCTION("""COMPUTED_VALUE"""),8.5)</f>
        <v>8.5</v>
      </c>
      <c r="G1856">
        <f>IFERROR(__xludf.DUMMYFUNCTION("""COMPUTED_VALUE"""),0.0)</f>
        <v>0</v>
      </c>
    </row>
    <row r="1857">
      <c r="A1857">
        <f>IFERROR(__xludf.DUMMYFUNCTION("""COMPUTED_VALUE"""),173092.0)</f>
        <v>173092</v>
      </c>
      <c r="B1857" t="str">
        <f>IFERROR(__xludf.DUMMYFUNCTION("""COMPUTED_VALUE"""),"Beef New Zealand Imported Sweetbread Cooked Boiled")</f>
        <v>Beef New Zealand Imported Sweetbread Cooked Boiled</v>
      </c>
      <c r="C1857" t="str">
        <f>IFERROR(__xludf.DUMMYFUNCTION("""COMPUTED_VALUE"""),"Meats")</f>
        <v>Meats</v>
      </c>
      <c r="D1857">
        <f>IFERROR(__xludf.DUMMYFUNCTION("""COMPUTED_VALUE"""),318.0)</f>
        <v>318</v>
      </c>
      <c r="E1857">
        <f>IFERROR(__xludf.DUMMYFUNCTION("""COMPUTED_VALUE"""),29.79)</f>
        <v>29.79</v>
      </c>
      <c r="F1857">
        <f>IFERROR(__xludf.DUMMYFUNCTION("""COMPUTED_VALUE"""),12.53)</f>
        <v>12.53</v>
      </c>
      <c r="G1857">
        <f>IFERROR(__xludf.DUMMYFUNCTION("""COMPUTED_VALUE"""),0.0)</f>
        <v>0</v>
      </c>
    </row>
    <row r="1858">
      <c r="A1858">
        <f>IFERROR(__xludf.DUMMYFUNCTION("""COMPUTED_VALUE"""),173093.0)</f>
        <v>173093</v>
      </c>
      <c r="B1858" t="str">
        <f>IFERROR(__xludf.DUMMYFUNCTION("""COMPUTED_VALUE"""),"Beef New Zealand Imported Sweetbread Raw")</f>
        <v>Beef New Zealand Imported Sweetbread Raw</v>
      </c>
      <c r="C1858" t="str">
        <f>IFERROR(__xludf.DUMMYFUNCTION("""COMPUTED_VALUE"""),"Meats")</f>
        <v>Meats</v>
      </c>
      <c r="D1858">
        <f>IFERROR(__xludf.DUMMYFUNCTION("""COMPUTED_VALUE"""),303.0)</f>
        <v>303</v>
      </c>
      <c r="E1858">
        <f>IFERROR(__xludf.DUMMYFUNCTION("""COMPUTED_VALUE"""),28.6)</f>
        <v>28.6</v>
      </c>
      <c r="F1858">
        <f>IFERROR(__xludf.DUMMYFUNCTION("""COMPUTED_VALUE"""),11.51)</f>
        <v>11.51</v>
      </c>
      <c r="G1858">
        <f>IFERROR(__xludf.DUMMYFUNCTION("""COMPUTED_VALUE"""),0.0)</f>
        <v>0</v>
      </c>
    </row>
    <row r="1859">
      <c r="A1859">
        <f>IFERROR(__xludf.DUMMYFUNCTION("""COMPUTED_VALUE"""),173094.0)</f>
        <v>173094</v>
      </c>
      <c r="B1859" t="str">
        <f>IFERROR(__xludf.DUMMYFUNCTION("""COMPUTED_VALUE"""),"Beef New Zealand Imported Tenderloin Separable Lean Only Cooked Fast Fried")</f>
        <v>Beef New Zealand Imported Tenderloin Separable Lean Only Cooked Fast Fried</v>
      </c>
      <c r="C1859" t="str">
        <f>IFERROR(__xludf.DUMMYFUNCTION("""COMPUTED_VALUE"""),"Meats")</f>
        <v>Meats</v>
      </c>
      <c r="D1859">
        <f>IFERROR(__xludf.DUMMYFUNCTION("""COMPUTED_VALUE"""),200.0)</f>
        <v>200</v>
      </c>
      <c r="E1859">
        <f>IFERROR(__xludf.DUMMYFUNCTION("""COMPUTED_VALUE"""),9.01)</f>
        <v>9.01</v>
      </c>
      <c r="F1859">
        <f>IFERROR(__xludf.DUMMYFUNCTION("""COMPUTED_VALUE"""),29.37)</f>
        <v>29.37</v>
      </c>
      <c r="G1859">
        <f>IFERROR(__xludf.DUMMYFUNCTION("""COMPUTED_VALUE"""),0.27)</f>
        <v>0.27</v>
      </c>
    </row>
    <row r="1860">
      <c r="A1860">
        <f>IFERROR(__xludf.DUMMYFUNCTION("""COMPUTED_VALUE"""),173095.0)</f>
        <v>173095</v>
      </c>
      <c r="B1860" t="str">
        <f>IFERROR(__xludf.DUMMYFUNCTION("""COMPUTED_VALUE"""),"Beef New Zealand Imported Variety Meats And By-Products Tripe Cooked Boiled")</f>
        <v>Beef New Zealand Imported Variety Meats And By-Products Tripe Cooked Boiled</v>
      </c>
      <c r="C1860" t="str">
        <f>IFERROR(__xludf.DUMMYFUNCTION("""COMPUTED_VALUE"""),"Meats")</f>
        <v>Meats</v>
      </c>
      <c r="D1860">
        <f>IFERROR(__xludf.DUMMYFUNCTION("""COMPUTED_VALUE"""),103.0)</f>
        <v>103</v>
      </c>
      <c r="E1860">
        <f>IFERROR(__xludf.DUMMYFUNCTION("""COMPUTED_VALUE"""),2.98)</f>
        <v>2.98</v>
      </c>
      <c r="F1860">
        <f>IFERROR(__xludf.DUMMYFUNCTION("""COMPUTED_VALUE"""),19.0)</f>
        <v>19</v>
      </c>
      <c r="G1860">
        <f>IFERROR(__xludf.DUMMYFUNCTION("""COMPUTED_VALUE"""),0.0)</f>
        <v>0</v>
      </c>
    </row>
    <row r="1861">
      <c r="A1861">
        <f>IFERROR(__xludf.DUMMYFUNCTION("""COMPUTED_VALUE"""),173096.0)</f>
        <v>173096</v>
      </c>
      <c r="B1861" t="str">
        <f>IFERROR(__xludf.DUMMYFUNCTION("""COMPUTED_VALUE"""),"Beef New Zealand Imported Variety Meats And By-Products Tripe Uncooked Raw")</f>
        <v>Beef New Zealand Imported Variety Meats And By-Products Tripe Uncooked Raw</v>
      </c>
      <c r="C1861" t="str">
        <f>IFERROR(__xludf.DUMMYFUNCTION("""COMPUTED_VALUE"""),"Meats")</f>
        <v>Meats</v>
      </c>
      <c r="D1861">
        <f>IFERROR(__xludf.DUMMYFUNCTION("""COMPUTED_VALUE"""),77.0)</f>
        <v>77</v>
      </c>
      <c r="E1861">
        <f>IFERROR(__xludf.DUMMYFUNCTION("""COMPUTED_VALUE"""),1.98)</f>
        <v>1.98</v>
      </c>
      <c r="F1861">
        <f>IFERROR(__xludf.DUMMYFUNCTION("""COMPUTED_VALUE"""),14.86)</f>
        <v>14.86</v>
      </c>
      <c r="G1861">
        <f>IFERROR(__xludf.DUMMYFUNCTION("""COMPUTED_VALUE"""),0.0)</f>
        <v>0</v>
      </c>
    </row>
    <row r="1862">
      <c r="A1862">
        <f>IFERROR(__xludf.DUMMYFUNCTION("""COMPUTED_VALUE"""),173097.0)</f>
        <v>173097</v>
      </c>
      <c r="B1862" t="str">
        <f>IFERROR(__xludf.DUMMYFUNCTION("""COMPUTED_VALUE"""),"Beef New Zealand Imported Bolar Blade Separable Lean And Fat Cooked Fast Roasted")</f>
        <v>Beef New Zealand Imported Bolar Blade Separable Lean And Fat Cooked Fast Roasted</v>
      </c>
      <c r="C1862" t="str">
        <f>IFERROR(__xludf.DUMMYFUNCTION("""COMPUTED_VALUE"""),"Meats")</f>
        <v>Meats</v>
      </c>
      <c r="D1862">
        <f>IFERROR(__xludf.DUMMYFUNCTION("""COMPUTED_VALUE"""),228.0)</f>
        <v>228</v>
      </c>
      <c r="E1862">
        <f>IFERROR(__xludf.DUMMYFUNCTION("""COMPUTED_VALUE"""),11.37)</f>
        <v>11.37</v>
      </c>
      <c r="F1862">
        <f>IFERROR(__xludf.DUMMYFUNCTION("""COMPUTED_VALUE"""),31.3)</f>
        <v>31.3</v>
      </c>
      <c r="G1862">
        <f>IFERROR(__xludf.DUMMYFUNCTION("""COMPUTED_VALUE"""),0.0)</f>
        <v>0</v>
      </c>
    </row>
    <row r="1863">
      <c r="A1863">
        <f>IFERROR(__xludf.DUMMYFUNCTION("""COMPUTED_VALUE"""),173098.0)</f>
        <v>173098</v>
      </c>
      <c r="B1863" t="str">
        <f>IFERROR(__xludf.DUMMYFUNCTION("""COMPUTED_VALUE"""),"Beef New Zealand Imported Bolar Blade Separable Lean And Fat Raw")</f>
        <v>Beef New Zealand Imported Bolar Blade Separable Lean And Fat Raw</v>
      </c>
      <c r="C1863" t="str">
        <f>IFERROR(__xludf.DUMMYFUNCTION("""COMPUTED_VALUE"""),"Meats")</f>
        <v>Meats</v>
      </c>
      <c r="D1863">
        <f>IFERROR(__xludf.DUMMYFUNCTION("""COMPUTED_VALUE"""),159.0)</f>
        <v>159</v>
      </c>
      <c r="E1863">
        <f>IFERROR(__xludf.DUMMYFUNCTION("""COMPUTED_VALUE"""),8.22)</f>
        <v>8.22</v>
      </c>
      <c r="F1863">
        <f>IFERROR(__xludf.DUMMYFUNCTION("""COMPUTED_VALUE"""),21.29)</f>
        <v>21.29</v>
      </c>
      <c r="G1863">
        <f>IFERROR(__xludf.DUMMYFUNCTION("""COMPUTED_VALUE"""),0.0)</f>
        <v>0</v>
      </c>
    </row>
    <row r="1864">
      <c r="A1864">
        <f>IFERROR(__xludf.DUMMYFUNCTION("""COMPUTED_VALUE"""),173099.0)</f>
        <v>173099</v>
      </c>
      <c r="B1864" t="str">
        <f>IFERROR(__xludf.DUMMYFUNCTION("""COMPUTED_VALUE"""),"Beef New Zealand Imported Chuck Eye Roll Separable Lean And Fat Cooked Braised")</f>
        <v>Beef New Zealand Imported Chuck Eye Roll Separable Lean And Fat Cooked Braised</v>
      </c>
      <c r="C1864" t="str">
        <f>IFERROR(__xludf.DUMMYFUNCTION("""COMPUTED_VALUE"""),"Meats")</f>
        <v>Meats</v>
      </c>
      <c r="D1864">
        <f>IFERROR(__xludf.DUMMYFUNCTION("""COMPUTED_VALUE"""),252.0)</f>
        <v>252</v>
      </c>
      <c r="E1864">
        <f>IFERROR(__xludf.DUMMYFUNCTION("""COMPUTED_VALUE"""),14.74)</f>
        <v>14.74</v>
      </c>
      <c r="F1864">
        <f>IFERROR(__xludf.DUMMYFUNCTION("""COMPUTED_VALUE"""),29.92)</f>
        <v>29.92</v>
      </c>
      <c r="G1864">
        <f>IFERROR(__xludf.DUMMYFUNCTION("""COMPUTED_VALUE"""),0.0)</f>
        <v>0</v>
      </c>
    </row>
    <row r="1865">
      <c r="A1865">
        <f>IFERROR(__xludf.DUMMYFUNCTION("""COMPUTED_VALUE"""),173100.0)</f>
        <v>173100</v>
      </c>
      <c r="B1865" t="str">
        <f>IFERROR(__xludf.DUMMYFUNCTION("""COMPUTED_VALUE"""),"Beef New Zealand Imported Chuck Eye Roll Separable Lean And Fat Raw")</f>
        <v>Beef New Zealand Imported Chuck Eye Roll Separable Lean And Fat Raw</v>
      </c>
      <c r="C1865" t="str">
        <f>IFERROR(__xludf.DUMMYFUNCTION("""COMPUTED_VALUE"""),"Meats")</f>
        <v>Meats</v>
      </c>
      <c r="D1865">
        <f>IFERROR(__xludf.DUMMYFUNCTION("""COMPUTED_VALUE"""),181.0)</f>
        <v>181</v>
      </c>
      <c r="E1865">
        <f>IFERROR(__xludf.DUMMYFUNCTION("""COMPUTED_VALUE"""),11.45)</f>
        <v>11.45</v>
      </c>
      <c r="F1865">
        <f>IFERROR(__xludf.DUMMYFUNCTION("""COMPUTED_VALUE"""),19.38)</f>
        <v>19.38</v>
      </c>
      <c r="G1865">
        <f>IFERROR(__xludf.DUMMYFUNCTION("""COMPUTED_VALUE"""),0.0)</f>
        <v>0</v>
      </c>
    </row>
    <row r="1866">
      <c r="A1866">
        <f>IFERROR(__xludf.DUMMYFUNCTION("""COMPUTED_VALUE"""),173101.0)</f>
        <v>173101</v>
      </c>
      <c r="B1866" t="str">
        <f>IFERROR(__xludf.DUMMYFUNCTION("""COMPUTED_VALUE"""),"Beef New Zealand Imported Cube Roll Separable Lean And Fat Cooked Fast Roasted")</f>
        <v>Beef New Zealand Imported Cube Roll Separable Lean And Fat Cooked Fast Roasted</v>
      </c>
      <c r="C1866" t="str">
        <f>IFERROR(__xludf.DUMMYFUNCTION("""COMPUTED_VALUE"""),"Meats")</f>
        <v>Meats</v>
      </c>
      <c r="D1866">
        <f>IFERROR(__xludf.DUMMYFUNCTION("""COMPUTED_VALUE"""),286.0)</f>
        <v>286</v>
      </c>
      <c r="E1866">
        <f>IFERROR(__xludf.DUMMYFUNCTION("""COMPUTED_VALUE"""),19.45)</f>
        <v>19.45</v>
      </c>
      <c r="F1866">
        <f>IFERROR(__xludf.DUMMYFUNCTION("""COMPUTED_VALUE"""),27.79)</f>
        <v>27.79</v>
      </c>
      <c r="G1866">
        <f>IFERROR(__xludf.DUMMYFUNCTION("""COMPUTED_VALUE"""),0.03)</f>
        <v>0.03</v>
      </c>
    </row>
    <row r="1867">
      <c r="A1867">
        <f>IFERROR(__xludf.DUMMYFUNCTION("""COMPUTED_VALUE"""),173102.0)</f>
        <v>173102</v>
      </c>
      <c r="B1867" t="str">
        <f>IFERROR(__xludf.DUMMYFUNCTION("""COMPUTED_VALUE"""),"Beef New Zealand Imported Cube Roll Separable Lean And Fat Raw")</f>
        <v>Beef New Zealand Imported Cube Roll Separable Lean And Fat Raw</v>
      </c>
      <c r="C1867" t="str">
        <f>IFERROR(__xludf.DUMMYFUNCTION("""COMPUTED_VALUE"""),"Meats")</f>
        <v>Meats</v>
      </c>
      <c r="D1867">
        <f>IFERROR(__xludf.DUMMYFUNCTION("""COMPUTED_VALUE"""),225.0)</f>
        <v>225</v>
      </c>
      <c r="E1867">
        <f>IFERROR(__xludf.DUMMYFUNCTION("""COMPUTED_VALUE"""),16.31)</f>
        <v>16.31</v>
      </c>
      <c r="F1867">
        <f>IFERROR(__xludf.DUMMYFUNCTION("""COMPUTED_VALUE"""),18.22)</f>
        <v>18.22</v>
      </c>
      <c r="G1867">
        <f>IFERROR(__xludf.DUMMYFUNCTION("""COMPUTED_VALUE"""),1.26)</f>
        <v>1.26</v>
      </c>
    </row>
    <row r="1868">
      <c r="A1868">
        <f>IFERROR(__xludf.DUMMYFUNCTION("""COMPUTED_VALUE"""),173103.0)</f>
        <v>173103</v>
      </c>
      <c r="B1868" t="str">
        <f>IFERROR(__xludf.DUMMYFUNCTION("""COMPUTED_VALUE"""),"Beef New Zealand Imported Flat Separable Lean And Fat Raw")</f>
        <v>Beef New Zealand Imported Flat Separable Lean And Fat Raw</v>
      </c>
      <c r="C1868" t="str">
        <f>IFERROR(__xludf.DUMMYFUNCTION("""COMPUTED_VALUE"""),"Meats")</f>
        <v>Meats</v>
      </c>
      <c r="D1868">
        <f>IFERROR(__xludf.DUMMYFUNCTION("""COMPUTED_VALUE"""),177.0)</f>
        <v>177</v>
      </c>
      <c r="E1868">
        <f>IFERROR(__xludf.DUMMYFUNCTION("""COMPUTED_VALUE"""),10.55)</f>
        <v>10.55</v>
      </c>
      <c r="F1868">
        <f>IFERROR(__xludf.DUMMYFUNCTION("""COMPUTED_VALUE"""),20.57)</f>
        <v>20.57</v>
      </c>
      <c r="G1868">
        <f>IFERROR(__xludf.DUMMYFUNCTION("""COMPUTED_VALUE"""),0.0)</f>
        <v>0</v>
      </c>
    </row>
    <row r="1869">
      <c r="A1869">
        <f>IFERROR(__xludf.DUMMYFUNCTION("""COMPUTED_VALUE"""),173104.0)</f>
        <v>173104</v>
      </c>
      <c r="B1869" t="str">
        <f>IFERROR(__xludf.DUMMYFUNCTION("""COMPUTED_VALUE"""),"Beef New Zealand Imported Hind Shin Separable Lean And Fat Cooked Braised")</f>
        <v>Beef New Zealand Imported Hind Shin Separable Lean And Fat Cooked Braised</v>
      </c>
      <c r="C1869" t="str">
        <f>IFERROR(__xludf.DUMMYFUNCTION("""COMPUTED_VALUE"""),"Meats")</f>
        <v>Meats</v>
      </c>
      <c r="D1869">
        <f>IFERROR(__xludf.DUMMYFUNCTION("""COMPUTED_VALUE"""),196.0)</f>
        <v>196</v>
      </c>
      <c r="E1869">
        <f>IFERROR(__xludf.DUMMYFUNCTION("""COMPUTED_VALUE"""),8.5)</f>
        <v>8.5</v>
      </c>
      <c r="F1869">
        <f>IFERROR(__xludf.DUMMYFUNCTION("""COMPUTED_VALUE"""),29.82)</f>
        <v>29.82</v>
      </c>
      <c r="G1869">
        <f>IFERROR(__xludf.DUMMYFUNCTION("""COMPUTED_VALUE"""),0.07)</f>
        <v>0.07</v>
      </c>
    </row>
    <row r="1870">
      <c r="A1870">
        <f>IFERROR(__xludf.DUMMYFUNCTION("""COMPUTED_VALUE"""),173105.0)</f>
        <v>173105</v>
      </c>
      <c r="B1870" t="str">
        <f>IFERROR(__xludf.DUMMYFUNCTION("""COMPUTED_VALUE"""),"Beef New Zealand Imported Hind Shin Separable Lean And Fat Raw")</f>
        <v>Beef New Zealand Imported Hind Shin Separable Lean And Fat Raw</v>
      </c>
      <c r="C1870" t="str">
        <f>IFERROR(__xludf.DUMMYFUNCTION("""COMPUTED_VALUE"""),"Meats")</f>
        <v>Meats</v>
      </c>
      <c r="D1870">
        <f>IFERROR(__xludf.DUMMYFUNCTION("""COMPUTED_VALUE"""),147.0)</f>
        <v>147</v>
      </c>
      <c r="E1870">
        <f>IFERROR(__xludf.DUMMYFUNCTION("""COMPUTED_VALUE"""),7.2)</f>
        <v>7.2</v>
      </c>
      <c r="F1870">
        <f>IFERROR(__xludf.DUMMYFUNCTION("""COMPUTED_VALUE"""),20.61)</f>
        <v>20.61</v>
      </c>
      <c r="G1870">
        <f>IFERROR(__xludf.DUMMYFUNCTION("""COMPUTED_VALUE"""),0.0)</f>
        <v>0</v>
      </c>
    </row>
    <row r="1871">
      <c r="A1871">
        <f>IFERROR(__xludf.DUMMYFUNCTION("""COMPUTED_VALUE"""),173106.0)</f>
        <v>173106</v>
      </c>
      <c r="B1871" t="str">
        <f>IFERROR(__xludf.DUMMYFUNCTION("""COMPUTED_VALUE"""),"Beef New Zealand Imported Oyster Blade Separable Lean And Fat Cooked Braised")</f>
        <v>Beef New Zealand Imported Oyster Blade Separable Lean And Fat Cooked Braised</v>
      </c>
      <c r="C1871" t="str">
        <f>IFERROR(__xludf.DUMMYFUNCTION("""COMPUTED_VALUE"""),"Meats")</f>
        <v>Meats</v>
      </c>
      <c r="D1871">
        <f>IFERROR(__xludf.DUMMYFUNCTION("""COMPUTED_VALUE"""),197.0)</f>
        <v>197</v>
      </c>
      <c r="E1871">
        <f>IFERROR(__xludf.DUMMYFUNCTION("""COMPUTED_VALUE"""),8.68)</f>
        <v>8.68</v>
      </c>
      <c r="F1871">
        <f>IFERROR(__xludf.DUMMYFUNCTION("""COMPUTED_VALUE"""),29.79)</f>
        <v>29.79</v>
      </c>
      <c r="G1871">
        <f>IFERROR(__xludf.DUMMYFUNCTION("""COMPUTED_VALUE"""),0.0)</f>
        <v>0</v>
      </c>
    </row>
    <row r="1872">
      <c r="A1872">
        <f>IFERROR(__xludf.DUMMYFUNCTION("""COMPUTED_VALUE"""),173107.0)</f>
        <v>173107</v>
      </c>
      <c r="B1872" t="str">
        <f>IFERROR(__xludf.DUMMYFUNCTION("""COMPUTED_VALUE"""),"Beef New Zealand Imported Striploin Separable Lean And Fat Raw")</f>
        <v>Beef New Zealand Imported Striploin Separable Lean And Fat Raw</v>
      </c>
      <c r="C1872" t="str">
        <f>IFERROR(__xludf.DUMMYFUNCTION("""COMPUTED_VALUE"""),"Meats")</f>
        <v>Meats</v>
      </c>
      <c r="D1872">
        <f>IFERROR(__xludf.DUMMYFUNCTION("""COMPUTED_VALUE"""),252.0)</f>
        <v>252</v>
      </c>
      <c r="E1872">
        <f>IFERROR(__xludf.DUMMYFUNCTION("""COMPUTED_VALUE"""),19.53)</f>
        <v>19.53</v>
      </c>
      <c r="F1872">
        <f>IFERROR(__xludf.DUMMYFUNCTION("""COMPUTED_VALUE"""),18.49)</f>
        <v>18.49</v>
      </c>
      <c r="G1872">
        <f>IFERROR(__xludf.DUMMYFUNCTION("""COMPUTED_VALUE"""),0.6)</f>
        <v>0.6</v>
      </c>
    </row>
    <row r="1873">
      <c r="A1873">
        <f>IFERROR(__xludf.DUMMYFUNCTION("""COMPUTED_VALUE"""),173108.0)</f>
        <v>173108</v>
      </c>
      <c r="B1873" t="str">
        <f>IFERROR(__xludf.DUMMYFUNCTION("""COMPUTED_VALUE"""),"Beef New Zealand Imported Tenderloin Separable Lean And Fat Cooked Fast Fried")</f>
        <v>Beef New Zealand Imported Tenderloin Separable Lean And Fat Cooked Fast Fried</v>
      </c>
      <c r="C1873" t="str">
        <f>IFERROR(__xludf.DUMMYFUNCTION("""COMPUTED_VALUE"""),"Meats")</f>
        <v>Meats</v>
      </c>
      <c r="D1873">
        <f>IFERROR(__xludf.DUMMYFUNCTION("""COMPUTED_VALUE"""),202.0)</f>
        <v>202</v>
      </c>
      <c r="E1873">
        <f>IFERROR(__xludf.DUMMYFUNCTION("""COMPUTED_VALUE"""),9.35)</f>
        <v>9.35</v>
      </c>
      <c r="F1873">
        <f>IFERROR(__xludf.DUMMYFUNCTION("""COMPUTED_VALUE"""),29.26)</f>
        <v>29.26</v>
      </c>
      <c r="G1873">
        <f>IFERROR(__xludf.DUMMYFUNCTION("""COMPUTED_VALUE"""),0.27)</f>
        <v>0.27</v>
      </c>
    </row>
    <row r="1874">
      <c r="A1874">
        <f>IFERROR(__xludf.DUMMYFUNCTION("""COMPUTED_VALUE"""),173109.0)</f>
        <v>173109</v>
      </c>
      <c r="B1874" t="str">
        <f>IFERROR(__xludf.DUMMYFUNCTION("""COMPUTED_VALUE"""),"Beef New Zealand Imported Tenderloin Separable Lean And Fat Raw")</f>
        <v>Beef New Zealand Imported Tenderloin Separable Lean And Fat Raw</v>
      </c>
      <c r="C1874" t="str">
        <f>IFERROR(__xludf.DUMMYFUNCTION("""COMPUTED_VALUE"""),"Meats")</f>
        <v>Meats</v>
      </c>
      <c r="D1874">
        <f>IFERROR(__xludf.DUMMYFUNCTION("""COMPUTED_VALUE"""),146.0)</f>
        <v>146</v>
      </c>
      <c r="E1874">
        <f>IFERROR(__xludf.DUMMYFUNCTION("""COMPUTED_VALUE"""),6.88)</f>
        <v>6.88</v>
      </c>
      <c r="F1874">
        <f>IFERROR(__xludf.DUMMYFUNCTION("""COMPUTED_VALUE"""),21.04)</f>
        <v>21.04</v>
      </c>
      <c r="G1874">
        <f>IFERROR(__xludf.DUMMYFUNCTION("""COMPUTED_VALUE"""),0.0)</f>
        <v>0</v>
      </c>
    </row>
    <row r="1875">
      <c r="A1875">
        <f>IFERROR(__xludf.DUMMYFUNCTION("""COMPUTED_VALUE"""),173110.0)</f>
        <v>173110</v>
      </c>
      <c r="B1875" t="str">
        <f>IFERROR(__xludf.DUMMYFUNCTION("""COMPUTED_VALUE"""),"Beef Ground 93% Lean Meat / 7% Fat Raw")</f>
        <v>Beef Ground 93% Lean Meat / 7% Fat Raw</v>
      </c>
      <c r="C1875" t="str">
        <f>IFERROR(__xludf.DUMMYFUNCTION("""COMPUTED_VALUE"""),"Meats")</f>
        <v>Meats</v>
      </c>
      <c r="D1875">
        <f>IFERROR(__xludf.DUMMYFUNCTION("""COMPUTED_VALUE"""),152.0)</f>
        <v>152</v>
      </c>
      <c r="E1875">
        <f>IFERROR(__xludf.DUMMYFUNCTION("""COMPUTED_VALUE"""),7.0)</f>
        <v>7</v>
      </c>
      <c r="F1875">
        <f>IFERROR(__xludf.DUMMYFUNCTION("""COMPUTED_VALUE"""),20.85)</f>
        <v>20.85</v>
      </c>
      <c r="G1875">
        <f>IFERROR(__xludf.DUMMYFUNCTION("""COMPUTED_VALUE"""),0.0)</f>
        <v>0</v>
      </c>
    </row>
    <row r="1876">
      <c r="A1876">
        <f>IFERROR(__xludf.DUMMYFUNCTION("""COMPUTED_VALUE"""),173111.0)</f>
        <v>173111</v>
      </c>
      <c r="B1876" t="str">
        <f>IFERROR(__xludf.DUMMYFUNCTION("""COMPUTED_VALUE"""),"Beef Ground 97% Lean Meat / 3% Fat Raw")</f>
        <v>Beef Ground 97% Lean Meat / 3% Fat Raw</v>
      </c>
      <c r="C1876" t="str">
        <f>IFERROR(__xludf.DUMMYFUNCTION("""COMPUTED_VALUE"""),"Meats")</f>
        <v>Meats</v>
      </c>
      <c r="D1876">
        <f>IFERROR(__xludf.DUMMYFUNCTION("""COMPUTED_VALUE"""),121.0)</f>
        <v>121</v>
      </c>
      <c r="E1876">
        <f>IFERROR(__xludf.DUMMYFUNCTION("""COMPUTED_VALUE"""),3.0)</f>
        <v>3</v>
      </c>
      <c r="F1876">
        <f>IFERROR(__xludf.DUMMYFUNCTION("""COMPUTED_VALUE"""),21.98)</f>
        <v>21.98</v>
      </c>
      <c r="G1876">
        <f>IFERROR(__xludf.DUMMYFUNCTION("""COMPUTED_VALUE"""),0.0)</f>
        <v>0</v>
      </c>
    </row>
    <row r="1877">
      <c r="A1877">
        <f>IFERROR(__xludf.DUMMYFUNCTION("""COMPUTED_VALUE"""),173112.0)</f>
        <v>173112</v>
      </c>
      <c r="B1877" t="str">
        <f>IFERROR(__xludf.DUMMYFUNCTION("""COMPUTED_VALUE"""),"Broiled Ground Beef Patty (97% Lean)")</f>
        <v>Broiled Ground Beef Patty (97% Lean)</v>
      </c>
      <c r="C1877" t="str">
        <f>IFERROR(__xludf.DUMMYFUNCTION("""COMPUTED_VALUE"""),"Meats")</f>
        <v>Meats</v>
      </c>
      <c r="D1877">
        <f>IFERROR(__xludf.DUMMYFUNCTION("""COMPUTED_VALUE"""),153.0)</f>
        <v>153</v>
      </c>
      <c r="E1877">
        <f>IFERROR(__xludf.DUMMYFUNCTION("""COMPUTED_VALUE"""),4.46)</f>
        <v>4.46</v>
      </c>
      <c r="F1877">
        <f>IFERROR(__xludf.DUMMYFUNCTION("""COMPUTED_VALUE"""),26.36)</f>
        <v>26.36</v>
      </c>
      <c r="G1877">
        <f>IFERROR(__xludf.DUMMYFUNCTION("""COMPUTED_VALUE"""),0.0)</f>
        <v>0</v>
      </c>
    </row>
    <row r="1878">
      <c r="A1878">
        <f>IFERROR(__xludf.DUMMYFUNCTION("""COMPUTED_VALUE"""),173113.0)</f>
        <v>173113</v>
      </c>
      <c r="B1878" t="str">
        <f>IFERROR(__xludf.DUMMYFUNCTION("""COMPUTED_VALUE"""),"Pan-Broiled Ground Beef Patty (97% Lean)")</f>
        <v>Pan-Broiled Ground Beef Patty (97% Lean)</v>
      </c>
      <c r="C1878" t="str">
        <f>IFERROR(__xludf.DUMMYFUNCTION("""COMPUTED_VALUE"""),"Meats")</f>
        <v>Meats</v>
      </c>
      <c r="D1878">
        <f>IFERROR(__xludf.DUMMYFUNCTION("""COMPUTED_VALUE"""),144.0)</f>
        <v>144</v>
      </c>
      <c r="E1878">
        <f>IFERROR(__xludf.DUMMYFUNCTION("""COMPUTED_VALUE"""),3.65)</f>
        <v>3.65</v>
      </c>
      <c r="F1878">
        <f>IFERROR(__xludf.DUMMYFUNCTION("""COMPUTED_VALUE"""),26.03)</f>
        <v>26.03</v>
      </c>
      <c r="G1878">
        <f>IFERROR(__xludf.DUMMYFUNCTION("""COMPUTED_VALUE"""),0.0)</f>
        <v>0</v>
      </c>
    </row>
    <row r="1879">
      <c r="A1879">
        <f>IFERROR(__xludf.DUMMYFUNCTION("""COMPUTED_VALUE"""),173114.0)</f>
        <v>173114</v>
      </c>
      <c r="B1879" t="str">
        <f>IFERROR(__xludf.DUMMYFUNCTION("""COMPUTED_VALUE"""),"Beef Ground 97% Lean Meat / 3% Fat Loaf Cooked Baked")</f>
        <v>Beef Ground 97% Lean Meat / 3% Fat Loaf Cooked Baked</v>
      </c>
      <c r="C1879" t="str">
        <f>IFERROR(__xludf.DUMMYFUNCTION("""COMPUTED_VALUE"""),"Meats")</f>
        <v>Meats</v>
      </c>
      <c r="D1879">
        <f>IFERROR(__xludf.DUMMYFUNCTION("""COMPUTED_VALUE"""),154.0)</f>
        <v>154</v>
      </c>
      <c r="E1879">
        <f>IFERROR(__xludf.DUMMYFUNCTION("""COMPUTED_VALUE"""),4.06)</f>
        <v>4.06</v>
      </c>
      <c r="F1879">
        <f>IFERROR(__xludf.DUMMYFUNCTION("""COMPUTED_VALUE"""),27.58)</f>
        <v>27.58</v>
      </c>
      <c r="G1879">
        <f>IFERROR(__xludf.DUMMYFUNCTION("""COMPUTED_VALUE"""),0.0)</f>
        <v>0</v>
      </c>
    </row>
    <row r="1880">
      <c r="A1880">
        <f>IFERROR(__xludf.DUMMYFUNCTION("""COMPUTED_VALUE"""),173115.0)</f>
        <v>173115</v>
      </c>
      <c r="B1880" t="str">
        <f>IFERROR(__xludf.DUMMYFUNCTION("""COMPUTED_VALUE"""),"Beef Round Bottom Round Steak Separable Lean Only Trimmed To 1/8 Inch Fat Choice Cooked Braised")</f>
        <v>Beef Round Bottom Round Steak Separable Lean Only Trimmed To 1/8 Inch Fat Choice Cooked Braised</v>
      </c>
      <c r="C1880" t="str">
        <f>IFERROR(__xludf.DUMMYFUNCTION("""COMPUTED_VALUE"""),"Meats")</f>
        <v>Meats</v>
      </c>
      <c r="D1880">
        <f>IFERROR(__xludf.DUMMYFUNCTION("""COMPUTED_VALUE"""),228.0)</f>
        <v>228</v>
      </c>
      <c r="E1880">
        <f>IFERROR(__xludf.DUMMYFUNCTION("""COMPUTED_VALUE"""),9.02)</f>
        <v>9.02</v>
      </c>
      <c r="F1880">
        <f>IFERROR(__xludf.DUMMYFUNCTION("""COMPUTED_VALUE"""),34.22)</f>
        <v>34.22</v>
      </c>
      <c r="G1880">
        <f>IFERROR(__xludf.DUMMYFUNCTION("""COMPUTED_VALUE"""),0.0)</f>
        <v>0</v>
      </c>
    </row>
    <row r="1881">
      <c r="A1881">
        <f>IFERROR(__xludf.DUMMYFUNCTION("""COMPUTED_VALUE"""),173116.0)</f>
        <v>173116</v>
      </c>
      <c r="B1881" t="str">
        <f>IFERROR(__xludf.DUMMYFUNCTION("""COMPUTED_VALUE"""),"Beef Short Loin Top Loin Steak Separable Lean Only Trimmed To 1/8 Inch Fat Choice Raw")</f>
        <v>Beef Short Loin Top Loin Steak Separable Lean Only Trimmed To 1/8 Inch Fat Choice Raw</v>
      </c>
      <c r="C1881" t="str">
        <f>IFERROR(__xludf.DUMMYFUNCTION("""COMPUTED_VALUE"""),"Meats")</f>
        <v>Meats</v>
      </c>
      <c r="D1881">
        <f>IFERROR(__xludf.DUMMYFUNCTION("""COMPUTED_VALUE"""),155.0)</f>
        <v>155</v>
      </c>
      <c r="E1881">
        <f>IFERROR(__xludf.DUMMYFUNCTION("""COMPUTED_VALUE"""),6.43)</f>
        <v>6.43</v>
      </c>
      <c r="F1881">
        <f>IFERROR(__xludf.DUMMYFUNCTION("""COMPUTED_VALUE"""),22.78)</f>
        <v>22.78</v>
      </c>
      <c r="G1881">
        <f>IFERROR(__xludf.DUMMYFUNCTION("""COMPUTED_VALUE"""),0.0)</f>
        <v>0</v>
      </c>
    </row>
    <row r="1882">
      <c r="A1882">
        <f>IFERROR(__xludf.DUMMYFUNCTION("""COMPUTED_VALUE"""),173117.0)</f>
        <v>173117</v>
      </c>
      <c r="B1882" t="str">
        <f>IFERROR(__xludf.DUMMYFUNCTION("""COMPUTED_VALUE"""),"Beef Tenderloin Steak Separable Lean Only Trimmed To 1/8 Inch Fat Choice Cooked Broiled")</f>
        <v>Beef Tenderloin Steak Separable Lean Only Trimmed To 1/8 Inch Fat Choice Cooked Broiled</v>
      </c>
      <c r="C1882" t="str">
        <f>IFERROR(__xludf.DUMMYFUNCTION("""COMPUTED_VALUE"""),"Meats")</f>
        <v>Meats</v>
      </c>
      <c r="D1882">
        <f>IFERROR(__xludf.DUMMYFUNCTION("""COMPUTED_VALUE"""),206.0)</f>
        <v>206</v>
      </c>
      <c r="E1882">
        <f>IFERROR(__xludf.DUMMYFUNCTION("""COMPUTED_VALUE"""),9.1)</f>
        <v>9.1</v>
      </c>
      <c r="F1882">
        <f>IFERROR(__xludf.DUMMYFUNCTION("""COMPUTED_VALUE"""),29.01)</f>
        <v>29.01</v>
      </c>
      <c r="G1882">
        <f>IFERROR(__xludf.DUMMYFUNCTION("""COMPUTED_VALUE"""),0.0)</f>
        <v>0</v>
      </c>
    </row>
    <row r="1883">
      <c r="A1883">
        <f>IFERROR(__xludf.DUMMYFUNCTION("""COMPUTED_VALUE"""),173118.0)</f>
        <v>173118</v>
      </c>
      <c r="B1883" t="str">
        <f>IFERROR(__xludf.DUMMYFUNCTION("""COMPUTED_VALUE"""),"Beef Top Sirloin Steak Separable Lean Only Trimmed To 1/8 Inch Fat Choice Cooked Broiled")</f>
        <v>Beef Top Sirloin Steak Separable Lean Only Trimmed To 1/8 Inch Fat Choice Cooked Broiled</v>
      </c>
      <c r="C1883" t="str">
        <f>IFERROR(__xludf.DUMMYFUNCTION("""COMPUTED_VALUE"""),"Meats")</f>
        <v>Meats</v>
      </c>
      <c r="D1883">
        <f>IFERROR(__xludf.DUMMYFUNCTION("""COMPUTED_VALUE"""),187.0)</f>
        <v>187</v>
      </c>
      <c r="E1883">
        <f>IFERROR(__xludf.DUMMYFUNCTION("""COMPUTED_VALUE"""),6.72)</f>
        <v>6.72</v>
      </c>
      <c r="F1883">
        <f>IFERROR(__xludf.DUMMYFUNCTION("""COMPUTED_VALUE"""),29.51)</f>
        <v>29.51</v>
      </c>
      <c r="G1883">
        <f>IFERROR(__xludf.DUMMYFUNCTION("""COMPUTED_VALUE"""),0.0)</f>
        <v>0</v>
      </c>
    </row>
    <row r="1884">
      <c r="A1884">
        <f>IFERROR(__xludf.DUMMYFUNCTION("""COMPUTED_VALUE"""),173119.0)</f>
        <v>173119</v>
      </c>
      <c r="B1884" t="str">
        <f>IFERROR(__xludf.DUMMYFUNCTION("""COMPUTED_VALUE"""),"Beef Short Loin Top Loin Steak Separable Lean Only Trimmed To 1/8 Inch Fat Choice Cooked Broiled")</f>
        <v>Beef Short Loin Top Loin Steak Separable Lean Only Trimmed To 1/8 Inch Fat Choice Cooked Broiled</v>
      </c>
      <c r="C1884" t="str">
        <f>IFERROR(__xludf.DUMMYFUNCTION("""COMPUTED_VALUE"""),"Meats")</f>
        <v>Meats</v>
      </c>
      <c r="D1884">
        <f>IFERROR(__xludf.DUMMYFUNCTION("""COMPUTED_VALUE"""),201.0)</f>
        <v>201</v>
      </c>
      <c r="E1884">
        <f>IFERROR(__xludf.DUMMYFUNCTION("""COMPUTED_VALUE"""),8.45)</f>
        <v>8.45</v>
      </c>
      <c r="F1884">
        <f>IFERROR(__xludf.DUMMYFUNCTION("""COMPUTED_VALUE"""),29.16)</f>
        <v>29.16</v>
      </c>
      <c r="G1884">
        <f>IFERROR(__xludf.DUMMYFUNCTION("""COMPUTED_VALUE"""),0.0)</f>
        <v>0</v>
      </c>
    </row>
    <row r="1885">
      <c r="A1885">
        <f>IFERROR(__xludf.DUMMYFUNCTION("""COMPUTED_VALUE"""),173120.0)</f>
        <v>173120</v>
      </c>
      <c r="B1885" t="str">
        <f>IFERROR(__xludf.DUMMYFUNCTION("""COMPUTED_VALUE"""),"Beef Round Eye Of Round Roast Separable Lean Only Trimmed To 1/8 Inch Fat Select Raw")</f>
        <v>Beef Round Eye Of Round Roast Separable Lean Only Trimmed To 1/8 Inch Fat Select Raw</v>
      </c>
      <c r="C1885" t="str">
        <f>IFERROR(__xludf.DUMMYFUNCTION("""COMPUTED_VALUE"""),"Meats")</f>
        <v>Meats</v>
      </c>
      <c r="D1885">
        <f>IFERROR(__xludf.DUMMYFUNCTION("""COMPUTED_VALUE"""),119.0)</f>
        <v>119</v>
      </c>
      <c r="E1885">
        <f>IFERROR(__xludf.DUMMYFUNCTION("""COMPUTED_VALUE"""),2.62)</f>
        <v>2.62</v>
      </c>
      <c r="F1885">
        <f>IFERROR(__xludf.DUMMYFUNCTION("""COMPUTED_VALUE"""),22.31)</f>
        <v>22.31</v>
      </c>
      <c r="G1885">
        <f>IFERROR(__xludf.DUMMYFUNCTION("""COMPUTED_VALUE"""),0.0)</f>
        <v>0</v>
      </c>
    </row>
    <row r="1886">
      <c r="A1886">
        <f>IFERROR(__xludf.DUMMYFUNCTION("""COMPUTED_VALUE"""),173121.0)</f>
        <v>173121</v>
      </c>
      <c r="B1886" t="str">
        <f>IFERROR(__xludf.DUMMYFUNCTION("""COMPUTED_VALUE"""),"Beef Round Top Round Steak Separable Lean Only Trimmed To 1/8 Inch Fat Select Raw")</f>
        <v>Beef Round Top Round Steak Separable Lean Only Trimmed To 1/8 Inch Fat Select Raw</v>
      </c>
      <c r="C1886" t="str">
        <f>IFERROR(__xludf.DUMMYFUNCTION("""COMPUTED_VALUE"""),"Meats")</f>
        <v>Meats</v>
      </c>
      <c r="D1886">
        <f>IFERROR(__xludf.DUMMYFUNCTION("""COMPUTED_VALUE"""),129.0)</f>
        <v>129</v>
      </c>
      <c r="E1886">
        <f>IFERROR(__xludf.DUMMYFUNCTION("""COMPUTED_VALUE"""),3.37)</f>
        <v>3.37</v>
      </c>
      <c r="F1886">
        <f>IFERROR(__xludf.DUMMYFUNCTION("""COMPUTED_VALUE"""),23.13)</f>
        <v>23.13</v>
      </c>
      <c r="G1886">
        <f>IFERROR(__xludf.DUMMYFUNCTION("""COMPUTED_VALUE"""),0.0)</f>
        <v>0</v>
      </c>
    </row>
    <row r="1887">
      <c r="A1887">
        <f>IFERROR(__xludf.DUMMYFUNCTION("""COMPUTED_VALUE"""),173122.0)</f>
        <v>173122</v>
      </c>
      <c r="B1887" t="str">
        <f>IFERROR(__xludf.DUMMYFUNCTION("""COMPUTED_VALUE"""),"Beef Round Bottom Round Roast Separable Lean Only Trimmed To 1/8 Inch Fat Select Raw")</f>
        <v>Beef Round Bottom Round Roast Separable Lean Only Trimmed To 1/8 Inch Fat Select Raw</v>
      </c>
      <c r="C1887" t="str">
        <f>IFERROR(__xludf.DUMMYFUNCTION("""COMPUTED_VALUE"""),"Meats")</f>
        <v>Meats</v>
      </c>
      <c r="D1887">
        <f>IFERROR(__xludf.DUMMYFUNCTION("""COMPUTED_VALUE"""),128.0)</f>
        <v>128</v>
      </c>
      <c r="E1887">
        <f>IFERROR(__xludf.DUMMYFUNCTION("""COMPUTED_VALUE"""),3.66)</f>
        <v>3.66</v>
      </c>
      <c r="F1887">
        <f>IFERROR(__xludf.DUMMYFUNCTION("""COMPUTED_VALUE"""),22.18)</f>
        <v>22.18</v>
      </c>
      <c r="G1887">
        <f>IFERROR(__xludf.DUMMYFUNCTION("""COMPUTED_VALUE"""),0.0)</f>
        <v>0</v>
      </c>
    </row>
    <row r="1888">
      <c r="A1888">
        <f>IFERROR(__xludf.DUMMYFUNCTION("""COMPUTED_VALUE"""),173123.0)</f>
        <v>173123</v>
      </c>
      <c r="B1888" t="str">
        <f>IFERROR(__xludf.DUMMYFUNCTION("""COMPUTED_VALUE"""),"Beef Rib Small End (Ribs 10-12) Separable Lean Only Trimmed To 1/8 Inch Fat All Grades Cooked Broiled")</f>
        <v>Beef Rib Small End (Ribs 10-12) Separable Lean Only Trimmed To 1/8 Inch Fat All Grades Cooked Broiled</v>
      </c>
      <c r="C1888" t="str">
        <f>IFERROR(__xludf.DUMMYFUNCTION("""COMPUTED_VALUE"""),"Meats")</f>
        <v>Meats</v>
      </c>
      <c r="D1888">
        <f>IFERROR(__xludf.DUMMYFUNCTION("""COMPUTED_VALUE"""),195.0)</f>
        <v>195</v>
      </c>
      <c r="E1888">
        <f>IFERROR(__xludf.DUMMYFUNCTION("""COMPUTED_VALUE"""),7.63)</f>
        <v>7.63</v>
      </c>
      <c r="F1888">
        <f>IFERROR(__xludf.DUMMYFUNCTION("""COMPUTED_VALUE"""),29.58)</f>
        <v>29.58</v>
      </c>
      <c r="G1888">
        <f>IFERROR(__xludf.DUMMYFUNCTION("""COMPUTED_VALUE"""),0.0)</f>
        <v>0</v>
      </c>
    </row>
    <row r="1889">
      <c r="A1889">
        <f>IFERROR(__xludf.DUMMYFUNCTION("""COMPUTED_VALUE"""),173124.0)</f>
        <v>173124</v>
      </c>
      <c r="B1889" t="str">
        <f>IFERROR(__xludf.DUMMYFUNCTION("""COMPUTED_VALUE"""),"Beef Bottom Sirloin Tri-Tip Roast Separable Lean Only Trimmed To 0 Inch Fat Select Raw")</f>
        <v>Beef Bottom Sirloin Tri-Tip Roast Separable Lean Only Trimmed To 0 Inch Fat Select Raw</v>
      </c>
      <c r="C1889" t="str">
        <f>IFERROR(__xludf.DUMMYFUNCTION("""COMPUTED_VALUE"""),"Meats")</f>
        <v>Meats</v>
      </c>
      <c r="D1889">
        <f>IFERROR(__xludf.DUMMYFUNCTION("""COMPUTED_VALUE"""),129.0)</f>
        <v>129</v>
      </c>
      <c r="E1889">
        <f>IFERROR(__xludf.DUMMYFUNCTION("""COMPUTED_VALUE"""),4.21)</f>
        <v>4.21</v>
      </c>
      <c r="F1889">
        <f>IFERROR(__xludf.DUMMYFUNCTION("""COMPUTED_VALUE"""),21.34)</f>
        <v>21.34</v>
      </c>
      <c r="G1889">
        <f>IFERROR(__xludf.DUMMYFUNCTION("""COMPUTED_VALUE"""),0.0)</f>
        <v>0</v>
      </c>
    </row>
    <row r="1890">
      <c r="A1890">
        <f>IFERROR(__xludf.DUMMYFUNCTION("""COMPUTED_VALUE"""),173125.0)</f>
        <v>173125</v>
      </c>
      <c r="B1890" t="str">
        <f>IFERROR(__xludf.DUMMYFUNCTION("""COMPUTED_VALUE"""),"Beef Round Tip Round Roast Separable Lean Only Trimmed To 0 Inch Fat All Grades Raw")</f>
        <v>Beef Round Tip Round Roast Separable Lean Only Trimmed To 0 Inch Fat All Grades Raw</v>
      </c>
      <c r="C1890" t="str">
        <f>IFERROR(__xludf.DUMMYFUNCTION("""COMPUTED_VALUE"""),"Meats")</f>
        <v>Meats</v>
      </c>
      <c r="D1890">
        <f>IFERROR(__xludf.DUMMYFUNCTION("""COMPUTED_VALUE"""),126.0)</f>
        <v>126</v>
      </c>
      <c r="E1890">
        <f>IFERROR(__xludf.DUMMYFUNCTION("""COMPUTED_VALUE"""),3.95)</f>
        <v>3.95</v>
      </c>
      <c r="F1890">
        <f>IFERROR(__xludf.DUMMYFUNCTION("""COMPUTED_VALUE"""),21.07)</f>
        <v>21.07</v>
      </c>
      <c r="G1890">
        <f>IFERROR(__xludf.DUMMYFUNCTION("""COMPUTED_VALUE"""),0.0)</f>
        <v>0</v>
      </c>
    </row>
    <row r="1891">
      <c r="A1891">
        <f>IFERROR(__xludf.DUMMYFUNCTION("""COMPUTED_VALUE"""),173126.0)</f>
        <v>173126</v>
      </c>
      <c r="B1891" t="str">
        <f>IFERROR(__xludf.DUMMYFUNCTION("""COMPUTED_VALUE"""),"Beef Round Tip Round Roast Separable Lean Only Trimmed To 0 Inch Fat Choice Raw")</f>
        <v>Beef Round Tip Round Roast Separable Lean Only Trimmed To 0 Inch Fat Choice Raw</v>
      </c>
      <c r="C1891" t="str">
        <f>IFERROR(__xludf.DUMMYFUNCTION("""COMPUTED_VALUE"""),"Meats")</f>
        <v>Meats</v>
      </c>
      <c r="D1891">
        <f>IFERROR(__xludf.DUMMYFUNCTION("""COMPUTED_VALUE"""),130.0)</f>
        <v>130</v>
      </c>
      <c r="E1891">
        <f>IFERROR(__xludf.DUMMYFUNCTION("""COMPUTED_VALUE"""),4.55)</f>
        <v>4.55</v>
      </c>
      <c r="F1891">
        <f>IFERROR(__xludf.DUMMYFUNCTION("""COMPUTED_VALUE"""),20.76)</f>
        <v>20.76</v>
      </c>
      <c r="G1891">
        <f>IFERROR(__xludf.DUMMYFUNCTION("""COMPUTED_VALUE"""),0.0)</f>
        <v>0</v>
      </c>
    </row>
    <row r="1892">
      <c r="A1892">
        <f>IFERROR(__xludf.DUMMYFUNCTION("""COMPUTED_VALUE"""),173127.0)</f>
        <v>173127</v>
      </c>
      <c r="B1892" t="str">
        <f>IFERROR(__xludf.DUMMYFUNCTION("""COMPUTED_VALUE"""),"Beef Round Tip Round Roast Separable Lean Only Trimmed To 0 Inch Fat Select Raw")</f>
        <v>Beef Round Tip Round Roast Separable Lean Only Trimmed To 0 Inch Fat Select Raw</v>
      </c>
      <c r="C1892" t="str">
        <f>IFERROR(__xludf.DUMMYFUNCTION("""COMPUTED_VALUE"""),"Meats")</f>
        <v>Meats</v>
      </c>
      <c r="D1892">
        <f>IFERROR(__xludf.DUMMYFUNCTION("""COMPUTED_VALUE"""),122.0)</f>
        <v>122</v>
      </c>
      <c r="E1892">
        <f>IFERROR(__xludf.DUMMYFUNCTION("""COMPUTED_VALUE"""),3.35)</f>
        <v>3.35</v>
      </c>
      <c r="F1892">
        <f>IFERROR(__xludf.DUMMYFUNCTION("""COMPUTED_VALUE"""),21.38)</f>
        <v>21.38</v>
      </c>
      <c r="G1892">
        <f>IFERROR(__xludf.DUMMYFUNCTION("""COMPUTED_VALUE"""),0.0)</f>
        <v>0</v>
      </c>
    </row>
    <row r="1893">
      <c r="A1893">
        <f>IFERROR(__xludf.DUMMYFUNCTION("""COMPUTED_VALUE"""),173128.0)</f>
        <v>173128</v>
      </c>
      <c r="B1893" t="str">
        <f>IFERROR(__xludf.DUMMYFUNCTION("""COMPUTED_VALUE"""),"Beef Brisket Flat Half Separable Lean And Fat Trimmed To 1/8 Inch Fat Choice Raw")</f>
        <v>Beef Brisket Flat Half Separable Lean And Fat Trimmed To 1/8 Inch Fat Choice Raw</v>
      </c>
      <c r="C1893" t="str">
        <f>IFERROR(__xludf.DUMMYFUNCTION("""COMPUTED_VALUE"""),"Meats")</f>
        <v>Meats</v>
      </c>
      <c r="D1893">
        <f>IFERROR(__xludf.DUMMYFUNCTION("""COMPUTED_VALUE"""),278.0)</f>
        <v>278</v>
      </c>
      <c r="E1893">
        <f>IFERROR(__xludf.DUMMYFUNCTION("""COMPUTED_VALUE"""),22.15)</f>
        <v>22.15</v>
      </c>
      <c r="F1893">
        <f>IFERROR(__xludf.DUMMYFUNCTION("""COMPUTED_VALUE"""),18.12)</f>
        <v>18.12</v>
      </c>
      <c r="G1893">
        <f>IFERROR(__xludf.DUMMYFUNCTION("""COMPUTED_VALUE"""),0.12)</f>
        <v>0.12</v>
      </c>
    </row>
    <row r="1894">
      <c r="A1894">
        <f>IFERROR(__xludf.DUMMYFUNCTION("""COMPUTED_VALUE"""),173129.0)</f>
        <v>173129</v>
      </c>
      <c r="B1894" t="str">
        <f>IFERROR(__xludf.DUMMYFUNCTION("""COMPUTED_VALUE"""),"Beef Brisket Flat Half Separable Lean And Fat Trimmed To 1/8 Inch Fat Select Raw")</f>
        <v>Beef Brisket Flat Half Separable Lean And Fat Trimmed To 1/8 Inch Fat Select Raw</v>
      </c>
      <c r="C1894" t="str">
        <f>IFERROR(__xludf.DUMMYFUNCTION("""COMPUTED_VALUE"""),"Meats")</f>
        <v>Meats</v>
      </c>
      <c r="D1894">
        <f>IFERROR(__xludf.DUMMYFUNCTION("""COMPUTED_VALUE"""),276.0)</f>
        <v>276</v>
      </c>
      <c r="E1894">
        <f>IFERROR(__xludf.DUMMYFUNCTION("""COMPUTED_VALUE"""),22.21)</f>
        <v>22.21</v>
      </c>
      <c r="F1894">
        <f>IFERROR(__xludf.DUMMYFUNCTION("""COMPUTED_VALUE"""),17.77)</f>
        <v>17.77</v>
      </c>
      <c r="G1894">
        <f>IFERROR(__xludf.DUMMYFUNCTION("""COMPUTED_VALUE"""),0.0)</f>
        <v>0</v>
      </c>
    </row>
    <row r="1895">
      <c r="A1895">
        <f>IFERROR(__xludf.DUMMYFUNCTION("""COMPUTED_VALUE"""),173130.0)</f>
        <v>173130</v>
      </c>
      <c r="B1895" t="str">
        <f>IFERROR(__xludf.DUMMYFUNCTION("""COMPUTED_VALUE"""),"Beef Brisket Flat Half Separable Lean And Fat Trimmed To 1/8 Inch Fat Choice Cooked Braised")</f>
        <v>Beef Brisket Flat Half Separable Lean And Fat Trimmed To 1/8 Inch Fat Choice Cooked Braised</v>
      </c>
      <c r="C1895" t="str">
        <f>IFERROR(__xludf.DUMMYFUNCTION("""COMPUTED_VALUE"""),"Meats")</f>
        <v>Meats</v>
      </c>
      <c r="D1895">
        <f>IFERROR(__xludf.DUMMYFUNCTION("""COMPUTED_VALUE"""),298.0)</f>
        <v>298</v>
      </c>
      <c r="E1895">
        <f>IFERROR(__xludf.DUMMYFUNCTION("""COMPUTED_VALUE"""),19.47)</f>
        <v>19.47</v>
      </c>
      <c r="F1895">
        <f>IFERROR(__xludf.DUMMYFUNCTION("""COMPUTED_VALUE"""),28.66)</f>
        <v>28.66</v>
      </c>
      <c r="G1895">
        <f>IFERROR(__xludf.DUMMYFUNCTION("""COMPUTED_VALUE"""),0.0)</f>
        <v>0</v>
      </c>
    </row>
    <row r="1896">
      <c r="A1896">
        <f>IFERROR(__xludf.DUMMYFUNCTION("""COMPUTED_VALUE"""),173349.0)</f>
        <v>173349</v>
      </c>
      <c r="B1896" t="str">
        <f>IFERROR(__xludf.DUMMYFUNCTION("""COMPUTED_VALUE"""),"Beef Shoulder Pot Roast Or Steak Boneless Separable Lean And Fat Trimmed To 0 Inch Fat All Grades Raw")</f>
        <v>Beef Shoulder Pot Roast Or Steak Boneless Separable Lean And Fat Trimmed To 0 Inch Fat All Grades Raw</v>
      </c>
      <c r="C1896" t="str">
        <f>IFERROR(__xludf.DUMMYFUNCTION("""COMPUTED_VALUE"""),"Meats")</f>
        <v>Meats</v>
      </c>
      <c r="D1896">
        <f>IFERROR(__xludf.DUMMYFUNCTION("""COMPUTED_VALUE"""),130.0)</f>
        <v>130</v>
      </c>
      <c r="E1896">
        <f>IFERROR(__xludf.DUMMYFUNCTION("""COMPUTED_VALUE"""),4.97)</f>
        <v>4.97</v>
      </c>
      <c r="F1896">
        <f>IFERROR(__xludf.DUMMYFUNCTION("""COMPUTED_VALUE"""),21.39)</f>
        <v>21.39</v>
      </c>
      <c r="G1896">
        <f>IFERROR(__xludf.DUMMYFUNCTION("""COMPUTED_VALUE"""),0.0)</f>
        <v>0</v>
      </c>
    </row>
    <row r="1897">
      <c r="A1897">
        <f>IFERROR(__xludf.DUMMYFUNCTION("""COMPUTED_VALUE"""),173350.0)</f>
        <v>173350</v>
      </c>
      <c r="B1897" t="str">
        <f>IFERROR(__xludf.DUMMYFUNCTION("""COMPUTED_VALUE"""),"Beef Short Loin Porterhouse Steak Separable Lean And Fat Trimmed To 1/8 Inch Fat All Grades Raw")</f>
        <v>Beef Short Loin Porterhouse Steak Separable Lean And Fat Trimmed To 1/8 Inch Fat All Grades Raw</v>
      </c>
      <c r="C1897" t="str">
        <f>IFERROR(__xludf.DUMMYFUNCTION("""COMPUTED_VALUE"""),"Meats")</f>
        <v>Meats</v>
      </c>
      <c r="D1897">
        <f>IFERROR(__xludf.DUMMYFUNCTION("""COMPUTED_VALUE"""),214.0)</f>
        <v>214</v>
      </c>
      <c r="E1897">
        <f>IFERROR(__xludf.DUMMYFUNCTION("""COMPUTED_VALUE"""),14.06)</f>
        <v>14.06</v>
      </c>
      <c r="F1897">
        <f>IFERROR(__xludf.DUMMYFUNCTION("""COMPUTED_VALUE"""),20.49)</f>
        <v>20.49</v>
      </c>
      <c r="G1897">
        <f>IFERROR(__xludf.DUMMYFUNCTION("""COMPUTED_VALUE"""),0.0)</f>
        <v>0</v>
      </c>
    </row>
    <row r="1898">
      <c r="A1898">
        <f>IFERROR(__xludf.DUMMYFUNCTION("""COMPUTED_VALUE"""),173351.0)</f>
        <v>173351</v>
      </c>
      <c r="B1898" t="str">
        <f>IFERROR(__xludf.DUMMYFUNCTION("""COMPUTED_VALUE"""),"Beef Short Loin T-Bone Steak Separable Lean And Fat Trimmed To 1/8 Inch Fat All Grades Cooked Grilled")</f>
        <v>Beef Short Loin T-Bone Steak Separable Lean And Fat Trimmed To 1/8 Inch Fat All Grades Cooked Grilled</v>
      </c>
      <c r="C1898" t="str">
        <f>IFERROR(__xludf.DUMMYFUNCTION("""COMPUTED_VALUE"""),"Meats")</f>
        <v>Meats</v>
      </c>
      <c r="D1898">
        <f>IFERROR(__xludf.DUMMYFUNCTION("""COMPUTED_VALUE"""),289.0)</f>
        <v>289</v>
      </c>
      <c r="E1898">
        <f>IFERROR(__xludf.DUMMYFUNCTION("""COMPUTED_VALUE"""),20.36)</f>
        <v>20.36</v>
      </c>
      <c r="F1898">
        <f>IFERROR(__xludf.DUMMYFUNCTION("""COMPUTED_VALUE"""),24.6)</f>
        <v>24.6</v>
      </c>
      <c r="G1898">
        <f>IFERROR(__xludf.DUMMYFUNCTION("""COMPUTED_VALUE"""),0.0)</f>
        <v>0</v>
      </c>
    </row>
    <row r="1899">
      <c r="A1899">
        <f>IFERROR(__xludf.DUMMYFUNCTION("""COMPUTED_VALUE"""),173352.0)</f>
        <v>173352</v>
      </c>
      <c r="B1899" t="str">
        <f>IFERROR(__xludf.DUMMYFUNCTION("""COMPUTED_VALUE"""),"Beef Short Loin T-Bone Steak Separable Lean And Fat Trimmed To 1/8 Inch Fat Select Raw")</f>
        <v>Beef Short Loin T-Bone Steak Separable Lean And Fat Trimmed To 1/8 Inch Fat Select Raw</v>
      </c>
      <c r="C1899" t="str">
        <f>IFERROR(__xludf.DUMMYFUNCTION("""COMPUTED_VALUE"""),"Meats")</f>
        <v>Meats</v>
      </c>
      <c r="D1899">
        <f>IFERROR(__xludf.DUMMYFUNCTION("""COMPUTED_VALUE"""),215.0)</f>
        <v>215</v>
      </c>
      <c r="E1899">
        <f>IFERROR(__xludf.DUMMYFUNCTION("""COMPUTED_VALUE"""),14.19)</f>
        <v>14.19</v>
      </c>
      <c r="F1899">
        <f>IFERROR(__xludf.DUMMYFUNCTION("""COMPUTED_VALUE"""),20.28)</f>
        <v>20.28</v>
      </c>
      <c r="G1899">
        <f>IFERROR(__xludf.DUMMYFUNCTION("""COMPUTED_VALUE"""),0.0)</f>
        <v>0</v>
      </c>
    </row>
    <row r="1900">
      <c r="A1900">
        <f>IFERROR(__xludf.DUMMYFUNCTION("""COMPUTED_VALUE"""),173353.0)</f>
        <v>173353</v>
      </c>
      <c r="B1900" t="str">
        <f>IFERROR(__xludf.DUMMYFUNCTION("""COMPUTED_VALUE"""),"Beef Short Loin T-Bone Steak Separable Lean And Fat Trimmed To 1/8 Inch Fat Select Cooked Grilled")</f>
        <v>Beef Short Loin T-Bone Steak Separable Lean And Fat Trimmed To 1/8 Inch Fat Select Cooked Grilled</v>
      </c>
      <c r="C1900" t="str">
        <f>IFERROR(__xludf.DUMMYFUNCTION("""COMPUTED_VALUE"""),"Meats")</f>
        <v>Meats</v>
      </c>
      <c r="D1900">
        <f>IFERROR(__xludf.DUMMYFUNCTION("""COMPUTED_VALUE"""),281.0)</f>
        <v>281</v>
      </c>
      <c r="E1900">
        <f>IFERROR(__xludf.DUMMYFUNCTION("""COMPUTED_VALUE"""),19.22)</f>
        <v>19.22</v>
      </c>
      <c r="F1900">
        <f>IFERROR(__xludf.DUMMYFUNCTION("""COMPUTED_VALUE"""),25.18)</f>
        <v>25.18</v>
      </c>
      <c r="G1900">
        <f>IFERROR(__xludf.DUMMYFUNCTION("""COMPUTED_VALUE"""),0.0)</f>
        <v>0</v>
      </c>
    </row>
    <row r="1901">
      <c r="A1901">
        <f>IFERROR(__xludf.DUMMYFUNCTION("""COMPUTED_VALUE"""),173354.0)</f>
        <v>173354</v>
      </c>
      <c r="B1901" t="str">
        <f>IFERROR(__xludf.DUMMYFUNCTION("""COMPUTED_VALUE"""),"Beef Round Knuckle Tip Side Steak Separable Lean And Fat Trimmed To 0 Inch Fat Choice Raw")</f>
        <v>Beef Round Knuckle Tip Side Steak Separable Lean And Fat Trimmed To 0 Inch Fat Choice Raw</v>
      </c>
      <c r="C1901" t="str">
        <f>IFERROR(__xludf.DUMMYFUNCTION("""COMPUTED_VALUE"""),"Meats")</f>
        <v>Meats</v>
      </c>
      <c r="D1901">
        <f>IFERROR(__xludf.DUMMYFUNCTION("""COMPUTED_VALUE"""),133.0)</f>
        <v>133</v>
      </c>
      <c r="E1901">
        <f>IFERROR(__xludf.DUMMYFUNCTION("""COMPUTED_VALUE"""),4.66)</f>
        <v>4.66</v>
      </c>
      <c r="F1901">
        <f>IFERROR(__xludf.DUMMYFUNCTION("""COMPUTED_VALUE"""),21.41)</f>
        <v>21.41</v>
      </c>
      <c r="G1901">
        <f>IFERROR(__xludf.DUMMYFUNCTION("""COMPUTED_VALUE"""),0.0)</f>
        <v>0</v>
      </c>
    </row>
    <row r="1902">
      <c r="A1902">
        <f>IFERROR(__xludf.DUMMYFUNCTION("""COMPUTED_VALUE"""),173355.0)</f>
        <v>173355</v>
      </c>
      <c r="B1902" t="str">
        <f>IFERROR(__xludf.DUMMYFUNCTION("""COMPUTED_VALUE"""),"Beef Chuck Shoulder Clod Shoulder Tender Medallion Separable Lean And Fat Trimmed To 0 Inch Fat Choice Cooked Grilled")</f>
        <v>Beef Chuck Shoulder Clod Shoulder Tender Medallion Separable Lean And Fat Trimmed To 0 Inch Fat Choice Cooked Grilled</v>
      </c>
      <c r="C1902" t="str">
        <f>IFERROR(__xludf.DUMMYFUNCTION("""COMPUTED_VALUE"""),"Meats")</f>
        <v>Meats</v>
      </c>
      <c r="D1902">
        <f>IFERROR(__xludf.DUMMYFUNCTION("""COMPUTED_VALUE"""),181.0)</f>
        <v>181</v>
      </c>
      <c r="E1902">
        <f>IFERROR(__xludf.DUMMYFUNCTION("""COMPUTED_VALUE"""),7.68)</f>
        <v>7.68</v>
      </c>
      <c r="F1902">
        <f>IFERROR(__xludf.DUMMYFUNCTION("""COMPUTED_VALUE"""),26.07)</f>
        <v>26.07</v>
      </c>
      <c r="G1902">
        <f>IFERROR(__xludf.DUMMYFUNCTION("""COMPUTED_VALUE"""),0.0)</f>
        <v>0</v>
      </c>
    </row>
    <row r="1903">
      <c r="A1903">
        <f>IFERROR(__xludf.DUMMYFUNCTION("""COMPUTED_VALUE"""),173356.0)</f>
        <v>173356</v>
      </c>
      <c r="B1903" t="str">
        <f>IFERROR(__xludf.DUMMYFUNCTION("""COMPUTED_VALUE"""),"Beef Chuck Shoulder Clod Shoulder Tender Medallion Separable Lean And Fat Trimmed To 0 Inch Fat Select Raw")</f>
        <v>Beef Chuck Shoulder Clod Shoulder Tender Medallion Separable Lean And Fat Trimmed To 0 Inch Fat Select Raw</v>
      </c>
      <c r="C1903" t="str">
        <f>IFERROR(__xludf.DUMMYFUNCTION("""COMPUTED_VALUE"""),"Meats")</f>
        <v>Meats</v>
      </c>
      <c r="D1903">
        <f>IFERROR(__xludf.DUMMYFUNCTION("""COMPUTED_VALUE"""),142.0)</f>
        <v>142</v>
      </c>
      <c r="E1903">
        <f>IFERROR(__xludf.DUMMYFUNCTION("""COMPUTED_VALUE"""),5.79)</f>
        <v>5.79</v>
      </c>
      <c r="F1903">
        <f>IFERROR(__xludf.DUMMYFUNCTION("""COMPUTED_VALUE"""),20.93)</f>
        <v>20.93</v>
      </c>
      <c r="G1903">
        <f>IFERROR(__xludf.DUMMYFUNCTION("""COMPUTED_VALUE"""),0.0)</f>
        <v>0</v>
      </c>
    </row>
    <row r="1904">
      <c r="A1904">
        <f>IFERROR(__xludf.DUMMYFUNCTION("""COMPUTED_VALUE"""),173357.0)</f>
        <v>173357</v>
      </c>
      <c r="B1904" t="str">
        <f>IFERROR(__xludf.DUMMYFUNCTION("""COMPUTED_VALUE"""),"Beef Chuck Shoulder Clod Shoulder Top And Center Steaks Separable Lean And Fat Trimmed To 0 Inch Fat Choice Raw")</f>
        <v>Beef Chuck Shoulder Clod Shoulder Top And Center Steaks Separable Lean And Fat Trimmed To 0 Inch Fat Choice Raw</v>
      </c>
      <c r="C1904" t="str">
        <f>IFERROR(__xludf.DUMMYFUNCTION("""COMPUTED_VALUE"""),"Meats")</f>
        <v>Meats</v>
      </c>
      <c r="D1904">
        <f>IFERROR(__xludf.DUMMYFUNCTION("""COMPUTED_VALUE"""),143.0)</f>
        <v>143</v>
      </c>
      <c r="E1904">
        <f>IFERROR(__xludf.DUMMYFUNCTION("""COMPUTED_VALUE"""),6.12)</f>
        <v>6.12</v>
      </c>
      <c r="F1904">
        <f>IFERROR(__xludf.DUMMYFUNCTION("""COMPUTED_VALUE"""),20.39)</f>
        <v>20.39</v>
      </c>
      <c r="G1904">
        <f>IFERROR(__xludf.DUMMYFUNCTION("""COMPUTED_VALUE"""),0.0)</f>
        <v>0</v>
      </c>
    </row>
    <row r="1905">
      <c r="A1905">
        <f>IFERROR(__xludf.DUMMYFUNCTION("""COMPUTED_VALUE"""),173358.0)</f>
        <v>173358</v>
      </c>
      <c r="B1905" t="str">
        <f>IFERROR(__xludf.DUMMYFUNCTION("""COMPUTED_VALUE"""),"Beef Chuck Shoulder Clod Shoulder Top And Center Steaks Separable Lean And Fat Trimmed To 0 Inch Fat Choice Cooked Grilled")</f>
        <v>Beef Chuck Shoulder Clod Shoulder Top And Center Steaks Separable Lean And Fat Trimmed To 0 Inch Fat Choice Cooked Grilled</v>
      </c>
      <c r="C1905" t="str">
        <f>IFERROR(__xludf.DUMMYFUNCTION("""COMPUTED_VALUE"""),"Meats")</f>
        <v>Meats</v>
      </c>
      <c r="D1905">
        <f>IFERROR(__xludf.DUMMYFUNCTION("""COMPUTED_VALUE"""),184.0)</f>
        <v>184</v>
      </c>
      <c r="E1905">
        <f>IFERROR(__xludf.DUMMYFUNCTION("""COMPUTED_VALUE"""),8.11)</f>
        <v>8.11</v>
      </c>
      <c r="F1905">
        <f>IFERROR(__xludf.DUMMYFUNCTION("""COMPUTED_VALUE"""),26.07)</f>
        <v>26.07</v>
      </c>
      <c r="G1905">
        <f>IFERROR(__xludf.DUMMYFUNCTION("""COMPUTED_VALUE"""),0.0)</f>
        <v>0</v>
      </c>
    </row>
    <row r="1906">
      <c r="A1906">
        <f>IFERROR(__xludf.DUMMYFUNCTION("""COMPUTED_VALUE"""),173359.0)</f>
        <v>173359</v>
      </c>
      <c r="B1906" t="str">
        <f>IFERROR(__xludf.DUMMYFUNCTION("""COMPUTED_VALUE"""),"Beef Chuck Shoulder Clod Top Blade Steak Separable Lean And Fat Trimmed To 0 Inch Fat Select Raw")</f>
        <v>Beef Chuck Shoulder Clod Top Blade Steak Separable Lean And Fat Trimmed To 0 Inch Fat Select Raw</v>
      </c>
      <c r="C1906" t="str">
        <f>IFERROR(__xludf.DUMMYFUNCTION("""COMPUTED_VALUE"""),"Meats")</f>
        <v>Meats</v>
      </c>
      <c r="D1906">
        <f>IFERROR(__xludf.DUMMYFUNCTION("""COMPUTED_VALUE"""),166.0)</f>
        <v>166</v>
      </c>
      <c r="E1906">
        <f>IFERROR(__xludf.DUMMYFUNCTION("""COMPUTED_VALUE"""),9.22)</f>
        <v>9.22</v>
      </c>
      <c r="F1906">
        <f>IFERROR(__xludf.DUMMYFUNCTION("""COMPUTED_VALUE"""),19.38)</f>
        <v>19.38</v>
      </c>
      <c r="G1906">
        <f>IFERROR(__xludf.DUMMYFUNCTION("""COMPUTED_VALUE"""),0.0)</f>
        <v>0</v>
      </c>
    </row>
    <row r="1907">
      <c r="A1907">
        <f>IFERROR(__xludf.DUMMYFUNCTION("""COMPUTED_VALUE"""),173360.0)</f>
        <v>173360</v>
      </c>
      <c r="B1907" t="str">
        <f>IFERROR(__xludf.DUMMYFUNCTION("""COMPUTED_VALUE"""),"Beef Chuck Shoulder Clod Top Blade Steak Separable Lean And Fat Trimmed To 0 Inch Fat Select Cooked Grilled")</f>
        <v>Beef Chuck Shoulder Clod Top Blade Steak Separable Lean And Fat Trimmed To 0 Inch Fat Select Cooked Grilled</v>
      </c>
      <c r="C1907" t="str">
        <f>IFERROR(__xludf.DUMMYFUNCTION("""COMPUTED_VALUE"""),"Meats")</f>
        <v>Meats</v>
      </c>
      <c r="D1907">
        <f>IFERROR(__xludf.DUMMYFUNCTION("""COMPUTED_VALUE"""),212.0)</f>
        <v>212</v>
      </c>
      <c r="E1907">
        <f>IFERROR(__xludf.DUMMYFUNCTION("""COMPUTED_VALUE"""),11.52)</f>
        <v>11.52</v>
      </c>
      <c r="F1907">
        <f>IFERROR(__xludf.DUMMYFUNCTION("""COMPUTED_VALUE"""),25.29)</f>
        <v>25.29</v>
      </c>
      <c r="G1907">
        <f>IFERROR(__xludf.DUMMYFUNCTION("""COMPUTED_VALUE"""),0.0)</f>
        <v>0</v>
      </c>
    </row>
    <row r="1908">
      <c r="A1908">
        <f>IFERROR(__xludf.DUMMYFUNCTION("""COMPUTED_VALUE"""),173361.0)</f>
        <v>173361</v>
      </c>
      <c r="B1908" t="str">
        <f>IFERROR(__xludf.DUMMYFUNCTION("""COMPUTED_VALUE"""),"Beef Round Knuckle Tip Center Steak Separable Lean And Fat Trimmed To 0 Inch Fat Choice Raw")</f>
        <v>Beef Round Knuckle Tip Center Steak Separable Lean And Fat Trimmed To 0 Inch Fat Choice Raw</v>
      </c>
      <c r="C1908" t="str">
        <f>IFERROR(__xludf.DUMMYFUNCTION("""COMPUTED_VALUE"""),"Meats")</f>
        <v>Meats</v>
      </c>
      <c r="D1908">
        <f>IFERROR(__xludf.DUMMYFUNCTION("""COMPUTED_VALUE"""),150.0)</f>
        <v>150</v>
      </c>
      <c r="E1908">
        <f>IFERROR(__xludf.DUMMYFUNCTION("""COMPUTED_VALUE"""),6.85)</f>
        <v>6.85</v>
      </c>
      <c r="F1908">
        <f>IFERROR(__xludf.DUMMYFUNCTION("""COMPUTED_VALUE"""),20.74)</f>
        <v>20.74</v>
      </c>
      <c r="G1908">
        <f>IFERROR(__xludf.DUMMYFUNCTION("""COMPUTED_VALUE"""),0.0)</f>
        <v>0</v>
      </c>
    </row>
    <row r="1909">
      <c r="A1909">
        <f>IFERROR(__xludf.DUMMYFUNCTION("""COMPUTED_VALUE"""),173362.0)</f>
        <v>173362</v>
      </c>
      <c r="B1909" t="str">
        <f>IFERROR(__xludf.DUMMYFUNCTION("""COMPUTED_VALUE"""),"Beef Round Knuckle Tip Center Steak Separable Lean And Fat Trimmed To 0 Inch Fat Choice Cooked Grilled")</f>
        <v>Beef Round Knuckle Tip Center Steak Separable Lean And Fat Trimmed To 0 Inch Fat Choice Cooked Grilled</v>
      </c>
      <c r="C1909" t="str">
        <f>IFERROR(__xludf.DUMMYFUNCTION("""COMPUTED_VALUE"""),"Meats")</f>
        <v>Meats</v>
      </c>
      <c r="D1909">
        <f>IFERROR(__xludf.DUMMYFUNCTION("""COMPUTED_VALUE"""),188.0)</f>
        <v>188</v>
      </c>
      <c r="E1909">
        <f>IFERROR(__xludf.DUMMYFUNCTION("""COMPUTED_VALUE"""),8.13)</f>
        <v>8.13</v>
      </c>
      <c r="F1909">
        <f>IFERROR(__xludf.DUMMYFUNCTION("""COMPUTED_VALUE"""),26.88)</f>
        <v>26.88</v>
      </c>
      <c r="G1909">
        <f>IFERROR(__xludf.DUMMYFUNCTION("""COMPUTED_VALUE"""),0.0)</f>
        <v>0</v>
      </c>
    </row>
    <row r="1910">
      <c r="A1910">
        <f>IFERROR(__xludf.DUMMYFUNCTION("""COMPUTED_VALUE"""),173363.0)</f>
        <v>173363</v>
      </c>
      <c r="B1910" t="str">
        <f>IFERROR(__xludf.DUMMYFUNCTION("""COMPUTED_VALUE"""),"Beef Round Knuckle Tip Center Steak Separable Lean And Fat Trimmed To 0 Inch Fat Select Raw")</f>
        <v>Beef Round Knuckle Tip Center Steak Separable Lean And Fat Trimmed To 0 Inch Fat Select Raw</v>
      </c>
      <c r="C1910" t="str">
        <f>IFERROR(__xludf.DUMMYFUNCTION("""COMPUTED_VALUE"""),"Meats")</f>
        <v>Meats</v>
      </c>
      <c r="D1910">
        <f>IFERROR(__xludf.DUMMYFUNCTION("""COMPUTED_VALUE"""),137.0)</f>
        <v>137</v>
      </c>
      <c r="E1910">
        <f>IFERROR(__xludf.DUMMYFUNCTION("""COMPUTED_VALUE"""),5.21)</f>
        <v>5.21</v>
      </c>
      <c r="F1910">
        <f>IFERROR(__xludf.DUMMYFUNCTION("""COMPUTED_VALUE"""),20.98)</f>
        <v>20.98</v>
      </c>
      <c r="G1910">
        <f>IFERROR(__xludf.DUMMYFUNCTION("""COMPUTED_VALUE"""),0.0)</f>
        <v>0</v>
      </c>
    </row>
    <row r="1911">
      <c r="A1911">
        <f>IFERROR(__xludf.DUMMYFUNCTION("""COMPUTED_VALUE"""),173364.0)</f>
        <v>173364</v>
      </c>
      <c r="B1911" t="str">
        <f>IFERROR(__xludf.DUMMYFUNCTION("""COMPUTED_VALUE"""),"Beef Round Outside Round Bottom Round Steak Separable Lean And Fat Trimmed To 0 Inch Fat Select Cooked Grilled")</f>
        <v>Beef Round Outside Round Bottom Round Steak Separable Lean And Fat Trimmed To 0 Inch Fat Select Cooked Grilled</v>
      </c>
      <c r="C1911" t="str">
        <f>IFERROR(__xludf.DUMMYFUNCTION("""COMPUTED_VALUE"""),"Meats")</f>
        <v>Meats</v>
      </c>
      <c r="D1911">
        <f>IFERROR(__xludf.DUMMYFUNCTION("""COMPUTED_VALUE"""),166.0)</f>
        <v>166</v>
      </c>
      <c r="E1911">
        <f>IFERROR(__xludf.DUMMYFUNCTION("""COMPUTED_VALUE"""),5.17)</f>
        <v>5.17</v>
      </c>
      <c r="F1911">
        <f>IFERROR(__xludf.DUMMYFUNCTION("""COMPUTED_VALUE"""),28.01)</f>
        <v>28.01</v>
      </c>
      <c r="G1911">
        <f>IFERROR(__xludf.DUMMYFUNCTION("""COMPUTED_VALUE"""),0.0)</f>
        <v>0</v>
      </c>
    </row>
    <row r="1912">
      <c r="A1912">
        <f>IFERROR(__xludf.DUMMYFUNCTION("""COMPUTED_VALUE"""),173365.0)</f>
        <v>173365</v>
      </c>
      <c r="B1912" t="str">
        <f>IFERROR(__xludf.DUMMYFUNCTION("""COMPUTED_VALUE"""),"Beef Chuck Shoulder Clod Shoulder Tender Medallion Separable Lean And Fat Trimmed To 0 Inch Fat All Grades Raw")</f>
        <v>Beef Chuck Shoulder Clod Shoulder Tender Medallion Separable Lean And Fat Trimmed To 0 Inch Fat All Grades Raw</v>
      </c>
      <c r="C1912" t="str">
        <f>IFERROR(__xludf.DUMMYFUNCTION("""COMPUTED_VALUE"""),"Meats")</f>
        <v>Meats</v>
      </c>
      <c r="D1912">
        <f>IFERROR(__xludf.DUMMYFUNCTION("""COMPUTED_VALUE"""),144.0)</f>
        <v>144</v>
      </c>
      <c r="E1912">
        <f>IFERROR(__xludf.DUMMYFUNCTION("""COMPUTED_VALUE"""),6.22)</f>
        <v>6.22</v>
      </c>
      <c r="F1912">
        <f>IFERROR(__xludf.DUMMYFUNCTION("""COMPUTED_VALUE"""),20.54)</f>
        <v>20.54</v>
      </c>
      <c r="G1912">
        <f>IFERROR(__xludf.DUMMYFUNCTION("""COMPUTED_VALUE"""),0.0)</f>
        <v>0</v>
      </c>
    </row>
    <row r="1913">
      <c r="A1913">
        <f>IFERROR(__xludf.DUMMYFUNCTION("""COMPUTED_VALUE"""),173366.0)</f>
        <v>173366</v>
      </c>
      <c r="B1913" t="str">
        <f>IFERROR(__xludf.DUMMYFUNCTION("""COMPUTED_VALUE"""),"Beef Chuck Shoulder Clod Shoulder Tender Medallion Separable Lean And Fat Trimmed To 0 Inch Fat All Grades Cooked Grilled")</f>
        <v>Beef Chuck Shoulder Clod Shoulder Tender Medallion Separable Lean And Fat Trimmed To 0 Inch Fat All Grades Cooked Grilled</v>
      </c>
      <c r="C1913" t="str">
        <f>IFERROR(__xludf.DUMMYFUNCTION("""COMPUTED_VALUE"""),"Meats")</f>
        <v>Meats</v>
      </c>
      <c r="D1913">
        <f>IFERROR(__xludf.DUMMYFUNCTION("""COMPUTED_VALUE"""),177.0)</f>
        <v>177</v>
      </c>
      <c r="E1913">
        <f>IFERROR(__xludf.DUMMYFUNCTION("""COMPUTED_VALUE"""),7.2)</f>
        <v>7.2</v>
      </c>
      <c r="F1913">
        <f>IFERROR(__xludf.DUMMYFUNCTION("""COMPUTED_VALUE"""),26.22)</f>
        <v>26.22</v>
      </c>
      <c r="G1913">
        <f>IFERROR(__xludf.DUMMYFUNCTION("""COMPUTED_VALUE"""),0.0)</f>
        <v>0</v>
      </c>
    </row>
    <row r="1914">
      <c r="A1914">
        <f>IFERROR(__xludf.DUMMYFUNCTION("""COMPUTED_VALUE"""),173367.0)</f>
        <v>173367</v>
      </c>
      <c r="B1914" t="str">
        <f>IFERROR(__xludf.DUMMYFUNCTION("""COMPUTED_VALUE"""),"Beef Round Knuckle Tip Side Steak Separable Lean And Fat Trimmed To 0 Inch Fat All Grades Raw")</f>
        <v>Beef Round Knuckle Tip Side Steak Separable Lean And Fat Trimmed To 0 Inch Fat All Grades Raw</v>
      </c>
      <c r="C1914" t="str">
        <f>IFERROR(__xludf.DUMMYFUNCTION("""COMPUTED_VALUE"""),"Meats")</f>
        <v>Meats</v>
      </c>
      <c r="D1914">
        <f>IFERROR(__xludf.DUMMYFUNCTION("""COMPUTED_VALUE"""),129.0)</f>
        <v>129</v>
      </c>
      <c r="E1914">
        <f>IFERROR(__xludf.DUMMYFUNCTION("""COMPUTED_VALUE"""),4.0)</f>
        <v>4</v>
      </c>
      <c r="F1914">
        <f>IFERROR(__xludf.DUMMYFUNCTION("""COMPUTED_VALUE"""),21.69)</f>
        <v>21.69</v>
      </c>
      <c r="G1914">
        <f>IFERROR(__xludf.DUMMYFUNCTION("""COMPUTED_VALUE"""),0.0)</f>
        <v>0</v>
      </c>
    </row>
    <row r="1915">
      <c r="A1915">
        <f>IFERROR(__xludf.DUMMYFUNCTION("""COMPUTED_VALUE"""),173368.0)</f>
        <v>173368</v>
      </c>
      <c r="B1915" t="str">
        <f>IFERROR(__xludf.DUMMYFUNCTION("""COMPUTED_VALUE"""),"Beef Chuck Shoulder Clod Top Blade Steak Separable Lean And Fat Trimmed To 0 Inch Fat All Grades Cooked Grilled")</f>
        <v>Beef Chuck Shoulder Clod Top Blade Steak Separable Lean And Fat Trimmed To 0 Inch Fat All Grades Cooked Grilled</v>
      </c>
      <c r="C1915" t="str">
        <f>IFERROR(__xludf.DUMMYFUNCTION("""COMPUTED_VALUE"""),"Meats")</f>
        <v>Meats</v>
      </c>
      <c r="D1915">
        <f>IFERROR(__xludf.DUMMYFUNCTION("""COMPUTED_VALUE"""),222.0)</f>
        <v>222</v>
      </c>
      <c r="E1915">
        <f>IFERROR(__xludf.DUMMYFUNCTION("""COMPUTED_VALUE"""),12.79)</f>
        <v>12.79</v>
      </c>
      <c r="F1915">
        <f>IFERROR(__xludf.DUMMYFUNCTION("""COMPUTED_VALUE"""),24.93)</f>
        <v>24.93</v>
      </c>
      <c r="G1915">
        <f>IFERROR(__xludf.DUMMYFUNCTION("""COMPUTED_VALUE"""),0.0)</f>
        <v>0</v>
      </c>
    </row>
    <row r="1916">
      <c r="A1916">
        <f>IFERROR(__xludf.DUMMYFUNCTION("""COMPUTED_VALUE"""),173369.0)</f>
        <v>173369</v>
      </c>
      <c r="B1916" t="str">
        <f>IFERROR(__xludf.DUMMYFUNCTION("""COMPUTED_VALUE"""),"Beef Round Knuckle Tip Center Steak Separable Lean And Fat Trimmed To 0 Inch Fat All Grades Raw")</f>
        <v>Beef Round Knuckle Tip Center Steak Separable Lean And Fat Trimmed To 0 Inch Fat All Grades Raw</v>
      </c>
      <c r="C1916" t="str">
        <f>IFERROR(__xludf.DUMMYFUNCTION("""COMPUTED_VALUE"""),"Meats")</f>
        <v>Meats</v>
      </c>
      <c r="D1916">
        <f>IFERROR(__xludf.DUMMYFUNCTION("""COMPUTED_VALUE"""),143.0)</f>
        <v>143</v>
      </c>
      <c r="E1916">
        <f>IFERROR(__xludf.DUMMYFUNCTION("""COMPUTED_VALUE"""),5.89)</f>
        <v>5.89</v>
      </c>
      <c r="F1916">
        <f>IFERROR(__xludf.DUMMYFUNCTION("""COMPUTED_VALUE"""),20.93)</f>
        <v>20.93</v>
      </c>
      <c r="G1916">
        <f>IFERROR(__xludf.DUMMYFUNCTION("""COMPUTED_VALUE"""),0.0)</f>
        <v>0</v>
      </c>
    </row>
    <row r="1917">
      <c r="A1917">
        <f>IFERROR(__xludf.DUMMYFUNCTION("""COMPUTED_VALUE"""),173370.0)</f>
        <v>173370</v>
      </c>
      <c r="B1917" t="str">
        <f>IFERROR(__xludf.DUMMYFUNCTION("""COMPUTED_VALUE"""),"Beef Round Knuckle Tip Center Steak Separable Lean And Fat Trimmed To 0 Inch Fat All Grades Cooked Grilled")</f>
        <v>Beef Round Knuckle Tip Center Steak Separable Lean And Fat Trimmed To 0 Inch Fat All Grades Cooked Grilled</v>
      </c>
      <c r="C1917" t="str">
        <f>IFERROR(__xludf.DUMMYFUNCTION("""COMPUTED_VALUE"""),"Meats")</f>
        <v>Meats</v>
      </c>
      <c r="D1917">
        <f>IFERROR(__xludf.DUMMYFUNCTION("""COMPUTED_VALUE"""),177.0)</f>
        <v>177</v>
      </c>
      <c r="E1917">
        <f>IFERROR(__xludf.DUMMYFUNCTION("""COMPUTED_VALUE"""),6.78)</f>
        <v>6.78</v>
      </c>
      <c r="F1917">
        <f>IFERROR(__xludf.DUMMYFUNCTION("""COMPUTED_VALUE"""),27.12)</f>
        <v>27.12</v>
      </c>
      <c r="G1917">
        <f>IFERROR(__xludf.DUMMYFUNCTION("""COMPUTED_VALUE"""),0.0)</f>
        <v>0</v>
      </c>
    </row>
    <row r="1918">
      <c r="A1918">
        <f>IFERROR(__xludf.DUMMYFUNCTION("""COMPUTED_VALUE"""),173371.0)</f>
        <v>173371</v>
      </c>
      <c r="B1918" t="str">
        <f>IFERROR(__xludf.DUMMYFUNCTION("""COMPUTED_VALUE"""),"Beef Round Outside Round Bottom Round Steak Separable Lean And Fat Trimmed To 0 Inch Fat All Grades Raw")</f>
        <v>Beef Round Outside Round Bottom Round Steak Separable Lean And Fat Trimmed To 0 Inch Fat All Grades Raw</v>
      </c>
      <c r="C1918" t="str">
        <f>IFERROR(__xludf.DUMMYFUNCTION("""COMPUTED_VALUE"""),"Meats")</f>
        <v>Meats</v>
      </c>
      <c r="D1918">
        <f>IFERROR(__xludf.DUMMYFUNCTION("""COMPUTED_VALUE"""),142.0)</f>
        <v>142</v>
      </c>
      <c r="E1918">
        <f>IFERROR(__xludf.DUMMYFUNCTION("""COMPUTED_VALUE"""),5.53)</f>
        <v>5.53</v>
      </c>
      <c r="F1918">
        <f>IFERROR(__xludf.DUMMYFUNCTION("""COMPUTED_VALUE"""),21.59)</f>
        <v>21.59</v>
      </c>
      <c r="G1918">
        <f>IFERROR(__xludf.DUMMYFUNCTION("""COMPUTED_VALUE"""),0.0)</f>
        <v>0</v>
      </c>
    </row>
    <row r="1919">
      <c r="A1919">
        <f>IFERROR(__xludf.DUMMYFUNCTION("""COMPUTED_VALUE"""),173372.0)</f>
        <v>173372</v>
      </c>
      <c r="B1919" t="str">
        <f>IFERROR(__xludf.DUMMYFUNCTION("""COMPUTED_VALUE"""),"Beef Rib Eye Roast Boneless Lip-On Separable Lean Only Trimmed To 1/8 Inch Fat Select Cooked Roasted")</f>
        <v>Beef Rib Eye Roast Boneless Lip-On Separable Lean Only Trimmed To 1/8 Inch Fat Select Cooked Roasted</v>
      </c>
      <c r="C1919" t="str">
        <f>IFERROR(__xludf.DUMMYFUNCTION("""COMPUTED_VALUE"""),"Meats")</f>
        <v>Meats</v>
      </c>
      <c r="D1919">
        <f>IFERROR(__xludf.DUMMYFUNCTION("""COMPUTED_VALUE"""),202.0)</f>
        <v>202</v>
      </c>
      <c r="E1919">
        <f>IFERROR(__xludf.DUMMYFUNCTION("""COMPUTED_VALUE"""),9.68)</f>
        <v>9.68</v>
      </c>
      <c r="F1919">
        <f>IFERROR(__xludf.DUMMYFUNCTION("""COMPUTED_VALUE"""),28.72)</f>
        <v>28.72</v>
      </c>
      <c r="G1919">
        <f>IFERROR(__xludf.DUMMYFUNCTION("""COMPUTED_VALUE"""),0.0)</f>
        <v>0</v>
      </c>
    </row>
    <row r="1920">
      <c r="A1920">
        <f>IFERROR(__xludf.DUMMYFUNCTION("""COMPUTED_VALUE"""),173373.0)</f>
        <v>173373</v>
      </c>
      <c r="B1920" t="str">
        <f>IFERROR(__xludf.DUMMYFUNCTION("""COMPUTED_VALUE"""),"Beef Plate Steak Boneless Inside Skirt Separable Lean Only Trimmed To 0 Inch Fat All Grades Cooked Grilled")</f>
        <v>Beef Plate Steak Boneless Inside Skirt Separable Lean Only Trimmed To 0 Inch Fat All Grades Cooked Grilled</v>
      </c>
      <c r="C1920" t="str">
        <f>IFERROR(__xludf.DUMMYFUNCTION("""COMPUTED_VALUE"""),"Meats")</f>
        <v>Meats</v>
      </c>
      <c r="D1920">
        <f>IFERROR(__xludf.DUMMYFUNCTION("""COMPUTED_VALUE"""),234.0)</f>
        <v>234</v>
      </c>
      <c r="E1920">
        <f>IFERROR(__xludf.DUMMYFUNCTION("""COMPUTED_VALUE"""),12.69)</f>
        <v>12.69</v>
      </c>
      <c r="F1920">
        <f>IFERROR(__xludf.DUMMYFUNCTION("""COMPUTED_VALUE"""),29.99)</f>
        <v>29.99</v>
      </c>
      <c r="G1920">
        <f>IFERROR(__xludf.DUMMYFUNCTION("""COMPUTED_VALUE"""),0.0)</f>
        <v>0</v>
      </c>
    </row>
    <row r="1921">
      <c r="A1921">
        <f>IFERROR(__xludf.DUMMYFUNCTION("""COMPUTED_VALUE"""),173374.0)</f>
        <v>173374</v>
      </c>
      <c r="B1921" t="str">
        <f>IFERROR(__xludf.DUMMYFUNCTION("""COMPUTED_VALUE"""),"Beef Plate Steak Boneless Inside Skirt Separable Lean Only Trimmed To 0 Inch Fat All Grades Raw")</f>
        <v>Beef Plate Steak Boneless Inside Skirt Separable Lean Only Trimmed To 0 Inch Fat All Grades Raw</v>
      </c>
      <c r="C1921" t="str">
        <f>IFERROR(__xludf.DUMMYFUNCTION("""COMPUTED_VALUE"""),"Meats")</f>
        <v>Meats</v>
      </c>
      <c r="D1921">
        <f>IFERROR(__xludf.DUMMYFUNCTION("""COMPUTED_VALUE"""),164.0)</f>
        <v>164</v>
      </c>
      <c r="E1921">
        <f>IFERROR(__xludf.DUMMYFUNCTION("""COMPUTED_VALUE"""),8.82)</f>
        <v>8.82</v>
      </c>
      <c r="F1921">
        <f>IFERROR(__xludf.DUMMYFUNCTION("""COMPUTED_VALUE"""),21.17)</f>
        <v>21.17</v>
      </c>
      <c r="G1921">
        <f>IFERROR(__xludf.DUMMYFUNCTION("""COMPUTED_VALUE"""),0.0)</f>
        <v>0</v>
      </c>
    </row>
    <row r="1922">
      <c r="A1922">
        <f>IFERROR(__xludf.DUMMYFUNCTION("""COMPUTED_VALUE"""),173375.0)</f>
        <v>173375</v>
      </c>
      <c r="B1922" t="str">
        <f>IFERROR(__xludf.DUMMYFUNCTION("""COMPUTED_VALUE"""),"Beef Plate Steak Boneless Inside Skirt Separable Lean Only Trimmed To 0 Inch Fat Choice Cooked Grilled")</f>
        <v>Beef Plate Steak Boneless Inside Skirt Separable Lean Only Trimmed To 0 Inch Fat Choice Cooked Grilled</v>
      </c>
      <c r="C1922" t="str">
        <f>IFERROR(__xludf.DUMMYFUNCTION("""COMPUTED_VALUE"""),"Meats")</f>
        <v>Meats</v>
      </c>
      <c r="D1922">
        <f>IFERROR(__xludf.DUMMYFUNCTION("""COMPUTED_VALUE"""),242.0)</f>
        <v>242</v>
      </c>
      <c r="E1922">
        <f>IFERROR(__xludf.DUMMYFUNCTION("""COMPUTED_VALUE"""),13.72)</f>
        <v>13.72</v>
      </c>
      <c r="F1922">
        <f>IFERROR(__xludf.DUMMYFUNCTION("""COMPUTED_VALUE"""),29.56)</f>
        <v>29.56</v>
      </c>
      <c r="G1922">
        <f>IFERROR(__xludf.DUMMYFUNCTION("""COMPUTED_VALUE"""),0.0)</f>
        <v>0</v>
      </c>
    </row>
    <row r="1923">
      <c r="A1923">
        <f>IFERROR(__xludf.DUMMYFUNCTION("""COMPUTED_VALUE"""),173376.0)</f>
        <v>173376</v>
      </c>
      <c r="B1923" t="str">
        <f>IFERROR(__xludf.DUMMYFUNCTION("""COMPUTED_VALUE"""),"Beef Plate Steak Boneless Outside Skirt Separable Lean Only Trimmed To 0 Inch Fat All Grades Raw")</f>
        <v>Beef Plate Steak Boneless Outside Skirt Separable Lean Only Trimmed To 0 Inch Fat All Grades Raw</v>
      </c>
      <c r="C1923" t="str">
        <f>IFERROR(__xludf.DUMMYFUNCTION("""COMPUTED_VALUE"""),"Meats")</f>
        <v>Meats</v>
      </c>
      <c r="D1923">
        <f>IFERROR(__xludf.DUMMYFUNCTION("""COMPUTED_VALUE"""),206.0)</f>
        <v>206</v>
      </c>
      <c r="E1923">
        <f>IFERROR(__xludf.DUMMYFUNCTION("""COMPUTED_VALUE"""),14.53)</f>
        <v>14.53</v>
      </c>
      <c r="F1923">
        <f>IFERROR(__xludf.DUMMYFUNCTION("""COMPUTED_VALUE"""),18.74)</f>
        <v>18.74</v>
      </c>
      <c r="G1923">
        <f>IFERROR(__xludf.DUMMYFUNCTION("""COMPUTED_VALUE"""),0.19)</f>
        <v>0.19</v>
      </c>
    </row>
    <row r="1924">
      <c r="A1924">
        <f>IFERROR(__xludf.DUMMYFUNCTION("""COMPUTED_VALUE"""),173377.0)</f>
        <v>173377</v>
      </c>
      <c r="B1924" t="str">
        <f>IFERROR(__xludf.DUMMYFUNCTION("""COMPUTED_VALUE"""),"Beef Plate Steak Boneless Outside Skirt Separable Lean Only Trimmed To 0 Inch Fat Choice Cooked Grilled")</f>
        <v>Beef Plate Steak Boneless Outside Skirt Separable Lean Only Trimmed To 0 Inch Fat Choice Cooked Grilled</v>
      </c>
      <c r="C1924" t="str">
        <f>IFERROR(__xludf.DUMMYFUNCTION("""COMPUTED_VALUE"""),"Meats")</f>
        <v>Meats</v>
      </c>
      <c r="D1924">
        <f>IFERROR(__xludf.DUMMYFUNCTION("""COMPUTED_VALUE"""),291.0)</f>
        <v>291</v>
      </c>
      <c r="E1924">
        <f>IFERROR(__xludf.DUMMYFUNCTION("""COMPUTED_VALUE"""),20.28)</f>
        <v>20.28</v>
      </c>
      <c r="F1924">
        <f>IFERROR(__xludf.DUMMYFUNCTION("""COMPUTED_VALUE"""),27.03)</f>
        <v>27.03</v>
      </c>
      <c r="G1924">
        <f>IFERROR(__xludf.DUMMYFUNCTION("""COMPUTED_VALUE"""),0.0)</f>
        <v>0</v>
      </c>
    </row>
    <row r="1925">
      <c r="A1925">
        <f>IFERROR(__xludf.DUMMYFUNCTION("""COMPUTED_VALUE"""),173378.0)</f>
        <v>173378</v>
      </c>
      <c r="B1925" t="str">
        <f>IFERROR(__xludf.DUMMYFUNCTION("""COMPUTED_VALUE"""),"Beef Plate Steak Boneless Outside Skirt Separable Lean Only Trimmed To 0 Inch Fat Choice Raw")</f>
        <v>Beef Plate Steak Boneless Outside Skirt Separable Lean Only Trimmed To 0 Inch Fat Choice Raw</v>
      </c>
      <c r="C1925" t="str">
        <f>IFERROR(__xludf.DUMMYFUNCTION("""COMPUTED_VALUE"""),"Meats")</f>
        <v>Meats</v>
      </c>
      <c r="D1925">
        <f>IFERROR(__xludf.DUMMYFUNCTION("""COMPUTED_VALUE"""),212.0)</f>
        <v>212</v>
      </c>
      <c r="E1925">
        <f>IFERROR(__xludf.DUMMYFUNCTION("""COMPUTED_VALUE"""),15.26)</f>
        <v>15.26</v>
      </c>
      <c r="F1925">
        <f>IFERROR(__xludf.DUMMYFUNCTION("""COMPUTED_VALUE"""),18.47)</f>
        <v>18.47</v>
      </c>
      <c r="G1925">
        <f>IFERROR(__xludf.DUMMYFUNCTION("""COMPUTED_VALUE"""),0.17)</f>
        <v>0.17</v>
      </c>
    </row>
    <row r="1926">
      <c r="A1926">
        <f>IFERROR(__xludf.DUMMYFUNCTION("""COMPUTED_VALUE"""),173379.0)</f>
        <v>173379</v>
      </c>
      <c r="B1926" t="str">
        <f>IFERROR(__xludf.DUMMYFUNCTION("""COMPUTED_VALUE"""),"Skirt Steak")</f>
        <v>Skirt Steak</v>
      </c>
      <c r="C1926" t="str">
        <f>IFERROR(__xludf.DUMMYFUNCTION("""COMPUTED_VALUE"""),"Meats")</f>
        <v>Meats</v>
      </c>
      <c r="D1926">
        <f>IFERROR(__xludf.DUMMYFUNCTION("""COMPUTED_VALUE"""),268.0)</f>
        <v>268</v>
      </c>
      <c r="E1926">
        <f>IFERROR(__xludf.DUMMYFUNCTION("""COMPUTED_VALUE"""),17.1)</f>
        <v>17.1</v>
      </c>
      <c r="F1926">
        <f>IFERROR(__xludf.DUMMYFUNCTION("""COMPUTED_VALUE"""),28.65)</f>
        <v>28.65</v>
      </c>
      <c r="G1926">
        <f>IFERROR(__xludf.DUMMYFUNCTION("""COMPUTED_VALUE"""),0.0)</f>
        <v>0</v>
      </c>
    </row>
    <row r="1927">
      <c r="A1927">
        <f>IFERROR(__xludf.DUMMYFUNCTION("""COMPUTED_VALUE"""),173380.0)</f>
        <v>173380</v>
      </c>
      <c r="B1927" t="str">
        <f>IFERROR(__xludf.DUMMYFUNCTION("""COMPUTED_VALUE"""),"Beef Rib Eye Steak Boneless Lip Off Separable Lean Only Trimmed To 0 Inch Fat Choice Raw")</f>
        <v>Beef Rib Eye Steak Boneless Lip Off Separable Lean Only Trimmed To 0 Inch Fat Choice Raw</v>
      </c>
      <c r="C1927" t="str">
        <f>IFERROR(__xludf.DUMMYFUNCTION("""COMPUTED_VALUE"""),"Meats")</f>
        <v>Meats</v>
      </c>
      <c r="D1927">
        <f>IFERROR(__xludf.DUMMYFUNCTION("""COMPUTED_VALUE"""),162.0)</f>
        <v>162</v>
      </c>
      <c r="E1927">
        <f>IFERROR(__xludf.DUMMYFUNCTION("""COMPUTED_VALUE"""),8.5)</f>
        <v>8.5</v>
      </c>
      <c r="F1927">
        <f>IFERROR(__xludf.DUMMYFUNCTION("""COMPUTED_VALUE"""),21.44)</f>
        <v>21.44</v>
      </c>
      <c r="G1927">
        <f>IFERROR(__xludf.DUMMYFUNCTION("""COMPUTED_VALUE"""),0.0)</f>
        <v>0</v>
      </c>
    </row>
    <row r="1928">
      <c r="A1928">
        <f>IFERROR(__xludf.DUMMYFUNCTION("""COMPUTED_VALUE"""),173381.0)</f>
        <v>173381</v>
      </c>
      <c r="B1928" t="str">
        <f>IFERROR(__xludf.DUMMYFUNCTION("""COMPUTED_VALUE"""),"Beef Rib Eye Steak Boneless Lip Off Separable Lean Only Trimmed To 0 Inch Fat Select Cooked Grilled")</f>
        <v>Beef Rib Eye Steak Boneless Lip Off Separable Lean Only Trimmed To 0 Inch Fat Select Cooked Grilled</v>
      </c>
      <c r="C1928" t="str">
        <f>IFERROR(__xludf.DUMMYFUNCTION("""COMPUTED_VALUE"""),"Meats")</f>
        <v>Meats</v>
      </c>
      <c r="D1928">
        <f>IFERROR(__xludf.DUMMYFUNCTION("""COMPUTED_VALUE"""),191.0)</f>
        <v>191</v>
      </c>
      <c r="E1928">
        <f>IFERROR(__xludf.DUMMYFUNCTION("""COMPUTED_VALUE"""),8.31)</f>
        <v>8.31</v>
      </c>
      <c r="F1928">
        <f>IFERROR(__xludf.DUMMYFUNCTION("""COMPUTED_VALUE"""),29.18)</f>
        <v>29.18</v>
      </c>
      <c r="G1928">
        <f>IFERROR(__xludf.DUMMYFUNCTION("""COMPUTED_VALUE"""),0.0)</f>
        <v>0</v>
      </c>
    </row>
    <row r="1929">
      <c r="A1929">
        <f>IFERROR(__xludf.DUMMYFUNCTION("""COMPUTED_VALUE"""),173382.0)</f>
        <v>173382</v>
      </c>
      <c r="B1929" t="str">
        <f>IFERROR(__xludf.DUMMYFUNCTION("""COMPUTED_VALUE"""),"Beef Rib Eye Steak Boneless Lip Off Separable Lean Only Trimmed To 0 Inch Fat Select Raw")</f>
        <v>Beef Rib Eye Steak Boneless Lip Off Separable Lean Only Trimmed To 0 Inch Fat Select Raw</v>
      </c>
      <c r="C1929" t="str">
        <f>IFERROR(__xludf.DUMMYFUNCTION("""COMPUTED_VALUE"""),"Meats")</f>
        <v>Meats</v>
      </c>
      <c r="D1929">
        <f>IFERROR(__xludf.DUMMYFUNCTION("""COMPUTED_VALUE"""),142.0)</f>
        <v>142</v>
      </c>
      <c r="E1929">
        <f>IFERROR(__xludf.DUMMYFUNCTION("""COMPUTED_VALUE"""),5.78)</f>
        <v>5.78</v>
      </c>
      <c r="F1929">
        <f>IFERROR(__xludf.DUMMYFUNCTION("""COMPUTED_VALUE"""),22.46)</f>
        <v>22.46</v>
      </c>
      <c r="G1929">
        <f>IFERROR(__xludf.DUMMYFUNCTION("""COMPUTED_VALUE"""),0.0)</f>
        <v>0</v>
      </c>
    </row>
    <row r="1930">
      <c r="A1930">
        <f>IFERROR(__xludf.DUMMYFUNCTION("""COMPUTED_VALUE"""),173383.0)</f>
        <v>173383</v>
      </c>
      <c r="B1930" t="str">
        <f>IFERROR(__xludf.DUMMYFUNCTION("""COMPUTED_VALUE"""),"Beef Rib Back Ribs Bone-In Separable Lean Only Trimmed To 0 Inch Fat All Grades Cooked Braised")</f>
        <v>Beef Rib Back Ribs Bone-In Separable Lean Only Trimmed To 0 Inch Fat All Grades Cooked Braised</v>
      </c>
      <c r="C1930" t="str">
        <f>IFERROR(__xludf.DUMMYFUNCTION("""COMPUTED_VALUE"""),"Meats")</f>
        <v>Meats</v>
      </c>
      <c r="D1930">
        <f>IFERROR(__xludf.DUMMYFUNCTION("""COMPUTED_VALUE"""),299.0)</f>
        <v>299</v>
      </c>
      <c r="E1930">
        <f>IFERROR(__xludf.DUMMYFUNCTION("""COMPUTED_VALUE"""),20.57)</f>
        <v>20.57</v>
      </c>
      <c r="F1930">
        <f>IFERROR(__xludf.DUMMYFUNCTION("""COMPUTED_VALUE"""),28.36)</f>
        <v>28.36</v>
      </c>
      <c r="G1930">
        <f>IFERROR(__xludf.DUMMYFUNCTION("""COMPUTED_VALUE"""),0.0)</f>
        <v>0</v>
      </c>
    </row>
    <row r="1931">
      <c r="A1931">
        <f>IFERROR(__xludf.DUMMYFUNCTION("""COMPUTED_VALUE"""),173384.0)</f>
        <v>173384</v>
      </c>
      <c r="B1931" t="str">
        <f>IFERROR(__xludf.DUMMYFUNCTION("""COMPUTED_VALUE"""),"Beef Rib Back Ribs Bone-In Separable Lean Only Trimmed To 0 Inch Fat Select Raw")</f>
        <v>Beef Rib Back Ribs Bone-In Separable Lean Only Trimmed To 0 Inch Fat Select Raw</v>
      </c>
      <c r="C1931" t="str">
        <f>IFERROR(__xludf.DUMMYFUNCTION("""COMPUTED_VALUE"""),"Meats")</f>
        <v>Meats</v>
      </c>
      <c r="D1931">
        <f>IFERROR(__xludf.DUMMYFUNCTION("""COMPUTED_VALUE"""),221.0)</f>
        <v>221</v>
      </c>
      <c r="E1931">
        <f>IFERROR(__xludf.DUMMYFUNCTION("""COMPUTED_VALUE"""),15.73)</f>
        <v>15.73</v>
      </c>
      <c r="F1931">
        <f>IFERROR(__xludf.DUMMYFUNCTION("""COMPUTED_VALUE"""),19.71)</f>
        <v>19.71</v>
      </c>
      <c r="G1931">
        <f>IFERROR(__xludf.DUMMYFUNCTION("""COMPUTED_VALUE"""),0.2)</f>
        <v>0.2</v>
      </c>
    </row>
    <row r="1932">
      <c r="A1932">
        <f>IFERROR(__xludf.DUMMYFUNCTION("""COMPUTED_VALUE"""),173385.0)</f>
        <v>173385</v>
      </c>
      <c r="B1932" t="str">
        <f>IFERROR(__xludf.DUMMYFUNCTION("""COMPUTED_VALUE"""),"Beef Rib Eye Steak Bone-In Lip-On Separable Lean And Fat Trimmed To 1/8 Inch Fat Choice Cooked Grilled")</f>
        <v>Beef Rib Eye Steak Bone-In Lip-On Separable Lean And Fat Trimmed To 1/8 Inch Fat Choice Cooked Grilled</v>
      </c>
      <c r="C1932" t="str">
        <f>IFERROR(__xludf.DUMMYFUNCTION("""COMPUTED_VALUE"""),"Meats")</f>
        <v>Meats</v>
      </c>
      <c r="D1932">
        <f>IFERROR(__xludf.DUMMYFUNCTION("""COMPUTED_VALUE"""),313.0)</f>
        <v>313</v>
      </c>
      <c r="E1932">
        <f>IFERROR(__xludf.DUMMYFUNCTION("""COMPUTED_VALUE"""),24.7)</f>
        <v>24.7</v>
      </c>
      <c r="F1932">
        <f>IFERROR(__xludf.DUMMYFUNCTION("""COMPUTED_VALUE"""),22.71)</f>
        <v>22.71</v>
      </c>
      <c r="G1932">
        <f>IFERROR(__xludf.DUMMYFUNCTION("""COMPUTED_VALUE"""),0.0)</f>
        <v>0</v>
      </c>
    </row>
    <row r="1933">
      <c r="A1933">
        <f>IFERROR(__xludf.DUMMYFUNCTION("""COMPUTED_VALUE"""),173386.0)</f>
        <v>173386</v>
      </c>
      <c r="B1933" t="str">
        <f>IFERROR(__xludf.DUMMYFUNCTION("""COMPUTED_VALUE"""),"Beef Rib Eye Steak Bone-In Lip-On Separable Lean And Fat Trimmed To 1/8 Inch Fat Select Cooked Grilled")</f>
        <v>Beef Rib Eye Steak Bone-In Lip-On Separable Lean And Fat Trimmed To 1/8 Inch Fat Select Cooked Grilled</v>
      </c>
      <c r="C1933" t="str">
        <f>IFERROR(__xludf.DUMMYFUNCTION("""COMPUTED_VALUE"""),"Meats")</f>
        <v>Meats</v>
      </c>
      <c r="D1933">
        <f>IFERROR(__xludf.DUMMYFUNCTION("""COMPUTED_VALUE"""),304.0)</f>
        <v>304</v>
      </c>
      <c r="E1933">
        <f>IFERROR(__xludf.DUMMYFUNCTION("""COMPUTED_VALUE"""),23.47)</f>
        <v>23.47</v>
      </c>
      <c r="F1933">
        <f>IFERROR(__xludf.DUMMYFUNCTION("""COMPUTED_VALUE"""),23.19)</f>
        <v>23.19</v>
      </c>
      <c r="G1933">
        <f>IFERROR(__xludf.DUMMYFUNCTION("""COMPUTED_VALUE"""),0.0)</f>
        <v>0</v>
      </c>
    </row>
    <row r="1934">
      <c r="A1934">
        <f>IFERROR(__xludf.DUMMYFUNCTION("""COMPUTED_VALUE"""),173387.0)</f>
        <v>173387</v>
      </c>
      <c r="B1934" t="str">
        <f>IFERROR(__xludf.DUMMYFUNCTION("""COMPUTED_VALUE"""),"Beef Rib Eye Steak Bone-In Lip-On Separable Lean And Fat Trimmed To 1/8 Inch Fat All Grades Cooked Grilled")</f>
        <v>Beef Rib Eye Steak Bone-In Lip-On Separable Lean And Fat Trimmed To 1/8 Inch Fat All Grades Cooked Grilled</v>
      </c>
      <c r="C1934" t="str">
        <f>IFERROR(__xludf.DUMMYFUNCTION("""COMPUTED_VALUE"""),"Meats")</f>
        <v>Meats</v>
      </c>
      <c r="D1934">
        <f>IFERROR(__xludf.DUMMYFUNCTION("""COMPUTED_VALUE"""),309.0)</f>
        <v>309</v>
      </c>
      <c r="E1934">
        <f>IFERROR(__xludf.DUMMYFUNCTION("""COMPUTED_VALUE"""),24.2)</f>
        <v>24.2</v>
      </c>
      <c r="F1934">
        <f>IFERROR(__xludf.DUMMYFUNCTION("""COMPUTED_VALUE"""),22.9)</f>
        <v>22.9</v>
      </c>
      <c r="G1934">
        <f>IFERROR(__xludf.DUMMYFUNCTION("""COMPUTED_VALUE"""),0.0)</f>
        <v>0</v>
      </c>
    </row>
    <row r="1935">
      <c r="A1935">
        <f>IFERROR(__xludf.DUMMYFUNCTION("""COMPUTED_VALUE"""),173388.0)</f>
        <v>173388</v>
      </c>
      <c r="B1935" t="str">
        <f>IFERROR(__xludf.DUMMYFUNCTION("""COMPUTED_VALUE"""),"Beef Rib Eye Roast Bone-In Lip-On Separable Lean And Fat Trimmed To 1/8 Inch Fat Choice Cooked Roasted")</f>
        <v>Beef Rib Eye Roast Bone-In Lip-On Separable Lean And Fat Trimmed To 1/8 Inch Fat Choice Cooked Roasted</v>
      </c>
      <c r="C1935" t="str">
        <f>IFERROR(__xludf.DUMMYFUNCTION("""COMPUTED_VALUE"""),"Meats")</f>
        <v>Meats</v>
      </c>
      <c r="D1935">
        <f>IFERROR(__xludf.DUMMYFUNCTION("""COMPUTED_VALUE"""),307.0)</f>
        <v>307</v>
      </c>
      <c r="E1935">
        <f>IFERROR(__xludf.DUMMYFUNCTION("""COMPUTED_VALUE"""),23.61)</f>
        <v>23.61</v>
      </c>
      <c r="F1935">
        <f>IFERROR(__xludf.DUMMYFUNCTION("""COMPUTED_VALUE"""),23.53)</f>
        <v>23.53</v>
      </c>
      <c r="G1935">
        <f>IFERROR(__xludf.DUMMYFUNCTION("""COMPUTED_VALUE"""),0.0)</f>
        <v>0</v>
      </c>
    </row>
    <row r="1936">
      <c r="A1936">
        <f>IFERROR(__xludf.DUMMYFUNCTION("""COMPUTED_VALUE"""),173389.0)</f>
        <v>173389</v>
      </c>
      <c r="B1936" t="str">
        <f>IFERROR(__xludf.DUMMYFUNCTION("""COMPUTED_VALUE"""),"Beef Rib Eye Steak/roast Bone-In Lip-On Separable Lean And Fat Trimmed To 1/8 Inch Fat Select Raw")</f>
        <v>Beef Rib Eye Steak/roast Bone-In Lip-On Separable Lean And Fat Trimmed To 1/8 Inch Fat Select Raw</v>
      </c>
      <c r="C1936" t="str">
        <f>IFERROR(__xludf.DUMMYFUNCTION("""COMPUTED_VALUE"""),"Meats")</f>
        <v>Meats</v>
      </c>
      <c r="D1936">
        <f>IFERROR(__xludf.DUMMYFUNCTION("""COMPUTED_VALUE"""),248.0)</f>
        <v>248</v>
      </c>
      <c r="E1936">
        <f>IFERROR(__xludf.DUMMYFUNCTION("""COMPUTED_VALUE"""),19.34)</f>
        <v>19.34</v>
      </c>
      <c r="F1936">
        <f>IFERROR(__xludf.DUMMYFUNCTION("""COMPUTED_VALUE"""),18.44)</f>
        <v>18.44</v>
      </c>
      <c r="G1936">
        <f>IFERROR(__xludf.DUMMYFUNCTION("""COMPUTED_VALUE"""),0.0)</f>
        <v>0</v>
      </c>
    </row>
    <row r="1937">
      <c r="A1937">
        <f>IFERROR(__xludf.DUMMYFUNCTION("""COMPUTED_VALUE"""),173390.0)</f>
        <v>173390</v>
      </c>
      <c r="B1937" t="str">
        <f>IFERROR(__xludf.DUMMYFUNCTION("""COMPUTED_VALUE"""),"Beef Rib Eye Steak Boneless Lip-On Separable Lean And Fat Trimmed To 1/8 Inch Fat Choice Cooked Grilled")</f>
        <v>Beef Rib Eye Steak Boneless Lip-On Separable Lean And Fat Trimmed To 1/8 Inch Fat Choice Cooked Grilled</v>
      </c>
      <c r="C1937" t="str">
        <f>IFERROR(__xludf.DUMMYFUNCTION("""COMPUTED_VALUE"""),"Meats")</f>
        <v>Meats</v>
      </c>
      <c r="D1937">
        <f>IFERROR(__xludf.DUMMYFUNCTION("""COMPUTED_VALUE"""),303.0)</f>
        <v>303</v>
      </c>
      <c r="E1937">
        <f>IFERROR(__xludf.DUMMYFUNCTION("""COMPUTED_VALUE"""),23.52)</f>
        <v>23.52</v>
      </c>
      <c r="F1937">
        <f>IFERROR(__xludf.DUMMYFUNCTION("""COMPUTED_VALUE"""),22.92)</f>
        <v>22.92</v>
      </c>
      <c r="G1937">
        <f>IFERROR(__xludf.DUMMYFUNCTION("""COMPUTED_VALUE"""),0.0)</f>
        <v>0</v>
      </c>
    </row>
    <row r="1938">
      <c r="A1938">
        <f>IFERROR(__xludf.DUMMYFUNCTION("""COMPUTED_VALUE"""),173391.0)</f>
        <v>173391</v>
      </c>
      <c r="B1938" t="str">
        <f>IFERROR(__xludf.DUMMYFUNCTION("""COMPUTED_VALUE"""),"Beef Rib Eye Steak Boneless Lip-On Separable Lean And Fat Trimmed To 1/8 Inch Fat Select Cooked Grilled")</f>
        <v>Beef Rib Eye Steak Boneless Lip-On Separable Lean And Fat Trimmed To 1/8 Inch Fat Select Cooked Grilled</v>
      </c>
      <c r="C1938" t="str">
        <f>IFERROR(__xludf.DUMMYFUNCTION("""COMPUTED_VALUE"""),"Meats")</f>
        <v>Meats</v>
      </c>
      <c r="D1938">
        <f>IFERROR(__xludf.DUMMYFUNCTION("""COMPUTED_VALUE"""),273.0)</f>
        <v>273</v>
      </c>
      <c r="E1938">
        <f>IFERROR(__xludf.DUMMYFUNCTION("""COMPUTED_VALUE"""),19.25)</f>
        <v>19.25</v>
      </c>
      <c r="F1938">
        <f>IFERROR(__xludf.DUMMYFUNCTION("""COMPUTED_VALUE"""),24.83)</f>
        <v>24.83</v>
      </c>
      <c r="G1938">
        <f>IFERROR(__xludf.DUMMYFUNCTION("""COMPUTED_VALUE"""),0.0)</f>
        <v>0</v>
      </c>
    </row>
    <row r="1939">
      <c r="A1939">
        <f>IFERROR(__xludf.DUMMYFUNCTION("""COMPUTED_VALUE"""),173392.0)</f>
        <v>173392</v>
      </c>
      <c r="B1939" t="str">
        <f>IFERROR(__xludf.DUMMYFUNCTION("""COMPUTED_VALUE"""),"Beef Rib Eye Steak Boneless Lip-On Separable Lean And Fat Trimmed To 1/8 Inch Fat All Grades Cooked Grilled")</f>
        <v>Beef Rib Eye Steak Boneless Lip-On Separable Lean And Fat Trimmed To 1/8 Inch Fat All Grades Cooked Grilled</v>
      </c>
      <c r="C1939" t="str">
        <f>IFERROR(__xludf.DUMMYFUNCTION("""COMPUTED_VALUE"""),"Meats")</f>
        <v>Meats</v>
      </c>
      <c r="D1939">
        <f>IFERROR(__xludf.DUMMYFUNCTION("""COMPUTED_VALUE"""),291.0)</f>
        <v>291</v>
      </c>
      <c r="E1939">
        <f>IFERROR(__xludf.DUMMYFUNCTION("""COMPUTED_VALUE"""),21.81)</f>
        <v>21.81</v>
      </c>
      <c r="F1939">
        <f>IFERROR(__xludf.DUMMYFUNCTION("""COMPUTED_VALUE"""),23.69)</f>
        <v>23.69</v>
      </c>
      <c r="G1939">
        <f>IFERROR(__xludf.DUMMYFUNCTION("""COMPUTED_VALUE"""),0.0)</f>
        <v>0</v>
      </c>
    </row>
    <row r="1940">
      <c r="A1940">
        <f>IFERROR(__xludf.DUMMYFUNCTION("""COMPUTED_VALUE"""),173393.0)</f>
        <v>173393</v>
      </c>
      <c r="B1940" t="str">
        <f>IFERROR(__xludf.DUMMYFUNCTION("""COMPUTED_VALUE"""),"Beef Rib Eye Steak/roast Boneless Lip-On Separable Lean And Fat Trimmed To 1/8 Inch Fat Choice Raw")</f>
        <v>Beef Rib Eye Steak/roast Boneless Lip-On Separable Lean And Fat Trimmed To 1/8 Inch Fat Choice Raw</v>
      </c>
      <c r="C1940" t="str">
        <f>IFERROR(__xludf.DUMMYFUNCTION("""COMPUTED_VALUE"""),"Meats")</f>
        <v>Meats</v>
      </c>
      <c r="D1940">
        <f>IFERROR(__xludf.DUMMYFUNCTION("""COMPUTED_VALUE"""),253.0)</f>
        <v>253</v>
      </c>
      <c r="E1940">
        <f>IFERROR(__xludf.DUMMYFUNCTION("""COMPUTED_VALUE"""),19.95)</f>
        <v>19.95</v>
      </c>
      <c r="F1940">
        <f>IFERROR(__xludf.DUMMYFUNCTION("""COMPUTED_VALUE"""),18.39)</f>
        <v>18.39</v>
      </c>
      <c r="G1940">
        <f>IFERROR(__xludf.DUMMYFUNCTION("""COMPUTED_VALUE"""),0.0)</f>
        <v>0</v>
      </c>
    </row>
    <row r="1941">
      <c r="A1941">
        <f>IFERROR(__xludf.DUMMYFUNCTION("""COMPUTED_VALUE"""),173394.0)</f>
        <v>173394</v>
      </c>
      <c r="B1941" t="str">
        <f>IFERROR(__xludf.DUMMYFUNCTION("""COMPUTED_VALUE"""),"Beef Rib Eye Steak/roast Boneless Lip-On Separable Lean And Fat Trimmed To 1/8 Inch Fat Select Raw")</f>
        <v>Beef Rib Eye Steak/roast Boneless Lip-On Separable Lean And Fat Trimmed To 1/8 Inch Fat Select Raw</v>
      </c>
      <c r="C1941" t="str">
        <f>IFERROR(__xludf.DUMMYFUNCTION("""COMPUTED_VALUE"""),"Meats")</f>
        <v>Meats</v>
      </c>
      <c r="D1941">
        <f>IFERROR(__xludf.DUMMYFUNCTION("""COMPUTED_VALUE"""),230.0)</f>
        <v>230</v>
      </c>
      <c r="E1941">
        <f>IFERROR(__xludf.DUMMYFUNCTION("""COMPUTED_VALUE"""),16.9)</f>
        <v>16.9</v>
      </c>
      <c r="F1941">
        <f>IFERROR(__xludf.DUMMYFUNCTION("""COMPUTED_VALUE"""),19.55)</f>
        <v>19.55</v>
      </c>
      <c r="G1941">
        <f>IFERROR(__xludf.DUMMYFUNCTION("""COMPUTED_VALUE"""),0.0)</f>
        <v>0</v>
      </c>
    </row>
    <row r="1942">
      <c r="A1942">
        <f>IFERROR(__xludf.DUMMYFUNCTION("""COMPUTED_VALUE"""),173395.0)</f>
        <v>173395</v>
      </c>
      <c r="B1942" t="str">
        <f>IFERROR(__xludf.DUMMYFUNCTION("""COMPUTED_VALUE"""),"Beef Plate Steak Boneless Inside Skirt Separable Lean And Fat Trimmed To 0 Inch Fat All Grades Cooked Grilled")</f>
        <v>Beef Plate Steak Boneless Inside Skirt Separable Lean And Fat Trimmed To 0 Inch Fat All Grades Cooked Grilled</v>
      </c>
      <c r="C1942" t="str">
        <f>IFERROR(__xludf.DUMMYFUNCTION("""COMPUTED_VALUE"""),"Meats")</f>
        <v>Meats</v>
      </c>
      <c r="D1942">
        <f>IFERROR(__xludf.DUMMYFUNCTION("""COMPUTED_VALUE"""),245.0)</f>
        <v>245</v>
      </c>
      <c r="E1942">
        <f>IFERROR(__xludf.DUMMYFUNCTION("""COMPUTED_VALUE"""),14.2)</f>
        <v>14.2</v>
      </c>
      <c r="F1942">
        <f>IFERROR(__xludf.DUMMYFUNCTION("""COMPUTED_VALUE"""),29.36)</f>
        <v>29.36</v>
      </c>
      <c r="G1942">
        <f>IFERROR(__xludf.DUMMYFUNCTION("""COMPUTED_VALUE"""),0.0)</f>
        <v>0</v>
      </c>
    </row>
    <row r="1943">
      <c r="A1943">
        <f>IFERROR(__xludf.DUMMYFUNCTION("""COMPUTED_VALUE"""),173396.0)</f>
        <v>173396</v>
      </c>
      <c r="B1943" t="str">
        <f>IFERROR(__xludf.DUMMYFUNCTION("""COMPUTED_VALUE"""),"Beef Plate Steak Boneless Inside Skirt Separable Lean And Fat Trimmed To 0 Inch Fat Choice Cooked Grilled")</f>
        <v>Beef Plate Steak Boneless Inside Skirt Separable Lean And Fat Trimmed To 0 Inch Fat Choice Cooked Grilled</v>
      </c>
      <c r="C1943" t="str">
        <f>IFERROR(__xludf.DUMMYFUNCTION("""COMPUTED_VALUE"""),"Meats")</f>
        <v>Meats</v>
      </c>
      <c r="D1943">
        <f>IFERROR(__xludf.DUMMYFUNCTION("""COMPUTED_VALUE"""),253.0)</f>
        <v>253</v>
      </c>
      <c r="E1943">
        <f>IFERROR(__xludf.DUMMYFUNCTION("""COMPUTED_VALUE"""),15.3)</f>
        <v>15.3</v>
      </c>
      <c r="F1943">
        <f>IFERROR(__xludf.DUMMYFUNCTION("""COMPUTED_VALUE"""),28.9)</f>
        <v>28.9</v>
      </c>
      <c r="G1943">
        <f>IFERROR(__xludf.DUMMYFUNCTION("""COMPUTED_VALUE"""),0.0)</f>
        <v>0</v>
      </c>
    </row>
    <row r="1944">
      <c r="A1944">
        <f>IFERROR(__xludf.DUMMYFUNCTION("""COMPUTED_VALUE"""),173397.0)</f>
        <v>173397</v>
      </c>
      <c r="B1944" t="str">
        <f>IFERROR(__xludf.DUMMYFUNCTION("""COMPUTED_VALUE"""),"Beef Plate Steak Boneless Outside Skirt Separable Lean And Fat Trimmed To 0 Inch Fat All Grades Cooked Grilled")</f>
        <v>Beef Plate Steak Boneless Outside Skirt Separable Lean And Fat Trimmed To 0 Inch Fat All Grades Cooked Grilled</v>
      </c>
      <c r="C1944" t="str">
        <f>IFERROR(__xludf.DUMMYFUNCTION("""COMPUTED_VALUE"""),"Meats")</f>
        <v>Meats</v>
      </c>
      <c r="D1944">
        <f>IFERROR(__xludf.DUMMYFUNCTION("""COMPUTED_VALUE"""),292.0)</f>
        <v>292</v>
      </c>
      <c r="E1944">
        <f>IFERROR(__xludf.DUMMYFUNCTION("""COMPUTED_VALUE"""),20.47)</f>
        <v>20.47</v>
      </c>
      <c r="F1944">
        <f>IFERROR(__xludf.DUMMYFUNCTION("""COMPUTED_VALUE"""),27.06)</f>
        <v>27.06</v>
      </c>
      <c r="G1944">
        <f>IFERROR(__xludf.DUMMYFUNCTION("""COMPUTED_VALUE"""),0.0)</f>
        <v>0</v>
      </c>
    </row>
    <row r="1945">
      <c r="A1945">
        <f>IFERROR(__xludf.DUMMYFUNCTION("""COMPUTED_VALUE"""),173398.0)</f>
        <v>173398</v>
      </c>
      <c r="B1945" t="str">
        <f>IFERROR(__xludf.DUMMYFUNCTION("""COMPUTED_VALUE"""),"Beef Plate Steak Boneless Outside Skirt Separable Lean And Fat Trimmed To 0 Inch Fat Choice Cooked Grilled")</f>
        <v>Beef Plate Steak Boneless Outside Skirt Separable Lean And Fat Trimmed To 0 Inch Fat Choice Cooked Grilled</v>
      </c>
      <c r="C1945" t="str">
        <f>IFERROR(__xludf.DUMMYFUNCTION("""COMPUTED_VALUE"""),"Meats")</f>
        <v>Meats</v>
      </c>
      <c r="D1945">
        <f>IFERROR(__xludf.DUMMYFUNCTION("""COMPUTED_VALUE"""),300.0)</f>
        <v>300</v>
      </c>
      <c r="E1945">
        <f>IFERROR(__xludf.DUMMYFUNCTION("""COMPUTED_VALUE"""),21.62)</f>
        <v>21.62</v>
      </c>
      <c r="F1945">
        <f>IFERROR(__xludf.DUMMYFUNCTION("""COMPUTED_VALUE"""),26.46)</f>
        <v>26.46</v>
      </c>
      <c r="G1945">
        <f>IFERROR(__xludf.DUMMYFUNCTION("""COMPUTED_VALUE"""),0.0)</f>
        <v>0</v>
      </c>
    </row>
    <row r="1946">
      <c r="A1946">
        <f>IFERROR(__xludf.DUMMYFUNCTION("""COMPUTED_VALUE"""),173399.0)</f>
        <v>173399</v>
      </c>
      <c r="B1946" t="str">
        <f>IFERROR(__xludf.DUMMYFUNCTION("""COMPUTED_VALUE"""),"Beef Plate Steak Boneless Outside Skirt Separable Lean And Fat Trimmed To 0 Inch Fat Select Cooked Grilled")</f>
        <v>Beef Plate Steak Boneless Outside Skirt Separable Lean And Fat Trimmed To 0 Inch Fat Select Cooked Grilled</v>
      </c>
      <c r="C1946" t="str">
        <f>IFERROR(__xludf.DUMMYFUNCTION("""COMPUTED_VALUE"""),"Meats")</f>
        <v>Meats</v>
      </c>
      <c r="D1946">
        <f>IFERROR(__xludf.DUMMYFUNCTION("""COMPUTED_VALUE"""),281.0)</f>
        <v>281</v>
      </c>
      <c r="E1946">
        <f>IFERROR(__xludf.DUMMYFUNCTION("""COMPUTED_VALUE"""),18.75)</f>
        <v>18.75</v>
      </c>
      <c r="F1946">
        <f>IFERROR(__xludf.DUMMYFUNCTION("""COMPUTED_VALUE"""),27.95)</f>
        <v>27.95</v>
      </c>
      <c r="G1946">
        <f>IFERROR(__xludf.DUMMYFUNCTION("""COMPUTED_VALUE"""),0.0)</f>
        <v>0</v>
      </c>
    </row>
    <row r="1947">
      <c r="A1947">
        <f>IFERROR(__xludf.DUMMYFUNCTION("""COMPUTED_VALUE"""),173400.0)</f>
        <v>173400</v>
      </c>
      <c r="B1947" t="str">
        <f>IFERROR(__xludf.DUMMYFUNCTION("""COMPUTED_VALUE"""),"Beef Plate Steak Boneless Outside Skirt Separable Lean And Fat Trimmed To 0 Inch Fat All Grades Raw")</f>
        <v>Beef Plate Steak Boneless Outside Skirt Separable Lean And Fat Trimmed To 0 Inch Fat All Grades Raw</v>
      </c>
      <c r="C1947" t="str">
        <f>IFERROR(__xludf.DUMMYFUNCTION("""COMPUTED_VALUE"""),"Meats")</f>
        <v>Meats</v>
      </c>
      <c r="D1947">
        <f>IFERROR(__xludf.DUMMYFUNCTION("""COMPUTED_VALUE"""),232.0)</f>
        <v>232</v>
      </c>
      <c r="E1947">
        <f>IFERROR(__xludf.DUMMYFUNCTION("""COMPUTED_VALUE"""),17.59)</f>
        <v>17.59</v>
      </c>
      <c r="F1947">
        <f>IFERROR(__xludf.DUMMYFUNCTION("""COMPUTED_VALUE"""),17.98)</f>
        <v>17.98</v>
      </c>
      <c r="G1947">
        <f>IFERROR(__xludf.DUMMYFUNCTION("""COMPUTED_VALUE"""),0.35)</f>
        <v>0.35</v>
      </c>
    </row>
    <row r="1948">
      <c r="A1948">
        <f>IFERROR(__xludf.DUMMYFUNCTION("""COMPUTED_VALUE"""),173401.0)</f>
        <v>173401</v>
      </c>
      <c r="B1948" t="str">
        <f>IFERROR(__xludf.DUMMYFUNCTION("""COMPUTED_VALUE"""),"Beef Rib Eye Steak Boneless Lip Off Separable Lean And Fat Trimmed To 0 Inch Fat Select Cooked Grilled")</f>
        <v>Beef Rib Eye Steak Boneless Lip Off Separable Lean And Fat Trimmed To 0 Inch Fat Select Cooked Grilled</v>
      </c>
      <c r="C1948" t="str">
        <f>IFERROR(__xludf.DUMMYFUNCTION("""COMPUTED_VALUE"""),"Meats")</f>
        <v>Meats</v>
      </c>
      <c r="D1948">
        <f>IFERROR(__xludf.DUMMYFUNCTION("""COMPUTED_VALUE"""),248.0)</f>
        <v>248</v>
      </c>
      <c r="E1948">
        <f>IFERROR(__xludf.DUMMYFUNCTION("""COMPUTED_VALUE"""),15.9)</f>
        <v>15.9</v>
      </c>
      <c r="F1948">
        <f>IFERROR(__xludf.DUMMYFUNCTION("""COMPUTED_VALUE"""),26.29)</f>
        <v>26.29</v>
      </c>
      <c r="G1948">
        <f>IFERROR(__xludf.DUMMYFUNCTION("""COMPUTED_VALUE"""),0.0)</f>
        <v>0</v>
      </c>
    </row>
    <row r="1949">
      <c r="A1949">
        <f>IFERROR(__xludf.DUMMYFUNCTION("""COMPUTED_VALUE"""),173402.0)</f>
        <v>173402</v>
      </c>
      <c r="B1949" t="str">
        <f>IFERROR(__xludf.DUMMYFUNCTION("""COMPUTED_VALUE"""),"Beef Rib Eye Steak Boneless Lip Off Separable Lean And Fat Trimmed To 0 Inch Fat All Grades Raw")</f>
        <v>Beef Rib Eye Steak Boneless Lip Off Separable Lean And Fat Trimmed To 0 Inch Fat All Grades Raw</v>
      </c>
      <c r="C1949" t="str">
        <f>IFERROR(__xludf.DUMMYFUNCTION("""COMPUTED_VALUE"""),"Meats")</f>
        <v>Meats</v>
      </c>
      <c r="D1949">
        <f>IFERROR(__xludf.DUMMYFUNCTION("""COMPUTED_VALUE"""),228.0)</f>
        <v>228</v>
      </c>
      <c r="E1949">
        <f>IFERROR(__xludf.DUMMYFUNCTION("""COMPUTED_VALUE"""),16.71)</f>
        <v>16.71</v>
      </c>
      <c r="F1949">
        <f>IFERROR(__xludf.DUMMYFUNCTION("""COMPUTED_VALUE"""),19.26)</f>
        <v>19.26</v>
      </c>
      <c r="G1949">
        <f>IFERROR(__xludf.DUMMYFUNCTION("""COMPUTED_VALUE"""),0.12)</f>
        <v>0.12</v>
      </c>
    </row>
    <row r="1950">
      <c r="A1950">
        <f>IFERROR(__xludf.DUMMYFUNCTION("""COMPUTED_VALUE"""),173403.0)</f>
        <v>173403</v>
      </c>
      <c r="B1950" t="str">
        <f>IFERROR(__xludf.DUMMYFUNCTION("""COMPUTED_VALUE"""),"Beef Rib Eye Steak Boneless Lip Off Separable Lean And Fat Trimmed To 0 Inch Fat Choice Raw")</f>
        <v>Beef Rib Eye Steak Boneless Lip Off Separable Lean And Fat Trimmed To 0 Inch Fat Choice Raw</v>
      </c>
      <c r="C1950" t="str">
        <f>IFERROR(__xludf.DUMMYFUNCTION("""COMPUTED_VALUE"""),"Meats")</f>
        <v>Meats</v>
      </c>
      <c r="D1950">
        <f>IFERROR(__xludf.DUMMYFUNCTION("""COMPUTED_VALUE"""),241.0)</f>
        <v>241</v>
      </c>
      <c r="E1950">
        <f>IFERROR(__xludf.DUMMYFUNCTION("""COMPUTED_VALUE"""),18.43)</f>
        <v>18.43</v>
      </c>
      <c r="F1950">
        <f>IFERROR(__xludf.DUMMYFUNCTION("""COMPUTED_VALUE"""),18.69)</f>
        <v>18.69</v>
      </c>
      <c r="G1950">
        <f>IFERROR(__xludf.DUMMYFUNCTION("""COMPUTED_VALUE"""),0.2)</f>
        <v>0.2</v>
      </c>
    </row>
    <row r="1951">
      <c r="A1951">
        <f>IFERROR(__xludf.DUMMYFUNCTION("""COMPUTED_VALUE"""),173404.0)</f>
        <v>173404</v>
      </c>
      <c r="B1951" t="str">
        <f>IFERROR(__xludf.DUMMYFUNCTION("""COMPUTED_VALUE"""),"Beef Rib Eye Steak Boneless Lip Off Separable Lean And Fat Trimmed To 0 Inch Fat Select Raw")</f>
        <v>Beef Rib Eye Steak Boneless Lip Off Separable Lean And Fat Trimmed To 0 Inch Fat Select Raw</v>
      </c>
      <c r="C1951" t="str">
        <f>IFERROR(__xludf.DUMMYFUNCTION("""COMPUTED_VALUE"""),"Meats")</f>
        <v>Meats</v>
      </c>
      <c r="D1951">
        <f>IFERROR(__xludf.DUMMYFUNCTION("""COMPUTED_VALUE"""),208.0)</f>
        <v>208</v>
      </c>
      <c r="E1951">
        <f>IFERROR(__xludf.DUMMYFUNCTION("""COMPUTED_VALUE"""),14.14)</f>
        <v>14.14</v>
      </c>
      <c r="F1951">
        <f>IFERROR(__xludf.DUMMYFUNCTION("""COMPUTED_VALUE"""),20.12)</f>
        <v>20.12</v>
      </c>
      <c r="G1951">
        <f>IFERROR(__xludf.DUMMYFUNCTION("""COMPUTED_VALUE"""),0.0)</f>
        <v>0</v>
      </c>
    </row>
    <row r="1952">
      <c r="A1952">
        <f>IFERROR(__xludf.DUMMYFUNCTION("""COMPUTED_VALUE"""),173405.0)</f>
        <v>173405</v>
      </c>
      <c r="B1952" t="str">
        <f>IFERROR(__xludf.DUMMYFUNCTION("""COMPUTED_VALUE"""),"Beef Rib Back Ribs Bone-In Separable Lean And Fat Trimmed To 0 Inch Fat Choice Raw")</f>
        <v>Beef Rib Back Ribs Bone-In Separable Lean And Fat Trimmed To 0 Inch Fat Choice Raw</v>
      </c>
      <c r="C1952" t="str">
        <f>IFERROR(__xludf.DUMMYFUNCTION("""COMPUTED_VALUE"""),"Meats")</f>
        <v>Meats</v>
      </c>
      <c r="D1952">
        <f>IFERROR(__xludf.DUMMYFUNCTION("""COMPUTED_VALUE"""),336.0)</f>
        <v>336</v>
      </c>
      <c r="E1952">
        <f>IFERROR(__xludf.DUMMYFUNCTION("""COMPUTED_VALUE"""),29.89)</f>
        <v>29.89</v>
      </c>
      <c r="F1952">
        <f>IFERROR(__xludf.DUMMYFUNCTION("""COMPUTED_VALUE"""),15.75)</f>
        <v>15.75</v>
      </c>
      <c r="G1952">
        <f>IFERROR(__xludf.DUMMYFUNCTION("""COMPUTED_VALUE"""),0.9)</f>
        <v>0.9</v>
      </c>
    </row>
    <row r="1953">
      <c r="A1953">
        <f>IFERROR(__xludf.DUMMYFUNCTION("""COMPUTED_VALUE"""),173406.0)</f>
        <v>173406</v>
      </c>
      <c r="B1953" t="str">
        <f>IFERROR(__xludf.DUMMYFUNCTION("""COMPUTED_VALUE"""),"Beef Rib Back Ribs Bone-In Separable Lean And Fat Trimmed To 0 Inch Fat Select Raw")</f>
        <v>Beef Rib Back Ribs Bone-In Separable Lean And Fat Trimmed To 0 Inch Fat Select Raw</v>
      </c>
      <c r="C1953" t="str">
        <f>IFERROR(__xludf.DUMMYFUNCTION("""COMPUTED_VALUE"""),"Meats")</f>
        <v>Meats</v>
      </c>
      <c r="D1953">
        <f>IFERROR(__xludf.DUMMYFUNCTION("""COMPUTED_VALUE"""),305.0)</f>
        <v>305</v>
      </c>
      <c r="E1953">
        <f>IFERROR(__xludf.DUMMYFUNCTION("""COMPUTED_VALUE"""),26.23)</f>
        <v>26.23</v>
      </c>
      <c r="F1953">
        <f>IFERROR(__xludf.DUMMYFUNCTION("""COMPUTED_VALUE"""),16.75)</f>
        <v>16.75</v>
      </c>
      <c r="G1953">
        <f>IFERROR(__xludf.DUMMYFUNCTION("""COMPUTED_VALUE"""),0.6)</f>
        <v>0.6</v>
      </c>
    </row>
    <row r="1954">
      <c r="A1954">
        <f>IFERROR(__xludf.DUMMYFUNCTION("""COMPUTED_VALUE"""),173407.0)</f>
        <v>173407</v>
      </c>
      <c r="B1954" t="str">
        <f>IFERROR(__xludf.DUMMYFUNCTION("""COMPUTED_VALUE"""),"Beef Loin Top Sirloin Petite Roast Boneless Separable Lean Only Trimmed To 0 Inch Fat Choice Cooked Roasted")</f>
        <v>Beef Loin Top Sirloin Petite Roast Boneless Separable Lean Only Trimmed To 0 Inch Fat Choice Cooked Roasted</v>
      </c>
      <c r="C1954" t="str">
        <f>IFERROR(__xludf.DUMMYFUNCTION("""COMPUTED_VALUE"""),"Meats")</f>
        <v>Meats</v>
      </c>
      <c r="D1954">
        <f>IFERROR(__xludf.DUMMYFUNCTION("""COMPUTED_VALUE"""),173.0)</f>
        <v>173</v>
      </c>
      <c r="E1954">
        <f>IFERROR(__xludf.DUMMYFUNCTION("""COMPUTED_VALUE"""),6.37)</f>
        <v>6.37</v>
      </c>
      <c r="F1954">
        <f>IFERROR(__xludf.DUMMYFUNCTION("""COMPUTED_VALUE"""),28.97)</f>
        <v>28.97</v>
      </c>
      <c r="G1954">
        <f>IFERROR(__xludf.DUMMYFUNCTION("""COMPUTED_VALUE"""),0.0)</f>
        <v>0</v>
      </c>
    </row>
    <row r="1955">
      <c r="A1955">
        <f>IFERROR(__xludf.DUMMYFUNCTION("""COMPUTED_VALUE"""),173408.0)</f>
        <v>173408</v>
      </c>
      <c r="B1955" t="str">
        <f>IFERROR(__xludf.DUMMYFUNCTION("""COMPUTED_VALUE"""),"Beef Loin Top Sirloin Petite Roast/filet Boneless Separable Lean Only Trimmed To 0 Inch Fat Choice Raw")</f>
        <v>Beef Loin Top Sirloin Petite Roast/filet Boneless Separable Lean Only Trimmed To 0 Inch Fat Choice Raw</v>
      </c>
      <c r="C1955" t="str">
        <f>IFERROR(__xludf.DUMMYFUNCTION("""COMPUTED_VALUE"""),"Meats")</f>
        <v>Meats</v>
      </c>
      <c r="D1955">
        <f>IFERROR(__xludf.DUMMYFUNCTION("""COMPUTED_VALUE"""),132.0)</f>
        <v>132</v>
      </c>
      <c r="E1955">
        <f>IFERROR(__xludf.DUMMYFUNCTION("""COMPUTED_VALUE"""),4.4)</f>
        <v>4.4</v>
      </c>
      <c r="F1955">
        <f>IFERROR(__xludf.DUMMYFUNCTION("""COMPUTED_VALUE"""),23.03)</f>
        <v>23.03</v>
      </c>
      <c r="G1955">
        <f>IFERROR(__xludf.DUMMYFUNCTION("""COMPUTED_VALUE"""),0.0)</f>
        <v>0</v>
      </c>
    </row>
    <row r="1956">
      <c r="A1956">
        <f>IFERROR(__xludf.DUMMYFUNCTION("""COMPUTED_VALUE"""),173409.0)</f>
        <v>173409</v>
      </c>
      <c r="B1956" t="str">
        <f>IFERROR(__xludf.DUMMYFUNCTION("""COMPUTED_VALUE"""),"Beef Loin Top Sirloin Cap Steak Boneless Separable Lean Only Trimmed To 1/8 Inch Fat Select Raw")</f>
        <v>Beef Loin Top Sirloin Cap Steak Boneless Separable Lean Only Trimmed To 1/8 Inch Fat Select Raw</v>
      </c>
      <c r="C1956" t="str">
        <f>IFERROR(__xludf.DUMMYFUNCTION("""COMPUTED_VALUE"""),"Meats")</f>
        <v>Meats</v>
      </c>
      <c r="D1956">
        <f>IFERROR(__xludf.DUMMYFUNCTION("""COMPUTED_VALUE"""),128.0)</f>
        <v>128</v>
      </c>
      <c r="E1956">
        <f>IFERROR(__xludf.DUMMYFUNCTION("""COMPUTED_VALUE"""),4.68)</f>
        <v>4.68</v>
      </c>
      <c r="F1956">
        <f>IFERROR(__xludf.DUMMYFUNCTION("""COMPUTED_VALUE"""),21.44)</f>
        <v>21.44</v>
      </c>
      <c r="G1956">
        <f>IFERROR(__xludf.DUMMYFUNCTION("""COMPUTED_VALUE"""),0.0)</f>
        <v>0</v>
      </c>
    </row>
    <row r="1957">
      <c r="A1957">
        <f>IFERROR(__xludf.DUMMYFUNCTION("""COMPUTED_VALUE"""),173410.0)</f>
        <v>173410</v>
      </c>
      <c r="B1957" t="str">
        <f>IFERROR(__xludf.DUMMYFUNCTION("""COMPUTED_VALUE"""),"Salted Butter")</f>
        <v>Salted Butter</v>
      </c>
      <c r="C1957" t="str">
        <f>IFERROR(__xludf.DUMMYFUNCTION("""COMPUTED_VALUE"""),"Dairy and Egg Products")</f>
        <v>Dairy and Egg Products</v>
      </c>
      <c r="D1957">
        <f>IFERROR(__xludf.DUMMYFUNCTION("""COMPUTED_VALUE"""),717.0)</f>
        <v>717</v>
      </c>
      <c r="E1957">
        <f>IFERROR(__xludf.DUMMYFUNCTION("""COMPUTED_VALUE"""),81.11)</f>
        <v>81.11</v>
      </c>
      <c r="F1957">
        <f>IFERROR(__xludf.DUMMYFUNCTION("""COMPUTED_VALUE"""),0.85)</f>
        <v>0.85</v>
      </c>
      <c r="G1957">
        <f>IFERROR(__xludf.DUMMYFUNCTION("""COMPUTED_VALUE"""),0.06)</f>
        <v>0.06</v>
      </c>
    </row>
    <row r="1958">
      <c r="A1958">
        <f>IFERROR(__xludf.DUMMYFUNCTION("""COMPUTED_VALUE"""),173411.0)</f>
        <v>173411</v>
      </c>
      <c r="B1958" t="str">
        <f>IFERROR(__xludf.DUMMYFUNCTION("""COMPUTED_VALUE"""),"Whipped Butter (Salted)")</f>
        <v>Whipped Butter (Salted)</v>
      </c>
      <c r="C1958" t="str">
        <f>IFERROR(__xludf.DUMMYFUNCTION("""COMPUTED_VALUE"""),"Dairy and Egg Products")</f>
        <v>Dairy and Egg Products</v>
      </c>
      <c r="D1958">
        <f>IFERROR(__xludf.DUMMYFUNCTION("""COMPUTED_VALUE"""),731.0)</f>
        <v>731</v>
      </c>
      <c r="E1958">
        <f>IFERROR(__xludf.DUMMYFUNCTION("""COMPUTED_VALUE"""),78.3)</f>
        <v>78.3</v>
      </c>
      <c r="F1958">
        <f>IFERROR(__xludf.DUMMYFUNCTION("""COMPUTED_VALUE"""),0.49)</f>
        <v>0.49</v>
      </c>
      <c r="G1958">
        <f>IFERROR(__xludf.DUMMYFUNCTION("""COMPUTED_VALUE"""),0.0)</f>
        <v>0</v>
      </c>
    </row>
    <row r="1959">
      <c r="A1959">
        <f>IFERROR(__xludf.DUMMYFUNCTION("""COMPUTED_VALUE"""),173412.0)</f>
        <v>173412</v>
      </c>
      <c r="B1959" t="str">
        <f>IFERROR(__xludf.DUMMYFUNCTION("""COMPUTED_VALUE"""),"Ghee (Clarified Butter)")</f>
        <v>Ghee (Clarified Butter)</v>
      </c>
      <c r="C1959" t="str">
        <f>IFERROR(__xludf.DUMMYFUNCTION("""COMPUTED_VALUE"""),"Dairy and Egg Products")</f>
        <v>Dairy and Egg Products</v>
      </c>
      <c r="D1959">
        <f>IFERROR(__xludf.DUMMYFUNCTION("""COMPUTED_VALUE"""),876.0)</f>
        <v>876</v>
      </c>
      <c r="E1959">
        <f>IFERROR(__xludf.DUMMYFUNCTION("""COMPUTED_VALUE"""),99.48)</f>
        <v>99.48</v>
      </c>
      <c r="F1959">
        <f>IFERROR(__xludf.DUMMYFUNCTION("""COMPUTED_VALUE"""),0.28)</f>
        <v>0.28</v>
      </c>
      <c r="G1959">
        <f>IFERROR(__xludf.DUMMYFUNCTION("""COMPUTED_VALUE"""),0.0)</f>
        <v>0</v>
      </c>
    </row>
    <row r="1960">
      <c r="A1960">
        <f>IFERROR(__xludf.DUMMYFUNCTION("""COMPUTED_VALUE"""),173413.0)</f>
        <v>173413</v>
      </c>
      <c r="B1960" t="str">
        <f>IFERROR(__xludf.DUMMYFUNCTION("""COMPUTED_VALUE"""),"Caraway Cheese")</f>
        <v>Caraway Cheese</v>
      </c>
      <c r="C1960" t="str">
        <f>IFERROR(__xludf.DUMMYFUNCTION("""COMPUTED_VALUE"""),"Dairy and Egg Products")</f>
        <v>Dairy and Egg Products</v>
      </c>
      <c r="D1960">
        <f>IFERROR(__xludf.DUMMYFUNCTION("""COMPUTED_VALUE"""),376.0)</f>
        <v>376</v>
      </c>
      <c r="E1960">
        <f>IFERROR(__xludf.DUMMYFUNCTION("""COMPUTED_VALUE"""),29.2)</f>
        <v>29.2</v>
      </c>
      <c r="F1960">
        <f>IFERROR(__xludf.DUMMYFUNCTION("""COMPUTED_VALUE"""),25.18)</f>
        <v>25.18</v>
      </c>
      <c r="G1960">
        <f>IFERROR(__xludf.DUMMYFUNCTION("""COMPUTED_VALUE"""),3.06)</f>
        <v>3.06</v>
      </c>
    </row>
    <row r="1961">
      <c r="A1961">
        <f>IFERROR(__xludf.DUMMYFUNCTION("""COMPUTED_VALUE"""),173414.0)</f>
        <v>173414</v>
      </c>
      <c r="B1961" t="str">
        <f>IFERROR(__xludf.DUMMYFUNCTION("""COMPUTED_VALUE"""),"Cheddar Cheese")</f>
        <v>Cheddar Cheese</v>
      </c>
      <c r="C1961" t="str">
        <f>IFERROR(__xludf.DUMMYFUNCTION("""COMPUTED_VALUE"""),"Dairy and Egg Products")</f>
        <v>Dairy and Egg Products</v>
      </c>
      <c r="D1961">
        <f>IFERROR(__xludf.DUMMYFUNCTION("""COMPUTED_VALUE"""),403.0)</f>
        <v>403</v>
      </c>
      <c r="E1961">
        <f>IFERROR(__xludf.DUMMYFUNCTION("""COMPUTED_VALUE"""),33.31)</f>
        <v>33.31</v>
      </c>
      <c r="F1961">
        <f>IFERROR(__xludf.DUMMYFUNCTION("""COMPUTED_VALUE"""),22.87)</f>
        <v>22.87</v>
      </c>
      <c r="G1961">
        <f>IFERROR(__xludf.DUMMYFUNCTION("""COMPUTED_VALUE"""),3.37)</f>
        <v>3.37</v>
      </c>
    </row>
    <row r="1962">
      <c r="A1962">
        <f>IFERROR(__xludf.DUMMYFUNCTION("""COMPUTED_VALUE"""),173415.0)</f>
        <v>173415</v>
      </c>
      <c r="B1962" t="str">
        <f>IFERROR(__xludf.DUMMYFUNCTION("""COMPUTED_VALUE"""),"Chesire Cheese")</f>
        <v>Chesire Cheese</v>
      </c>
      <c r="C1962" t="str">
        <f>IFERROR(__xludf.DUMMYFUNCTION("""COMPUTED_VALUE"""),"Dairy and Egg Products")</f>
        <v>Dairy and Egg Products</v>
      </c>
      <c r="D1962">
        <f>IFERROR(__xludf.DUMMYFUNCTION("""COMPUTED_VALUE"""),387.0)</f>
        <v>387</v>
      </c>
      <c r="E1962">
        <f>IFERROR(__xludf.DUMMYFUNCTION("""COMPUTED_VALUE"""),30.6)</f>
        <v>30.6</v>
      </c>
      <c r="F1962">
        <f>IFERROR(__xludf.DUMMYFUNCTION("""COMPUTED_VALUE"""),23.37)</f>
        <v>23.37</v>
      </c>
      <c r="G1962">
        <f>IFERROR(__xludf.DUMMYFUNCTION("""COMPUTED_VALUE"""),4.78)</f>
        <v>4.78</v>
      </c>
    </row>
    <row r="1963">
      <c r="A1963">
        <f>IFERROR(__xludf.DUMMYFUNCTION("""COMPUTED_VALUE"""),173416.0)</f>
        <v>173416</v>
      </c>
      <c r="B1963" t="str">
        <f>IFERROR(__xludf.DUMMYFUNCTION("""COMPUTED_VALUE"""),"Colby Cheese")</f>
        <v>Colby Cheese</v>
      </c>
      <c r="C1963" t="str">
        <f>IFERROR(__xludf.DUMMYFUNCTION("""COMPUTED_VALUE"""),"Dairy and Egg Products")</f>
        <v>Dairy and Egg Products</v>
      </c>
      <c r="D1963">
        <f>IFERROR(__xludf.DUMMYFUNCTION("""COMPUTED_VALUE"""),394.0)</f>
        <v>394</v>
      </c>
      <c r="E1963">
        <f>IFERROR(__xludf.DUMMYFUNCTION("""COMPUTED_VALUE"""),32.11)</f>
        <v>32.11</v>
      </c>
      <c r="F1963">
        <f>IFERROR(__xludf.DUMMYFUNCTION("""COMPUTED_VALUE"""),23.76)</f>
        <v>23.76</v>
      </c>
      <c r="G1963">
        <f>IFERROR(__xludf.DUMMYFUNCTION("""COMPUTED_VALUE"""),2.57)</f>
        <v>2.57</v>
      </c>
    </row>
    <row r="1964">
      <c r="A1964">
        <f>IFERROR(__xludf.DUMMYFUNCTION("""COMPUTED_VALUE"""),173417.0)</f>
        <v>173417</v>
      </c>
      <c r="B1964" t="str">
        <f>IFERROR(__xludf.DUMMYFUNCTION("""COMPUTED_VALUE"""),"Lowfat Cottage Cheese (1%)")</f>
        <v>Lowfat Cottage Cheese (1%)</v>
      </c>
      <c r="C1964" t="str">
        <f>IFERROR(__xludf.DUMMYFUNCTION("""COMPUTED_VALUE"""),"Dairy and Egg Products")</f>
        <v>Dairy and Egg Products</v>
      </c>
      <c r="D1964">
        <f>IFERROR(__xludf.DUMMYFUNCTION("""COMPUTED_VALUE"""),72.0)</f>
        <v>72</v>
      </c>
      <c r="E1964">
        <f>IFERROR(__xludf.DUMMYFUNCTION("""COMPUTED_VALUE"""),1.02)</f>
        <v>1.02</v>
      </c>
      <c r="F1964">
        <f>IFERROR(__xludf.DUMMYFUNCTION("""COMPUTED_VALUE"""),12.39)</f>
        <v>12.39</v>
      </c>
      <c r="G1964">
        <f>IFERROR(__xludf.DUMMYFUNCTION("""COMPUTED_VALUE"""),2.72)</f>
        <v>2.72</v>
      </c>
    </row>
    <row r="1965">
      <c r="A1965">
        <f>IFERROR(__xludf.DUMMYFUNCTION("""COMPUTED_VALUE"""),173418.0)</f>
        <v>173418</v>
      </c>
      <c r="B1965" t="str">
        <f>IFERROR(__xludf.DUMMYFUNCTION("""COMPUTED_VALUE"""),"Cream Cheese")</f>
        <v>Cream Cheese</v>
      </c>
      <c r="C1965" t="str">
        <f>IFERROR(__xludf.DUMMYFUNCTION("""COMPUTED_VALUE"""),"Dairy and Egg Products")</f>
        <v>Dairy and Egg Products</v>
      </c>
      <c r="D1965">
        <f>IFERROR(__xludf.DUMMYFUNCTION("""COMPUTED_VALUE"""),350.0)</f>
        <v>350</v>
      </c>
      <c r="E1965">
        <f>IFERROR(__xludf.DUMMYFUNCTION("""COMPUTED_VALUE"""),34.44)</f>
        <v>34.44</v>
      </c>
      <c r="F1965">
        <f>IFERROR(__xludf.DUMMYFUNCTION("""COMPUTED_VALUE"""),6.15)</f>
        <v>6.15</v>
      </c>
      <c r="G1965">
        <f>IFERROR(__xludf.DUMMYFUNCTION("""COMPUTED_VALUE"""),5.52)</f>
        <v>5.52</v>
      </c>
    </row>
    <row r="1966">
      <c r="A1966">
        <f>IFERROR(__xludf.DUMMYFUNCTION("""COMPUTED_VALUE"""),173419.0)</f>
        <v>173419</v>
      </c>
      <c r="B1966" t="str">
        <f>IFERROR(__xludf.DUMMYFUNCTION("""COMPUTED_VALUE"""),"Edam Cheese")</f>
        <v>Edam Cheese</v>
      </c>
      <c r="C1966" t="str">
        <f>IFERROR(__xludf.DUMMYFUNCTION("""COMPUTED_VALUE"""),"Dairy and Egg Products")</f>
        <v>Dairy and Egg Products</v>
      </c>
      <c r="D1966">
        <f>IFERROR(__xludf.DUMMYFUNCTION("""COMPUTED_VALUE"""),357.0)</f>
        <v>357</v>
      </c>
      <c r="E1966">
        <f>IFERROR(__xludf.DUMMYFUNCTION("""COMPUTED_VALUE"""),28.57)</f>
        <v>28.57</v>
      </c>
      <c r="F1966">
        <f>IFERROR(__xludf.DUMMYFUNCTION("""COMPUTED_VALUE"""),24.99)</f>
        <v>24.99</v>
      </c>
      <c r="G1966">
        <f>IFERROR(__xludf.DUMMYFUNCTION("""COMPUTED_VALUE"""),1.43)</f>
        <v>1.43</v>
      </c>
    </row>
    <row r="1967">
      <c r="A1967">
        <f>IFERROR(__xludf.DUMMYFUNCTION("""COMPUTED_VALUE"""),173420.0)</f>
        <v>173420</v>
      </c>
      <c r="B1967" t="str">
        <f>IFERROR(__xludf.DUMMYFUNCTION("""COMPUTED_VALUE"""),"Feta Cheese")</f>
        <v>Feta Cheese</v>
      </c>
      <c r="C1967" t="str">
        <f>IFERROR(__xludf.DUMMYFUNCTION("""COMPUTED_VALUE"""),"Dairy and Egg Products")</f>
        <v>Dairy and Egg Products</v>
      </c>
      <c r="D1967">
        <f>IFERROR(__xludf.DUMMYFUNCTION("""COMPUTED_VALUE"""),265.0)</f>
        <v>265</v>
      </c>
      <c r="E1967">
        <f>IFERROR(__xludf.DUMMYFUNCTION("""COMPUTED_VALUE"""),21.49)</f>
        <v>21.49</v>
      </c>
      <c r="F1967">
        <f>IFERROR(__xludf.DUMMYFUNCTION("""COMPUTED_VALUE"""),14.21)</f>
        <v>14.21</v>
      </c>
      <c r="G1967">
        <f>IFERROR(__xludf.DUMMYFUNCTION("""COMPUTED_VALUE"""),3.88)</f>
        <v>3.88</v>
      </c>
    </row>
    <row r="1968">
      <c r="A1968">
        <f>IFERROR(__xludf.DUMMYFUNCTION("""COMPUTED_VALUE"""),173421.0)</f>
        <v>173421</v>
      </c>
      <c r="B1968" t="str">
        <f>IFERROR(__xludf.DUMMYFUNCTION("""COMPUTED_VALUE"""),"Egg Yolk Raw Frozen Pasteurized")</f>
        <v>Egg Yolk Raw Frozen Pasteurized</v>
      </c>
      <c r="C1968" t="str">
        <f>IFERROR(__xludf.DUMMYFUNCTION("""COMPUTED_VALUE"""),"Dairy and Egg Products")</f>
        <v>Dairy and Egg Products</v>
      </c>
      <c r="D1968">
        <f>IFERROR(__xludf.DUMMYFUNCTION("""COMPUTED_VALUE"""),296.0)</f>
        <v>296</v>
      </c>
      <c r="E1968">
        <f>IFERROR(__xludf.DUMMYFUNCTION("""COMPUTED_VALUE"""),25.6)</f>
        <v>25.6</v>
      </c>
      <c r="F1968">
        <f>IFERROR(__xludf.DUMMYFUNCTION("""COMPUTED_VALUE"""),15.53)</f>
        <v>15.53</v>
      </c>
      <c r="G1968">
        <f>IFERROR(__xludf.DUMMYFUNCTION("""COMPUTED_VALUE"""),0.81)</f>
        <v>0.81</v>
      </c>
    </row>
    <row r="1969">
      <c r="A1969">
        <f>IFERROR(__xludf.DUMMYFUNCTION("""COMPUTED_VALUE"""),173422.0)</f>
        <v>173422</v>
      </c>
      <c r="B1969" t="str">
        <f>IFERROR(__xludf.DUMMYFUNCTION("""COMPUTED_VALUE"""),"Egg Yolk Raw Frozen Sugared Pasteurized")</f>
        <v>Egg Yolk Raw Frozen Sugared Pasteurized</v>
      </c>
      <c r="C1969" t="str">
        <f>IFERROR(__xludf.DUMMYFUNCTION("""COMPUTED_VALUE"""),"Dairy and Egg Products")</f>
        <v>Dairy and Egg Products</v>
      </c>
      <c r="D1969">
        <f>IFERROR(__xludf.DUMMYFUNCTION("""COMPUTED_VALUE"""),307.0)</f>
        <v>307</v>
      </c>
      <c r="E1969">
        <f>IFERROR(__xludf.DUMMYFUNCTION("""COMPUTED_VALUE"""),22.82)</f>
        <v>22.82</v>
      </c>
      <c r="F1969">
        <f>IFERROR(__xludf.DUMMYFUNCTION("""COMPUTED_VALUE"""),13.87)</f>
        <v>13.87</v>
      </c>
      <c r="G1969">
        <f>IFERROR(__xludf.DUMMYFUNCTION("""COMPUTED_VALUE"""),10.95)</f>
        <v>10.95</v>
      </c>
    </row>
    <row r="1970">
      <c r="A1970">
        <f>IFERROR(__xludf.DUMMYFUNCTION("""COMPUTED_VALUE"""),173423.0)</f>
        <v>173423</v>
      </c>
      <c r="B1970" t="str">
        <f>IFERROR(__xludf.DUMMYFUNCTION("""COMPUTED_VALUE"""),"Fried Eggs")</f>
        <v>Fried Eggs</v>
      </c>
      <c r="C1970" t="str">
        <f>IFERROR(__xludf.DUMMYFUNCTION("""COMPUTED_VALUE"""),"Dairy and Egg Products")</f>
        <v>Dairy and Egg Products</v>
      </c>
      <c r="D1970">
        <f>IFERROR(__xludf.DUMMYFUNCTION("""COMPUTED_VALUE"""),196.0)</f>
        <v>196</v>
      </c>
      <c r="E1970">
        <f>IFERROR(__xludf.DUMMYFUNCTION("""COMPUTED_VALUE"""),14.84)</f>
        <v>14.84</v>
      </c>
      <c r="F1970">
        <f>IFERROR(__xludf.DUMMYFUNCTION("""COMPUTED_VALUE"""),13.61)</f>
        <v>13.61</v>
      </c>
      <c r="G1970">
        <f>IFERROR(__xludf.DUMMYFUNCTION("""COMPUTED_VALUE"""),0.83)</f>
        <v>0.83</v>
      </c>
    </row>
    <row r="1971">
      <c r="A1971">
        <f>IFERROR(__xludf.DUMMYFUNCTION("""COMPUTED_VALUE"""),173424.0)</f>
        <v>173424</v>
      </c>
      <c r="B1971" t="str">
        <f>IFERROR(__xludf.DUMMYFUNCTION("""COMPUTED_VALUE"""),"Hard Boiled Eggs")</f>
        <v>Hard Boiled Eggs</v>
      </c>
      <c r="C1971" t="str">
        <f>IFERROR(__xludf.DUMMYFUNCTION("""COMPUTED_VALUE"""),"Dairy and Egg Products")</f>
        <v>Dairy and Egg Products</v>
      </c>
      <c r="D1971">
        <f>IFERROR(__xludf.DUMMYFUNCTION("""COMPUTED_VALUE"""),155.0)</f>
        <v>155</v>
      </c>
      <c r="E1971">
        <f>IFERROR(__xludf.DUMMYFUNCTION("""COMPUTED_VALUE"""),10.61)</f>
        <v>10.61</v>
      </c>
      <c r="F1971">
        <f>IFERROR(__xludf.DUMMYFUNCTION("""COMPUTED_VALUE"""),12.58)</f>
        <v>12.58</v>
      </c>
      <c r="G1971">
        <f>IFERROR(__xludf.DUMMYFUNCTION("""COMPUTED_VALUE"""),1.12)</f>
        <v>1.12</v>
      </c>
    </row>
    <row r="1972">
      <c r="A1972">
        <f>IFERROR(__xludf.DUMMYFUNCTION("""COMPUTED_VALUE"""),173425.0)</f>
        <v>173425</v>
      </c>
      <c r="B1972" t="str">
        <f>IFERROR(__xludf.DUMMYFUNCTION("""COMPUTED_VALUE"""),"Egg Whole Dried Stabilized Glucose Reduced")</f>
        <v>Egg Whole Dried Stabilized Glucose Reduced</v>
      </c>
      <c r="C1972" t="str">
        <f>IFERROR(__xludf.DUMMYFUNCTION("""COMPUTED_VALUE"""),"Dairy and Egg Products")</f>
        <v>Dairy and Egg Products</v>
      </c>
      <c r="D1972">
        <f>IFERROR(__xludf.DUMMYFUNCTION("""COMPUTED_VALUE"""),615.0)</f>
        <v>615</v>
      </c>
      <c r="E1972">
        <f>IFERROR(__xludf.DUMMYFUNCTION("""COMPUTED_VALUE"""),43.95)</f>
        <v>43.95</v>
      </c>
      <c r="F1972">
        <f>IFERROR(__xludf.DUMMYFUNCTION("""COMPUTED_VALUE"""),48.17)</f>
        <v>48.17</v>
      </c>
      <c r="G1972">
        <f>IFERROR(__xludf.DUMMYFUNCTION("""COMPUTED_VALUE"""),2.38)</f>
        <v>2.38</v>
      </c>
    </row>
    <row r="1973">
      <c r="A1973">
        <f>IFERROR(__xludf.DUMMYFUNCTION("""COMPUTED_VALUE"""),173426.0)</f>
        <v>173426</v>
      </c>
      <c r="B1973" t="str">
        <f>IFERROR(__xludf.DUMMYFUNCTION("""COMPUTED_VALUE"""),"Egg White Dried Flakes Stabilized Glucose Reduced")</f>
        <v>Egg White Dried Flakes Stabilized Glucose Reduced</v>
      </c>
      <c r="C1973" t="str">
        <f>IFERROR(__xludf.DUMMYFUNCTION("""COMPUTED_VALUE"""),"Dairy and Egg Products")</f>
        <v>Dairy and Egg Products</v>
      </c>
      <c r="D1973">
        <f>IFERROR(__xludf.DUMMYFUNCTION("""COMPUTED_VALUE"""),351.0)</f>
        <v>351</v>
      </c>
      <c r="E1973">
        <f>IFERROR(__xludf.DUMMYFUNCTION("""COMPUTED_VALUE"""),0.04)</f>
        <v>0.04</v>
      </c>
      <c r="F1973">
        <f>IFERROR(__xludf.DUMMYFUNCTION("""COMPUTED_VALUE"""),76.92)</f>
        <v>76.92</v>
      </c>
      <c r="G1973">
        <f>IFERROR(__xludf.DUMMYFUNCTION("""COMPUTED_VALUE"""),4.17)</f>
        <v>4.17</v>
      </c>
    </row>
    <row r="1974">
      <c r="A1974">
        <f>IFERROR(__xludf.DUMMYFUNCTION("""COMPUTED_VALUE"""),173427.0)</f>
        <v>173427</v>
      </c>
      <c r="B1974" t="str">
        <f>IFERROR(__xludf.DUMMYFUNCTION("""COMPUTED_VALUE"""),"Egg White Dried Powder Stabilized Glucose Reduced")</f>
        <v>Egg White Dried Powder Stabilized Glucose Reduced</v>
      </c>
      <c r="C1974" t="str">
        <f>IFERROR(__xludf.DUMMYFUNCTION("""COMPUTED_VALUE"""),"Dairy and Egg Products")</f>
        <v>Dairy and Egg Products</v>
      </c>
      <c r="D1974">
        <f>IFERROR(__xludf.DUMMYFUNCTION("""COMPUTED_VALUE"""),376.0)</f>
        <v>376</v>
      </c>
      <c r="E1974">
        <f>IFERROR(__xludf.DUMMYFUNCTION("""COMPUTED_VALUE"""),0.04)</f>
        <v>0.04</v>
      </c>
      <c r="F1974">
        <f>IFERROR(__xludf.DUMMYFUNCTION("""COMPUTED_VALUE"""),82.4)</f>
        <v>82.4</v>
      </c>
      <c r="G1974">
        <f>IFERROR(__xludf.DUMMYFUNCTION("""COMPUTED_VALUE"""),4.47)</f>
        <v>4.47</v>
      </c>
    </row>
    <row r="1975">
      <c r="A1975">
        <f>IFERROR(__xludf.DUMMYFUNCTION("""COMPUTED_VALUE"""),173428.0)</f>
        <v>173428</v>
      </c>
      <c r="B1975" t="str">
        <f>IFERROR(__xludf.DUMMYFUNCTION("""COMPUTED_VALUE"""),"Egg Yolk Dried")</f>
        <v>Egg Yolk Dried</v>
      </c>
      <c r="C1975" t="str">
        <f>IFERROR(__xludf.DUMMYFUNCTION("""COMPUTED_VALUE"""),"Dairy and Egg Products")</f>
        <v>Dairy and Egg Products</v>
      </c>
      <c r="D1975">
        <f>IFERROR(__xludf.DUMMYFUNCTION("""COMPUTED_VALUE"""),669.0)</f>
        <v>669</v>
      </c>
      <c r="E1975">
        <f>IFERROR(__xludf.DUMMYFUNCTION("""COMPUTED_VALUE"""),59.13)</f>
        <v>59.13</v>
      </c>
      <c r="F1975">
        <f>IFERROR(__xludf.DUMMYFUNCTION("""COMPUTED_VALUE"""),33.63)</f>
        <v>33.63</v>
      </c>
      <c r="G1975">
        <f>IFERROR(__xludf.DUMMYFUNCTION("""COMPUTED_VALUE"""),0.66)</f>
        <v>0.66</v>
      </c>
    </row>
    <row r="1976">
      <c r="A1976">
        <f>IFERROR(__xludf.DUMMYFUNCTION("""COMPUTED_VALUE"""),173429.0)</f>
        <v>173429</v>
      </c>
      <c r="B1976" t="str">
        <f>IFERROR(__xludf.DUMMYFUNCTION("""COMPUTED_VALUE"""),"Egg Substitute Powder")</f>
        <v>Egg Substitute Powder</v>
      </c>
      <c r="C1976" t="str">
        <f>IFERROR(__xludf.DUMMYFUNCTION("""COMPUTED_VALUE"""),"Dairy and Egg Products")</f>
        <v>Dairy and Egg Products</v>
      </c>
      <c r="D1976">
        <f>IFERROR(__xludf.DUMMYFUNCTION("""COMPUTED_VALUE"""),444.0)</f>
        <v>444</v>
      </c>
      <c r="E1976">
        <f>IFERROR(__xludf.DUMMYFUNCTION("""COMPUTED_VALUE"""),13.0)</f>
        <v>13</v>
      </c>
      <c r="F1976">
        <f>IFERROR(__xludf.DUMMYFUNCTION("""COMPUTED_VALUE"""),55.5)</f>
        <v>55.5</v>
      </c>
      <c r="G1976">
        <f>IFERROR(__xludf.DUMMYFUNCTION("""COMPUTED_VALUE"""),21.8)</f>
        <v>21.8</v>
      </c>
    </row>
    <row r="1977">
      <c r="A1977">
        <f>IFERROR(__xludf.DUMMYFUNCTION("""COMPUTED_VALUE"""),173430.0)</f>
        <v>173430</v>
      </c>
      <c r="B1977" t="str">
        <f>IFERROR(__xludf.DUMMYFUNCTION("""COMPUTED_VALUE"""),"Unsalted Butter")</f>
        <v>Unsalted Butter</v>
      </c>
      <c r="C1977" t="str">
        <f>IFERROR(__xludf.DUMMYFUNCTION("""COMPUTED_VALUE"""),"Dairy and Egg Products")</f>
        <v>Dairy and Egg Products</v>
      </c>
      <c r="D1977">
        <f>IFERROR(__xludf.DUMMYFUNCTION("""COMPUTED_VALUE"""),717.0)</f>
        <v>717</v>
      </c>
      <c r="E1977">
        <f>IFERROR(__xludf.DUMMYFUNCTION("""COMPUTED_VALUE"""),81.11)</f>
        <v>81.11</v>
      </c>
      <c r="F1977">
        <f>IFERROR(__xludf.DUMMYFUNCTION("""COMPUTED_VALUE"""),0.85)</f>
        <v>0.85</v>
      </c>
      <c r="G1977">
        <f>IFERROR(__xludf.DUMMYFUNCTION("""COMPUTED_VALUE"""),0.06)</f>
        <v>0.06</v>
      </c>
    </row>
    <row r="1978">
      <c r="A1978">
        <f>IFERROR(__xludf.DUMMYFUNCTION("""COMPUTED_VALUE"""),173431.0)</f>
        <v>173431</v>
      </c>
      <c r="B1978" t="str">
        <f>IFERROR(__xludf.DUMMYFUNCTION("""COMPUTED_VALUE"""),"Shredded Parmesan")</f>
        <v>Shredded Parmesan</v>
      </c>
      <c r="C1978" t="str">
        <f>IFERROR(__xludf.DUMMYFUNCTION("""COMPUTED_VALUE"""),"Dairy and Egg Products")</f>
        <v>Dairy and Egg Products</v>
      </c>
      <c r="D1978">
        <f>IFERROR(__xludf.DUMMYFUNCTION("""COMPUTED_VALUE"""),415.0)</f>
        <v>415</v>
      </c>
      <c r="E1978">
        <f>IFERROR(__xludf.DUMMYFUNCTION("""COMPUTED_VALUE"""),27.34)</f>
        <v>27.34</v>
      </c>
      <c r="F1978">
        <f>IFERROR(__xludf.DUMMYFUNCTION("""COMPUTED_VALUE"""),37.86)</f>
        <v>37.86</v>
      </c>
      <c r="G1978">
        <f>IFERROR(__xludf.DUMMYFUNCTION("""COMPUTED_VALUE"""),3.41)</f>
        <v>3.41</v>
      </c>
    </row>
    <row r="1979">
      <c r="A1979">
        <f>IFERROR(__xludf.DUMMYFUNCTION("""COMPUTED_VALUE"""),173432.0)</f>
        <v>173432</v>
      </c>
      <c r="B1979" t="str">
        <f>IFERROR(__xludf.DUMMYFUNCTION("""COMPUTED_VALUE"""),"Milk Nonfat Fluid Without Added Vitamin A And Vitamin D (Fat Free Or Skim)")</f>
        <v>Milk Nonfat Fluid Without Added Vitamin A And Vitamin D (Fat Free Or Skim)</v>
      </c>
      <c r="C1979" t="str">
        <f>IFERROR(__xludf.DUMMYFUNCTION("""COMPUTED_VALUE"""),"Dairy and Egg Products")</f>
        <v>Dairy and Egg Products</v>
      </c>
      <c r="D1979">
        <f>IFERROR(__xludf.DUMMYFUNCTION("""COMPUTED_VALUE"""),35.0)</f>
        <v>35</v>
      </c>
      <c r="E1979">
        <f>IFERROR(__xludf.DUMMYFUNCTION("""COMPUTED_VALUE"""),0.18)</f>
        <v>0.18</v>
      </c>
      <c r="F1979">
        <f>IFERROR(__xludf.DUMMYFUNCTION("""COMPUTED_VALUE"""),3.37)</f>
        <v>3.37</v>
      </c>
      <c r="G1979">
        <f>IFERROR(__xludf.DUMMYFUNCTION("""COMPUTED_VALUE"""),4.86)</f>
        <v>4.86</v>
      </c>
    </row>
    <row r="1980">
      <c r="A1980">
        <f>IFERROR(__xludf.DUMMYFUNCTION("""COMPUTED_VALUE"""),173433.0)</f>
        <v>173433</v>
      </c>
      <c r="B1980" t="str">
        <f>IFERROR(__xludf.DUMMYFUNCTION("""COMPUTED_VALUE"""),"Cheese Goat Semisoft Type")</f>
        <v>Cheese Goat Semisoft Type</v>
      </c>
      <c r="C1980" t="str">
        <f>IFERROR(__xludf.DUMMYFUNCTION("""COMPUTED_VALUE"""),"Dairy and Egg Products")</f>
        <v>Dairy and Egg Products</v>
      </c>
      <c r="D1980">
        <f>IFERROR(__xludf.DUMMYFUNCTION("""COMPUTED_VALUE"""),364.0)</f>
        <v>364</v>
      </c>
      <c r="E1980">
        <f>IFERROR(__xludf.DUMMYFUNCTION("""COMPUTED_VALUE"""),29.84)</f>
        <v>29.84</v>
      </c>
      <c r="F1980">
        <f>IFERROR(__xludf.DUMMYFUNCTION("""COMPUTED_VALUE"""),21.58)</f>
        <v>21.58</v>
      </c>
      <c r="G1980">
        <f>IFERROR(__xludf.DUMMYFUNCTION("""COMPUTED_VALUE"""),0.12)</f>
        <v>0.12</v>
      </c>
    </row>
    <row r="1981">
      <c r="A1981">
        <f>IFERROR(__xludf.DUMMYFUNCTION("""COMPUTED_VALUE"""),173435.0)</f>
        <v>173435</v>
      </c>
      <c r="B1981" t="str">
        <f>IFERROR(__xludf.DUMMYFUNCTION("""COMPUTED_VALUE"""),"Soft Goat Cheese")</f>
        <v>Soft Goat Cheese</v>
      </c>
      <c r="C1981" t="str">
        <f>IFERROR(__xludf.DUMMYFUNCTION("""COMPUTED_VALUE"""),"Dairy and Egg Products")</f>
        <v>Dairy and Egg Products</v>
      </c>
      <c r="D1981">
        <f>IFERROR(__xludf.DUMMYFUNCTION("""COMPUTED_VALUE"""),264.0)</f>
        <v>264</v>
      </c>
      <c r="E1981">
        <f>IFERROR(__xludf.DUMMYFUNCTION("""COMPUTED_VALUE"""),21.08)</f>
        <v>21.08</v>
      </c>
      <c r="F1981">
        <f>IFERROR(__xludf.DUMMYFUNCTION("""COMPUTED_VALUE"""),18.52)</f>
        <v>18.52</v>
      </c>
      <c r="G1981">
        <f>IFERROR(__xludf.DUMMYFUNCTION("""COMPUTED_VALUE"""),0.0)</f>
        <v>0</v>
      </c>
    </row>
    <row r="1982">
      <c r="A1982">
        <f>IFERROR(__xludf.DUMMYFUNCTION("""COMPUTED_VALUE"""),173436.0)</f>
        <v>173436</v>
      </c>
      <c r="B1982" t="str">
        <f>IFERROR(__xludf.DUMMYFUNCTION("""COMPUTED_VALUE"""),"Egg Yolk Raw Frozen Salted Pasteurized")</f>
        <v>Egg Yolk Raw Frozen Salted Pasteurized</v>
      </c>
      <c r="C1982" t="str">
        <f>IFERROR(__xludf.DUMMYFUNCTION("""COMPUTED_VALUE"""),"Dairy and Egg Products")</f>
        <v>Dairy and Egg Products</v>
      </c>
      <c r="D1982">
        <f>IFERROR(__xludf.DUMMYFUNCTION("""COMPUTED_VALUE"""),275.0)</f>
        <v>275</v>
      </c>
      <c r="E1982">
        <f>IFERROR(__xludf.DUMMYFUNCTION("""COMPUTED_VALUE"""),22.93)</f>
        <v>22.93</v>
      </c>
      <c r="F1982">
        <f>IFERROR(__xludf.DUMMYFUNCTION("""COMPUTED_VALUE"""),14.07)</f>
        <v>14.07</v>
      </c>
      <c r="G1982">
        <f>IFERROR(__xludf.DUMMYFUNCTION("""COMPUTED_VALUE"""),1.77)</f>
        <v>1.77</v>
      </c>
    </row>
    <row r="1983">
      <c r="A1983">
        <f>IFERROR(__xludf.DUMMYFUNCTION("""COMPUTED_VALUE"""),173437.0)</f>
        <v>173437</v>
      </c>
      <c r="B1983" t="str">
        <f>IFERROR(__xludf.DUMMYFUNCTION("""COMPUTED_VALUE"""),"Cheese Mexican Queso Asadero")</f>
        <v>Cheese Mexican Queso Asadero</v>
      </c>
      <c r="C1983" t="str">
        <f>IFERROR(__xludf.DUMMYFUNCTION("""COMPUTED_VALUE"""),"Dairy and Egg Products")</f>
        <v>Dairy and Egg Products</v>
      </c>
      <c r="D1983">
        <f>IFERROR(__xludf.DUMMYFUNCTION("""COMPUTED_VALUE"""),356.0)</f>
        <v>356</v>
      </c>
      <c r="E1983">
        <f>IFERROR(__xludf.DUMMYFUNCTION("""COMPUTED_VALUE"""),25.0)</f>
        <v>25</v>
      </c>
      <c r="F1983">
        <f>IFERROR(__xludf.DUMMYFUNCTION("""COMPUTED_VALUE"""),22.6)</f>
        <v>22.6</v>
      </c>
      <c r="G1983">
        <f>IFERROR(__xludf.DUMMYFUNCTION("""COMPUTED_VALUE"""),4.13)</f>
        <v>4.13</v>
      </c>
    </row>
    <row r="1984">
      <c r="A1984">
        <f>IFERROR(__xludf.DUMMYFUNCTION("""COMPUTED_VALUE"""),173438.0)</f>
        <v>173438</v>
      </c>
      <c r="B1984" t="str">
        <f>IFERROR(__xludf.DUMMYFUNCTION("""COMPUTED_VALUE"""),"Queso Chihuahua")</f>
        <v>Queso Chihuahua</v>
      </c>
      <c r="C1984" t="str">
        <f>IFERROR(__xludf.DUMMYFUNCTION("""COMPUTED_VALUE"""),"Dairy and Egg Products")</f>
        <v>Dairy and Egg Products</v>
      </c>
      <c r="D1984">
        <f>IFERROR(__xludf.DUMMYFUNCTION("""COMPUTED_VALUE"""),374.0)</f>
        <v>374</v>
      </c>
      <c r="E1984">
        <f>IFERROR(__xludf.DUMMYFUNCTION("""COMPUTED_VALUE"""),29.68)</f>
        <v>29.68</v>
      </c>
      <c r="F1984">
        <f>IFERROR(__xludf.DUMMYFUNCTION("""COMPUTED_VALUE"""),21.56)</f>
        <v>21.56</v>
      </c>
      <c r="G1984">
        <f>IFERROR(__xludf.DUMMYFUNCTION("""COMPUTED_VALUE"""),5.56)</f>
        <v>5.56</v>
      </c>
    </row>
    <row r="1985">
      <c r="A1985">
        <f>IFERROR(__xludf.DUMMYFUNCTION("""COMPUTED_VALUE"""),173439.0)</f>
        <v>173439</v>
      </c>
      <c r="B1985" t="str">
        <f>IFERROR(__xludf.DUMMYFUNCTION("""COMPUTED_VALUE"""),"Lowfat Cheddar Cheese")</f>
        <v>Lowfat Cheddar Cheese</v>
      </c>
      <c r="C1985" t="str">
        <f>IFERROR(__xludf.DUMMYFUNCTION("""COMPUTED_VALUE"""),"Dairy and Egg Products")</f>
        <v>Dairy and Egg Products</v>
      </c>
      <c r="D1985">
        <f>IFERROR(__xludf.DUMMYFUNCTION("""COMPUTED_VALUE"""),173.0)</f>
        <v>173</v>
      </c>
      <c r="E1985">
        <f>IFERROR(__xludf.DUMMYFUNCTION("""COMPUTED_VALUE"""),7.0)</f>
        <v>7</v>
      </c>
      <c r="F1985">
        <f>IFERROR(__xludf.DUMMYFUNCTION("""COMPUTED_VALUE"""),24.35)</f>
        <v>24.35</v>
      </c>
      <c r="G1985">
        <f>IFERROR(__xludf.DUMMYFUNCTION("""COMPUTED_VALUE"""),1.91)</f>
        <v>1.91</v>
      </c>
    </row>
    <row r="1986">
      <c r="A1986">
        <f>IFERROR(__xludf.DUMMYFUNCTION("""COMPUTED_VALUE"""),173440.0)</f>
        <v>173440</v>
      </c>
      <c r="B1986" t="str">
        <f>IFERROR(__xludf.DUMMYFUNCTION("""COMPUTED_VALUE"""),"Low-Sodium Cheddar Cheese")</f>
        <v>Low-Sodium Cheddar Cheese</v>
      </c>
      <c r="C1986" t="str">
        <f>IFERROR(__xludf.DUMMYFUNCTION("""COMPUTED_VALUE"""),"Dairy and Egg Products")</f>
        <v>Dairy and Egg Products</v>
      </c>
      <c r="D1986">
        <f>IFERROR(__xludf.DUMMYFUNCTION("""COMPUTED_VALUE"""),398.0)</f>
        <v>398</v>
      </c>
      <c r="E1986">
        <f>IFERROR(__xludf.DUMMYFUNCTION("""COMPUTED_VALUE"""),32.62)</f>
        <v>32.62</v>
      </c>
      <c r="F1986">
        <f>IFERROR(__xludf.DUMMYFUNCTION("""COMPUTED_VALUE"""),24.35)</f>
        <v>24.35</v>
      </c>
      <c r="G1986">
        <f>IFERROR(__xludf.DUMMYFUNCTION("""COMPUTED_VALUE"""),1.91)</f>
        <v>1.91</v>
      </c>
    </row>
    <row r="1987">
      <c r="A1987">
        <f>IFERROR(__xludf.DUMMYFUNCTION("""COMPUTED_VALUE"""),173441.0)</f>
        <v>173441</v>
      </c>
      <c r="B1987" t="str">
        <f>IFERROR(__xludf.DUMMYFUNCTION("""COMPUTED_VALUE"""),"Milk Fluid 1% Fat Without Added Vitamin A And Vitamin D")</f>
        <v>Milk Fluid 1% Fat Without Added Vitamin A And Vitamin D</v>
      </c>
      <c r="C1987" t="str">
        <f>IFERROR(__xludf.DUMMYFUNCTION("""COMPUTED_VALUE"""),"Dairy and Egg Products")</f>
        <v>Dairy and Egg Products</v>
      </c>
      <c r="D1987">
        <f>IFERROR(__xludf.DUMMYFUNCTION("""COMPUTED_VALUE"""),42.0)</f>
        <v>42</v>
      </c>
      <c r="E1987">
        <f>IFERROR(__xludf.DUMMYFUNCTION("""COMPUTED_VALUE"""),0.97)</f>
        <v>0.97</v>
      </c>
      <c r="F1987">
        <f>IFERROR(__xludf.DUMMYFUNCTION("""COMPUTED_VALUE"""),3.37)</f>
        <v>3.37</v>
      </c>
      <c r="G1987">
        <f>IFERROR(__xludf.DUMMYFUNCTION("""COMPUTED_VALUE"""),4.99)</f>
        <v>4.99</v>
      </c>
    </row>
    <row r="1988">
      <c r="A1988">
        <f>IFERROR(__xludf.DUMMYFUNCTION("""COMPUTED_VALUE"""),173442.0)</f>
        <v>173442</v>
      </c>
      <c r="B1988" t="str">
        <f>IFERROR(__xludf.DUMMYFUNCTION("""COMPUTED_VALUE"""),"Low Fat Sour Cream")</f>
        <v>Low Fat Sour Cream</v>
      </c>
      <c r="C1988" t="str">
        <f>IFERROR(__xludf.DUMMYFUNCTION("""COMPUTED_VALUE"""),"Dairy and Egg Products")</f>
        <v>Dairy and Egg Products</v>
      </c>
      <c r="D1988">
        <f>IFERROR(__xludf.DUMMYFUNCTION("""COMPUTED_VALUE"""),181.0)</f>
        <v>181</v>
      </c>
      <c r="E1988">
        <f>IFERROR(__xludf.DUMMYFUNCTION("""COMPUTED_VALUE"""),14.1)</f>
        <v>14.1</v>
      </c>
      <c r="F1988">
        <f>IFERROR(__xludf.DUMMYFUNCTION("""COMPUTED_VALUE"""),7.0)</f>
        <v>7</v>
      </c>
      <c r="G1988">
        <f>IFERROR(__xludf.DUMMYFUNCTION("""COMPUTED_VALUE"""),7.0)</f>
        <v>7</v>
      </c>
    </row>
    <row r="1989">
      <c r="A1989">
        <f>IFERROR(__xludf.DUMMYFUNCTION("""COMPUTED_VALUE"""),173443.0)</f>
        <v>173443</v>
      </c>
      <c r="B1989" t="str">
        <f>IFERROR(__xludf.DUMMYFUNCTION("""COMPUTED_VALUE"""),"Sour Cream Light")</f>
        <v>Sour Cream Light</v>
      </c>
      <c r="C1989" t="str">
        <f>IFERROR(__xludf.DUMMYFUNCTION("""COMPUTED_VALUE"""),"Dairy and Egg Products")</f>
        <v>Dairy and Egg Products</v>
      </c>
      <c r="D1989">
        <f>IFERROR(__xludf.DUMMYFUNCTION("""COMPUTED_VALUE"""),136.0)</f>
        <v>136</v>
      </c>
      <c r="E1989">
        <f>IFERROR(__xludf.DUMMYFUNCTION("""COMPUTED_VALUE"""),10.6)</f>
        <v>10.6</v>
      </c>
      <c r="F1989">
        <f>IFERROR(__xludf.DUMMYFUNCTION("""COMPUTED_VALUE"""),3.5)</f>
        <v>3.5</v>
      </c>
      <c r="G1989">
        <f>IFERROR(__xludf.DUMMYFUNCTION("""COMPUTED_VALUE"""),7.1)</f>
        <v>7.1</v>
      </c>
    </row>
    <row r="1990">
      <c r="A1990">
        <f>IFERROR(__xludf.DUMMYFUNCTION("""COMPUTED_VALUE"""),173444.0)</f>
        <v>173444</v>
      </c>
      <c r="B1990" t="str">
        <f>IFERROR(__xludf.DUMMYFUNCTION("""COMPUTED_VALUE"""),"Fat Free Sour Cream")</f>
        <v>Fat Free Sour Cream</v>
      </c>
      <c r="C1990" t="str">
        <f>IFERROR(__xludf.DUMMYFUNCTION("""COMPUTED_VALUE"""),"Dairy and Egg Products")</f>
        <v>Dairy and Egg Products</v>
      </c>
      <c r="D1990">
        <f>IFERROR(__xludf.DUMMYFUNCTION("""COMPUTED_VALUE"""),74.0)</f>
        <v>74</v>
      </c>
      <c r="E1990">
        <f>IFERROR(__xludf.DUMMYFUNCTION("""COMPUTED_VALUE"""),0.0)</f>
        <v>0</v>
      </c>
      <c r="F1990">
        <f>IFERROR(__xludf.DUMMYFUNCTION("""COMPUTED_VALUE"""),3.1)</f>
        <v>3.1</v>
      </c>
      <c r="G1990">
        <f>IFERROR(__xludf.DUMMYFUNCTION("""COMPUTED_VALUE"""),15.6)</f>
        <v>15.6</v>
      </c>
    </row>
    <row r="1991">
      <c r="A1991">
        <f>IFERROR(__xludf.DUMMYFUNCTION("""COMPUTED_VALUE"""),173445.0)</f>
        <v>173445</v>
      </c>
      <c r="B1991" t="str">
        <f>IFERROR(__xludf.DUMMYFUNCTION("""COMPUTED_VALUE"""),"Yogurt Vanilla Or Lemon Flavor Nonfat Milk Sweetened With Low-Calorie Sweetener")</f>
        <v>Yogurt Vanilla Or Lemon Flavor Nonfat Milk Sweetened With Low-Calorie Sweetener</v>
      </c>
      <c r="C1991" t="str">
        <f>IFERROR(__xludf.DUMMYFUNCTION("""COMPUTED_VALUE"""),"Dairy and Egg Products")</f>
        <v>Dairy and Egg Products</v>
      </c>
      <c r="D1991">
        <f>IFERROR(__xludf.DUMMYFUNCTION("""COMPUTED_VALUE"""),43.0)</f>
        <v>43</v>
      </c>
      <c r="E1991">
        <f>IFERROR(__xludf.DUMMYFUNCTION("""COMPUTED_VALUE"""),0.18)</f>
        <v>0.18</v>
      </c>
      <c r="F1991">
        <f>IFERROR(__xludf.DUMMYFUNCTION("""COMPUTED_VALUE"""),3.86)</f>
        <v>3.86</v>
      </c>
      <c r="G1991">
        <f>IFERROR(__xludf.DUMMYFUNCTION("""COMPUTED_VALUE"""),7.5)</f>
        <v>7.5</v>
      </c>
    </row>
    <row r="1992">
      <c r="A1992">
        <f>IFERROR(__xludf.DUMMYFUNCTION("""COMPUTED_VALUE"""),173446.0)</f>
        <v>173446</v>
      </c>
      <c r="B1992" t="str">
        <f>IFERROR(__xludf.DUMMYFUNCTION("""COMPUTED_VALUE"""),"Kraft Cheez Whiz Light Pasteurized Process Cheese Product")</f>
        <v>Kraft Cheez Whiz Light Pasteurized Process Cheese Product</v>
      </c>
      <c r="C1992" t="str">
        <f>IFERROR(__xludf.DUMMYFUNCTION("""COMPUTED_VALUE"""),"Dairy and Egg Products")</f>
        <v>Dairy and Egg Products</v>
      </c>
      <c r="D1992">
        <f>IFERROR(__xludf.DUMMYFUNCTION("""COMPUTED_VALUE"""),215.0)</f>
        <v>215</v>
      </c>
      <c r="E1992">
        <f>IFERROR(__xludf.DUMMYFUNCTION("""COMPUTED_VALUE"""),9.5)</f>
        <v>9.5</v>
      </c>
      <c r="F1992">
        <f>IFERROR(__xludf.DUMMYFUNCTION("""COMPUTED_VALUE"""),16.3)</f>
        <v>16.3</v>
      </c>
      <c r="G1992">
        <f>IFERROR(__xludf.DUMMYFUNCTION("""COMPUTED_VALUE"""),16.2)</f>
        <v>16.2</v>
      </c>
    </row>
    <row r="1993">
      <c r="A1993">
        <f>IFERROR(__xludf.DUMMYFUNCTION("""COMPUTED_VALUE"""),173447.0)</f>
        <v>173447</v>
      </c>
      <c r="B1993" t="str">
        <f>IFERROR(__xludf.DUMMYFUNCTION("""COMPUTED_VALUE"""),"Kraft Free Singles American Nonfat Pasteurized Process Cheese Product")</f>
        <v>Kraft Free Singles American Nonfat Pasteurized Process Cheese Product</v>
      </c>
      <c r="C1993" t="str">
        <f>IFERROR(__xludf.DUMMYFUNCTION("""COMPUTED_VALUE"""),"Dairy and Egg Products")</f>
        <v>Dairy and Egg Products</v>
      </c>
      <c r="D1993">
        <f>IFERROR(__xludf.DUMMYFUNCTION("""COMPUTED_VALUE"""),148.0)</f>
        <v>148</v>
      </c>
      <c r="E1993">
        <f>IFERROR(__xludf.DUMMYFUNCTION("""COMPUTED_VALUE"""),1.0)</f>
        <v>1</v>
      </c>
      <c r="F1993">
        <f>IFERROR(__xludf.DUMMYFUNCTION("""COMPUTED_VALUE"""),22.7)</f>
        <v>22.7</v>
      </c>
      <c r="G1993">
        <f>IFERROR(__xludf.DUMMYFUNCTION("""COMPUTED_VALUE"""),11.7)</f>
        <v>11.7</v>
      </c>
    </row>
    <row r="1994">
      <c r="A1994">
        <f>IFERROR(__xludf.DUMMYFUNCTION("""COMPUTED_VALUE"""),173448.0)</f>
        <v>173448</v>
      </c>
      <c r="B1994" t="str">
        <f>IFERROR(__xludf.DUMMYFUNCTION("""COMPUTED_VALUE"""),"Kraft Velveeta Pasteurized Process Cheese Spread")</f>
        <v>Kraft Velveeta Pasteurized Process Cheese Spread</v>
      </c>
      <c r="C1994" t="str">
        <f>IFERROR(__xludf.DUMMYFUNCTION("""COMPUTED_VALUE"""),"Dairy and Egg Products")</f>
        <v>Dairy and Egg Products</v>
      </c>
      <c r="D1994">
        <f>IFERROR(__xludf.DUMMYFUNCTION("""COMPUTED_VALUE"""),303.0)</f>
        <v>303</v>
      </c>
      <c r="E1994">
        <f>IFERROR(__xludf.DUMMYFUNCTION("""COMPUTED_VALUE"""),22.0)</f>
        <v>22</v>
      </c>
      <c r="F1994">
        <f>IFERROR(__xludf.DUMMYFUNCTION("""COMPUTED_VALUE"""),16.3)</f>
        <v>16.3</v>
      </c>
      <c r="G1994">
        <f>IFERROR(__xludf.DUMMYFUNCTION("""COMPUTED_VALUE"""),9.8)</f>
        <v>9.8</v>
      </c>
    </row>
    <row r="1995">
      <c r="A1995">
        <f>IFERROR(__xludf.DUMMYFUNCTION("""COMPUTED_VALUE"""),173449.0)</f>
        <v>173449</v>
      </c>
      <c r="B1995" t="str">
        <f>IFERROR(__xludf.DUMMYFUNCTION("""COMPUTED_VALUE"""),"Kraft Velveeta Light Reduced Fat Pasteurized Process Cheese Product")</f>
        <v>Kraft Velveeta Light Reduced Fat Pasteurized Process Cheese Product</v>
      </c>
      <c r="C1995" t="str">
        <f>IFERROR(__xludf.DUMMYFUNCTION("""COMPUTED_VALUE"""),"Dairy and Egg Products")</f>
        <v>Dairy and Egg Products</v>
      </c>
      <c r="D1995">
        <f>IFERROR(__xludf.DUMMYFUNCTION("""COMPUTED_VALUE"""),222.0)</f>
        <v>222</v>
      </c>
      <c r="E1995">
        <f>IFERROR(__xludf.DUMMYFUNCTION("""COMPUTED_VALUE"""),10.6)</f>
        <v>10.6</v>
      </c>
      <c r="F1995">
        <f>IFERROR(__xludf.DUMMYFUNCTION("""COMPUTED_VALUE"""),19.6)</f>
        <v>19.6</v>
      </c>
      <c r="G1995">
        <f>IFERROR(__xludf.DUMMYFUNCTION("""COMPUTED_VALUE"""),11.8)</f>
        <v>11.8</v>
      </c>
    </row>
    <row r="1996">
      <c r="A1996">
        <f>IFERROR(__xludf.DUMMYFUNCTION("""COMPUTED_VALUE"""),173450.0)</f>
        <v>173450</v>
      </c>
      <c r="B1996" t="str">
        <f>IFERROR(__xludf.DUMMYFUNCTION("""COMPUTED_VALUE"""),"Milk Chocolate Fluid Commercial Reduced Fat With Added Calcium")</f>
        <v>Milk Chocolate Fluid Commercial Reduced Fat With Added Calcium</v>
      </c>
      <c r="C1996" t="str">
        <f>IFERROR(__xludf.DUMMYFUNCTION("""COMPUTED_VALUE"""),"Dairy and Egg Products")</f>
        <v>Dairy and Egg Products</v>
      </c>
      <c r="D1996">
        <f>IFERROR(__xludf.DUMMYFUNCTION("""COMPUTED_VALUE"""),78.0)</f>
        <v>78</v>
      </c>
      <c r="E1996">
        <f>IFERROR(__xludf.DUMMYFUNCTION("""COMPUTED_VALUE"""),1.9)</f>
        <v>1.9</v>
      </c>
      <c r="F1996">
        <f>IFERROR(__xludf.DUMMYFUNCTION("""COMPUTED_VALUE"""),2.99)</f>
        <v>2.99</v>
      </c>
      <c r="G1996">
        <f>IFERROR(__xludf.DUMMYFUNCTION("""COMPUTED_VALUE"""),12.13)</f>
        <v>12.13</v>
      </c>
    </row>
    <row r="1997">
      <c r="A1997">
        <f>IFERROR(__xludf.DUMMYFUNCTION("""COMPUTED_VALUE"""),173451.0)</f>
        <v>173451</v>
      </c>
      <c r="B1997" t="str">
        <f>IFERROR(__xludf.DUMMYFUNCTION("""COMPUTED_VALUE"""),"Yogurt Fruit Lowfat With Low Calorie Sweetener")</f>
        <v>Yogurt Fruit Lowfat With Low Calorie Sweetener</v>
      </c>
      <c r="C1997" t="str">
        <f>IFERROR(__xludf.DUMMYFUNCTION("""COMPUTED_VALUE"""),"Dairy and Egg Products")</f>
        <v>Dairy and Egg Products</v>
      </c>
      <c r="D1997">
        <f>IFERROR(__xludf.DUMMYFUNCTION("""COMPUTED_VALUE"""),105.0)</f>
        <v>105</v>
      </c>
      <c r="E1997">
        <f>IFERROR(__xludf.DUMMYFUNCTION("""COMPUTED_VALUE"""),1.41)</f>
        <v>1.41</v>
      </c>
      <c r="F1997">
        <f>IFERROR(__xludf.DUMMYFUNCTION("""COMPUTED_VALUE"""),4.86)</f>
        <v>4.86</v>
      </c>
      <c r="G1997">
        <f>IFERROR(__xludf.DUMMYFUNCTION("""COMPUTED_VALUE"""),18.6)</f>
        <v>18.6</v>
      </c>
    </row>
    <row r="1998">
      <c r="A1998">
        <f>IFERROR(__xludf.DUMMYFUNCTION("""COMPUTED_VALUE"""),173452.0)</f>
        <v>173452</v>
      </c>
      <c r="B1998" t="str">
        <f>IFERROR(__xludf.DUMMYFUNCTION("""COMPUTED_VALUE"""),"Cheese Parmesan Dry Grated Reduced Fat")</f>
        <v>Cheese Parmesan Dry Grated Reduced Fat</v>
      </c>
      <c r="C1998" t="str">
        <f>IFERROR(__xludf.DUMMYFUNCTION("""COMPUTED_VALUE"""),"Dairy and Egg Products")</f>
        <v>Dairy and Egg Products</v>
      </c>
      <c r="D1998">
        <f>IFERROR(__xludf.DUMMYFUNCTION("""COMPUTED_VALUE"""),265.0)</f>
        <v>265</v>
      </c>
      <c r="E1998">
        <f>IFERROR(__xludf.DUMMYFUNCTION("""COMPUTED_VALUE"""),20.0)</f>
        <v>20</v>
      </c>
      <c r="F1998">
        <f>IFERROR(__xludf.DUMMYFUNCTION("""COMPUTED_VALUE"""),20.0)</f>
        <v>20</v>
      </c>
      <c r="G1998">
        <f>IFERROR(__xludf.DUMMYFUNCTION("""COMPUTED_VALUE"""),1.37)</f>
        <v>1.37</v>
      </c>
    </row>
    <row r="1999">
      <c r="A1999">
        <f>IFERROR(__xludf.DUMMYFUNCTION("""COMPUTED_VALUE"""),173453.0)</f>
        <v>173453</v>
      </c>
      <c r="B1999" t="str">
        <f>IFERROR(__xludf.DUMMYFUNCTION("""COMPUTED_VALUE"""),"Cream Substitute Flavored Liquid")</f>
        <v>Cream Substitute Flavored Liquid</v>
      </c>
      <c r="C1999" t="str">
        <f>IFERROR(__xludf.DUMMYFUNCTION("""COMPUTED_VALUE"""),"Dairy and Egg Products")</f>
        <v>Dairy and Egg Products</v>
      </c>
      <c r="D1999">
        <f>IFERROR(__xludf.DUMMYFUNCTION("""COMPUTED_VALUE"""),251.0)</f>
        <v>251</v>
      </c>
      <c r="E1999">
        <f>IFERROR(__xludf.DUMMYFUNCTION("""COMPUTED_VALUE"""),13.5)</f>
        <v>13.5</v>
      </c>
      <c r="F1999">
        <f>IFERROR(__xludf.DUMMYFUNCTION("""COMPUTED_VALUE"""),0.69)</f>
        <v>0.69</v>
      </c>
      <c r="G1999">
        <f>IFERROR(__xludf.DUMMYFUNCTION("""COMPUTED_VALUE"""),35.07)</f>
        <v>35.07</v>
      </c>
    </row>
    <row r="2000">
      <c r="A2000">
        <f>IFERROR(__xludf.DUMMYFUNCTION("""COMPUTED_VALUE"""),173454.0)</f>
        <v>173454</v>
      </c>
      <c r="B2000" t="str">
        <f>IFERROR(__xludf.DUMMYFUNCTION("""COMPUTED_VALUE"""),"Milk Dry Whole Without Added Vitamin D")</f>
        <v>Milk Dry Whole Without Added Vitamin D</v>
      </c>
      <c r="C2000" t="str">
        <f>IFERROR(__xludf.DUMMYFUNCTION("""COMPUTED_VALUE"""),"Dairy and Egg Products")</f>
        <v>Dairy and Egg Products</v>
      </c>
      <c r="D2000">
        <f>IFERROR(__xludf.DUMMYFUNCTION("""COMPUTED_VALUE"""),496.0)</f>
        <v>496</v>
      </c>
      <c r="E2000">
        <f>IFERROR(__xludf.DUMMYFUNCTION("""COMPUTED_VALUE"""),26.71)</f>
        <v>26.71</v>
      </c>
      <c r="F2000">
        <f>IFERROR(__xludf.DUMMYFUNCTION("""COMPUTED_VALUE"""),26.32)</f>
        <v>26.32</v>
      </c>
      <c r="G2000">
        <f>IFERROR(__xludf.DUMMYFUNCTION("""COMPUTED_VALUE"""),38.42)</f>
        <v>38.42</v>
      </c>
    </row>
    <row r="2001">
      <c r="A2001">
        <f>IFERROR(__xludf.DUMMYFUNCTION("""COMPUTED_VALUE"""),173455.0)</f>
        <v>173455</v>
      </c>
      <c r="B2001" t="str">
        <f>IFERROR(__xludf.DUMMYFUNCTION("""COMPUTED_VALUE"""),"Cheese Product Pasteurized Process American Reduced Fat Fortified With Vitamin D")</f>
        <v>Cheese Product Pasteurized Process American Reduced Fat Fortified With Vitamin D</v>
      </c>
      <c r="C2001" t="str">
        <f>IFERROR(__xludf.DUMMYFUNCTION("""COMPUTED_VALUE"""),"Dairy and Egg Products")</f>
        <v>Dairy and Egg Products</v>
      </c>
      <c r="D2001">
        <f>IFERROR(__xludf.DUMMYFUNCTION("""COMPUTED_VALUE"""),240.0)</f>
        <v>240</v>
      </c>
      <c r="E2001">
        <f>IFERROR(__xludf.DUMMYFUNCTION("""COMPUTED_VALUE"""),14.1)</f>
        <v>14.1</v>
      </c>
      <c r="F2001">
        <f>IFERROR(__xludf.DUMMYFUNCTION("""COMPUTED_VALUE"""),17.6)</f>
        <v>17.6</v>
      </c>
      <c r="G2001">
        <f>IFERROR(__xludf.DUMMYFUNCTION("""COMPUTED_VALUE"""),10.6)</f>
        <v>10.6</v>
      </c>
    </row>
    <row r="2002">
      <c r="A2002">
        <f>IFERROR(__xludf.DUMMYFUNCTION("""COMPUTED_VALUE"""),173456.0)</f>
        <v>173456</v>
      </c>
      <c r="B2002" t="str">
        <f>IFERROR(__xludf.DUMMYFUNCTION("""COMPUTED_VALUE"""),"Yogurt Fruit Low Fat 9 Grams Protein Per 8 Ounce Fortified With Vitamin D")</f>
        <v>Yogurt Fruit Low Fat 9 Grams Protein Per 8 Ounce Fortified With Vitamin D</v>
      </c>
      <c r="C2002" t="str">
        <f>IFERROR(__xludf.DUMMYFUNCTION("""COMPUTED_VALUE"""),"Dairy and Egg Products")</f>
        <v>Dairy and Egg Products</v>
      </c>
      <c r="D2002">
        <f>IFERROR(__xludf.DUMMYFUNCTION("""COMPUTED_VALUE"""),99.0)</f>
        <v>99</v>
      </c>
      <c r="E2002">
        <f>IFERROR(__xludf.DUMMYFUNCTION("""COMPUTED_VALUE"""),1.15)</f>
        <v>1.15</v>
      </c>
      <c r="F2002">
        <f>IFERROR(__xludf.DUMMYFUNCTION("""COMPUTED_VALUE"""),3.98)</f>
        <v>3.98</v>
      </c>
      <c r="G2002">
        <f>IFERROR(__xludf.DUMMYFUNCTION("""COMPUTED_VALUE"""),18.64)</f>
        <v>18.64</v>
      </c>
    </row>
    <row r="2003">
      <c r="A2003">
        <f>IFERROR(__xludf.DUMMYFUNCTION("""COMPUTED_VALUE"""),173457.0)</f>
        <v>173457</v>
      </c>
      <c r="B2003" t="str">
        <f>IFERROR(__xludf.DUMMYFUNCTION("""COMPUTED_VALUE"""),"Low Fat Fruit Yogurt (With Vitamin D)")</f>
        <v>Low Fat Fruit Yogurt (With Vitamin D)</v>
      </c>
      <c r="C2003" t="str">
        <f>IFERROR(__xludf.DUMMYFUNCTION("""COMPUTED_VALUE"""),"Dairy and Egg Products")</f>
        <v>Dairy and Egg Products</v>
      </c>
      <c r="D2003">
        <f>IFERROR(__xludf.DUMMYFUNCTION("""COMPUTED_VALUE"""),102.0)</f>
        <v>102</v>
      </c>
      <c r="E2003">
        <f>IFERROR(__xludf.DUMMYFUNCTION("""COMPUTED_VALUE"""),1.08)</f>
        <v>1.08</v>
      </c>
      <c r="F2003">
        <f>IFERROR(__xludf.DUMMYFUNCTION("""COMPUTED_VALUE"""),4.37)</f>
        <v>4.37</v>
      </c>
      <c r="G2003">
        <f>IFERROR(__xludf.DUMMYFUNCTION("""COMPUTED_VALUE"""),19.05)</f>
        <v>19.05</v>
      </c>
    </row>
    <row r="2004">
      <c r="A2004">
        <f>IFERROR(__xludf.DUMMYFUNCTION("""COMPUTED_VALUE"""),173458.0)</f>
        <v>173458</v>
      </c>
      <c r="B2004" t="str">
        <f>IFERROR(__xludf.DUMMYFUNCTION("""COMPUTED_VALUE"""),"Yogurt Fruit Variety Nonfat Fortified With Vitamin D")</f>
        <v>Yogurt Fruit Variety Nonfat Fortified With Vitamin D</v>
      </c>
      <c r="C2004" t="str">
        <f>IFERROR(__xludf.DUMMYFUNCTION("""COMPUTED_VALUE"""),"Dairy and Egg Products")</f>
        <v>Dairy and Egg Products</v>
      </c>
      <c r="D2004">
        <f>IFERROR(__xludf.DUMMYFUNCTION("""COMPUTED_VALUE"""),95.0)</f>
        <v>95</v>
      </c>
      <c r="E2004">
        <f>IFERROR(__xludf.DUMMYFUNCTION("""COMPUTED_VALUE"""),0.2)</f>
        <v>0.2</v>
      </c>
      <c r="F2004">
        <f>IFERROR(__xludf.DUMMYFUNCTION("""COMPUTED_VALUE"""),4.4)</f>
        <v>4.4</v>
      </c>
      <c r="G2004">
        <f>IFERROR(__xludf.DUMMYFUNCTION("""COMPUTED_VALUE"""),19.0)</f>
        <v>19</v>
      </c>
    </row>
    <row r="2005">
      <c r="A2005">
        <f>IFERROR(__xludf.DUMMYFUNCTION("""COMPUTED_VALUE"""),173459.0)</f>
        <v>173459</v>
      </c>
      <c r="B2005" t="str">
        <f>IFERROR(__xludf.DUMMYFUNCTION("""COMPUTED_VALUE"""),"Protein Supplement Milk Based Muscle Milk Powder")</f>
        <v>Protein Supplement Milk Based Muscle Milk Powder</v>
      </c>
      <c r="C2005" t="str">
        <f>IFERROR(__xludf.DUMMYFUNCTION("""COMPUTED_VALUE"""),"Dairy and Egg Products")</f>
        <v>Dairy and Egg Products</v>
      </c>
      <c r="D2005">
        <f>IFERROR(__xludf.DUMMYFUNCTION("""COMPUTED_VALUE"""),411.0)</f>
        <v>411</v>
      </c>
      <c r="E2005">
        <f>IFERROR(__xludf.DUMMYFUNCTION("""COMPUTED_VALUE"""),17.14)</f>
        <v>17.14</v>
      </c>
      <c r="F2005">
        <f>IFERROR(__xludf.DUMMYFUNCTION("""COMPUTED_VALUE"""),45.71)</f>
        <v>45.71</v>
      </c>
      <c r="G2005">
        <f>IFERROR(__xludf.DUMMYFUNCTION("""COMPUTED_VALUE"""),18.5)</f>
        <v>18.5</v>
      </c>
    </row>
    <row r="2006">
      <c r="A2006">
        <f>IFERROR(__xludf.DUMMYFUNCTION("""COMPUTED_VALUE"""),173460.0)</f>
        <v>173460</v>
      </c>
      <c r="B2006" t="str">
        <f>IFERROR(__xludf.DUMMYFUNCTION("""COMPUTED_VALUE"""),"Protein Supplement Milk Based Muscle Milk Light Powder")</f>
        <v>Protein Supplement Milk Based Muscle Milk Light Powder</v>
      </c>
      <c r="C2006" t="str">
        <f>IFERROR(__xludf.DUMMYFUNCTION("""COMPUTED_VALUE"""),"Dairy and Egg Products")</f>
        <v>Dairy and Egg Products</v>
      </c>
      <c r="D2006">
        <f>IFERROR(__xludf.DUMMYFUNCTION("""COMPUTED_VALUE"""),396.0)</f>
        <v>396</v>
      </c>
      <c r="E2006">
        <f>IFERROR(__xludf.DUMMYFUNCTION("""COMPUTED_VALUE"""),12.0)</f>
        <v>12</v>
      </c>
      <c r="F2006">
        <f>IFERROR(__xludf.DUMMYFUNCTION("""COMPUTED_VALUE"""),50.0)</f>
        <v>50</v>
      </c>
      <c r="G2006">
        <f>IFERROR(__xludf.DUMMYFUNCTION("""COMPUTED_VALUE"""),22.0)</f>
        <v>22</v>
      </c>
    </row>
    <row r="2007">
      <c r="A2007">
        <f>IFERROR(__xludf.DUMMYFUNCTION("""COMPUTED_VALUE"""),173461.0)</f>
        <v>173461</v>
      </c>
      <c r="B2007" t="str">
        <f>IFERROR(__xludf.DUMMYFUNCTION("""COMPUTED_VALUE"""),"Dulce De Leche")</f>
        <v>Dulce De Leche</v>
      </c>
      <c r="C2007" t="str">
        <f>IFERROR(__xludf.DUMMYFUNCTION("""COMPUTED_VALUE"""),"Dairy and Egg Products")</f>
        <v>Dairy and Egg Products</v>
      </c>
      <c r="D2007">
        <f>IFERROR(__xludf.DUMMYFUNCTION("""COMPUTED_VALUE"""),315.0)</f>
        <v>315</v>
      </c>
      <c r="E2007">
        <f>IFERROR(__xludf.DUMMYFUNCTION("""COMPUTED_VALUE"""),7.35)</f>
        <v>7.35</v>
      </c>
      <c r="F2007">
        <f>IFERROR(__xludf.DUMMYFUNCTION("""COMPUTED_VALUE"""),6.84)</f>
        <v>6.84</v>
      </c>
      <c r="G2007">
        <f>IFERROR(__xludf.DUMMYFUNCTION("""COMPUTED_VALUE"""),55.35)</f>
        <v>55.35</v>
      </c>
    </row>
    <row r="2008">
      <c r="A2008">
        <f>IFERROR(__xludf.DUMMYFUNCTION("""COMPUTED_VALUE"""),173462.0)</f>
        <v>173462</v>
      </c>
      <c r="B2008" t="str">
        <f>IFERROR(__xludf.DUMMYFUNCTION("""COMPUTED_VALUE"""),"Egg Substitute Liquid Or Frozen Fat Free")</f>
        <v>Egg Substitute Liquid Or Frozen Fat Free</v>
      </c>
      <c r="C2008" t="str">
        <f>IFERROR(__xludf.DUMMYFUNCTION("""COMPUTED_VALUE"""),"Dairy and Egg Products")</f>
        <v>Dairy and Egg Products</v>
      </c>
      <c r="D2008">
        <f>IFERROR(__xludf.DUMMYFUNCTION("""COMPUTED_VALUE"""),48.0)</f>
        <v>48</v>
      </c>
      <c r="E2008">
        <f>IFERROR(__xludf.DUMMYFUNCTION("""COMPUTED_VALUE"""),0.0)</f>
        <v>0</v>
      </c>
      <c r="F2008">
        <f>IFERROR(__xludf.DUMMYFUNCTION("""COMPUTED_VALUE"""),10.0)</f>
        <v>10</v>
      </c>
      <c r="G2008">
        <f>IFERROR(__xludf.DUMMYFUNCTION("""COMPUTED_VALUE"""),2.0)</f>
        <v>2</v>
      </c>
    </row>
    <row r="2009">
      <c r="A2009">
        <f>IFERROR(__xludf.DUMMYFUNCTION("""COMPUTED_VALUE"""),173463.0)</f>
        <v>173463</v>
      </c>
      <c r="B2009" t="str">
        <f>IFERROR(__xludf.DUMMYFUNCTION("""COMPUTED_VALUE"""),"Yogurt Vanilla Flavor Lowfat Milk Sweetened With Low Calorie Sweetener")</f>
        <v>Yogurt Vanilla Flavor Lowfat Milk Sweetened With Low Calorie Sweetener</v>
      </c>
      <c r="C2009" t="str">
        <f>IFERROR(__xludf.DUMMYFUNCTION("""COMPUTED_VALUE"""),"Dairy and Egg Products")</f>
        <v>Dairy and Egg Products</v>
      </c>
      <c r="D2009">
        <f>IFERROR(__xludf.DUMMYFUNCTION("""COMPUTED_VALUE"""),86.0)</f>
        <v>86</v>
      </c>
      <c r="E2009">
        <f>IFERROR(__xludf.DUMMYFUNCTION("""COMPUTED_VALUE"""),1.25)</f>
        <v>1.25</v>
      </c>
      <c r="F2009">
        <f>IFERROR(__xludf.DUMMYFUNCTION("""COMPUTED_VALUE"""),4.93)</f>
        <v>4.93</v>
      </c>
      <c r="G2009">
        <f>IFERROR(__xludf.DUMMYFUNCTION("""COMPUTED_VALUE"""),13.8)</f>
        <v>13.8</v>
      </c>
    </row>
    <row r="2010">
      <c r="A2010">
        <f>IFERROR(__xludf.DUMMYFUNCTION("""COMPUTED_VALUE"""),173464.0)</f>
        <v>173464</v>
      </c>
      <c r="B2010" t="str">
        <f>IFERROR(__xludf.DUMMYFUNCTION("""COMPUTED_VALUE"""),"Yogurt Frozen Flavors Not Chocolate Nonfat Milk With Low-Calorie Sweetener")</f>
        <v>Yogurt Frozen Flavors Not Chocolate Nonfat Milk With Low-Calorie Sweetener</v>
      </c>
      <c r="C2010" t="str">
        <f>IFERROR(__xludf.DUMMYFUNCTION("""COMPUTED_VALUE"""),"Dairy and Egg Products")</f>
        <v>Dairy and Egg Products</v>
      </c>
      <c r="D2010">
        <f>IFERROR(__xludf.DUMMYFUNCTION("""COMPUTED_VALUE"""),104.0)</f>
        <v>104</v>
      </c>
      <c r="E2010">
        <f>IFERROR(__xludf.DUMMYFUNCTION("""COMPUTED_VALUE"""),0.8)</f>
        <v>0.8</v>
      </c>
      <c r="F2010">
        <f>IFERROR(__xludf.DUMMYFUNCTION("""COMPUTED_VALUE"""),4.4)</f>
        <v>4.4</v>
      </c>
      <c r="G2010">
        <f>IFERROR(__xludf.DUMMYFUNCTION("""COMPUTED_VALUE"""),19.7)</f>
        <v>19.7</v>
      </c>
    </row>
    <row r="2011">
      <c r="A2011">
        <f>IFERROR(__xludf.DUMMYFUNCTION("""COMPUTED_VALUE"""),173465.0)</f>
        <v>173465</v>
      </c>
      <c r="B2011" t="str">
        <f>IFERROR(__xludf.DUMMYFUNCTION("""COMPUTED_VALUE"""),"Soft Serve Chocolate Ice Cream")</f>
        <v>Soft Serve Chocolate Ice Cream</v>
      </c>
      <c r="C2011" t="str">
        <f>IFERROR(__xludf.DUMMYFUNCTION("""COMPUTED_VALUE"""),"Dairy and Egg Products")</f>
        <v>Dairy and Egg Products</v>
      </c>
      <c r="D2011">
        <f>IFERROR(__xludf.DUMMYFUNCTION("""COMPUTED_VALUE"""),222.0)</f>
        <v>222</v>
      </c>
      <c r="E2011">
        <f>IFERROR(__xludf.DUMMYFUNCTION("""COMPUTED_VALUE"""),13.0)</f>
        <v>13</v>
      </c>
      <c r="F2011">
        <f>IFERROR(__xludf.DUMMYFUNCTION("""COMPUTED_VALUE"""),4.1)</f>
        <v>4.1</v>
      </c>
      <c r="G2011">
        <f>IFERROR(__xludf.DUMMYFUNCTION("""COMPUTED_VALUE"""),22.2)</f>
        <v>22.2</v>
      </c>
    </row>
    <row r="2012">
      <c r="A2012">
        <f>IFERROR(__xludf.DUMMYFUNCTION("""COMPUTED_VALUE"""),173466.0)</f>
        <v>173466</v>
      </c>
      <c r="B2012" t="str">
        <f>IFERROR(__xludf.DUMMYFUNCTION("""COMPUTED_VALUE"""),"Ice Cream Bar Or Stick Chocolate Covered")</f>
        <v>Ice Cream Bar Or Stick Chocolate Covered</v>
      </c>
      <c r="C2012" t="str">
        <f>IFERROR(__xludf.DUMMYFUNCTION("""COMPUTED_VALUE"""),"Dairy and Egg Products")</f>
        <v>Dairy and Egg Products</v>
      </c>
      <c r="D2012">
        <f>IFERROR(__xludf.DUMMYFUNCTION("""COMPUTED_VALUE"""),331.0)</f>
        <v>331</v>
      </c>
      <c r="E2012">
        <f>IFERROR(__xludf.DUMMYFUNCTION("""COMPUTED_VALUE"""),24.1)</f>
        <v>24.1</v>
      </c>
      <c r="F2012">
        <f>IFERROR(__xludf.DUMMYFUNCTION("""COMPUTED_VALUE"""),4.1)</f>
        <v>4.1</v>
      </c>
      <c r="G2012">
        <f>IFERROR(__xludf.DUMMYFUNCTION("""COMPUTED_VALUE"""),24.5)</f>
        <v>24.5</v>
      </c>
    </row>
    <row r="2013">
      <c r="A2013">
        <f>IFERROR(__xludf.DUMMYFUNCTION("""COMPUTED_VALUE"""),173467.0)</f>
        <v>173467</v>
      </c>
      <c r="B2013" t="str">
        <f>IFERROR(__xludf.DUMMYFUNCTION("""COMPUTED_VALUE"""),"Fat Free Ice Cream No Sugar Added Flavors Other Than Chocolate")</f>
        <v>Fat Free Ice Cream No Sugar Added Flavors Other Than Chocolate</v>
      </c>
      <c r="C2013" t="str">
        <f>IFERROR(__xludf.DUMMYFUNCTION("""COMPUTED_VALUE"""),"Dairy and Egg Products")</f>
        <v>Dairy and Egg Products</v>
      </c>
      <c r="D2013">
        <f>IFERROR(__xludf.DUMMYFUNCTION("""COMPUTED_VALUE"""),133.0)</f>
        <v>133</v>
      </c>
      <c r="E2013">
        <f>IFERROR(__xludf.DUMMYFUNCTION("""COMPUTED_VALUE"""),0.0)</f>
        <v>0</v>
      </c>
      <c r="F2013">
        <f>IFERROR(__xludf.DUMMYFUNCTION("""COMPUTED_VALUE"""),4.41)</f>
        <v>4.41</v>
      </c>
      <c r="G2013">
        <f>IFERROR(__xludf.DUMMYFUNCTION("""COMPUTED_VALUE"""),28.86)</f>
        <v>28.86</v>
      </c>
    </row>
    <row r="2014">
      <c r="A2014">
        <f>IFERROR(__xludf.DUMMYFUNCTION("""COMPUTED_VALUE"""),173611.0)</f>
        <v>173611</v>
      </c>
      <c r="B2014" t="str">
        <f>IFERROR(__xludf.DUMMYFUNCTION("""COMPUTED_VALUE"""),"Chicken Broilers Or Fryers Drumstick Meat And Skin Cooked Fried Flour")</f>
        <v>Chicken Broilers Or Fryers Drumstick Meat And Skin Cooked Fried Flour</v>
      </c>
      <c r="C2014" t="str">
        <f>IFERROR(__xludf.DUMMYFUNCTION("""COMPUTED_VALUE"""),"Meats")</f>
        <v>Meats</v>
      </c>
      <c r="D2014">
        <f>IFERROR(__xludf.DUMMYFUNCTION("""COMPUTED_VALUE"""),245.0)</f>
        <v>245</v>
      </c>
      <c r="E2014">
        <f>IFERROR(__xludf.DUMMYFUNCTION("""COMPUTED_VALUE"""),13.72)</f>
        <v>13.72</v>
      </c>
      <c r="F2014">
        <f>IFERROR(__xludf.DUMMYFUNCTION("""COMPUTED_VALUE"""),26.96)</f>
        <v>26.96</v>
      </c>
      <c r="G2014">
        <f>IFERROR(__xludf.DUMMYFUNCTION("""COMPUTED_VALUE"""),1.63)</f>
        <v>1.63</v>
      </c>
    </row>
    <row r="2015">
      <c r="A2015">
        <f>IFERROR(__xludf.DUMMYFUNCTION("""COMPUTED_VALUE"""),173612.0)</f>
        <v>173612</v>
      </c>
      <c r="B2015" t="str">
        <f>IFERROR(__xludf.DUMMYFUNCTION("""COMPUTED_VALUE"""),"Roasted Chicken Drumsticks")</f>
        <v>Roasted Chicken Drumsticks</v>
      </c>
      <c r="C2015" t="str">
        <f>IFERROR(__xludf.DUMMYFUNCTION("""COMPUTED_VALUE"""),"Meats")</f>
        <v>Meats</v>
      </c>
      <c r="D2015">
        <f>IFERROR(__xludf.DUMMYFUNCTION("""COMPUTED_VALUE"""),191.0)</f>
        <v>191</v>
      </c>
      <c r="E2015">
        <f>IFERROR(__xludf.DUMMYFUNCTION("""COMPUTED_VALUE"""),10.15)</f>
        <v>10.15</v>
      </c>
      <c r="F2015">
        <f>IFERROR(__xludf.DUMMYFUNCTION("""COMPUTED_VALUE"""),23.35)</f>
        <v>23.35</v>
      </c>
      <c r="G2015">
        <f>IFERROR(__xludf.DUMMYFUNCTION("""COMPUTED_VALUE"""),0.0)</f>
        <v>0</v>
      </c>
    </row>
    <row r="2016">
      <c r="A2016">
        <f>IFERROR(__xludf.DUMMYFUNCTION("""COMPUTED_VALUE"""),173613.0)</f>
        <v>173613</v>
      </c>
      <c r="B2016" t="str">
        <f>IFERROR(__xludf.DUMMYFUNCTION("""COMPUTED_VALUE"""),"Chicken Broilers Or Fryers Drumstick Meat And Skin Cooked Stewed")</f>
        <v>Chicken Broilers Or Fryers Drumstick Meat And Skin Cooked Stewed</v>
      </c>
      <c r="C2016" t="str">
        <f>IFERROR(__xludf.DUMMYFUNCTION("""COMPUTED_VALUE"""),"Meats")</f>
        <v>Meats</v>
      </c>
      <c r="D2016">
        <f>IFERROR(__xludf.DUMMYFUNCTION("""COMPUTED_VALUE"""),204.0)</f>
        <v>204</v>
      </c>
      <c r="E2016">
        <f>IFERROR(__xludf.DUMMYFUNCTION("""COMPUTED_VALUE"""),10.64)</f>
        <v>10.64</v>
      </c>
      <c r="F2016">
        <f>IFERROR(__xludf.DUMMYFUNCTION("""COMPUTED_VALUE"""),25.32)</f>
        <v>25.32</v>
      </c>
      <c r="G2016">
        <f>IFERROR(__xludf.DUMMYFUNCTION("""COMPUTED_VALUE"""),0.0)</f>
        <v>0</v>
      </c>
    </row>
    <row r="2017">
      <c r="A2017">
        <f>IFERROR(__xludf.DUMMYFUNCTION("""COMPUTED_VALUE"""),173614.0)</f>
        <v>173614</v>
      </c>
      <c r="B2017" t="str">
        <f>IFERROR(__xludf.DUMMYFUNCTION("""COMPUTED_VALUE"""),"Raw Skinless Chicken Drumstick")</f>
        <v>Raw Skinless Chicken Drumstick</v>
      </c>
      <c r="C2017" t="str">
        <f>IFERROR(__xludf.DUMMYFUNCTION("""COMPUTED_VALUE"""),"Meats")</f>
        <v>Meats</v>
      </c>
      <c r="D2017">
        <f>IFERROR(__xludf.DUMMYFUNCTION("""COMPUTED_VALUE"""),116.0)</f>
        <v>116</v>
      </c>
      <c r="E2017">
        <f>IFERROR(__xludf.DUMMYFUNCTION("""COMPUTED_VALUE"""),3.71)</f>
        <v>3.71</v>
      </c>
      <c r="F2017">
        <f>IFERROR(__xludf.DUMMYFUNCTION("""COMPUTED_VALUE"""),19.41)</f>
        <v>19.41</v>
      </c>
      <c r="G2017">
        <f>IFERROR(__xludf.DUMMYFUNCTION("""COMPUTED_VALUE"""),0.0)</f>
        <v>0</v>
      </c>
    </row>
    <row r="2018">
      <c r="A2018">
        <f>IFERROR(__xludf.DUMMYFUNCTION("""COMPUTED_VALUE"""),173615.0)</f>
        <v>173615</v>
      </c>
      <c r="B2018" t="str">
        <f>IFERROR(__xludf.DUMMYFUNCTION("""COMPUTED_VALUE"""),"Chicken Broilers Or Fryers Leg Meat And Skin Cooked Fried Batter")</f>
        <v>Chicken Broilers Or Fryers Leg Meat And Skin Cooked Fried Batter</v>
      </c>
      <c r="C2018" t="str">
        <f>IFERROR(__xludf.DUMMYFUNCTION("""COMPUTED_VALUE"""),"Meats")</f>
        <v>Meats</v>
      </c>
      <c r="D2018">
        <f>IFERROR(__xludf.DUMMYFUNCTION("""COMPUTED_VALUE"""),273.0)</f>
        <v>273</v>
      </c>
      <c r="E2018">
        <f>IFERROR(__xludf.DUMMYFUNCTION("""COMPUTED_VALUE"""),16.17)</f>
        <v>16.17</v>
      </c>
      <c r="F2018">
        <f>IFERROR(__xludf.DUMMYFUNCTION("""COMPUTED_VALUE"""),21.77)</f>
        <v>21.77</v>
      </c>
      <c r="G2018">
        <f>IFERROR(__xludf.DUMMYFUNCTION("""COMPUTED_VALUE"""),8.72)</f>
        <v>8.72</v>
      </c>
    </row>
    <row r="2019">
      <c r="A2019">
        <f>IFERROR(__xludf.DUMMYFUNCTION("""COMPUTED_VALUE"""),173616.0)</f>
        <v>173616</v>
      </c>
      <c r="B2019" t="str">
        <f>IFERROR(__xludf.DUMMYFUNCTION("""COMPUTED_VALUE"""),"Chicken Broilers Or Fryers Leg Meat And Skin Cooked Fried Flour")</f>
        <v>Chicken Broilers Or Fryers Leg Meat And Skin Cooked Fried Flour</v>
      </c>
      <c r="C2019" t="str">
        <f>IFERROR(__xludf.DUMMYFUNCTION("""COMPUTED_VALUE"""),"Meats")</f>
        <v>Meats</v>
      </c>
      <c r="D2019">
        <f>IFERROR(__xludf.DUMMYFUNCTION("""COMPUTED_VALUE"""),254.0)</f>
        <v>254</v>
      </c>
      <c r="E2019">
        <f>IFERROR(__xludf.DUMMYFUNCTION("""COMPUTED_VALUE"""),14.43)</f>
        <v>14.43</v>
      </c>
      <c r="F2019">
        <f>IFERROR(__xludf.DUMMYFUNCTION("""COMPUTED_VALUE"""),26.84)</f>
        <v>26.84</v>
      </c>
      <c r="G2019">
        <f>IFERROR(__xludf.DUMMYFUNCTION("""COMPUTED_VALUE"""),2.5)</f>
        <v>2.5</v>
      </c>
    </row>
    <row r="2020">
      <c r="A2020">
        <f>IFERROR(__xludf.DUMMYFUNCTION("""COMPUTED_VALUE"""),173617.0)</f>
        <v>173617</v>
      </c>
      <c r="B2020" t="str">
        <f>IFERROR(__xludf.DUMMYFUNCTION("""COMPUTED_VALUE"""),"Roasted Chicken Leg")</f>
        <v>Roasted Chicken Leg</v>
      </c>
      <c r="C2020" t="str">
        <f>IFERROR(__xludf.DUMMYFUNCTION("""COMPUTED_VALUE"""),"Meats")</f>
        <v>Meats</v>
      </c>
      <c r="D2020">
        <f>IFERROR(__xludf.DUMMYFUNCTION("""COMPUTED_VALUE"""),184.0)</f>
        <v>184</v>
      </c>
      <c r="E2020">
        <f>IFERROR(__xludf.DUMMYFUNCTION("""COMPUTED_VALUE"""),8.99)</f>
        <v>8.99</v>
      </c>
      <c r="F2020">
        <f>IFERROR(__xludf.DUMMYFUNCTION("""COMPUTED_VALUE"""),24.03)</f>
        <v>24.03</v>
      </c>
      <c r="G2020">
        <f>IFERROR(__xludf.DUMMYFUNCTION("""COMPUTED_VALUE"""),0.0)</f>
        <v>0</v>
      </c>
    </row>
    <row r="2021">
      <c r="A2021">
        <f>IFERROR(__xludf.DUMMYFUNCTION("""COMPUTED_VALUE"""),173618.0)</f>
        <v>173618</v>
      </c>
      <c r="B2021" t="str">
        <f>IFERROR(__xludf.DUMMYFUNCTION("""COMPUTED_VALUE"""),"Chicken Broilers Or Fryers Leg Meat And Skin Cooked Stewed")</f>
        <v>Chicken Broilers Or Fryers Leg Meat And Skin Cooked Stewed</v>
      </c>
      <c r="C2021" t="str">
        <f>IFERROR(__xludf.DUMMYFUNCTION("""COMPUTED_VALUE"""),"Meats")</f>
        <v>Meats</v>
      </c>
      <c r="D2021">
        <f>IFERROR(__xludf.DUMMYFUNCTION("""COMPUTED_VALUE"""),220.0)</f>
        <v>220</v>
      </c>
      <c r="E2021">
        <f>IFERROR(__xludf.DUMMYFUNCTION("""COMPUTED_VALUE"""),12.92)</f>
        <v>12.92</v>
      </c>
      <c r="F2021">
        <f>IFERROR(__xludf.DUMMYFUNCTION("""COMPUTED_VALUE"""),24.17)</f>
        <v>24.17</v>
      </c>
      <c r="G2021">
        <f>IFERROR(__xludf.DUMMYFUNCTION("""COMPUTED_VALUE"""),0.0)</f>
        <v>0</v>
      </c>
    </row>
    <row r="2022">
      <c r="A2022">
        <f>IFERROR(__xludf.DUMMYFUNCTION("""COMPUTED_VALUE"""),173619.0)</f>
        <v>173619</v>
      </c>
      <c r="B2022" t="str">
        <f>IFERROR(__xludf.DUMMYFUNCTION("""COMPUTED_VALUE"""),"Boneless Skinless Chicken Leg (Raw)")</f>
        <v>Boneless Skinless Chicken Leg (Raw)</v>
      </c>
      <c r="C2022" t="str">
        <f>IFERROR(__xludf.DUMMYFUNCTION("""COMPUTED_VALUE"""),"Meats")</f>
        <v>Meats</v>
      </c>
      <c r="D2022">
        <f>IFERROR(__xludf.DUMMYFUNCTION("""COMPUTED_VALUE"""),120.0)</f>
        <v>120</v>
      </c>
      <c r="E2022">
        <f>IFERROR(__xludf.DUMMYFUNCTION("""COMPUTED_VALUE"""),4.22)</f>
        <v>4.22</v>
      </c>
      <c r="F2022">
        <f>IFERROR(__xludf.DUMMYFUNCTION("""COMPUTED_VALUE"""),19.16)</f>
        <v>19.16</v>
      </c>
      <c r="G2022">
        <f>IFERROR(__xludf.DUMMYFUNCTION("""COMPUTED_VALUE"""),0.0)</f>
        <v>0</v>
      </c>
    </row>
    <row r="2023">
      <c r="A2023">
        <f>IFERROR(__xludf.DUMMYFUNCTION("""COMPUTED_VALUE"""),173620.0)</f>
        <v>173620</v>
      </c>
      <c r="B2023" t="str">
        <f>IFERROR(__xludf.DUMMYFUNCTION("""COMPUTED_VALUE"""),"Chicken Broilers Or Fryers Neck Meat And Skin Cooked Fried Batter")</f>
        <v>Chicken Broilers Or Fryers Neck Meat And Skin Cooked Fried Batter</v>
      </c>
      <c r="C2023" t="str">
        <f>IFERROR(__xludf.DUMMYFUNCTION("""COMPUTED_VALUE"""),"Meats")</f>
        <v>Meats</v>
      </c>
      <c r="D2023">
        <f>IFERROR(__xludf.DUMMYFUNCTION("""COMPUTED_VALUE"""),330.0)</f>
        <v>330</v>
      </c>
      <c r="E2023">
        <f>IFERROR(__xludf.DUMMYFUNCTION("""COMPUTED_VALUE"""),23.52)</f>
        <v>23.52</v>
      </c>
      <c r="F2023">
        <f>IFERROR(__xludf.DUMMYFUNCTION("""COMPUTED_VALUE"""),19.82)</f>
        <v>19.82</v>
      </c>
      <c r="G2023">
        <f>IFERROR(__xludf.DUMMYFUNCTION("""COMPUTED_VALUE"""),8.7)</f>
        <v>8.7</v>
      </c>
    </row>
    <row r="2024">
      <c r="A2024">
        <f>IFERROR(__xludf.DUMMYFUNCTION("""COMPUTED_VALUE"""),173621.0)</f>
        <v>173621</v>
      </c>
      <c r="B2024" t="str">
        <f>IFERROR(__xludf.DUMMYFUNCTION("""COMPUTED_VALUE"""),"Chicken Broilers Or Fryers Neck Meat And Skin Cooked Fried Flour")</f>
        <v>Chicken Broilers Or Fryers Neck Meat And Skin Cooked Fried Flour</v>
      </c>
      <c r="C2024" t="str">
        <f>IFERROR(__xludf.DUMMYFUNCTION("""COMPUTED_VALUE"""),"Meats")</f>
        <v>Meats</v>
      </c>
      <c r="D2024">
        <f>IFERROR(__xludf.DUMMYFUNCTION("""COMPUTED_VALUE"""),332.0)</f>
        <v>332</v>
      </c>
      <c r="E2024">
        <f>IFERROR(__xludf.DUMMYFUNCTION("""COMPUTED_VALUE"""),23.61)</f>
        <v>23.61</v>
      </c>
      <c r="F2024">
        <f>IFERROR(__xludf.DUMMYFUNCTION("""COMPUTED_VALUE"""),24.01)</f>
        <v>24.01</v>
      </c>
      <c r="G2024">
        <f>IFERROR(__xludf.DUMMYFUNCTION("""COMPUTED_VALUE"""),4.24)</f>
        <v>4.24</v>
      </c>
    </row>
    <row r="2025">
      <c r="A2025">
        <f>IFERROR(__xludf.DUMMYFUNCTION("""COMPUTED_VALUE"""),173622.0)</f>
        <v>173622</v>
      </c>
      <c r="B2025" t="str">
        <f>IFERROR(__xludf.DUMMYFUNCTION("""COMPUTED_VALUE"""),"Chicken Broilers Or Fryers Neck Meat And Skin Cooked Simmered")</f>
        <v>Chicken Broilers Or Fryers Neck Meat And Skin Cooked Simmered</v>
      </c>
      <c r="C2025" t="str">
        <f>IFERROR(__xludf.DUMMYFUNCTION("""COMPUTED_VALUE"""),"Meats")</f>
        <v>Meats</v>
      </c>
      <c r="D2025">
        <f>IFERROR(__xludf.DUMMYFUNCTION("""COMPUTED_VALUE"""),247.0)</f>
        <v>247</v>
      </c>
      <c r="E2025">
        <f>IFERROR(__xludf.DUMMYFUNCTION("""COMPUTED_VALUE"""),18.1)</f>
        <v>18.1</v>
      </c>
      <c r="F2025">
        <f>IFERROR(__xludf.DUMMYFUNCTION("""COMPUTED_VALUE"""),19.61)</f>
        <v>19.61</v>
      </c>
      <c r="G2025">
        <f>IFERROR(__xludf.DUMMYFUNCTION("""COMPUTED_VALUE"""),0.0)</f>
        <v>0</v>
      </c>
    </row>
    <row r="2026">
      <c r="A2026">
        <f>IFERROR(__xludf.DUMMYFUNCTION("""COMPUTED_VALUE"""),173623.0)</f>
        <v>173623</v>
      </c>
      <c r="B2026" t="str">
        <f>IFERROR(__xludf.DUMMYFUNCTION("""COMPUTED_VALUE"""),"Chicken Broilers Or Fryers Neck Meat Only Raw")</f>
        <v>Chicken Broilers Or Fryers Neck Meat Only Raw</v>
      </c>
      <c r="C2026" t="str">
        <f>IFERROR(__xludf.DUMMYFUNCTION("""COMPUTED_VALUE"""),"Meats")</f>
        <v>Meats</v>
      </c>
      <c r="D2026">
        <f>IFERROR(__xludf.DUMMYFUNCTION("""COMPUTED_VALUE"""),154.0)</f>
        <v>154</v>
      </c>
      <c r="E2026">
        <f>IFERROR(__xludf.DUMMYFUNCTION("""COMPUTED_VALUE"""),8.78)</f>
        <v>8.78</v>
      </c>
      <c r="F2026">
        <f>IFERROR(__xludf.DUMMYFUNCTION("""COMPUTED_VALUE"""),17.55)</f>
        <v>17.55</v>
      </c>
      <c r="G2026">
        <f>IFERROR(__xludf.DUMMYFUNCTION("""COMPUTED_VALUE"""),0.0)</f>
        <v>0</v>
      </c>
    </row>
    <row r="2027">
      <c r="A2027">
        <f>IFERROR(__xludf.DUMMYFUNCTION("""COMPUTED_VALUE"""),173624.0)</f>
        <v>173624</v>
      </c>
      <c r="B2027" t="str">
        <f>IFERROR(__xludf.DUMMYFUNCTION("""COMPUTED_VALUE"""),"Chicken Broilers Or Fryers Thigh Meat And Skin Cooked Fried Flour")</f>
        <v>Chicken Broilers Or Fryers Thigh Meat And Skin Cooked Fried Flour</v>
      </c>
      <c r="C2027" t="str">
        <f>IFERROR(__xludf.DUMMYFUNCTION("""COMPUTED_VALUE"""),"Meats")</f>
        <v>Meats</v>
      </c>
      <c r="D2027">
        <f>IFERROR(__xludf.DUMMYFUNCTION("""COMPUTED_VALUE"""),262.0)</f>
        <v>262</v>
      </c>
      <c r="E2027">
        <f>IFERROR(__xludf.DUMMYFUNCTION("""COMPUTED_VALUE"""),14.98)</f>
        <v>14.98</v>
      </c>
      <c r="F2027">
        <f>IFERROR(__xludf.DUMMYFUNCTION("""COMPUTED_VALUE"""),26.75)</f>
        <v>26.75</v>
      </c>
      <c r="G2027">
        <f>IFERROR(__xludf.DUMMYFUNCTION("""COMPUTED_VALUE"""),3.18)</f>
        <v>3.18</v>
      </c>
    </row>
    <row r="2028">
      <c r="A2028">
        <f>IFERROR(__xludf.DUMMYFUNCTION("""COMPUTED_VALUE"""),173625.0)</f>
        <v>173625</v>
      </c>
      <c r="B2028" t="str">
        <f>IFERROR(__xludf.DUMMYFUNCTION("""COMPUTED_VALUE"""),"Roasted Chicken Thigh")</f>
        <v>Roasted Chicken Thigh</v>
      </c>
      <c r="C2028" t="str">
        <f>IFERROR(__xludf.DUMMYFUNCTION("""COMPUTED_VALUE"""),"Meats")</f>
        <v>Meats</v>
      </c>
      <c r="D2028">
        <f>IFERROR(__xludf.DUMMYFUNCTION("""COMPUTED_VALUE"""),232.0)</f>
        <v>232</v>
      </c>
      <c r="E2028">
        <f>IFERROR(__xludf.DUMMYFUNCTION("""COMPUTED_VALUE"""),14.71)</f>
        <v>14.71</v>
      </c>
      <c r="F2028">
        <f>IFERROR(__xludf.DUMMYFUNCTION("""COMPUTED_VALUE"""),23.26)</f>
        <v>23.26</v>
      </c>
      <c r="G2028">
        <f>IFERROR(__xludf.DUMMYFUNCTION("""COMPUTED_VALUE"""),0.0)</f>
        <v>0</v>
      </c>
    </row>
    <row r="2029">
      <c r="A2029">
        <f>IFERROR(__xludf.DUMMYFUNCTION("""COMPUTED_VALUE"""),173626.0)</f>
        <v>173626</v>
      </c>
      <c r="B2029" t="str">
        <f>IFERROR(__xludf.DUMMYFUNCTION("""COMPUTED_VALUE"""),"Chicken Broilers Or Fryers Thigh Meat And Skin Cooked Stewed")</f>
        <v>Chicken Broilers Or Fryers Thigh Meat And Skin Cooked Stewed</v>
      </c>
      <c r="C2029" t="str">
        <f>IFERROR(__xludf.DUMMYFUNCTION("""COMPUTED_VALUE"""),"Meats")</f>
        <v>Meats</v>
      </c>
      <c r="D2029">
        <f>IFERROR(__xludf.DUMMYFUNCTION("""COMPUTED_VALUE"""),232.0)</f>
        <v>232</v>
      </c>
      <c r="E2029">
        <f>IFERROR(__xludf.DUMMYFUNCTION("""COMPUTED_VALUE"""),14.74)</f>
        <v>14.74</v>
      </c>
      <c r="F2029">
        <f>IFERROR(__xludf.DUMMYFUNCTION("""COMPUTED_VALUE"""),23.26)</f>
        <v>23.26</v>
      </c>
      <c r="G2029">
        <f>IFERROR(__xludf.DUMMYFUNCTION("""COMPUTED_VALUE"""),0.0)</f>
        <v>0</v>
      </c>
    </row>
    <row r="2030">
      <c r="A2030">
        <f>IFERROR(__xludf.DUMMYFUNCTION("""COMPUTED_VALUE"""),173627.0)</f>
        <v>173627</v>
      </c>
      <c r="B2030" t="str">
        <f>IFERROR(__xludf.DUMMYFUNCTION("""COMPUTED_VALUE"""),"Raw Boneless Skinless Thigh Meat")</f>
        <v>Raw Boneless Skinless Thigh Meat</v>
      </c>
      <c r="C2030" t="str">
        <f>IFERROR(__xludf.DUMMYFUNCTION("""COMPUTED_VALUE"""),"Meats")</f>
        <v>Meats</v>
      </c>
      <c r="D2030">
        <f>IFERROR(__xludf.DUMMYFUNCTION("""COMPUTED_VALUE"""),121.0)</f>
        <v>121</v>
      </c>
      <c r="E2030">
        <f>IFERROR(__xludf.DUMMYFUNCTION("""COMPUTED_VALUE"""),4.12)</f>
        <v>4.12</v>
      </c>
      <c r="F2030">
        <f>IFERROR(__xludf.DUMMYFUNCTION("""COMPUTED_VALUE"""),19.66)</f>
        <v>19.66</v>
      </c>
      <c r="G2030">
        <f>IFERROR(__xludf.DUMMYFUNCTION("""COMPUTED_VALUE"""),0.0)</f>
        <v>0</v>
      </c>
    </row>
    <row r="2031">
      <c r="A2031">
        <f>IFERROR(__xludf.DUMMYFUNCTION("""COMPUTED_VALUE"""),173628.0)</f>
        <v>173628</v>
      </c>
      <c r="B2031" t="str">
        <f>IFERROR(__xludf.DUMMYFUNCTION("""COMPUTED_VALUE"""),"Chicken Broilers Or Fryers Wing Meat And Skin Cooked Fried Batter")</f>
        <v>Chicken Broilers Or Fryers Wing Meat And Skin Cooked Fried Batter</v>
      </c>
      <c r="C2031" t="str">
        <f>IFERROR(__xludf.DUMMYFUNCTION("""COMPUTED_VALUE"""),"Meats")</f>
        <v>Meats</v>
      </c>
      <c r="D2031">
        <f>IFERROR(__xludf.DUMMYFUNCTION("""COMPUTED_VALUE"""),324.0)</f>
        <v>324</v>
      </c>
      <c r="E2031">
        <f>IFERROR(__xludf.DUMMYFUNCTION("""COMPUTED_VALUE"""),21.81)</f>
        <v>21.81</v>
      </c>
      <c r="F2031">
        <f>IFERROR(__xludf.DUMMYFUNCTION("""COMPUTED_VALUE"""),19.87)</f>
        <v>19.87</v>
      </c>
      <c r="G2031">
        <f>IFERROR(__xludf.DUMMYFUNCTION("""COMPUTED_VALUE"""),10.94)</f>
        <v>10.94</v>
      </c>
    </row>
    <row r="2032">
      <c r="A2032">
        <f>IFERROR(__xludf.DUMMYFUNCTION("""COMPUTED_VALUE"""),173629.0)</f>
        <v>173629</v>
      </c>
      <c r="B2032" t="str">
        <f>IFERROR(__xludf.DUMMYFUNCTION("""COMPUTED_VALUE"""),"Chicken Broilers Or Fryers Wing Meat And Skin Cooked Fried Flour")</f>
        <v>Chicken Broilers Or Fryers Wing Meat And Skin Cooked Fried Flour</v>
      </c>
      <c r="C2032" t="str">
        <f>IFERROR(__xludf.DUMMYFUNCTION("""COMPUTED_VALUE"""),"Meats")</f>
        <v>Meats</v>
      </c>
      <c r="D2032">
        <f>IFERROR(__xludf.DUMMYFUNCTION("""COMPUTED_VALUE"""),321.0)</f>
        <v>321</v>
      </c>
      <c r="E2032">
        <f>IFERROR(__xludf.DUMMYFUNCTION("""COMPUTED_VALUE"""),22.16)</f>
        <v>22.16</v>
      </c>
      <c r="F2032">
        <f>IFERROR(__xludf.DUMMYFUNCTION("""COMPUTED_VALUE"""),26.11)</f>
        <v>26.11</v>
      </c>
      <c r="G2032">
        <f>IFERROR(__xludf.DUMMYFUNCTION("""COMPUTED_VALUE"""),2.39)</f>
        <v>2.39</v>
      </c>
    </row>
    <row r="2033">
      <c r="A2033">
        <f>IFERROR(__xludf.DUMMYFUNCTION("""COMPUTED_VALUE"""),173630.0)</f>
        <v>173630</v>
      </c>
      <c r="B2033" t="str">
        <f>IFERROR(__xludf.DUMMYFUNCTION("""COMPUTED_VALUE"""),"Roasted Chicken Wings")</f>
        <v>Roasted Chicken Wings</v>
      </c>
      <c r="C2033" t="str">
        <f>IFERROR(__xludf.DUMMYFUNCTION("""COMPUTED_VALUE"""),"Meats")</f>
        <v>Meats</v>
      </c>
      <c r="D2033">
        <f>IFERROR(__xludf.DUMMYFUNCTION("""COMPUTED_VALUE"""),254.0)</f>
        <v>254</v>
      </c>
      <c r="E2033">
        <f>IFERROR(__xludf.DUMMYFUNCTION("""COMPUTED_VALUE"""),16.87)</f>
        <v>16.87</v>
      </c>
      <c r="F2033">
        <f>IFERROR(__xludf.DUMMYFUNCTION("""COMPUTED_VALUE"""),23.79)</f>
        <v>23.79</v>
      </c>
      <c r="G2033">
        <f>IFERROR(__xludf.DUMMYFUNCTION("""COMPUTED_VALUE"""),0.0)</f>
        <v>0</v>
      </c>
    </row>
    <row r="2034">
      <c r="A2034">
        <f>IFERROR(__xludf.DUMMYFUNCTION("""COMPUTED_VALUE"""),173631.0)</f>
        <v>173631</v>
      </c>
      <c r="B2034" t="str">
        <f>IFERROR(__xludf.DUMMYFUNCTION("""COMPUTED_VALUE"""),"Chicken Broilers Or Fryers Wing Meat And Skin Cooked Stewed")</f>
        <v>Chicken Broilers Or Fryers Wing Meat And Skin Cooked Stewed</v>
      </c>
      <c r="C2034" t="str">
        <f>IFERROR(__xludf.DUMMYFUNCTION("""COMPUTED_VALUE"""),"Meats")</f>
        <v>Meats</v>
      </c>
      <c r="D2034">
        <f>IFERROR(__xludf.DUMMYFUNCTION("""COMPUTED_VALUE"""),249.0)</f>
        <v>249</v>
      </c>
      <c r="E2034">
        <f>IFERROR(__xludf.DUMMYFUNCTION("""COMPUTED_VALUE"""),16.82)</f>
        <v>16.82</v>
      </c>
      <c r="F2034">
        <f>IFERROR(__xludf.DUMMYFUNCTION("""COMPUTED_VALUE"""),22.78)</f>
        <v>22.78</v>
      </c>
      <c r="G2034">
        <f>IFERROR(__xludf.DUMMYFUNCTION("""COMPUTED_VALUE"""),0.0)</f>
        <v>0</v>
      </c>
    </row>
    <row r="2035">
      <c r="A2035">
        <f>IFERROR(__xludf.DUMMYFUNCTION("""COMPUTED_VALUE"""),173632.0)</f>
        <v>173632</v>
      </c>
      <c r="B2035" t="str">
        <f>IFERROR(__xludf.DUMMYFUNCTION("""COMPUTED_VALUE"""),"Chicken Broilers Or Fryers Wing Meat Only Raw")</f>
        <v>Chicken Broilers Or Fryers Wing Meat Only Raw</v>
      </c>
      <c r="C2035" t="str">
        <f>IFERROR(__xludf.DUMMYFUNCTION("""COMPUTED_VALUE"""),"Meats")</f>
        <v>Meats</v>
      </c>
      <c r="D2035">
        <f>IFERROR(__xludf.DUMMYFUNCTION("""COMPUTED_VALUE"""),126.0)</f>
        <v>126</v>
      </c>
      <c r="E2035">
        <f>IFERROR(__xludf.DUMMYFUNCTION("""COMPUTED_VALUE"""),3.54)</f>
        <v>3.54</v>
      </c>
      <c r="F2035">
        <f>IFERROR(__xludf.DUMMYFUNCTION("""COMPUTED_VALUE"""),21.97)</f>
        <v>21.97</v>
      </c>
      <c r="G2035">
        <f>IFERROR(__xludf.DUMMYFUNCTION("""COMPUTED_VALUE"""),0.0)</f>
        <v>0</v>
      </c>
    </row>
    <row r="2036">
      <c r="A2036">
        <f>IFERROR(__xludf.DUMMYFUNCTION("""COMPUTED_VALUE"""),173633.0)</f>
        <v>173633</v>
      </c>
      <c r="B2036" t="str">
        <f>IFERROR(__xludf.DUMMYFUNCTION("""COMPUTED_VALUE"""),"Chicken Roasting Meat And Skin And Giblets And Neck Cooked Roasted")</f>
        <v>Chicken Roasting Meat And Skin And Giblets And Neck Cooked Roasted</v>
      </c>
      <c r="C2036" t="str">
        <f>IFERROR(__xludf.DUMMYFUNCTION("""COMPUTED_VALUE"""),"Meats")</f>
        <v>Meats</v>
      </c>
      <c r="D2036">
        <f>IFERROR(__xludf.DUMMYFUNCTION("""COMPUTED_VALUE"""),220.0)</f>
        <v>220</v>
      </c>
      <c r="E2036">
        <f>IFERROR(__xludf.DUMMYFUNCTION("""COMPUTED_VALUE"""),13.07)</f>
        <v>13.07</v>
      </c>
      <c r="F2036">
        <f>IFERROR(__xludf.DUMMYFUNCTION("""COMPUTED_VALUE"""),23.96)</f>
        <v>23.96</v>
      </c>
      <c r="G2036">
        <f>IFERROR(__xludf.DUMMYFUNCTION("""COMPUTED_VALUE"""),0.05)</f>
        <v>0.05</v>
      </c>
    </row>
    <row r="2037">
      <c r="A2037">
        <f>IFERROR(__xludf.DUMMYFUNCTION("""COMPUTED_VALUE"""),173634.0)</f>
        <v>173634</v>
      </c>
      <c r="B2037" t="str">
        <f>IFERROR(__xludf.DUMMYFUNCTION("""COMPUTED_VALUE"""),"Canada Goose Breast Meat Skinless Raw")</f>
        <v>Canada Goose Breast Meat Skinless Raw</v>
      </c>
      <c r="C2037" t="str">
        <f>IFERROR(__xludf.DUMMYFUNCTION("""COMPUTED_VALUE"""),"Meats")</f>
        <v>Meats</v>
      </c>
      <c r="D2037">
        <f>IFERROR(__xludf.DUMMYFUNCTION("""COMPUTED_VALUE"""),133.0)</f>
        <v>133</v>
      </c>
      <c r="E2037">
        <f>IFERROR(__xludf.DUMMYFUNCTION("""COMPUTED_VALUE"""),4.02)</f>
        <v>4.02</v>
      </c>
      <c r="F2037">
        <f>IFERROR(__xludf.DUMMYFUNCTION("""COMPUTED_VALUE"""),24.31)</f>
        <v>24.31</v>
      </c>
      <c r="G2037">
        <f>IFERROR(__xludf.DUMMYFUNCTION("""COMPUTED_VALUE"""),0.0)</f>
        <v>0</v>
      </c>
    </row>
    <row r="2038">
      <c r="A2038">
        <f>IFERROR(__xludf.DUMMYFUNCTION("""COMPUTED_VALUE"""),173635.0)</f>
        <v>173635</v>
      </c>
      <c r="B2038" t="str">
        <f>IFERROR(__xludf.DUMMYFUNCTION("""COMPUTED_VALUE"""),"Chicken Roasting Meat And Skin Cooked Roasted")</f>
        <v>Chicken Roasting Meat And Skin Cooked Roasted</v>
      </c>
      <c r="C2038" t="str">
        <f>IFERROR(__xludf.DUMMYFUNCTION("""COMPUTED_VALUE"""),"Meats")</f>
        <v>Meats</v>
      </c>
      <c r="D2038">
        <f>IFERROR(__xludf.DUMMYFUNCTION("""COMPUTED_VALUE"""),223.0)</f>
        <v>223</v>
      </c>
      <c r="E2038">
        <f>IFERROR(__xludf.DUMMYFUNCTION("""COMPUTED_VALUE"""),13.39)</f>
        <v>13.39</v>
      </c>
      <c r="F2038">
        <f>IFERROR(__xludf.DUMMYFUNCTION("""COMPUTED_VALUE"""),23.97)</f>
        <v>23.97</v>
      </c>
      <c r="G2038">
        <f>IFERROR(__xludf.DUMMYFUNCTION("""COMPUTED_VALUE"""),0.0)</f>
        <v>0</v>
      </c>
    </row>
    <row r="2039">
      <c r="A2039">
        <f>IFERROR(__xludf.DUMMYFUNCTION("""COMPUTED_VALUE"""),173636.0)</f>
        <v>173636</v>
      </c>
      <c r="B2039" t="str">
        <f>IFERROR(__xludf.DUMMYFUNCTION("""COMPUTED_VALUE"""),"Chicken Roasting Meat Only Raw")</f>
        <v>Chicken Roasting Meat Only Raw</v>
      </c>
      <c r="C2039" t="str">
        <f>IFERROR(__xludf.DUMMYFUNCTION("""COMPUTED_VALUE"""),"Meats")</f>
        <v>Meats</v>
      </c>
      <c r="D2039">
        <f>IFERROR(__xludf.DUMMYFUNCTION("""COMPUTED_VALUE"""),111.0)</f>
        <v>111</v>
      </c>
      <c r="E2039">
        <f>IFERROR(__xludf.DUMMYFUNCTION("""COMPUTED_VALUE"""),2.7)</f>
        <v>2.7</v>
      </c>
      <c r="F2039">
        <f>IFERROR(__xludf.DUMMYFUNCTION("""COMPUTED_VALUE"""),20.33)</f>
        <v>20.33</v>
      </c>
      <c r="G2039">
        <f>IFERROR(__xludf.DUMMYFUNCTION("""COMPUTED_VALUE"""),0.0)</f>
        <v>0</v>
      </c>
    </row>
    <row r="2040">
      <c r="A2040">
        <f>IFERROR(__xludf.DUMMYFUNCTION("""COMPUTED_VALUE"""),173637.0)</f>
        <v>173637</v>
      </c>
      <c r="B2040" t="str">
        <f>IFERROR(__xludf.DUMMYFUNCTION("""COMPUTED_VALUE"""),"Chicken (Light Meat)")</f>
        <v>Chicken (Light Meat)</v>
      </c>
      <c r="C2040" t="str">
        <f>IFERROR(__xludf.DUMMYFUNCTION("""COMPUTED_VALUE"""),"Meats")</f>
        <v>Meats</v>
      </c>
      <c r="D2040">
        <f>IFERROR(__xludf.DUMMYFUNCTION("""COMPUTED_VALUE"""),153.0)</f>
        <v>153</v>
      </c>
      <c r="E2040">
        <f>IFERROR(__xludf.DUMMYFUNCTION("""COMPUTED_VALUE"""),4.07)</f>
        <v>4.07</v>
      </c>
      <c r="F2040">
        <f>IFERROR(__xludf.DUMMYFUNCTION("""COMPUTED_VALUE"""),27.13)</f>
        <v>27.13</v>
      </c>
      <c r="G2040">
        <f>IFERROR(__xludf.DUMMYFUNCTION("""COMPUTED_VALUE"""),0.0)</f>
        <v>0</v>
      </c>
    </row>
    <row r="2041">
      <c r="A2041">
        <f>IFERROR(__xludf.DUMMYFUNCTION("""COMPUTED_VALUE"""),173638.0)</f>
        <v>173638</v>
      </c>
      <c r="B2041" t="str">
        <f>IFERROR(__xludf.DUMMYFUNCTION("""COMPUTED_VALUE"""),"Chicken Roasting Dark Meat Meat Only Raw")</f>
        <v>Chicken Roasting Dark Meat Meat Only Raw</v>
      </c>
      <c r="C2041" t="str">
        <f>IFERROR(__xludf.DUMMYFUNCTION("""COMPUTED_VALUE"""),"Meats")</f>
        <v>Meats</v>
      </c>
      <c r="D2041">
        <f>IFERROR(__xludf.DUMMYFUNCTION("""COMPUTED_VALUE"""),113.0)</f>
        <v>113</v>
      </c>
      <c r="E2041">
        <f>IFERROR(__xludf.DUMMYFUNCTION("""COMPUTED_VALUE"""),3.61)</f>
        <v>3.61</v>
      </c>
      <c r="F2041">
        <f>IFERROR(__xludf.DUMMYFUNCTION("""COMPUTED_VALUE"""),18.74)</f>
        <v>18.74</v>
      </c>
      <c r="G2041">
        <f>IFERROR(__xludf.DUMMYFUNCTION("""COMPUTED_VALUE"""),0.0)</f>
        <v>0</v>
      </c>
    </row>
    <row r="2042">
      <c r="A2042">
        <f>IFERROR(__xludf.DUMMYFUNCTION("""COMPUTED_VALUE"""),173639.0)</f>
        <v>173639</v>
      </c>
      <c r="B2042" t="str">
        <f>IFERROR(__xludf.DUMMYFUNCTION("""COMPUTED_VALUE"""),"Chicken Roasting Dark Meat Meat Only Cooked Roasted")</f>
        <v>Chicken Roasting Dark Meat Meat Only Cooked Roasted</v>
      </c>
      <c r="C2042" t="str">
        <f>IFERROR(__xludf.DUMMYFUNCTION("""COMPUTED_VALUE"""),"Meats")</f>
        <v>Meats</v>
      </c>
      <c r="D2042">
        <f>IFERROR(__xludf.DUMMYFUNCTION("""COMPUTED_VALUE"""),178.0)</f>
        <v>178</v>
      </c>
      <c r="E2042">
        <f>IFERROR(__xludf.DUMMYFUNCTION("""COMPUTED_VALUE"""),8.75)</f>
        <v>8.75</v>
      </c>
      <c r="F2042">
        <f>IFERROR(__xludf.DUMMYFUNCTION("""COMPUTED_VALUE"""),23.25)</f>
        <v>23.25</v>
      </c>
      <c r="G2042">
        <f>IFERROR(__xludf.DUMMYFUNCTION("""COMPUTED_VALUE"""),0.0)</f>
        <v>0</v>
      </c>
    </row>
    <row r="2043">
      <c r="A2043">
        <f>IFERROR(__xludf.DUMMYFUNCTION("""COMPUTED_VALUE"""),173640.0)</f>
        <v>173640</v>
      </c>
      <c r="B2043" t="str">
        <f>IFERROR(__xludf.DUMMYFUNCTION("""COMPUTED_VALUE"""),"Chicken Stewing Meat And Skin And Giblets And Neck Raw")</f>
        <v>Chicken Stewing Meat And Skin And Giblets And Neck Raw</v>
      </c>
      <c r="C2043" t="str">
        <f>IFERROR(__xludf.DUMMYFUNCTION("""COMPUTED_VALUE"""),"Meats")</f>
        <v>Meats</v>
      </c>
      <c r="D2043">
        <f>IFERROR(__xludf.DUMMYFUNCTION("""COMPUTED_VALUE"""),251.0)</f>
        <v>251</v>
      </c>
      <c r="E2043">
        <f>IFERROR(__xludf.DUMMYFUNCTION("""COMPUTED_VALUE"""),19.52)</f>
        <v>19.52</v>
      </c>
      <c r="F2043">
        <f>IFERROR(__xludf.DUMMYFUNCTION("""COMPUTED_VALUE"""),17.48)</f>
        <v>17.48</v>
      </c>
      <c r="G2043">
        <f>IFERROR(__xludf.DUMMYFUNCTION("""COMPUTED_VALUE"""),0.19)</f>
        <v>0.19</v>
      </c>
    </row>
    <row r="2044">
      <c r="A2044">
        <f>IFERROR(__xludf.DUMMYFUNCTION("""COMPUTED_VALUE"""),173641.0)</f>
        <v>173641</v>
      </c>
      <c r="B2044" t="str">
        <f>IFERROR(__xludf.DUMMYFUNCTION("""COMPUTED_VALUE"""),"Chicken Stewing Giblets Raw")</f>
        <v>Chicken Stewing Giblets Raw</v>
      </c>
      <c r="C2044" t="str">
        <f>IFERROR(__xludf.DUMMYFUNCTION("""COMPUTED_VALUE"""),"Meats")</f>
        <v>Meats</v>
      </c>
      <c r="D2044">
        <f>IFERROR(__xludf.DUMMYFUNCTION("""COMPUTED_VALUE"""),168.0)</f>
        <v>168</v>
      </c>
      <c r="E2044">
        <f>IFERROR(__xludf.DUMMYFUNCTION("""COMPUTED_VALUE"""),9.21)</f>
        <v>9.21</v>
      </c>
      <c r="F2044">
        <f>IFERROR(__xludf.DUMMYFUNCTION("""COMPUTED_VALUE"""),17.89)</f>
        <v>17.89</v>
      </c>
      <c r="G2044">
        <f>IFERROR(__xludf.DUMMYFUNCTION("""COMPUTED_VALUE"""),2.13)</f>
        <v>2.13</v>
      </c>
    </row>
    <row r="2045">
      <c r="A2045">
        <f>IFERROR(__xludf.DUMMYFUNCTION("""COMPUTED_VALUE"""),173642.0)</f>
        <v>173642</v>
      </c>
      <c r="B2045" t="str">
        <f>IFERROR(__xludf.DUMMYFUNCTION("""COMPUTED_VALUE"""),"Chicken Stewing Giblets Cooked Simmered")</f>
        <v>Chicken Stewing Giblets Cooked Simmered</v>
      </c>
      <c r="C2045" t="str">
        <f>IFERROR(__xludf.DUMMYFUNCTION("""COMPUTED_VALUE"""),"Meats")</f>
        <v>Meats</v>
      </c>
      <c r="D2045">
        <f>IFERROR(__xludf.DUMMYFUNCTION("""COMPUTED_VALUE"""),194.0)</f>
        <v>194</v>
      </c>
      <c r="E2045">
        <f>IFERROR(__xludf.DUMMYFUNCTION("""COMPUTED_VALUE"""),9.3)</f>
        <v>9.3</v>
      </c>
      <c r="F2045">
        <f>IFERROR(__xludf.DUMMYFUNCTION("""COMPUTED_VALUE"""),25.73)</f>
        <v>25.73</v>
      </c>
      <c r="G2045">
        <f>IFERROR(__xludf.DUMMYFUNCTION("""COMPUTED_VALUE"""),0.11)</f>
        <v>0.11</v>
      </c>
    </row>
    <row r="2046">
      <c r="A2046">
        <f>IFERROR(__xludf.DUMMYFUNCTION("""COMPUTED_VALUE"""),173643.0)</f>
        <v>173643</v>
      </c>
      <c r="B2046" t="str">
        <f>IFERROR(__xludf.DUMMYFUNCTION("""COMPUTED_VALUE"""),"Chicken Stewing Light Meat Meat Only Raw")</f>
        <v>Chicken Stewing Light Meat Meat Only Raw</v>
      </c>
      <c r="C2046" t="str">
        <f>IFERROR(__xludf.DUMMYFUNCTION("""COMPUTED_VALUE"""),"Meats")</f>
        <v>Meats</v>
      </c>
      <c r="D2046">
        <f>IFERROR(__xludf.DUMMYFUNCTION("""COMPUTED_VALUE"""),137.0)</f>
        <v>137</v>
      </c>
      <c r="E2046">
        <f>IFERROR(__xludf.DUMMYFUNCTION("""COMPUTED_VALUE"""),4.21)</f>
        <v>4.21</v>
      </c>
      <c r="F2046">
        <f>IFERROR(__xludf.DUMMYFUNCTION("""COMPUTED_VALUE"""),23.1)</f>
        <v>23.1</v>
      </c>
      <c r="G2046">
        <f>IFERROR(__xludf.DUMMYFUNCTION("""COMPUTED_VALUE"""),0.0)</f>
        <v>0</v>
      </c>
    </row>
    <row r="2047">
      <c r="A2047">
        <f>IFERROR(__xludf.DUMMYFUNCTION("""COMPUTED_VALUE"""),173644.0)</f>
        <v>173644</v>
      </c>
      <c r="B2047" t="str">
        <f>IFERROR(__xludf.DUMMYFUNCTION("""COMPUTED_VALUE"""),"Chicken Stewing Light Meat Meat Only Cooked Stewed")</f>
        <v>Chicken Stewing Light Meat Meat Only Cooked Stewed</v>
      </c>
      <c r="C2047" t="str">
        <f>IFERROR(__xludf.DUMMYFUNCTION("""COMPUTED_VALUE"""),"Meats")</f>
        <v>Meats</v>
      </c>
      <c r="D2047">
        <f>IFERROR(__xludf.DUMMYFUNCTION("""COMPUTED_VALUE"""),213.0)</f>
        <v>213</v>
      </c>
      <c r="E2047">
        <f>IFERROR(__xludf.DUMMYFUNCTION("""COMPUTED_VALUE"""),7.98)</f>
        <v>7.98</v>
      </c>
      <c r="F2047">
        <f>IFERROR(__xludf.DUMMYFUNCTION("""COMPUTED_VALUE"""),33.04)</f>
        <v>33.04</v>
      </c>
      <c r="G2047">
        <f>IFERROR(__xludf.DUMMYFUNCTION("""COMPUTED_VALUE"""),0.0)</f>
        <v>0</v>
      </c>
    </row>
    <row r="2048">
      <c r="A2048">
        <f>IFERROR(__xludf.DUMMYFUNCTION("""COMPUTED_VALUE"""),173645.0)</f>
        <v>173645</v>
      </c>
      <c r="B2048" t="str">
        <f>IFERROR(__xludf.DUMMYFUNCTION("""COMPUTED_VALUE"""),"Chicken Capons Meat And Skin Raw")</f>
        <v>Chicken Capons Meat And Skin Raw</v>
      </c>
      <c r="C2048" t="str">
        <f>IFERROR(__xludf.DUMMYFUNCTION("""COMPUTED_VALUE"""),"Meats")</f>
        <v>Meats</v>
      </c>
      <c r="D2048">
        <f>IFERROR(__xludf.DUMMYFUNCTION("""COMPUTED_VALUE"""),234.0)</f>
        <v>234</v>
      </c>
      <c r="E2048">
        <f>IFERROR(__xludf.DUMMYFUNCTION("""COMPUTED_VALUE"""),17.07)</f>
        <v>17.07</v>
      </c>
      <c r="F2048">
        <f>IFERROR(__xludf.DUMMYFUNCTION("""COMPUTED_VALUE"""),18.77)</f>
        <v>18.77</v>
      </c>
      <c r="G2048">
        <f>IFERROR(__xludf.DUMMYFUNCTION("""COMPUTED_VALUE"""),0.0)</f>
        <v>0</v>
      </c>
    </row>
    <row r="2049">
      <c r="A2049">
        <f>IFERROR(__xludf.DUMMYFUNCTION("""COMPUTED_VALUE"""),173646.0)</f>
        <v>173646</v>
      </c>
      <c r="B2049" t="str">
        <f>IFERROR(__xludf.DUMMYFUNCTION("""COMPUTED_VALUE"""),"Chicken Capons Meat And Skin Cooked Roasted")</f>
        <v>Chicken Capons Meat And Skin Cooked Roasted</v>
      </c>
      <c r="C2049" t="str">
        <f>IFERROR(__xludf.DUMMYFUNCTION("""COMPUTED_VALUE"""),"Meats")</f>
        <v>Meats</v>
      </c>
      <c r="D2049">
        <f>IFERROR(__xludf.DUMMYFUNCTION("""COMPUTED_VALUE"""),229.0)</f>
        <v>229</v>
      </c>
      <c r="E2049">
        <f>IFERROR(__xludf.DUMMYFUNCTION("""COMPUTED_VALUE"""),11.65)</f>
        <v>11.65</v>
      </c>
      <c r="F2049">
        <f>IFERROR(__xludf.DUMMYFUNCTION("""COMPUTED_VALUE"""),28.96)</f>
        <v>28.96</v>
      </c>
      <c r="G2049">
        <f>IFERROR(__xludf.DUMMYFUNCTION("""COMPUTED_VALUE"""),0.0)</f>
        <v>0</v>
      </c>
    </row>
    <row r="2050">
      <c r="A2050">
        <f>IFERROR(__xludf.DUMMYFUNCTION("""COMPUTED_VALUE"""),173668.0)</f>
        <v>173668</v>
      </c>
      <c r="B2050" t="str">
        <f>IFERROR(__xludf.DUMMYFUNCTION("""COMPUTED_VALUE"""),"Kippered Herring")</f>
        <v>Kippered Herring</v>
      </c>
      <c r="C2050" t="str">
        <f>IFERROR(__xludf.DUMMYFUNCTION("""COMPUTED_VALUE"""),"Fish")</f>
        <v>Fish</v>
      </c>
      <c r="D2050">
        <f>IFERROR(__xludf.DUMMYFUNCTION("""COMPUTED_VALUE"""),217.0)</f>
        <v>217</v>
      </c>
      <c r="E2050">
        <f>IFERROR(__xludf.DUMMYFUNCTION("""COMPUTED_VALUE"""),12.37)</f>
        <v>12.37</v>
      </c>
      <c r="F2050">
        <f>IFERROR(__xludf.DUMMYFUNCTION("""COMPUTED_VALUE"""),24.58)</f>
        <v>24.58</v>
      </c>
      <c r="G2050">
        <f>IFERROR(__xludf.DUMMYFUNCTION("""COMPUTED_VALUE"""),0.0)</f>
        <v>0</v>
      </c>
    </row>
    <row r="2051">
      <c r="A2051">
        <f>IFERROR(__xludf.DUMMYFUNCTION("""COMPUTED_VALUE"""),173669.0)</f>
        <v>173669</v>
      </c>
      <c r="B2051" t="str">
        <f>IFERROR(__xludf.DUMMYFUNCTION("""COMPUTED_VALUE"""),"Fish Herring Pacific Raw")</f>
        <v>Fish Herring Pacific Raw</v>
      </c>
      <c r="C2051" t="str">
        <f>IFERROR(__xludf.DUMMYFUNCTION("""COMPUTED_VALUE"""),"Fish")</f>
        <v>Fish</v>
      </c>
      <c r="D2051">
        <f>IFERROR(__xludf.DUMMYFUNCTION("""COMPUTED_VALUE"""),195.0)</f>
        <v>195</v>
      </c>
      <c r="E2051">
        <f>IFERROR(__xludf.DUMMYFUNCTION("""COMPUTED_VALUE"""),13.88)</f>
        <v>13.88</v>
      </c>
      <c r="F2051">
        <f>IFERROR(__xludf.DUMMYFUNCTION("""COMPUTED_VALUE"""),16.39)</f>
        <v>16.39</v>
      </c>
      <c r="G2051">
        <f>IFERROR(__xludf.DUMMYFUNCTION("""COMPUTED_VALUE"""),0.0)</f>
        <v>0</v>
      </c>
    </row>
    <row r="2052">
      <c r="A2052">
        <f>IFERROR(__xludf.DUMMYFUNCTION("""COMPUTED_VALUE"""),173670.0)</f>
        <v>173670</v>
      </c>
      <c r="B2052" t="str">
        <f>IFERROR(__xludf.DUMMYFUNCTION("""COMPUTED_VALUE"""),"Fish Ling Raw")</f>
        <v>Fish Ling Raw</v>
      </c>
      <c r="C2052" t="str">
        <f>IFERROR(__xludf.DUMMYFUNCTION("""COMPUTED_VALUE"""),"Fish")</f>
        <v>Fish</v>
      </c>
      <c r="D2052">
        <f>IFERROR(__xludf.DUMMYFUNCTION("""COMPUTED_VALUE"""),87.0)</f>
        <v>87</v>
      </c>
      <c r="E2052">
        <f>IFERROR(__xludf.DUMMYFUNCTION("""COMPUTED_VALUE"""),0.64)</f>
        <v>0.64</v>
      </c>
      <c r="F2052">
        <f>IFERROR(__xludf.DUMMYFUNCTION("""COMPUTED_VALUE"""),18.99)</f>
        <v>18.99</v>
      </c>
      <c r="G2052">
        <f>IFERROR(__xludf.DUMMYFUNCTION("""COMPUTED_VALUE"""),0.0)</f>
        <v>0</v>
      </c>
    </row>
    <row r="2053">
      <c r="A2053">
        <f>IFERROR(__xludf.DUMMYFUNCTION("""COMPUTED_VALUE"""),173671.0)</f>
        <v>173671</v>
      </c>
      <c r="B2053" t="str">
        <f>IFERROR(__xludf.DUMMYFUNCTION("""COMPUTED_VALUE"""),"Fish Lingcod Raw")</f>
        <v>Fish Lingcod Raw</v>
      </c>
      <c r="C2053" t="str">
        <f>IFERROR(__xludf.DUMMYFUNCTION("""COMPUTED_VALUE"""),"Fish")</f>
        <v>Fish</v>
      </c>
      <c r="D2053">
        <f>IFERROR(__xludf.DUMMYFUNCTION("""COMPUTED_VALUE"""),85.0)</f>
        <v>85</v>
      </c>
      <c r="E2053">
        <f>IFERROR(__xludf.DUMMYFUNCTION("""COMPUTED_VALUE"""),1.06)</f>
        <v>1.06</v>
      </c>
      <c r="F2053">
        <f>IFERROR(__xludf.DUMMYFUNCTION("""COMPUTED_VALUE"""),17.66)</f>
        <v>17.66</v>
      </c>
      <c r="G2053">
        <f>IFERROR(__xludf.DUMMYFUNCTION("""COMPUTED_VALUE"""),0.0)</f>
        <v>0</v>
      </c>
    </row>
    <row r="2054">
      <c r="A2054">
        <f>IFERROR(__xludf.DUMMYFUNCTION("""COMPUTED_VALUE"""),173672.0)</f>
        <v>173672</v>
      </c>
      <c r="B2054" t="str">
        <f>IFERROR(__xludf.DUMMYFUNCTION("""COMPUTED_VALUE"""),"Fish Mackerel Pacific And Jack Mixed Species Raw")</f>
        <v>Fish Mackerel Pacific And Jack Mixed Species Raw</v>
      </c>
      <c r="C2054" t="str">
        <f>IFERROR(__xludf.DUMMYFUNCTION("""COMPUTED_VALUE"""),"Fish")</f>
        <v>Fish</v>
      </c>
      <c r="D2054">
        <f>IFERROR(__xludf.DUMMYFUNCTION("""COMPUTED_VALUE"""),158.0)</f>
        <v>158</v>
      </c>
      <c r="E2054">
        <f>IFERROR(__xludf.DUMMYFUNCTION("""COMPUTED_VALUE"""),7.89)</f>
        <v>7.89</v>
      </c>
      <c r="F2054">
        <f>IFERROR(__xludf.DUMMYFUNCTION("""COMPUTED_VALUE"""),20.07)</f>
        <v>20.07</v>
      </c>
      <c r="G2054">
        <f>IFERROR(__xludf.DUMMYFUNCTION("""COMPUTED_VALUE"""),0.0)</f>
        <v>0</v>
      </c>
    </row>
    <row r="2055">
      <c r="A2055">
        <f>IFERROR(__xludf.DUMMYFUNCTION("""COMPUTED_VALUE"""),173673.0)</f>
        <v>173673</v>
      </c>
      <c r="B2055" t="str">
        <f>IFERROR(__xludf.DUMMYFUNCTION("""COMPUTED_VALUE"""),"Fish Mackerel Spanish Raw")</f>
        <v>Fish Mackerel Spanish Raw</v>
      </c>
      <c r="C2055" t="str">
        <f>IFERROR(__xludf.DUMMYFUNCTION("""COMPUTED_VALUE"""),"Fish")</f>
        <v>Fish</v>
      </c>
      <c r="D2055">
        <f>IFERROR(__xludf.DUMMYFUNCTION("""COMPUTED_VALUE"""),139.0)</f>
        <v>139</v>
      </c>
      <c r="E2055">
        <f>IFERROR(__xludf.DUMMYFUNCTION("""COMPUTED_VALUE"""),6.3)</f>
        <v>6.3</v>
      </c>
      <c r="F2055">
        <f>IFERROR(__xludf.DUMMYFUNCTION("""COMPUTED_VALUE"""),19.29)</f>
        <v>19.29</v>
      </c>
      <c r="G2055">
        <f>IFERROR(__xludf.DUMMYFUNCTION("""COMPUTED_VALUE"""),0.0)</f>
        <v>0</v>
      </c>
    </row>
    <row r="2056">
      <c r="A2056">
        <f>IFERROR(__xludf.DUMMYFUNCTION("""COMPUTED_VALUE"""),173674.0)</f>
        <v>173674</v>
      </c>
      <c r="B2056" t="str">
        <f>IFERROR(__xludf.DUMMYFUNCTION("""COMPUTED_VALUE"""),"Fish Mackerel Spanish Cooked Dry Heat")</f>
        <v>Fish Mackerel Spanish Cooked Dry Heat</v>
      </c>
      <c r="C2056" t="str">
        <f>IFERROR(__xludf.DUMMYFUNCTION("""COMPUTED_VALUE"""),"Fish")</f>
        <v>Fish</v>
      </c>
      <c r="D2056">
        <f>IFERROR(__xludf.DUMMYFUNCTION("""COMPUTED_VALUE"""),158.0)</f>
        <v>158</v>
      </c>
      <c r="E2056">
        <f>IFERROR(__xludf.DUMMYFUNCTION("""COMPUTED_VALUE"""),6.32)</f>
        <v>6.32</v>
      </c>
      <c r="F2056">
        <f>IFERROR(__xludf.DUMMYFUNCTION("""COMPUTED_VALUE"""),23.59)</f>
        <v>23.59</v>
      </c>
      <c r="G2056">
        <f>IFERROR(__xludf.DUMMYFUNCTION("""COMPUTED_VALUE"""),0.0)</f>
        <v>0</v>
      </c>
    </row>
    <row r="2057">
      <c r="A2057">
        <f>IFERROR(__xludf.DUMMYFUNCTION("""COMPUTED_VALUE"""),173675.0)</f>
        <v>173675</v>
      </c>
      <c r="B2057" t="str">
        <f>IFERROR(__xludf.DUMMYFUNCTION("""COMPUTED_VALUE"""),"Fish Milkfish Raw")</f>
        <v>Fish Milkfish Raw</v>
      </c>
      <c r="C2057" t="str">
        <f>IFERROR(__xludf.DUMMYFUNCTION("""COMPUTED_VALUE"""),"Fish")</f>
        <v>Fish</v>
      </c>
      <c r="D2057">
        <f>IFERROR(__xludf.DUMMYFUNCTION("""COMPUTED_VALUE"""),148.0)</f>
        <v>148</v>
      </c>
      <c r="E2057">
        <f>IFERROR(__xludf.DUMMYFUNCTION("""COMPUTED_VALUE"""),6.73)</f>
        <v>6.73</v>
      </c>
      <c r="F2057">
        <f>IFERROR(__xludf.DUMMYFUNCTION("""COMPUTED_VALUE"""),20.53)</f>
        <v>20.53</v>
      </c>
      <c r="G2057">
        <f>IFERROR(__xludf.DUMMYFUNCTION("""COMPUTED_VALUE"""),0.0)</f>
        <v>0</v>
      </c>
    </row>
    <row r="2058">
      <c r="A2058">
        <f>IFERROR(__xludf.DUMMYFUNCTION("""COMPUTED_VALUE"""),173676.0)</f>
        <v>173676</v>
      </c>
      <c r="B2058" t="str">
        <f>IFERROR(__xludf.DUMMYFUNCTION("""COMPUTED_VALUE"""),"Fish Monkfish Raw")</f>
        <v>Fish Monkfish Raw</v>
      </c>
      <c r="C2058" t="str">
        <f>IFERROR(__xludf.DUMMYFUNCTION("""COMPUTED_VALUE"""),"Fish")</f>
        <v>Fish</v>
      </c>
      <c r="D2058">
        <f>IFERROR(__xludf.DUMMYFUNCTION("""COMPUTED_VALUE"""),76.0)</f>
        <v>76</v>
      </c>
      <c r="E2058">
        <f>IFERROR(__xludf.DUMMYFUNCTION("""COMPUTED_VALUE"""),1.52)</f>
        <v>1.52</v>
      </c>
      <c r="F2058">
        <f>IFERROR(__xludf.DUMMYFUNCTION("""COMPUTED_VALUE"""),14.48)</f>
        <v>14.48</v>
      </c>
      <c r="G2058">
        <f>IFERROR(__xludf.DUMMYFUNCTION("""COMPUTED_VALUE"""),0.0)</f>
        <v>0</v>
      </c>
    </row>
    <row r="2059">
      <c r="A2059">
        <f>IFERROR(__xludf.DUMMYFUNCTION("""COMPUTED_VALUE"""),173677.0)</f>
        <v>173677</v>
      </c>
      <c r="B2059" t="str">
        <f>IFERROR(__xludf.DUMMYFUNCTION("""COMPUTED_VALUE"""),"Fish Pout Ocean Raw")</f>
        <v>Fish Pout Ocean Raw</v>
      </c>
      <c r="C2059" t="str">
        <f>IFERROR(__xludf.DUMMYFUNCTION("""COMPUTED_VALUE"""),"Fish")</f>
        <v>Fish</v>
      </c>
      <c r="D2059">
        <f>IFERROR(__xludf.DUMMYFUNCTION("""COMPUTED_VALUE"""),79.0)</f>
        <v>79</v>
      </c>
      <c r="E2059">
        <f>IFERROR(__xludf.DUMMYFUNCTION("""COMPUTED_VALUE"""),0.91)</f>
        <v>0.91</v>
      </c>
      <c r="F2059">
        <f>IFERROR(__xludf.DUMMYFUNCTION("""COMPUTED_VALUE"""),16.64)</f>
        <v>16.64</v>
      </c>
      <c r="G2059">
        <f>IFERROR(__xludf.DUMMYFUNCTION("""COMPUTED_VALUE"""),0.0)</f>
        <v>0</v>
      </c>
    </row>
    <row r="2060">
      <c r="A2060">
        <f>IFERROR(__xludf.DUMMYFUNCTION("""COMPUTED_VALUE"""),173678.0)</f>
        <v>173678</v>
      </c>
      <c r="B2060" t="str">
        <f>IFERROR(__xludf.DUMMYFUNCTION("""COMPUTED_VALUE"""),"Fish Perch Mixed Species Raw")</f>
        <v>Fish Perch Mixed Species Raw</v>
      </c>
      <c r="C2060" t="str">
        <f>IFERROR(__xludf.DUMMYFUNCTION("""COMPUTED_VALUE"""),"Fish")</f>
        <v>Fish</v>
      </c>
      <c r="D2060">
        <f>IFERROR(__xludf.DUMMYFUNCTION("""COMPUTED_VALUE"""),91.0)</f>
        <v>91</v>
      </c>
      <c r="E2060">
        <f>IFERROR(__xludf.DUMMYFUNCTION("""COMPUTED_VALUE"""),0.92)</f>
        <v>0.92</v>
      </c>
      <c r="F2060">
        <f>IFERROR(__xludf.DUMMYFUNCTION("""COMPUTED_VALUE"""),19.39)</f>
        <v>19.39</v>
      </c>
      <c r="G2060">
        <f>IFERROR(__xludf.DUMMYFUNCTION("""COMPUTED_VALUE"""),0.0)</f>
        <v>0</v>
      </c>
    </row>
    <row r="2061">
      <c r="A2061">
        <f>IFERROR(__xludf.DUMMYFUNCTION("""COMPUTED_VALUE"""),173679.0)</f>
        <v>173679</v>
      </c>
      <c r="B2061" t="str">
        <f>IFERROR(__xludf.DUMMYFUNCTION("""COMPUTED_VALUE"""),"Fish Perch Mixed Species Cooked Dry Heat")</f>
        <v>Fish Perch Mixed Species Cooked Dry Heat</v>
      </c>
      <c r="C2061" t="str">
        <f>IFERROR(__xludf.DUMMYFUNCTION("""COMPUTED_VALUE"""),"Fish")</f>
        <v>Fish</v>
      </c>
      <c r="D2061">
        <f>IFERROR(__xludf.DUMMYFUNCTION("""COMPUTED_VALUE"""),117.0)</f>
        <v>117</v>
      </c>
      <c r="E2061">
        <f>IFERROR(__xludf.DUMMYFUNCTION("""COMPUTED_VALUE"""),1.18)</f>
        <v>1.18</v>
      </c>
      <c r="F2061">
        <f>IFERROR(__xludf.DUMMYFUNCTION("""COMPUTED_VALUE"""),24.86)</f>
        <v>24.86</v>
      </c>
      <c r="G2061">
        <f>IFERROR(__xludf.DUMMYFUNCTION("""COMPUTED_VALUE"""),0.0)</f>
        <v>0</v>
      </c>
    </row>
    <row r="2062">
      <c r="A2062">
        <f>IFERROR(__xludf.DUMMYFUNCTION("""COMPUTED_VALUE"""),173680.0)</f>
        <v>173680</v>
      </c>
      <c r="B2062" t="str">
        <f>IFERROR(__xludf.DUMMYFUNCTION("""COMPUTED_VALUE"""),"Fish Pike Northern Raw")</f>
        <v>Fish Pike Northern Raw</v>
      </c>
      <c r="C2062" t="str">
        <f>IFERROR(__xludf.DUMMYFUNCTION("""COMPUTED_VALUE"""),"Fish")</f>
        <v>Fish</v>
      </c>
      <c r="D2062">
        <f>IFERROR(__xludf.DUMMYFUNCTION("""COMPUTED_VALUE"""),88.0)</f>
        <v>88</v>
      </c>
      <c r="E2062">
        <f>IFERROR(__xludf.DUMMYFUNCTION("""COMPUTED_VALUE"""),0.69)</f>
        <v>0.69</v>
      </c>
      <c r="F2062">
        <f>IFERROR(__xludf.DUMMYFUNCTION("""COMPUTED_VALUE"""),19.26)</f>
        <v>19.26</v>
      </c>
      <c r="G2062">
        <f>IFERROR(__xludf.DUMMYFUNCTION("""COMPUTED_VALUE"""),0.0)</f>
        <v>0</v>
      </c>
    </row>
    <row r="2063">
      <c r="A2063">
        <f>IFERROR(__xludf.DUMMYFUNCTION("""COMPUTED_VALUE"""),173681.0)</f>
        <v>173681</v>
      </c>
      <c r="B2063" t="str">
        <f>IFERROR(__xludf.DUMMYFUNCTION("""COMPUTED_VALUE"""),"Cooked Alaska Pollock")</f>
        <v>Cooked Alaska Pollock</v>
      </c>
      <c r="C2063" t="str">
        <f>IFERROR(__xludf.DUMMYFUNCTION("""COMPUTED_VALUE"""),"Fish")</f>
        <v>Fish</v>
      </c>
      <c r="D2063">
        <f>IFERROR(__xludf.DUMMYFUNCTION("""COMPUTED_VALUE"""),111.0)</f>
        <v>111</v>
      </c>
      <c r="E2063">
        <f>IFERROR(__xludf.DUMMYFUNCTION("""COMPUTED_VALUE"""),1.18)</f>
        <v>1.18</v>
      </c>
      <c r="F2063">
        <f>IFERROR(__xludf.DUMMYFUNCTION("""COMPUTED_VALUE"""),23.48)</f>
        <v>23.48</v>
      </c>
      <c r="G2063">
        <f>IFERROR(__xludf.DUMMYFUNCTION("""COMPUTED_VALUE"""),0.0)</f>
        <v>0</v>
      </c>
    </row>
    <row r="2064">
      <c r="A2064">
        <f>IFERROR(__xludf.DUMMYFUNCTION("""COMPUTED_VALUE"""),173682.0)</f>
        <v>173682</v>
      </c>
      <c r="B2064" t="str">
        <f>IFERROR(__xludf.DUMMYFUNCTION("""COMPUTED_VALUE"""),"Fish Pompano Florida Raw")</f>
        <v>Fish Pompano Florida Raw</v>
      </c>
      <c r="C2064" t="str">
        <f>IFERROR(__xludf.DUMMYFUNCTION("""COMPUTED_VALUE"""),"Fish")</f>
        <v>Fish</v>
      </c>
      <c r="D2064">
        <f>IFERROR(__xludf.DUMMYFUNCTION("""COMPUTED_VALUE"""),164.0)</f>
        <v>164</v>
      </c>
      <c r="E2064">
        <f>IFERROR(__xludf.DUMMYFUNCTION("""COMPUTED_VALUE"""),9.47)</f>
        <v>9.47</v>
      </c>
      <c r="F2064">
        <f>IFERROR(__xludf.DUMMYFUNCTION("""COMPUTED_VALUE"""),18.48)</f>
        <v>18.48</v>
      </c>
      <c r="G2064">
        <f>IFERROR(__xludf.DUMMYFUNCTION("""COMPUTED_VALUE"""),0.0)</f>
        <v>0</v>
      </c>
    </row>
    <row r="2065">
      <c r="A2065">
        <f>IFERROR(__xludf.DUMMYFUNCTION("""COMPUTED_VALUE"""),173683.0)</f>
        <v>173683</v>
      </c>
      <c r="B2065" t="str">
        <f>IFERROR(__xludf.DUMMYFUNCTION("""COMPUTED_VALUE"""),"Cooked Pompano")</f>
        <v>Cooked Pompano</v>
      </c>
      <c r="C2065" t="str">
        <f>IFERROR(__xludf.DUMMYFUNCTION("""COMPUTED_VALUE"""),"Fish")</f>
        <v>Fish</v>
      </c>
      <c r="D2065">
        <f>IFERROR(__xludf.DUMMYFUNCTION("""COMPUTED_VALUE"""),211.0)</f>
        <v>211</v>
      </c>
      <c r="E2065">
        <f>IFERROR(__xludf.DUMMYFUNCTION("""COMPUTED_VALUE"""),12.14)</f>
        <v>12.14</v>
      </c>
      <c r="F2065">
        <f>IFERROR(__xludf.DUMMYFUNCTION("""COMPUTED_VALUE"""),23.69)</f>
        <v>23.69</v>
      </c>
      <c r="G2065">
        <f>IFERROR(__xludf.DUMMYFUNCTION("""COMPUTED_VALUE"""),0.0)</f>
        <v>0</v>
      </c>
    </row>
    <row r="2066">
      <c r="A2066">
        <f>IFERROR(__xludf.DUMMYFUNCTION("""COMPUTED_VALUE"""),173684.0)</f>
        <v>173684</v>
      </c>
      <c r="B2066" t="str">
        <f>IFERROR(__xludf.DUMMYFUNCTION("""COMPUTED_VALUE"""),"Fish Rockfish Pacific Mixed Species Raw")</f>
        <v>Fish Rockfish Pacific Mixed Species Raw</v>
      </c>
      <c r="C2066" t="str">
        <f>IFERROR(__xludf.DUMMYFUNCTION("""COMPUTED_VALUE"""),"Fish")</f>
        <v>Fish</v>
      </c>
      <c r="D2066">
        <f>IFERROR(__xludf.DUMMYFUNCTION("""COMPUTED_VALUE"""),90.0)</f>
        <v>90</v>
      </c>
      <c r="E2066">
        <f>IFERROR(__xludf.DUMMYFUNCTION("""COMPUTED_VALUE"""),1.34)</f>
        <v>1.34</v>
      </c>
      <c r="F2066">
        <f>IFERROR(__xludf.DUMMYFUNCTION("""COMPUTED_VALUE"""),18.36)</f>
        <v>18.36</v>
      </c>
      <c r="G2066">
        <f>IFERROR(__xludf.DUMMYFUNCTION("""COMPUTED_VALUE"""),0.0)</f>
        <v>0</v>
      </c>
    </row>
    <row r="2067">
      <c r="A2067">
        <f>IFERROR(__xludf.DUMMYFUNCTION("""COMPUTED_VALUE"""),173685.0)</f>
        <v>173685</v>
      </c>
      <c r="B2067" t="str">
        <f>IFERROR(__xludf.DUMMYFUNCTION("""COMPUTED_VALUE"""),"Fish Sablefish Smoked")</f>
        <v>Fish Sablefish Smoked</v>
      </c>
      <c r="C2067" t="str">
        <f>IFERROR(__xludf.DUMMYFUNCTION("""COMPUTED_VALUE"""),"Fish")</f>
        <v>Fish</v>
      </c>
      <c r="D2067">
        <f>IFERROR(__xludf.DUMMYFUNCTION("""COMPUTED_VALUE"""),257.0)</f>
        <v>257</v>
      </c>
      <c r="E2067">
        <f>IFERROR(__xludf.DUMMYFUNCTION("""COMPUTED_VALUE"""),20.14)</f>
        <v>20.14</v>
      </c>
      <c r="F2067">
        <f>IFERROR(__xludf.DUMMYFUNCTION("""COMPUTED_VALUE"""),17.65)</f>
        <v>17.65</v>
      </c>
      <c r="G2067">
        <f>IFERROR(__xludf.DUMMYFUNCTION("""COMPUTED_VALUE"""),0.0)</f>
        <v>0</v>
      </c>
    </row>
    <row r="2068">
      <c r="A2068">
        <f>IFERROR(__xludf.DUMMYFUNCTION("""COMPUTED_VALUE"""),173686.0)</f>
        <v>173686</v>
      </c>
      <c r="B2068" t="str">
        <f>IFERROR(__xludf.DUMMYFUNCTION("""COMPUTED_VALUE"""),"Wild Atlantic Salmon (Raw)")</f>
        <v>Wild Atlantic Salmon (Raw)</v>
      </c>
      <c r="C2068" t="str">
        <f>IFERROR(__xludf.DUMMYFUNCTION("""COMPUTED_VALUE"""),"Fish")</f>
        <v>Fish</v>
      </c>
      <c r="D2068">
        <f>IFERROR(__xludf.DUMMYFUNCTION("""COMPUTED_VALUE"""),142.0)</f>
        <v>142</v>
      </c>
      <c r="E2068">
        <f>IFERROR(__xludf.DUMMYFUNCTION("""COMPUTED_VALUE"""),6.34)</f>
        <v>6.34</v>
      </c>
      <c r="F2068">
        <f>IFERROR(__xludf.DUMMYFUNCTION("""COMPUTED_VALUE"""),19.84)</f>
        <v>19.84</v>
      </c>
      <c r="G2068">
        <f>IFERROR(__xludf.DUMMYFUNCTION("""COMPUTED_VALUE"""),0.0)</f>
        <v>0</v>
      </c>
    </row>
    <row r="2069">
      <c r="A2069">
        <f>IFERROR(__xludf.DUMMYFUNCTION("""COMPUTED_VALUE"""),173687.0)</f>
        <v>173687</v>
      </c>
      <c r="B2069" t="str">
        <f>IFERROR(__xludf.DUMMYFUNCTION("""COMPUTED_VALUE"""),"Smoked Salmon")</f>
        <v>Smoked Salmon</v>
      </c>
      <c r="C2069" t="str">
        <f>IFERROR(__xludf.DUMMYFUNCTION("""COMPUTED_VALUE"""),"Fish")</f>
        <v>Fish</v>
      </c>
      <c r="D2069">
        <f>IFERROR(__xludf.DUMMYFUNCTION("""COMPUTED_VALUE"""),117.0)</f>
        <v>117</v>
      </c>
      <c r="E2069">
        <f>IFERROR(__xludf.DUMMYFUNCTION("""COMPUTED_VALUE"""),4.32)</f>
        <v>4.32</v>
      </c>
      <c r="F2069">
        <f>IFERROR(__xludf.DUMMYFUNCTION("""COMPUTED_VALUE"""),18.28)</f>
        <v>18.28</v>
      </c>
      <c r="G2069">
        <f>IFERROR(__xludf.DUMMYFUNCTION("""COMPUTED_VALUE"""),0.0)</f>
        <v>0</v>
      </c>
    </row>
    <row r="2070">
      <c r="A2070">
        <f>IFERROR(__xludf.DUMMYFUNCTION("""COMPUTED_VALUE"""),173688.0)</f>
        <v>173688</v>
      </c>
      <c r="B2070" t="str">
        <f>IFERROR(__xludf.DUMMYFUNCTION("""COMPUTED_VALUE"""),"Fish Salmon Chinook Raw")</f>
        <v>Fish Salmon Chinook Raw</v>
      </c>
      <c r="C2070" t="str">
        <f>IFERROR(__xludf.DUMMYFUNCTION("""COMPUTED_VALUE"""),"Fish")</f>
        <v>Fish</v>
      </c>
      <c r="D2070">
        <f>IFERROR(__xludf.DUMMYFUNCTION("""COMPUTED_VALUE"""),179.0)</f>
        <v>179</v>
      </c>
      <c r="E2070">
        <f>IFERROR(__xludf.DUMMYFUNCTION("""COMPUTED_VALUE"""),10.43)</f>
        <v>10.43</v>
      </c>
      <c r="F2070">
        <f>IFERROR(__xludf.DUMMYFUNCTION("""COMPUTED_VALUE"""),19.93)</f>
        <v>19.93</v>
      </c>
      <c r="G2070">
        <f>IFERROR(__xludf.DUMMYFUNCTION("""COMPUTED_VALUE"""),0.0)</f>
        <v>0</v>
      </c>
    </row>
    <row r="2071">
      <c r="A2071">
        <f>IFERROR(__xludf.DUMMYFUNCTION("""COMPUTED_VALUE"""),173689.0)</f>
        <v>173689</v>
      </c>
      <c r="B2071" t="str">
        <f>IFERROR(__xludf.DUMMYFUNCTION("""COMPUTED_VALUE"""),"Fish Salmon Chum Raw")</f>
        <v>Fish Salmon Chum Raw</v>
      </c>
      <c r="C2071" t="str">
        <f>IFERROR(__xludf.DUMMYFUNCTION("""COMPUTED_VALUE"""),"Fish")</f>
        <v>Fish</v>
      </c>
      <c r="D2071">
        <f>IFERROR(__xludf.DUMMYFUNCTION("""COMPUTED_VALUE"""),120.0)</f>
        <v>120</v>
      </c>
      <c r="E2071">
        <f>IFERROR(__xludf.DUMMYFUNCTION("""COMPUTED_VALUE"""),3.77)</f>
        <v>3.77</v>
      </c>
      <c r="F2071">
        <f>IFERROR(__xludf.DUMMYFUNCTION("""COMPUTED_VALUE"""),20.14)</f>
        <v>20.14</v>
      </c>
      <c r="G2071">
        <f>IFERROR(__xludf.DUMMYFUNCTION("""COMPUTED_VALUE"""),0.0)</f>
        <v>0</v>
      </c>
    </row>
    <row r="2072">
      <c r="A2072">
        <f>IFERROR(__xludf.DUMMYFUNCTION("""COMPUTED_VALUE"""),173690.0)</f>
        <v>173690</v>
      </c>
      <c r="B2072" t="str">
        <f>IFERROR(__xludf.DUMMYFUNCTION("""COMPUTED_VALUE"""),"Fish Salmon Pink Canned Total Can Contents")</f>
        <v>Fish Salmon Pink Canned Total Can Contents</v>
      </c>
      <c r="C2072" t="str">
        <f>IFERROR(__xludf.DUMMYFUNCTION("""COMPUTED_VALUE"""),"Fish")</f>
        <v>Fish</v>
      </c>
      <c r="D2072">
        <f>IFERROR(__xludf.DUMMYFUNCTION("""COMPUTED_VALUE"""),129.0)</f>
        <v>129</v>
      </c>
      <c r="E2072">
        <f>IFERROR(__xludf.DUMMYFUNCTION("""COMPUTED_VALUE"""),4.97)</f>
        <v>4.97</v>
      </c>
      <c r="F2072">
        <f>IFERROR(__xludf.DUMMYFUNCTION("""COMPUTED_VALUE"""),19.68)</f>
        <v>19.68</v>
      </c>
      <c r="G2072">
        <f>IFERROR(__xludf.DUMMYFUNCTION("""COMPUTED_VALUE"""),0.0)</f>
        <v>0</v>
      </c>
    </row>
    <row r="2073">
      <c r="A2073">
        <f>IFERROR(__xludf.DUMMYFUNCTION("""COMPUTED_VALUE"""),173691.0)</f>
        <v>173691</v>
      </c>
      <c r="B2073" t="str">
        <f>IFERROR(__xludf.DUMMYFUNCTION("""COMPUTED_VALUE"""),"Fish Salmon Sockeye Raw")</f>
        <v>Fish Salmon Sockeye Raw</v>
      </c>
      <c r="C2073" t="str">
        <f>IFERROR(__xludf.DUMMYFUNCTION("""COMPUTED_VALUE"""),"Fish")</f>
        <v>Fish</v>
      </c>
      <c r="D2073">
        <f>IFERROR(__xludf.DUMMYFUNCTION("""COMPUTED_VALUE"""),131.0)</f>
        <v>131</v>
      </c>
      <c r="E2073">
        <f>IFERROR(__xludf.DUMMYFUNCTION("""COMPUTED_VALUE"""),4.69)</f>
        <v>4.69</v>
      </c>
      <c r="F2073">
        <f>IFERROR(__xludf.DUMMYFUNCTION("""COMPUTED_VALUE"""),22.25)</f>
        <v>22.25</v>
      </c>
      <c r="G2073">
        <f>IFERROR(__xludf.DUMMYFUNCTION("""COMPUTED_VALUE"""),0.0)</f>
        <v>0</v>
      </c>
    </row>
    <row r="2074">
      <c r="A2074">
        <f>IFERROR(__xludf.DUMMYFUNCTION("""COMPUTED_VALUE"""),173692.0)</f>
        <v>173692</v>
      </c>
      <c r="B2074" t="str">
        <f>IFERROR(__xludf.DUMMYFUNCTION("""COMPUTED_VALUE"""),"Cooked Sockeye Salmon")</f>
        <v>Cooked Sockeye Salmon</v>
      </c>
      <c r="C2074" t="str">
        <f>IFERROR(__xludf.DUMMYFUNCTION("""COMPUTED_VALUE"""),"Fish")</f>
        <v>Fish</v>
      </c>
      <c r="D2074">
        <f>IFERROR(__xludf.DUMMYFUNCTION("""COMPUTED_VALUE"""),156.0)</f>
        <v>156</v>
      </c>
      <c r="E2074">
        <f>IFERROR(__xludf.DUMMYFUNCTION("""COMPUTED_VALUE"""),5.57)</f>
        <v>5.57</v>
      </c>
      <c r="F2074">
        <f>IFERROR(__xludf.DUMMYFUNCTION("""COMPUTED_VALUE"""),26.48)</f>
        <v>26.48</v>
      </c>
      <c r="G2074">
        <f>IFERROR(__xludf.DUMMYFUNCTION("""COMPUTED_VALUE"""),0.0)</f>
        <v>0</v>
      </c>
    </row>
    <row r="2075">
      <c r="A2075">
        <f>IFERROR(__xludf.DUMMYFUNCTION("""COMPUTED_VALUE"""),173693.0)</f>
        <v>173693</v>
      </c>
      <c r="B2075" t="str">
        <f>IFERROR(__xludf.DUMMYFUNCTION("""COMPUTED_VALUE"""),"Canned Salmon")</f>
        <v>Canned Salmon</v>
      </c>
      <c r="C2075" t="str">
        <f>IFERROR(__xludf.DUMMYFUNCTION("""COMPUTED_VALUE"""),"Fish")</f>
        <v>Fish</v>
      </c>
      <c r="D2075">
        <f>IFERROR(__xludf.DUMMYFUNCTION("""COMPUTED_VALUE"""),167.0)</f>
        <v>167</v>
      </c>
      <c r="E2075">
        <f>IFERROR(__xludf.DUMMYFUNCTION("""COMPUTED_VALUE"""),7.39)</f>
        <v>7.39</v>
      </c>
      <c r="F2075">
        <f>IFERROR(__xludf.DUMMYFUNCTION("""COMPUTED_VALUE"""),23.59)</f>
        <v>23.59</v>
      </c>
      <c r="G2075">
        <f>IFERROR(__xludf.DUMMYFUNCTION("""COMPUTED_VALUE"""),0.0)</f>
        <v>0</v>
      </c>
    </row>
    <row r="2076">
      <c r="A2076">
        <f>IFERROR(__xludf.DUMMYFUNCTION("""COMPUTED_VALUE"""),173694.0)</f>
        <v>173694</v>
      </c>
      <c r="B2076" t="str">
        <f>IFERROR(__xludf.DUMMYFUNCTION("""COMPUTED_VALUE"""),"Cooked Sea Bass")</f>
        <v>Cooked Sea Bass</v>
      </c>
      <c r="C2076" t="str">
        <f>IFERROR(__xludf.DUMMYFUNCTION("""COMPUTED_VALUE"""),"Fish")</f>
        <v>Fish</v>
      </c>
      <c r="D2076">
        <f>IFERROR(__xludf.DUMMYFUNCTION("""COMPUTED_VALUE"""),124.0)</f>
        <v>124</v>
      </c>
      <c r="E2076">
        <f>IFERROR(__xludf.DUMMYFUNCTION("""COMPUTED_VALUE"""),2.56)</f>
        <v>2.56</v>
      </c>
      <c r="F2076">
        <f>IFERROR(__xludf.DUMMYFUNCTION("""COMPUTED_VALUE"""),23.63)</f>
        <v>23.63</v>
      </c>
      <c r="G2076">
        <f>IFERROR(__xludf.DUMMYFUNCTION("""COMPUTED_VALUE"""),0.0)</f>
        <v>0</v>
      </c>
    </row>
    <row r="2077">
      <c r="A2077">
        <f>IFERROR(__xludf.DUMMYFUNCTION("""COMPUTED_VALUE"""),173695.0)</f>
        <v>173695</v>
      </c>
      <c r="B2077" t="str">
        <f>IFERROR(__xludf.DUMMYFUNCTION("""COMPUTED_VALUE"""),"Fish Seatrout Mixed Species Raw")</f>
        <v>Fish Seatrout Mixed Species Raw</v>
      </c>
      <c r="C2077" t="str">
        <f>IFERROR(__xludf.DUMMYFUNCTION("""COMPUTED_VALUE"""),"Fish")</f>
        <v>Fish</v>
      </c>
      <c r="D2077">
        <f>IFERROR(__xludf.DUMMYFUNCTION("""COMPUTED_VALUE"""),104.0)</f>
        <v>104</v>
      </c>
      <c r="E2077">
        <f>IFERROR(__xludf.DUMMYFUNCTION("""COMPUTED_VALUE"""),3.61)</f>
        <v>3.61</v>
      </c>
      <c r="F2077">
        <f>IFERROR(__xludf.DUMMYFUNCTION("""COMPUTED_VALUE"""),16.74)</f>
        <v>16.74</v>
      </c>
      <c r="G2077">
        <f>IFERROR(__xludf.DUMMYFUNCTION("""COMPUTED_VALUE"""),0.0)</f>
        <v>0</v>
      </c>
    </row>
    <row r="2078">
      <c r="A2078">
        <f>IFERROR(__xludf.DUMMYFUNCTION("""COMPUTED_VALUE"""),173696.0)</f>
        <v>173696</v>
      </c>
      <c r="B2078" t="str">
        <f>IFERROR(__xludf.DUMMYFUNCTION("""COMPUTED_VALUE"""),"Fish Shad American Raw")</f>
        <v>Fish Shad American Raw</v>
      </c>
      <c r="C2078" t="str">
        <f>IFERROR(__xludf.DUMMYFUNCTION("""COMPUTED_VALUE"""),"Fish")</f>
        <v>Fish</v>
      </c>
      <c r="D2078">
        <f>IFERROR(__xludf.DUMMYFUNCTION("""COMPUTED_VALUE"""),197.0)</f>
        <v>197</v>
      </c>
      <c r="E2078">
        <f>IFERROR(__xludf.DUMMYFUNCTION("""COMPUTED_VALUE"""),13.77)</f>
        <v>13.77</v>
      </c>
      <c r="F2078">
        <f>IFERROR(__xludf.DUMMYFUNCTION("""COMPUTED_VALUE"""),16.93)</f>
        <v>16.93</v>
      </c>
      <c r="G2078">
        <f>IFERROR(__xludf.DUMMYFUNCTION("""COMPUTED_VALUE"""),0.0)</f>
        <v>0</v>
      </c>
    </row>
    <row r="2079">
      <c r="A2079">
        <f>IFERROR(__xludf.DUMMYFUNCTION("""COMPUTED_VALUE"""),173697.0)</f>
        <v>173697</v>
      </c>
      <c r="B2079" t="str">
        <f>IFERROR(__xludf.DUMMYFUNCTION("""COMPUTED_VALUE"""),"Fish Shark Mixed Species Raw")</f>
        <v>Fish Shark Mixed Species Raw</v>
      </c>
      <c r="C2079" t="str">
        <f>IFERROR(__xludf.DUMMYFUNCTION("""COMPUTED_VALUE"""),"Fish")</f>
        <v>Fish</v>
      </c>
      <c r="D2079">
        <f>IFERROR(__xludf.DUMMYFUNCTION("""COMPUTED_VALUE"""),130.0)</f>
        <v>130</v>
      </c>
      <c r="E2079">
        <f>IFERROR(__xludf.DUMMYFUNCTION("""COMPUTED_VALUE"""),4.51)</f>
        <v>4.51</v>
      </c>
      <c r="F2079">
        <f>IFERROR(__xludf.DUMMYFUNCTION("""COMPUTED_VALUE"""),20.98)</f>
        <v>20.98</v>
      </c>
      <c r="G2079">
        <f>IFERROR(__xludf.DUMMYFUNCTION("""COMPUTED_VALUE"""),0.0)</f>
        <v>0</v>
      </c>
    </row>
    <row r="2080">
      <c r="A2080">
        <f>IFERROR(__xludf.DUMMYFUNCTION("""COMPUTED_VALUE"""),173698.0)</f>
        <v>173698</v>
      </c>
      <c r="B2080" t="str">
        <f>IFERROR(__xludf.DUMMYFUNCTION("""COMPUTED_VALUE"""),"Fish Snapper Mixed Species Raw")</f>
        <v>Fish Snapper Mixed Species Raw</v>
      </c>
      <c r="C2080" t="str">
        <f>IFERROR(__xludf.DUMMYFUNCTION("""COMPUTED_VALUE"""),"Fish")</f>
        <v>Fish</v>
      </c>
      <c r="D2080">
        <f>IFERROR(__xludf.DUMMYFUNCTION("""COMPUTED_VALUE"""),100.0)</f>
        <v>100</v>
      </c>
      <c r="E2080">
        <f>IFERROR(__xludf.DUMMYFUNCTION("""COMPUTED_VALUE"""),1.34)</f>
        <v>1.34</v>
      </c>
      <c r="F2080">
        <f>IFERROR(__xludf.DUMMYFUNCTION("""COMPUTED_VALUE"""),20.51)</f>
        <v>20.51</v>
      </c>
      <c r="G2080">
        <f>IFERROR(__xludf.DUMMYFUNCTION("""COMPUTED_VALUE"""),0.0)</f>
        <v>0</v>
      </c>
    </row>
    <row r="2081">
      <c r="A2081">
        <f>IFERROR(__xludf.DUMMYFUNCTION("""COMPUTED_VALUE"""),173699.0)</f>
        <v>173699</v>
      </c>
      <c r="B2081" t="str">
        <f>IFERROR(__xludf.DUMMYFUNCTION("""COMPUTED_VALUE"""),"Cooked Snapper")</f>
        <v>Cooked Snapper</v>
      </c>
      <c r="C2081" t="str">
        <f>IFERROR(__xludf.DUMMYFUNCTION("""COMPUTED_VALUE"""),"Fish")</f>
        <v>Fish</v>
      </c>
      <c r="D2081">
        <f>IFERROR(__xludf.DUMMYFUNCTION("""COMPUTED_VALUE"""),128.0)</f>
        <v>128</v>
      </c>
      <c r="E2081">
        <f>IFERROR(__xludf.DUMMYFUNCTION("""COMPUTED_VALUE"""),1.72)</f>
        <v>1.72</v>
      </c>
      <c r="F2081">
        <f>IFERROR(__xludf.DUMMYFUNCTION("""COMPUTED_VALUE"""),26.3)</f>
        <v>26.3</v>
      </c>
      <c r="G2081">
        <f>IFERROR(__xludf.DUMMYFUNCTION("""COMPUTED_VALUE"""),0.0)</f>
        <v>0</v>
      </c>
    </row>
    <row r="2082">
      <c r="A2082">
        <f>IFERROR(__xludf.DUMMYFUNCTION("""COMPUTED_VALUE"""),173700.0)</f>
        <v>173700</v>
      </c>
      <c r="B2082" t="str">
        <f>IFERROR(__xludf.DUMMYFUNCTION("""COMPUTED_VALUE"""),"Fish Spot Raw")</f>
        <v>Fish Spot Raw</v>
      </c>
      <c r="C2082" t="str">
        <f>IFERROR(__xludf.DUMMYFUNCTION("""COMPUTED_VALUE"""),"Fish")</f>
        <v>Fish</v>
      </c>
      <c r="D2082">
        <f>IFERROR(__xludf.DUMMYFUNCTION("""COMPUTED_VALUE"""),123.0)</f>
        <v>123</v>
      </c>
      <c r="E2082">
        <f>IFERROR(__xludf.DUMMYFUNCTION("""COMPUTED_VALUE"""),4.9)</f>
        <v>4.9</v>
      </c>
      <c r="F2082">
        <f>IFERROR(__xludf.DUMMYFUNCTION("""COMPUTED_VALUE"""),18.51)</f>
        <v>18.51</v>
      </c>
      <c r="G2082">
        <f>IFERROR(__xludf.DUMMYFUNCTION("""COMPUTED_VALUE"""),0.0)</f>
        <v>0</v>
      </c>
    </row>
    <row r="2083">
      <c r="A2083">
        <f>IFERROR(__xludf.DUMMYFUNCTION("""COMPUTED_VALUE"""),173701.0)</f>
        <v>173701</v>
      </c>
      <c r="B2083" t="str">
        <f>IFERROR(__xludf.DUMMYFUNCTION("""COMPUTED_VALUE"""),"Fish Sturgeon Mixed Species Raw")</f>
        <v>Fish Sturgeon Mixed Species Raw</v>
      </c>
      <c r="C2083" t="str">
        <f>IFERROR(__xludf.DUMMYFUNCTION("""COMPUTED_VALUE"""),"Fish")</f>
        <v>Fish</v>
      </c>
      <c r="D2083">
        <f>IFERROR(__xludf.DUMMYFUNCTION("""COMPUTED_VALUE"""),105.0)</f>
        <v>105</v>
      </c>
      <c r="E2083">
        <f>IFERROR(__xludf.DUMMYFUNCTION("""COMPUTED_VALUE"""),4.04)</f>
        <v>4.04</v>
      </c>
      <c r="F2083">
        <f>IFERROR(__xludf.DUMMYFUNCTION("""COMPUTED_VALUE"""),16.14)</f>
        <v>16.14</v>
      </c>
      <c r="G2083">
        <f>IFERROR(__xludf.DUMMYFUNCTION("""COMPUTED_VALUE"""),0.0)</f>
        <v>0</v>
      </c>
    </row>
    <row r="2084">
      <c r="A2084">
        <f>IFERROR(__xludf.DUMMYFUNCTION("""COMPUTED_VALUE"""),173702.0)</f>
        <v>173702</v>
      </c>
      <c r="B2084" t="str">
        <f>IFERROR(__xludf.DUMMYFUNCTION("""COMPUTED_VALUE"""),"Fish Surimi")</f>
        <v>Fish Surimi</v>
      </c>
      <c r="C2084" t="str">
        <f>IFERROR(__xludf.DUMMYFUNCTION("""COMPUTED_VALUE"""),"Fish")</f>
        <v>Fish</v>
      </c>
      <c r="D2084">
        <f>IFERROR(__xludf.DUMMYFUNCTION("""COMPUTED_VALUE"""),99.0)</f>
        <v>99</v>
      </c>
      <c r="E2084">
        <f>IFERROR(__xludf.DUMMYFUNCTION("""COMPUTED_VALUE"""),0.9)</f>
        <v>0.9</v>
      </c>
      <c r="F2084">
        <f>IFERROR(__xludf.DUMMYFUNCTION("""COMPUTED_VALUE"""),15.18)</f>
        <v>15.18</v>
      </c>
      <c r="G2084">
        <f>IFERROR(__xludf.DUMMYFUNCTION("""COMPUTED_VALUE"""),6.85)</f>
        <v>6.85</v>
      </c>
    </row>
    <row r="2085">
      <c r="A2085">
        <f>IFERROR(__xludf.DUMMYFUNCTION("""COMPUTED_VALUE"""),173703.0)</f>
        <v>173703</v>
      </c>
      <c r="B2085" t="str">
        <f>IFERROR(__xludf.DUMMYFUNCTION("""COMPUTED_VALUE"""),"Fish Swordfish Raw")</f>
        <v>Fish Swordfish Raw</v>
      </c>
      <c r="C2085" t="str">
        <f>IFERROR(__xludf.DUMMYFUNCTION("""COMPUTED_VALUE"""),"Fish")</f>
        <v>Fish</v>
      </c>
      <c r="D2085">
        <f>IFERROR(__xludf.DUMMYFUNCTION("""COMPUTED_VALUE"""),144.0)</f>
        <v>144</v>
      </c>
      <c r="E2085">
        <f>IFERROR(__xludf.DUMMYFUNCTION("""COMPUTED_VALUE"""),6.65)</f>
        <v>6.65</v>
      </c>
      <c r="F2085">
        <f>IFERROR(__xludf.DUMMYFUNCTION("""COMPUTED_VALUE"""),19.66)</f>
        <v>19.66</v>
      </c>
      <c r="G2085">
        <f>IFERROR(__xludf.DUMMYFUNCTION("""COMPUTED_VALUE"""),0.0)</f>
        <v>0</v>
      </c>
    </row>
    <row r="2086">
      <c r="A2086">
        <f>IFERROR(__xludf.DUMMYFUNCTION("""COMPUTED_VALUE"""),173704.0)</f>
        <v>173704</v>
      </c>
      <c r="B2086" t="str">
        <f>IFERROR(__xludf.DUMMYFUNCTION("""COMPUTED_VALUE"""),"Cooked Swordfish")</f>
        <v>Cooked Swordfish</v>
      </c>
      <c r="C2086" t="str">
        <f>IFERROR(__xludf.DUMMYFUNCTION("""COMPUTED_VALUE"""),"Fish")</f>
        <v>Fish</v>
      </c>
      <c r="D2086">
        <f>IFERROR(__xludf.DUMMYFUNCTION("""COMPUTED_VALUE"""),172.0)</f>
        <v>172</v>
      </c>
      <c r="E2086">
        <f>IFERROR(__xludf.DUMMYFUNCTION("""COMPUTED_VALUE"""),7.93)</f>
        <v>7.93</v>
      </c>
      <c r="F2086">
        <f>IFERROR(__xludf.DUMMYFUNCTION("""COMPUTED_VALUE"""),23.45)</f>
        <v>23.45</v>
      </c>
      <c r="G2086">
        <f>IFERROR(__xludf.DUMMYFUNCTION("""COMPUTED_VALUE"""),0.0)</f>
        <v>0</v>
      </c>
    </row>
    <row r="2087">
      <c r="A2087">
        <f>IFERROR(__xludf.DUMMYFUNCTION("""COMPUTED_VALUE"""),173705.0)</f>
        <v>173705</v>
      </c>
      <c r="B2087" t="str">
        <f>IFERROR(__xludf.DUMMYFUNCTION("""COMPUTED_VALUE"""),"Fish Tilefish Raw")</f>
        <v>Fish Tilefish Raw</v>
      </c>
      <c r="C2087" t="str">
        <f>IFERROR(__xludf.DUMMYFUNCTION("""COMPUTED_VALUE"""),"Fish")</f>
        <v>Fish</v>
      </c>
      <c r="D2087">
        <f>IFERROR(__xludf.DUMMYFUNCTION("""COMPUTED_VALUE"""),96.0)</f>
        <v>96</v>
      </c>
      <c r="E2087">
        <f>IFERROR(__xludf.DUMMYFUNCTION("""COMPUTED_VALUE"""),2.31)</f>
        <v>2.31</v>
      </c>
      <c r="F2087">
        <f>IFERROR(__xludf.DUMMYFUNCTION("""COMPUTED_VALUE"""),17.5)</f>
        <v>17.5</v>
      </c>
      <c r="G2087">
        <f>IFERROR(__xludf.DUMMYFUNCTION("""COMPUTED_VALUE"""),0.0)</f>
        <v>0</v>
      </c>
    </row>
    <row r="2088">
      <c r="A2088">
        <f>IFERROR(__xludf.DUMMYFUNCTION("""COMPUTED_VALUE"""),173706.0)</f>
        <v>173706</v>
      </c>
      <c r="B2088" t="str">
        <f>IFERROR(__xludf.DUMMYFUNCTION("""COMPUTED_VALUE"""),"Bluefin Tuna (Raw)")</f>
        <v>Bluefin Tuna (Raw)</v>
      </c>
      <c r="C2088" t="str">
        <f>IFERROR(__xludf.DUMMYFUNCTION("""COMPUTED_VALUE"""),"Fish")</f>
        <v>Fish</v>
      </c>
      <c r="D2088">
        <f>IFERROR(__xludf.DUMMYFUNCTION("""COMPUTED_VALUE"""),144.0)</f>
        <v>144</v>
      </c>
      <c r="E2088">
        <f>IFERROR(__xludf.DUMMYFUNCTION("""COMPUTED_VALUE"""),4.9)</f>
        <v>4.9</v>
      </c>
      <c r="F2088">
        <f>IFERROR(__xludf.DUMMYFUNCTION("""COMPUTED_VALUE"""),23.33)</f>
        <v>23.33</v>
      </c>
      <c r="G2088">
        <f>IFERROR(__xludf.DUMMYFUNCTION("""COMPUTED_VALUE"""),0.0)</f>
        <v>0</v>
      </c>
    </row>
    <row r="2089">
      <c r="A2089">
        <f>IFERROR(__xludf.DUMMYFUNCTION("""COMPUTED_VALUE"""),173707.0)</f>
        <v>173707</v>
      </c>
      <c r="B2089" t="str">
        <f>IFERROR(__xludf.DUMMYFUNCTION("""COMPUTED_VALUE"""),"Bluefin Tuna (Cooked)")</f>
        <v>Bluefin Tuna (Cooked)</v>
      </c>
      <c r="C2089" t="str">
        <f>IFERROR(__xludf.DUMMYFUNCTION("""COMPUTED_VALUE"""),"Fish")</f>
        <v>Fish</v>
      </c>
      <c r="D2089">
        <f>IFERROR(__xludf.DUMMYFUNCTION("""COMPUTED_VALUE"""),184.0)</f>
        <v>184</v>
      </c>
      <c r="E2089">
        <f>IFERROR(__xludf.DUMMYFUNCTION("""COMPUTED_VALUE"""),6.28)</f>
        <v>6.28</v>
      </c>
      <c r="F2089">
        <f>IFERROR(__xludf.DUMMYFUNCTION("""COMPUTED_VALUE"""),29.91)</f>
        <v>29.91</v>
      </c>
      <c r="G2089">
        <f>IFERROR(__xludf.DUMMYFUNCTION("""COMPUTED_VALUE"""),0.0)</f>
        <v>0</v>
      </c>
    </row>
    <row r="2090">
      <c r="A2090">
        <f>IFERROR(__xludf.DUMMYFUNCTION("""COMPUTED_VALUE"""),173708.0)</f>
        <v>173708</v>
      </c>
      <c r="B2090" t="str">
        <f>IFERROR(__xludf.DUMMYFUNCTION("""COMPUTED_VALUE"""),"Fish Tuna Light Canned In Oil Drained Solids")</f>
        <v>Fish Tuna Light Canned In Oil Drained Solids</v>
      </c>
      <c r="C2090" t="str">
        <f>IFERROR(__xludf.DUMMYFUNCTION("""COMPUTED_VALUE"""),"Fish")</f>
        <v>Fish</v>
      </c>
      <c r="D2090">
        <f>IFERROR(__xludf.DUMMYFUNCTION("""COMPUTED_VALUE"""),198.0)</f>
        <v>198</v>
      </c>
      <c r="E2090">
        <f>IFERROR(__xludf.DUMMYFUNCTION("""COMPUTED_VALUE"""),8.21)</f>
        <v>8.21</v>
      </c>
      <c r="F2090">
        <f>IFERROR(__xludf.DUMMYFUNCTION("""COMPUTED_VALUE"""),29.13)</f>
        <v>29.13</v>
      </c>
      <c r="G2090">
        <f>IFERROR(__xludf.DUMMYFUNCTION("""COMPUTED_VALUE"""),0.0)</f>
        <v>0</v>
      </c>
    </row>
    <row r="2091">
      <c r="A2091">
        <f>IFERROR(__xludf.DUMMYFUNCTION("""COMPUTED_VALUE"""),173709.0)</f>
        <v>173709</v>
      </c>
      <c r="B2091" t="str">
        <f>IFERROR(__xludf.DUMMYFUNCTION("""COMPUTED_VALUE"""),"Fish Tuna Light Canned In Water Drained Solids")</f>
        <v>Fish Tuna Light Canned In Water Drained Solids</v>
      </c>
      <c r="C2091" t="str">
        <f>IFERROR(__xludf.DUMMYFUNCTION("""COMPUTED_VALUE"""),"Fish")</f>
        <v>Fish</v>
      </c>
      <c r="D2091">
        <f>IFERROR(__xludf.DUMMYFUNCTION("""COMPUTED_VALUE"""),86.0)</f>
        <v>86</v>
      </c>
      <c r="E2091">
        <f>IFERROR(__xludf.DUMMYFUNCTION("""COMPUTED_VALUE"""),0.96)</f>
        <v>0.96</v>
      </c>
      <c r="F2091">
        <f>IFERROR(__xludf.DUMMYFUNCTION("""COMPUTED_VALUE"""),19.44)</f>
        <v>19.44</v>
      </c>
      <c r="G2091">
        <f>IFERROR(__xludf.DUMMYFUNCTION("""COMPUTED_VALUE"""),0.0)</f>
        <v>0</v>
      </c>
    </row>
    <row r="2092">
      <c r="A2092">
        <f>IFERROR(__xludf.DUMMYFUNCTION("""COMPUTED_VALUE"""),173710.0)</f>
        <v>173710</v>
      </c>
      <c r="B2092" t="str">
        <f>IFERROR(__xludf.DUMMYFUNCTION("""COMPUTED_VALUE"""),"Fish Turbot European Raw")</f>
        <v>Fish Turbot European Raw</v>
      </c>
      <c r="C2092" t="str">
        <f>IFERROR(__xludf.DUMMYFUNCTION("""COMPUTED_VALUE"""),"Fish")</f>
        <v>Fish</v>
      </c>
      <c r="D2092">
        <f>IFERROR(__xludf.DUMMYFUNCTION("""COMPUTED_VALUE"""),95.0)</f>
        <v>95</v>
      </c>
      <c r="E2092">
        <f>IFERROR(__xludf.DUMMYFUNCTION("""COMPUTED_VALUE"""),2.95)</f>
        <v>2.95</v>
      </c>
      <c r="F2092">
        <f>IFERROR(__xludf.DUMMYFUNCTION("""COMPUTED_VALUE"""),16.05)</f>
        <v>16.05</v>
      </c>
      <c r="G2092">
        <f>IFERROR(__xludf.DUMMYFUNCTION("""COMPUTED_VALUE"""),0.0)</f>
        <v>0</v>
      </c>
    </row>
    <row r="2093">
      <c r="A2093">
        <f>IFERROR(__xludf.DUMMYFUNCTION("""COMPUTED_VALUE"""),173711.0)</f>
        <v>173711</v>
      </c>
      <c r="B2093" t="str">
        <f>IFERROR(__xludf.DUMMYFUNCTION("""COMPUTED_VALUE"""),"Whitefish (Raw)")</f>
        <v>Whitefish (Raw)</v>
      </c>
      <c r="C2093" t="str">
        <f>IFERROR(__xludf.DUMMYFUNCTION("""COMPUTED_VALUE"""),"Fish")</f>
        <v>Fish</v>
      </c>
      <c r="D2093">
        <f>IFERROR(__xludf.DUMMYFUNCTION("""COMPUTED_VALUE"""),134.0)</f>
        <v>134</v>
      </c>
      <c r="E2093">
        <f>IFERROR(__xludf.DUMMYFUNCTION("""COMPUTED_VALUE"""),5.86)</f>
        <v>5.86</v>
      </c>
      <c r="F2093">
        <f>IFERROR(__xludf.DUMMYFUNCTION("""COMPUTED_VALUE"""),19.09)</f>
        <v>19.09</v>
      </c>
      <c r="G2093">
        <f>IFERROR(__xludf.DUMMYFUNCTION("""COMPUTED_VALUE"""),0.0)</f>
        <v>0</v>
      </c>
    </row>
    <row r="2094">
      <c r="A2094">
        <f>IFERROR(__xludf.DUMMYFUNCTION("""COMPUTED_VALUE"""),173712.0)</f>
        <v>173712</v>
      </c>
      <c r="B2094" t="str">
        <f>IFERROR(__xludf.DUMMYFUNCTION("""COMPUTED_VALUE"""),"Smoked Whitefish")</f>
        <v>Smoked Whitefish</v>
      </c>
      <c r="C2094" t="str">
        <f>IFERROR(__xludf.DUMMYFUNCTION("""COMPUTED_VALUE"""),"Fish")</f>
        <v>Fish</v>
      </c>
      <c r="D2094">
        <f>IFERROR(__xludf.DUMMYFUNCTION("""COMPUTED_VALUE"""),108.0)</f>
        <v>108</v>
      </c>
      <c r="E2094">
        <f>IFERROR(__xludf.DUMMYFUNCTION("""COMPUTED_VALUE"""),0.93)</f>
        <v>0.93</v>
      </c>
      <c r="F2094">
        <f>IFERROR(__xludf.DUMMYFUNCTION("""COMPUTED_VALUE"""),23.4)</f>
        <v>23.4</v>
      </c>
      <c r="G2094">
        <f>IFERROR(__xludf.DUMMYFUNCTION("""COMPUTED_VALUE"""),0.0)</f>
        <v>0</v>
      </c>
    </row>
    <row r="2095">
      <c r="A2095">
        <f>IFERROR(__xludf.DUMMYFUNCTION("""COMPUTED_VALUE"""),173713.0)</f>
        <v>173713</v>
      </c>
      <c r="B2095" t="str">
        <f>IFERROR(__xludf.DUMMYFUNCTION("""COMPUTED_VALUE"""),"Raw Whiting")</f>
        <v>Raw Whiting</v>
      </c>
      <c r="C2095" t="str">
        <f>IFERROR(__xludf.DUMMYFUNCTION("""COMPUTED_VALUE"""),"Fish")</f>
        <v>Fish</v>
      </c>
      <c r="D2095">
        <f>IFERROR(__xludf.DUMMYFUNCTION("""COMPUTED_VALUE"""),90.0)</f>
        <v>90</v>
      </c>
      <c r="E2095">
        <f>IFERROR(__xludf.DUMMYFUNCTION("""COMPUTED_VALUE"""),1.31)</f>
        <v>1.31</v>
      </c>
      <c r="F2095">
        <f>IFERROR(__xludf.DUMMYFUNCTION("""COMPUTED_VALUE"""),18.31)</f>
        <v>18.31</v>
      </c>
      <c r="G2095">
        <f>IFERROR(__xludf.DUMMYFUNCTION("""COMPUTED_VALUE"""),0.0)</f>
        <v>0</v>
      </c>
    </row>
    <row r="2096">
      <c r="A2096">
        <f>IFERROR(__xludf.DUMMYFUNCTION("""COMPUTED_VALUE"""),173714.0)</f>
        <v>173714</v>
      </c>
      <c r="B2096" t="str">
        <f>IFERROR(__xludf.DUMMYFUNCTION("""COMPUTED_VALUE"""),"Cooked Catfish")</f>
        <v>Cooked Catfish</v>
      </c>
      <c r="C2096" t="str">
        <f>IFERROR(__xludf.DUMMYFUNCTION("""COMPUTED_VALUE"""),"Fish")</f>
        <v>Fish</v>
      </c>
      <c r="D2096">
        <f>IFERROR(__xludf.DUMMYFUNCTION("""COMPUTED_VALUE"""),105.0)</f>
        <v>105</v>
      </c>
      <c r="E2096">
        <f>IFERROR(__xludf.DUMMYFUNCTION("""COMPUTED_VALUE"""),2.85)</f>
        <v>2.85</v>
      </c>
      <c r="F2096">
        <f>IFERROR(__xludf.DUMMYFUNCTION("""COMPUTED_VALUE"""),18.47)</f>
        <v>18.47</v>
      </c>
      <c r="G2096">
        <f>IFERROR(__xludf.DUMMYFUNCTION("""COMPUTED_VALUE"""),0.0)</f>
        <v>0</v>
      </c>
    </row>
    <row r="2097">
      <c r="A2097">
        <f>IFERROR(__xludf.DUMMYFUNCTION("""COMPUTED_VALUE"""),173715.0)</f>
        <v>173715</v>
      </c>
      <c r="B2097" t="str">
        <f>IFERROR(__xludf.DUMMYFUNCTION("""COMPUTED_VALUE"""),"Raw Coho Salmon")</f>
        <v>Raw Coho Salmon</v>
      </c>
      <c r="C2097" t="str">
        <f>IFERROR(__xludf.DUMMYFUNCTION("""COMPUTED_VALUE"""),"Fish")</f>
        <v>Fish</v>
      </c>
      <c r="D2097">
        <f>IFERROR(__xludf.DUMMYFUNCTION("""COMPUTED_VALUE"""),160.0)</f>
        <v>160</v>
      </c>
      <c r="E2097">
        <f>IFERROR(__xludf.DUMMYFUNCTION("""COMPUTED_VALUE"""),7.67)</f>
        <v>7.67</v>
      </c>
      <c r="F2097">
        <f>IFERROR(__xludf.DUMMYFUNCTION("""COMPUTED_VALUE"""),21.27)</f>
        <v>21.27</v>
      </c>
      <c r="G2097">
        <f>IFERROR(__xludf.DUMMYFUNCTION("""COMPUTED_VALUE"""),0.0)</f>
        <v>0</v>
      </c>
    </row>
    <row r="2098">
      <c r="A2098">
        <f>IFERROR(__xludf.DUMMYFUNCTION("""COMPUTED_VALUE"""),173716.0)</f>
        <v>173716</v>
      </c>
      <c r="B2098" t="str">
        <f>IFERROR(__xludf.DUMMYFUNCTION("""COMPUTED_VALUE"""),"Cooked Coho Salmon (Farmed)")</f>
        <v>Cooked Coho Salmon (Farmed)</v>
      </c>
      <c r="C2098" t="str">
        <f>IFERROR(__xludf.DUMMYFUNCTION("""COMPUTED_VALUE"""),"Fish")</f>
        <v>Fish</v>
      </c>
      <c r="D2098">
        <f>IFERROR(__xludf.DUMMYFUNCTION("""COMPUTED_VALUE"""),178.0)</f>
        <v>178</v>
      </c>
      <c r="E2098">
        <f>IFERROR(__xludf.DUMMYFUNCTION("""COMPUTED_VALUE"""),8.23)</f>
        <v>8.23</v>
      </c>
      <c r="F2098">
        <f>IFERROR(__xludf.DUMMYFUNCTION("""COMPUTED_VALUE"""),24.3)</f>
        <v>24.3</v>
      </c>
      <c r="G2098">
        <f>IFERROR(__xludf.DUMMYFUNCTION("""COMPUTED_VALUE"""),0.0)</f>
        <v>0</v>
      </c>
    </row>
    <row r="2099">
      <c r="A2099">
        <f>IFERROR(__xludf.DUMMYFUNCTION("""COMPUTED_VALUE"""),173717.0)</f>
        <v>173717</v>
      </c>
      <c r="B2099" t="str">
        <f>IFERROR(__xludf.DUMMYFUNCTION("""COMPUTED_VALUE"""),"Rainbow Trout (Raw)")</f>
        <v>Rainbow Trout (Raw)</v>
      </c>
      <c r="C2099" t="str">
        <f>IFERROR(__xludf.DUMMYFUNCTION("""COMPUTED_VALUE"""),"Fish")</f>
        <v>Fish</v>
      </c>
      <c r="D2099">
        <f>IFERROR(__xludf.DUMMYFUNCTION("""COMPUTED_VALUE"""),141.0)</f>
        <v>141</v>
      </c>
      <c r="E2099">
        <f>IFERROR(__xludf.DUMMYFUNCTION("""COMPUTED_VALUE"""),6.18)</f>
        <v>6.18</v>
      </c>
      <c r="F2099">
        <f>IFERROR(__xludf.DUMMYFUNCTION("""COMPUTED_VALUE"""),19.94)</f>
        <v>19.94</v>
      </c>
      <c r="G2099">
        <f>IFERROR(__xludf.DUMMYFUNCTION("""COMPUTED_VALUE"""),0.0)</f>
        <v>0</v>
      </c>
    </row>
    <row r="2100">
      <c r="A2100">
        <f>IFERROR(__xludf.DUMMYFUNCTION("""COMPUTED_VALUE"""),173718.0)</f>
        <v>173718</v>
      </c>
      <c r="B2100" t="str">
        <f>IFERROR(__xludf.DUMMYFUNCTION("""COMPUTED_VALUE"""),"Cooked Rainbow Trout")</f>
        <v>Cooked Rainbow Trout</v>
      </c>
      <c r="C2100" t="str">
        <f>IFERROR(__xludf.DUMMYFUNCTION("""COMPUTED_VALUE"""),"Fish")</f>
        <v>Fish</v>
      </c>
      <c r="D2100">
        <f>IFERROR(__xludf.DUMMYFUNCTION("""COMPUTED_VALUE"""),168.0)</f>
        <v>168</v>
      </c>
      <c r="E2100">
        <f>IFERROR(__xludf.DUMMYFUNCTION("""COMPUTED_VALUE"""),7.38)</f>
        <v>7.38</v>
      </c>
      <c r="F2100">
        <f>IFERROR(__xludf.DUMMYFUNCTION("""COMPUTED_VALUE"""),23.8)</f>
        <v>23.8</v>
      </c>
      <c r="G2100">
        <f>IFERROR(__xludf.DUMMYFUNCTION("""COMPUTED_VALUE"""),0.0)</f>
        <v>0</v>
      </c>
    </row>
    <row r="2101">
      <c r="A2101">
        <f>IFERROR(__xludf.DUMMYFUNCTION("""COMPUTED_VALUE"""),173719.0)</f>
        <v>173719</v>
      </c>
      <c r="B2101" t="str">
        <f>IFERROR(__xludf.DUMMYFUNCTION("""COMPUTED_VALUE"""),"Cooked Coho Salmon (Wild)")</f>
        <v>Cooked Coho Salmon (Wild)</v>
      </c>
      <c r="C2101" t="str">
        <f>IFERROR(__xludf.DUMMYFUNCTION("""COMPUTED_VALUE"""),"Fish")</f>
        <v>Fish</v>
      </c>
      <c r="D2101">
        <f>IFERROR(__xludf.DUMMYFUNCTION("""COMPUTED_VALUE"""),139.0)</f>
        <v>139</v>
      </c>
      <c r="E2101">
        <f>IFERROR(__xludf.DUMMYFUNCTION("""COMPUTED_VALUE"""),4.3)</f>
        <v>4.3</v>
      </c>
      <c r="F2101">
        <f>IFERROR(__xludf.DUMMYFUNCTION("""COMPUTED_VALUE"""),23.45)</f>
        <v>23.45</v>
      </c>
      <c r="G2101">
        <f>IFERROR(__xludf.DUMMYFUNCTION("""COMPUTED_VALUE"""),0.0)</f>
        <v>0</v>
      </c>
    </row>
    <row r="2102">
      <c r="A2102">
        <f>IFERROR(__xludf.DUMMYFUNCTION("""COMPUTED_VALUE"""),173720.0)</f>
        <v>173720</v>
      </c>
      <c r="B2102" t="str">
        <f>IFERROR(__xludf.DUMMYFUNCTION("""COMPUTED_VALUE"""),"Baked Conch")</f>
        <v>Baked Conch</v>
      </c>
      <c r="C2102" t="str">
        <f>IFERROR(__xludf.DUMMYFUNCTION("""COMPUTED_VALUE"""),"Fish")</f>
        <v>Fish</v>
      </c>
      <c r="D2102">
        <f>IFERROR(__xludf.DUMMYFUNCTION("""COMPUTED_VALUE"""),130.0)</f>
        <v>130</v>
      </c>
      <c r="E2102">
        <f>IFERROR(__xludf.DUMMYFUNCTION("""COMPUTED_VALUE"""),1.2)</f>
        <v>1.2</v>
      </c>
      <c r="F2102">
        <f>IFERROR(__xludf.DUMMYFUNCTION("""COMPUTED_VALUE"""),26.3)</f>
        <v>26.3</v>
      </c>
      <c r="G2102">
        <f>IFERROR(__xludf.DUMMYFUNCTION("""COMPUTED_VALUE"""),1.7)</f>
        <v>1.7</v>
      </c>
    </row>
    <row r="2103">
      <c r="A2103">
        <f>IFERROR(__xludf.DUMMYFUNCTION("""COMPUTED_VALUE"""),173721.0)</f>
        <v>173721</v>
      </c>
      <c r="B2103" t="str">
        <f>IFERROR(__xludf.DUMMYFUNCTION("""COMPUTED_VALUE"""),"USDA Commodity Salmon Nuggets Breaded Frozen Heated")</f>
        <v>USDA Commodity Salmon Nuggets Breaded Frozen Heated</v>
      </c>
      <c r="C2103" t="str">
        <f>IFERROR(__xludf.DUMMYFUNCTION("""COMPUTED_VALUE"""),"Fish")</f>
        <v>Fish</v>
      </c>
      <c r="D2103">
        <f>IFERROR(__xludf.DUMMYFUNCTION("""COMPUTED_VALUE"""),212.0)</f>
        <v>212</v>
      </c>
      <c r="E2103">
        <f>IFERROR(__xludf.DUMMYFUNCTION("""COMPUTED_VALUE"""),11.72)</f>
        <v>11.72</v>
      </c>
      <c r="F2103">
        <f>IFERROR(__xludf.DUMMYFUNCTION("""COMPUTED_VALUE"""),12.69)</f>
        <v>12.69</v>
      </c>
      <c r="G2103">
        <f>IFERROR(__xludf.DUMMYFUNCTION("""COMPUTED_VALUE"""),13.96)</f>
        <v>13.96</v>
      </c>
    </row>
    <row r="2104">
      <c r="A2104">
        <f>IFERROR(__xludf.DUMMYFUNCTION("""COMPUTED_VALUE"""),173722.0)</f>
        <v>173722</v>
      </c>
      <c r="B2104" t="str">
        <f>IFERROR(__xludf.DUMMYFUNCTION("""COMPUTED_VALUE"""),"USDA Commodity Salmon Nuggets Cooked As Purchased Unheated")</f>
        <v>USDA Commodity Salmon Nuggets Cooked As Purchased Unheated</v>
      </c>
      <c r="C2104" t="str">
        <f>IFERROR(__xludf.DUMMYFUNCTION("""COMPUTED_VALUE"""),"Fish")</f>
        <v>Fish</v>
      </c>
      <c r="D2104">
        <f>IFERROR(__xludf.DUMMYFUNCTION("""COMPUTED_VALUE"""),189.0)</f>
        <v>189</v>
      </c>
      <c r="E2104">
        <f>IFERROR(__xludf.DUMMYFUNCTION("""COMPUTED_VALUE"""),10.43)</f>
        <v>10.43</v>
      </c>
      <c r="F2104">
        <f>IFERROR(__xludf.DUMMYFUNCTION("""COMPUTED_VALUE"""),11.97)</f>
        <v>11.97</v>
      </c>
      <c r="G2104">
        <f>IFERROR(__xludf.DUMMYFUNCTION("""COMPUTED_VALUE"""),11.85)</f>
        <v>11.85</v>
      </c>
    </row>
    <row r="2105">
      <c r="A2105">
        <f>IFERROR(__xludf.DUMMYFUNCTION("""COMPUTED_VALUE"""),173723.0)</f>
        <v>173723</v>
      </c>
      <c r="B2105" t="str">
        <f>IFERROR(__xludf.DUMMYFUNCTION("""COMPUTED_VALUE"""),"Canned Sockeye Salmon")</f>
        <v>Canned Sockeye Salmon</v>
      </c>
      <c r="C2105" t="str">
        <f>IFERROR(__xludf.DUMMYFUNCTION("""COMPUTED_VALUE"""),"Fish")</f>
        <v>Fish</v>
      </c>
      <c r="D2105">
        <f>IFERROR(__xludf.DUMMYFUNCTION("""COMPUTED_VALUE"""),158.0)</f>
        <v>158</v>
      </c>
      <c r="E2105">
        <f>IFERROR(__xludf.DUMMYFUNCTION("""COMPUTED_VALUE"""),5.87)</f>
        <v>5.87</v>
      </c>
      <c r="F2105">
        <f>IFERROR(__xludf.DUMMYFUNCTION("""COMPUTED_VALUE"""),26.33)</f>
        <v>26.33</v>
      </c>
      <c r="G2105">
        <f>IFERROR(__xludf.DUMMYFUNCTION("""COMPUTED_VALUE"""),0.0)</f>
        <v>0</v>
      </c>
    </row>
    <row r="2106">
      <c r="A2106">
        <f>IFERROR(__xludf.DUMMYFUNCTION("""COMPUTED_VALUE"""),173724.0)</f>
        <v>173724</v>
      </c>
      <c r="B2106" t="str">
        <f>IFERROR(__xludf.DUMMYFUNCTION("""COMPUTED_VALUE"""),"Canned Pink Salmon")</f>
        <v>Canned Pink Salmon</v>
      </c>
      <c r="C2106" t="str">
        <f>IFERROR(__xludf.DUMMYFUNCTION("""COMPUTED_VALUE"""),"Fish")</f>
        <v>Fish</v>
      </c>
      <c r="D2106">
        <f>IFERROR(__xludf.DUMMYFUNCTION("""COMPUTED_VALUE"""),136.0)</f>
        <v>136</v>
      </c>
      <c r="E2106">
        <f>IFERROR(__xludf.DUMMYFUNCTION("""COMPUTED_VALUE"""),4.21)</f>
        <v>4.21</v>
      </c>
      <c r="F2106">
        <f>IFERROR(__xludf.DUMMYFUNCTION("""COMPUTED_VALUE"""),24.62)</f>
        <v>24.62</v>
      </c>
      <c r="G2106">
        <f>IFERROR(__xludf.DUMMYFUNCTION("""COMPUTED_VALUE"""),0.0)</f>
        <v>0</v>
      </c>
    </row>
    <row r="2107">
      <c r="A2107">
        <f>IFERROR(__xludf.DUMMYFUNCTION("""COMPUTED_VALUE"""),173725.0)</f>
        <v>173725</v>
      </c>
      <c r="B2107" t="str">
        <f>IFERROR(__xludf.DUMMYFUNCTION("""COMPUTED_VALUE"""),"Fish Pollock Alaska Raw (Not Previously Frozen)")</f>
        <v>Fish Pollock Alaska Raw (Not Previously Frozen)</v>
      </c>
      <c r="C2107" t="str">
        <f>IFERROR(__xludf.DUMMYFUNCTION("""COMPUTED_VALUE"""),"Fish")</f>
        <v>Fish</v>
      </c>
      <c r="D2107">
        <f>IFERROR(__xludf.DUMMYFUNCTION("""COMPUTED_VALUE"""),76.0)</f>
        <v>76</v>
      </c>
      <c r="E2107">
        <f>IFERROR(__xludf.DUMMYFUNCTION("""COMPUTED_VALUE"""),0.82)</f>
        <v>0.82</v>
      </c>
      <c r="F2107">
        <f>IFERROR(__xludf.DUMMYFUNCTION("""COMPUTED_VALUE"""),17.17)</f>
        <v>17.17</v>
      </c>
      <c r="G2107">
        <f>IFERROR(__xludf.DUMMYFUNCTION("""COMPUTED_VALUE"""),0.0)</f>
        <v>0</v>
      </c>
    </row>
    <row r="2108">
      <c r="A2108">
        <f>IFERROR(__xludf.DUMMYFUNCTION("""COMPUTED_VALUE"""),173726.0)</f>
        <v>173726</v>
      </c>
      <c r="B2108" t="str">
        <f>IFERROR(__xludf.DUMMYFUNCTION("""COMPUTED_VALUE"""),"Fish Pollock Alaska Cooked (Not Previously Frozen)")</f>
        <v>Fish Pollock Alaska Cooked (Not Previously Frozen)</v>
      </c>
      <c r="C2108" t="str">
        <f>IFERROR(__xludf.DUMMYFUNCTION("""COMPUTED_VALUE"""),"Fish")</f>
        <v>Fish</v>
      </c>
      <c r="D2108">
        <f>IFERROR(__xludf.DUMMYFUNCTION("""COMPUTED_VALUE"""),86.616)</f>
        <v>86.616</v>
      </c>
      <c r="E2108">
        <f>IFERROR(__xludf.DUMMYFUNCTION("""COMPUTED_VALUE"""),0.995)</f>
        <v>0.995</v>
      </c>
      <c r="F2108">
        <f>IFERROR(__xludf.DUMMYFUNCTION("""COMPUTED_VALUE"""),19.42)</f>
        <v>19.42</v>
      </c>
      <c r="G2108">
        <f>IFERROR(__xludf.DUMMYFUNCTION("""COMPUTED_VALUE"""),0.0)</f>
        <v>0</v>
      </c>
    </row>
    <row r="2109">
      <c r="A2109">
        <f>IFERROR(__xludf.DUMMYFUNCTION("""COMPUTED_VALUE"""),173810.0)</f>
        <v>173810</v>
      </c>
      <c r="B2109" t="str">
        <f>IFERROR(__xludf.DUMMYFUNCTION("""COMPUTED_VALUE"""),"Lamb New Zealand Imported Loin Chop Separable Lean Only Raw")</f>
        <v>Lamb New Zealand Imported Loin Chop Separable Lean Only Raw</v>
      </c>
      <c r="C2109" t="str">
        <f>IFERROR(__xludf.DUMMYFUNCTION("""COMPUTED_VALUE"""),"Meats")</f>
        <v>Meats</v>
      </c>
      <c r="D2109">
        <f>IFERROR(__xludf.DUMMYFUNCTION("""COMPUTED_VALUE"""),142.0)</f>
        <v>142</v>
      </c>
      <c r="E2109">
        <f>IFERROR(__xludf.DUMMYFUNCTION("""COMPUTED_VALUE"""),6.88)</f>
        <v>6.88</v>
      </c>
      <c r="F2109">
        <f>IFERROR(__xludf.DUMMYFUNCTION("""COMPUTED_VALUE"""),19.98)</f>
        <v>19.98</v>
      </c>
      <c r="G2109">
        <f>IFERROR(__xludf.DUMMYFUNCTION("""COMPUTED_VALUE"""),0.0)</f>
        <v>0</v>
      </c>
    </row>
    <row r="2110">
      <c r="A2110">
        <f>IFERROR(__xludf.DUMMYFUNCTION("""COMPUTED_VALUE"""),173811.0)</f>
        <v>173811</v>
      </c>
      <c r="B2110" t="str">
        <f>IFERROR(__xludf.DUMMYFUNCTION("""COMPUTED_VALUE"""),"Lamb New Zealand Imported Frozen Loin Separable Lean Only Cooked Broiled")</f>
        <v>Lamb New Zealand Imported Frozen Loin Separable Lean Only Cooked Broiled</v>
      </c>
      <c r="C2110" t="str">
        <f>IFERROR(__xludf.DUMMYFUNCTION("""COMPUTED_VALUE"""),"Meats")</f>
        <v>Meats</v>
      </c>
      <c r="D2110">
        <f>IFERROR(__xludf.DUMMYFUNCTION("""COMPUTED_VALUE"""),199.0)</f>
        <v>199</v>
      </c>
      <c r="E2110">
        <f>IFERROR(__xludf.DUMMYFUNCTION("""COMPUTED_VALUE"""),8.24)</f>
        <v>8.24</v>
      </c>
      <c r="F2110">
        <f>IFERROR(__xludf.DUMMYFUNCTION("""COMPUTED_VALUE"""),29.31)</f>
        <v>29.31</v>
      </c>
      <c r="G2110">
        <f>IFERROR(__xludf.DUMMYFUNCTION("""COMPUTED_VALUE"""),0.0)</f>
        <v>0</v>
      </c>
    </row>
    <row r="2111">
      <c r="A2111">
        <f>IFERROR(__xludf.DUMMYFUNCTION("""COMPUTED_VALUE"""),173812.0)</f>
        <v>173812</v>
      </c>
      <c r="B2111" t="str">
        <f>IFERROR(__xludf.DUMMYFUNCTION("""COMPUTED_VALUE"""),"Lamb New Zealand Imported Rack - Partly Frenched Separable Lean And Fat Raw")</f>
        <v>Lamb New Zealand Imported Rack - Partly Frenched Separable Lean And Fat Raw</v>
      </c>
      <c r="C2111" t="str">
        <f>IFERROR(__xludf.DUMMYFUNCTION("""COMPUTED_VALUE"""),"Meats")</f>
        <v>Meats</v>
      </c>
      <c r="D2111">
        <f>IFERROR(__xludf.DUMMYFUNCTION("""COMPUTED_VALUE"""),240.0)</f>
        <v>240</v>
      </c>
      <c r="E2111">
        <f>IFERROR(__xludf.DUMMYFUNCTION("""COMPUTED_VALUE"""),18.52)</f>
        <v>18.52</v>
      </c>
      <c r="F2111">
        <f>IFERROR(__xludf.DUMMYFUNCTION("""COMPUTED_VALUE"""),18.12)</f>
        <v>18.12</v>
      </c>
      <c r="G2111">
        <f>IFERROR(__xludf.DUMMYFUNCTION("""COMPUTED_VALUE"""),0.13)</f>
        <v>0.13</v>
      </c>
    </row>
    <row r="2112">
      <c r="A2112">
        <f>IFERROR(__xludf.DUMMYFUNCTION("""COMPUTED_VALUE"""),173813.0)</f>
        <v>173813</v>
      </c>
      <c r="B2112" t="str">
        <f>IFERROR(__xludf.DUMMYFUNCTION("""COMPUTED_VALUE"""),"Lamb New Zealand Imported Rack - Partly Frenched Separable Lean And Fat Cooked Fast Roasted")</f>
        <v>Lamb New Zealand Imported Rack - Partly Frenched Separable Lean And Fat Cooked Fast Roasted</v>
      </c>
      <c r="C2112" t="str">
        <f>IFERROR(__xludf.DUMMYFUNCTION("""COMPUTED_VALUE"""),"Meats")</f>
        <v>Meats</v>
      </c>
      <c r="D2112">
        <f>IFERROR(__xludf.DUMMYFUNCTION("""COMPUTED_VALUE"""),253.0)</f>
        <v>253</v>
      </c>
      <c r="E2112">
        <f>IFERROR(__xludf.DUMMYFUNCTION("""COMPUTED_VALUE"""),18.29)</f>
        <v>18.29</v>
      </c>
      <c r="F2112">
        <f>IFERROR(__xludf.DUMMYFUNCTION("""COMPUTED_VALUE"""),22.06)</f>
        <v>22.06</v>
      </c>
      <c r="G2112">
        <f>IFERROR(__xludf.DUMMYFUNCTION("""COMPUTED_VALUE"""),0.04)</f>
        <v>0.04</v>
      </c>
    </row>
    <row r="2113">
      <c r="A2113">
        <f>IFERROR(__xludf.DUMMYFUNCTION("""COMPUTED_VALUE"""),173814.0)</f>
        <v>173814</v>
      </c>
      <c r="B2113" t="str">
        <f>IFERROR(__xludf.DUMMYFUNCTION("""COMPUTED_VALUE"""),"Lamb New Zealand Imported Frozen Shoulder Whole (Arm And Blade) Separable Lean Only Cooked Braised")</f>
        <v>Lamb New Zealand Imported Frozen Shoulder Whole (Arm And Blade) Separable Lean Only Cooked Braised</v>
      </c>
      <c r="C2113" t="str">
        <f>IFERROR(__xludf.DUMMYFUNCTION("""COMPUTED_VALUE"""),"Meats")</f>
        <v>Meats</v>
      </c>
      <c r="D2113">
        <f>IFERROR(__xludf.DUMMYFUNCTION("""COMPUTED_VALUE"""),285.0)</f>
        <v>285</v>
      </c>
      <c r="E2113">
        <f>IFERROR(__xludf.DUMMYFUNCTION("""COMPUTED_VALUE"""),15.5)</f>
        <v>15.5</v>
      </c>
      <c r="F2113">
        <f>IFERROR(__xludf.DUMMYFUNCTION("""COMPUTED_VALUE"""),34.06)</f>
        <v>34.06</v>
      </c>
      <c r="G2113">
        <f>IFERROR(__xludf.DUMMYFUNCTION("""COMPUTED_VALUE"""),0.0)</f>
        <v>0</v>
      </c>
    </row>
    <row r="2114">
      <c r="A2114">
        <f>IFERROR(__xludf.DUMMYFUNCTION("""COMPUTED_VALUE"""),173815.0)</f>
        <v>173815</v>
      </c>
      <c r="B2114" t="str">
        <f>IFERROR(__xludf.DUMMYFUNCTION("""COMPUTED_VALUE"""),"Veal Composite Of Trimmed Retail Cuts Separable Lean And Fat Raw")</f>
        <v>Veal Composite Of Trimmed Retail Cuts Separable Lean And Fat Raw</v>
      </c>
      <c r="C2114" t="str">
        <f>IFERROR(__xludf.DUMMYFUNCTION("""COMPUTED_VALUE"""),"Meats")</f>
        <v>Meats</v>
      </c>
      <c r="D2114">
        <f>IFERROR(__xludf.DUMMYFUNCTION("""COMPUTED_VALUE"""),144.0)</f>
        <v>144</v>
      </c>
      <c r="E2114">
        <f>IFERROR(__xludf.DUMMYFUNCTION("""COMPUTED_VALUE"""),6.77)</f>
        <v>6.77</v>
      </c>
      <c r="F2114">
        <f>IFERROR(__xludf.DUMMYFUNCTION("""COMPUTED_VALUE"""),19.35)</f>
        <v>19.35</v>
      </c>
      <c r="G2114">
        <f>IFERROR(__xludf.DUMMYFUNCTION("""COMPUTED_VALUE"""),0.0)</f>
        <v>0</v>
      </c>
    </row>
    <row r="2115">
      <c r="A2115">
        <f>IFERROR(__xludf.DUMMYFUNCTION("""COMPUTED_VALUE"""),173816.0)</f>
        <v>173816</v>
      </c>
      <c r="B2115" t="str">
        <f>IFERROR(__xludf.DUMMYFUNCTION("""COMPUTED_VALUE"""),"Veal Composite Of Trimmed Retail Cuts Separable Lean And Fat Cooked")</f>
        <v>Veal Composite Of Trimmed Retail Cuts Separable Lean And Fat Cooked</v>
      </c>
      <c r="C2115" t="str">
        <f>IFERROR(__xludf.DUMMYFUNCTION("""COMPUTED_VALUE"""),"Meats")</f>
        <v>Meats</v>
      </c>
      <c r="D2115">
        <f>IFERROR(__xludf.DUMMYFUNCTION("""COMPUTED_VALUE"""),231.0)</f>
        <v>231</v>
      </c>
      <c r="E2115">
        <f>IFERROR(__xludf.DUMMYFUNCTION("""COMPUTED_VALUE"""),11.39)</f>
        <v>11.39</v>
      </c>
      <c r="F2115">
        <f>IFERROR(__xludf.DUMMYFUNCTION("""COMPUTED_VALUE"""),30.1)</f>
        <v>30.1</v>
      </c>
      <c r="G2115">
        <f>IFERROR(__xludf.DUMMYFUNCTION("""COMPUTED_VALUE"""),0.0)</f>
        <v>0</v>
      </c>
    </row>
    <row r="2116">
      <c r="A2116">
        <f>IFERROR(__xludf.DUMMYFUNCTION("""COMPUTED_VALUE"""),173817.0)</f>
        <v>173817</v>
      </c>
      <c r="B2116" t="str">
        <f>IFERROR(__xludf.DUMMYFUNCTION("""COMPUTED_VALUE"""),"Veal Composite Of Trimmed Retail Cuts Separable Lean Only Raw")</f>
        <v>Veal Composite Of Trimmed Retail Cuts Separable Lean Only Raw</v>
      </c>
      <c r="C2116" t="str">
        <f>IFERROR(__xludf.DUMMYFUNCTION("""COMPUTED_VALUE"""),"Meats")</f>
        <v>Meats</v>
      </c>
      <c r="D2116">
        <f>IFERROR(__xludf.DUMMYFUNCTION("""COMPUTED_VALUE"""),112.0)</f>
        <v>112</v>
      </c>
      <c r="E2116">
        <f>IFERROR(__xludf.DUMMYFUNCTION("""COMPUTED_VALUE"""),2.87)</f>
        <v>2.87</v>
      </c>
      <c r="F2116">
        <f>IFERROR(__xludf.DUMMYFUNCTION("""COMPUTED_VALUE"""),20.2)</f>
        <v>20.2</v>
      </c>
      <c r="G2116">
        <f>IFERROR(__xludf.DUMMYFUNCTION("""COMPUTED_VALUE"""),0.0)</f>
        <v>0</v>
      </c>
    </row>
    <row r="2117">
      <c r="A2117">
        <f>IFERROR(__xludf.DUMMYFUNCTION("""COMPUTED_VALUE"""),173818.0)</f>
        <v>173818</v>
      </c>
      <c r="B2117" t="str">
        <f>IFERROR(__xludf.DUMMYFUNCTION("""COMPUTED_VALUE"""),"Veal Leg (Top Round) Separable Lean And Fat Cooked Braised")</f>
        <v>Veal Leg (Top Round) Separable Lean And Fat Cooked Braised</v>
      </c>
      <c r="C2117" t="str">
        <f>IFERROR(__xludf.DUMMYFUNCTION("""COMPUTED_VALUE"""),"Meats")</f>
        <v>Meats</v>
      </c>
      <c r="D2117">
        <f>IFERROR(__xludf.DUMMYFUNCTION("""COMPUTED_VALUE"""),211.0)</f>
        <v>211</v>
      </c>
      <c r="E2117">
        <f>IFERROR(__xludf.DUMMYFUNCTION("""COMPUTED_VALUE"""),6.33)</f>
        <v>6.33</v>
      </c>
      <c r="F2117">
        <f>IFERROR(__xludf.DUMMYFUNCTION("""COMPUTED_VALUE"""),36.16)</f>
        <v>36.16</v>
      </c>
      <c r="G2117">
        <f>IFERROR(__xludf.DUMMYFUNCTION("""COMPUTED_VALUE"""),0.0)</f>
        <v>0</v>
      </c>
    </row>
    <row r="2118">
      <c r="A2118">
        <f>IFERROR(__xludf.DUMMYFUNCTION("""COMPUTED_VALUE"""),173819.0)</f>
        <v>173819</v>
      </c>
      <c r="B2118" t="str">
        <f>IFERROR(__xludf.DUMMYFUNCTION("""COMPUTED_VALUE"""),"Veal Leg (Top Round) Separable Lean And Fat Cooked Pan-Fried Breaded")</f>
        <v>Veal Leg (Top Round) Separable Lean And Fat Cooked Pan-Fried Breaded</v>
      </c>
      <c r="C2118" t="str">
        <f>IFERROR(__xludf.DUMMYFUNCTION("""COMPUTED_VALUE"""),"Meats")</f>
        <v>Meats</v>
      </c>
      <c r="D2118">
        <f>IFERROR(__xludf.DUMMYFUNCTION("""COMPUTED_VALUE"""),238.0)</f>
        <v>238</v>
      </c>
      <c r="E2118">
        <f>IFERROR(__xludf.DUMMYFUNCTION("""COMPUTED_VALUE"""),9.18)</f>
        <v>9.18</v>
      </c>
      <c r="F2118">
        <f>IFERROR(__xludf.DUMMYFUNCTION("""COMPUTED_VALUE"""),27.29)</f>
        <v>27.29</v>
      </c>
      <c r="G2118">
        <f>IFERROR(__xludf.DUMMYFUNCTION("""COMPUTED_VALUE"""),9.91)</f>
        <v>9.91</v>
      </c>
    </row>
    <row r="2119">
      <c r="A2119">
        <f>IFERROR(__xludf.DUMMYFUNCTION("""COMPUTED_VALUE"""),173820.0)</f>
        <v>173820</v>
      </c>
      <c r="B2119" t="str">
        <f>IFERROR(__xludf.DUMMYFUNCTION("""COMPUTED_VALUE"""),"Veal Leg (Top Round) Separable Lean And Fat Cooked Pan-Fried Not Breaded")</f>
        <v>Veal Leg (Top Round) Separable Lean And Fat Cooked Pan-Fried Not Breaded</v>
      </c>
      <c r="C2119" t="str">
        <f>IFERROR(__xludf.DUMMYFUNCTION("""COMPUTED_VALUE"""),"Meats")</f>
        <v>Meats</v>
      </c>
      <c r="D2119">
        <f>IFERROR(__xludf.DUMMYFUNCTION("""COMPUTED_VALUE"""),211.0)</f>
        <v>211</v>
      </c>
      <c r="E2119">
        <f>IFERROR(__xludf.DUMMYFUNCTION("""COMPUTED_VALUE"""),8.35)</f>
        <v>8.35</v>
      </c>
      <c r="F2119">
        <f>IFERROR(__xludf.DUMMYFUNCTION("""COMPUTED_VALUE"""),31.75)</f>
        <v>31.75</v>
      </c>
      <c r="G2119">
        <f>IFERROR(__xludf.DUMMYFUNCTION("""COMPUTED_VALUE"""),0.0)</f>
        <v>0</v>
      </c>
    </row>
    <row r="2120">
      <c r="A2120">
        <f>IFERROR(__xludf.DUMMYFUNCTION("""COMPUTED_VALUE"""),173821.0)</f>
        <v>173821</v>
      </c>
      <c r="B2120" t="str">
        <f>IFERROR(__xludf.DUMMYFUNCTION("""COMPUTED_VALUE"""),"Veal Leg (Top Round) Separable Lean And Fat Cooked Roasted")</f>
        <v>Veal Leg (Top Round) Separable Lean And Fat Cooked Roasted</v>
      </c>
      <c r="C2120" t="str">
        <f>IFERROR(__xludf.DUMMYFUNCTION("""COMPUTED_VALUE"""),"Meats")</f>
        <v>Meats</v>
      </c>
      <c r="D2120">
        <f>IFERROR(__xludf.DUMMYFUNCTION("""COMPUTED_VALUE"""),160.0)</f>
        <v>160</v>
      </c>
      <c r="E2120">
        <f>IFERROR(__xludf.DUMMYFUNCTION("""COMPUTED_VALUE"""),4.65)</f>
        <v>4.65</v>
      </c>
      <c r="F2120">
        <f>IFERROR(__xludf.DUMMYFUNCTION("""COMPUTED_VALUE"""),27.7)</f>
        <v>27.7</v>
      </c>
      <c r="G2120">
        <f>IFERROR(__xludf.DUMMYFUNCTION("""COMPUTED_VALUE"""),0.0)</f>
        <v>0</v>
      </c>
    </row>
    <row r="2121">
      <c r="A2121">
        <f>IFERROR(__xludf.DUMMYFUNCTION("""COMPUTED_VALUE"""),173822.0)</f>
        <v>173822</v>
      </c>
      <c r="B2121" t="str">
        <f>IFERROR(__xludf.DUMMYFUNCTION("""COMPUTED_VALUE"""),"Veal Leg (Top Round) Separable Lean Only Cooked Roasted")</f>
        <v>Veal Leg (Top Round) Separable Lean Only Cooked Roasted</v>
      </c>
      <c r="C2121" t="str">
        <f>IFERROR(__xludf.DUMMYFUNCTION("""COMPUTED_VALUE"""),"Meats")</f>
        <v>Meats</v>
      </c>
      <c r="D2121">
        <f>IFERROR(__xludf.DUMMYFUNCTION("""COMPUTED_VALUE"""),150.0)</f>
        <v>150</v>
      </c>
      <c r="E2121">
        <f>IFERROR(__xludf.DUMMYFUNCTION("""COMPUTED_VALUE"""),3.39)</f>
        <v>3.39</v>
      </c>
      <c r="F2121">
        <f>IFERROR(__xludf.DUMMYFUNCTION("""COMPUTED_VALUE"""),28.07)</f>
        <v>28.07</v>
      </c>
      <c r="G2121">
        <f>IFERROR(__xludf.DUMMYFUNCTION("""COMPUTED_VALUE"""),0.0)</f>
        <v>0</v>
      </c>
    </row>
    <row r="2122">
      <c r="A2122">
        <f>IFERROR(__xludf.DUMMYFUNCTION("""COMPUTED_VALUE"""),173823.0)</f>
        <v>173823</v>
      </c>
      <c r="B2122" t="str">
        <f>IFERROR(__xludf.DUMMYFUNCTION("""COMPUTED_VALUE"""),"Veal Loin Separable Lean And Fat Raw")</f>
        <v>Veal Loin Separable Lean And Fat Raw</v>
      </c>
      <c r="C2122" t="str">
        <f>IFERROR(__xludf.DUMMYFUNCTION("""COMPUTED_VALUE"""),"Meats")</f>
        <v>Meats</v>
      </c>
      <c r="D2122">
        <f>IFERROR(__xludf.DUMMYFUNCTION("""COMPUTED_VALUE"""),177.0)</f>
        <v>177</v>
      </c>
      <c r="E2122">
        <f>IFERROR(__xludf.DUMMYFUNCTION("""COMPUTED_VALUE"""),10.07)</f>
        <v>10.07</v>
      </c>
      <c r="F2122">
        <f>IFERROR(__xludf.DUMMYFUNCTION("""COMPUTED_VALUE"""),20.07)</f>
        <v>20.07</v>
      </c>
      <c r="G2122">
        <f>IFERROR(__xludf.DUMMYFUNCTION("""COMPUTED_VALUE"""),0.07)</f>
        <v>0.07</v>
      </c>
    </row>
    <row r="2123">
      <c r="A2123">
        <f>IFERROR(__xludf.DUMMYFUNCTION("""COMPUTED_VALUE"""),173824.0)</f>
        <v>173824</v>
      </c>
      <c r="B2123" t="str">
        <f>IFERROR(__xludf.DUMMYFUNCTION("""COMPUTED_VALUE"""),"Veal Loin Separable Lean And Fat Cooked Braised")</f>
        <v>Veal Loin Separable Lean And Fat Cooked Braised</v>
      </c>
      <c r="C2123" t="str">
        <f>IFERROR(__xludf.DUMMYFUNCTION("""COMPUTED_VALUE"""),"Meats")</f>
        <v>Meats</v>
      </c>
      <c r="D2123">
        <f>IFERROR(__xludf.DUMMYFUNCTION("""COMPUTED_VALUE"""),284.0)</f>
        <v>284</v>
      </c>
      <c r="E2123">
        <f>IFERROR(__xludf.DUMMYFUNCTION("""COMPUTED_VALUE"""),17.21)</f>
        <v>17.21</v>
      </c>
      <c r="F2123">
        <f>IFERROR(__xludf.DUMMYFUNCTION("""COMPUTED_VALUE"""),30.19)</f>
        <v>30.19</v>
      </c>
      <c r="G2123">
        <f>IFERROR(__xludf.DUMMYFUNCTION("""COMPUTED_VALUE"""),0.0)</f>
        <v>0</v>
      </c>
    </row>
    <row r="2124">
      <c r="A2124">
        <f>IFERROR(__xludf.DUMMYFUNCTION("""COMPUTED_VALUE"""),173825.0)</f>
        <v>173825</v>
      </c>
      <c r="B2124" t="str">
        <f>IFERROR(__xludf.DUMMYFUNCTION("""COMPUTED_VALUE"""),"Veal Loin Separable Lean And Fat Cooked Roasted")</f>
        <v>Veal Loin Separable Lean And Fat Cooked Roasted</v>
      </c>
      <c r="C2124" t="str">
        <f>IFERROR(__xludf.DUMMYFUNCTION("""COMPUTED_VALUE"""),"Meats")</f>
        <v>Meats</v>
      </c>
      <c r="D2124">
        <f>IFERROR(__xludf.DUMMYFUNCTION("""COMPUTED_VALUE"""),217.0)</f>
        <v>217</v>
      </c>
      <c r="E2124">
        <f>IFERROR(__xludf.DUMMYFUNCTION("""COMPUTED_VALUE"""),12.32)</f>
        <v>12.32</v>
      </c>
      <c r="F2124">
        <f>IFERROR(__xludf.DUMMYFUNCTION("""COMPUTED_VALUE"""),24.8)</f>
        <v>24.8</v>
      </c>
      <c r="G2124">
        <f>IFERROR(__xludf.DUMMYFUNCTION("""COMPUTED_VALUE"""),0.0)</f>
        <v>0</v>
      </c>
    </row>
    <row r="2125">
      <c r="A2125">
        <f>IFERROR(__xludf.DUMMYFUNCTION("""COMPUTED_VALUE"""),173826.0)</f>
        <v>173826</v>
      </c>
      <c r="B2125" t="str">
        <f>IFERROR(__xludf.DUMMYFUNCTION("""COMPUTED_VALUE"""),"Veal Loin Separable Lean Only Raw")</f>
        <v>Veal Loin Separable Lean Only Raw</v>
      </c>
      <c r="C2125" t="str">
        <f>IFERROR(__xludf.DUMMYFUNCTION("""COMPUTED_VALUE"""),"Meats")</f>
        <v>Meats</v>
      </c>
      <c r="D2125">
        <f>IFERROR(__xludf.DUMMYFUNCTION("""COMPUTED_VALUE"""),114.0)</f>
        <v>114</v>
      </c>
      <c r="E2125">
        <f>IFERROR(__xludf.DUMMYFUNCTION("""COMPUTED_VALUE"""),2.9)</f>
        <v>2.9</v>
      </c>
      <c r="F2125">
        <f>IFERROR(__xludf.DUMMYFUNCTION("""COMPUTED_VALUE"""),21.85)</f>
        <v>21.85</v>
      </c>
      <c r="G2125">
        <f>IFERROR(__xludf.DUMMYFUNCTION("""COMPUTED_VALUE"""),0.0)</f>
        <v>0</v>
      </c>
    </row>
    <row r="2126">
      <c r="A2126">
        <f>IFERROR(__xludf.DUMMYFUNCTION("""COMPUTED_VALUE"""),173827.0)</f>
        <v>173827</v>
      </c>
      <c r="B2126" t="str">
        <f>IFERROR(__xludf.DUMMYFUNCTION("""COMPUTED_VALUE"""),"Veal Rib Separable Lean And Fat Cooked Roasted")</f>
        <v>Veal Rib Separable Lean And Fat Cooked Roasted</v>
      </c>
      <c r="C2126" t="str">
        <f>IFERROR(__xludf.DUMMYFUNCTION("""COMPUTED_VALUE"""),"Meats")</f>
        <v>Meats</v>
      </c>
      <c r="D2126">
        <f>IFERROR(__xludf.DUMMYFUNCTION("""COMPUTED_VALUE"""),228.0)</f>
        <v>228</v>
      </c>
      <c r="E2126">
        <f>IFERROR(__xludf.DUMMYFUNCTION("""COMPUTED_VALUE"""),13.96)</f>
        <v>13.96</v>
      </c>
      <c r="F2126">
        <f>IFERROR(__xludf.DUMMYFUNCTION("""COMPUTED_VALUE"""),23.96)</f>
        <v>23.96</v>
      </c>
      <c r="G2126">
        <f>IFERROR(__xludf.DUMMYFUNCTION("""COMPUTED_VALUE"""),0.0)</f>
        <v>0</v>
      </c>
    </row>
    <row r="2127">
      <c r="A2127">
        <f>IFERROR(__xludf.DUMMYFUNCTION("""COMPUTED_VALUE"""),173828.0)</f>
        <v>173828</v>
      </c>
      <c r="B2127" t="str">
        <f>IFERROR(__xludf.DUMMYFUNCTION("""COMPUTED_VALUE"""),"Veal Rib Separable Lean Only Raw")</f>
        <v>Veal Rib Separable Lean Only Raw</v>
      </c>
      <c r="C2127" t="str">
        <f>IFERROR(__xludf.DUMMYFUNCTION("""COMPUTED_VALUE"""),"Meats")</f>
        <v>Meats</v>
      </c>
      <c r="D2127">
        <f>IFERROR(__xludf.DUMMYFUNCTION("""COMPUTED_VALUE"""),120.0)</f>
        <v>120</v>
      </c>
      <c r="E2127">
        <f>IFERROR(__xludf.DUMMYFUNCTION("""COMPUTED_VALUE"""),3.89)</f>
        <v>3.89</v>
      </c>
      <c r="F2127">
        <f>IFERROR(__xludf.DUMMYFUNCTION("""COMPUTED_VALUE"""),19.97)</f>
        <v>19.97</v>
      </c>
      <c r="G2127">
        <f>IFERROR(__xludf.DUMMYFUNCTION("""COMPUTED_VALUE"""),0.0)</f>
        <v>0</v>
      </c>
    </row>
    <row r="2128">
      <c r="A2128">
        <f>IFERROR(__xludf.DUMMYFUNCTION("""COMPUTED_VALUE"""),173829.0)</f>
        <v>173829</v>
      </c>
      <c r="B2128" t="str">
        <f>IFERROR(__xludf.DUMMYFUNCTION("""COMPUTED_VALUE"""),"Veal Rib Separable Lean Only Cooked Braised")</f>
        <v>Veal Rib Separable Lean Only Cooked Braised</v>
      </c>
      <c r="C2128" t="str">
        <f>IFERROR(__xludf.DUMMYFUNCTION("""COMPUTED_VALUE"""),"Meats")</f>
        <v>Meats</v>
      </c>
      <c r="D2128">
        <f>IFERROR(__xludf.DUMMYFUNCTION("""COMPUTED_VALUE"""),218.0)</f>
        <v>218</v>
      </c>
      <c r="E2128">
        <f>IFERROR(__xludf.DUMMYFUNCTION("""COMPUTED_VALUE"""),7.81)</f>
        <v>7.81</v>
      </c>
      <c r="F2128">
        <f>IFERROR(__xludf.DUMMYFUNCTION("""COMPUTED_VALUE"""),34.44)</f>
        <v>34.44</v>
      </c>
      <c r="G2128">
        <f>IFERROR(__xludf.DUMMYFUNCTION("""COMPUTED_VALUE"""),0.0)</f>
        <v>0</v>
      </c>
    </row>
    <row r="2129">
      <c r="A2129">
        <f>IFERROR(__xludf.DUMMYFUNCTION("""COMPUTED_VALUE"""),173830.0)</f>
        <v>173830</v>
      </c>
      <c r="B2129" t="str">
        <f>IFERROR(__xludf.DUMMYFUNCTION("""COMPUTED_VALUE"""),"Veal Rib Separable Lean Only Cooked Roasted")</f>
        <v>Veal Rib Separable Lean Only Cooked Roasted</v>
      </c>
      <c r="C2129" t="str">
        <f>IFERROR(__xludf.DUMMYFUNCTION("""COMPUTED_VALUE"""),"Meats")</f>
        <v>Meats</v>
      </c>
      <c r="D2129">
        <f>IFERROR(__xludf.DUMMYFUNCTION("""COMPUTED_VALUE"""),177.0)</f>
        <v>177</v>
      </c>
      <c r="E2129">
        <f>IFERROR(__xludf.DUMMYFUNCTION("""COMPUTED_VALUE"""),7.44)</f>
        <v>7.44</v>
      </c>
      <c r="F2129">
        <f>IFERROR(__xludf.DUMMYFUNCTION("""COMPUTED_VALUE"""),25.76)</f>
        <v>25.76</v>
      </c>
      <c r="G2129">
        <f>IFERROR(__xludf.DUMMYFUNCTION("""COMPUTED_VALUE"""),0.0)</f>
        <v>0</v>
      </c>
    </row>
    <row r="2130">
      <c r="A2130">
        <f>IFERROR(__xludf.DUMMYFUNCTION("""COMPUTED_VALUE"""),173831.0)</f>
        <v>173831</v>
      </c>
      <c r="B2130" t="str">
        <f>IFERROR(__xludf.DUMMYFUNCTION("""COMPUTED_VALUE"""),"Veal Shoulder Whole (Arm And Blade) Separable Lean Only Cooked Braised")</f>
        <v>Veal Shoulder Whole (Arm And Blade) Separable Lean Only Cooked Braised</v>
      </c>
      <c r="C2130" t="str">
        <f>IFERROR(__xludf.DUMMYFUNCTION("""COMPUTED_VALUE"""),"Meats")</f>
        <v>Meats</v>
      </c>
      <c r="D2130">
        <f>IFERROR(__xludf.DUMMYFUNCTION("""COMPUTED_VALUE"""),199.0)</f>
        <v>199</v>
      </c>
      <c r="E2130">
        <f>IFERROR(__xludf.DUMMYFUNCTION("""COMPUTED_VALUE"""),6.1)</f>
        <v>6.1</v>
      </c>
      <c r="F2130">
        <f>IFERROR(__xludf.DUMMYFUNCTION("""COMPUTED_VALUE"""),33.68)</f>
        <v>33.68</v>
      </c>
      <c r="G2130">
        <f>IFERROR(__xludf.DUMMYFUNCTION("""COMPUTED_VALUE"""),0.0)</f>
        <v>0</v>
      </c>
    </row>
    <row r="2131">
      <c r="A2131">
        <f>IFERROR(__xludf.DUMMYFUNCTION("""COMPUTED_VALUE"""),173832.0)</f>
        <v>173832</v>
      </c>
      <c r="B2131" t="str">
        <f>IFERROR(__xludf.DUMMYFUNCTION("""COMPUTED_VALUE"""),"Veal Shoulder Whole (Arm And Blade) Separable Lean Only Cooked Roasted")</f>
        <v>Veal Shoulder Whole (Arm And Blade) Separable Lean Only Cooked Roasted</v>
      </c>
      <c r="C2131" t="str">
        <f>IFERROR(__xludf.DUMMYFUNCTION("""COMPUTED_VALUE"""),"Meats")</f>
        <v>Meats</v>
      </c>
      <c r="D2131">
        <f>IFERROR(__xludf.DUMMYFUNCTION("""COMPUTED_VALUE"""),170.0)</f>
        <v>170</v>
      </c>
      <c r="E2131">
        <f>IFERROR(__xludf.DUMMYFUNCTION("""COMPUTED_VALUE"""),6.62)</f>
        <v>6.62</v>
      </c>
      <c r="F2131">
        <f>IFERROR(__xludf.DUMMYFUNCTION("""COMPUTED_VALUE"""),25.81)</f>
        <v>25.81</v>
      </c>
      <c r="G2131">
        <f>IFERROR(__xludf.DUMMYFUNCTION("""COMPUTED_VALUE"""),0.0)</f>
        <v>0</v>
      </c>
    </row>
    <row r="2132">
      <c r="A2132">
        <f>IFERROR(__xludf.DUMMYFUNCTION("""COMPUTED_VALUE"""),173833.0)</f>
        <v>173833</v>
      </c>
      <c r="B2132" t="str">
        <f>IFERROR(__xludf.DUMMYFUNCTION("""COMPUTED_VALUE"""),"Veal Shoulder Arm Separable Lean And Fat Raw")</f>
        <v>Veal Shoulder Arm Separable Lean And Fat Raw</v>
      </c>
      <c r="C2132" t="str">
        <f>IFERROR(__xludf.DUMMYFUNCTION("""COMPUTED_VALUE"""),"Meats")</f>
        <v>Meats</v>
      </c>
      <c r="D2132">
        <f>IFERROR(__xludf.DUMMYFUNCTION("""COMPUTED_VALUE"""),132.0)</f>
        <v>132</v>
      </c>
      <c r="E2132">
        <f>IFERROR(__xludf.DUMMYFUNCTION("""COMPUTED_VALUE"""),5.44)</f>
        <v>5.44</v>
      </c>
      <c r="F2132">
        <f>IFERROR(__xludf.DUMMYFUNCTION("""COMPUTED_VALUE"""),19.34)</f>
        <v>19.34</v>
      </c>
      <c r="G2132">
        <f>IFERROR(__xludf.DUMMYFUNCTION("""COMPUTED_VALUE"""),0.0)</f>
        <v>0</v>
      </c>
    </row>
    <row r="2133">
      <c r="A2133">
        <f>IFERROR(__xludf.DUMMYFUNCTION("""COMPUTED_VALUE"""),173834.0)</f>
        <v>173834</v>
      </c>
      <c r="B2133" t="str">
        <f>IFERROR(__xludf.DUMMYFUNCTION("""COMPUTED_VALUE"""),"Veal Shoulder Arm Separable Lean And Fat Cooked Braised")</f>
        <v>Veal Shoulder Arm Separable Lean And Fat Cooked Braised</v>
      </c>
      <c r="C2133" t="str">
        <f>IFERROR(__xludf.DUMMYFUNCTION("""COMPUTED_VALUE"""),"Meats")</f>
        <v>Meats</v>
      </c>
      <c r="D2133">
        <f>IFERROR(__xludf.DUMMYFUNCTION("""COMPUTED_VALUE"""),236.0)</f>
        <v>236</v>
      </c>
      <c r="E2133">
        <f>IFERROR(__xludf.DUMMYFUNCTION("""COMPUTED_VALUE"""),10.24)</f>
        <v>10.24</v>
      </c>
      <c r="F2133">
        <f>IFERROR(__xludf.DUMMYFUNCTION("""COMPUTED_VALUE"""),33.63)</f>
        <v>33.63</v>
      </c>
      <c r="G2133">
        <f>IFERROR(__xludf.DUMMYFUNCTION("""COMPUTED_VALUE"""),0.0)</f>
        <v>0</v>
      </c>
    </row>
    <row r="2134">
      <c r="A2134">
        <f>IFERROR(__xludf.DUMMYFUNCTION("""COMPUTED_VALUE"""),173835.0)</f>
        <v>173835</v>
      </c>
      <c r="B2134" t="str">
        <f>IFERROR(__xludf.DUMMYFUNCTION("""COMPUTED_VALUE"""),"Veal Shoulder Blade Chop Separable Lean And Fat Raw")</f>
        <v>Veal Shoulder Blade Chop Separable Lean And Fat Raw</v>
      </c>
      <c r="C2134" t="str">
        <f>IFERROR(__xludf.DUMMYFUNCTION("""COMPUTED_VALUE"""),"Meats")</f>
        <v>Meats</v>
      </c>
      <c r="D2134">
        <f>IFERROR(__xludf.DUMMYFUNCTION("""COMPUTED_VALUE"""),148.0)</f>
        <v>148</v>
      </c>
      <c r="E2134">
        <f>IFERROR(__xludf.DUMMYFUNCTION("""COMPUTED_VALUE"""),7.61)</f>
        <v>7.61</v>
      </c>
      <c r="F2134">
        <f>IFERROR(__xludf.DUMMYFUNCTION("""COMPUTED_VALUE"""),18.72)</f>
        <v>18.72</v>
      </c>
      <c r="G2134">
        <f>IFERROR(__xludf.DUMMYFUNCTION("""COMPUTED_VALUE"""),0.03)</f>
        <v>0.03</v>
      </c>
    </row>
    <row r="2135">
      <c r="A2135">
        <f>IFERROR(__xludf.DUMMYFUNCTION("""COMPUTED_VALUE"""),173836.0)</f>
        <v>173836</v>
      </c>
      <c r="B2135" t="str">
        <f>IFERROR(__xludf.DUMMYFUNCTION("""COMPUTED_VALUE"""),"Veal Shoulder Blade Separable Lean And Fat Cooked Braised")</f>
        <v>Veal Shoulder Blade Separable Lean And Fat Cooked Braised</v>
      </c>
      <c r="C2135" t="str">
        <f>IFERROR(__xludf.DUMMYFUNCTION("""COMPUTED_VALUE"""),"Meats")</f>
        <v>Meats</v>
      </c>
      <c r="D2135">
        <f>IFERROR(__xludf.DUMMYFUNCTION("""COMPUTED_VALUE"""),225.0)</f>
        <v>225</v>
      </c>
      <c r="E2135">
        <f>IFERROR(__xludf.DUMMYFUNCTION("""COMPUTED_VALUE"""),10.09)</f>
        <v>10.09</v>
      </c>
      <c r="F2135">
        <f>IFERROR(__xludf.DUMMYFUNCTION("""COMPUTED_VALUE"""),31.26)</f>
        <v>31.26</v>
      </c>
      <c r="G2135">
        <f>IFERROR(__xludf.DUMMYFUNCTION("""COMPUTED_VALUE"""),0.0)</f>
        <v>0</v>
      </c>
    </row>
    <row r="2136">
      <c r="A2136">
        <f>IFERROR(__xludf.DUMMYFUNCTION("""COMPUTED_VALUE"""),173837.0)</f>
        <v>173837</v>
      </c>
      <c r="B2136" t="str">
        <f>IFERROR(__xludf.DUMMYFUNCTION("""COMPUTED_VALUE"""),"Veal Shoulder Blade Separable Lean And Fat Cooked Roasted")</f>
        <v>Veal Shoulder Blade Separable Lean And Fat Cooked Roasted</v>
      </c>
      <c r="C2136" t="str">
        <f>IFERROR(__xludf.DUMMYFUNCTION("""COMPUTED_VALUE"""),"Meats")</f>
        <v>Meats</v>
      </c>
      <c r="D2136">
        <f>IFERROR(__xludf.DUMMYFUNCTION("""COMPUTED_VALUE"""),186.0)</f>
        <v>186</v>
      </c>
      <c r="E2136">
        <f>IFERROR(__xludf.DUMMYFUNCTION("""COMPUTED_VALUE"""),8.67)</f>
        <v>8.67</v>
      </c>
      <c r="F2136">
        <f>IFERROR(__xludf.DUMMYFUNCTION("""COMPUTED_VALUE"""),25.15)</f>
        <v>25.15</v>
      </c>
      <c r="G2136">
        <f>IFERROR(__xludf.DUMMYFUNCTION("""COMPUTED_VALUE"""),0.0)</f>
        <v>0</v>
      </c>
    </row>
    <row r="2137">
      <c r="A2137">
        <f>IFERROR(__xludf.DUMMYFUNCTION("""COMPUTED_VALUE"""),173838.0)</f>
        <v>173838</v>
      </c>
      <c r="B2137" t="str">
        <f>IFERROR(__xludf.DUMMYFUNCTION("""COMPUTED_VALUE"""),"Veal Shoulder Blade Chop Separable Lean Only Raw")</f>
        <v>Veal Shoulder Blade Chop Separable Lean Only Raw</v>
      </c>
      <c r="C2137" t="str">
        <f>IFERROR(__xludf.DUMMYFUNCTION("""COMPUTED_VALUE"""),"Meats")</f>
        <v>Meats</v>
      </c>
      <c r="D2137">
        <f>IFERROR(__xludf.DUMMYFUNCTION("""COMPUTED_VALUE"""),110.0)</f>
        <v>110</v>
      </c>
      <c r="E2137">
        <f>IFERROR(__xludf.DUMMYFUNCTION("""COMPUTED_VALUE"""),2.88)</f>
        <v>2.88</v>
      </c>
      <c r="F2137">
        <f>IFERROR(__xludf.DUMMYFUNCTION("""COMPUTED_VALUE"""),19.6)</f>
        <v>19.6</v>
      </c>
      <c r="G2137">
        <f>IFERROR(__xludf.DUMMYFUNCTION("""COMPUTED_VALUE"""),0.0)</f>
        <v>0</v>
      </c>
    </row>
    <row r="2138">
      <c r="A2138">
        <f>IFERROR(__xludf.DUMMYFUNCTION("""COMPUTED_VALUE"""),173839.0)</f>
        <v>173839</v>
      </c>
      <c r="B2138" t="str">
        <f>IFERROR(__xludf.DUMMYFUNCTION("""COMPUTED_VALUE"""),"Veal Shoulder Blade Separable Lean Only Cooked Braised")</f>
        <v>Veal Shoulder Blade Separable Lean Only Cooked Braised</v>
      </c>
      <c r="C2138" t="str">
        <f>IFERROR(__xludf.DUMMYFUNCTION("""COMPUTED_VALUE"""),"Meats")</f>
        <v>Meats</v>
      </c>
      <c r="D2138">
        <f>IFERROR(__xludf.DUMMYFUNCTION("""COMPUTED_VALUE"""),198.0)</f>
        <v>198</v>
      </c>
      <c r="E2138">
        <f>IFERROR(__xludf.DUMMYFUNCTION("""COMPUTED_VALUE"""),6.48)</f>
        <v>6.48</v>
      </c>
      <c r="F2138">
        <f>IFERROR(__xludf.DUMMYFUNCTION("""COMPUTED_VALUE"""),32.66)</f>
        <v>32.66</v>
      </c>
      <c r="G2138">
        <f>IFERROR(__xludf.DUMMYFUNCTION("""COMPUTED_VALUE"""),0.0)</f>
        <v>0</v>
      </c>
    </row>
    <row r="2139">
      <c r="A2139">
        <f>IFERROR(__xludf.DUMMYFUNCTION("""COMPUTED_VALUE"""),173840.0)</f>
        <v>173840</v>
      </c>
      <c r="B2139" t="str">
        <f>IFERROR(__xludf.DUMMYFUNCTION("""COMPUTED_VALUE"""),"Veal Sirloin Separable Lean Only Raw")</f>
        <v>Veal Sirloin Separable Lean Only Raw</v>
      </c>
      <c r="C2139" t="str">
        <f>IFERROR(__xludf.DUMMYFUNCTION("""COMPUTED_VALUE"""),"Meats")</f>
        <v>Meats</v>
      </c>
      <c r="D2139">
        <f>IFERROR(__xludf.DUMMYFUNCTION("""COMPUTED_VALUE"""),110.0)</f>
        <v>110</v>
      </c>
      <c r="E2139">
        <f>IFERROR(__xludf.DUMMYFUNCTION("""COMPUTED_VALUE"""),2.59)</f>
        <v>2.59</v>
      </c>
      <c r="F2139">
        <f>IFERROR(__xludf.DUMMYFUNCTION("""COMPUTED_VALUE"""),20.2)</f>
        <v>20.2</v>
      </c>
      <c r="G2139">
        <f>IFERROR(__xludf.DUMMYFUNCTION("""COMPUTED_VALUE"""),0.0)</f>
        <v>0</v>
      </c>
    </row>
    <row r="2140">
      <c r="A2140">
        <f>IFERROR(__xludf.DUMMYFUNCTION("""COMPUTED_VALUE"""),173841.0)</f>
        <v>173841</v>
      </c>
      <c r="B2140" t="str">
        <f>IFERROR(__xludf.DUMMYFUNCTION("""COMPUTED_VALUE"""),"Veal Sirloin Separable Lean Only Cooked Braised")</f>
        <v>Veal Sirloin Separable Lean Only Cooked Braised</v>
      </c>
      <c r="C2140" t="str">
        <f>IFERROR(__xludf.DUMMYFUNCTION("""COMPUTED_VALUE"""),"Meats")</f>
        <v>Meats</v>
      </c>
      <c r="D2140">
        <f>IFERROR(__xludf.DUMMYFUNCTION("""COMPUTED_VALUE"""),204.0)</f>
        <v>204</v>
      </c>
      <c r="E2140">
        <f>IFERROR(__xludf.DUMMYFUNCTION("""COMPUTED_VALUE"""),6.51)</f>
        <v>6.51</v>
      </c>
      <c r="F2140">
        <f>IFERROR(__xludf.DUMMYFUNCTION("""COMPUTED_VALUE"""),33.96)</f>
        <v>33.96</v>
      </c>
      <c r="G2140">
        <f>IFERROR(__xludf.DUMMYFUNCTION("""COMPUTED_VALUE"""),0.0)</f>
        <v>0</v>
      </c>
    </row>
    <row r="2141">
      <c r="A2141">
        <f>IFERROR(__xludf.DUMMYFUNCTION("""COMPUTED_VALUE"""),173842.0)</f>
        <v>173842</v>
      </c>
      <c r="B2141" t="str">
        <f>IFERROR(__xludf.DUMMYFUNCTION("""COMPUTED_VALUE"""),"Veal Sirloin Separable Lean Only Cooked Roasted")</f>
        <v>Veal Sirloin Separable Lean Only Cooked Roasted</v>
      </c>
      <c r="C2141" t="str">
        <f>IFERROR(__xludf.DUMMYFUNCTION("""COMPUTED_VALUE"""),"Meats")</f>
        <v>Meats</v>
      </c>
      <c r="D2141">
        <f>IFERROR(__xludf.DUMMYFUNCTION("""COMPUTED_VALUE"""),168.0)</f>
        <v>168</v>
      </c>
      <c r="E2141">
        <f>IFERROR(__xludf.DUMMYFUNCTION("""COMPUTED_VALUE"""),6.22)</f>
        <v>6.22</v>
      </c>
      <c r="F2141">
        <f>IFERROR(__xludf.DUMMYFUNCTION("""COMPUTED_VALUE"""),26.32)</f>
        <v>26.32</v>
      </c>
      <c r="G2141">
        <f>IFERROR(__xludf.DUMMYFUNCTION("""COMPUTED_VALUE"""),0.0)</f>
        <v>0</v>
      </c>
    </row>
    <row r="2142">
      <c r="A2142">
        <f>IFERROR(__xludf.DUMMYFUNCTION("""COMPUTED_VALUE"""),173843.0)</f>
        <v>173843</v>
      </c>
      <c r="B2142" t="str">
        <f>IFERROR(__xludf.DUMMYFUNCTION("""COMPUTED_VALUE"""),"Veal Cubed For Stew (Leg And Shoulder) Separable Lean Only Raw")</f>
        <v>Veal Cubed For Stew (Leg And Shoulder) Separable Lean Only Raw</v>
      </c>
      <c r="C2142" t="str">
        <f>IFERROR(__xludf.DUMMYFUNCTION("""COMPUTED_VALUE"""),"Meats")</f>
        <v>Meats</v>
      </c>
      <c r="D2142">
        <f>IFERROR(__xludf.DUMMYFUNCTION("""COMPUTED_VALUE"""),109.0)</f>
        <v>109</v>
      </c>
      <c r="E2142">
        <f>IFERROR(__xludf.DUMMYFUNCTION("""COMPUTED_VALUE"""),2.5)</f>
        <v>2.5</v>
      </c>
      <c r="F2142">
        <f>IFERROR(__xludf.DUMMYFUNCTION("""COMPUTED_VALUE"""),20.27)</f>
        <v>20.27</v>
      </c>
      <c r="G2142">
        <f>IFERROR(__xludf.DUMMYFUNCTION("""COMPUTED_VALUE"""),0.0)</f>
        <v>0</v>
      </c>
    </row>
    <row r="2143">
      <c r="A2143">
        <f>IFERROR(__xludf.DUMMYFUNCTION("""COMPUTED_VALUE"""),173844.0)</f>
        <v>173844</v>
      </c>
      <c r="B2143" t="str">
        <f>IFERROR(__xludf.DUMMYFUNCTION("""COMPUTED_VALUE"""),"Game Meat Antelope Cooked Roasted")</f>
        <v>Game Meat Antelope Cooked Roasted</v>
      </c>
      <c r="C2143" t="str">
        <f>IFERROR(__xludf.DUMMYFUNCTION("""COMPUTED_VALUE"""),"Meats")</f>
        <v>Meats</v>
      </c>
      <c r="D2143">
        <f>IFERROR(__xludf.DUMMYFUNCTION("""COMPUTED_VALUE"""),150.0)</f>
        <v>150</v>
      </c>
      <c r="E2143">
        <f>IFERROR(__xludf.DUMMYFUNCTION("""COMPUTED_VALUE"""),2.67)</f>
        <v>2.67</v>
      </c>
      <c r="F2143">
        <f>IFERROR(__xludf.DUMMYFUNCTION("""COMPUTED_VALUE"""),29.45)</f>
        <v>29.45</v>
      </c>
      <c r="G2143">
        <f>IFERROR(__xludf.DUMMYFUNCTION("""COMPUTED_VALUE"""),0.0)</f>
        <v>0</v>
      </c>
    </row>
    <row r="2144">
      <c r="A2144">
        <f>IFERROR(__xludf.DUMMYFUNCTION("""COMPUTED_VALUE"""),173845.0)</f>
        <v>173845</v>
      </c>
      <c r="B2144" t="str">
        <f>IFERROR(__xludf.DUMMYFUNCTION("""COMPUTED_VALUE"""),"Game Meat Bear Raw")</f>
        <v>Game Meat Bear Raw</v>
      </c>
      <c r="C2144" t="str">
        <f>IFERROR(__xludf.DUMMYFUNCTION("""COMPUTED_VALUE"""),"Meats")</f>
        <v>Meats</v>
      </c>
      <c r="D2144">
        <f>IFERROR(__xludf.DUMMYFUNCTION("""COMPUTED_VALUE"""),161.0)</f>
        <v>161</v>
      </c>
      <c r="E2144">
        <f>IFERROR(__xludf.DUMMYFUNCTION("""COMPUTED_VALUE"""),8.3)</f>
        <v>8.3</v>
      </c>
      <c r="F2144">
        <f>IFERROR(__xludf.DUMMYFUNCTION("""COMPUTED_VALUE"""),20.1)</f>
        <v>20.1</v>
      </c>
      <c r="G2144">
        <f>IFERROR(__xludf.DUMMYFUNCTION("""COMPUTED_VALUE"""),0.0)</f>
        <v>0</v>
      </c>
    </row>
    <row r="2145">
      <c r="A2145">
        <f>IFERROR(__xludf.DUMMYFUNCTION("""COMPUTED_VALUE"""),173846.0)</f>
        <v>173846</v>
      </c>
      <c r="B2145" t="str">
        <f>IFERROR(__xludf.DUMMYFUNCTION("""COMPUTED_VALUE"""),"Game Meat Bear Cooked Simmered")</f>
        <v>Game Meat Bear Cooked Simmered</v>
      </c>
      <c r="C2145" t="str">
        <f>IFERROR(__xludf.DUMMYFUNCTION("""COMPUTED_VALUE"""),"Meats")</f>
        <v>Meats</v>
      </c>
      <c r="D2145">
        <f>IFERROR(__xludf.DUMMYFUNCTION("""COMPUTED_VALUE"""),259.0)</f>
        <v>259</v>
      </c>
      <c r="E2145">
        <f>IFERROR(__xludf.DUMMYFUNCTION("""COMPUTED_VALUE"""),13.39)</f>
        <v>13.39</v>
      </c>
      <c r="F2145">
        <f>IFERROR(__xludf.DUMMYFUNCTION("""COMPUTED_VALUE"""),32.42)</f>
        <v>32.42</v>
      </c>
      <c r="G2145">
        <f>IFERROR(__xludf.DUMMYFUNCTION("""COMPUTED_VALUE"""),0.0)</f>
        <v>0</v>
      </c>
    </row>
    <row r="2146">
      <c r="A2146">
        <f>IFERROR(__xludf.DUMMYFUNCTION("""COMPUTED_VALUE"""),173847.0)</f>
        <v>173847</v>
      </c>
      <c r="B2146" t="str">
        <f>IFERROR(__xludf.DUMMYFUNCTION("""COMPUTED_VALUE"""),"Cooked Grass Fed Ground Bison (Buffalo)")</f>
        <v>Cooked Grass Fed Ground Bison (Buffalo)</v>
      </c>
      <c r="C2146" t="str">
        <f>IFERROR(__xludf.DUMMYFUNCTION("""COMPUTED_VALUE"""),"Meats")</f>
        <v>Meats</v>
      </c>
      <c r="D2146">
        <f>IFERROR(__xludf.DUMMYFUNCTION("""COMPUTED_VALUE"""),179.0)</f>
        <v>179</v>
      </c>
      <c r="E2146">
        <f>IFERROR(__xludf.DUMMYFUNCTION("""COMPUTED_VALUE"""),8.62)</f>
        <v>8.62</v>
      </c>
      <c r="F2146">
        <f>IFERROR(__xludf.DUMMYFUNCTION("""COMPUTED_VALUE"""),25.45)</f>
        <v>25.45</v>
      </c>
      <c r="G2146">
        <f>IFERROR(__xludf.DUMMYFUNCTION("""COMPUTED_VALUE"""),0.0)</f>
        <v>0</v>
      </c>
    </row>
    <row r="2147">
      <c r="A2147">
        <f>IFERROR(__xludf.DUMMYFUNCTION("""COMPUTED_VALUE"""),173848.0)</f>
        <v>173848</v>
      </c>
      <c r="B2147" t="str">
        <f>IFERROR(__xludf.DUMMYFUNCTION("""COMPUTED_VALUE"""),"Game Meat Beefalo Composite Of Cuts Cooked Roasted")</f>
        <v>Game Meat Beefalo Composite Of Cuts Cooked Roasted</v>
      </c>
      <c r="C2147" t="str">
        <f>IFERROR(__xludf.DUMMYFUNCTION("""COMPUTED_VALUE"""),"Meats")</f>
        <v>Meats</v>
      </c>
      <c r="D2147">
        <f>IFERROR(__xludf.DUMMYFUNCTION("""COMPUTED_VALUE"""),188.0)</f>
        <v>188</v>
      </c>
      <c r="E2147">
        <f>IFERROR(__xludf.DUMMYFUNCTION("""COMPUTED_VALUE"""),6.32)</f>
        <v>6.32</v>
      </c>
      <c r="F2147">
        <f>IFERROR(__xludf.DUMMYFUNCTION("""COMPUTED_VALUE"""),30.66)</f>
        <v>30.66</v>
      </c>
      <c r="G2147">
        <f>IFERROR(__xludf.DUMMYFUNCTION("""COMPUTED_VALUE"""),0.0)</f>
        <v>0</v>
      </c>
    </row>
    <row r="2148">
      <c r="A2148">
        <f>IFERROR(__xludf.DUMMYFUNCTION("""COMPUTED_VALUE"""),173849.0)</f>
        <v>173849</v>
      </c>
      <c r="B2148" t="str">
        <f>IFERROR(__xludf.DUMMYFUNCTION("""COMPUTED_VALUE"""),"Veal Australian Separable Fat Raw")</f>
        <v>Veal Australian Separable Fat Raw</v>
      </c>
      <c r="C2148" t="str">
        <f>IFERROR(__xludf.DUMMYFUNCTION("""COMPUTED_VALUE"""),"Meats")</f>
        <v>Meats</v>
      </c>
      <c r="D2148">
        <f>IFERROR(__xludf.DUMMYFUNCTION("""COMPUTED_VALUE"""),509.0)</f>
        <v>509</v>
      </c>
      <c r="E2148">
        <f>IFERROR(__xludf.DUMMYFUNCTION("""COMPUTED_VALUE"""),52.17)</f>
        <v>52.17</v>
      </c>
      <c r="F2148">
        <f>IFERROR(__xludf.DUMMYFUNCTION("""COMPUTED_VALUE"""),9.91)</f>
        <v>9.91</v>
      </c>
      <c r="G2148">
        <f>IFERROR(__xludf.DUMMYFUNCTION("""COMPUTED_VALUE"""),0.0)</f>
        <v>0</v>
      </c>
    </row>
    <row r="2149">
      <c r="A2149">
        <f>IFERROR(__xludf.DUMMYFUNCTION("""COMPUTED_VALUE"""),173850.0)</f>
        <v>173850</v>
      </c>
      <c r="B2149" t="str">
        <f>IFERROR(__xludf.DUMMYFUNCTION("""COMPUTED_VALUE"""),"Veal Australian Rib Rib Roast Separable Lean And Fat Raw")</f>
        <v>Veal Australian Rib Rib Roast Separable Lean And Fat Raw</v>
      </c>
      <c r="C2149" t="str">
        <f>IFERROR(__xludf.DUMMYFUNCTION("""COMPUTED_VALUE"""),"Meats")</f>
        <v>Meats</v>
      </c>
      <c r="D2149">
        <f>IFERROR(__xludf.DUMMYFUNCTION("""COMPUTED_VALUE"""),201.0)</f>
        <v>201</v>
      </c>
      <c r="E2149">
        <f>IFERROR(__xludf.DUMMYFUNCTION("""COMPUTED_VALUE"""),13.1)</f>
        <v>13.1</v>
      </c>
      <c r="F2149">
        <f>IFERROR(__xludf.DUMMYFUNCTION("""COMPUTED_VALUE"""),19.6)</f>
        <v>19.6</v>
      </c>
      <c r="G2149">
        <f>IFERROR(__xludf.DUMMYFUNCTION("""COMPUTED_VALUE"""),1.15)</f>
        <v>1.15</v>
      </c>
    </row>
    <row r="2150">
      <c r="A2150">
        <f>IFERROR(__xludf.DUMMYFUNCTION("""COMPUTED_VALUE"""),173851.0)</f>
        <v>173851</v>
      </c>
      <c r="B2150" t="str">
        <f>IFERROR(__xludf.DUMMYFUNCTION("""COMPUTED_VALUE"""),"Game Meat Bison Separable Lean Only Raw")</f>
        <v>Game Meat Bison Separable Lean Only Raw</v>
      </c>
      <c r="C2150" t="str">
        <f>IFERROR(__xludf.DUMMYFUNCTION("""COMPUTED_VALUE"""),"Meats")</f>
        <v>Meats</v>
      </c>
      <c r="D2150">
        <f>IFERROR(__xludf.DUMMYFUNCTION("""COMPUTED_VALUE"""),109.0)</f>
        <v>109</v>
      </c>
      <c r="E2150">
        <f>IFERROR(__xludf.DUMMYFUNCTION("""COMPUTED_VALUE"""),1.84)</f>
        <v>1.84</v>
      </c>
      <c r="F2150">
        <f>IFERROR(__xludf.DUMMYFUNCTION("""COMPUTED_VALUE"""),21.62)</f>
        <v>21.62</v>
      </c>
      <c r="G2150">
        <f>IFERROR(__xludf.DUMMYFUNCTION("""COMPUTED_VALUE"""),0.0)</f>
        <v>0</v>
      </c>
    </row>
    <row r="2151">
      <c r="A2151">
        <f>IFERROR(__xludf.DUMMYFUNCTION("""COMPUTED_VALUE"""),173852.0)</f>
        <v>173852</v>
      </c>
      <c r="B2151" t="str">
        <f>IFERROR(__xludf.DUMMYFUNCTION("""COMPUTED_VALUE"""),"Roasted Lean Buffalo")</f>
        <v>Roasted Lean Buffalo</v>
      </c>
      <c r="C2151" t="str">
        <f>IFERROR(__xludf.DUMMYFUNCTION("""COMPUTED_VALUE"""),"Meats")</f>
        <v>Meats</v>
      </c>
      <c r="D2151">
        <f>IFERROR(__xludf.DUMMYFUNCTION("""COMPUTED_VALUE"""),143.0)</f>
        <v>143</v>
      </c>
      <c r="E2151">
        <f>IFERROR(__xludf.DUMMYFUNCTION("""COMPUTED_VALUE"""),2.42)</f>
        <v>2.42</v>
      </c>
      <c r="F2151">
        <f>IFERROR(__xludf.DUMMYFUNCTION("""COMPUTED_VALUE"""),28.44)</f>
        <v>28.44</v>
      </c>
      <c r="G2151">
        <f>IFERROR(__xludf.DUMMYFUNCTION("""COMPUTED_VALUE"""),0.0)</f>
        <v>0</v>
      </c>
    </row>
    <row r="2152">
      <c r="A2152">
        <f>IFERROR(__xludf.DUMMYFUNCTION("""COMPUTED_VALUE"""),173853.0)</f>
        <v>173853</v>
      </c>
      <c r="B2152" t="str">
        <f>IFERROR(__xludf.DUMMYFUNCTION("""COMPUTED_VALUE"""),"Game Meat Caribou Raw")</f>
        <v>Game Meat Caribou Raw</v>
      </c>
      <c r="C2152" t="str">
        <f>IFERROR(__xludf.DUMMYFUNCTION("""COMPUTED_VALUE"""),"Meats")</f>
        <v>Meats</v>
      </c>
      <c r="D2152">
        <f>IFERROR(__xludf.DUMMYFUNCTION("""COMPUTED_VALUE"""),127.0)</f>
        <v>127</v>
      </c>
      <c r="E2152">
        <f>IFERROR(__xludf.DUMMYFUNCTION("""COMPUTED_VALUE"""),3.36)</f>
        <v>3.36</v>
      </c>
      <c r="F2152">
        <f>IFERROR(__xludf.DUMMYFUNCTION("""COMPUTED_VALUE"""),22.63)</f>
        <v>22.63</v>
      </c>
      <c r="G2152">
        <f>IFERROR(__xludf.DUMMYFUNCTION("""COMPUTED_VALUE"""),0.0)</f>
        <v>0</v>
      </c>
    </row>
    <row r="2153">
      <c r="A2153">
        <f>IFERROR(__xludf.DUMMYFUNCTION("""COMPUTED_VALUE"""),173854.0)</f>
        <v>173854</v>
      </c>
      <c r="B2153" t="str">
        <f>IFERROR(__xludf.DUMMYFUNCTION("""COMPUTED_VALUE"""),"Game Meat Caribou Cooked Roasted")</f>
        <v>Game Meat Caribou Cooked Roasted</v>
      </c>
      <c r="C2153" t="str">
        <f>IFERROR(__xludf.DUMMYFUNCTION("""COMPUTED_VALUE"""),"Meats")</f>
        <v>Meats</v>
      </c>
      <c r="D2153">
        <f>IFERROR(__xludf.DUMMYFUNCTION("""COMPUTED_VALUE"""),167.0)</f>
        <v>167</v>
      </c>
      <c r="E2153">
        <f>IFERROR(__xludf.DUMMYFUNCTION("""COMPUTED_VALUE"""),4.42)</f>
        <v>4.42</v>
      </c>
      <c r="F2153">
        <f>IFERROR(__xludf.DUMMYFUNCTION("""COMPUTED_VALUE"""),29.77)</f>
        <v>29.77</v>
      </c>
      <c r="G2153">
        <f>IFERROR(__xludf.DUMMYFUNCTION("""COMPUTED_VALUE"""),0.0)</f>
        <v>0</v>
      </c>
    </row>
    <row r="2154">
      <c r="A2154">
        <f>IFERROR(__xludf.DUMMYFUNCTION("""COMPUTED_VALUE"""),173855.0)</f>
        <v>173855</v>
      </c>
      <c r="B2154" t="str">
        <f>IFERROR(__xludf.DUMMYFUNCTION("""COMPUTED_VALUE"""),"Game Meat Deer Raw")</f>
        <v>Game Meat Deer Raw</v>
      </c>
      <c r="C2154" t="str">
        <f>IFERROR(__xludf.DUMMYFUNCTION("""COMPUTED_VALUE"""),"Meats")</f>
        <v>Meats</v>
      </c>
      <c r="D2154">
        <f>IFERROR(__xludf.DUMMYFUNCTION("""COMPUTED_VALUE"""),120.0)</f>
        <v>120</v>
      </c>
      <c r="E2154">
        <f>IFERROR(__xludf.DUMMYFUNCTION("""COMPUTED_VALUE"""),2.42)</f>
        <v>2.42</v>
      </c>
      <c r="F2154">
        <f>IFERROR(__xludf.DUMMYFUNCTION("""COMPUTED_VALUE"""),22.96)</f>
        <v>22.96</v>
      </c>
      <c r="G2154">
        <f>IFERROR(__xludf.DUMMYFUNCTION("""COMPUTED_VALUE"""),0.0)</f>
        <v>0</v>
      </c>
    </row>
    <row r="2155">
      <c r="A2155">
        <f>IFERROR(__xludf.DUMMYFUNCTION("""COMPUTED_VALUE"""),173856.0)</f>
        <v>173856</v>
      </c>
      <c r="B2155" t="str">
        <f>IFERROR(__xludf.DUMMYFUNCTION("""COMPUTED_VALUE"""),"Pork Baloney (Bologna)")</f>
        <v>Pork Baloney (Bologna)</v>
      </c>
      <c r="C2155" t="str">
        <f>IFERROR(__xludf.DUMMYFUNCTION("""COMPUTED_VALUE"""),"Meats")</f>
        <v>Meats</v>
      </c>
      <c r="D2155">
        <f>IFERROR(__xludf.DUMMYFUNCTION("""COMPUTED_VALUE"""),247.0)</f>
        <v>247</v>
      </c>
      <c r="E2155">
        <f>IFERROR(__xludf.DUMMYFUNCTION("""COMPUTED_VALUE"""),19.87)</f>
        <v>19.87</v>
      </c>
      <c r="F2155">
        <f>IFERROR(__xludf.DUMMYFUNCTION("""COMPUTED_VALUE"""),15.3)</f>
        <v>15.3</v>
      </c>
      <c r="G2155">
        <f>IFERROR(__xludf.DUMMYFUNCTION("""COMPUTED_VALUE"""),0.73)</f>
        <v>0.73</v>
      </c>
    </row>
    <row r="2156">
      <c r="A2156">
        <f>IFERROR(__xludf.DUMMYFUNCTION("""COMPUTED_VALUE"""),173857.0)</f>
        <v>173857</v>
      </c>
      <c r="B2156" t="str">
        <f>IFERROR(__xludf.DUMMYFUNCTION("""COMPUTED_VALUE"""),"Turkey Baloney (Bologna)")</f>
        <v>Turkey Baloney (Bologna)</v>
      </c>
      <c r="C2156" t="str">
        <f>IFERROR(__xludf.DUMMYFUNCTION("""COMPUTED_VALUE"""),"Meats")</f>
        <v>Meats</v>
      </c>
      <c r="D2156">
        <f>IFERROR(__xludf.DUMMYFUNCTION("""COMPUTED_VALUE"""),209.0)</f>
        <v>209</v>
      </c>
      <c r="E2156">
        <f>IFERROR(__xludf.DUMMYFUNCTION("""COMPUTED_VALUE"""),16.05)</f>
        <v>16.05</v>
      </c>
      <c r="F2156">
        <f>IFERROR(__xludf.DUMMYFUNCTION("""COMPUTED_VALUE"""),11.42)</f>
        <v>11.42</v>
      </c>
      <c r="G2156">
        <f>IFERROR(__xludf.DUMMYFUNCTION("""COMPUTED_VALUE"""),4.68)</f>
        <v>4.68</v>
      </c>
    </row>
    <row r="2157">
      <c r="A2157">
        <f>IFERROR(__xludf.DUMMYFUNCTION("""COMPUTED_VALUE"""),173858.0)</f>
        <v>173858</v>
      </c>
      <c r="B2157" t="str">
        <f>IFERROR(__xludf.DUMMYFUNCTION("""COMPUTED_VALUE"""),"Chicken Spread")</f>
        <v>Chicken Spread</v>
      </c>
      <c r="C2157" t="str">
        <f>IFERROR(__xludf.DUMMYFUNCTION("""COMPUTED_VALUE"""),"Meats")</f>
        <v>Meats</v>
      </c>
      <c r="D2157">
        <f>IFERROR(__xludf.DUMMYFUNCTION("""COMPUTED_VALUE"""),158.0)</f>
        <v>158</v>
      </c>
      <c r="E2157">
        <f>IFERROR(__xludf.DUMMYFUNCTION("""COMPUTED_VALUE"""),17.56)</f>
        <v>17.56</v>
      </c>
      <c r="F2157">
        <f>IFERROR(__xludf.DUMMYFUNCTION("""COMPUTED_VALUE"""),18.01)</f>
        <v>18.01</v>
      </c>
      <c r="G2157">
        <f>IFERROR(__xludf.DUMMYFUNCTION("""COMPUTED_VALUE"""),4.05)</f>
        <v>4.05</v>
      </c>
    </row>
    <row r="2158">
      <c r="A2158">
        <f>IFERROR(__xludf.DUMMYFUNCTION("""COMPUTED_VALUE"""),173859.0)</f>
        <v>173859</v>
      </c>
      <c r="B2158" t="str">
        <f>IFERROR(__xludf.DUMMYFUNCTION("""COMPUTED_VALUE"""),"Chorizo")</f>
        <v>Chorizo</v>
      </c>
      <c r="C2158" t="str">
        <f>IFERROR(__xludf.DUMMYFUNCTION("""COMPUTED_VALUE"""),"Meats")</f>
        <v>Meats</v>
      </c>
      <c r="D2158">
        <f>IFERROR(__xludf.DUMMYFUNCTION("""COMPUTED_VALUE"""),296.0)</f>
        <v>296</v>
      </c>
      <c r="E2158">
        <f>IFERROR(__xludf.DUMMYFUNCTION("""COMPUTED_VALUE"""),25.1)</f>
        <v>25.1</v>
      </c>
      <c r="F2158">
        <f>IFERROR(__xludf.DUMMYFUNCTION("""COMPUTED_VALUE"""),13.63)</f>
        <v>13.63</v>
      </c>
      <c r="G2158">
        <f>IFERROR(__xludf.DUMMYFUNCTION("""COMPUTED_VALUE"""),3.78)</f>
        <v>3.78</v>
      </c>
    </row>
    <row r="2159">
      <c r="A2159">
        <f>IFERROR(__xludf.DUMMYFUNCTION("""COMPUTED_VALUE"""),173860.0)</f>
        <v>173860</v>
      </c>
      <c r="B2159" t="str">
        <f>IFERROR(__xludf.DUMMYFUNCTION("""COMPUTED_VALUE"""),"Corned Beef Loaf Jellied")</f>
        <v>Corned Beef Loaf Jellied</v>
      </c>
      <c r="C2159" t="str">
        <f>IFERROR(__xludf.DUMMYFUNCTION("""COMPUTED_VALUE"""),"Meats")</f>
        <v>Meats</v>
      </c>
      <c r="D2159">
        <f>IFERROR(__xludf.DUMMYFUNCTION("""COMPUTED_VALUE"""),153.0)</f>
        <v>153</v>
      </c>
      <c r="E2159">
        <f>IFERROR(__xludf.DUMMYFUNCTION("""COMPUTED_VALUE"""),6.1)</f>
        <v>6.1</v>
      </c>
      <c r="F2159">
        <f>IFERROR(__xludf.DUMMYFUNCTION("""COMPUTED_VALUE"""),22.9)</f>
        <v>22.9</v>
      </c>
      <c r="G2159">
        <f>IFERROR(__xludf.DUMMYFUNCTION("""COMPUTED_VALUE"""),0.0)</f>
        <v>0</v>
      </c>
    </row>
    <row r="2160">
      <c r="A2160">
        <f>IFERROR(__xludf.DUMMYFUNCTION("""COMPUTED_VALUE"""),173861.0)</f>
        <v>173861</v>
      </c>
      <c r="B2160" t="str">
        <f>IFERROR(__xludf.DUMMYFUNCTION("""COMPUTED_VALUE"""),"Dutch Brand Loaf Chicken Pork And Beef")</f>
        <v>Dutch Brand Loaf Chicken Pork And Beef</v>
      </c>
      <c r="C2160" t="str">
        <f>IFERROR(__xludf.DUMMYFUNCTION("""COMPUTED_VALUE"""),"Meats")</f>
        <v>Meats</v>
      </c>
      <c r="D2160">
        <f>IFERROR(__xludf.DUMMYFUNCTION("""COMPUTED_VALUE"""),273.0)</f>
        <v>273</v>
      </c>
      <c r="E2160">
        <f>IFERROR(__xludf.DUMMYFUNCTION("""COMPUTED_VALUE"""),22.91)</f>
        <v>22.91</v>
      </c>
      <c r="F2160">
        <f>IFERROR(__xludf.DUMMYFUNCTION("""COMPUTED_VALUE"""),12.0)</f>
        <v>12</v>
      </c>
      <c r="G2160">
        <f>IFERROR(__xludf.DUMMYFUNCTION("""COMPUTED_VALUE"""),3.93)</f>
        <v>3.93</v>
      </c>
    </row>
    <row r="2161">
      <c r="A2161">
        <f>IFERROR(__xludf.DUMMYFUNCTION("""COMPUTED_VALUE"""),173862.0)</f>
        <v>173862</v>
      </c>
      <c r="B2161" t="str">
        <f>IFERROR(__xludf.DUMMYFUNCTION("""COMPUTED_VALUE"""),"Frankfurter Beef Unheated")</f>
        <v>Frankfurter Beef Unheated</v>
      </c>
      <c r="C2161" t="str">
        <f>IFERROR(__xludf.DUMMYFUNCTION("""COMPUTED_VALUE"""),"Meats")</f>
        <v>Meats</v>
      </c>
      <c r="D2161">
        <f>IFERROR(__xludf.DUMMYFUNCTION("""COMPUTED_VALUE"""),315.0)</f>
        <v>315</v>
      </c>
      <c r="E2161">
        <f>IFERROR(__xludf.DUMMYFUNCTION("""COMPUTED_VALUE"""),28.1)</f>
        <v>28.1</v>
      </c>
      <c r="F2161">
        <f>IFERROR(__xludf.DUMMYFUNCTION("""COMPUTED_VALUE"""),11.69)</f>
        <v>11.69</v>
      </c>
      <c r="G2161">
        <f>IFERROR(__xludf.DUMMYFUNCTION("""COMPUTED_VALUE"""),2.97)</f>
        <v>2.97</v>
      </c>
    </row>
    <row r="2162">
      <c r="A2162">
        <f>IFERROR(__xludf.DUMMYFUNCTION("""COMPUTED_VALUE"""),173863.0)</f>
        <v>173863</v>
      </c>
      <c r="B2162" t="str">
        <f>IFERROR(__xludf.DUMMYFUNCTION("""COMPUTED_VALUE"""),"Ham Sliced Packaged (96% Fat Free Water Added)")</f>
        <v>Ham Sliced Packaged (96% Fat Free Water Added)</v>
      </c>
      <c r="C2162" t="str">
        <f>IFERROR(__xludf.DUMMYFUNCTION("""COMPUTED_VALUE"""),"Meats")</f>
        <v>Meats</v>
      </c>
      <c r="D2162">
        <f>IFERROR(__xludf.DUMMYFUNCTION("""COMPUTED_VALUE"""),107.0)</f>
        <v>107</v>
      </c>
      <c r="E2162">
        <f>IFERROR(__xludf.DUMMYFUNCTION("""COMPUTED_VALUE"""),4.04)</f>
        <v>4.04</v>
      </c>
      <c r="F2162">
        <f>IFERROR(__xludf.DUMMYFUNCTION("""COMPUTED_VALUE"""),16.85)</f>
        <v>16.85</v>
      </c>
      <c r="G2162">
        <f>IFERROR(__xludf.DUMMYFUNCTION("""COMPUTED_VALUE"""),0.7)</f>
        <v>0.7</v>
      </c>
    </row>
    <row r="2163">
      <c r="A2163">
        <f>IFERROR(__xludf.DUMMYFUNCTION("""COMPUTED_VALUE"""),173864.0)</f>
        <v>173864</v>
      </c>
      <c r="B2163" t="str">
        <f>IFERROR(__xludf.DUMMYFUNCTION("""COMPUTED_VALUE"""),"Ham Sliced Regular (Approximately 11% Fat)")</f>
        <v>Ham Sliced Regular (Approximately 11% Fat)</v>
      </c>
      <c r="C2163" t="str">
        <f>IFERROR(__xludf.DUMMYFUNCTION("""COMPUTED_VALUE"""),"Meats")</f>
        <v>Meats</v>
      </c>
      <c r="D2163">
        <f>IFERROR(__xludf.DUMMYFUNCTION("""COMPUTED_VALUE"""),164.0)</f>
        <v>164</v>
      </c>
      <c r="E2163">
        <f>IFERROR(__xludf.DUMMYFUNCTION("""COMPUTED_VALUE"""),8.8)</f>
        <v>8.8</v>
      </c>
      <c r="F2163">
        <f>IFERROR(__xludf.DUMMYFUNCTION("""COMPUTED_VALUE"""),16.6)</f>
        <v>16.6</v>
      </c>
      <c r="G2163">
        <f>IFERROR(__xludf.DUMMYFUNCTION("""COMPUTED_VALUE"""),3.63)</f>
        <v>3.63</v>
      </c>
    </row>
    <row r="2164">
      <c r="A2164">
        <f>IFERROR(__xludf.DUMMYFUNCTION("""COMPUTED_VALUE"""),173865.0)</f>
        <v>173865</v>
      </c>
      <c r="B2164" t="str">
        <f>IFERROR(__xludf.DUMMYFUNCTION("""COMPUTED_VALUE"""),"Ham Minced")</f>
        <v>Ham Minced</v>
      </c>
      <c r="C2164" t="str">
        <f>IFERROR(__xludf.DUMMYFUNCTION("""COMPUTED_VALUE"""),"Meats")</f>
        <v>Meats</v>
      </c>
      <c r="D2164">
        <f>IFERROR(__xludf.DUMMYFUNCTION("""COMPUTED_VALUE"""),263.0)</f>
        <v>263</v>
      </c>
      <c r="E2164">
        <f>IFERROR(__xludf.DUMMYFUNCTION("""COMPUTED_VALUE"""),20.68)</f>
        <v>20.68</v>
      </c>
      <c r="F2164">
        <f>IFERROR(__xludf.DUMMYFUNCTION("""COMPUTED_VALUE"""),16.28)</f>
        <v>16.28</v>
      </c>
      <c r="G2164">
        <f>IFERROR(__xludf.DUMMYFUNCTION("""COMPUTED_VALUE"""),1.84)</f>
        <v>1.84</v>
      </c>
    </row>
    <row r="2165">
      <c r="A2165">
        <f>IFERROR(__xludf.DUMMYFUNCTION("""COMPUTED_VALUE"""),173866.0)</f>
        <v>173866</v>
      </c>
      <c r="B2165" t="str">
        <f>IFERROR(__xludf.DUMMYFUNCTION("""COMPUTED_VALUE"""),"Ham Salad Spread")</f>
        <v>Ham Salad Spread</v>
      </c>
      <c r="C2165" t="str">
        <f>IFERROR(__xludf.DUMMYFUNCTION("""COMPUTED_VALUE"""),"Meats")</f>
        <v>Meats</v>
      </c>
      <c r="D2165">
        <f>IFERROR(__xludf.DUMMYFUNCTION("""COMPUTED_VALUE"""),216.0)</f>
        <v>216</v>
      </c>
      <c r="E2165">
        <f>IFERROR(__xludf.DUMMYFUNCTION("""COMPUTED_VALUE"""),15.53)</f>
        <v>15.53</v>
      </c>
      <c r="F2165">
        <f>IFERROR(__xludf.DUMMYFUNCTION("""COMPUTED_VALUE"""),8.68)</f>
        <v>8.68</v>
      </c>
      <c r="G2165">
        <f>IFERROR(__xludf.DUMMYFUNCTION("""COMPUTED_VALUE"""),10.64)</f>
        <v>10.64</v>
      </c>
    </row>
    <row r="2166">
      <c r="A2166">
        <f>IFERROR(__xludf.DUMMYFUNCTION("""COMPUTED_VALUE"""),173867.0)</f>
        <v>173867</v>
      </c>
      <c r="B2166" t="str">
        <f>IFERROR(__xludf.DUMMYFUNCTION("""COMPUTED_VALUE"""),"Knackwurst Knockwurst Pork Beef")</f>
        <v>Knackwurst Knockwurst Pork Beef</v>
      </c>
      <c r="C2166" t="str">
        <f>IFERROR(__xludf.DUMMYFUNCTION("""COMPUTED_VALUE"""),"Meats")</f>
        <v>Meats</v>
      </c>
      <c r="D2166">
        <f>IFERROR(__xludf.DUMMYFUNCTION("""COMPUTED_VALUE"""),307.0)</f>
        <v>307</v>
      </c>
      <c r="E2166">
        <f>IFERROR(__xludf.DUMMYFUNCTION("""COMPUTED_VALUE"""),27.7)</f>
        <v>27.7</v>
      </c>
      <c r="F2166">
        <f>IFERROR(__xludf.DUMMYFUNCTION("""COMPUTED_VALUE"""),11.1)</f>
        <v>11.1</v>
      </c>
      <c r="G2166">
        <f>IFERROR(__xludf.DUMMYFUNCTION("""COMPUTED_VALUE"""),3.2)</f>
        <v>3.2</v>
      </c>
    </row>
    <row r="2167">
      <c r="A2167">
        <f>IFERROR(__xludf.DUMMYFUNCTION("""COMPUTED_VALUE"""),173868.0)</f>
        <v>173868</v>
      </c>
      <c r="B2167" t="str">
        <f>IFERROR(__xludf.DUMMYFUNCTION("""COMPUTED_VALUE"""),"Lebanon Bologna Beef")</f>
        <v>Lebanon Bologna Beef</v>
      </c>
      <c r="C2167" t="str">
        <f>IFERROR(__xludf.DUMMYFUNCTION("""COMPUTED_VALUE"""),"Meats")</f>
        <v>Meats</v>
      </c>
      <c r="D2167">
        <f>IFERROR(__xludf.DUMMYFUNCTION("""COMPUTED_VALUE"""),172.0)</f>
        <v>172</v>
      </c>
      <c r="E2167">
        <f>IFERROR(__xludf.DUMMYFUNCTION("""COMPUTED_VALUE"""),10.44)</f>
        <v>10.44</v>
      </c>
      <c r="F2167">
        <f>IFERROR(__xludf.DUMMYFUNCTION("""COMPUTED_VALUE"""),19.03)</f>
        <v>19.03</v>
      </c>
      <c r="G2167">
        <f>IFERROR(__xludf.DUMMYFUNCTION("""COMPUTED_VALUE"""),0.44)</f>
        <v>0.44</v>
      </c>
    </row>
    <row r="2168">
      <c r="A2168">
        <f>IFERROR(__xludf.DUMMYFUNCTION("""COMPUTED_VALUE"""),173869.0)</f>
        <v>173869</v>
      </c>
      <c r="B2168" t="str">
        <f>IFERROR(__xludf.DUMMYFUNCTION("""COMPUTED_VALUE"""),"Liver Cheese Pork")</f>
        <v>Liver Cheese Pork</v>
      </c>
      <c r="C2168" t="str">
        <f>IFERROR(__xludf.DUMMYFUNCTION("""COMPUTED_VALUE"""),"Meats")</f>
        <v>Meats</v>
      </c>
      <c r="D2168">
        <f>IFERROR(__xludf.DUMMYFUNCTION("""COMPUTED_VALUE"""),304.0)</f>
        <v>304</v>
      </c>
      <c r="E2168">
        <f>IFERROR(__xludf.DUMMYFUNCTION("""COMPUTED_VALUE"""),25.6)</f>
        <v>25.6</v>
      </c>
      <c r="F2168">
        <f>IFERROR(__xludf.DUMMYFUNCTION("""COMPUTED_VALUE"""),15.2)</f>
        <v>15.2</v>
      </c>
      <c r="G2168">
        <f>IFERROR(__xludf.DUMMYFUNCTION("""COMPUTED_VALUE"""),2.1)</f>
        <v>2.1</v>
      </c>
    </row>
    <row r="2169">
      <c r="A2169">
        <f>IFERROR(__xludf.DUMMYFUNCTION("""COMPUTED_VALUE"""),173870.0)</f>
        <v>173870</v>
      </c>
      <c r="B2169" t="str">
        <f>IFERROR(__xludf.DUMMYFUNCTION("""COMPUTED_VALUE"""),"Liver Sausage Liverwurst Pork")</f>
        <v>Liver Sausage Liverwurst Pork</v>
      </c>
      <c r="C2169" t="str">
        <f>IFERROR(__xludf.DUMMYFUNCTION("""COMPUTED_VALUE"""),"Meats")</f>
        <v>Meats</v>
      </c>
      <c r="D2169">
        <f>IFERROR(__xludf.DUMMYFUNCTION("""COMPUTED_VALUE"""),326.0)</f>
        <v>326</v>
      </c>
      <c r="E2169">
        <f>IFERROR(__xludf.DUMMYFUNCTION("""COMPUTED_VALUE"""),28.5)</f>
        <v>28.5</v>
      </c>
      <c r="F2169">
        <f>IFERROR(__xludf.DUMMYFUNCTION("""COMPUTED_VALUE"""),14.1)</f>
        <v>14.1</v>
      </c>
      <c r="G2169">
        <f>IFERROR(__xludf.DUMMYFUNCTION("""COMPUTED_VALUE"""),2.2)</f>
        <v>2.2</v>
      </c>
    </row>
    <row r="2170">
      <c r="A2170">
        <f>IFERROR(__xludf.DUMMYFUNCTION("""COMPUTED_VALUE"""),173871.0)</f>
        <v>173871</v>
      </c>
      <c r="B2170" t="str">
        <f>IFERROR(__xludf.DUMMYFUNCTION("""COMPUTED_VALUE"""),"Turkey Sausage Fresh Cooked")</f>
        <v>Turkey Sausage Fresh Cooked</v>
      </c>
      <c r="C2170" t="str">
        <f>IFERROR(__xludf.DUMMYFUNCTION("""COMPUTED_VALUE"""),"Meats")</f>
        <v>Meats</v>
      </c>
      <c r="D2170">
        <f>IFERROR(__xludf.DUMMYFUNCTION("""COMPUTED_VALUE"""),196.0)</f>
        <v>196</v>
      </c>
      <c r="E2170">
        <f>IFERROR(__xludf.DUMMYFUNCTION("""COMPUTED_VALUE"""),10.44)</f>
        <v>10.44</v>
      </c>
      <c r="F2170">
        <f>IFERROR(__xludf.DUMMYFUNCTION("""COMPUTED_VALUE"""),23.89)</f>
        <v>23.89</v>
      </c>
      <c r="G2170">
        <f>IFERROR(__xludf.DUMMYFUNCTION("""COMPUTED_VALUE"""),0.0)</f>
        <v>0</v>
      </c>
    </row>
    <row r="2171">
      <c r="A2171">
        <f>IFERROR(__xludf.DUMMYFUNCTION("""COMPUTED_VALUE"""),173872.0)</f>
        <v>173872</v>
      </c>
      <c r="B2171" t="str">
        <f>IFERROR(__xludf.DUMMYFUNCTION("""COMPUTED_VALUE"""),"Bologna Chicken Pork Beef")</f>
        <v>Bologna Chicken Pork Beef</v>
      </c>
      <c r="C2171" t="str">
        <f>IFERROR(__xludf.DUMMYFUNCTION("""COMPUTED_VALUE"""),"Meats")</f>
        <v>Meats</v>
      </c>
      <c r="D2171">
        <f>IFERROR(__xludf.DUMMYFUNCTION("""COMPUTED_VALUE"""),272.0)</f>
        <v>272</v>
      </c>
      <c r="E2171">
        <f>IFERROR(__xludf.DUMMYFUNCTION("""COMPUTED_VALUE"""),22.73)</f>
        <v>22.73</v>
      </c>
      <c r="F2171">
        <f>IFERROR(__xludf.DUMMYFUNCTION("""COMPUTED_VALUE"""),11.33)</f>
        <v>11.33</v>
      </c>
      <c r="G2171">
        <f>IFERROR(__xludf.DUMMYFUNCTION("""COMPUTED_VALUE"""),5.61)</f>
        <v>5.61</v>
      </c>
    </row>
    <row r="2172">
      <c r="A2172">
        <f>IFERROR(__xludf.DUMMYFUNCTION("""COMPUTED_VALUE"""),173873.0)</f>
        <v>173873</v>
      </c>
      <c r="B2172" t="str">
        <f>IFERROR(__xludf.DUMMYFUNCTION("""COMPUTED_VALUE"""),"Bologna Chicken Pork")</f>
        <v>Bologna Chicken Pork</v>
      </c>
      <c r="C2172" t="str">
        <f>IFERROR(__xludf.DUMMYFUNCTION("""COMPUTED_VALUE"""),"Meats")</f>
        <v>Meats</v>
      </c>
      <c r="D2172">
        <f>IFERROR(__xludf.DUMMYFUNCTION("""COMPUTED_VALUE"""),336.0)</f>
        <v>336</v>
      </c>
      <c r="E2172">
        <f>IFERROR(__xludf.DUMMYFUNCTION("""COMPUTED_VALUE"""),30.61)</f>
        <v>30.61</v>
      </c>
      <c r="F2172">
        <f>IFERROR(__xludf.DUMMYFUNCTION("""COMPUTED_VALUE"""),10.31)</f>
        <v>10.31</v>
      </c>
      <c r="G2172">
        <f>IFERROR(__xludf.DUMMYFUNCTION("""COMPUTED_VALUE"""),4.19)</f>
        <v>4.19</v>
      </c>
    </row>
    <row r="2173">
      <c r="A2173">
        <f>IFERROR(__xludf.DUMMYFUNCTION("""COMPUTED_VALUE"""),173874.0)</f>
        <v>173874</v>
      </c>
      <c r="B2173" t="str">
        <f>IFERROR(__xludf.DUMMYFUNCTION("""COMPUTED_VALUE"""),"Chicken Breast Deli Rotisserie Seasoned Sliced Prepackaged")</f>
        <v>Chicken Breast Deli Rotisserie Seasoned Sliced Prepackaged</v>
      </c>
      <c r="C2173" t="str">
        <f>IFERROR(__xludf.DUMMYFUNCTION("""COMPUTED_VALUE"""),"Meats")</f>
        <v>Meats</v>
      </c>
      <c r="D2173">
        <f>IFERROR(__xludf.DUMMYFUNCTION("""COMPUTED_VALUE"""),98.0)</f>
        <v>98</v>
      </c>
      <c r="E2173">
        <f>IFERROR(__xludf.DUMMYFUNCTION("""COMPUTED_VALUE"""),1.86)</f>
        <v>1.86</v>
      </c>
      <c r="F2173">
        <f>IFERROR(__xludf.DUMMYFUNCTION("""COMPUTED_VALUE"""),17.4)</f>
        <v>17.4</v>
      </c>
      <c r="G2173">
        <f>IFERROR(__xludf.DUMMYFUNCTION("""COMPUTED_VALUE"""),2.92)</f>
        <v>2.92</v>
      </c>
    </row>
    <row r="2174">
      <c r="A2174">
        <f>IFERROR(__xludf.DUMMYFUNCTION("""COMPUTED_VALUE"""),173875.0)</f>
        <v>173875</v>
      </c>
      <c r="B2174" t="str">
        <f>IFERROR(__xludf.DUMMYFUNCTION("""COMPUTED_VALUE"""),"Frankfurter Meat And Poultry Unheated")</f>
        <v>Frankfurter Meat And Poultry Unheated</v>
      </c>
      <c r="C2174" t="str">
        <f>IFERROR(__xludf.DUMMYFUNCTION("""COMPUTED_VALUE"""),"Meats")</f>
        <v>Meats</v>
      </c>
      <c r="D2174">
        <f>IFERROR(__xludf.DUMMYFUNCTION("""COMPUTED_VALUE"""),277.0)</f>
        <v>277</v>
      </c>
      <c r="E2174">
        <f>IFERROR(__xludf.DUMMYFUNCTION("""COMPUTED_VALUE"""),24.18)</f>
        <v>24.18</v>
      </c>
      <c r="F2174">
        <f>IFERROR(__xludf.DUMMYFUNCTION("""COMPUTED_VALUE"""),9.72)</f>
        <v>9.72</v>
      </c>
      <c r="G2174">
        <f>IFERROR(__xludf.DUMMYFUNCTION("""COMPUTED_VALUE"""),5.02)</f>
        <v>5.02</v>
      </c>
    </row>
    <row r="2175">
      <c r="A2175">
        <f>IFERROR(__xludf.DUMMYFUNCTION("""COMPUTED_VALUE"""),173876.0)</f>
        <v>173876</v>
      </c>
      <c r="B2175" t="str">
        <f>IFERROR(__xludf.DUMMYFUNCTION("""COMPUTED_VALUE"""),"Pork Sausage Link/patty Fully Cooked Unheated")</f>
        <v>Pork Sausage Link/patty Fully Cooked Unheated</v>
      </c>
      <c r="C2175" t="str">
        <f>IFERROR(__xludf.DUMMYFUNCTION("""COMPUTED_VALUE"""),"Meats")</f>
        <v>Meats</v>
      </c>
      <c r="D2175">
        <f>IFERROR(__xludf.DUMMYFUNCTION("""COMPUTED_VALUE"""),392.0)</f>
        <v>392</v>
      </c>
      <c r="E2175">
        <f>IFERROR(__xludf.DUMMYFUNCTION("""COMPUTED_VALUE"""),37.25)</f>
        <v>37.25</v>
      </c>
      <c r="F2175">
        <f>IFERROR(__xludf.DUMMYFUNCTION("""COMPUTED_VALUE"""),13.46)</f>
        <v>13.46</v>
      </c>
      <c r="G2175">
        <f>IFERROR(__xludf.DUMMYFUNCTION("""COMPUTED_VALUE"""),0.69)</f>
        <v>0.69</v>
      </c>
    </row>
    <row r="2176">
      <c r="A2176">
        <f>IFERROR(__xludf.DUMMYFUNCTION("""COMPUTED_VALUE"""),173877.0)</f>
        <v>173877</v>
      </c>
      <c r="B2176" t="str">
        <f>IFERROR(__xludf.DUMMYFUNCTION("""COMPUTED_VALUE"""),"Kielbasa Fully Cooked Grilled")</f>
        <v>Kielbasa Fully Cooked Grilled</v>
      </c>
      <c r="C2176" t="str">
        <f>IFERROR(__xludf.DUMMYFUNCTION("""COMPUTED_VALUE"""),"Meats")</f>
        <v>Meats</v>
      </c>
      <c r="D2176">
        <f>IFERROR(__xludf.DUMMYFUNCTION("""COMPUTED_VALUE"""),337.0)</f>
        <v>337</v>
      </c>
      <c r="E2176">
        <f>IFERROR(__xludf.DUMMYFUNCTION("""COMPUTED_VALUE"""),29.68)</f>
        <v>29.68</v>
      </c>
      <c r="F2176">
        <f>IFERROR(__xludf.DUMMYFUNCTION("""COMPUTED_VALUE"""),12.45)</f>
        <v>12.45</v>
      </c>
      <c r="G2176">
        <f>IFERROR(__xludf.DUMMYFUNCTION("""COMPUTED_VALUE"""),5.03)</f>
        <v>5.03</v>
      </c>
    </row>
    <row r="2177">
      <c r="A2177">
        <f>IFERROR(__xludf.DUMMYFUNCTION("""COMPUTED_VALUE"""),173878.0)</f>
        <v>173878</v>
      </c>
      <c r="B2177" t="str">
        <f>IFERROR(__xludf.DUMMYFUNCTION("""COMPUTED_VALUE"""),"Kielbasa Sausage (Cooked)")</f>
        <v>Kielbasa Sausage (Cooked)</v>
      </c>
      <c r="C2177" t="str">
        <f>IFERROR(__xludf.DUMMYFUNCTION("""COMPUTED_VALUE"""),"Meats")</f>
        <v>Meats</v>
      </c>
      <c r="D2177">
        <f>IFERROR(__xludf.DUMMYFUNCTION("""COMPUTED_VALUE"""),333.0)</f>
        <v>333</v>
      </c>
      <c r="E2177">
        <f>IFERROR(__xludf.DUMMYFUNCTION("""COMPUTED_VALUE"""),29.43)</f>
        <v>29.43</v>
      </c>
      <c r="F2177">
        <f>IFERROR(__xludf.DUMMYFUNCTION("""COMPUTED_VALUE"""),12.36)</f>
        <v>12.36</v>
      </c>
      <c r="G2177">
        <f>IFERROR(__xludf.DUMMYFUNCTION("""COMPUTED_VALUE"""),4.78)</f>
        <v>4.78</v>
      </c>
    </row>
    <row r="2178">
      <c r="A2178">
        <f>IFERROR(__xludf.DUMMYFUNCTION("""COMPUTED_VALUE"""),173879.0)</f>
        <v>173879</v>
      </c>
      <c r="B2178" t="str">
        <f>IFERROR(__xludf.DUMMYFUNCTION("""COMPUTED_VALUE"""),"Kielbasa Fully Cooked Unheated")</f>
        <v>Kielbasa Fully Cooked Unheated</v>
      </c>
      <c r="C2178" t="str">
        <f>IFERROR(__xludf.DUMMYFUNCTION("""COMPUTED_VALUE"""),"Meats")</f>
        <v>Meats</v>
      </c>
      <c r="D2178">
        <f>IFERROR(__xludf.DUMMYFUNCTION("""COMPUTED_VALUE"""),325.0)</f>
        <v>325</v>
      </c>
      <c r="E2178">
        <f>IFERROR(__xludf.DUMMYFUNCTION("""COMPUTED_VALUE"""),29.63)</f>
        <v>29.63</v>
      </c>
      <c r="F2178">
        <f>IFERROR(__xludf.DUMMYFUNCTION("""COMPUTED_VALUE"""),10.84)</f>
        <v>10.84</v>
      </c>
      <c r="G2178">
        <f>IFERROR(__xludf.DUMMYFUNCTION("""COMPUTED_VALUE"""),3.72)</f>
        <v>3.72</v>
      </c>
    </row>
    <row r="2179">
      <c r="A2179">
        <f>IFERROR(__xludf.DUMMYFUNCTION("""COMPUTED_VALUE"""),173880.0)</f>
        <v>173880</v>
      </c>
      <c r="B2179" t="str">
        <f>IFERROR(__xludf.DUMMYFUNCTION("""COMPUTED_VALUE"""),"Sausage Chicken Or Turkey Italian Style  Lower Sodium")</f>
        <v>Sausage Chicken Or Turkey Italian Style  Lower Sodium</v>
      </c>
      <c r="C2179" t="str">
        <f>IFERROR(__xludf.DUMMYFUNCTION("""COMPUTED_VALUE"""),"Meats")</f>
        <v>Meats</v>
      </c>
      <c r="D2179">
        <f>IFERROR(__xludf.DUMMYFUNCTION("""COMPUTED_VALUE"""),183.0)</f>
        <v>183</v>
      </c>
      <c r="E2179">
        <f>IFERROR(__xludf.DUMMYFUNCTION("""COMPUTED_VALUE"""),4.46)</f>
        <v>4.46</v>
      </c>
      <c r="F2179">
        <f>IFERROR(__xludf.DUMMYFUNCTION("""COMPUTED_VALUE"""),21.43)</f>
        <v>21.43</v>
      </c>
      <c r="G2179">
        <f>IFERROR(__xludf.DUMMYFUNCTION("""COMPUTED_VALUE"""),14.25)</f>
        <v>14.25</v>
      </c>
    </row>
    <row r="2180">
      <c r="A2180">
        <f>IFERROR(__xludf.DUMMYFUNCTION("""COMPUTED_VALUE"""),173881.0)</f>
        <v>173881</v>
      </c>
      <c r="B2180" t="str">
        <f>IFERROR(__xludf.DUMMYFUNCTION("""COMPUTED_VALUE"""),"Ham Smoked Extra Lean Low Sodium")</f>
        <v>Ham Smoked Extra Lean Low Sodium</v>
      </c>
      <c r="C2180" t="str">
        <f>IFERROR(__xludf.DUMMYFUNCTION("""COMPUTED_VALUE"""),"Meats")</f>
        <v>Meats</v>
      </c>
      <c r="D2180">
        <f>IFERROR(__xludf.DUMMYFUNCTION("""COMPUTED_VALUE"""),141.0)</f>
        <v>141</v>
      </c>
      <c r="E2180">
        <f>IFERROR(__xludf.DUMMYFUNCTION("""COMPUTED_VALUE"""),2.71)</f>
        <v>2.71</v>
      </c>
      <c r="F2180">
        <f>IFERROR(__xludf.DUMMYFUNCTION("""COMPUTED_VALUE"""),18.52)</f>
        <v>18.52</v>
      </c>
      <c r="G2180">
        <f>IFERROR(__xludf.DUMMYFUNCTION("""COMPUTED_VALUE"""),10.7)</f>
        <v>10.7</v>
      </c>
    </row>
    <row r="2181">
      <c r="A2181">
        <f>IFERROR(__xludf.DUMMYFUNCTION("""COMPUTED_VALUE"""),173882.0)</f>
        <v>173882</v>
      </c>
      <c r="B2181" t="str">
        <f>IFERROR(__xludf.DUMMYFUNCTION("""COMPUTED_VALUE"""),"Pork Sausage Reduced Sodium Cooked")</f>
        <v>Pork Sausage Reduced Sodium Cooked</v>
      </c>
      <c r="C2181" t="str">
        <f>IFERROR(__xludf.DUMMYFUNCTION("""COMPUTED_VALUE"""),"Meats")</f>
        <v>Meats</v>
      </c>
      <c r="D2181">
        <f>IFERROR(__xludf.DUMMYFUNCTION("""COMPUTED_VALUE"""),271.0)</f>
        <v>271</v>
      </c>
      <c r="E2181">
        <f>IFERROR(__xludf.DUMMYFUNCTION("""COMPUTED_VALUE"""),22.35)</f>
        <v>22.35</v>
      </c>
      <c r="F2181">
        <f>IFERROR(__xludf.DUMMYFUNCTION("""COMPUTED_VALUE"""),9.41)</f>
        <v>9.41</v>
      </c>
      <c r="G2181">
        <f>IFERROR(__xludf.DUMMYFUNCTION("""COMPUTED_VALUE"""),8.13)</f>
        <v>8.13</v>
      </c>
    </row>
    <row r="2182">
      <c r="A2182">
        <f>IFERROR(__xludf.DUMMYFUNCTION("""COMPUTED_VALUE"""),173883.0)</f>
        <v>173883</v>
      </c>
      <c r="B2182" t="str">
        <f>IFERROR(__xludf.DUMMYFUNCTION("""COMPUTED_VALUE"""),"Sausage Pork Turkey And Beef Reduced Sodium")</f>
        <v>Sausage Pork Turkey And Beef Reduced Sodium</v>
      </c>
      <c r="C2182" t="str">
        <f>IFERROR(__xludf.DUMMYFUNCTION("""COMPUTED_VALUE"""),"Meats")</f>
        <v>Meats</v>
      </c>
      <c r="D2182">
        <f>IFERROR(__xludf.DUMMYFUNCTION("""COMPUTED_VALUE"""),284.0)</f>
        <v>284</v>
      </c>
      <c r="E2182">
        <f>IFERROR(__xludf.DUMMYFUNCTION("""COMPUTED_VALUE"""),26.79)</f>
        <v>26.79</v>
      </c>
      <c r="F2182">
        <f>IFERROR(__xludf.DUMMYFUNCTION("""COMPUTED_VALUE"""),10.71)</f>
        <v>10.71</v>
      </c>
      <c r="G2182">
        <f>IFERROR(__xludf.DUMMYFUNCTION("""COMPUTED_VALUE"""),0.11)</f>
        <v>0.11</v>
      </c>
    </row>
    <row r="2183">
      <c r="A2183">
        <f>IFERROR(__xludf.DUMMYFUNCTION("""COMPUTED_VALUE"""),173965.0)</f>
        <v>173965</v>
      </c>
      <c r="B2183" t="str">
        <f>IFERROR(__xludf.DUMMYFUNCTION("""COMPUTED_VALUE"""),"Beef Australian Imported Grass-Fed Loin Tenderloin Steak/roast Boneless Separable Lean Only Raw")</f>
        <v>Beef Australian Imported Grass-Fed Loin Tenderloin Steak/roast Boneless Separable Lean Only Raw</v>
      </c>
      <c r="C2183" t="str">
        <f>IFERROR(__xludf.DUMMYFUNCTION("""COMPUTED_VALUE"""),"Meats")</f>
        <v>Meats</v>
      </c>
      <c r="D2183">
        <f>IFERROR(__xludf.DUMMYFUNCTION("""COMPUTED_VALUE"""),138.0)</f>
        <v>138</v>
      </c>
      <c r="E2183">
        <f>IFERROR(__xludf.DUMMYFUNCTION("""COMPUTED_VALUE"""),6.11)</f>
        <v>6.11</v>
      </c>
      <c r="F2183">
        <f>IFERROR(__xludf.DUMMYFUNCTION("""COMPUTED_VALUE"""),20.85)</f>
        <v>20.85</v>
      </c>
      <c r="G2183">
        <f>IFERROR(__xludf.DUMMYFUNCTION("""COMPUTED_VALUE"""),0.0)</f>
        <v>0</v>
      </c>
    </row>
    <row r="2184">
      <c r="A2184">
        <f>IFERROR(__xludf.DUMMYFUNCTION("""COMPUTED_VALUE"""),173966.0)</f>
        <v>173966</v>
      </c>
      <c r="B2184" t="str">
        <f>IFERROR(__xludf.DUMMYFUNCTION("""COMPUTED_VALUE"""),"Beef Australian Imported Wagyu Loin Tenderloin Steak/roast Boneless Separable Lean Only Aust. Marble Score 4/5 Raw")</f>
        <v>Beef Australian Imported Wagyu Loin Tenderloin Steak/roast Boneless Separable Lean Only Aust. Marble Score 4/5 Raw</v>
      </c>
      <c r="C2184" t="str">
        <f>IFERROR(__xludf.DUMMYFUNCTION("""COMPUTED_VALUE"""),"Meats")</f>
        <v>Meats</v>
      </c>
      <c r="D2184">
        <f>IFERROR(__xludf.DUMMYFUNCTION("""COMPUTED_VALUE"""),191.0)</f>
        <v>191</v>
      </c>
      <c r="E2184">
        <f>IFERROR(__xludf.DUMMYFUNCTION("""COMPUTED_VALUE"""),12.3)</f>
        <v>12.3</v>
      </c>
      <c r="F2184">
        <f>IFERROR(__xludf.DUMMYFUNCTION("""COMPUTED_VALUE"""),20.19)</f>
        <v>20.19</v>
      </c>
      <c r="G2184">
        <f>IFERROR(__xludf.DUMMYFUNCTION("""COMPUTED_VALUE"""),0.0)</f>
        <v>0</v>
      </c>
    </row>
    <row r="2185">
      <c r="A2185">
        <f>IFERROR(__xludf.DUMMYFUNCTION("""COMPUTED_VALUE"""),173967.0)</f>
        <v>173967</v>
      </c>
      <c r="B2185" t="str">
        <f>IFERROR(__xludf.DUMMYFUNCTION("""COMPUTED_VALUE"""),"Beef Australian Imported Wagyu External Fat Aust. Marble Score 9 Raw")</f>
        <v>Beef Australian Imported Wagyu External Fat Aust. Marble Score 9 Raw</v>
      </c>
      <c r="C2185" t="str">
        <f>IFERROR(__xludf.DUMMYFUNCTION("""COMPUTED_VALUE"""),"Meats")</f>
        <v>Meats</v>
      </c>
      <c r="D2185">
        <f>IFERROR(__xludf.DUMMYFUNCTION("""COMPUTED_VALUE"""),639.0)</f>
        <v>639</v>
      </c>
      <c r="E2185">
        <f>IFERROR(__xludf.DUMMYFUNCTION("""COMPUTED_VALUE"""),68.07)</f>
        <v>68.07</v>
      </c>
      <c r="F2185">
        <f>IFERROR(__xludf.DUMMYFUNCTION("""COMPUTED_VALUE"""),5.54)</f>
        <v>5.54</v>
      </c>
      <c r="G2185">
        <f>IFERROR(__xludf.DUMMYFUNCTION("""COMPUTED_VALUE"""),0.97)</f>
        <v>0.97</v>
      </c>
    </row>
    <row r="2186">
      <c r="A2186">
        <f>IFERROR(__xludf.DUMMYFUNCTION("""COMPUTED_VALUE"""),173968.0)</f>
        <v>173968</v>
      </c>
      <c r="B2186" t="str">
        <f>IFERROR(__xludf.DUMMYFUNCTION("""COMPUTED_VALUE"""),"Beef Australian Imported Wagyu Seam Fat Aust. Marble Score 9 Raw")</f>
        <v>Beef Australian Imported Wagyu Seam Fat Aust. Marble Score 9 Raw</v>
      </c>
      <c r="C2186" t="str">
        <f>IFERROR(__xludf.DUMMYFUNCTION("""COMPUTED_VALUE"""),"Meats")</f>
        <v>Meats</v>
      </c>
      <c r="D2186">
        <f>IFERROR(__xludf.DUMMYFUNCTION("""COMPUTED_VALUE"""),627.0)</f>
        <v>627</v>
      </c>
      <c r="E2186">
        <f>IFERROR(__xludf.DUMMYFUNCTION("""COMPUTED_VALUE"""),67.33)</f>
        <v>67.33</v>
      </c>
      <c r="F2186">
        <f>IFERROR(__xludf.DUMMYFUNCTION("""COMPUTED_VALUE"""),5.16)</f>
        <v>5.16</v>
      </c>
      <c r="G2186">
        <f>IFERROR(__xludf.DUMMYFUNCTION("""COMPUTED_VALUE"""),0.0)</f>
        <v>0</v>
      </c>
    </row>
    <row r="2187">
      <c r="A2187">
        <f>IFERROR(__xludf.DUMMYFUNCTION("""COMPUTED_VALUE"""),173969.0)</f>
        <v>173969</v>
      </c>
      <c r="B2187" t="str">
        <f>IFERROR(__xludf.DUMMYFUNCTION("""COMPUTED_VALUE"""),"Beef Australian Imported Grass-Fed Loin Tenderloin Steak/roast Boneless Separable Lean And Fat Raw")</f>
        <v>Beef Australian Imported Grass-Fed Loin Tenderloin Steak/roast Boneless Separable Lean And Fat Raw</v>
      </c>
      <c r="C2187" t="str">
        <f>IFERROR(__xludf.DUMMYFUNCTION("""COMPUTED_VALUE"""),"Meats")</f>
        <v>Meats</v>
      </c>
      <c r="D2187">
        <f>IFERROR(__xludf.DUMMYFUNCTION("""COMPUTED_VALUE"""),151.0)</f>
        <v>151</v>
      </c>
      <c r="E2187">
        <f>IFERROR(__xludf.DUMMYFUNCTION("""COMPUTED_VALUE"""),7.63)</f>
        <v>7.63</v>
      </c>
      <c r="F2187">
        <f>IFERROR(__xludf.DUMMYFUNCTION("""COMPUTED_VALUE"""),20.53)</f>
        <v>20.53</v>
      </c>
      <c r="G2187">
        <f>IFERROR(__xludf.DUMMYFUNCTION("""COMPUTED_VALUE"""),0.01)</f>
        <v>0.01</v>
      </c>
    </row>
    <row r="2188">
      <c r="A2188">
        <f>IFERROR(__xludf.DUMMYFUNCTION("""COMPUTED_VALUE"""),173970.0)</f>
        <v>173970</v>
      </c>
      <c r="B2188" t="str">
        <f>IFERROR(__xludf.DUMMYFUNCTION("""COMPUTED_VALUE"""),"Beef Australian Imported Grass-Fed Loin Top Loin Steak/roast Boneless Separable Lean Only Raw")</f>
        <v>Beef Australian Imported Grass-Fed Loin Top Loin Steak/roast Boneless Separable Lean Only Raw</v>
      </c>
      <c r="C2188" t="str">
        <f>IFERROR(__xludf.DUMMYFUNCTION("""COMPUTED_VALUE"""),"Meats")</f>
        <v>Meats</v>
      </c>
      <c r="D2188">
        <f>IFERROR(__xludf.DUMMYFUNCTION("""COMPUTED_VALUE"""),131.0)</f>
        <v>131</v>
      </c>
      <c r="E2188">
        <f>IFERROR(__xludf.DUMMYFUNCTION("""COMPUTED_VALUE"""),4.87)</f>
        <v>4.87</v>
      </c>
      <c r="F2188">
        <f>IFERROR(__xludf.DUMMYFUNCTION("""COMPUTED_VALUE"""),21.79)</f>
        <v>21.79</v>
      </c>
      <c r="G2188">
        <f>IFERROR(__xludf.DUMMYFUNCTION("""COMPUTED_VALUE"""),0.0)</f>
        <v>0</v>
      </c>
    </row>
    <row r="2189">
      <c r="A2189">
        <f>IFERROR(__xludf.DUMMYFUNCTION("""COMPUTED_VALUE"""),173971.0)</f>
        <v>173971</v>
      </c>
      <c r="B2189" t="str">
        <f>IFERROR(__xludf.DUMMYFUNCTION("""COMPUTED_VALUE"""),"Beef Australian Imported Grass-Fed Round Bottom Round Steak/roast Boneless Separable Lean Only Raw")</f>
        <v>Beef Australian Imported Grass-Fed Round Bottom Round Steak/roast Boneless Separable Lean Only Raw</v>
      </c>
      <c r="C2189" t="str">
        <f>IFERROR(__xludf.DUMMYFUNCTION("""COMPUTED_VALUE"""),"Meats")</f>
        <v>Meats</v>
      </c>
      <c r="D2189">
        <f>IFERROR(__xludf.DUMMYFUNCTION("""COMPUTED_VALUE"""),130.0)</f>
        <v>130</v>
      </c>
      <c r="E2189">
        <f>IFERROR(__xludf.DUMMYFUNCTION("""COMPUTED_VALUE"""),4.93)</f>
        <v>4.93</v>
      </c>
      <c r="F2189">
        <f>IFERROR(__xludf.DUMMYFUNCTION("""COMPUTED_VALUE"""),21.4)</f>
        <v>21.4</v>
      </c>
      <c r="G2189">
        <f>IFERROR(__xludf.DUMMYFUNCTION("""COMPUTED_VALUE"""),0.0)</f>
        <v>0</v>
      </c>
    </row>
    <row r="2190">
      <c r="A2190">
        <f>IFERROR(__xludf.DUMMYFUNCTION("""COMPUTED_VALUE"""),173972.0)</f>
        <v>173972</v>
      </c>
      <c r="B2190" t="str">
        <f>IFERROR(__xludf.DUMMYFUNCTION("""COMPUTED_VALUE"""),"Beef Australian Imported Grass-Fed Round Top Round Cap-Off Steak/roast Boneless Separable Lean Only Raw")</f>
        <v>Beef Australian Imported Grass-Fed Round Top Round Cap-Off Steak/roast Boneless Separable Lean Only Raw</v>
      </c>
      <c r="C2190" t="str">
        <f>IFERROR(__xludf.DUMMYFUNCTION("""COMPUTED_VALUE"""),"Meats")</f>
        <v>Meats</v>
      </c>
      <c r="D2190">
        <f>IFERROR(__xludf.DUMMYFUNCTION("""COMPUTED_VALUE"""),129.0)</f>
        <v>129</v>
      </c>
      <c r="E2190">
        <f>IFERROR(__xludf.DUMMYFUNCTION("""COMPUTED_VALUE"""),4.43)</f>
        <v>4.43</v>
      </c>
      <c r="F2190">
        <f>IFERROR(__xludf.DUMMYFUNCTION("""COMPUTED_VALUE"""),22.41)</f>
        <v>22.41</v>
      </c>
      <c r="G2190">
        <f>IFERROR(__xludf.DUMMYFUNCTION("""COMPUTED_VALUE"""),0.0)</f>
        <v>0</v>
      </c>
    </row>
    <row r="2191">
      <c r="A2191">
        <f>IFERROR(__xludf.DUMMYFUNCTION("""COMPUTED_VALUE"""),173973.0)</f>
        <v>173973</v>
      </c>
      <c r="B2191" t="str">
        <f>IFERROR(__xludf.DUMMYFUNCTION("""COMPUTED_VALUE"""),"Beef Australian Imported Wagyu Loin Tenderloin Steak/roast Boneless Separable Lean Only Aust. Marble Score 9 Raw")</f>
        <v>Beef Australian Imported Wagyu Loin Tenderloin Steak/roast Boneless Separable Lean Only Aust. Marble Score 9 Raw</v>
      </c>
      <c r="C2191" t="str">
        <f>IFERROR(__xludf.DUMMYFUNCTION("""COMPUTED_VALUE"""),"Meats")</f>
        <v>Meats</v>
      </c>
      <c r="D2191">
        <f>IFERROR(__xludf.DUMMYFUNCTION("""COMPUTED_VALUE"""),237.0)</f>
        <v>237</v>
      </c>
      <c r="E2191">
        <f>IFERROR(__xludf.DUMMYFUNCTION("""COMPUTED_VALUE"""),17.73)</f>
        <v>17.73</v>
      </c>
      <c r="F2191">
        <f>IFERROR(__xludf.DUMMYFUNCTION("""COMPUTED_VALUE"""),18.87)</f>
        <v>18.87</v>
      </c>
      <c r="G2191">
        <f>IFERROR(__xludf.DUMMYFUNCTION("""COMPUTED_VALUE"""),0.57)</f>
        <v>0.57</v>
      </c>
    </row>
    <row r="2192">
      <c r="A2192">
        <f>IFERROR(__xludf.DUMMYFUNCTION("""COMPUTED_VALUE"""),173974.0)</f>
        <v>173974</v>
      </c>
      <c r="B2192" t="str">
        <f>IFERROR(__xludf.DUMMYFUNCTION("""COMPUTED_VALUE"""),"Beef Australian Imported Wagyu Loin Top Loin Steak/roast Boneless Separable Lean Only Aust. Marble Score 4/5 Raw")</f>
        <v>Beef Australian Imported Wagyu Loin Top Loin Steak/roast Boneless Separable Lean Only Aust. Marble Score 4/5 Raw</v>
      </c>
      <c r="C2192" t="str">
        <f>IFERROR(__xludf.DUMMYFUNCTION("""COMPUTED_VALUE"""),"Meats")</f>
        <v>Meats</v>
      </c>
      <c r="D2192">
        <f>IFERROR(__xludf.DUMMYFUNCTION("""COMPUTED_VALUE"""),223.0)</f>
        <v>223</v>
      </c>
      <c r="E2192">
        <f>IFERROR(__xludf.DUMMYFUNCTION("""COMPUTED_VALUE"""),15.69)</f>
        <v>15.69</v>
      </c>
      <c r="F2192">
        <f>IFERROR(__xludf.DUMMYFUNCTION("""COMPUTED_VALUE"""),20.15)</f>
        <v>20.15</v>
      </c>
      <c r="G2192">
        <f>IFERROR(__xludf.DUMMYFUNCTION("""COMPUTED_VALUE"""),0.2)</f>
        <v>0.2</v>
      </c>
    </row>
    <row r="2193">
      <c r="A2193">
        <f>IFERROR(__xludf.DUMMYFUNCTION("""COMPUTED_VALUE"""),173975.0)</f>
        <v>173975</v>
      </c>
      <c r="B2193" t="str">
        <f>IFERROR(__xludf.DUMMYFUNCTION("""COMPUTED_VALUE"""),"Beef Australian Imported Grass-Fed Rib Ribeye Steak/roast Lip-On Boneless Separable Lean And Fat Raw")</f>
        <v>Beef Australian Imported Grass-Fed Rib Ribeye Steak/roast Lip-On Boneless Separable Lean And Fat Raw</v>
      </c>
      <c r="C2193" t="str">
        <f>IFERROR(__xludf.DUMMYFUNCTION("""COMPUTED_VALUE"""),"Meats")</f>
        <v>Meats</v>
      </c>
      <c r="D2193">
        <f>IFERROR(__xludf.DUMMYFUNCTION("""COMPUTED_VALUE"""),217.0)</f>
        <v>217</v>
      </c>
      <c r="E2193">
        <f>IFERROR(__xludf.DUMMYFUNCTION("""COMPUTED_VALUE"""),15.21)</f>
        <v>15.21</v>
      </c>
      <c r="F2193">
        <f>IFERROR(__xludf.DUMMYFUNCTION("""COMPUTED_VALUE"""),19.8)</f>
        <v>19.8</v>
      </c>
      <c r="G2193">
        <f>IFERROR(__xludf.DUMMYFUNCTION("""COMPUTED_VALUE"""),0.11)</f>
        <v>0.11</v>
      </c>
    </row>
    <row r="2194">
      <c r="A2194">
        <f>IFERROR(__xludf.DUMMYFUNCTION("""COMPUTED_VALUE"""),173976.0)</f>
        <v>173976</v>
      </c>
      <c r="B2194" t="str">
        <f>IFERROR(__xludf.DUMMYFUNCTION("""COMPUTED_VALUE"""),"Beef Australian Imported Grass-Fed Round Bottom Round Steak/roast Boneless Separable Lean And Fat Raw")</f>
        <v>Beef Australian Imported Grass-Fed Round Bottom Round Steak/roast Boneless Separable Lean And Fat Raw</v>
      </c>
      <c r="C2194" t="str">
        <f>IFERROR(__xludf.DUMMYFUNCTION("""COMPUTED_VALUE"""),"Meats")</f>
        <v>Meats</v>
      </c>
      <c r="D2194">
        <f>IFERROR(__xludf.DUMMYFUNCTION("""COMPUTED_VALUE"""),140.0)</f>
        <v>140</v>
      </c>
      <c r="E2194">
        <f>IFERROR(__xludf.DUMMYFUNCTION("""COMPUTED_VALUE"""),6.16)</f>
        <v>6.16</v>
      </c>
      <c r="F2194">
        <f>IFERROR(__xludf.DUMMYFUNCTION("""COMPUTED_VALUE"""),21.13)</f>
        <v>21.13</v>
      </c>
      <c r="G2194">
        <f>IFERROR(__xludf.DUMMYFUNCTION("""COMPUTED_VALUE"""),0.01)</f>
        <v>0.01</v>
      </c>
    </row>
    <row r="2195">
      <c r="A2195">
        <f>IFERROR(__xludf.DUMMYFUNCTION("""COMPUTED_VALUE"""),173977.0)</f>
        <v>173977</v>
      </c>
      <c r="B2195" t="str">
        <f>IFERROR(__xludf.DUMMYFUNCTION("""COMPUTED_VALUE"""),"Beef Australian Imported Grass-Fed Round Top Round Cap-Off Steak/roast Boneless Separable Lean And Fat Raw")</f>
        <v>Beef Australian Imported Grass-Fed Round Top Round Cap-Off Steak/roast Boneless Separable Lean And Fat Raw</v>
      </c>
      <c r="C2195" t="str">
        <f>IFERROR(__xludf.DUMMYFUNCTION("""COMPUTED_VALUE"""),"Meats")</f>
        <v>Meats</v>
      </c>
      <c r="D2195">
        <f>IFERROR(__xludf.DUMMYFUNCTION("""COMPUTED_VALUE"""),129.0)</f>
        <v>129</v>
      </c>
      <c r="E2195">
        <f>IFERROR(__xludf.DUMMYFUNCTION("""COMPUTED_VALUE"""),4.4)</f>
        <v>4.4</v>
      </c>
      <c r="F2195">
        <f>IFERROR(__xludf.DUMMYFUNCTION("""COMPUTED_VALUE"""),22.24)</f>
        <v>22.24</v>
      </c>
      <c r="G2195">
        <f>IFERROR(__xludf.DUMMYFUNCTION("""COMPUTED_VALUE"""),0.0)</f>
        <v>0</v>
      </c>
    </row>
    <row r="2196">
      <c r="A2196">
        <f>IFERROR(__xludf.DUMMYFUNCTION("""COMPUTED_VALUE"""),173978.0)</f>
        <v>173978</v>
      </c>
      <c r="B2196" t="str">
        <f>IFERROR(__xludf.DUMMYFUNCTION("""COMPUTED_VALUE"""),"Beef Australian Imported Wagyu Loin Top Loin Steak/roast Boneless Separable Lean And Fat Aust. Marble Score 4/5 Raw")</f>
        <v>Beef Australian Imported Wagyu Loin Top Loin Steak/roast Boneless Separable Lean And Fat Aust. Marble Score 4/5 Raw</v>
      </c>
      <c r="C2196" t="str">
        <f>IFERROR(__xludf.DUMMYFUNCTION("""COMPUTED_VALUE"""),"Meats")</f>
        <v>Meats</v>
      </c>
      <c r="D2196">
        <f>IFERROR(__xludf.DUMMYFUNCTION("""COMPUTED_VALUE"""),289.0)</f>
        <v>289</v>
      </c>
      <c r="E2196">
        <f>IFERROR(__xludf.DUMMYFUNCTION("""COMPUTED_VALUE"""),24.2)</f>
        <v>24.2</v>
      </c>
      <c r="F2196">
        <f>IFERROR(__xludf.DUMMYFUNCTION("""COMPUTED_VALUE"""),17.67)</f>
        <v>17.67</v>
      </c>
      <c r="G2196">
        <f>IFERROR(__xludf.DUMMYFUNCTION("""COMPUTED_VALUE"""),0.12)</f>
        <v>0.12</v>
      </c>
    </row>
    <row r="2197">
      <c r="A2197">
        <f>IFERROR(__xludf.DUMMYFUNCTION("""COMPUTED_VALUE"""),173979.0)</f>
        <v>173979</v>
      </c>
      <c r="B2197" t="str">
        <f>IFERROR(__xludf.DUMMYFUNCTION("""COMPUTED_VALUE"""),"Beef Australian Imported Wagyu Loin Top Loin Steak/roast Separable Lean And Fat Aust. Marble Score 9 Raw")</f>
        <v>Beef Australian Imported Wagyu Loin Top Loin Steak/roast Separable Lean And Fat Aust. Marble Score 9 Raw</v>
      </c>
      <c r="C2197" t="str">
        <f>IFERROR(__xludf.DUMMYFUNCTION("""COMPUTED_VALUE"""),"Meats")</f>
        <v>Meats</v>
      </c>
      <c r="D2197">
        <f>IFERROR(__xludf.DUMMYFUNCTION("""COMPUTED_VALUE"""),392.0)</f>
        <v>392</v>
      </c>
      <c r="E2197">
        <f>IFERROR(__xludf.DUMMYFUNCTION("""COMPUTED_VALUE"""),36.98)</f>
        <v>36.98</v>
      </c>
      <c r="F2197">
        <f>IFERROR(__xludf.DUMMYFUNCTION("""COMPUTED_VALUE"""),14.58)</f>
        <v>14.58</v>
      </c>
      <c r="G2197">
        <f>IFERROR(__xludf.DUMMYFUNCTION("""COMPUTED_VALUE"""),0.14)</f>
        <v>0.14</v>
      </c>
    </row>
    <row r="2198">
      <c r="A2198">
        <f>IFERROR(__xludf.DUMMYFUNCTION("""COMPUTED_VALUE"""),173980.0)</f>
        <v>173980</v>
      </c>
      <c r="B2198" t="str">
        <f>IFERROR(__xludf.DUMMYFUNCTION("""COMPUTED_VALUE"""),"Beef Round Top Round Steak Boneless Separable Lean And Fat Trimmed To 0 Inch Fat Choice Raw")</f>
        <v>Beef Round Top Round Steak Boneless Separable Lean And Fat Trimmed To 0 Inch Fat Choice Raw</v>
      </c>
      <c r="C2198" t="str">
        <f>IFERROR(__xludf.DUMMYFUNCTION("""COMPUTED_VALUE"""),"Meats")</f>
        <v>Meats</v>
      </c>
      <c r="D2198">
        <f>IFERROR(__xludf.DUMMYFUNCTION("""COMPUTED_VALUE"""),127.0)</f>
        <v>127</v>
      </c>
      <c r="E2198">
        <f>IFERROR(__xludf.DUMMYFUNCTION("""COMPUTED_VALUE"""),3.66)</f>
        <v>3.66</v>
      </c>
      <c r="F2198">
        <f>IFERROR(__xludf.DUMMYFUNCTION("""COMPUTED_VALUE"""),23.49)</f>
        <v>23.49</v>
      </c>
      <c r="G2198">
        <f>IFERROR(__xludf.DUMMYFUNCTION("""COMPUTED_VALUE"""),0.0)</f>
        <v>0</v>
      </c>
    </row>
    <row r="2199">
      <c r="A2199">
        <f>IFERROR(__xludf.DUMMYFUNCTION("""COMPUTED_VALUE"""),173981.0)</f>
        <v>173981</v>
      </c>
      <c r="B2199" t="str">
        <f>IFERROR(__xludf.DUMMYFUNCTION("""COMPUTED_VALUE"""),"Beef Round Top Round Steak Boneless Separable Lean And Fat Trimmed To 0 Inch Fat Select Raw")</f>
        <v>Beef Round Top Round Steak Boneless Separable Lean And Fat Trimmed To 0 Inch Fat Select Raw</v>
      </c>
      <c r="C2199" t="str">
        <f>IFERROR(__xludf.DUMMYFUNCTION("""COMPUTED_VALUE"""),"Meats")</f>
        <v>Meats</v>
      </c>
      <c r="D2199">
        <f>IFERROR(__xludf.DUMMYFUNCTION("""COMPUTED_VALUE"""),120.0)</f>
        <v>120</v>
      </c>
      <c r="E2199">
        <f>IFERROR(__xludf.DUMMYFUNCTION("""COMPUTED_VALUE"""),2.85)</f>
        <v>2.85</v>
      </c>
      <c r="F2199">
        <f>IFERROR(__xludf.DUMMYFUNCTION("""COMPUTED_VALUE"""),23.49)</f>
        <v>23.49</v>
      </c>
      <c r="G2199">
        <f>IFERROR(__xludf.DUMMYFUNCTION("""COMPUTED_VALUE"""),0.0)</f>
        <v>0</v>
      </c>
    </row>
    <row r="2200">
      <c r="A2200">
        <f>IFERROR(__xludf.DUMMYFUNCTION("""COMPUTED_VALUE"""),173982.0)</f>
        <v>173982</v>
      </c>
      <c r="B2200" t="str">
        <f>IFERROR(__xludf.DUMMYFUNCTION("""COMPUTED_VALUE"""),"Beef Round Top Round Roast Boneless Separable Lean And Fat Trimmed To 0 Inch Fat All Grades Raw")</f>
        <v>Beef Round Top Round Roast Boneless Separable Lean And Fat Trimmed To 0 Inch Fat All Grades Raw</v>
      </c>
      <c r="C2200" t="str">
        <f>IFERROR(__xludf.DUMMYFUNCTION("""COMPUTED_VALUE"""),"Meats")</f>
        <v>Meats</v>
      </c>
      <c r="D2200">
        <f>IFERROR(__xludf.DUMMYFUNCTION("""COMPUTED_VALUE"""),125.0)</f>
        <v>125</v>
      </c>
      <c r="E2200">
        <f>IFERROR(__xludf.DUMMYFUNCTION("""COMPUTED_VALUE"""),3.5)</f>
        <v>3.5</v>
      </c>
      <c r="F2200">
        <f>IFERROR(__xludf.DUMMYFUNCTION("""COMPUTED_VALUE"""),23.45)</f>
        <v>23.45</v>
      </c>
      <c r="G2200">
        <f>IFERROR(__xludf.DUMMYFUNCTION("""COMPUTED_VALUE"""),0.0)</f>
        <v>0</v>
      </c>
    </row>
    <row r="2201">
      <c r="A2201">
        <f>IFERROR(__xludf.DUMMYFUNCTION("""COMPUTED_VALUE"""),173983.0)</f>
        <v>173983</v>
      </c>
      <c r="B2201" t="str">
        <f>IFERROR(__xludf.DUMMYFUNCTION("""COMPUTED_VALUE"""),"Beef Round Top Round Roast Boneless Separable Lean And Fat Trimmed To 0 Inch Fat Choice Raw")</f>
        <v>Beef Round Top Round Roast Boneless Separable Lean And Fat Trimmed To 0 Inch Fat Choice Raw</v>
      </c>
      <c r="C2201" t="str">
        <f>IFERROR(__xludf.DUMMYFUNCTION("""COMPUTED_VALUE"""),"Meats")</f>
        <v>Meats</v>
      </c>
      <c r="D2201">
        <f>IFERROR(__xludf.DUMMYFUNCTION("""COMPUTED_VALUE"""),128.0)</f>
        <v>128</v>
      </c>
      <c r="E2201">
        <f>IFERROR(__xludf.DUMMYFUNCTION("""COMPUTED_VALUE"""),3.81)</f>
        <v>3.81</v>
      </c>
      <c r="F2201">
        <f>IFERROR(__xludf.DUMMYFUNCTION("""COMPUTED_VALUE"""),23.46)</f>
        <v>23.46</v>
      </c>
      <c r="G2201">
        <f>IFERROR(__xludf.DUMMYFUNCTION("""COMPUTED_VALUE"""),0.0)</f>
        <v>0</v>
      </c>
    </row>
    <row r="2202">
      <c r="A2202">
        <f>IFERROR(__xludf.DUMMYFUNCTION("""COMPUTED_VALUE"""),173984.0)</f>
        <v>173984</v>
      </c>
      <c r="B2202" t="str">
        <f>IFERROR(__xludf.DUMMYFUNCTION("""COMPUTED_VALUE"""),"Beef Round Eye Of Round Steak Boneless Separable Lean And Fat Trimmed To 0 Inch Fat All Grades Raw")</f>
        <v>Beef Round Eye Of Round Steak Boneless Separable Lean And Fat Trimmed To 0 Inch Fat All Grades Raw</v>
      </c>
      <c r="C2202" t="str">
        <f>IFERROR(__xludf.DUMMYFUNCTION("""COMPUTED_VALUE"""),"Meats")</f>
        <v>Meats</v>
      </c>
      <c r="D2202">
        <f>IFERROR(__xludf.DUMMYFUNCTION("""COMPUTED_VALUE"""),124.0)</f>
        <v>124</v>
      </c>
      <c r="E2202">
        <f>IFERROR(__xludf.DUMMYFUNCTION("""COMPUTED_VALUE"""),3.48)</f>
        <v>3.48</v>
      </c>
      <c r="F2202">
        <f>IFERROR(__xludf.DUMMYFUNCTION("""COMPUTED_VALUE"""),23.26)</f>
        <v>23.26</v>
      </c>
      <c r="G2202">
        <f>IFERROR(__xludf.DUMMYFUNCTION("""COMPUTED_VALUE"""),0.0)</f>
        <v>0</v>
      </c>
    </row>
    <row r="2203">
      <c r="A2203">
        <f>IFERROR(__xludf.DUMMYFUNCTION("""COMPUTED_VALUE"""),173985.0)</f>
        <v>173985</v>
      </c>
      <c r="B2203" t="str">
        <f>IFERROR(__xludf.DUMMYFUNCTION("""COMPUTED_VALUE"""),"Beef Round Eye Of Round Steak Boneless Separable Lean And Fat Trimmed To 0 Inch Fat Choice Raw")</f>
        <v>Beef Round Eye Of Round Steak Boneless Separable Lean And Fat Trimmed To 0 Inch Fat Choice Raw</v>
      </c>
      <c r="C2203" t="str">
        <f>IFERROR(__xludf.DUMMYFUNCTION("""COMPUTED_VALUE"""),"Meats")</f>
        <v>Meats</v>
      </c>
      <c r="D2203">
        <f>IFERROR(__xludf.DUMMYFUNCTION("""COMPUTED_VALUE"""),127.0)</f>
        <v>127</v>
      </c>
      <c r="E2203">
        <f>IFERROR(__xludf.DUMMYFUNCTION("""COMPUTED_VALUE"""),3.83)</f>
        <v>3.83</v>
      </c>
      <c r="F2203">
        <f>IFERROR(__xludf.DUMMYFUNCTION("""COMPUTED_VALUE"""),23.24)</f>
        <v>23.24</v>
      </c>
      <c r="G2203">
        <f>IFERROR(__xludf.DUMMYFUNCTION("""COMPUTED_VALUE"""),0.0)</f>
        <v>0</v>
      </c>
    </row>
    <row r="2204">
      <c r="A2204">
        <f>IFERROR(__xludf.DUMMYFUNCTION("""COMPUTED_VALUE"""),173986.0)</f>
        <v>173986</v>
      </c>
      <c r="B2204" t="str">
        <f>IFERROR(__xludf.DUMMYFUNCTION("""COMPUTED_VALUE"""),"Beef Round Eye Of Round Steak Boneless Separable Lean And Fat Trimmed To 0 Inch Fat Select Raw")</f>
        <v>Beef Round Eye Of Round Steak Boneless Separable Lean And Fat Trimmed To 0 Inch Fat Select Raw</v>
      </c>
      <c r="C2204" t="str">
        <f>IFERROR(__xludf.DUMMYFUNCTION("""COMPUTED_VALUE"""),"Meats")</f>
        <v>Meats</v>
      </c>
      <c r="D2204">
        <f>IFERROR(__xludf.DUMMYFUNCTION("""COMPUTED_VALUE"""),120.0)</f>
        <v>120</v>
      </c>
      <c r="E2204">
        <f>IFERROR(__xludf.DUMMYFUNCTION("""COMPUTED_VALUE"""),2.95)</f>
        <v>2.95</v>
      </c>
      <c r="F2204">
        <f>IFERROR(__xludf.DUMMYFUNCTION("""COMPUTED_VALUE"""),23.3)</f>
        <v>23.3</v>
      </c>
      <c r="G2204">
        <f>IFERROR(__xludf.DUMMYFUNCTION("""COMPUTED_VALUE"""),0.0)</f>
        <v>0</v>
      </c>
    </row>
    <row r="2205">
      <c r="A2205">
        <f>IFERROR(__xludf.DUMMYFUNCTION("""COMPUTED_VALUE"""),173987.0)</f>
        <v>173987</v>
      </c>
      <c r="B2205" t="str">
        <f>IFERROR(__xludf.DUMMYFUNCTION("""COMPUTED_VALUE"""),"Beef Loin Tenderloin Roast Boneless Separable Lean And Fat Trimmed To 0 Inch Fat All Grades Raw")</f>
        <v>Beef Loin Tenderloin Roast Boneless Separable Lean And Fat Trimmed To 0 Inch Fat All Grades Raw</v>
      </c>
      <c r="C2205" t="str">
        <f>IFERROR(__xludf.DUMMYFUNCTION("""COMPUTED_VALUE"""),"Meats")</f>
        <v>Meats</v>
      </c>
      <c r="D2205">
        <f>IFERROR(__xludf.DUMMYFUNCTION("""COMPUTED_VALUE"""),149.0)</f>
        <v>149</v>
      </c>
      <c r="E2205">
        <f>IFERROR(__xludf.DUMMYFUNCTION("""COMPUTED_VALUE"""),6.93)</f>
        <v>6.93</v>
      </c>
      <c r="F2205">
        <f>IFERROR(__xludf.DUMMYFUNCTION("""COMPUTED_VALUE"""),21.67)</f>
        <v>21.67</v>
      </c>
      <c r="G2205">
        <f>IFERROR(__xludf.DUMMYFUNCTION("""COMPUTED_VALUE"""),0.0)</f>
        <v>0</v>
      </c>
    </row>
    <row r="2206">
      <c r="A2206">
        <f>IFERROR(__xludf.DUMMYFUNCTION("""COMPUTED_VALUE"""),173988.0)</f>
        <v>173988</v>
      </c>
      <c r="B2206" t="str">
        <f>IFERROR(__xludf.DUMMYFUNCTION("""COMPUTED_VALUE"""),"Beef Loin Tenderloin Steak Boneless Separable Lean And Fat Trimmed To 0 Inch Fat All Grades Raw")</f>
        <v>Beef Loin Tenderloin Steak Boneless Separable Lean And Fat Trimmed To 0 Inch Fat All Grades Raw</v>
      </c>
      <c r="C2206" t="str">
        <f>IFERROR(__xludf.DUMMYFUNCTION("""COMPUTED_VALUE"""),"Meats")</f>
        <v>Meats</v>
      </c>
      <c r="D2206">
        <f>IFERROR(__xludf.DUMMYFUNCTION("""COMPUTED_VALUE"""),147.0)</f>
        <v>147</v>
      </c>
      <c r="E2206">
        <f>IFERROR(__xludf.DUMMYFUNCTION("""COMPUTED_VALUE"""),6.67)</f>
        <v>6.67</v>
      </c>
      <c r="F2206">
        <f>IFERROR(__xludf.DUMMYFUNCTION("""COMPUTED_VALUE"""),21.72)</f>
        <v>21.72</v>
      </c>
      <c r="G2206">
        <f>IFERROR(__xludf.DUMMYFUNCTION("""COMPUTED_VALUE"""),0.0)</f>
        <v>0</v>
      </c>
    </row>
    <row r="2207">
      <c r="A2207">
        <f>IFERROR(__xludf.DUMMYFUNCTION("""COMPUTED_VALUE"""),173989.0)</f>
        <v>173989</v>
      </c>
      <c r="B2207" t="str">
        <f>IFERROR(__xludf.DUMMYFUNCTION("""COMPUTED_VALUE"""),"Beef Loin Tenderloin Steak Boneless Separable Lean And Fat Trimmed To 0 Inch Fat Choice Raw")</f>
        <v>Beef Loin Tenderloin Steak Boneless Separable Lean And Fat Trimmed To 0 Inch Fat Choice Raw</v>
      </c>
      <c r="C2207" t="str">
        <f>IFERROR(__xludf.DUMMYFUNCTION("""COMPUTED_VALUE"""),"Meats")</f>
        <v>Meats</v>
      </c>
      <c r="D2207">
        <f>IFERROR(__xludf.DUMMYFUNCTION("""COMPUTED_VALUE"""),150.0)</f>
        <v>150</v>
      </c>
      <c r="E2207">
        <f>IFERROR(__xludf.DUMMYFUNCTION("""COMPUTED_VALUE"""),7.1)</f>
        <v>7.1</v>
      </c>
      <c r="F2207">
        <f>IFERROR(__xludf.DUMMYFUNCTION("""COMPUTED_VALUE"""),21.57)</f>
        <v>21.57</v>
      </c>
      <c r="G2207">
        <f>IFERROR(__xludf.DUMMYFUNCTION("""COMPUTED_VALUE"""),0.0)</f>
        <v>0</v>
      </c>
    </row>
    <row r="2208">
      <c r="A2208">
        <f>IFERROR(__xludf.DUMMYFUNCTION("""COMPUTED_VALUE"""),173990.0)</f>
        <v>173990</v>
      </c>
      <c r="B2208" t="str">
        <f>IFERROR(__xludf.DUMMYFUNCTION("""COMPUTED_VALUE"""),"Beef Loin Tenderloin Steak Boneless Separable Lean And Fat Trimmed To 0 Inch Fat Select Raw")</f>
        <v>Beef Loin Tenderloin Steak Boneless Separable Lean And Fat Trimmed To 0 Inch Fat Select Raw</v>
      </c>
      <c r="C2208" t="str">
        <f>IFERROR(__xludf.DUMMYFUNCTION("""COMPUTED_VALUE"""),"Meats")</f>
        <v>Meats</v>
      </c>
      <c r="D2208">
        <f>IFERROR(__xludf.DUMMYFUNCTION("""COMPUTED_VALUE"""),142.0)</f>
        <v>142</v>
      </c>
      <c r="E2208">
        <f>IFERROR(__xludf.DUMMYFUNCTION("""COMPUTED_VALUE"""),6.02)</f>
        <v>6.02</v>
      </c>
      <c r="F2208">
        <f>IFERROR(__xludf.DUMMYFUNCTION("""COMPUTED_VALUE"""),21.95)</f>
        <v>21.95</v>
      </c>
      <c r="G2208">
        <f>IFERROR(__xludf.DUMMYFUNCTION("""COMPUTED_VALUE"""),0.0)</f>
        <v>0</v>
      </c>
    </row>
    <row r="2209">
      <c r="A2209">
        <f>IFERROR(__xludf.DUMMYFUNCTION("""COMPUTED_VALUE"""),173991.0)</f>
        <v>173991</v>
      </c>
      <c r="B2209" t="str">
        <f>IFERROR(__xludf.DUMMYFUNCTION("""COMPUTED_VALUE"""),"Beef Loin Tenderloin Roast Boneless Separable Lean And Fat Trimmed To 0 Inch Fat All Grades Cooked Roasted")</f>
        <v>Beef Loin Tenderloin Roast Boneless Separable Lean And Fat Trimmed To 0 Inch Fat All Grades Cooked Roasted</v>
      </c>
      <c r="C2209" t="str">
        <f>IFERROR(__xludf.DUMMYFUNCTION("""COMPUTED_VALUE"""),"Meats")</f>
        <v>Meats</v>
      </c>
      <c r="D2209">
        <f>IFERROR(__xludf.DUMMYFUNCTION("""COMPUTED_VALUE"""),183.0)</f>
        <v>183</v>
      </c>
      <c r="E2209">
        <f>IFERROR(__xludf.DUMMYFUNCTION("""COMPUTED_VALUE"""),8.14)</f>
        <v>8.14</v>
      </c>
      <c r="F2209">
        <f>IFERROR(__xludf.DUMMYFUNCTION("""COMPUTED_VALUE"""),27.31)</f>
        <v>27.31</v>
      </c>
      <c r="G2209">
        <f>IFERROR(__xludf.DUMMYFUNCTION("""COMPUTED_VALUE"""),0.0)</f>
        <v>0</v>
      </c>
    </row>
    <row r="2210">
      <c r="A2210">
        <f>IFERROR(__xludf.DUMMYFUNCTION("""COMPUTED_VALUE"""),173992.0)</f>
        <v>173992</v>
      </c>
      <c r="B2210" t="str">
        <f>IFERROR(__xludf.DUMMYFUNCTION("""COMPUTED_VALUE"""),"Beef Round Top Round Roast Boneless Separable Lean And Fat Trimmed To 0 Inch Fat Select Cooked Roasted")</f>
        <v>Beef Round Top Round Roast Boneless Separable Lean And Fat Trimmed To 0 Inch Fat Select Cooked Roasted</v>
      </c>
      <c r="C2210" t="str">
        <f>IFERROR(__xludf.DUMMYFUNCTION("""COMPUTED_VALUE"""),"Meats")</f>
        <v>Meats</v>
      </c>
      <c r="D2210">
        <f>IFERROR(__xludf.DUMMYFUNCTION("""COMPUTED_VALUE"""),157.0)</f>
        <v>157</v>
      </c>
      <c r="E2210">
        <f>IFERROR(__xludf.DUMMYFUNCTION("""COMPUTED_VALUE"""),3.72)</f>
        <v>3.72</v>
      </c>
      <c r="F2210">
        <f>IFERROR(__xludf.DUMMYFUNCTION("""COMPUTED_VALUE"""),30.97)</f>
        <v>30.97</v>
      </c>
      <c r="G2210">
        <f>IFERROR(__xludf.DUMMYFUNCTION("""COMPUTED_VALUE"""),0.0)</f>
        <v>0</v>
      </c>
    </row>
    <row r="2211">
      <c r="A2211">
        <f>IFERROR(__xludf.DUMMYFUNCTION("""COMPUTED_VALUE"""),173993.0)</f>
        <v>173993</v>
      </c>
      <c r="B2211" t="str">
        <f>IFERROR(__xludf.DUMMYFUNCTION("""COMPUTED_VALUE"""),"Beef Round Eye Of Round Steak Boneless Separable Lean And Fat Trimmed To 0 Inch Fat All Grades Cooked Grilled")</f>
        <v>Beef Round Eye Of Round Steak Boneless Separable Lean And Fat Trimmed To 0 Inch Fat All Grades Cooked Grilled</v>
      </c>
      <c r="C2211" t="str">
        <f>IFERROR(__xludf.DUMMYFUNCTION("""COMPUTED_VALUE"""),"Meats")</f>
        <v>Meats</v>
      </c>
      <c r="D2211">
        <f>IFERROR(__xludf.DUMMYFUNCTION("""COMPUTED_VALUE"""),159.0)</f>
        <v>159</v>
      </c>
      <c r="E2211">
        <f>IFERROR(__xludf.DUMMYFUNCTION("""COMPUTED_VALUE"""),4.47)</f>
        <v>4.47</v>
      </c>
      <c r="F2211">
        <f>IFERROR(__xludf.DUMMYFUNCTION("""COMPUTED_VALUE"""),29.66)</f>
        <v>29.66</v>
      </c>
      <c r="G2211">
        <f>IFERROR(__xludf.DUMMYFUNCTION("""COMPUTED_VALUE"""),0.0)</f>
        <v>0</v>
      </c>
    </row>
    <row r="2212">
      <c r="A2212">
        <f>IFERROR(__xludf.DUMMYFUNCTION("""COMPUTED_VALUE"""),173994.0)</f>
        <v>173994</v>
      </c>
      <c r="B2212" t="str">
        <f>IFERROR(__xludf.DUMMYFUNCTION("""COMPUTED_VALUE"""),"Beef Round Eye Of Round Steak Boneless Separable Lean And Fat Trimmed To 0 Inch Fat Choice Cooked Grilled")</f>
        <v>Beef Round Eye Of Round Steak Boneless Separable Lean And Fat Trimmed To 0 Inch Fat Choice Cooked Grilled</v>
      </c>
      <c r="C2212" t="str">
        <f>IFERROR(__xludf.DUMMYFUNCTION("""COMPUTED_VALUE"""),"Meats")</f>
        <v>Meats</v>
      </c>
      <c r="D2212">
        <f>IFERROR(__xludf.DUMMYFUNCTION("""COMPUTED_VALUE"""),163.0)</f>
        <v>163</v>
      </c>
      <c r="E2212">
        <f>IFERROR(__xludf.DUMMYFUNCTION("""COMPUTED_VALUE"""),4.83)</f>
        <v>4.83</v>
      </c>
      <c r="F2212">
        <f>IFERROR(__xludf.DUMMYFUNCTION("""COMPUTED_VALUE"""),29.79)</f>
        <v>29.79</v>
      </c>
      <c r="G2212">
        <f>IFERROR(__xludf.DUMMYFUNCTION("""COMPUTED_VALUE"""),0.0)</f>
        <v>0</v>
      </c>
    </row>
    <row r="2213">
      <c r="A2213">
        <f>IFERROR(__xludf.DUMMYFUNCTION("""COMPUTED_VALUE"""),173995.0)</f>
        <v>173995</v>
      </c>
      <c r="B2213" t="str">
        <f>IFERROR(__xludf.DUMMYFUNCTION("""COMPUTED_VALUE"""),"Beef Round Eye Of Round Steak Boneless Separable Lean And Fat Trimmed To 0 Inch Fat Select Cooked Grilled")</f>
        <v>Beef Round Eye Of Round Steak Boneless Separable Lean And Fat Trimmed To 0 Inch Fat Select Cooked Grilled</v>
      </c>
      <c r="C2213" t="str">
        <f>IFERROR(__xludf.DUMMYFUNCTION("""COMPUTED_VALUE"""),"Meats")</f>
        <v>Meats</v>
      </c>
      <c r="D2213">
        <f>IFERROR(__xludf.DUMMYFUNCTION("""COMPUTED_VALUE"""),154.0)</f>
        <v>154</v>
      </c>
      <c r="E2213">
        <f>IFERROR(__xludf.DUMMYFUNCTION("""COMPUTED_VALUE"""),3.98)</f>
        <v>3.98</v>
      </c>
      <c r="F2213">
        <f>IFERROR(__xludf.DUMMYFUNCTION("""COMPUTED_VALUE"""),29.47)</f>
        <v>29.47</v>
      </c>
      <c r="G2213">
        <f>IFERROR(__xludf.DUMMYFUNCTION("""COMPUTED_VALUE"""),0.0)</f>
        <v>0</v>
      </c>
    </row>
    <row r="2214">
      <c r="A2214">
        <f>IFERROR(__xludf.DUMMYFUNCTION("""COMPUTED_VALUE"""),173996.0)</f>
        <v>173996</v>
      </c>
      <c r="B2214" t="str">
        <f>IFERROR(__xludf.DUMMYFUNCTION("""COMPUTED_VALUE"""),"Beef Round Top Round Roast Boneless Separable Lean Only Trimmed To 0 Inch Fat Choice Raw")</f>
        <v>Beef Round Top Round Roast Boneless Separable Lean Only Trimmed To 0 Inch Fat Choice Raw</v>
      </c>
      <c r="C2214" t="str">
        <f>IFERROR(__xludf.DUMMYFUNCTION("""COMPUTED_VALUE"""),"Meats")</f>
        <v>Meats</v>
      </c>
      <c r="D2214">
        <f>IFERROR(__xludf.DUMMYFUNCTION("""COMPUTED_VALUE"""),124.0)</f>
        <v>124</v>
      </c>
      <c r="E2214">
        <f>IFERROR(__xludf.DUMMYFUNCTION("""COMPUTED_VALUE"""),3.26)</f>
        <v>3.26</v>
      </c>
      <c r="F2214">
        <f>IFERROR(__xludf.DUMMYFUNCTION("""COMPUTED_VALUE"""),23.59)</f>
        <v>23.59</v>
      </c>
      <c r="G2214">
        <f>IFERROR(__xludf.DUMMYFUNCTION("""COMPUTED_VALUE"""),0.0)</f>
        <v>0</v>
      </c>
    </row>
    <row r="2215">
      <c r="A2215">
        <f>IFERROR(__xludf.DUMMYFUNCTION("""COMPUTED_VALUE"""),173997.0)</f>
        <v>173997</v>
      </c>
      <c r="B2215" t="str">
        <f>IFERROR(__xludf.DUMMYFUNCTION("""COMPUTED_VALUE"""),"Beef Round Top Round Roast Boneless Separable Lean Only Trimmed To 0 Inch Fat Select Raw")</f>
        <v>Beef Round Top Round Roast Boneless Separable Lean Only Trimmed To 0 Inch Fat Select Raw</v>
      </c>
      <c r="C2215" t="str">
        <f>IFERROR(__xludf.DUMMYFUNCTION("""COMPUTED_VALUE"""),"Meats")</f>
        <v>Meats</v>
      </c>
      <c r="D2215">
        <f>IFERROR(__xludf.DUMMYFUNCTION("""COMPUTED_VALUE"""),116.0)</f>
        <v>116</v>
      </c>
      <c r="E2215">
        <f>IFERROR(__xludf.DUMMYFUNCTION("""COMPUTED_VALUE"""),2.45)</f>
        <v>2.45</v>
      </c>
      <c r="F2215">
        <f>IFERROR(__xludf.DUMMYFUNCTION("""COMPUTED_VALUE"""),23.59)</f>
        <v>23.59</v>
      </c>
      <c r="G2215">
        <f>IFERROR(__xludf.DUMMYFUNCTION("""COMPUTED_VALUE"""),0.0)</f>
        <v>0</v>
      </c>
    </row>
    <row r="2216">
      <c r="A2216">
        <f>IFERROR(__xludf.DUMMYFUNCTION("""COMPUTED_VALUE"""),173998.0)</f>
        <v>173998</v>
      </c>
      <c r="B2216" t="str">
        <f>IFERROR(__xludf.DUMMYFUNCTION("""COMPUTED_VALUE"""),"Beef Round Eye Of Round Roast Boneless Separable Lean Only Trimmed To 0 Inch Fat All Grades Raw")</f>
        <v>Beef Round Eye Of Round Roast Boneless Separable Lean Only Trimmed To 0 Inch Fat All Grades Raw</v>
      </c>
      <c r="C2216" t="str">
        <f>IFERROR(__xludf.DUMMYFUNCTION("""COMPUTED_VALUE"""),"Meats")</f>
        <v>Meats</v>
      </c>
      <c r="D2216">
        <f>IFERROR(__xludf.DUMMYFUNCTION("""COMPUTED_VALUE"""),121.0)</f>
        <v>121</v>
      </c>
      <c r="E2216">
        <f>IFERROR(__xludf.DUMMYFUNCTION("""COMPUTED_VALUE"""),3.04)</f>
        <v>3.04</v>
      </c>
      <c r="F2216">
        <f>IFERROR(__xludf.DUMMYFUNCTION("""COMPUTED_VALUE"""),23.37)</f>
        <v>23.37</v>
      </c>
      <c r="G2216">
        <f>IFERROR(__xludf.DUMMYFUNCTION("""COMPUTED_VALUE"""),0.0)</f>
        <v>0</v>
      </c>
    </row>
    <row r="2217">
      <c r="A2217">
        <f>IFERROR(__xludf.DUMMYFUNCTION("""COMPUTED_VALUE"""),173999.0)</f>
        <v>173999</v>
      </c>
      <c r="B2217" t="str">
        <f>IFERROR(__xludf.DUMMYFUNCTION("""COMPUTED_VALUE"""),"Beef Round Eye Of Round Roast Boneless Separable Lean Only Trimmed To 0 Inch Fat Choice Raw")</f>
        <v>Beef Round Eye Of Round Roast Boneless Separable Lean Only Trimmed To 0 Inch Fat Choice Raw</v>
      </c>
      <c r="C2217" t="str">
        <f>IFERROR(__xludf.DUMMYFUNCTION("""COMPUTED_VALUE"""),"Meats")</f>
        <v>Meats</v>
      </c>
      <c r="D2217">
        <f>IFERROR(__xludf.DUMMYFUNCTION("""COMPUTED_VALUE"""),124.0)</f>
        <v>124</v>
      </c>
      <c r="E2217">
        <f>IFERROR(__xludf.DUMMYFUNCTION("""COMPUTED_VALUE"""),3.38)</f>
        <v>3.38</v>
      </c>
      <c r="F2217">
        <f>IFERROR(__xludf.DUMMYFUNCTION("""COMPUTED_VALUE"""),23.35)</f>
        <v>23.35</v>
      </c>
      <c r="G2217">
        <f>IFERROR(__xludf.DUMMYFUNCTION("""COMPUTED_VALUE"""),0.0)</f>
        <v>0</v>
      </c>
    </row>
    <row r="2218">
      <c r="A2218">
        <f>IFERROR(__xludf.DUMMYFUNCTION("""COMPUTED_VALUE"""),174000.0)</f>
        <v>174000</v>
      </c>
      <c r="B2218" t="str">
        <f>IFERROR(__xludf.DUMMYFUNCTION("""COMPUTED_VALUE"""),"Beef Loin Tenderloin Roast Boneless Separable Lean Only Trimmed To 0 Inch Fat Choice Raw")</f>
        <v>Beef Loin Tenderloin Roast Boneless Separable Lean Only Trimmed To 0 Inch Fat Choice Raw</v>
      </c>
      <c r="C2218" t="str">
        <f>IFERROR(__xludf.DUMMYFUNCTION("""COMPUTED_VALUE"""),"Meats")</f>
        <v>Meats</v>
      </c>
      <c r="D2218">
        <f>IFERROR(__xludf.DUMMYFUNCTION("""COMPUTED_VALUE"""),143.0)</f>
        <v>143</v>
      </c>
      <c r="E2218">
        <f>IFERROR(__xludf.DUMMYFUNCTION("""COMPUTED_VALUE"""),6.16)</f>
        <v>6.16</v>
      </c>
      <c r="F2218">
        <f>IFERROR(__xludf.DUMMYFUNCTION("""COMPUTED_VALUE"""),21.78)</f>
        <v>21.78</v>
      </c>
      <c r="G2218">
        <f>IFERROR(__xludf.DUMMYFUNCTION("""COMPUTED_VALUE"""),0.0)</f>
        <v>0</v>
      </c>
    </row>
    <row r="2219">
      <c r="A2219">
        <f>IFERROR(__xludf.DUMMYFUNCTION("""COMPUTED_VALUE"""),174001.0)</f>
        <v>174001</v>
      </c>
      <c r="B2219" t="str">
        <f>IFERROR(__xludf.DUMMYFUNCTION("""COMPUTED_VALUE"""),"Beef Loin Tenderloin Roast Boneless Separable Lean Only Trimmed To 0 Inch Fat Select Raw")</f>
        <v>Beef Loin Tenderloin Roast Boneless Separable Lean Only Trimmed To 0 Inch Fat Select Raw</v>
      </c>
      <c r="C2219" t="str">
        <f>IFERROR(__xludf.DUMMYFUNCTION("""COMPUTED_VALUE"""),"Meats")</f>
        <v>Meats</v>
      </c>
      <c r="D2219">
        <f>IFERROR(__xludf.DUMMYFUNCTION("""COMPUTED_VALUE"""),135.0)</f>
        <v>135</v>
      </c>
      <c r="E2219">
        <f>IFERROR(__xludf.DUMMYFUNCTION("""COMPUTED_VALUE"""),5.1)</f>
        <v>5.1</v>
      </c>
      <c r="F2219">
        <f>IFERROR(__xludf.DUMMYFUNCTION("""COMPUTED_VALUE"""),22.16)</f>
        <v>22.16</v>
      </c>
      <c r="G2219">
        <f>IFERROR(__xludf.DUMMYFUNCTION("""COMPUTED_VALUE"""),0.0)</f>
        <v>0</v>
      </c>
    </row>
    <row r="2220">
      <c r="A2220">
        <f>IFERROR(__xludf.DUMMYFUNCTION("""COMPUTED_VALUE"""),174002.0)</f>
        <v>174002</v>
      </c>
      <c r="B2220" t="str">
        <f>IFERROR(__xludf.DUMMYFUNCTION("""COMPUTED_VALUE"""),"Beef Loin Top Loin Steak Boneless Lip Off Separable Lean Only Trimmed To 0 Inch Fat All Grades Raw")</f>
        <v>Beef Loin Top Loin Steak Boneless Lip Off Separable Lean Only Trimmed To 0 Inch Fat All Grades Raw</v>
      </c>
      <c r="C2220" t="str">
        <f>IFERROR(__xludf.DUMMYFUNCTION("""COMPUTED_VALUE"""),"Meats")</f>
        <v>Meats</v>
      </c>
      <c r="D2220">
        <f>IFERROR(__xludf.DUMMYFUNCTION("""COMPUTED_VALUE"""),143.0)</f>
        <v>143</v>
      </c>
      <c r="E2220">
        <f>IFERROR(__xludf.DUMMYFUNCTION("""COMPUTED_VALUE"""),5.67)</f>
        <v>5.67</v>
      </c>
      <c r="F2220">
        <f>IFERROR(__xludf.DUMMYFUNCTION("""COMPUTED_VALUE"""),23.07)</f>
        <v>23.07</v>
      </c>
      <c r="G2220">
        <f>IFERROR(__xludf.DUMMYFUNCTION("""COMPUTED_VALUE"""),0.0)</f>
        <v>0</v>
      </c>
    </row>
    <row r="2221">
      <c r="A2221">
        <f>IFERROR(__xludf.DUMMYFUNCTION("""COMPUTED_VALUE"""),174003.0)</f>
        <v>174003</v>
      </c>
      <c r="B2221" t="str">
        <f>IFERROR(__xludf.DUMMYFUNCTION("""COMPUTED_VALUE"""),"Beef Loin Top Loin Steak Boneless Lip Off Separable Lean Only Trimmed To 0 Inch Fat Choice Raw")</f>
        <v>Beef Loin Top Loin Steak Boneless Lip Off Separable Lean Only Trimmed To 0 Inch Fat Choice Raw</v>
      </c>
      <c r="C2221" t="str">
        <f>IFERROR(__xludf.DUMMYFUNCTION("""COMPUTED_VALUE"""),"Meats")</f>
        <v>Meats</v>
      </c>
      <c r="D2221">
        <f>IFERROR(__xludf.DUMMYFUNCTION("""COMPUTED_VALUE"""),149.0)</f>
        <v>149</v>
      </c>
      <c r="E2221">
        <f>IFERROR(__xludf.DUMMYFUNCTION("""COMPUTED_VALUE"""),6.34)</f>
        <v>6.34</v>
      </c>
      <c r="F2221">
        <f>IFERROR(__xludf.DUMMYFUNCTION("""COMPUTED_VALUE"""),22.93)</f>
        <v>22.93</v>
      </c>
      <c r="G2221">
        <f>IFERROR(__xludf.DUMMYFUNCTION("""COMPUTED_VALUE"""),0.0)</f>
        <v>0</v>
      </c>
    </row>
    <row r="2222">
      <c r="A2222">
        <f>IFERROR(__xludf.DUMMYFUNCTION("""COMPUTED_VALUE"""),174004.0)</f>
        <v>174004</v>
      </c>
      <c r="B2222" t="str">
        <f>IFERROR(__xludf.DUMMYFUNCTION("""COMPUTED_VALUE"""),"Beef Loin Tenderloin Roast Boneless Separable Lean Only Trimmed To 0 Inch Fat All Grades Cooked Roasted")</f>
        <v>Beef Loin Tenderloin Roast Boneless Separable Lean Only Trimmed To 0 Inch Fat All Grades Cooked Roasted</v>
      </c>
      <c r="C2222" t="str">
        <f>IFERROR(__xludf.DUMMYFUNCTION("""COMPUTED_VALUE"""),"Meats")</f>
        <v>Meats</v>
      </c>
      <c r="D2222">
        <f>IFERROR(__xludf.DUMMYFUNCTION("""COMPUTED_VALUE"""),177.0)</f>
        <v>177</v>
      </c>
      <c r="E2222">
        <f>IFERROR(__xludf.DUMMYFUNCTION("""COMPUTED_VALUE"""),7.49)</f>
        <v>7.49</v>
      </c>
      <c r="F2222">
        <f>IFERROR(__xludf.DUMMYFUNCTION("""COMPUTED_VALUE"""),27.51)</f>
        <v>27.51</v>
      </c>
      <c r="G2222">
        <f>IFERROR(__xludf.DUMMYFUNCTION("""COMPUTED_VALUE"""),0.0)</f>
        <v>0</v>
      </c>
    </row>
    <row r="2223">
      <c r="A2223">
        <f>IFERROR(__xludf.DUMMYFUNCTION("""COMPUTED_VALUE"""),174005.0)</f>
        <v>174005</v>
      </c>
      <c r="B2223" t="str">
        <f>IFERROR(__xludf.DUMMYFUNCTION("""COMPUTED_VALUE"""),"Beef Loin Tenderloin Roast Boneless Separable Lean Only Trimmed To 0 Inch Fat Choice Cooked Roasted")</f>
        <v>Beef Loin Tenderloin Roast Boneless Separable Lean Only Trimmed To 0 Inch Fat Choice Cooked Roasted</v>
      </c>
      <c r="C2223" t="str">
        <f>IFERROR(__xludf.DUMMYFUNCTION("""COMPUTED_VALUE"""),"Meats")</f>
        <v>Meats</v>
      </c>
      <c r="D2223">
        <f>IFERROR(__xludf.DUMMYFUNCTION("""COMPUTED_VALUE"""),183.0)</f>
        <v>183</v>
      </c>
      <c r="E2223">
        <f>IFERROR(__xludf.DUMMYFUNCTION("""COMPUTED_VALUE"""),8.13)</f>
        <v>8.13</v>
      </c>
      <c r="F2223">
        <f>IFERROR(__xludf.DUMMYFUNCTION("""COMPUTED_VALUE"""),27.48)</f>
        <v>27.48</v>
      </c>
      <c r="G2223">
        <f>IFERROR(__xludf.DUMMYFUNCTION("""COMPUTED_VALUE"""),0.0)</f>
        <v>0</v>
      </c>
    </row>
    <row r="2224">
      <c r="A2224">
        <f>IFERROR(__xludf.DUMMYFUNCTION("""COMPUTED_VALUE"""),174006.0)</f>
        <v>174006</v>
      </c>
      <c r="B2224" t="str">
        <f>IFERROR(__xludf.DUMMYFUNCTION("""COMPUTED_VALUE"""),"Beef Loin Tenderloin Roast Separable Lean Only Boneless Trimmed To 0 Inch Fat Select Cooked Roasted")</f>
        <v>Beef Loin Tenderloin Roast Separable Lean Only Boneless Trimmed To 0 Inch Fat Select Cooked Roasted</v>
      </c>
      <c r="C2224" t="str">
        <f>IFERROR(__xludf.DUMMYFUNCTION("""COMPUTED_VALUE"""),"Meats")</f>
        <v>Meats</v>
      </c>
      <c r="D2224">
        <f>IFERROR(__xludf.DUMMYFUNCTION("""COMPUTED_VALUE"""),169.0)</f>
        <v>169</v>
      </c>
      <c r="E2224">
        <f>IFERROR(__xludf.DUMMYFUNCTION("""COMPUTED_VALUE"""),6.54)</f>
        <v>6.54</v>
      </c>
      <c r="F2224">
        <f>IFERROR(__xludf.DUMMYFUNCTION("""COMPUTED_VALUE"""),27.55)</f>
        <v>27.55</v>
      </c>
      <c r="G2224">
        <f>IFERROR(__xludf.DUMMYFUNCTION("""COMPUTED_VALUE"""),0.0)</f>
        <v>0</v>
      </c>
    </row>
    <row r="2225">
      <c r="A2225">
        <f>IFERROR(__xludf.DUMMYFUNCTION("""COMPUTED_VALUE"""),174007.0)</f>
        <v>174007</v>
      </c>
      <c r="B2225" t="str">
        <f>IFERROR(__xludf.DUMMYFUNCTION("""COMPUTED_VALUE"""),"Beef Round Top Round Roast Boneless Separable Lean Only Trimmed To 0 Inch Fat All Grades Cooked Roasted")</f>
        <v>Beef Round Top Round Roast Boneless Separable Lean Only Trimmed To 0 Inch Fat All Grades Cooked Roasted</v>
      </c>
      <c r="C2225" t="str">
        <f>IFERROR(__xludf.DUMMYFUNCTION("""COMPUTED_VALUE"""),"Meats")</f>
        <v>Meats</v>
      </c>
      <c r="D2225">
        <f>IFERROR(__xludf.DUMMYFUNCTION("""COMPUTED_VALUE"""),162.0)</f>
        <v>162</v>
      </c>
      <c r="E2225">
        <f>IFERROR(__xludf.DUMMYFUNCTION("""COMPUTED_VALUE"""),3.77)</f>
        <v>3.77</v>
      </c>
      <c r="F2225">
        <f>IFERROR(__xludf.DUMMYFUNCTION("""COMPUTED_VALUE"""),30.09)</f>
        <v>30.09</v>
      </c>
      <c r="G2225">
        <f>IFERROR(__xludf.DUMMYFUNCTION("""COMPUTED_VALUE"""),0.0)</f>
        <v>0</v>
      </c>
    </row>
    <row r="2226">
      <c r="A2226">
        <f>IFERROR(__xludf.DUMMYFUNCTION("""COMPUTED_VALUE"""),174008.0)</f>
        <v>174008</v>
      </c>
      <c r="B2226" t="str">
        <f>IFERROR(__xludf.DUMMYFUNCTION("""COMPUTED_VALUE"""),"Beef Round Eye Of Round Steak Boneless Separable Lean Only Trimmed To 0 Inch Fat Select Cooked Grilled")</f>
        <v>Beef Round Eye Of Round Steak Boneless Separable Lean Only Trimmed To 0 Inch Fat Select Cooked Grilled</v>
      </c>
      <c r="C2226" t="str">
        <f>IFERROR(__xludf.DUMMYFUNCTION("""COMPUTED_VALUE"""),"Meats")</f>
        <v>Meats</v>
      </c>
      <c r="D2226">
        <f>IFERROR(__xludf.DUMMYFUNCTION("""COMPUTED_VALUE"""),149.0)</f>
        <v>149</v>
      </c>
      <c r="E2226">
        <f>IFERROR(__xludf.DUMMYFUNCTION("""COMPUTED_VALUE"""),3.43)</f>
        <v>3.43</v>
      </c>
      <c r="F2226">
        <f>IFERROR(__xludf.DUMMYFUNCTION("""COMPUTED_VALUE"""),29.52)</f>
        <v>29.52</v>
      </c>
      <c r="G2226">
        <f>IFERROR(__xludf.DUMMYFUNCTION("""COMPUTED_VALUE"""),0.0)</f>
        <v>0</v>
      </c>
    </row>
    <row r="2227">
      <c r="A2227">
        <f>IFERROR(__xludf.DUMMYFUNCTION("""COMPUTED_VALUE"""),174009.0)</f>
        <v>174009</v>
      </c>
      <c r="B2227" t="str">
        <f>IFERROR(__xludf.DUMMYFUNCTION("""COMPUTED_VALUE"""),"Beef Loin Top Loin Steak Boneless Lip-On Separable Lean Only Trimmed To 1/8 Inch Fat Select Raw")</f>
        <v>Beef Loin Top Loin Steak Boneless Lip-On Separable Lean Only Trimmed To 1/8 Inch Fat Select Raw</v>
      </c>
      <c r="C2227" t="str">
        <f>IFERROR(__xludf.DUMMYFUNCTION("""COMPUTED_VALUE"""),"Meats")</f>
        <v>Meats</v>
      </c>
      <c r="D2227">
        <f>IFERROR(__xludf.DUMMYFUNCTION("""COMPUTED_VALUE"""),135.0)</f>
        <v>135</v>
      </c>
      <c r="E2227">
        <f>IFERROR(__xludf.DUMMYFUNCTION("""COMPUTED_VALUE"""),4.66)</f>
        <v>4.66</v>
      </c>
      <c r="F2227">
        <f>IFERROR(__xludf.DUMMYFUNCTION("""COMPUTED_VALUE"""),23.3)</f>
        <v>23.3</v>
      </c>
      <c r="G2227">
        <f>IFERROR(__xludf.DUMMYFUNCTION("""COMPUTED_VALUE"""),0.0)</f>
        <v>0</v>
      </c>
    </row>
    <row r="2228">
      <c r="A2228">
        <f>IFERROR(__xludf.DUMMYFUNCTION("""COMPUTED_VALUE"""),174010.0)</f>
        <v>174010</v>
      </c>
      <c r="B2228" t="str">
        <f>IFERROR(__xludf.DUMMYFUNCTION("""COMPUTED_VALUE"""),"Beef Loin Top Loin Steak Boneless Lip-On Separable Lean Only Trimmed To 1/8 Inch Fat Choice Raw")</f>
        <v>Beef Loin Top Loin Steak Boneless Lip-On Separable Lean Only Trimmed To 1/8 Inch Fat Choice Raw</v>
      </c>
      <c r="C2228" t="str">
        <f>IFERROR(__xludf.DUMMYFUNCTION("""COMPUTED_VALUE"""),"Meats")</f>
        <v>Meats</v>
      </c>
      <c r="D2228">
        <f>IFERROR(__xludf.DUMMYFUNCTION("""COMPUTED_VALUE"""),149.0)</f>
        <v>149</v>
      </c>
      <c r="E2228">
        <f>IFERROR(__xludf.DUMMYFUNCTION("""COMPUTED_VALUE"""),6.34)</f>
        <v>6.34</v>
      </c>
      <c r="F2228">
        <f>IFERROR(__xludf.DUMMYFUNCTION("""COMPUTED_VALUE"""),22.93)</f>
        <v>22.93</v>
      </c>
      <c r="G2228">
        <f>IFERROR(__xludf.DUMMYFUNCTION("""COMPUTED_VALUE"""),0.0)</f>
        <v>0</v>
      </c>
    </row>
    <row r="2229">
      <c r="A2229">
        <f>IFERROR(__xludf.DUMMYFUNCTION("""COMPUTED_VALUE"""),174011.0)</f>
        <v>174011</v>
      </c>
      <c r="B2229" t="str">
        <f>IFERROR(__xludf.DUMMYFUNCTION("""COMPUTED_VALUE"""),"Beef Loin Top Loin Steak Boneless Lip-On Separable Lean Only Trimmed To 1/8 Inch Fat All Grades Raw")</f>
        <v>Beef Loin Top Loin Steak Boneless Lip-On Separable Lean Only Trimmed To 1/8 Inch Fat All Grades Raw</v>
      </c>
      <c r="C2229" t="str">
        <f>IFERROR(__xludf.DUMMYFUNCTION("""COMPUTED_VALUE"""),"Meats")</f>
        <v>Meats</v>
      </c>
      <c r="D2229">
        <f>IFERROR(__xludf.DUMMYFUNCTION("""COMPUTED_VALUE"""),143.0)</f>
        <v>143</v>
      </c>
      <c r="E2229">
        <f>IFERROR(__xludf.DUMMYFUNCTION("""COMPUTED_VALUE"""),5.67)</f>
        <v>5.67</v>
      </c>
      <c r="F2229">
        <f>IFERROR(__xludf.DUMMYFUNCTION("""COMPUTED_VALUE"""),23.07)</f>
        <v>23.07</v>
      </c>
      <c r="G2229">
        <f>IFERROR(__xludf.DUMMYFUNCTION("""COMPUTED_VALUE"""),0.0)</f>
        <v>0</v>
      </c>
    </row>
    <row r="2230">
      <c r="A2230">
        <f>IFERROR(__xludf.DUMMYFUNCTION("""COMPUTED_VALUE"""),174012.0)</f>
        <v>174012</v>
      </c>
      <c r="B2230" t="str">
        <f>IFERROR(__xludf.DUMMYFUNCTION("""COMPUTED_VALUE"""),"Beef Composite Of Trimmed Retail Cuts Separable Lean Only Trimmed To 1/8 Inch Fat Choice Raw")</f>
        <v>Beef Composite Of Trimmed Retail Cuts Separable Lean Only Trimmed To 1/8 Inch Fat Choice Raw</v>
      </c>
      <c r="C2230" t="str">
        <f>IFERROR(__xludf.DUMMYFUNCTION("""COMPUTED_VALUE"""),"Meats")</f>
        <v>Meats</v>
      </c>
      <c r="D2230">
        <f>IFERROR(__xludf.DUMMYFUNCTION("""COMPUTED_VALUE"""),142.0)</f>
        <v>142</v>
      </c>
      <c r="E2230">
        <f>IFERROR(__xludf.DUMMYFUNCTION("""COMPUTED_VALUE"""),6.05)</f>
        <v>6.05</v>
      </c>
      <c r="F2230">
        <f>IFERROR(__xludf.DUMMYFUNCTION("""COMPUTED_VALUE"""),22.01)</f>
        <v>22.01</v>
      </c>
      <c r="G2230">
        <f>IFERROR(__xludf.DUMMYFUNCTION("""COMPUTED_VALUE"""),0.0)</f>
        <v>0</v>
      </c>
    </row>
    <row r="2231">
      <c r="A2231">
        <f>IFERROR(__xludf.DUMMYFUNCTION("""COMPUTED_VALUE"""),174013.0)</f>
        <v>174013</v>
      </c>
      <c r="B2231" t="str">
        <f>IFERROR(__xludf.DUMMYFUNCTION("""COMPUTED_VALUE"""),"Beef Composite Separable Lean Only Trimmed To 1/8 Inch Fat Choice Cooked")</f>
        <v>Beef Composite Separable Lean Only Trimmed To 1/8 Inch Fat Choice Cooked</v>
      </c>
      <c r="C2231" t="str">
        <f>IFERROR(__xludf.DUMMYFUNCTION("""COMPUTED_VALUE"""),"Meats")</f>
        <v>Meats</v>
      </c>
      <c r="D2231">
        <f>IFERROR(__xludf.DUMMYFUNCTION("""COMPUTED_VALUE"""),203.0)</f>
        <v>203</v>
      </c>
      <c r="E2231">
        <f>IFERROR(__xludf.DUMMYFUNCTION("""COMPUTED_VALUE"""),9.16)</f>
        <v>9.16</v>
      </c>
      <c r="F2231">
        <f>IFERROR(__xludf.DUMMYFUNCTION("""COMPUTED_VALUE"""),28.73)</f>
        <v>28.73</v>
      </c>
      <c r="G2231">
        <f>IFERROR(__xludf.DUMMYFUNCTION("""COMPUTED_VALUE"""),0.0)</f>
        <v>0</v>
      </c>
    </row>
    <row r="2232">
      <c r="A2232">
        <f>IFERROR(__xludf.DUMMYFUNCTION("""COMPUTED_VALUE"""),174014.0)</f>
        <v>174014</v>
      </c>
      <c r="B2232" t="str">
        <f>IFERROR(__xludf.DUMMYFUNCTION("""COMPUTED_VALUE"""),"Beef Composite Of Trimmed Retail Cuts Separable Lean And Fat Trimmed To 0 Inch Fat Choice Raw")</f>
        <v>Beef Composite Of Trimmed Retail Cuts Separable Lean And Fat Trimmed To 0 Inch Fat Choice Raw</v>
      </c>
      <c r="C2232" t="str">
        <f>IFERROR(__xludf.DUMMYFUNCTION("""COMPUTED_VALUE"""),"Meats")</f>
        <v>Meats</v>
      </c>
      <c r="D2232">
        <f>IFERROR(__xludf.DUMMYFUNCTION("""COMPUTED_VALUE"""),176.0)</f>
        <v>176</v>
      </c>
      <c r="E2232">
        <f>IFERROR(__xludf.DUMMYFUNCTION("""COMPUTED_VALUE"""),10.08)</f>
        <v>10.08</v>
      </c>
      <c r="F2232">
        <f>IFERROR(__xludf.DUMMYFUNCTION("""COMPUTED_VALUE"""),21.34)</f>
        <v>21.34</v>
      </c>
      <c r="G2232">
        <f>IFERROR(__xludf.DUMMYFUNCTION("""COMPUTED_VALUE"""),0.0)</f>
        <v>0</v>
      </c>
    </row>
    <row r="2233">
      <c r="A2233">
        <f>IFERROR(__xludf.DUMMYFUNCTION("""COMPUTED_VALUE"""),174015.0)</f>
        <v>174015</v>
      </c>
      <c r="B2233" t="str">
        <f>IFERROR(__xludf.DUMMYFUNCTION("""COMPUTED_VALUE"""),"Beef Composite Of Trimmed Retail Cuts Separable Lean Only Trimmed To 0 Inch Fat Choice Raw")</f>
        <v>Beef Composite Of Trimmed Retail Cuts Separable Lean Only Trimmed To 0 Inch Fat Choice Raw</v>
      </c>
      <c r="C2233" t="str">
        <f>IFERROR(__xludf.DUMMYFUNCTION("""COMPUTED_VALUE"""),"Meats")</f>
        <v>Meats</v>
      </c>
      <c r="D2233">
        <f>IFERROR(__xludf.DUMMYFUNCTION("""COMPUTED_VALUE"""),151.0)</f>
        <v>151</v>
      </c>
      <c r="E2233">
        <f>IFERROR(__xludf.DUMMYFUNCTION("""COMPUTED_VALUE"""),7.24)</f>
        <v>7.24</v>
      </c>
      <c r="F2233">
        <f>IFERROR(__xludf.DUMMYFUNCTION("""COMPUTED_VALUE"""),21.55)</f>
        <v>21.55</v>
      </c>
      <c r="G2233">
        <f>IFERROR(__xludf.DUMMYFUNCTION("""COMPUTED_VALUE"""),0.0)</f>
        <v>0</v>
      </c>
    </row>
    <row r="2234">
      <c r="A2234">
        <f>IFERROR(__xludf.DUMMYFUNCTION("""COMPUTED_VALUE"""),174016.0)</f>
        <v>174016</v>
      </c>
      <c r="B2234" t="str">
        <f>IFERROR(__xludf.DUMMYFUNCTION("""COMPUTED_VALUE"""),"Beef Chuck Mock Tender Steak Separable Lean Only Trimmed To 0 Inch Fat All Grades Cooked Broiled")</f>
        <v>Beef Chuck Mock Tender Steak Separable Lean Only Trimmed To 0 Inch Fat All Grades Cooked Broiled</v>
      </c>
      <c r="C2234" t="str">
        <f>IFERROR(__xludf.DUMMYFUNCTION("""COMPUTED_VALUE"""),"Meats")</f>
        <v>Meats</v>
      </c>
      <c r="D2234">
        <f>IFERROR(__xludf.DUMMYFUNCTION("""COMPUTED_VALUE"""),159.0)</f>
        <v>159</v>
      </c>
      <c r="E2234">
        <f>IFERROR(__xludf.DUMMYFUNCTION("""COMPUTED_VALUE"""),5.42)</f>
        <v>5.42</v>
      </c>
      <c r="F2234">
        <f>IFERROR(__xludf.DUMMYFUNCTION("""COMPUTED_VALUE"""),25.9)</f>
        <v>25.9</v>
      </c>
      <c r="G2234">
        <f>IFERROR(__xludf.DUMMYFUNCTION("""COMPUTED_VALUE"""),0.0)</f>
        <v>0</v>
      </c>
    </row>
    <row r="2235">
      <c r="A2235">
        <f>IFERROR(__xludf.DUMMYFUNCTION("""COMPUTED_VALUE"""),174017.0)</f>
        <v>174017</v>
      </c>
      <c r="B2235" t="str">
        <f>IFERROR(__xludf.DUMMYFUNCTION("""COMPUTED_VALUE"""),"Beef Chuck Top Blade Separable Lean Only Trimmed To 0 Inch Fat All Grades Cooked Broiled")</f>
        <v>Beef Chuck Top Blade Separable Lean Only Trimmed To 0 Inch Fat All Grades Cooked Broiled</v>
      </c>
      <c r="C2235" t="str">
        <f>IFERROR(__xludf.DUMMYFUNCTION("""COMPUTED_VALUE"""),"Meats")</f>
        <v>Meats</v>
      </c>
      <c r="D2235">
        <f>IFERROR(__xludf.DUMMYFUNCTION("""COMPUTED_VALUE"""),203.0)</f>
        <v>203</v>
      </c>
      <c r="E2235">
        <f>IFERROR(__xludf.DUMMYFUNCTION("""COMPUTED_VALUE"""),10.16)</f>
        <v>10.16</v>
      </c>
      <c r="F2235">
        <f>IFERROR(__xludf.DUMMYFUNCTION("""COMPUTED_VALUE"""),26.13)</f>
        <v>26.13</v>
      </c>
      <c r="G2235">
        <f>IFERROR(__xludf.DUMMYFUNCTION("""COMPUTED_VALUE"""),0.0)</f>
        <v>0</v>
      </c>
    </row>
    <row r="2236">
      <c r="A2236">
        <f>IFERROR(__xludf.DUMMYFUNCTION("""COMPUTED_VALUE"""),174018.0)</f>
        <v>174018</v>
      </c>
      <c r="B2236" t="str">
        <f>IFERROR(__xludf.DUMMYFUNCTION("""COMPUTED_VALUE"""),"Beef Chuck Clod Roast Separable Lean Only Trimmed To 1/4 Inch Fat All Grades Raw")</f>
        <v>Beef Chuck Clod Roast Separable Lean Only Trimmed To 1/4 Inch Fat All Grades Raw</v>
      </c>
      <c r="C2236" t="str">
        <f>IFERROR(__xludf.DUMMYFUNCTION("""COMPUTED_VALUE"""),"Meats")</f>
        <v>Meats</v>
      </c>
      <c r="D2236">
        <f>IFERROR(__xludf.DUMMYFUNCTION("""COMPUTED_VALUE"""),129.0)</f>
        <v>129</v>
      </c>
      <c r="E2236">
        <f>IFERROR(__xludf.DUMMYFUNCTION("""COMPUTED_VALUE"""),5.02)</f>
        <v>5.02</v>
      </c>
      <c r="F2236">
        <f>IFERROR(__xludf.DUMMYFUNCTION("""COMPUTED_VALUE"""),19.63)</f>
        <v>19.63</v>
      </c>
      <c r="G2236">
        <f>IFERROR(__xludf.DUMMYFUNCTION("""COMPUTED_VALUE"""),0.0)</f>
        <v>0</v>
      </c>
    </row>
    <row r="2237">
      <c r="A2237">
        <f>IFERROR(__xludf.DUMMYFUNCTION("""COMPUTED_VALUE"""),174019.0)</f>
        <v>174019</v>
      </c>
      <c r="B2237" t="str">
        <f>IFERROR(__xludf.DUMMYFUNCTION("""COMPUTED_VALUE"""),"Beef Chuck Clod Roast Separable Lean Only Trimmed To 0 Inch Fat All Grades Cooked Roasted")</f>
        <v>Beef Chuck Clod Roast Separable Lean Only Trimmed To 0 Inch Fat All Grades Cooked Roasted</v>
      </c>
      <c r="C2237" t="str">
        <f>IFERROR(__xludf.DUMMYFUNCTION("""COMPUTED_VALUE"""),"Meats")</f>
        <v>Meats</v>
      </c>
      <c r="D2237">
        <f>IFERROR(__xludf.DUMMYFUNCTION("""COMPUTED_VALUE"""),172.0)</f>
        <v>172</v>
      </c>
      <c r="E2237">
        <f>IFERROR(__xludf.DUMMYFUNCTION("""COMPUTED_VALUE"""),6.34)</f>
        <v>6.34</v>
      </c>
      <c r="F2237">
        <f>IFERROR(__xludf.DUMMYFUNCTION("""COMPUTED_VALUE"""),26.82)</f>
        <v>26.82</v>
      </c>
      <c r="G2237">
        <f>IFERROR(__xludf.DUMMYFUNCTION("""COMPUTED_VALUE"""),0.0)</f>
        <v>0</v>
      </c>
    </row>
    <row r="2238">
      <c r="A2238">
        <f>IFERROR(__xludf.DUMMYFUNCTION("""COMPUTED_VALUE"""),174020.0)</f>
        <v>174020</v>
      </c>
      <c r="B2238" t="str">
        <f>IFERROR(__xludf.DUMMYFUNCTION("""COMPUTED_VALUE"""),"Beef Chuck Mock Tender Steak Separable Lean And Fat Trimmed To 0 Inch Fat USDA Select Cooked Broiled")</f>
        <v>Beef Chuck Mock Tender Steak Separable Lean And Fat Trimmed To 0 Inch Fat USDA Select Cooked Broiled</v>
      </c>
      <c r="C2238" t="str">
        <f>IFERROR(__xludf.DUMMYFUNCTION("""COMPUTED_VALUE"""),"Meats")</f>
        <v>Meats</v>
      </c>
      <c r="D2238">
        <f>IFERROR(__xludf.DUMMYFUNCTION("""COMPUTED_VALUE"""),159.0)</f>
        <v>159</v>
      </c>
      <c r="E2238">
        <f>IFERROR(__xludf.DUMMYFUNCTION("""COMPUTED_VALUE"""),5.24)</f>
        <v>5.24</v>
      </c>
      <c r="F2238">
        <f>IFERROR(__xludf.DUMMYFUNCTION("""COMPUTED_VALUE"""),26.08)</f>
        <v>26.08</v>
      </c>
      <c r="G2238">
        <f>IFERROR(__xludf.DUMMYFUNCTION("""COMPUTED_VALUE"""),0.0)</f>
        <v>0</v>
      </c>
    </row>
    <row r="2239">
      <c r="A2239">
        <f>IFERROR(__xludf.DUMMYFUNCTION("""COMPUTED_VALUE"""),174021.0)</f>
        <v>174021</v>
      </c>
      <c r="B2239" t="str">
        <f>IFERROR(__xludf.DUMMYFUNCTION("""COMPUTED_VALUE"""),"Beef Chuck Top Blade Separable Lean And Fat Trimmed To 0 Inch Fat Choice Cooked Broiled")</f>
        <v>Beef Chuck Top Blade Separable Lean And Fat Trimmed To 0 Inch Fat Choice Cooked Broiled</v>
      </c>
      <c r="C2239" t="str">
        <f>IFERROR(__xludf.DUMMYFUNCTION("""COMPUTED_VALUE"""),"Meats")</f>
        <v>Meats</v>
      </c>
      <c r="D2239">
        <f>IFERROR(__xludf.DUMMYFUNCTION("""COMPUTED_VALUE"""),227.0)</f>
        <v>227</v>
      </c>
      <c r="E2239">
        <f>IFERROR(__xludf.DUMMYFUNCTION("""COMPUTED_VALUE"""),12.93)</f>
        <v>12.93</v>
      </c>
      <c r="F2239">
        <f>IFERROR(__xludf.DUMMYFUNCTION("""COMPUTED_VALUE"""),25.77)</f>
        <v>25.77</v>
      </c>
      <c r="G2239">
        <f>IFERROR(__xludf.DUMMYFUNCTION("""COMPUTED_VALUE"""),0.0)</f>
        <v>0</v>
      </c>
    </row>
    <row r="2240">
      <c r="A2240">
        <f>IFERROR(__xludf.DUMMYFUNCTION("""COMPUTED_VALUE"""),174022.0)</f>
        <v>174022</v>
      </c>
      <c r="B2240" t="str">
        <f>IFERROR(__xludf.DUMMYFUNCTION("""COMPUTED_VALUE"""),"Beef Chuck Top Blade Separable Lean And Fat Trimmed To 0 Inch Fat Select Cooked Broiled")</f>
        <v>Beef Chuck Top Blade Separable Lean And Fat Trimmed To 0 Inch Fat Select Cooked Broiled</v>
      </c>
      <c r="C2240" t="str">
        <f>IFERROR(__xludf.DUMMYFUNCTION("""COMPUTED_VALUE"""),"Meats")</f>
        <v>Meats</v>
      </c>
      <c r="D2240">
        <f>IFERROR(__xludf.DUMMYFUNCTION("""COMPUTED_VALUE"""),200.0)</f>
        <v>200</v>
      </c>
      <c r="E2240">
        <f>IFERROR(__xludf.DUMMYFUNCTION("""COMPUTED_VALUE"""),9.99)</f>
        <v>9.99</v>
      </c>
      <c r="F2240">
        <f>IFERROR(__xludf.DUMMYFUNCTION("""COMPUTED_VALUE"""),25.67)</f>
        <v>25.67</v>
      </c>
      <c r="G2240">
        <f>IFERROR(__xludf.DUMMYFUNCTION("""COMPUTED_VALUE"""),0.0)</f>
        <v>0</v>
      </c>
    </row>
    <row r="2241">
      <c r="A2241">
        <f>IFERROR(__xludf.DUMMYFUNCTION("""COMPUTED_VALUE"""),174023.0)</f>
        <v>174023</v>
      </c>
      <c r="B2241" t="str">
        <f>IFERROR(__xludf.DUMMYFUNCTION("""COMPUTED_VALUE"""),"Beef Chuck Clod Roast Separable Lean And Fat Trimmed To 0 Inch Fat Choice Cooked Roasted")</f>
        <v>Beef Chuck Clod Roast Separable Lean And Fat Trimmed To 0 Inch Fat Choice Cooked Roasted</v>
      </c>
      <c r="C2241" t="str">
        <f>IFERROR(__xludf.DUMMYFUNCTION("""COMPUTED_VALUE"""),"Meats")</f>
        <v>Meats</v>
      </c>
      <c r="D2241">
        <f>IFERROR(__xludf.DUMMYFUNCTION("""COMPUTED_VALUE"""),216.0)</f>
        <v>216</v>
      </c>
      <c r="E2241">
        <f>IFERROR(__xludf.DUMMYFUNCTION("""COMPUTED_VALUE"""),12.26)</f>
        <v>12.26</v>
      </c>
      <c r="F2241">
        <f>IFERROR(__xludf.DUMMYFUNCTION("""COMPUTED_VALUE"""),24.61)</f>
        <v>24.61</v>
      </c>
      <c r="G2241">
        <f>IFERROR(__xludf.DUMMYFUNCTION("""COMPUTED_VALUE"""),0.0)</f>
        <v>0</v>
      </c>
    </row>
    <row r="2242">
      <c r="A2242">
        <f>IFERROR(__xludf.DUMMYFUNCTION("""COMPUTED_VALUE"""),174024.0)</f>
        <v>174024</v>
      </c>
      <c r="B2242" t="str">
        <f>IFERROR(__xludf.DUMMYFUNCTION("""COMPUTED_VALUE"""),"Beef Loin Bottom Sirloin Butt Tri-Tip Steak Separable Lean And Fat Trimmed To 0 Inch Fat All Grades Cooked Broiled")</f>
        <v>Beef Loin Bottom Sirloin Butt Tri-Tip Steak Separable Lean And Fat Trimmed To 0 Inch Fat All Grades Cooked Broiled</v>
      </c>
      <c r="C2242" t="str">
        <f>IFERROR(__xludf.DUMMYFUNCTION("""COMPUTED_VALUE"""),"Meats")</f>
        <v>Meats</v>
      </c>
      <c r="D2242">
        <f>IFERROR(__xludf.DUMMYFUNCTION("""COMPUTED_VALUE"""),265.0)</f>
        <v>265</v>
      </c>
      <c r="E2242">
        <f>IFERROR(__xludf.DUMMYFUNCTION("""COMPUTED_VALUE"""),15.18)</f>
        <v>15.18</v>
      </c>
      <c r="F2242">
        <f>IFERROR(__xludf.DUMMYFUNCTION("""COMPUTED_VALUE"""),29.97)</f>
        <v>29.97</v>
      </c>
      <c r="G2242">
        <f>IFERROR(__xludf.DUMMYFUNCTION("""COMPUTED_VALUE"""),0.0)</f>
        <v>0</v>
      </c>
    </row>
    <row r="2243">
      <c r="A2243">
        <f>IFERROR(__xludf.DUMMYFUNCTION("""COMPUTED_VALUE"""),174025.0)</f>
        <v>174025</v>
      </c>
      <c r="B2243" t="str">
        <f>IFERROR(__xludf.DUMMYFUNCTION("""COMPUTED_VALUE"""),"Beef Chuck Mock Tender Steak Separable Lean And Fat Trimmed To 0 Inch Fat All Grades Cooked Broiled")</f>
        <v>Beef Chuck Mock Tender Steak Separable Lean And Fat Trimmed To 0 Inch Fat All Grades Cooked Broiled</v>
      </c>
      <c r="C2243" t="str">
        <f>IFERROR(__xludf.DUMMYFUNCTION("""COMPUTED_VALUE"""),"Meats")</f>
        <v>Meats</v>
      </c>
      <c r="D2243">
        <f>IFERROR(__xludf.DUMMYFUNCTION("""COMPUTED_VALUE"""),160.0)</f>
        <v>160</v>
      </c>
      <c r="E2243">
        <f>IFERROR(__xludf.DUMMYFUNCTION("""COMPUTED_VALUE"""),5.52)</f>
        <v>5.52</v>
      </c>
      <c r="F2243">
        <f>IFERROR(__xludf.DUMMYFUNCTION("""COMPUTED_VALUE"""),25.87)</f>
        <v>25.87</v>
      </c>
      <c r="G2243">
        <f>IFERROR(__xludf.DUMMYFUNCTION("""COMPUTED_VALUE"""),0.0)</f>
        <v>0</v>
      </c>
    </row>
    <row r="2244">
      <c r="A2244">
        <f>IFERROR(__xludf.DUMMYFUNCTION("""COMPUTED_VALUE"""),174026.0)</f>
        <v>174026</v>
      </c>
      <c r="B2244" t="str">
        <f>IFERROR(__xludf.DUMMYFUNCTION("""COMPUTED_VALUE"""),"Beef Chuck Top Blade Separable Lean And Fat Trimmed To 0 Inch Fat All Grades Cooked Broiled")</f>
        <v>Beef Chuck Top Blade Separable Lean And Fat Trimmed To 0 Inch Fat All Grades Cooked Broiled</v>
      </c>
      <c r="C2244" t="str">
        <f>IFERROR(__xludf.DUMMYFUNCTION("""COMPUTED_VALUE"""),"Meats")</f>
        <v>Meats</v>
      </c>
      <c r="D2244">
        <f>IFERROR(__xludf.DUMMYFUNCTION("""COMPUTED_VALUE"""),216.0)</f>
        <v>216</v>
      </c>
      <c r="E2244">
        <f>IFERROR(__xludf.DUMMYFUNCTION("""COMPUTED_VALUE"""),11.73)</f>
        <v>11.73</v>
      </c>
      <c r="F2244">
        <f>IFERROR(__xludf.DUMMYFUNCTION("""COMPUTED_VALUE"""),25.73)</f>
        <v>25.73</v>
      </c>
      <c r="G2244">
        <f>IFERROR(__xludf.DUMMYFUNCTION("""COMPUTED_VALUE"""),0.0)</f>
        <v>0</v>
      </c>
    </row>
    <row r="2245">
      <c r="A2245">
        <f>IFERROR(__xludf.DUMMYFUNCTION("""COMPUTED_VALUE"""),174027.0)</f>
        <v>174027</v>
      </c>
      <c r="B2245" t="str">
        <f>IFERROR(__xludf.DUMMYFUNCTION("""COMPUTED_VALUE"""),"Beef Chuck Clod Roast Separable Lean And Fat Trimmed To 0 Inch Fat All Grades Cooked Roasted")</f>
        <v>Beef Chuck Clod Roast Separable Lean And Fat Trimmed To 0 Inch Fat All Grades Cooked Roasted</v>
      </c>
      <c r="C2245" t="str">
        <f>IFERROR(__xludf.DUMMYFUNCTION("""COMPUTED_VALUE"""),"Meats")</f>
        <v>Meats</v>
      </c>
      <c r="D2245">
        <f>IFERROR(__xludf.DUMMYFUNCTION("""COMPUTED_VALUE"""),207.0)</f>
        <v>207</v>
      </c>
      <c r="E2245">
        <f>IFERROR(__xludf.DUMMYFUNCTION("""COMPUTED_VALUE"""),10.84)</f>
        <v>10.84</v>
      </c>
      <c r="F2245">
        <f>IFERROR(__xludf.DUMMYFUNCTION("""COMPUTED_VALUE"""),25.7)</f>
        <v>25.7</v>
      </c>
      <c r="G2245">
        <f>IFERROR(__xludf.DUMMYFUNCTION("""COMPUTED_VALUE"""),0.0)</f>
        <v>0</v>
      </c>
    </row>
    <row r="2246">
      <c r="A2246">
        <f>IFERROR(__xludf.DUMMYFUNCTION("""COMPUTED_VALUE"""),174028.0)</f>
        <v>174028</v>
      </c>
      <c r="B2246" t="str">
        <f>IFERROR(__xludf.DUMMYFUNCTION("""COMPUTED_VALUE"""),"Beef Ground 95% Lean Meat / 5% Fat Crumbles Cooked Pan-Browned")</f>
        <v>Beef Ground 95% Lean Meat / 5% Fat Crumbles Cooked Pan-Browned</v>
      </c>
      <c r="C2246" t="str">
        <f>IFERROR(__xludf.DUMMYFUNCTION("""COMPUTED_VALUE"""),"Meats")</f>
        <v>Meats</v>
      </c>
      <c r="D2246">
        <f>IFERROR(__xludf.DUMMYFUNCTION("""COMPUTED_VALUE"""),193.0)</f>
        <v>193</v>
      </c>
      <c r="E2246">
        <f>IFERROR(__xludf.DUMMYFUNCTION("""COMPUTED_VALUE"""),7.58)</f>
        <v>7.58</v>
      </c>
      <c r="F2246">
        <f>IFERROR(__xludf.DUMMYFUNCTION("""COMPUTED_VALUE"""),29.17)</f>
        <v>29.17</v>
      </c>
      <c r="G2246">
        <f>IFERROR(__xludf.DUMMYFUNCTION("""COMPUTED_VALUE"""),0.0)</f>
        <v>0</v>
      </c>
    </row>
    <row r="2247">
      <c r="A2247">
        <f>IFERROR(__xludf.DUMMYFUNCTION("""COMPUTED_VALUE"""),174029.0)</f>
        <v>174029</v>
      </c>
      <c r="B2247" t="str">
        <f>IFERROR(__xludf.DUMMYFUNCTION("""COMPUTED_VALUE"""),"Beef Ground 95% Lean Meat / 5% Fat Loaf Cooked Baked")</f>
        <v>Beef Ground 95% Lean Meat / 5% Fat Loaf Cooked Baked</v>
      </c>
      <c r="C2247" t="str">
        <f>IFERROR(__xludf.DUMMYFUNCTION("""COMPUTED_VALUE"""),"Meats")</f>
        <v>Meats</v>
      </c>
      <c r="D2247">
        <f>IFERROR(__xludf.DUMMYFUNCTION("""COMPUTED_VALUE"""),174.0)</f>
        <v>174</v>
      </c>
      <c r="E2247">
        <f>IFERROR(__xludf.DUMMYFUNCTION("""COMPUTED_VALUE"""),6.37)</f>
        <v>6.37</v>
      </c>
      <c r="F2247">
        <f>IFERROR(__xludf.DUMMYFUNCTION("""COMPUTED_VALUE"""),27.31)</f>
        <v>27.31</v>
      </c>
      <c r="G2247">
        <f>IFERROR(__xludf.DUMMYFUNCTION("""COMPUTED_VALUE"""),0.0)</f>
        <v>0</v>
      </c>
    </row>
    <row r="2248">
      <c r="A2248">
        <f>IFERROR(__xludf.DUMMYFUNCTION("""COMPUTED_VALUE"""),174030.0)</f>
        <v>174030</v>
      </c>
      <c r="B2248" t="str">
        <f>IFERROR(__xludf.DUMMYFUNCTION("""COMPUTED_VALUE"""),"Beef Ground 90% Lean Meat / 10% Fat Raw")</f>
        <v>Beef Ground 90% Lean Meat / 10% Fat Raw</v>
      </c>
      <c r="C2248" t="str">
        <f>IFERROR(__xludf.DUMMYFUNCTION("""COMPUTED_VALUE"""),"Meats")</f>
        <v>Meats</v>
      </c>
      <c r="D2248">
        <f>IFERROR(__xludf.DUMMYFUNCTION("""COMPUTED_VALUE"""),176.0)</f>
        <v>176</v>
      </c>
      <c r="E2248">
        <f>IFERROR(__xludf.DUMMYFUNCTION("""COMPUTED_VALUE"""),10.0)</f>
        <v>10</v>
      </c>
      <c r="F2248">
        <f>IFERROR(__xludf.DUMMYFUNCTION("""COMPUTED_VALUE"""),20.0)</f>
        <v>20</v>
      </c>
      <c r="G2248">
        <f>IFERROR(__xludf.DUMMYFUNCTION("""COMPUTED_VALUE"""),0.0)</f>
        <v>0</v>
      </c>
    </row>
    <row r="2249">
      <c r="A2249">
        <f>IFERROR(__xludf.DUMMYFUNCTION("""COMPUTED_VALUE"""),174031.0)</f>
        <v>174031</v>
      </c>
      <c r="B2249" t="str">
        <f>IFERROR(__xludf.DUMMYFUNCTION("""COMPUTED_VALUE"""),"Beef Ground 90% Lean Meat / 10% Fat Patty Cooked Broiled")</f>
        <v>Beef Ground 90% Lean Meat / 10% Fat Patty Cooked Broiled</v>
      </c>
      <c r="C2249" t="str">
        <f>IFERROR(__xludf.DUMMYFUNCTION("""COMPUTED_VALUE"""),"Meats")</f>
        <v>Meats</v>
      </c>
      <c r="D2249">
        <f>IFERROR(__xludf.DUMMYFUNCTION("""COMPUTED_VALUE"""),217.0)</f>
        <v>217</v>
      </c>
      <c r="E2249">
        <f>IFERROR(__xludf.DUMMYFUNCTION("""COMPUTED_VALUE"""),11.75)</f>
        <v>11.75</v>
      </c>
      <c r="F2249">
        <f>IFERROR(__xludf.DUMMYFUNCTION("""COMPUTED_VALUE"""),26.11)</f>
        <v>26.11</v>
      </c>
      <c r="G2249">
        <f>IFERROR(__xludf.DUMMYFUNCTION("""COMPUTED_VALUE"""),0.0)</f>
        <v>0</v>
      </c>
    </row>
    <row r="2250">
      <c r="A2250">
        <f>IFERROR(__xludf.DUMMYFUNCTION("""COMPUTED_VALUE"""),174032.0)</f>
        <v>174032</v>
      </c>
      <c r="B2250" t="str">
        <f>IFERROR(__xludf.DUMMYFUNCTION("""COMPUTED_VALUE"""),"Beef Ground 85% Lean Meat / 15% Fat Patty Cooked Broiled")</f>
        <v>Beef Ground 85% Lean Meat / 15% Fat Patty Cooked Broiled</v>
      </c>
      <c r="C2250" t="str">
        <f>IFERROR(__xludf.DUMMYFUNCTION("""COMPUTED_VALUE"""),"Meats")</f>
        <v>Meats</v>
      </c>
      <c r="D2250">
        <f>IFERROR(__xludf.DUMMYFUNCTION("""COMPUTED_VALUE"""),250.0)</f>
        <v>250</v>
      </c>
      <c r="E2250">
        <f>IFERROR(__xludf.DUMMYFUNCTION("""COMPUTED_VALUE"""),15.41)</f>
        <v>15.41</v>
      </c>
      <c r="F2250">
        <f>IFERROR(__xludf.DUMMYFUNCTION("""COMPUTED_VALUE"""),25.93)</f>
        <v>25.93</v>
      </c>
      <c r="G2250">
        <f>IFERROR(__xludf.DUMMYFUNCTION("""COMPUTED_VALUE"""),0.0)</f>
        <v>0</v>
      </c>
    </row>
    <row r="2251">
      <c r="A2251">
        <f>IFERROR(__xludf.DUMMYFUNCTION("""COMPUTED_VALUE"""),174033.0)</f>
        <v>174033</v>
      </c>
      <c r="B2251" t="str">
        <f>IFERROR(__xludf.DUMMYFUNCTION("""COMPUTED_VALUE"""),"Beef Ground 85% Lean Meat / 15% Fat Patty Cooked Pan-Broiled")</f>
        <v>Beef Ground 85% Lean Meat / 15% Fat Patty Cooked Pan-Broiled</v>
      </c>
      <c r="C2251" t="str">
        <f>IFERROR(__xludf.DUMMYFUNCTION("""COMPUTED_VALUE"""),"Meats")</f>
        <v>Meats</v>
      </c>
      <c r="D2251">
        <f>IFERROR(__xludf.DUMMYFUNCTION("""COMPUTED_VALUE"""),232.0)</f>
        <v>232</v>
      </c>
      <c r="E2251">
        <f>IFERROR(__xludf.DUMMYFUNCTION("""COMPUTED_VALUE"""),14.02)</f>
        <v>14.02</v>
      </c>
      <c r="F2251">
        <f>IFERROR(__xludf.DUMMYFUNCTION("""COMPUTED_VALUE"""),24.62)</f>
        <v>24.62</v>
      </c>
      <c r="G2251">
        <f>IFERROR(__xludf.DUMMYFUNCTION("""COMPUTED_VALUE"""),0.0)</f>
        <v>0</v>
      </c>
    </row>
    <row r="2252">
      <c r="A2252">
        <f>IFERROR(__xludf.DUMMYFUNCTION("""COMPUTED_VALUE"""),174034.0)</f>
        <v>174034</v>
      </c>
      <c r="B2252" t="str">
        <f>IFERROR(__xludf.DUMMYFUNCTION("""COMPUTED_VALUE"""),"Beef Ground 85% Lean Meat / 15% Fat Crumbles Cooked Pan-Browned")</f>
        <v>Beef Ground 85% Lean Meat / 15% Fat Crumbles Cooked Pan-Browned</v>
      </c>
      <c r="C2252" t="str">
        <f>IFERROR(__xludf.DUMMYFUNCTION("""COMPUTED_VALUE"""),"Meats")</f>
        <v>Meats</v>
      </c>
      <c r="D2252">
        <f>IFERROR(__xludf.DUMMYFUNCTION("""COMPUTED_VALUE"""),256.0)</f>
        <v>256</v>
      </c>
      <c r="E2252">
        <f>IFERROR(__xludf.DUMMYFUNCTION("""COMPUTED_VALUE"""),15.3)</f>
        <v>15.3</v>
      </c>
      <c r="F2252">
        <f>IFERROR(__xludf.DUMMYFUNCTION("""COMPUTED_VALUE"""),27.73)</f>
        <v>27.73</v>
      </c>
      <c r="G2252">
        <f>IFERROR(__xludf.DUMMYFUNCTION("""COMPUTED_VALUE"""),0.0)</f>
        <v>0</v>
      </c>
    </row>
    <row r="2253">
      <c r="A2253">
        <f>IFERROR(__xludf.DUMMYFUNCTION("""COMPUTED_VALUE"""),174035.0)</f>
        <v>174035</v>
      </c>
      <c r="B2253" t="str">
        <f>IFERROR(__xludf.DUMMYFUNCTION("""COMPUTED_VALUE"""),"Beef Ground 85% Lean Meat / 15% Fat Loaf Cooked Baked")</f>
        <v>Beef Ground 85% Lean Meat / 15% Fat Loaf Cooked Baked</v>
      </c>
      <c r="C2253" t="str">
        <f>IFERROR(__xludf.DUMMYFUNCTION("""COMPUTED_VALUE"""),"Meats")</f>
        <v>Meats</v>
      </c>
      <c r="D2253">
        <f>IFERROR(__xludf.DUMMYFUNCTION("""COMPUTED_VALUE"""),240.0)</f>
        <v>240</v>
      </c>
      <c r="E2253">
        <f>IFERROR(__xludf.DUMMYFUNCTION("""COMPUTED_VALUE"""),14.36)</f>
        <v>14.36</v>
      </c>
      <c r="F2253">
        <f>IFERROR(__xludf.DUMMYFUNCTION("""COMPUTED_VALUE"""),25.93)</f>
        <v>25.93</v>
      </c>
      <c r="G2253">
        <f>IFERROR(__xludf.DUMMYFUNCTION("""COMPUTED_VALUE"""),0.0)</f>
        <v>0</v>
      </c>
    </row>
    <row r="2254">
      <c r="A2254">
        <f>IFERROR(__xludf.DUMMYFUNCTION("""COMPUTED_VALUE"""),174036.0)</f>
        <v>174036</v>
      </c>
      <c r="B2254" t="str">
        <f>IFERROR(__xludf.DUMMYFUNCTION("""COMPUTED_VALUE"""),"Beef Ground 80% Lean Meat / 20% Fat Raw")</f>
        <v>Beef Ground 80% Lean Meat / 20% Fat Raw</v>
      </c>
      <c r="C2254" t="str">
        <f>IFERROR(__xludf.DUMMYFUNCTION("""COMPUTED_VALUE"""),"Meats")</f>
        <v>Meats</v>
      </c>
      <c r="D2254">
        <f>IFERROR(__xludf.DUMMYFUNCTION("""COMPUTED_VALUE"""),254.0)</f>
        <v>254</v>
      </c>
      <c r="E2254">
        <f>IFERROR(__xludf.DUMMYFUNCTION("""COMPUTED_VALUE"""),20.0)</f>
        <v>20</v>
      </c>
      <c r="F2254">
        <f>IFERROR(__xludf.DUMMYFUNCTION("""COMPUTED_VALUE"""),17.17)</f>
        <v>17.17</v>
      </c>
      <c r="G2254">
        <f>IFERROR(__xludf.DUMMYFUNCTION("""COMPUTED_VALUE"""),0.0)</f>
        <v>0</v>
      </c>
    </row>
    <row r="2255">
      <c r="A2255">
        <f>IFERROR(__xludf.DUMMYFUNCTION("""COMPUTED_VALUE"""),174037.0)</f>
        <v>174037</v>
      </c>
      <c r="B2255" t="str">
        <f>IFERROR(__xludf.DUMMYFUNCTION("""COMPUTED_VALUE"""),"Beef Ground 75% Lean Meat / 25% Fat Raw")</f>
        <v>Beef Ground 75% Lean Meat / 25% Fat Raw</v>
      </c>
      <c r="C2255" t="str">
        <f>IFERROR(__xludf.DUMMYFUNCTION("""COMPUTED_VALUE"""),"Meats")</f>
        <v>Meats</v>
      </c>
      <c r="D2255">
        <f>IFERROR(__xludf.DUMMYFUNCTION("""COMPUTED_VALUE"""),293.0)</f>
        <v>293</v>
      </c>
      <c r="E2255">
        <f>IFERROR(__xludf.DUMMYFUNCTION("""COMPUTED_VALUE"""),25.0)</f>
        <v>25</v>
      </c>
      <c r="F2255">
        <f>IFERROR(__xludf.DUMMYFUNCTION("""COMPUTED_VALUE"""),15.76)</f>
        <v>15.76</v>
      </c>
      <c r="G2255">
        <f>IFERROR(__xludf.DUMMYFUNCTION("""COMPUTED_VALUE"""),0.0)</f>
        <v>0</v>
      </c>
    </row>
    <row r="2256">
      <c r="A2256">
        <f>IFERROR(__xludf.DUMMYFUNCTION("""COMPUTED_VALUE"""),174038.0)</f>
        <v>174038</v>
      </c>
      <c r="B2256" t="str">
        <f>IFERROR(__xludf.DUMMYFUNCTION("""COMPUTED_VALUE"""),"Beef Ground 75% Lean Meat / 25% Fat Patty Cooked Broiled")</f>
        <v>Beef Ground 75% Lean Meat / 25% Fat Patty Cooked Broiled</v>
      </c>
      <c r="C2256" t="str">
        <f>IFERROR(__xludf.DUMMYFUNCTION("""COMPUTED_VALUE"""),"Meats")</f>
        <v>Meats</v>
      </c>
      <c r="D2256">
        <f>IFERROR(__xludf.DUMMYFUNCTION("""COMPUTED_VALUE"""),279.0)</f>
        <v>279</v>
      </c>
      <c r="E2256">
        <f>IFERROR(__xludf.DUMMYFUNCTION("""COMPUTED_VALUE"""),18.87)</f>
        <v>18.87</v>
      </c>
      <c r="F2256">
        <f>IFERROR(__xludf.DUMMYFUNCTION("""COMPUTED_VALUE"""),25.56)</f>
        <v>25.56</v>
      </c>
      <c r="G2256">
        <f>IFERROR(__xludf.DUMMYFUNCTION("""COMPUTED_VALUE"""),0.0)</f>
        <v>0</v>
      </c>
    </row>
    <row r="2257">
      <c r="A2257">
        <f>IFERROR(__xludf.DUMMYFUNCTION("""COMPUTED_VALUE"""),174039.0)</f>
        <v>174039</v>
      </c>
      <c r="B2257" t="str">
        <f>IFERROR(__xludf.DUMMYFUNCTION("""COMPUTED_VALUE"""),"Beef Ground 75% Lean Meat / 25% Fat Patty Cooked Pan-Broiled")</f>
        <v>Beef Ground 75% Lean Meat / 25% Fat Patty Cooked Pan-Broiled</v>
      </c>
      <c r="C2257" t="str">
        <f>IFERROR(__xludf.DUMMYFUNCTION("""COMPUTED_VALUE"""),"Meats")</f>
        <v>Meats</v>
      </c>
      <c r="D2257">
        <f>IFERROR(__xludf.DUMMYFUNCTION("""COMPUTED_VALUE"""),248.0)</f>
        <v>248</v>
      </c>
      <c r="E2257">
        <f>IFERROR(__xludf.DUMMYFUNCTION("""COMPUTED_VALUE"""),16.44)</f>
        <v>16.44</v>
      </c>
      <c r="F2257">
        <f>IFERROR(__xludf.DUMMYFUNCTION("""COMPUTED_VALUE"""),23.45)</f>
        <v>23.45</v>
      </c>
      <c r="G2257">
        <f>IFERROR(__xludf.DUMMYFUNCTION("""COMPUTED_VALUE"""),0.0)</f>
        <v>0</v>
      </c>
    </row>
    <row r="2258">
      <c r="A2258">
        <f>IFERROR(__xludf.DUMMYFUNCTION("""COMPUTED_VALUE"""),174040.0)</f>
        <v>174040</v>
      </c>
      <c r="B2258" t="str">
        <f>IFERROR(__xludf.DUMMYFUNCTION("""COMPUTED_VALUE"""),"Beef Ground 75% Lean Meat / 25% Fat Crumbles Cooked Pan-Browned")</f>
        <v>Beef Ground 75% Lean Meat / 25% Fat Crumbles Cooked Pan-Browned</v>
      </c>
      <c r="C2258" t="str">
        <f>IFERROR(__xludf.DUMMYFUNCTION("""COMPUTED_VALUE"""),"Meats")</f>
        <v>Meats</v>
      </c>
      <c r="D2258">
        <f>IFERROR(__xludf.DUMMYFUNCTION("""COMPUTED_VALUE"""),277.0)</f>
        <v>277</v>
      </c>
      <c r="E2258">
        <f>IFERROR(__xludf.DUMMYFUNCTION("""COMPUTED_VALUE"""),18.21)</f>
        <v>18.21</v>
      </c>
      <c r="F2258">
        <f>IFERROR(__xludf.DUMMYFUNCTION("""COMPUTED_VALUE"""),26.28)</f>
        <v>26.28</v>
      </c>
      <c r="G2258">
        <f>IFERROR(__xludf.DUMMYFUNCTION("""COMPUTED_VALUE"""),0.0)</f>
        <v>0</v>
      </c>
    </row>
    <row r="2259">
      <c r="A2259">
        <f>IFERROR(__xludf.DUMMYFUNCTION("""COMPUTED_VALUE"""),174041.0)</f>
        <v>174041</v>
      </c>
      <c r="B2259" t="str">
        <f>IFERROR(__xludf.DUMMYFUNCTION("""COMPUTED_VALUE"""),"Beef Short Loin Top Loin Steak Separable Lean Only Trimmed To 1/8 Inch Fat Select Raw")</f>
        <v>Beef Short Loin Top Loin Steak Separable Lean Only Trimmed To 1/8 Inch Fat Select Raw</v>
      </c>
      <c r="C2259" t="str">
        <f>IFERROR(__xludf.DUMMYFUNCTION("""COMPUTED_VALUE"""),"Meats")</f>
        <v>Meats</v>
      </c>
      <c r="D2259">
        <f>IFERROR(__xludf.DUMMYFUNCTION("""COMPUTED_VALUE"""),133.0)</f>
        <v>133</v>
      </c>
      <c r="E2259">
        <f>IFERROR(__xludf.DUMMYFUNCTION("""COMPUTED_VALUE"""),3.88)</f>
        <v>3.88</v>
      </c>
      <c r="F2259">
        <f>IFERROR(__xludf.DUMMYFUNCTION("""COMPUTED_VALUE"""),23.07)</f>
        <v>23.07</v>
      </c>
      <c r="G2259">
        <f>IFERROR(__xludf.DUMMYFUNCTION("""COMPUTED_VALUE"""),0.0)</f>
        <v>0</v>
      </c>
    </row>
    <row r="2260">
      <c r="A2260">
        <f>IFERROR(__xludf.DUMMYFUNCTION("""COMPUTED_VALUE"""),174042.0)</f>
        <v>174042</v>
      </c>
      <c r="B2260" t="str">
        <f>IFERROR(__xludf.DUMMYFUNCTION("""COMPUTED_VALUE"""),"Beef Rib Small End (Ribs 10-12) Separable Lean Only Trimmed To 1/8 Inch Fat Select Cooked Broiled")</f>
        <v>Beef Rib Small End (Ribs 10-12) Separable Lean Only Trimmed To 1/8 Inch Fat Select Cooked Broiled</v>
      </c>
      <c r="C2260" t="str">
        <f>IFERROR(__xludf.DUMMYFUNCTION("""COMPUTED_VALUE"""),"Meats")</f>
        <v>Meats</v>
      </c>
      <c r="D2260">
        <f>IFERROR(__xludf.DUMMYFUNCTION("""COMPUTED_VALUE"""),188.0)</f>
        <v>188</v>
      </c>
      <c r="E2260">
        <f>IFERROR(__xludf.DUMMYFUNCTION("""COMPUTED_VALUE"""),6.22)</f>
        <v>6.22</v>
      </c>
      <c r="F2260">
        <f>IFERROR(__xludf.DUMMYFUNCTION("""COMPUTED_VALUE"""),30.87)</f>
        <v>30.87</v>
      </c>
      <c r="G2260">
        <f>IFERROR(__xludf.DUMMYFUNCTION("""COMPUTED_VALUE"""),0.0)</f>
        <v>0</v>
      </c>
    </row>
    <row r="2261">
      <c r="A2261">
        <f>IFERROR(__xludf.DUMMYFUNCTION("""COMPUTED_VALUE"""),174043.0)</f>
        <v>174043</v>
      </c>
      <c r="B2261" t="str">
        <f>IFERROR(__xludf.DUMMYFUNCTION("""COMPUTED_VALUE"""),"Beef Tenderloin Steak Separable Lean Only Trimmed To 1/8 Inch Fat Select Cooked Broiled")</f>
        <v>Beef Tenderloin Steak Separable Lean Only Trimmed To 1/8 Inch Fat Select Cooked Broiled</v>
      </c>
      <c r="C2261" t="str">
        <f>IFERROR(__xludf.DUMMYFUNCTION("""COMPUTED_VALUE"""),"Meats")</f>
        <v>Meats</v>
      </c>
      <c r="D2261">
        <f>IFERROR(__xludf.DUMMYFUNCTION("""COMPUTED_VALUE"""),194.0)</f>
        <v>194</v>
      </c>
      <c r="E2261">
        <f>IFERROR(__xludf.DUMMYFUNCTION("""COMPUTED_VALUE"""),7.76)</f>
        <v>7.76</v>
      </c>
      <c r="F2261">
        <f>IFERROR(__xludf.DUMMYFUNCTION("""COMPUTED_VALUE"""),29.07)</f>
        <v>29.07</v>
      </c>
      <c r="G2261">
        <f>IFERROR(__xludf.DUMMYFUNCTION("""COMPUTED_VALUE"""),0.0)</f>
        <v>0</v>
      </c>
    </row>
    <row r="2262">
      <c r="A2262">
        <f>IFERROR(__xludf.DUMMYFUNCTION("""COMPUTED_VALUE"""),174044.0)</f>
        <v>174044</v>
      </c>
      <c r="B2262" t="str">
        <f>IFERROR(__xludf.DUMMYFUNCTION("""COMPUTED_VALUE"""),"Beef Top Sirloin Steak Separable Lean Only Trimmed To 1/8 Inch Fat Select Cooked Broiled")</f>
        <v>Beef Top Sirloin Steak Separable Lean Only Trimmed To 1/8 Inch Fat Select Cooked Broiled</v>
      </c>
      <c r="C2262" t="str">
        <f>IFERROR(__xludf.DUMMYFUNCTION("""COMPUTED_VALUE"""),"Meats")</f>
        <v>Meats</v>
      </c>
      <c r="D2262">
        <f>IFERROR(__xludf.DUMMYFUNCTION("""COMPUTED_VALUE"""),170.0)</f>
        <v>170</v>
      </c>
      <c r="E2262">
        <f>IFERROR(__xludf.DUMMYFUNCTION("""COMPUTED_VALUE"""),4.96)</f>
        <v>4.96</v>
      </c>
      <c r="F2262">
        <f>IFERROR(__xludf.DUMMYFUNCTION("""COMPUTED_VALUE"""),29.34)</f>
        <v>29.34</v>
      </c>
      <c r="G2262">
        <f>IFERROR(__xludf.DUMMYFUNCTION("""COMPUTED_VALUE"""),0.0)</f>
        <v>0</v>
      </c>
    </row>
    <row r="2263">
      <c r="A2263">
        <f>IFERROR(__xludf.DUMMYFUNCTION("""COMPUTED_VALUE"""),174045.0)</f>
        <v>174045</v>
      </c>
      <c r="B2263" t="str">
        <f>IFERROR(__xludf.DUMMYFUNCTION("""COMPUTED_VALUE"""),"Beef Round Bottom Round Steak Separable Lean Only Trimmed To 1/8 Inch Fat Select Cooked Braised")</f>
        <v>Beef Round Bottom Round Steak Separable Lean Only Trimmed To 1/8 Inch Fat Select Cooked Braised</v>
      </c>
      <c r="C2263" t="str">
        <f>IFERROR(__xludf.DUMMYFUNCTION("""COMPUTED_VALUE"""),"Meats")</f>
        <v>Meats</v>
      </c>
      <c r="D2263">
        <f>IFERROR(__xludf.DUMMYFUNCTION("""COMPUTED_VALUE"""),205.0)</f>
        <v>205</v>
      </c>
      <c r="E2263">
        <f>IFERROR(__xludf.DUMMYFUNCTION("""COMPUTED_VALUE"""),6.43)</f>
        <v>6.43</v>
      </c>
      <c r="F2263">
        <f>IFERROR(__xludf.DUMMYFUNCTION("""COMPUTED_VALUE"""),34.46)</f>
        <v>34.46</v>
      </c>
      <c r="G2263">
        <f>IFERROR(__xludf.DUMMYFUNCTION("""COMPUTED_VALUE"""),0.0)</f>
        <v>0</v>
      </c>
    </row>
    <row r="2264">
      <c r="A2264">
        <f>IFERROR(__xludf.DUMMYFUNCTION("""COMPUTED_VALUE"""),174046.0)</f>
        <v>174046</v>
      </c>
      <c r="B2264" t="str">
        <f>IFERROR(__xludf.DUMMYFUNCTION("""COMPUTED_VALUE"""),"Beef Round Bottom Round Roast Separable Lean Only Trimmed To 1/8 Inch Fat All Grades Raw")</f>
        <v>Beef Round Bottom Round Roast Separable Lean Only Trimmed To 1/8 Inch Fat All Grades Raw</v>
      </c>
      <c r="C2264" t="str">
        <f>IFERROR(__xludf.DUMMYFUNCTION("""COMPUTED_VALUE"""),"Meats")</f>
        <v>Meats</v>
      </c>
      <c r="D2264">
        <f>IFERROR(__xludf.DUMMYFUNCTION("""COMPUTED_VALUE"""),128.0)</f>
        <v>128</v>
      </c>
      <c r="E2264">
        <f>IFERROR(__xludf.DUMMYFUNCTION("""COMPUTED_VALUE"""),4.31)</f>
        <v>4.31</v>
      </c>
      <c r="F2264">
        <f>IFERROR(__xludf.DUMMYFUNCTION("""COMPUTED_VALUE"""),22.19)</f>
        <v>22.19</v>
      </c>
      <c r="G2264">
        <f>IFERROR(__xludf.DUMMYFUNCTION("""COMPUTED_VALUE"""),0.0)</f>
        <v>0</v>
      </c>
    </row>
    <row r="2265">
      <c r="A2265">
        <f>IFERROR(__xludf.DUMMYFUNCTION("""COMPUTED_VALUE"""),174047.0)</f>
        <v>174047</v>
      </c>
      <c r="B2265" t="str">
        <f>IFERROR(__xludf.DUMMYFUNCTION("""COMPUTED_VALUE"""),"Beef Brisket Flat Half Separable Lean Only Trimmed To 1/8 Inch Fat All Grades Cooked Braised")</f>
        <v>Beef Brisket Flat Half Separable Lean Only Trimmed To 1/8 Inch Fat All Grades Cooked Braised</v>
      </c>
      <c r="C2265" t="str">
        <f>IFERROR(__xludf.DUMMYFUNCTION("""COMPUTED_VALUE"""),"Meats")</f>
        <v>Meats</v>
      </c>
      <c r="D2265">
        <f>IFERROR(__xludf.DUMMYFUNCTION("""COMPUTED_VALUE"""),196.0)</f>
        <v>196</v>
      </c>
      <c r="E2265">
        <f>IFERROR(__xludf.DUMMYFUNCTION("""COMPUTED_VALUE"""),6.0)</f>
        <v>6</v>
      </c>
      <c r="F2265">
        <f>IFERROR(__xludf.DUMMYFUNCTION("""COMPUTED_VALUE"""),33.15)</f>
        <v>33.15</v>
      </c>
      <c r="G2265">
        <f>IFERROR(__xludf.DUMMYFUNCTION("""COMPUTED_VALUE"""),0.0)</f>
        <v>0</v>
      </c>
    </row>
    <row r="2266">
      <c r="A2266">
        <f>IFERROR(__xludf.DUMMYFUNCTION("""COMPUTED_VALUE"""),174048.0)</f>
        <v>174048</v>
      </c>
      <c r="B2266" t="str">
        <f>IFERROR(__xludf.DUMMYFUNCTION("""COMPUTED_VALUE"""),"Beef Brisket Flat Half Separable Lean Only Trimmed To 1/8 Inch Fat All Grades Raw")</f>
        <v>Beef Brisket Flat Half Separable Lean Only Trimmed To 1/8 Inch Fat All Grades Raw</v>
      </c>
      <c r="C2266" t="str">
        <f>IFERROR(__xludf.DUMMYFUNCTION("""COMPUTED_VALUE"""),"Meats")</f>
        <v>Meats</v>
      </c>
      <c r="D2266">
        <f>IFERROR(__xludf.DUMMYFUNCTION("""COMPUTED_VALUE"""),127.0)</f>
        <v>127</v>
      </c>
      <c r="E2266">
        <f>IFERROR(__xludf.DUMMYFUNCTION("""COMPUTED_VALUE"""),3.84)</f>
        <v>3.84</v>
      </c>
      <c r="F2266">
        <f>IFERROR(__xludf.DUMMYFUNCTION("""COMPUTED_VALUE"""),21.57)</f>
        <v>21.57</v>
      </c>
      <c r="G2266">
        <f>IFERROR(__xludf.DUMMYFUNCTION("""COMPUTED_VALUE"""),0.0)</f>
        <v>0</v>
      </c>
    </row>
    <row r="2267">
      <c r="A2267">
        <f>IFERROR(__xludf.DUMMYFUNCTION("""COMPUTED_VALUE"""),174049.0)</f>
        <v>174049</v>
      </c>
      <c r="B2267" t="str">
        <f>IFERROR(__xludf.DUMMYFUNCTION("""COMPUTED_VALUE"""),"Beef Round Eye Of Round Roast Separable Lean Only Trimmed To 1/8 Inch Fat All Grades Raw")</f>
        <v>Beef Round Eye Of Round Roast Separable Lean Only Trimmed To 1/8 Inch Fat All Grades Raw</v>
      </c>
      <c r="C2267" t="str">
        <f>IFERROR(__xludf.DUMMYFUNCTION("""COMPUTED_VALUE"""),"Meats")</f>
        <v>Meats</v>
      </c>
      <c r="D2267">
        <f>IFERROR(__xludf.DUMMYFUNCTION("""COMPUTED_VALUE"""),124.0)</f>
        <v>124</v>
      </c>
      <c r="E2267">
        <f>IFERROR(__xludf.DUMMYFUNCTION("""COMPUTED_VALUE"""),3.0)</f>
        <v>3</v>
      </c>
      <c r="F2267">
        <f>IFERROR(__xludf.DUMMYFUNCTION("""COMPUTED_VALUE"""),22.6)</f>
        <v>22.6</v>
      </c>
      <c r="G2267">
        <f>IFERROR(__xludf.DUMMYFUNCTION("""COMPUTED_VALUE"""),0.0)</f>
        <v>0</v>
      </c>
    </row>
    <row r="2268">
      <c r="A2268">
        <f>IFERROR(__xludf.DUMMYFUNCTION("""COMPUTED_VALUE"""),174050.0)</f>
        <v>174050</v>
      </c>
      <c r="B2268" t="str">
        <f>IFERROR(__xludf.DUMMYFUNCTION("""COMPUTED_VALUE"""),"Beef Chuck Arm Pot Roast Separable Lean Only Trimmed To 1/8 Inch Fat All Grades Cooked Braised")</f>
        <v>Beef Chuck Arm Pot Roast Separable Lean Only Trimmed To 1/8 Inch Fat All Grades Cooked Braised</v>
      </c>
      <c r="C2268" t="str">
        <f>IFERROR(__xludf.DUMMYFUNCTION("""COMPUTED_VALUE"""),"Meats")</f>
        <v>Meats</v>
      </c>
      <c r="D2268">
        <f>IFERROR(__xludf.DUMMYFUNCTION("""COMPUTED_VALUE"""),214.0)</f>
        <v>214</v>
      </c>
      <c r="E2268">
        <f>IFERROR(__xludf.DUMMYFUNCTION("""COMPUTED_VALUE"""),7.36)</f>
        <v>7.36</v>
      </c>
      <c r="F2268">
        <f>IFERROR(__xludf.DUMMYFUNCTION("""COMPUTED_VALUE"""),34.66)</f>
        <v>34.66</v>
      </c>
      <c r="G2268">
        <f>IFERROR(__xludf.DUMMYFUNCTION("""COMPUTED_VALUE"""),0.0)</f>
        <v>0</v>
      </c>
    </row>
    <row r="2269">
      <c r="A2269">
        <f>IFERROR(__xludf.DUMMYFUNCTION("""COMPUTED_VALUE"""),174051.0)</f>
        <v>174051</v>
      </c>
      <c r="B2269" t="str">
        <f>IFERROR(__xludf.DUMMYFUNCTION("""COMPUTED_VALUE"""),"Beef Chuck Arm Pot Roast Separable Lean Only Trimmed To 1/8 Inch Fat All Grades Raw")</f>
        <v>Beef Chuck Arm Pot Roast Separable Lean Only Trimmed To 1/8 Inch Fat All Grades Raw</v>
      </c>
      <c r="C2269" t="str">
        <f>IFERROR(__xludf.DUMMYFUNCTION("""COMPUTED_VALUE"""),"Meats")</f>
        <v>Meats</v>
      </c>
      <c r="D2269">
        <f>IFERROR(__xludf.DUMMYFUNCTION("""COMPUTED_VALUE"""),132.0)</f>
        <v>132</v>
      </c>
      <c r="E2269">
        <f>IFERROR(__xludf.DUMMYFUNCTION("""COMPUTED_VALUE"""),4.19)</f>
        <v>4.19</v>
      </c>
      <c r="F2269">
        <f>IFERROR(__xludf.DUMMYFUNCTION("""COMPUTED_VALUE"""),22.11)</f>
        <v>22.11</v>
      </c>
      <c r="G2269">
        <f>IFERROR(__xludf.DUMMYFUNCTION("""COMPUTED_VALUE"""),0.0)</f>
        <v>0</v>
      </c>
    </row>
    <row r="2270">
      <c r="A2270">
        <f>IFERROR(__xludf.DUMMYFUNCTION("""COMPUTED_VALUE"""),174052.0)</f>
        <v>174052</v>
      </c>
      <c r="B2270" t="str">
        <f>IFERROR(__xludf.DUMMYFUNCTION("""COMPUTED_VALUE"""),"Beef Round Bottom Round Roast Separable Lean Only Trimmed To 1/8 Inch Fat All Grades Cooked")</f>
        <v>Beef Round Bottom Round Roast Separable Lean Only Trimmed To 1/8 Inch Fat All Grades Cooked</v>
      </c>
      <c r="C2270" t="str">
        <f>IFERROR(__xludf.DUMMYFUNCTION("""COMPUTED_VALUE"""),"Meats")</f>
        <v>Meats</v>
      </c>
      <c r="D2270">
        <f>IFERROR(__xludf.DUMMYFUNCTION("""COMPUTED_VALUE"""),163.0)</f>
        <v>163</v>
      </c>
      <c r="E2270">
        <f>IFERROR(__xludf.DUMMYFUNCTION("""COMPUTED_VALUE"""),5.72)</f>
        <v>5.72</v>
      </c>
      <c r="F2270">
        <f>IFERROR(__xludf.DUMMYFUNCTION("""COMPUTED_VALUE"""),28.0)</f>
        <v>28</v>
      </c>
      <c r="G2270">
        <f>IFERROR(__xludf.DUMMYFUNCTION("""COMPUTED_VALUE"""),0.0)</f>
        <v>0</v>
      </c>
    </row>
    <row r="2271">
      <c r="A2271">
        <f>IFERROR(__xludf.DUMMYFUNCTION("""COMPUTED_VALUE"""),174053.0)</f>
        <v>174053</v>
      </c>
      <c r="B2271" t="str">
        <f>IFERROR(__xludf.DUMMYFUNCTION("""COMPUTED_VALUE"""),"Beef Round Bottom Round Steak Separable Lean Only Trimmed To 1/8 Inch Fat All Grades Cooked Braised")</f>
        <v>Beef Round Bottom Round Steak Separable Lean Only Trimmed To 1/8 Inch Fat All Grades Cooked Braised</v>
      </c>
      <c r="C2271" t="str">
        <f>IFERROR(__xludf.DUMMYFUNCTION("""COMPUTED_VALUE"""),"Meats")</f>
        <v>Meats</v>
      </c>
      <c r="D2271">
        <f>IFERROR(__xludf.DUMMYFUNCTION("""COMPUTED_VALUE"""),216.0)</f>
        <v>216</v>
      </c>
      <c r="E2271">
        <f>IFERROR(__xludf.DUMMYFUNCTION("""COMPUTED_VALUE"""),7.73)</f>
        <v>7.73</v>
      </c>
      <c r="F2271">
        <f>IFERROR(__xludf.DUMMYFUNCTION("""COMPUTED_VALUE"""),34.34)</f>
        <v>34.34</v>
      </c>
      <c r="G2271">
        <f>IFERROR(__xludf.DUMMYFUNCTION("""COMPUTED_VALUE"""),0.0)</f>
        <v>0</v>
      </c>
    </row>
    <row r="2272">
      <c r="A2272">
        <f>IFERROR(__xludf.DUMMYFUNCTION("""COMPUTED_VALUE"""),174054.0)</f>
        <v>174054</v>
      </c>
      <c r="B2272" t="str">
        <f>IFERROR(__xludf.DUMMYFUNCTION("""COMPUTED_VALUE"""),"Beef Top Sirloin Steak Separable Lean Only Trimmed To 1/8 Inch Fat All Grades Cooked Broiled")</f>
        <v>Beef Top Sirloin Steak Separable Lean Only Trimmed To 1/8 Inch Fat All Grades Cooked Broiled</v>
      </c>
      <c r="C2272" t="str">
        <f>IFERROR(__xludf.DUMMYFUNCTION("""COMPUTED_VALUE"""),"Meats")</f>
        <v>Meats</v>
      </c>
      <c r="D2272">
        <f>IFERROR(__xludf.DUMMYFUNCTION("""COMPUTED_VALUE"""),178.0)</f>
        <v>178</v>
      </c>
      <c r="E2272">
        <f>IFERROR(__xludf.DUMMYFUNCTION("""COMPUTED_VALUE"""),5.84)</f>
        <v>5.84</v>
      </c>
      <c r="F2272">
        <f>IFERROR(__xludf.DUMMYFUNCTION("""COMPUTED_VALUE"""),29.42)</f>
        <v>29.42</v>
      </c>
      <c r="G2272">
        <f>IFERROR(__xludf.DUMMYFUNCTION("""COMPUTED_VALUE"""),0.0)</f>
        <v>0</v>
      </c>
    </row>
    <row r="2273">
      <c r="A2273">
        <f>IFERROR(__xludf.DUMMYFUNCTION("""COMPUTED_VALUE"""),174055.0)</f>
        <v>174055</v>
      </c>
      <c r="B2273" t="str">
        <f>IFERROR(__xludf.DUMMYFUNCTION("""COMPUTED_VALUE"""),"Beef Top Sirloin Steak Separable Lean Only Trimmed To 1/8 Inch Fat All Grades Raw")</f>
        <v>Beef Top Sirloin Steak Separable Lean Only Trimmed To 1/8 Inch Fat All Grades Raw</v>
      </c>
      <c r="C2273" t="str">
        <f>IFERROR(__xludf.DUMMYFUNCTION("""COMPUTED_VALUE"""),"Meats")</f>
        <v>Meats</v>
      </c>
      <c r="D2273">
        <f>IFERROR(__xludf.DUMMYFUNCTION("""COMPUTED_VALUE"""),131.0)</f>
        <v>131</v>
      </c>
      <c r="E2273">
        <f>IFERROR(__xludf.DUMMYFUNCTION("""COMPUTED_VALUE"""),4.08)</f>
        <v>4.08</v>
      </c>
      <c r="F2273">
        <f>IFERROR(__xludf.DUMMYFUNCTION("""COMPUTED_VALUE"""),22.09)</f>
        <v>22.09</v>
      </c>
      <c r="G2273">
        <f>IFERROR(__xludf.DUMMYFUNCTION("""COMPUTED_VALUE"""),0.0)</f>
        <v>0</v>
      </c>
    </row>
    <row r="2274">
      <c r="A2274">
        <f>IFERROR(__xludf.DUMMYFUNCTION("""COMPUTED_VALUE"""),174056.0)</f>
        <v>174056</v>
      </c>
      <c r="B2274" t="str">
        <f>IFERROR(__xludf.DUMMYFUNCTION("""COMPUTED_VALUE"""),"Beef Chuck Arm Pot Roast Separable Lean Only Trimmed To 1/8 Inch Fat Choice Raw")</f>
        <v>Beef Chuck Arm Pot Roast Separable Lean Only Trimmed To 1/8 Inch Fat Choice Raw</v>
      </c>
      <c r="C2274" t="str">
        <f>IFERROR(__xludf.DUMMYFUNCTION("""COMPUTED_VALUE"""),"Meats")</f>
        <v>Meats</v>
      </c>
      <c r="D2274">
        <f>IFERROR(__xludf.DUMMYFUNCTION("""COMPUTED_VALUE"""),139.0)</f>
        <v>139</v>
      </c>
      <c r="E2274">
        <f>IFERROR(__xludf.DUMMYFUNCTION("""COMPUTED_VALUE"""),5.05)</f>
        <v>5.05</v>
      </c>
      <c r="F2274">
        <f>IFERROR(__xludf.DUMMYFUNCTION("""COMPUTED_VALUE"""),21.96)</f>
        <v>21.96</v>
      </c>
      <c r="G2274">
        <f>IFERROR(__xludf.DUMMYFUNCTION("""COMPUTED_VALUE"""),0.0)</f>
        <v>0</v>
      </c>
    </row>
    <row r="2275">
      <c r="A2275">
        <f>IFERROR(__xludf.DUMMYFUNCTION("""COMPUTED_VALUE"""),174057.0)</f>
        <v>174057</v>
      </c>
      <c r="B2275" t="str">
        <f>IFERROR(__xludf.DUMMYFUNCTION("""COMPUTED_VALUE"""),"Beef Brisket Flat Half Separable Lean Only Trimmed To 1/8 Inch Fat Choice Raw")</f>
        <v>Beef Brisket Flat Half Separable Lean Only Trimmed To 1/8 Inch Fat Choice Raw</v>
      </c>
      <c r="C2275" t="str">
        <f>IFERROR(__xludf.DUMMYFUNCTION("""COMPUTED_VALUE"""),"Meats")</f>
        <v>Meats</v>
      </c>
      <c r="D2275">
        <f>IFERROR(__xludf.DUMMYFUNCTION("""COMPUTED_VALUE"""),129.0)</f>
        <v>129</v>
      </c>
      <c r="E2275">
        <f>IFERROR(__xludf.DUMMYFUNCTION("""COMPUTED_VALUE"""),4.06)</f>
        <v>4.06</v>
      </c>
      <c r="F2275">
        <f>IFERROR(__xludf.DUMMYFUNCTION("""COMPUTED_VALUE"""),21.69)</f>
        <v>21.69</v>
      </c>
      <c r="G2275">
        <f>IFERROR(__xludf.DUMMYFUNCTION("""COMPUTED_VALUE"""),0.0)</f>
        <v>0</v>
      </c>
    </row>
    <row r="2276">
      <c r="A2276">
        <f>IFERROR(__xludf.DUMMYFUNCTION("""COMPUTED_VALUE"""),174058.0)</f>
        <v>174058</v>
      </c>
      <c r="B2276" t="str">
        <f>IFERROR(__xludf.DUMMYFUNCTION("""COMPUTED_VALUE"""),"Beef Round Bottom Round Roast Separable Lean Only Trimmed To 1/8 Inch Fat Choice Raw")</f>
        <v>Beef Round Bottom Round Roast Separable Lean Only Trimmed To 1/8 Inch Fat Choice Raw</v>
      </c>
      <c r="C2276" t="str">
        <f>IFERROR(__xludf.DUMMYFUNCTION("""COMPUTED_VALUE"""),"Meats")</f>
        <v>Meats</v>
      </c>
      <c r="D2276">
        <f>IFERROR(__xludf.DUMMYFUNCTION("""COMPUTED_VALUE"""),140.0)</f>
        <v>140</v>
      </c>
      <c r="E2276">
        <f>IFERROR(__xludf.DUMMYFUNCTION("""COMPUTED_VALUE"""),4.96)</f>
        <v>4.96</v>
      </c>
      <c r="F2276">
        <f>IFERROR(__xludf.DUMMYFUNCTION("""COMPUTED_VALUE"""),22.22)</f>
        <v>22.22</v>
      </c>
      <c r="G2276">
        <f>IFERROR(__xludf.DUMMYFUNCTION("""COMPUTED_VALUE"""),0.0)</f>
        <v>0</v>
      </c>
    </row>
    <row r="2277">
      <c r="A2277">
        <f>IFERROR(__xludf.DUMMYFUNCTION("""COMPUTED_VALUE"""),174059.0)</f>
        <v>174059</v>
      </c>
      <c r="B2277" t="str">
        <f>IFERROR(__xludf.DUMMYFUNCTION("""COMPUTED_VALUE"""),"Beef Round Bottom Round Roast Separable Lean Only Trimmed To 1/8 Inch Fat Choice Cooked Roasted")</f>
        <v>Beef Round Bottom Round Roast Separable Lean Only Trimmed To 1/8 Inch Fat Choice Cooked Roasted</v>
      </c>
      <c r="C2277" t="str">
        <f>IFERROR(__xludf.DUMMYFUNCTION("""COMPUTED_VALUE"""),"Meats")</f>
        <v>Meats</v>
      </c>
      <c r="D2277">
        <f>IFERROR(__xludf.DUMMYFUNCTION("""COMPUTED_VALUE"""),179.0)</f>
        <v>179</v>
      </c>
      <c r="E2277">
        <f>IFERROR(__xludf.DUMMYFUNCTION("""COMPUTED_VALUE"""),6.77)</f>
        <v>6.77</v>
      </c>
      <c r="F2277">
        <f>IFERROR(__xludf.DUMMYFUNCTION("""COMPUTED_VALUE"""),27.56)</f>
        <v>27.56</v>
      </c>
      <c r="G2277">
        <f>IFERROR(__xludf.DUMMYFUNCTION("""COMPUTED_VALUE"""),0.0)</f>
        <v>0</v>
      </c>
    </row>
    <row r="2278">
      <c r="A2278">
        <f>IFERROR(__xludf.DUMMYFUNCTION("""COMPUTED_VALUE"""),174060.0)</f>
        <v>174060</v>
      </c>
      <c r="B2278" t="str">
        <f>IFERROR(__xludf.DUMMYFUNCTION("""COMPUTED_VALUE"""),"Beef Round Eye Of Round Roast Separable Lean Only Trimmed To 1/8 Inch Fat Choice Cooked Roasted")</f>
        <v>Beef Round Eye Of Round Roast Separable Lean Only Trimmed To 1/8 Inch Fat Choice Cooked Roasted</v>
      </c>
      <c r="C2278" t="str">
        <f>IFERROR(__xludf.DUMMYFUNCTION("""COMPUTED_VALUE"""),"Meats")</f>
        <v>Meats</v>
      </c>
      <c r="D2278">
        <f>IFERROR(__xludf.DUMMYFUNCTION("""COMPUTED_VALUE"""),175.0)</f>
        <v>175</v>
      </c>
      <c r="E2278">
        <f>IFERROR(__xludf.DUMMYFUNCTION("""COMPUTED_VALUE"""),5.3)</f>
        <v>5.3</v>
      </c>
      <c r="F2278">
        <f>IFERROR(__xludf.DUMMYFUNCTION("""COMPUTED_VALUE"""),29.87)</f>
        <v>29.87</v>
      </c>
      <c r="G2278">
        <f>IFERROR(__xludf.DUMMYFUNCTION("""COMPUTED_VALUE"""),0.0)</f>
        <v>0</v>
      </c>
    </row>
    <row r="2279">
      <c r="A2279">
        <f>IFERROR(__xludf.DUMMYFUNCTION("""COMPUTED_VALUE"""),174061.0)</f>
        <v>174061</v>
      </c>
      <c r="B2279" t="str">
        <f>IFERROR(__xludf.DUMMYFUNCTION("""COMPUTED_VALUE"""),"Beef Round Top Round Steak Separable Lean Only Trimmed To 1/8 Inch Fat Choice Cooked Broiled")</f>
        <v>Beef Round Top Round Steak Separable Lean Only Trimmed To 1/8 Inch Fat Choice Cooked Broiled</v>
      </c>
      <c r="C2279" t="str">
        <f>IFERROR(__xludf.DUMMYFUNCTION("""COMPUTED_VALUE"""),"Meats")</f>
        <v>Meats</v>
      </c>
      <c r="D2279">
        <f>IFERROR(__xludf.DUMMYFUNCTION("""COMPUTED_VALUE"""),193.0)</f>
        <v>193</v>
      </c>
      <c r="E2279">
        <f>IFERROR(__xludf.DUMMYFUNCTION("""COMPUTED_VALUE"""),6.25)</f>
        <v>6.25</v>
      </c>
      <c r="F2279">
        <f>IFERROR(__xludf.DUMMYFUNCTION("""COMPUTED_VALUE"""),32.04)</f>
        <v>32.04</v>
      </c>
      <c r="G2279">
        <f>IFERROR(__xludf.DUMMYFUNCTION("""COMPUTED_VALUE"""),0.0)</f>
        <v>0</v>
      </c>
    </row>
    <row r="2280">
      <c r="A2280">
        <f>IFERROR(__xludf.DUMMYFUNCTION("""COMPUTED_VALUE"""),174182.0)</f>
        <v>174182</v>
      </c>
      <c r="B2280" t="str">
        <f>IFERROR(__xludf.DUMMYFUNCTION("""COMPUTED_VALUE"""),"Anchovies (Raw)")</f>
        <v>Anchovies (Raw)</v>
      </c>
      <c r="C2280" t="str">
        <f>IFERROR(__xludf.DUMMYFUNCTION("""COMPUTED_VALUE"""),"Fish")</f>
        <v>Fish</v>
      </c>
      <c r="D2280">
        <f>IFERROR(__xludf.DUMMYFUNCTION("""COMPUTED_VALUE"""),131.0)</f>
        <v>131</v>
      </c>
      <c r="E2280">
        <f>IFERROR(__xludf.DUMMYFUNCTION("""COMPUTED_VALUE"""),4.84)</f>
        <v>4.84</v>
      </c>
      <c r="F2280">
        <f>IFERROR(__xludf.DUMMYFUNCTION("""COMPUTED_VALUE"""),20.35)</f>
        <v>20.35</v>
      </c>
      <c r="G2280">
        <f>IFERROR(__xludf.DUMMYFUNCTION("""COMPUTED_VALUE"""),0.0)</f>
        <v>0</v>
      </c>
    </row>
    <row r="2281">
      <c r="A2281">
        <f>IFERROR(__xludf.DUMMYFUNCTION("""COMPUTED_VALUE"""),174183.0)</f>
        <v>174183</v>
      </c>
      <c r="B2281" t="str">
        <f>IFERROR(__xludf.DUMMYFUNCTION("""COMPUTED_VALUE"""),"Canned Anchovies")</f>
        <v>Canned Anchovies</v>
      </c>
      <c r="C2281" t="str">
        <f>IFERROR(__xludf.DUMMYFUNCTION("""COMPUTED_VALUE"""),"Fish")</f>
        <v>Fish</v>
      </c>
      <c r="D2281">
        <f>IFERROR(__xludf.DUMMYFUNCTION("""COMPUTED_VALUE"""),210.0)</f>
        <v>210</v>
      </c>
      <c r="E2281">
        <f>IFERROR(__xludf.DUMMYFUNCTION("""COMPUTED_VALUE"""),9.71)</f>
        <v>9.71</v>
      </c>
      <c r="F2281">
        <f>IFERROR(__xludf.DUMMYFUNCTION("""COMPUTED_VALUE"""),28.89)</f>
        <v>28.89</v>
      </c>
      <c r="G2281">
        <f>IFERROR(__xludf.DUMMYFUNCTION("""COMPUTED_VALUE"""),0.0)</f>
        <v>0</v>
      </c>
    </row>
    <row r="2282">
      <c r="A2282">
        <f>IFERROR(__xludf.DUMMYFUNCTION("""COMPUTED_VALUE"""),174184.0)</f>
        <v>174184</v>
      </c>
      <c r="B2282" t="str">
        <f>IFERROR(__xludf.DUMMYFUNCTION("""COMPUTED_VALUE"""),"Fresh Water Bass (Raw)")</f>
        <v>Fresh Water Bass (Raw)</v>
      </c>
      <c r="C2282" t="str">
        <f>IFERROR(__xludf.DUMMYFUNCTION("""COMPUTED_VALUE"""),"Fish")</f>
        <v>Fish</v>
      </c>
      <c r="D2282">
        <f>IFERROR(__xludf.DUMMYFUNCTION("""COMPUTED_VALUE"""),114.0)</f>
        <v>114</v>
      </c>
      <c r="E2282">
        <f>IFERROR(__xludf.DUMMYFUNCTION("""COMPUTED_VALUE"""),3.69)</f>
        <v>3.69</v>
      </c>
      <c r="F2282">
        <f>IFERROR(__xludf.DUMMYFUNCTION("""COMPUTED_VALUE"""),18.86)</f>
        <v>18.86</v>
      </c>
      <c r="G2282">
        <f>IFERROR(__xludf.DUMMYFUNCTION("""COMPUTED_VALUE"""),0.0)</f>
        <v>0</v>
      </c>
    </row>
    <row r="2283">
      <c r="A2283">
        <f>IFERROR(__xludf.DUMMYFUNCTION("""COMPUTED_VALUE"""),174185.0)</f>
        <v>174185</v>
      </c>
      <c r="B2283" t="str">
        <f>IFERROR(__xludf.DUMMYFUNCTION("""COMPUTED_VALUE"""),"Fish Carp Cooked Dry Heat")</f>
        <v>Fish Carp Cooked Dry Heat</v>
      </c>
      <c r="C2283" t="str">
        <f>IFERROR(__xludf.DUMMYFUNCTION("""COMPUTED_VALUE"""),"Fish")</f>
        <v>Fish</v>
      </c>
      <c r="D2283">
        <f>IFERROR(__xludf.DUMMYFUNCTION("""COMPUTED_VALUE"""),162.0)</f>
        <v>162</v>
      </c>
      <c r="E2283">
        <f>IFERROR(__xludf.DUMMYFUNCTION("""COMPUTED_VALUE"""),7.17)</f>
        <v>7.17</v>
      </c>
      <c r="F2283">
        <f>IFERROR(__xludf.DUMMYFUNCTION("""COMPUTED_VALUE"""),22.86)</f>
        <v>22.86</v>
      </c>
      <c r="G2283">
        <f>IFERROR(__xludf.DUMMYFUNCTION("""COMPUTED_VALUE"""),0.0)</f>
        <v>0</v>
      </c>
    </row>
    <row r="2284">
      <c r="A2284">
        <f>IFERROR(__xludf.DUMMYFUNCTION("""COMPUTED_VALUE"""),174186.0)</f>
        <v>174186</v>
      </c>
      <c r="B2284" t="str">
        <f>IFERROR(__xludf.DUMMYFUNCTION("""COMPUTED_VALUE"""),"Fish Catfish Channel Wild Raw")</f>
        <v>Fish Catfish Channel Wild Raw</v>
      </c>
      <c r="C2284" t="str">
        <f>IFERROR(__xludf.DUMMYFUNCTION("""COMPUTED_VALUE"""),"Fish")</f>
        <v>Fish</v>
      </c>
      <c r="D2284">
        <f>IFERROR(__xludf.DUMMYFUNCTION("""COMPUTED_VALUE"""),95.0)</f>
        <v>95</v>
      </c>
      <c r="E2284">
        <f>IFERROR(__xludf.DUMMYFUNCTION("""COMPUTED_VALUE"""),2.82)</f>
        <v>2.82</v>
      </c>
      <c r="F2284">
        <f>IFERROR(__xludf.DUMMYFUNCTION("""COMPUTED_VALUE"""),16.38)</f>
        <v>16.38</v>
      </c>
      <c r="G2284">
        <f>IFERROR(__xludf.DUMMYFUNCTION("""COMPUTED_VALUE"""),0.0)</f>
        <v>0</v>
      </c>
    </row>
    <row r="2285">
      <c r="A2285">
        <f>IFERROR(__xludf.DUMMYFUNCTION("""COMPUTED_VALUE"""),174187.0)</f>
        <v>174187</v>
      </c>
      <c r="B2285" t="str">
        <f>IFERROR(__xludf.DUMMYFUNCTION("""COMPUTED_VALUE"""),"Fish Catfish Channel Cooked Breaded And Fried")</f>
        <v>Fish Catfish Channel Cooked Breaded And Fried</v>
      </c>
      <c r="C2285" t="str">
        <f>IFERROR(__xludf.DUMMYFUNCTION("""COMPUTED_VALUE"""),"Fish")</f>
        <v>Fish</v>
      </c>
      <c r="D2285">
        <f>IFERROR(__xludf.DUMMYFUNCTION("""COMPUTED_VALUE"""),229.0)</f>
        <v>229</v>
      </c>
      <c r="E2285">
        <f>IFERROR(__xludf.DUMMYFUNCTION("""COMPUTED_VALUE"""),13.33)</f>
        <v>13.33</v>
      </c>
      <c r="F2285">
        <f>IFERROR(__xludf.DUMMYFUNCTION("""COMPUTED_VALUE"""),18.09)</f>
        <v>18.09</v>
      </c>
      <c r="G2285">
        <f>IFERROR(__xludf.DUMMYFUNCTION("""COMPUTED_VALUE"""),8.04)</f>
        <v>8.04</v>
      </c>
    </row>
    <row r="2286">
      <c r="A2286">
        <f>IFERROR(__xludf.DUMMYFUNCTION("""COMPUTED_VALUE"""),174188.0)</f>
        <v>174188</v>
      </c>
      <c r="B2286" t="str">
        <f>IFERROR(__xludf.DUMMYFUNCTION("""COMPUTED_VALUE"""),"Fish Caviar Black And Red Granular")</f>
        <v>Fish Caviar Black And Red Granular</v>
      </c>
      <c r="C2286" t="str">
        <f>IFERROR(__xludf.DUMMYFUNCTION("""COMPUTED_VALUE"""),"Fish")</f>
        <v>Fish</v>
      </c>
      <c r="D2286">
        <f>IFERROR(__xludf.DUMMYFUNCTION("""COMPUTED_VALUE"""),264.0)</f>
        <v>264</v>
      </c>
      <c r="E2286">
        <f>IFERROR(__xludf.DUMMYFUNCTION("""COMPUTED_VALUE"""),17.9)</f>
        <v>17.9</v>
      </c>
      <c r="F2286">
        <f>IFERROR(__xludf.DUMMYFUNCTION("""COMPUTED_VALUE"""),24.6)</f>
        <v>24.6</v>
      </c>
      <c r="G2286">
        <f>IFERROR(__xludf.DUMMYFUNCTION("""COMPUTED_VALUE"""),4.0)</f>
        <v>4</v>
      </c>
    </row>
    <row r="2287">
      <c r="A2287">
        <f>IFERROR(__xludf.DUMMYFUNCTION("""COMPUTED_VALUE"""),174189.0)</f>
        <v>174189</v>
      </c>
      <c r="B2287" t="str">
        <f>IFERROR(__xludf.DUMMYFUNCTION("""COMPUTED_VALUE"""),"Canned Atlantic Cod")</f>
        <v>Canned Atlantic Cod</v>
      </c>
      <c r="C2287" t="str">
        <f>IFERROR(__xludf.DUMMYFUNCTION("""COMPUTED_VALUE"""),"Fish")</f>
        <v>Fish</v>
      </c>
      <c r="D2287">
        <f>IFERROR(__xludf.DUMMYFUNCTION("""COMPUTED_VALUE"""),105.0)</f>
        <v>105</v>
      </c>
      <c r="E2287">
        <f>IFERROR(__xludf.DUMMYFUNCTION("""COMPUTED_VALUE"""),0.86)</f>
        <v>0.86</v>
      </c>
      <c r="F2287">
        <f>IFERROR(__xludf.DUMMYFUNCTION("""COMPUTED_VALUE"""),22.76)</f>
        <v>22.76</v>
      </c>
      <c r="G2287">
        <f>IFERROR(__xludf.DUMMYFUNCTION("""COMPUTED_VALUE"""),0.0)</f>
        <v>0</v>
      </c>
    </row>
    <row r="2288">
      <c r="A2288">
        <f>IFERROR(__xludf.DUMMYFUNCTION("""COMPUTED_VALUE"""),174190.0)</f>
        <v>174190</v>
      </c>
      <c r="B2288" t="str">
        <f>IFERROR(__xludf.DUMMYFUNCTION("""COMPUTED_VALUE"""),"Dried Salted Atlantic Cod")</f>
        <v>Dried Salted Atlantic Cod</v>
      </c>
      <c r="C2288" t="str">
        <f>IFERROR(__xludf.DUMMYFUNCTION("""COMPUTED_VALUE"""),"Fish")</f>
        <v>Fish</v>
      </c>
      <c r="D2288">
        <f>IFERROR(__xludf.DUMMYFUNCTION("""COMPUTED_VALUE"""),290.0)</f>
        <v>290</v>
      </c>
      <c r="E2288">
        <f>IFERROR(__xludf.DUMMYFUNCTION("""COMPUTED_VALUE"""),2.37)</f>
        <v>2.37</v>
      </c>
      <c r="F2288">
        <f>IFERROR(__xludf.DUMMYFUNCTION("""COMPUTED_VALUE"""),62.82)</f>
        <v>62.82</v>
      </c>
      <c r="G2288">
        <f>IFERROR(__xludf.DUMMYFUNCTION("""COMPUTED_VALUE"""),0.0)</f>
        <v>0</v>
      </c>
    </row>
    <row r="2289">
      <c r="A2289">
        <f>IFERROR(__xludf.DUMMYFUNCTION("""COMPUTED_VALUE"""),174191.0)</f>
        <v>174191</v>
      </c>
      <c r="B2289" t="str">
        <f>IFERROR(__xludf.DUMMYFUNCTION("""COMPUTED_VALUE"""),"Fish Cod Pacific Raw (May Have Been Previously Frozen)")</f>
        <v>Fish Cod Pacific Raw (May Have Been Previously Frozen)</v>
      </c>
      <c r="C2289" t="str">
        <f>IFERROR(__xludf.DUMMYFUNCTION("""COMPUTED_VALUE"""),"Fish")</f>
        <v>Fish</v>
      </c>
      <c r="D2289">
        <f>IFERROR(__xludf.DUMMYFUNCTION("""COMPUTED_VALUE"""),69.0)</f>
        <v>69</v>
      </c>
      <c r="E2289">
        <f>IFERROR(__xludf.DUMMYFUNCTION("""COMPUTED_VALUE"""),0.41)</f>
        <v>0.41</v>
      </c>
      <c r="F2289">
        <f>IFERROR(__xludf.DUMMYFUNCTION("""COMPUTED_VALUE"""),15.27)</f>
        <v>15.27</v>
      </c>
      <c r="G2289">
        <f>IFERROR(__xludf.DUMMYFUNCTION("""COMPUTED_VALUE"""),0.0)</f>
        <v>0</v>
      </c>
    </row>
    <row r="2290">
      <c r="A2290">
        <f>IFERROR(__xludf.DUMMYFUNCTION("""COMPUTED_VALUE"""),174192.0)</f>
        <v>174192</v>
      </c>
      <c r="B2290" t="str">
        <f>IFERROR(__xludf.DUMMYFUNCTION("""COMPUTED_VALUE"""),"Fish Croaker Atlantic Raw")</f>
        <v>Fish Croaker Atlantic Raw</v>
      </c>
      <c r="C2290" t="str">
        <f>IFERROR(__xludf.DUMMYFUNCTION("""COMPUTED_VALUE"""),"Fish")</f>
        <v>Fish</v>
      </c>
      <c r="D2290">
        <f>IFERROR(__xludf.DUMMYFUNCTION("""COMPUTED_VALUE"""),104.0)</f>
        <v>104</v>
      </c>
      <c r="E2290">
        <f>IFERROR(__xludf.DUMMYFUNCTION("""COMPUTED_VALUE"""),3.17)</f>
        <v>3.17</v>
      </c>
      <c r="F2290">
        <f>IFERROR(__xludf.DUMMYFUNCTION("""COMPUTED_VALUE"""),17.78)</f>
        <v>17.78</v>
      </c>
      <c r="G2290">
        <f>IFERROR(__xludf.DUMMYFUNCTION("""COMPUTED_VALUE"""),0.0)</f>
        <v>0</v>
      </c>
    </row>
    <row r="2291">
      <c r="A2291">
        <f>IFERROR(__xludf.DUMMYFUNCTION("""COMPUTED_VALUE"""),174193.0)</f>
        <v>174193</v>
      </c>
      <c r="B2291" t="str">
        <f>IFERROR(__xludf.DUMMYFUNCTION("""COMPUTED_VALUE"""),"Fish Eel Mixed Species Raw")</f>
        <v>Fish Eel Mixed Species Raw</v>
      </c>
      <c r="C2291" t="str">
        <f>IFERROR(__xludf.DUMMYFUNCTION("""COMPUTED_VALUE"""),"Fish")</f>
        <v>Fish</v>
      </c>
      <c r="D2291">
        <f>IFERROR(__xludf.DUMMYFUNCTION("""COMPUTED_VALUE"""),184.0)</f>
        <v>184</v>
      </c>
      <c r="E2291">
        <f>IFERROR(__xludf.DUMMYFUNCTION("""COMPUTED_VALUE"""),11.66)</f>
        <v>11.66</v>
      </c>
      <c r="F2291">
        <f>IFERROR(__xludf.DUMMYFUNCTION("""COMPUTED_VALUE"""),18.44)</f>
        <v>18.44</v>
      </c>
      <c r="G2291">
        <f>IFERROR(__xludf.DUMMYFUNCTION("""COMPUTED_VALUE"""),0.0)</f>
        <v>0</v>
      </c>
    </row>
    <row r="2292">
      <c r="A2292">
        <f>IFERROR(__xludf.DUMMYFUNCTION("""COMPUTED_VALUE"""),174194.0)</f>
        <v>174194</v>
      </c>
      <c r="B2292" t="str">
        <f>IFERROR(__xludf.DUMMYFUNCTION("""COMPUTED_VALUE"""),"Cooked Eel")</f>
        <v>Cooked Eel</v>
      </c>
      <c r="C2292" t="str">
        <f>IFERROR(__xludf.DUMMYFUNCTION("""COMPUTED_VALUE"""),"Fish")</f>
        <v>Fish</v>
      </c>
      <c r="D2292">
        <f>IFERROR(__xludf.DUMMYFUNCTION("""COMPUTED_VALUE"""),236.0)</f>
        <v>236</v>
      </c>
      <c r="E2292">
        <f>IFERROR(__xludf.DUMMYFUNCTION("""COMPUTED_VALUE"""),14.95)</f>
        <v>14.95</v>
      </c>
      <c r="F2292">
        <f>IFERROR(__xludf.DUMMYFUNCTION("""COMPUTED_VALUE"""),23.65)</f>
        <v>23.65</v>
      </c>
      <c r="G2292">
        <f>IFERROR(__xludf.DUMMYFUNCTION("""COMPUTED_VALUE"""),0.0)</f>
        <v>0</v>
      </c>
    </row>
    <row r="2293">
      <c r="A2293">
        <f>IFERROR(__xludf.DUMMYFUNCTION("""COMPUTED_VALUE"""),174195.0)</f>
        <v>174195</v>
      </c>
      <c r="B2293" t="str">
        <f>IFERROR(__xludf.DUMMYFUNCTION("""COMPUTED_VALUE"""),"Fish Fish Sticks Frozen Prepared")</f>
        <v>Fish Fish Sticks Frozen Prepared</v>
      </c>
      <c r="C2293" t="str">
        <f>IFERROR(__xludf.DUMMYFUNCTION("""COMPUTED_VALUE"""),"Fish")</f>
        <v>Fish</v>
      </c>
      <c r="D2293">
        <f>IFERROR(__xludf.DUMMYFUNCTION("""COMPUTED_VALUE"""),277.0)</f>
        <v>277</v>
      </c>
      <c r="E2293">
        <f>IFERROR(__xludf.DUMMYFUNCTION("""COMPUTED_VALUE"""),16.23)</f>
        <v>16.23</v>
      </c>
      <c r="F2293">
        <f>IFERROR(__xludf.DUMMYFUNCTION("""COMPUTED_VALUE"""),11.01)</f>
        <v>11.01</v>
      </c>
      <c r="G2293">
        <f>IFERROR(__xludf.DUMMYFUNCTION("""COMPUTED_VALUE"""),21.66)</f>
        <v>21.66</v>
      </c>
    </row>
    <row r="2294">
      <c r="A2294">
        <f>IFERROR(__xludf.DUMMYFUNCTION("""COMPUTED_VALUE"""),174196.0)</f>
        <v>174196</v>
      </c>
      <c r="B2294" t="str">
        <f>IFERROR(__xludf.DUMMYFUNCTION("""COMPUTED_VALUE"""),"Fish Flatfish (Flounder And Sole Species) Raw")</f>
        <v>Fish Flatfish (Flounder And Sole Species) Raw</v>
      </c>
      <c r="C2294" t="str">
        <f>IFERROR(__xludf.DUMMYFUNCTION("""COMPUTED_VALUE"""),"Fish")</f>
        <v>Fish</v>
      </c>
      <c r="D2294">
        <f>IFERROR(__xludf.DUMMYFUNCTION("""COMPUTED_VALUE"""),70.0)</f>
        <v>70</v>
      </c>
      <c r="E2294">
        <f>IFERROR(__xludf.DUMMYFUNCTION("""COMPUTED_VALUE"""),1.93)</f>
        <v>1.93</v>
      </c>
      <c r="F2294">
        <f>IFERROR(__xludf.DUMMYFUNCTION("""COMPUTED_VALUE"""),12.41)</f>
        <v>12.41</v>
      </c>
      <c r="G2294">
        <f>IFERROR(__xludf.DUMMYFUNCTION("""COMPUTED_VALUE"""),0.0)</f>
        <v>0</v>
      </c>
    </row>
    <row r="2295">
      <c r="A2295">
        <f>IFERROR(__xludf.DUMMYFUNCTION("""COMPUTED_VALUE"""),174197.0)</f>
        <v>174197</v>
      </c>
      <c r="B2295" t="str">
        <f>IFERROR(__xludf.DUMMYFUNCTION("""COMPUTED_VALUE"""),"Flat Fish (Flounder Or Sole)")</f>
        <v>Flat Fish (Flounder Or Sole)</v>
      </c>
      <c r="C2295" t="str">
        <f>IFERROR(__xludf.DUMMYFUNCTION("""COMPUTED_VALUE"""),"Fish")</f>
        <v>Fish</v>
      </c>
      <c r="D2295">
        <f>IFERROR(__xludf.DUMMYFUNCTION("""COMPUTED_VALUE"""),86.0)</f>
        <v>86</v>
      </c>
      <c r="E2295">
        <f>IFERROR(__xludf.DUMMYFUNCTION("""COMPUTED_VALUE"""),2.37)</f>
        <v>2.37</v>
      </c>
      <c r="F2295">
        <f>IFERROR(__xludf.DUMMYFUNCTION("""COMPUTED_VALUE"""),15.24)</f>
        <v>15.24</v>
      </c>
      <c r="G2295">
        <f>IFERROR(__xludf.DUMMYFUNCTION("""COMPUTED_VALUE"""),0.0)</f>
        <v>0</v>
      </c>
    </row>
    <row r="2296">
      <c r="A2296">
        <f>IFERROR(__xludf.DUMMYFUNCTION("""COMPUTED_VALUE"""),174198.0)</f>
        <v>174198</v>
      </c>
      <c r="B2296" t="str">
        <f>IFERROR(__xludf.DUMMYFUNCTION("""COMPUTED_VALUE"""),"Cooked Haddock")</f>
        <v>Cooked Haddock</v>
      </c>
      <c r="C2296" t="str">
        <f>IFERROR(__xludf.DUMMYFUNCTION("""COMPUTED_VALUE"""),"Fish")</f>
        <v>Fish</v>
      </c>
      <c r="D2296">
        <f>IFERROR(__xludf.DUMMYFUNCTION("""COMPUTED_VALUE"""),90.0)</f>
        <v>90</v>
      </c>
      <c r="E2296">
        <f>IFERROR(__xludf.DUMMYFUNCTION("""COMPUTED_VALUE"""),0.55)</f>
        <v>0.55</v>
      </c>
      <c r="F2296">
        <f>IFERROR(__xludf.DUMMYFUNCTION("""COMPUTED_VALUE"""),19.99)</f>
        <v>19.99</v>
      </c>
      <c r="G2296">
        <f>IFERROR(__xludf.DUMMYFUNCTION("""COMPUTED_VALUE"""),0.0)</f>
        <v>0</v>
      </c>
    </row>
    <row r="2297">
      <c r="A2297">
        <f>IFERROR(__xludf.DUMMYFUNCTION("""COMPUTED_VALUE"""),174199.0)</f>
        <v>174199</v>
      </c>
      <c r="B2297" t="str">
        <f>IFERROR(__xludf.DUMMYFUNCTION("""COMPUTED_VALUE"""),"Smoked Haddock")</f>
        <v>Smoked Haddock</v>
      </c>
      <c r="C2297" t="str">
        <f>IFERROR(__xludf.DUMMYFUNCTION("""COMPUTED_VALUE"""),"Fish")</f>
        <v>Fish</v>
      </c>
      <c r="D2297">
        <f>IFERROR(__xludf.DUMMYFUNCTION("""COMPUTED_VALUE"""),116.0)</f>
        <v>116</v>
      </c>
      <c r="E2297">
        <f>IFERROR(__xludf.DUMMYFUNCTION("""COMPUTED_VALUE"""),0.96)</f>
        <v>0.96</v>
      </c>
      <c r="F2297">
        <f>IFERROR(__xludf.DUMMYFUNCTION("""COMPUTED_VALUE"""),25.23)</f>
        <v>25.23</v>
      </c>
      <c r="G2297">
        <f>IFERROR(__xludf.DUMMYFUNCTION("""COMPUTED_VALUE"""),0.0)</f>
        <v>0</v>
      </c>
    </row>
    <row r="2298">
      <c r="A2298">
        <f>IFERROR(__xludf.DUMMYFUNCTION("""COMPUTED_VALUE"""),174200.0)</f>
        <v>174200</v>
      </c>
      <c r="B2298" t="str">
        <f>IFERROR(__xludf.DUMMYFUNCTION("""COMPUTED_VALUE"""),"Fish Halibut Atlantic And Pacific Raw")</f>
        <v>Fish Halibut Atlantic And Pacific Raw</v>
      </c>
      <c r="C2298" t="str">
        <f>IFERROR(__xludf.DUMMYFUNCTION("""COMPUTED_VALUE"""),"Fish")</f>
        <v>Fish</v>
      </c>
      <c r="D2298">
        <f>IFERROR(__xludf.DUMMYFUNCTION("""COMPUTED_VALUE"""),91.0)</f>
        <v>91</v>
      </c>
      <c r="E2298">
        <f>IFERROR(__xludf.DUMMYFUNCTION("""COMPUTED_VALUE"""),1.33)</f>
        <v>1.33</v>
      </c>
      <c r="F2298">
        <f>IFERROR(__xludf.DUMMYFUNCTION("""COMPUTED_VALUE"""),18.56)</f>
        <v>18.56</v>
      </c>
      <c r="G2298">
        <f>IFERROR(__xludf.DUMMYFUNCTION("""COMPUTED_VALUE"""),0.0)</f>
        <v>0</v>
      </c>
    </row>
    <row r="2299">
      <c r="A2299">
        <f>IFERROR(__xludf.DUMMYFUNCTION("""COMPUTED_VALUE"""),174201.0)</f>
        <v>174201</v>
      </c>
      <c r="B2299" t="str">
        <f>IFERROR(__xludf.DUMMYFUNCTION("""COMPUTED_VALUE"""),"Cooked Halibut")</f>
        <v>Cooked Halibut</v>
      </c>
      <c r="C2299" t="str">
        <f>IFERROR(__xludf.DUMMYFUNCTION("""COMPUTED_VALUE"""),"Fish")</f>
        <v>Fish</v>
      </c>
      <c r="D2299">
        <f>IFERROR(__xludf.DUMMYFUNCTION("""COMPUTED_VALUE"""),111.0)</f>
        <v>111</v>
      </c>
      <c r="E2299">
        <f>IFERROR(__xludf.DUMMYFUNCTION("""COMPUTED_VALUE"""),1.61)</f>
        <v>1.61</v>
      </c>
      <c r="F2299">
        <f>IFERROR(__xludf.DUMMYFUNCTION("""COMPUTED_VALUE"""),22.54)</f>
        <v>22.54</v>
      </c>
      <c r="G2299">
        <f>IFERROR(__xludf.DUMMYFUNCTION("""COMPUTED_VALUE"""),0.0)</f>
        <v>0</v>
      </c>
    </row>
    <row r="2300">
      <c r="A2300">
        <f>IFERROR(__xludf.DUMMYFUNCTION("""COMPUTED_VALUE"""),174202.0)</f>
        <v>174202</v>
      </c>
      <c r="B2300" t="str">
        <f>IFERROR(__xludf.DUMMYFUNCTION("""COMPUTED_VALUE"""),"Alaskan King Crab")</f>
        <v>Alaskan King Crab</v>
      </c>
      <c r="C2300" t="str">
        <f>IFERROR(__xludf.DUMMYFUNCTION("""COMPUTED_VALUE"""),"Fish")</f>
        <v>Fish</v>
      </c>
      <c r="D2300">
        <f>IFERROR(__xludf.DUMMYFUNCTION("""COMPUTED_VALUE"""),97.0)</f>
        <v>97</v>
      </c>
      <c r="E2300">
        <f>IFERROR(__xludf.DUMMYFUNCTION("""COMPUTED_VALUE"""),1.54)</f>
        <v>1.54</v>
      </c>
      <c r="F2300">
        <f>IFERROR(__xludf.DUMMYFUNCTION("""COMPUTED_VALUE"""),19.35)</f>
        <v>19.35</v>
      </c>
      <c r="G2300">
        <f>IFERROR(__xludf.DUMMYFUNCTION("""COMPUTED_VALUE"""),0.0)</f>
        <v>0</v>
      </c>
    </row>
    <row r="2301">
      <c r="A2301">
        <f>IFERROR(__xludf.DUMMYFUNCTION("""COMPUTED_VALUE"""),174203.0)</f>
        <v>174203</v>
      </c>
      <c r="B2301" t="str">
        <f>IFERROR(__xludf.DUMMYFUNCTION("""COMPUTED_VALUE"""),"Imitation Crab Meat")</f>
        <v>Imitation Crab Meat</v>
      </c>
      <c r="C2301" t="str">
        <f>IFERROR(__xludf.DUMMYFUNCTION("""COMPUTED_VALUE"""),"Fish")</f>
        <v>Fish</v>
      </c>
      <c r="D2301">
        <f>IFERROR(__xludf.DUMMYFUNCTION("""COMPUTED_VALUE"""),95.0)</f>
        <v>95</v>
      </c>
      <c r="E2301">
        <f>IFERROR(__xludf.DUMMYFUNCTION("""COMPUTED_VALUE"""),0.46)</f>
        <v>0.46</v>
      </c>
      <c r="F2301">
        <f>IFERROR(__xludf.DUMMYFUNCTION("""COMPUTED_VALUE"""),7.62)</f>
        <v>7.62</v>
      </c>
      <c r="G2301">
        <f>IFERROR(__xludf.DUMMYFUNCTION("""COMPUTED_VALUE"""),15.0)</f>
        <v>15</v>
      </c>
    </row>
    <row r="2302">
      <c r="A2302">
        <f>IFERROR(__xludf.DUMMYFUNCTION("""COMPUTED_VALUE"""),174204.0)</f>
        <v>174204</v>
      </c>
      <c r="B2302" t="str">
        <f>IFERROR(__xludf.DUMMYFUNCTION("""COMPUTED_VALUE"""),"Crustaceans Crab Blue Raw")</f>
        <v>Crustaceans Crab Blue Raw</v>
      </c>
      <c r="C2302" t="str">
        <f>IFERROR(__xludf.DUMMYFUNCTION("""COMPUTED_VALUE"""),"Fish")</f>
        <v>Fish</v>
      </c>
      <c r="D2302">
        <f>IFERROR(__xludf.DUMMYFUNCTION("""COMPUTED_VALUE"""),87.0)</f>
        <v>87</v>
      </c>
      <c r="E2302">
        <f>IFERROR(__xludf.DUMMYFUNCTION("""COMPUTED_VALUE"""),1.08)</f>
        <v>1.08</v>
      </c>
      <c r="F2302">
        <f>IFERROR(__xludf.DUMMYFUNCTION("""COMPUTED_VALUE"""),18.06)</f>
        <v>18.06</v>
      </c>
      <c r="G2302">
        <f>IFERROR(__xludf.DUMMYFUNCTION("""COMPUTED_VALUE"""),0.04)</f>
        <v>0.04</v>
      </c>
    </row>
    <row r="2303">
      <c r="A2303">
        <f>IFERROR(__xludf.DUMMYFUNCTION("""COMPUTED_VALUE"""),174205.0)</f>
        <v>174205</v>
      </c>
      <c r="B2303" t="str">
        <f>IFERROR(__xludf.DUMMYFUNCTION("""COMPUTED_VALUE"""),"Blue Crab")</f>
        <v>Blue Crab</v>
      </c>
      <c r="C2303" t="str">
        <f>IFERROR(__xludf.DUMMYFUNCTION("""COMPUTED_VALUE"""),"Fish")</f>
        <v>Fish</v>
      </c>
      <c r="D2303">
        <f>IFERROR(__xludf.DUMMYFUNCTION("""COMPUTED_VALUE"""),83.0)</f>
        <v>83</v>
      </c>
      <c r="E2303">
        <f>IFERROR(__xludf.DUMMYFUNCTION("""COMPUTED_VALUE"""),0.74)</f>
        <v>0.74</v>
      </c>
      <c r="F2303">
        <f>IFERROR(__xludf.DUMMYFUNCTION("""COMPUTED_VALUE"""),17.88)</f>
        <v>17.88</v>
      </c>
      <c r="G2303">
        <f>IFERROR(__xludf.DUMMYFUNCTION("""COMPUTED_VALUE"""),0.0)</f>
        <v>0</v>
      </c>
    </row>
    <row r="2304">
      <c r="A2304">
        <f>IFERROR(__xludf.DUMMYFUNCTION("""COMPUTED_VALUE"""),174206.0)</f>
        <v>174206</v>
      </c>
      <c r="B2304" t="str">
        <f>IFERROR(__xludf.DUMMYFUNCTION("""COMPUTED_VALUE"""),"Crustaceans Crayfish Mixed Species Wild Raw")</f>
        <v>Crustaceans Crayfish Mixed Species Wild Raw</v>
      </c>
      <c r="C2304" t="str">
        <f>IFERROR(__xludf.DUMMYFUNCTION("""COMPUTED_VALUE"""),"Fish")</f>
        <v>Fish</v>
      </c>
      <c r="D2304">
        <f>IFERROR(__xludf.DUMMYFUNCTION("""COMPUTED_VALUE"""),77.0)</f>
        <v>77</v>
      </c>
      <c r="E2304">
        <f>IFERROR(__xludf.DUMMYFUNCTION("""COMPUTED_VALUE"""),0.95)</f>
        <v>0.95</v>
      </c>
      <c r="F2304">
        <f>IFERROR(__xludf.DUMMYFUNCTION("""COMPUTED_VALUE"""),15.97)</f>
        <v>15.97</v>
      </c>
      <c r="G2304">
        <f>IFERROR(__xludf.DUMMYFUNCTION("""COMPUTED_VALUE"""),0.0)</f>
        <v>0</v>
      </c>
    </row>
    <row r="2305">
      <c r="A2305">
        <f>IFERROR(__xludf.DUMMYFUNCTION("""COMPUTED_VALUE"""),174207.0)</f>
        <v>174207</v>
      </c>
      <c r="B2305" t="str">
        <f>IFERROR(__xludf.DUMMYFUNCTION("""COMPUTED_VALUE"""),"Crayfish")</f>
        <v>Crayfish</v>
      </c>
      <c r="C2305" t="str">
        <f>IFERROR(__xludf.DUMMYFUNCTION("""COMPUTED_VALUE"""),"Fish")</f>
        <v>Fish</v>
      </c>
      <c r="D2305">
        <f>IFERROR(__xludf.DUMMYFUNCTION("""COMPUTED_VALUE"""),82.0)</f>
        <v>82</v>
      </c>
      <c r="E2305">
        <f>IFERROR(__xludf.DUMMYFUNCTION("""COMPUTED_VALUE"""),1.2)</f>
        <v>1.2</v>
      </c>
      <c r="F2305">
        <f>IFERROR(__xludf.DUMMYFUNCTION("""COMPUTED_VALUE"""),16.77)</f>
        <v>16.77</v>
      </c>
      <c r="G2305">
        <f>IFERROR(__xludf.DUMMYFUNCTION("""COMPUTED_VALUE"""),0.0)</f>
        <v>0</v>
      </c>
    </row>
    <row r="2306">
      <c r="A2306">
        <f>IFERROR(__xludf.DUMMYFUNCTION("""COMPUTED_VALUE"""),174208.0)</f>
        <v>174208</v>
      </c>
      <c r="B2306" t="str">
        <f>IFERROR(__xludf.DUMMYFUNCTION("""COMPUTED_VALUE"""),"Crustaceans Lobster Northern Raw")</f>
        <v>Crustaceans Lobster Northern Raw</v>
      </c>
      <c r="C2306" t="str">
        <f>IFERROR(__xludf.DUMMYFUNCTION("""COMPUTED_VALUE"""),"Fish")</f>
        <v>Fish</v>
      </c>
      <c r="D2306">
        <f>IFERROR(__xludf.DUMMYFUNCTION("""COMPUTED_VALUE"""),77.0)</f>
        <v>77</v>
      </c>
      <c r="E2306">
        <f>IFERROR(__xludf.DUMMYFUNCTION("""COMPUTED_VALUE"""),0.75)</f>
        <v>0.75</v>
      </c>
      <c r="F2306">
        <f>IFERROR(__xludf.DUMMYFUNCTION("""COMPUTED_VALUE"""),16.52)</f>
        <v>16.52</v>
      </c>
      <c r="G2306">
        <f>IFERROR(__xludf.DUMMYFUNCTION("""COMPUTED_VALUE"""),0.0)</f>
        <v>0</v>
      </c>
    </row>
    <row r="2307">
      <c r="A2307">
        <f>IFERROR(__xludf.DUMMYFUNCTION("""COMPUTED_VALUE"""),174209.0)</f>
        <v>174209</v>
      </c>
      <c r="B2307" t="str">
        <f>IFERROR(__xludf.DUMMYFUNCTION("""COMPUTED_VALUE"""),"Lobster (Cooked)")</f>
        <v>Lobster (Cooked)</v>
      </c>
      <c r="C2307" t="str">
        <f>IFERROR(__xludf.DUMMYFUNCTION("""COMPUTED_VALUE"""),"Fish")</f>
        <v>Fish</v>
      </c>
      <c r="D2307">
        <f>IFERROR(__xludf.DUMMYFUNCTION("""COMPUTED_VALUE"""),89.0)</f>
        <v>89</v>
      </c>
      <c r="E2307">
        <f>IFERROR(__xludf.DUMMYFUNCTION("""COMPUTED_VALUE"""),0.86)</f>
        <v>0.86</v>
      </c>
      <c r="F2307">
        <f>IFERROR(__xludf.DUMMYFUNCTION("""COMPUTED_VALUE"""),19.0)</f>
        <v>19</v>
      </c>
      <c r="G2307">
        <f>IFERROR(__xludf.DUMMYFUNCTION("""COMPUTED_VALUE"""),0.0)</f>
        <v>0</v>
      </c>
    </row>
    <row r="2308">
      <c r="A2308">
        <f>IFERROR(__xludf.DUMMYFUNCTION("""COMPUTED_VALUE"""),174210.0)</f>
        <v>174210</v>
      </c>
      <c r="B2308" t="str">
        <f>IFERROR(__xludf.DUMMYFUNCTION("""COMPUTED_VALUE"""),"Crustaceans Shrimp Mixed Species Raw (May Have Been Previously Frozen)")</f>
        <v>Crustaceans Shrimp Mixed Species Raw (May Have Been Previously Frozen)</v>
      </c>
      <c r="C2308" t="str">
        <f>IFERROR(__xludf.DUMMYFUNCTION("""COMPUTED_VALUE"""),"Fish")</f>
        <v>Fish</v>
      </c>
      <c r="D2308">
        <f>IFERROR(__xludf.DUMMYFUNCTION("""COMPUTED_VALUE"""),71.0)</f>
        <v>71</v>
      </c>
      <c r="E2308">
        <f>IFERROR(__xludf.DUMMYFUNCTION("""COMPUTED_VALUE"""),1.01)</f>
        <v>1.01</v>
      </c>
      <c r="F2308">
        <f>IFERROR(__xludf.DUMMYFUNCTION("""COMPUTED_VALUE"""),13.61)</f>
        <v>13.61</v>
      </c>
      <c r="G2308">
        <f>IFERROR(__xludf.DUMMYFUNCTION("""COMPUTED_VALUE"""),0.91)</f>
        <v>0.91</v>
      </c>
    </row>
    <row r="2309">
      <c r="A2309">
        <f>IFERROR(__xludf.DUMMYFUNCTION("""COMPUTED_VALUE"""),174211.0)</f>
        <v>174211</v>
      </c>
      <c r="B2309" t="str">
        <f>IFERROR(__xludf.DUMMYFUNCTION("""COMPUTED_VALUE"""),"Crustaceans Spiny Lobster Mixed Species Raw")</f>
        <v>Crustaceans Spiny Lobster Mixed Species Raw</v>
      </c>
      <c r="C2309" t="str">
        <f>IFERROR(__xludf.DUMMYFUNCTION("""COMPUTED_VALUE"""),"Fish")</f>
        <v>Fish</v>
      </c>
      <c r="D2309">
        <f>IFERROR(__xludf.DUMMYFUNCTION("""COMPUTED_VALUE"""),112.0)</f>
        <v>112</v>
      </c>
      <c r="E2309">
        <f>IFERROR(__xludf.DUMMYFUNCTION("""COMPUTED_VALUE"""),1.51)</f>
        <v>1.51</v>
      </c>
      <c r="F2309">
        <f>IFERROR(__xludf.DUMMYFUNCTION("""COMPUTED_VALUE"""),20.6)</f>
        <v>20.6</v>
      </c>
      <c r="G2309">
        <f>IFERROR(__xludf.DUMMYFUNCTION("""COMPUTED_VALUE"""),2.43)</f>
        <v>2.43</v>
      </c>
    </row>
    <row r="2310">
      <c r="A2310">
        <f>IFERROR(__xludf.DUMMYFUNCTION("""COMPUTED_VALUE"""),174212.0)</f>
        <v>174212</v>
      </c>
      <c r="B2310" t="str">
        <f>IFERROR(__xludf.DUMMYFUNCTION("""COMPUTED_VALUE"""),"Mollusks Abalone Mixed Species Raw")</f>
        <v>Mollusks Abalone Mixed Species Raw</v>
      </c>
      <c r="C2310" t="str">
        <f>IFERROR(__xludf.DUMMYFUNCTION("""COMPUTED_VALUE"""),"Fish")</f>
        <v>Fish</v>
      </c>
      <c r="D2310">
        <f>IFERROR(__xludf.DUMMYFUNCTION("""COMPUTED_VALUE"""),105.0)</f>
        <v>105</v>
      </c>
      <c r="E2310">
        <f>IFERROR(__xludf.DUMMYFUNCTION("""COMPUTED_VALUE"""),0.76)</f>
        <v>0.76</v>
      </c>
      <c r="F2310">
        <f>IFERROR(__xludf.DUMMYFUNCTION("""COMPUTED_VALUE"""),17.1)</f>
        <v>17.1</v>
      </c>
      <c r="G2310">
        <f>IFERROR(__xludf.DUMMYFUNCTION("""COMPUTED_VALUE"""),6.01)</f>
        <v>6.01</v>
      </c>
    </row>
    <row r="2311">
      <c r="A2311">
        <f>IFERROR(__xludf.DUMMYFUNCTION("""COMPUTED_VALUE"""),174213.0)</f>
        <v>174213</v>
      </c>
      <c r="B2311" t="str">
        <f>IFERROR(__xludf.DUMMYFUNCTION("""COMPUTED_VALUE"""),"Abalone (Cooked)")</f>
        <v>Abalone (Cooked)</v>
      </c>
      <c r="C2311" t="str">
        <f>IFERROR(__xludf.DUMMYFUNCTION("""COMPUTED_VALUE"""),"Fish")</f>
        <v>Fish</v>
      </c>
      <c r="D2311">
        <f>IFERROR(__xludf.DUMMYFUNCTION("""COMPUTED_VALUE"""),189.0)</f>
        <v>189</v>
      </c>
      <c r="E2311">
        <f>IFERROR(__xludf.DUMMYFUNCTION("""COMPUTED_VALUE"""),6.78)</f>
        <v>6.78</v>
      </c>
      <c r="F2311">
        <f>IFERROR(__xludf.DUMMYFUNCTION("""COMPUTED_VALUE"""),19.63)</f>
        <v>19.63</v>
      </c>
      <c r="G2311">
        <f>IFERROR(__xludf.DUMMYFUNCTION("""COMPUTED_VALUE"""),11.05)</f>
        <v>11.05</v>
      </c>
    </row>
    <row r="2312">
      <c r="A2312">
        <f>IFERROR(__xludf.DUMMYFUNCTION("""COMPUTED_VALUE"""),174214.0)</f>
        <v>174214</v>
      </c>
      <c r="B2312" t="str">
        <f>IFERROR(__xludf.DUMMYFUNCTION("""COMPUTED_VALUE"""),"Clams (Raw)")</f>
        <v>Clams (Raw)</v>
      </c>
      <c r="C2312" t="str">
        <f>IFERROR(__xludf.DUMMYFUNCTION("""COMPUTED_VALUE"""),"Fish")</f>
        <v>Fish</v>
      </c>
      <c r="D2312">
        <f>IFERROR(__xludf.DUMMYFUNCTION("""COMPUTED_VALUE"""),86.0)</f>
        <v>86</v>
      </c>
      <c r="E2312">
        <f>IFERROR(__xludf.DUMMYFUNCTION("""COMPUTED_VALUE"""),0.96)</f>
        <v>0.96</v>
      </c>
      <c r="F2312">
        <f>IFERROR(__xludf.DUMMYFUNCTION("""COMPUTED_VALUE"""),14.67)</f>
        <v>14.67</v>
      </c>
      <c r="G2312">
        <f>IFERROR(__xludf.DUMMYFUNCTION("""COMPUTED_VALUE"""),3.57)</f>
        <v>3.57</v>
      </c>
    </row>
    <row r="2313">
      <c r="A2313">
        <f>IFERROR(__xludf.DUMMYFUNCTION("""COMPUTED_VALUE"""),174215.0)</f>
        <v>174215</v>
      </c>
      <c r="B2313" t="str">
        <f>IFERROR(__xludf.DUMMYFUNCTION("""COMPUTED_VALUE"""),"Mollusks Cuttlefish Mixed Species Raw")</f>
        <v>Mollusks Cuttlefish Mixed Species Raw</v>
      </c>
      <c r="C2313" t="str">
        <f>IFERROR(__xludf.DUMMYFUNCTION("""COMPUTED_VALUE"""),"Fish")</f>
        <v>Fish</v>
      </c>
      <c r="D2313">
        <f>IFERROR(__xludf.DUMMYFUNCTION("""COMPUTED_VALUE"""),79.0)</f>
        <v>79</v>
      </c>
      <c r="E2313">
        <f>IFERROR(__xludf.DUMMYFUNCTION("""COMPUTED_VALUE"""),0.7)</f>
        <v>0.7</v>
      </c>
      <c r="F2313">
        <f>IFERROR(__xludf.DUMMYFUNCTION("""COMPUTED_VALUE"""),16.24)</f>
        <v>16.24</v>
      </c>
      <c r="G2313">
        <f>IFERROR(__xludf.DUMMYFUNCTION("""COMPUTED_VALUE"""),0.82)</f>
        <v>0.82</v>
      </c>
    </row>
    <row r="2314">
      <c r="A2314">
        <f>IFERROR(__xludf.DUMMYFUNCTION("""COMPUTED_VALUE"""),174216.0)</f>
        <v>174216</v>
      </c>
      <c r="B2314" t="str">
        <f>IFERROR(__xludf.DUMMYFUNCTION("""COMPUTED_VALUE"""),"Mollusks Mussel Blue Raw")</f>
        <v>Mollusks Mussel Blue Raw</v>
      </c>
      <c r="C2314" t="str">
        <f>IFERROR(__xludf.DUMMYFUNCTION("""COMPUTED_VALUE"""),"Fish")</f>
        <v>Fish</v>
      </c>
      <c r="D2314">
        <f>IFERROR(__xludf.DUMMYFUNCTION("""COMPUTED_VALUE"""),86.0)</f>
        <v>86</v>
      </c>
      <c r="E2314">
        <f>IFERROR(__xludf.DUMMYFUNCTION("""COMPUTED_VALUE"""),2.24)</f>
        <v>2.24</v>
      </c>
      <c r="F2314">
        <f>IFERROR(__xludf.DUMMYFUNCTION("""COMPUTED_VALUE"""),11.9)</f>
        <v>11.9</v>
      </c>
      <c r="G2314">
        <f>IFERROR(__xludf.DUMMYFUNCTION("""COMPUTED_VALUE"""),3.69)</f>
        <v>3.69</v>
      </c>
    </row>
    <row r="2315">
      <c r="A2315">
        <f>IFERROR(__xludf.DUMMYFUNCTION("""COMPUTED_VALUE"""),174217.0)</f>
        <v>174217</v>
      </c>
      <c r="B2315" t="str">
        <f>IFERROR(__xludf.DUMMYFUNCTION("""COMPUTED_VALUE"""),"Cooked Blue Mussels")</f>
        <v>Cooked Blue Mussels</v>
      </c>
      <c r="C2315" t="str">
        <f>IFERROR(__xludf.DUMMYFUNCTION("""COMPUTED_VALUE"""),"Fish")</f>
        <v>Fish</v>
      </c>
      <c r="D2315">
        <f>IFERROR(__xludf.DUMMYFUNCTION("""COMPUTED_VALUE"""),172.0)</f>
        <v>172</v>
      </c>
      <c r="E2315">
        <f>IFERROR(__xludf.DUMMYFUNCTION("""COMPUTED_VALUE"""),4.48)</f>
        <v>4.48</v>
      </c>
      <c r="F2315">
        <f>IFERROR(__xludf.DUMMYFUNCTION("""COMPUTED_VALUE"""),23.8)</f>
        <v>23.8</v>
      </c>
      <c r="G2315">
        <f>IFERROR(__xludf.DUMMYFUNCTION("""COMPUTED_VALUE"""),7.39)</f>
        <v>7.39</v>
      </c>
    </row>
    <row r="2316">
      <c r="A2316">
        <f>IFERROR(__xludf.DUMMYFUNCTION("""COMPUTED_VALUE"""),174218.0)</f>
        <v>174218</v>
      </c>
      <c r="B2316" t="str">
        <f>IFERROR(__xludf.DUMMYFUNCTION("""COMPUTED_VALUE"""),"Mollusks Octopus Common Raw")</f>
        <v>Mollusks Octopus Common Raw</v>
      </c>
      <c r="C2316" t="str">
        <f>IFERROR(__xludf.DUMMYFUNCTION("""COMPUTED_VALUE"""),"Fish")</f>
        <v>Fish</v>
      </c>
      <c r="D2316">
        <f>IFERROR(__xludf.DUMMYFUNCTION("""COMPUTED_VALUE"""),82.0)</f>
        <v>82</v>
      </c>
      <c r="E2316">
        <f>IFERROR(__xludf.DUMMYFUNCTION("""COMPUTED_VALUE"""),1.04)</f>
        <v>1.04</v>
      </c>
      <c r="F2316">
        <f>IFERROR(__xludf.DUMMYFUNCTION("""COMPUTED_VALUE"""),14.91)</f>
        <v>14.91</v>
      </c>
      <c r="G2316">
        <f>IFERROR(__xludf.DUMMYFUNCTION("""COMPUTED_VALUE"""),2.2)</f>
        <v>2.2</v>
      </c>
    </row>
    <row r="2317">
      <c r="A2317">
        <f>IFERROR(__xludf.DUMMYFUNCTION("""COMPUTED_VALUE"""),174219.0)</f>
        <v>174219</v>
      </c>
      <c r="B2317" t="str">
        <f>IFERROR(__xludf.DUMMYFUNCTION("""COMPUTED_VALUE"""),"Raw Pacific Oysters")</f>
        <v>Raw Pacific Oysters</v>
      </c>
      <c r="C2317" t="str">
        <f>IFERROR(__xludf.DUMMYFUNCTION("""COMPUTED_VALUE"""),"Fish")</f>
        <v>Fish</v>
      </c>
      <c r="D2317">
        <f>IFERROR(__xludf.DUMMYFUNCTION("""COMPUTED_VALUE"""),81.0)</f>
        <v>81</v>
      </c>
      <c r="E2317">
        <f>IFERROR(__xludf.DUMMYFUNCTION("""COMPUTED_VALUE"""),2.3)</f>
        <v>2.3</v>
      </c>
      <c r="F2317">
        <f>IFERROR(__xludf.DUMMYFUNCTION("""COMPUTED_VALUE"""),9.45)</f>
        <v>9.45</v>
      </c>
      <c r="G2317">
        <f>IFERROR(__xludf.DUMMYFUNCTION("""COMPUTED_VALUE"""),4.95)</f>
        <v>4.95</v>
      </c>
    </row>
    <row r="2318">
      <c r="A2318">
        <f>IFERROR(__xludf.DUMMYFUNCTION("""COMPUTED_VALUE"""),174220.0)</f>
        <v>174220</v>
      </c>
      <c r="B2318" t="str">
        <f>IFERROR(__xludf.DUMMYFUNCTION("""COMPUTED_VALUE"""),"Raw Scallops")</f>
        <v>Raw Scallops</v>
      </c>
      <c r="C2318" t="str">
        <f>IFERROR(__xludf.DUMMYFUNCTION("""COMPUTED_VALUE"""),"Fish")</f>
        <v>Fish</v>
      </c>
      <c r="D2318">
        <f>IFERROR(__xludf.DUMMYFUNCTION("""COMPUTED_VALUE"""),69.0)</f>
        <v>69</v>
      </c>
      <c r="E2318">
        <f>IFERROR(__xludf.DUMMYFUNCTION("""COMPUTED_VALUE"""),0.49)</f>
        <v>0.49</v>
      </c>
      <c r="F2318">
        <f>IFERROR(__xludf.DUMMYFUNCTION("""COMPUTED_VALUE"""),12.06)</f>
        <v>12.06</v>
      </c>
      <c r="G2318">
        <f>IFERROR(__xludf.DUMMYFUNCTION("""COMPUTED_VALUE"""),3.18)</f>
        <v>3.18</v>
      </c>
    </row>
    <row r="2319">
      <c r="A2319">
        <f>IFERROR(__xludf.DUMMYFUNCTION("""COMPUTED_VALUE"""),174221.0)</f>
        <v>174221</v>
      </c>
      <c r="B2319" t="str">
        <f>IFERROR(__xludf.DUMMYFUNCTION("""COMPUTED_VALUE"""),"Mollusks Scallop Mixed Species Cooked Breaded And Fried")</f>
        <v>Mollusks Scallop Mixed Species Cooked Breaded And Fried</v>
      </c>
      <c r="C2319" t="str">
        <f>IFERROR(__xludf.DUMMYFUNCTION("""COMPUTED_VALUE"""),"Fish")</f>
        <v>Fish</v>
      </c>
      <c r="D2319">
        <f>IFERROR(__xludf.DUMMYFUNCTION("""COMPUTED_VALUE"""),216.0)</f>
        <v>216</v>
      </c>
      <c r="E2319">
        <f>IFERROR(__xludf.DUMMYFUNCTION("""COMPUTED_VALUE"""),10.94)</f>
        <v>10.94</v>
      </c>
      <c r="F2319">
        <f>IFERROR(__xludf.DUMMYFUNCTION("""COMPUTED_VALUE"""),18.07)</f>
        <v>18.07</v>
      </c>
      <c r="G2319">
        <f>IFERROR(__xludf.DUMMYFUNCTION("""COMPUTED_VALUE"""),10.13)</f>
        <v>10.13</v>
      </c>
    </row>
    <row r="2320">
      <c r="A2320">
        <f>IFERROR(__xludf.DUMMYFUNCTION("""COMPUTED_VALUE"""),174222.0)</f>
        <v>174222</v>
      </c>
      <c r="B2320" t="str">
        <f>IFERROR(__xludf.DUMMYFUNCTION("""COMPUTED_VALUE"""),"Mollusks Scallop Mixed Species Imitation Made From Surimi")</f>
        <v>Mollusks Scallop Mixed Species Imitation Made From Surimi</v>
      </c>
      <c r="C2320" t="str">
        <f>IFERROR(__xludf.DUMMYFUNCTION("""COMPUTED_VALUE"""),"Fish")</f>
        <v>Fish</v>
      </c>
      <c r="D2320">
        <f>IFERROR(__xludf.DUMMYFUNCTION("""COMPUTED_VALUE"""),99.0)</f>
        <v>99</v>
      </c>
      <c r="E2320">
        <f>IFERROR(__xludf.DUMMYFUNCTION("""COMPUTED_VALUE"""),0.41)</f>
        <v>0.41</v>
      </c>
      <c r="F2320">
        <f>IFERROR(__xludf.DUMMYFUNCTION("""COMPUTED_VALUE"""),12.77)</f>
        <v>12.77</v>
      </c>
      <c r="G2320">
        <f>IFERROR(__xludf.DUMMYFUNCTION("""COMPUTED_VALUE"""),10.62)</f>
        <v>10.62</v>
      </c>
    </row>
    <row r="2321">
      <c r="A2321">
        <f>IFERROR(__xludf.DUMMYFUNCTION("""COMPUTED_VALUE"""),174223.0)</f>
        <v>174223</v>
      </c>
      <c r="B2321" t="str">
        <f>IFERROR(__xludf.DUMMYFUNCTION("""COMPUTED_VALUE"""),"Squid (Raw)")</f>
        <v>Squid (Raw)</v>
      </c>
      <c r="C2321" t="str">
        <f>IFERROR(__xludf.DUMMYFUNCTION("""COMPUTED_VALUE"""),"Fish")</f>
        <v>Fish</v>
      </c>
      <c r="D2321">
        <f>IFERROR(__xludf.DUMMYFUNCTION("""COMPUTED_VALUE"""),92.0)</f>
        <v>92</v>
      </c>
      <c r="E2321">
        <f>IFERROR(__xludf.DUMMYFUNCTION("""COMPUTED_VALUE"""),1.38)</f>
        <v>1.38</v>
      </c>
      <c r="F2321">
        <f>IFERROR(__xludf.DUMMYFUNCTION("""COMPUTED_VALUE"""),15.58)</f>
        <v>15.58</v>
      </c>
      <c r="G2321">
        <f>IFERROR(__xludf.DUMMYFUNCTION("""COMPUTED_VALUE"""),3.08)</f>
        <v>3.08</v>
      </c>
    </row>
    <row r="2322">
      <c r="A2322">
        <f>IFERROR(__xludf.DUMMYFUNCTION("""COMPUTED_VALUE"""),174224.0)</f>
        <v>174224</v>
      </c>
      <c r="B2322" t="str">
        <f>IFERROR(__xludf.DUMMYFUNCTION("""COMPUTED_VALUE"""),"Fish Salmon Chum Canned Without Salt Drained Solids With Bone")</f>
        <v>Fish Salmon Chum Canned Without Salt Drained Solids With Bone</v>
      </c>
      <c r="C2322" t="str">
        <f>IFERROR(__xludf.DUMMYFUNCTION("""COMPUTED_VALUE"""),"Fish")</f>
        <v>Fish</v>
      </c>
      <c r="D2322">
        <f>IFERROR(__xludf.DUMMYFUNCTION("""COMPUTED_VALUE"""),141.0)</f>
        <v>141</v>
      </c>
      <c r="E2322">
        <f>IFERROR(__xludf.DUMMYFUNCTION("""COMPUTED_VALUE"""),5.5)</f>
        <v>5.5</v>
      </c>
      <c r="F2322">
        <f>IFERROR(__xludf.DUMMYFUNCTION("""COMPUTED_VALUE"""),21.43)</f>
        <v>21.43</v>
      </c>
      <c r="G2322">
        <f>IFERROR(__xludf.DUMMYFUNCTION("""COMPUTED_VALUE"""),0.0)</f>
        <v>0</v>
      </c>
    </row>
    <row r="2323">
      <c r="A2323">
        <f>IFERROR(__xludf.DUMMYFUNCTION("""COMPUTED_VALUE"""),174225.0)</f>
        <v>174225</v>
      </c>
      <c r="B2323" t="str">
        <f>IFERROR(__xludf.DUMMYFUNCTION("""COMPUTED_VALUE"""),"Fish Salmon Pink Canned Without Salt Solids With Bone And Liquid")</f>
        <v>Fish Salmon Pink Canned Without Salt Solids With Bone And Liquid</v>
      </c>
      <c r="C2323" t="str">
        <f>IFERROR(__xludf.DUMMYFUNCTION("""COMPUTED_VALUE"""),"Fish")</f>
        <v>Fish</v>
      </c>
      <c r="D2323">
        <f>IFERROR(__xludf.DUMMYFUNCTION("""COMPUTED_VALUE"""),139.0)</f>
        <v>139</v>
      </c>
      <c r="E2323">
        <f>IFERROR(__xludf.DUMMYFUNCTION("""COMPUTED_VALUE"""),6.05)</f>
        <v>6.05</v>
      </c>
      <c r="F2323">
        <f>IFERROR(__xludf.DUMMYFUNCTION("""COMPUTED_VALUE"""),19.78)</f>
        <v>19.78</v>
      </c>
      <c r="G2323">
        <f>IFERROR(__xludf.DUMMYFUNCTION("""COMPUTED_VALUE"""),0.0)</f>
        <v>0</v>
      </c>
    </row>
    <row r="2324">
      <c r="A2324">
        <f>IFERROR(__xludf.DUMMYFUNCTION("""COMPUTED_VALUE"""),174226.0)</f>
        <v>174226</v>
      </c>
      <c r="B2324" t="str">
        <f>IFERROR(__xludf.DUMMYFUNCTION("""COMPUTED_VALUE"""),"Canned Sockeye Salmon (With Bones)")</f>
        <v>Canned Sockeye Salmon (With Bones)</v>
      </c>
      <c r="C2324" t="str">
        <f>IFERROR(__xludf.DUMMYFUNCTION("""COMPUTED_VALUE"""),"Fish")</f>
        <v>Fish</v>
      </c>
      <c r="D2324">
        <f>IFERROR(__xludf.DUMMYFUNCTION("""COMPUTED_VALUE"""),153.0)</f>
        <v>153</v>
      </c>
      <c r="E2324">
        <f>IFERROR(__xludf.DUMMYFUNCTION("""COMPUTED_VALUE"""),7.31)</f>
        <v>7.31</v>
      </c>
      <c r="F2324">
        <f>IFERROR(__xludf.DUMMYFUNCTION("""COMPUTED_VALUE"""),20.47)</f>
        <v>20.47</v>
      </c>
      <c r="G2324">
        <f>IFERROR(__xludf.DUMMYFUNCTION("""COMPUTED_VALUE"""),0.0)</f>
        <v>0</v>
      </c>
    </row>
    <row r="2325">
      <c r="A2325">
        <f>IFERROR(__xludf.DUMMYFUNCTION("""COMPUTED_VALUE"""),174227.0)</f>
        <v>174227</v>
      </c>
      <c r="B2325" t="str">
        <f>IFERROR(__xludf.DUMMYFUNCTION("""COMPUTED_VALUE"""),"Fish Tuna Light Canned In Oil Without Salt Drained Solids")</f>
        <v>Fish Tuna Light Canned In Oil Without Salt Drained Solids</v>
      </c>
      <c r="C2325" t="str">
        <f>IFERROR(__xludf.DUMMYFUNCTION("""COMPUTED_VALUE"""),"Fish")</f>
        <v>Fish</v>
      </c>
      <c r="D2325">
        <f>IFERROR(__xludf.DUMMYFUNCTION("""COMPUTED_VALUE"""),198.0)</f>
        <v>198</v>
      </c>
      <c r="E2325">
        <f>IFERROR(__xludf.DUMMYFUNCTION("""COMPUTED_VALUE"""),8.21)</f>
        <v>8.21</v>
      </c>
      <c r="F2325">
        <f>IFERROR(__xludf.DUMMYFUNCTION("""COMPUTED_VALUE"""),29.13)</f>
        <v>29.13</v>
      </c>
      <c r="G2325">
        <f>IFERROR(__xludf.DUMMYFUNCTION("""COMPUTED_VALUE"""),0.0)</f>
        <v>0</v>
      </c>
    </row>
    <row r="2326">
      <c r="A2326">
        <f>IFERROR(__xludf.DUMMYFUNCTION("""COMPUTED_VALUE"""),174228.0)</f>
        <v>174228</v>
      </c>
      <c r="B2326" t="str">
        <f>IFERROR(__xludf.DUMMYFUNCTION("""COMPUTED_VALUE"""),"Cooked Striped Bass")</f>
        <v>Cooked Striped Bass</v>
      </c>
      <c r="C2326" t="str">
        <f>IFERROR(__xludf.DUMMYFUNCTION("""COMPUTED_VALUE"""),"Fish")</f>
        <v>Fish</v>
      </c>
      <c r="D2326">
        <f>IFERROR(__xludf.DUMMYFUNCTION("""COMPUTED_VALUE"""),124.0)</f>
        <v>124</v>
      </c>
      <c r="E2326">
        <f>IFERROR(__xludf.DUMMYFUNCTION("""COMPUTED_VALUE"""),2.99)</f>
        <v>2.99</v>
      </c>
      <c r="F2326">
        <f>IFERROR(__xludf.DUMMYFUNCTION("""COMPUTED_VALUE"""),22.73)</f>
        <v>22.73</v>
      </c>
      <c r="G2326">
        <f>IFERROR(__xludf.DUMMYFUNCTION("""COMPUTED_VALUE"""),0.0)</f>
        <v>0</v>
      </c>
    </row>
    <row r="2327">
      <c r="A2327">
        <f>IFERROR(__xludf.DUMMYFUNCTION("""COMPUTED_VALUE"""),174229.0)</f>
        <v>174229</v>
      </c>
      <c r="B2327" t="str">
        <f>IFERROR(__xludf.DUMMYFUNCTION("""COMPUTED_VALUE"""),"Fish Bluefish Cooked Dry Heat")</f>
        <v>Fish Bluefish Cooked Dry Heat</v>
      </c>
      <c r="C2327" t="str">
        <f>IFERROR(__xludf.DUMMYFUNCTION("""COMPUTED_VALUE"""),"Fish")</f>
        <v>Fish</v>
      </c>
      <c r="D2327">
        <f>IFERROR(__xludf.DUMMYFUNCTION("""COMPUTED_VALUE"""),159.0)</f>
        <v>159</v>
      </c>
      <c r="E2327">
        <f>IFERROR(__xludf.DUMMYFUNCTION("""COMPUTED_VALUE"""),5.44)</f>
        <v>5.44</v>
      </c>
      <c r="F2327">
        <f>IFERROR(__xludf.DUMMYFUNCTION("""COMPUTED_VALUE"""),25.69)</f>
        <v>25.69</v>
      </c>
      <c r="G2327">
        <f>IFERROR(__xludf.DUMMYFUNCTION("""COMPUTED_VALUE"""),0.0)</f>
        <v>0</v>
      </c>
    </row>
    <row r="2328">
      <c r="A2328">
        <f>IFERROR(__xludf.DUMMYFUNCTION("""COMPUTED_VALUE"""),174230.0)</f>
        <v>174230</v>
      </c>
      <c r="B2328" t="str">
        <f>IFERROR(__xludf.DUMMYFUNCTION("""COMPUTED_VALUE"""),"Fish Burbot Cooked Dry Heat")</f>
        <v>Fish Burbot Cooked Dry Heat</v>
      </c>
      <c r="C2328" t="str">
        <f>IFERROR(__xludf.DUMMYFUNCTION("""COMPUTED_VALUE"""),"Fish")</f>
        <v>Fish</v>
      </c>
      <c r="D2328">
        <f>IFERROR(__xludf.DUMMYFUNCTION("""COMPUTED_VALUE"""),115.0)</f>
        <v>115</v>
      </c>
      <c r="E2328">
        <f>IFERROR(__xludf.DUMMYFUNCTION("""COMPUTED_VALUE"""),1.04)</f>
        <v>1.04</v>
      </c>
      <c r="F2328">
        <f>IFERROR(__xludf.DUMMYFUNCTION("""COMPUTED_VALUE"""),24.76)</f>
        <v>24.76</v>
      </c>
      <c r="G2328">
        <f>IFERROR(__xludf.DUMMYFUNCTION("""COMPUTED_VALUE"""),0.0)</f>
        <v>0</v>
      </c>
    </row>
    <row r="2329">
      <c r="A2329">
        <f>IFERROR(__xludf.DUMMYFUNCTION("""COMPUTED_VALUE"""),174231.0)</f>
        <v>174231</v>
      </c>
      <c r="B2329" t="str">
        <f>IFERROR(__xludf.DUMMYFUNCTION("""COMPUTED_VALUE"""),"Fish Butterfish Cooked Dry Heat")</f>
        <v>Fish Butterfish Cooked Dry Heat</v>
      </c>
      <c r="C2329" t="str">
        <f>IFERROR(__xludf.DUMMYFUNCTION("""COMPUTED_VALUE"""),"Fish")</f>
        <v>Fish</v>
      </c>
      <c r="D2329">
        <f>IFERROR(__xludf.DUMMYFUNCTION("""COMPUTED_VALUE"""),187.0)</f>
        <v>187</v>
      </c>
      <c r="E2329">
        <f>IFERROR(__xludf.DUMMYFUNCTION("""COMPUTED_VALUE"""),10.28)</f>
        <v>10.28</v>
      </c>
      <c r="F2329">
        <f>IFERROR(__xludf.DUMMYFUNCTION("""COMPUTED_VALUE"""),22.15)</f>
        <v>22.15</v>
      </c>
      <c r="G2329">
        <f>IFERROR(__xludf.DUMMYFUNCTION("""COMPUTED_VALUE"""),0.0)</f>
        <v>0</v>
      </c>
    </row>
    <row r="2330">
      <c r="A2330">
        <f>IFERROR(__xludf.DUMMYFUNCTION("""COMPUTED_VALUE"""),174232.0)</f>
        <v>174232</v>
      </c>
      <c r="B2330" t="str">
        <f>IFERROR(__xludf.DUMMYFUNCTION("""COMPUTED_VALUE"""),"Fish Halibut Greenland Cooked Dry Heat")</f>
        <v>Fish Halibut Greenland Cooked Dry Heat</v>
      </c>
      <c r="C2330" t="str">
        <f>IFERROR(__xludf.DUMMYFUNCTION("""COMPUTED_VALUE"""),"Fish")</f>
        <v>Fish</v>
      </c>
      <c r="D2330">
        <f>IFERROR(__xludf.DUMMYFUNCTION("""COMPUTED_VALUE"""),239.0)</f>
        <v>239</v>
      </c>
      <c r="E2330">
        <f>IFERROR(__xludf.DUMMYFUNCTION("""COMPUTED_VALUE"""),17.74)</f>
        <v>17.74</v>
      </c>
      <c r="F2330">
        <f>IFERROR(__xludf.DUMMYFUNCTION("""COMPUTED_VALUE"""),18.42)</f>
        <v>18.42</v>
      </c>
      <c r="G2330">
        <f>IFERROR(__xludf.DUMMYFUNCTION("""COMPUTED_VALUE"""),0.0)</f>
        <v>0</v>
      </c>
    </row>
    <row r="2331">
      <c r="A2331">
        <f>IFERROR(__xludf.DUMMYFUNCTION("""COMPUTED_VALUE"""),174233.0)</f>
        <v>174233</v>
      </c>
      <c r="B2331" t="str">
        <f>IFERROR(__xludf.DUMMYFUNCTION("""COMPUTED_VALUE"""),"Cooked Pacific Herring")</f>
        <v>Cooked Pacific Herring</v>
      </c>
      <c r="C2331" t="str">
        <f>IFERROR(__xludf.DUMMYFUNCTION("""COMPUTED_VALUE"""),"Fish")</f>
        <v>Fish</v>
      </c>
      <c r="D2331">
        <f>IFERROR(__xludf.DUMMYFUNCTION("""COMPUTED_VALUE"""),250.0)</f>
        <v>250</v>
      </c>
      <c r="E2331">
        <f>IFERROR(__xludf.DUMMYFUNCTION("""COMPUTED_VALUE"""),17.79)</f>
        <v>17.79</v>
      </c>
      <c r="F2331">
        <f>IFERROR(__xludf.DUMMYFUNCTION("""COMPUTED_VALUE"""),21.01)</f>
        <v>21.01</v>
      </c>
      <c r="G2331">
        <f>IFERROR(__xludf.DUMMYFUNCTION("""COMPUTED_VALUE"""),0.0)</f>
        <v>0</v>
      </c>
    </row>
    <row r="2332">
      <c r="A2332">
        <f>IFERROR(__xludf.DUMMYFUNCTION("""COMPUTED_VALUE"""),174234.0)</f>
        <v>174234</v>
      </c>
      <c r="B2332" t="str">
        <f>IFERROR(__xludf.DUMMYFUNCTION("""COMPUTED_VALUE"""),"Fish Ling Cooked Dry Heat")</f>
        <v>Fish Ling Cooked Dry Heat</v>
      </c>
      <c r="C2332" t="str">
        <f>IFERROR(__xludf.DUMMYFUNCTION("""COMPUTED_VALUE"""),"Fish")</f>
        <v>Fish</v>
      </c>
      <c r="D2332">
        <f>IFERROR(__xludf.DUMMYFUNCTION("""COMPUTED_VALUE"""),111.0)</f>
        <v>111</v>
      </c>
      <c r="E2332">
        <f>IFERROR(__xludf.DUMMYFUNCTION("""COMPUTED_VALUE"""),0.82)</f>
        <v>0.82</v>
      </c>
      <c r="F2332">
        <f>IFERROR(__xludf.DUMMYFUNCTION("""COMPUTED_VALUE"""),24.35)</f>
        <v>24.35</v>
      </c>
      <c r="G2332">
        <f>IFERROR(__xludf.DUMMYFUNCTION("""COMPUTED_VALUE"""),0.0)</f>
        <v>0</v>
      </c>
    </row>
    <row r="2333">
      <c r="A2333">
        <f>IFERROR(__xludf.DUMMYFUNCTION("""COMPUTED_VALUE"""),174235.0)</f>
        <v>174235</v>
      </c>
      <c r="B2333" t="str">
        <f>IFERROR(__xludf.DUMMYFUNCTION("""COMPUTED_VALUE"""),"Cooked Lingcod")</f>
        <v>Cooked Lingcod</v>
      </c>
      <c r="C2333" t="str">
        <f>IFERROR(__xludf.DUMMYFUNCTION("""COMPUTED_VALUE"""),"Fish")</f>
        <v>Fish</v>
      </c>
      <c r="D2333">
        <f>IFERROR(__xludf.DUMMYFUNCTION("""COMPUTED_VALUE"""),109.0)</f>
        <v>109</v>
      </c>
      <c r="E2333">
        <f>IFERROR(__xludf.DUMMYFUNCTION("""COMPUTED_VALUE"""),1.36)</f>
        <v>1.36</v>
      </c>
      <c r="F2333">
        <f>IFERROR(__xludf.DUMMYFUNCTION("""COMPUTED_VALUE"""),22.64)</f>
        <v>22.64</v>
      </c>
      <c r="G2333">
        <f>IFERROR(__xludf.DUMMYFUNCTION("""COMPUTED_VALUE"""),0.0)</f>
        <v>0</v>
      </c>
    </row>
    <row r="2334">
      <c r="A2334">
        <f>IFERROR(__xludf.DUMMYFUNCTION("""COMPUTED_VALUE"""),174236.0)</f>
        <v>174236</v>
      </c>
      <c r="B2334" t="str">
        <f>IFERROR(__xludf.DUMMYFUNCTION("""COMPUTED_VALUE"""),"Cooked King Mackerel")</f>
        <v>Cooked King Mackerel</v>
      </c>
      <c r="C2334" t="str">
        <f>IFERROR(__xludf.DUMMYFUNCTION("""COMPUTED_VALUE"""),"Fish")</f>
        <v>Fish</v>
      </c>
      <c r="D2334">
        <f>IFERROR(__xludf.DUMMYFUNCTION("""COMPUTED_VALUE"""),134.0)</f>
        <v>134</v>
      </c>
      <c r="E2334">
        <f>IFERROR(__xludf.DUMMYFUNCTION("""COMPUTED_VALUE"""),2.56)</f>
        <v>2.56</v>
      </c>
      <c r="F2334">
        <f>IFERROR(__xludf.DUMMYFUNCTION("""COMPUTED_VALUE"""),26.0)</f>
        <v>26</v>
      </c>
      <c r="G2334">
        <f>IFERROR(__xludf.DUMMYFUNCTION("""COMPUTED_VALUE"""),0.0)</f>
        <v>0</v>
      </c>
    </row>
    <row r="2335">
      <c r="A2335">
        <f>IFERROR(__xludf.DUMMYFUNCTION("""COMPUTED_VALUE"""),174237.0)</f>
        <v>174237</v>
      </c>
      <c r="B2335" t="str">
        <f>IFERROR(__xludf.DUMMYFUNCTION("""COMPUTED_VALUE"""),"Cooked Pollock")</f>
        <v>Cooked Pollock</v>
      </c>
      <c r="C2335" t="str">
        <f>IFERROR(__xludf.DUMMYFUNCTION("""COMPUTED_VALUE"""),"Fish")</f>
        <v>Fish</v>
      </c>
      <c r="D2335">
        <f>IFERROR(__xludf.DUMMYFUNCTION("""COMPUTED_VALUE"""),118.0)</f>
        <v>118</v>
      </c>
      <c r="E2335">
        <f>IFERROR(__xludf.DUMMYFUNCTION("""COMPUTED_VALUE"""),1.26)</f>
        <v>1.26</v>
      </c>
      <c r="F2335">
        <f>IFERROR(__xludf.DUMMYFUNCTION("""COMPUTED_VALUE"""),24.92)</f>
        <v>24.92</v>
      </c>
      <c r="G2335">
        <f>IFERROR(__xludf.DUMMYFUNCTION("""COMPUTED_VALUE"""),0.0)</f>
        <v>0</v>
      </c>
    </row>
    <row r="2336">
      <c r="A2336">
        <f>IFERROR(__xludf.DUMMYFUNCTION("""COMPUTED_VALUE"""),174238.0)</f>
        <v>174238</v>
      </c>
      <c r="B2336" t="str">
        <f>IFERROR(__xludf.DUMMYFUNCTION("""COMPUTED_VALUE"""),"Fish Pout Ocean Cooked Dry Heat")</f>
        <v>Fish Pout Ocean Cooked Dry Heat</v>
      </c>
      <c r="C2336" t="str">
        <f>IFERROR(__xludf.DUMMYFUNCTION("""COMPUTED_VALUE"""),"Fish")</f>
        <v>Fish</v>
      </c>
      <c r="D2336">
        <f>IFERROR(__xludf.DUMMYFUNCTION("""COMPUTED_VALUE"""),102.0)</f>
        <v>102</v>
      </c>
      <c r="E2336">
        <f>IFERROR(__xludf.DUMMYFUNCTION("""COMPUTED_VALUE"""),1.17)</f>
        <v>1.17</v>
      </c>
      <c r="F2336">
        <f>IFERROR(__xludf.DUMMYFUNCTION("""COMPUTED_VALUE"""),21.33)</f>
        <v>21.33</v>
      </c>
      <c r="G2336">
        <f>IFERROR(__xludf.DUMMYFUNCTION("""COMPUTED_VALUE"""),0.0)</f>
        <v>0</v>
      </c>
    </row>
    <row r="2337">
      <c r="A2337">
        <f>IFERROR(__xludf.DUMMYFUNCTION("""COMPUTED_VALUE"""),174239.0)</f>
        <v>174239</v>
      </c>
      <c r="B2337" t="str">
        <f>IFERROR(__xludf.DUMMYFUNCTION("""COMPUTED_VALUE"""),"Fish Roe (Cooked)")</f>
        <v>Fish Roe (Cooked)</v>
      </c>
      <c r="C2337" t="str">
        <f>IFERROR(__xludf.DUMMYFUNCTION("""COMPUTED_VALUE"""),"Fish")</f>
        <v>Fish</v>
      </c>
      <c r="D2337">
        <f>IFERROR(__xludf.DUMMYFUNCTION("""COMPUTED_VALUE"""),204.0)</f>
        <v>204</v>
      </c>
      <c r="E2337">
        <f>IFERROR(__xludf.DUMMYFUNCTION("""COMPUTED_VALUE"""),8.23)</f>
        <v>8.23</v>
      </c>
      <c r="F2337">
        <f>IFERROR(__xludf.DUMMYFUNCTION("""COMPUTED_VALUE"""),28.62)</f>
        <v>28.62</v>
      </c>
      <c r="G2337">
        <f>IFERROR(__xludf.DUMMYFUNCTION("""COMPUTED_VALUE"""),1.92)</f>
        <v>1.92</v>
      </c>
    </row>
    <row r="2338">
      <c r="A2338">
        <f>IFERROR(__xludf.DUMMYFUNCTION("""COMPUTED_VALUE"""),174240.0)</f>
        <v>174240</v>
      </c>
      <c r="B2338" t="str">
        <f>IFERROR(__xludf.DUMMYFUNCTION("""COMPUTED_VALUE"""),"Cooked Sablefish")</f>
        <v>Cooked Sablefish</v>
      </c>
      <c r="C2338" t="str">
        <f>IFERROR(__xludf.DUMMYFUNCTION("""COMPUTED_VALUE"""),"Fish")</f>
        <v>Fish</v>
      </c>
      <c r="D2338">
        <f>IFERROR(__xludf.DUMMYFUNCTION("""COMPUTED_VALUE"""),250.0)</f>
        <v>250</v>
      </c>
      <c r="E2338">
        <f>IFERROR(__xludf.DUMMYFUNCTION("""COMPUTED_VALUE"""),19.62)</f>
        <v>19.62</v>
      </c>
      <c r="F2338">
        <f>IFERROR(__xludf.DUMMYFUNCTION("""COMPUTED_VALUE"""),17.19)</f>
        <v>17.19</v>
      </c>
      <c r="G2338">
        <f>IFERROR(__xludf.DUMMYFUNCTION("""COMPUTED_VALUE"""),0.0)</f>
        <v>0</v>
      </c>
    </row>
    <row r="2339">
      <c r="A2339">
        <f>IFERROR(__xludf.DUMMYFUNCTION("""COMPUTED_VALUE"""),174241.0)</f>
        <v>174241</v>
      </c>
      <c r="B2339" t="str">
        <f>IFERROR(__xludf.DUMMYFUNCTION("""COMPUTED_VALUE"""),"Fish Scup Cooked Dry Heat")</f>
        <v>Fish Scup Cooked Dry Heat</v>
      </c>
      <c r="C2339" t="str">
        <f>IFERROR(__xludf.DUMMYFUNCTION("""COMPUTED_VALUE"""),"Fish")</f>
        <v>Fish</v>
      </c>
      <c r="D2339">
        <f>IFERROR(__xludf.DUMMYFUNCTION("""COMPUTED_VALUE"""),135.0)</f>
        <v>135</v>
      </c>
      <c r="E2339">
        <f>IFERROR(__xludf.DUMMYFUNCTION("""COMPUTED_VALUE"""),3.5)</f>
        <v>3.5</v>
      </c>
      <c r="F2339">
        <f>IFERROR(__xludf.DUMMYFUNCTION("""COMPUTED_VALUE"""),24.21)</f>
        <v>24.21</v>
      </c>
      <c r="G2339">
        <f>IFERROR(__xludf.DUMMYFUNCTION("""COMPUTED_VALUE"""),0.0)</f>
        <v>0</v>
      </c>
    </row>
    <row r="2340">
      <c r="A2340">
        <f>IFERROR(__xludf.DUMMYFUNCTION("""COMPUTED_VALUE"""),174242.0)</f>
        <v>174242</v>
      </c>
      <c r="B2340" t="str">
        <f>IFERROR(__xludf.DUMMYFUNCTION("""COMPUTED_VALUE"""),"Fish Seatrout Mixed Species Cooked Dry Heat")</f>
        <v>Fish Seatrout Mixed Species Cooked Dry Heat</v>
      </c>
      <c r="C2340" t="str">
        <f>IFERROR(__xludf.DUMMYFUNCTION("""COMPUTED_VALUE"""),"Fish")</f>
        <v>Fish</v>
      </c>
      <c r="D2340">
        <f>IFERROR(__xludf.DUMMYFUNCTION("""COMPUTED_VALUE"""),133.0)</f>
        <v>133</v>
      </c>
      <c r="E2340">
        <f>IFERROR(__xludf.DUMMYFUNCTION("""COMPUTED_VALUE"""),4.63)</f>
        <v>4.63</v>
      </c>
      <c r="F2340">
        <f>IFERROR(__xludf.DUMMYFUNCTION("""COMPUTED_VALUE"""),21.46)</f>
        <v>21.46</v>
      </c>
      <c r="G2340">
        <f>IFERROR(__xludf.DUMMYFUNCTION("""COMPUTED_VALUE"""),0.0)</f>
        <v>0</v>
      </c>
    </row>
    <row r="2341">
      <c r="A2341">
        <f>IFERROR(__xludf.DUMMYFUNCTION("""COMPUTED_VALUE"""),174243.0)</f>
        <v>174243</v>
      </c>
      <c r="B2341" t="str">
        <f>IFERROR(__xludf.DUMMYFUNCTION("""COMPUTED_VALUE"""),"Fish Shad American Cooked Dry Heat")</f>
        <v>Fish Shad American Cooked Dry Heat</v>
      </c>
      <c r="C2341" t="str">
        <f>IFERROR(__xludf.DUMMYFUNCTION("""COMPUTED_VALUE"""),"Fish")</f>
        <v>Fish</v>
      </c>
      <c r="D2341">
        <f>IFERROR(__xludf.DUMMYFUNCTION("""COMPUTED_VALUE"""),252.0)</f>
        <v>252</v>
      </c>
      <c r="E2341">
        <f>IFERROR(__xludf.DUMMYFUNCTION("""COMPUTED_VALUE"""),17.65)</f>
        <v>17.65</v>
      </c>
      <c r="F2341">
        <f>IFERROR(__xludf.DUMMYFUNCTION("""COMPUTED_VALUE"""),21.71)</f>
        <v>21.71</v>
      </c>
      <c r="G2341">
        <f>IFERROR(__xludf.DUMMYFUNCTION("""COMPUTED_VALUE"""),0.0)</f>
        <v>0</v>
      </c>
    </row>
    <row r="2342">
      <c r="A2342">
        <f>IFERROR(__xludf.DUMMYFUNCTION("""COMPUTED_VALUE"""),174244.0)</f>
        <v>174244</v>
      </c>
      <c r="B2342" t="str">
        <f>IFERROR(__xludf.DUMMYFUNCTION("""COMPUTED_VALUE"""),"Fish Spot Cooked Dry Heat")</f>
        <v>Fish Spot Cooked Dry Heat</v>
      </c>
      <c r="C2342" t="str">
        <f>IFERROR(__xludf.DUMMYFUNCTION("""COMPUTED_VALUE"""),"Fish")</f>
        <v>Fish</v>
      </c>
      <c r="D2342">
        <f>IFERROR(__xludf.DUMMYFUNCTION("""COMPUTED_VALUE"""),158.0)</f>
        <v>158</v>
      </c>
      <c r="E2342">
        <f>IFERROR(__xludf.DUMMYFUNCTION("""COMPUTED_VALUE"""),6.28)</f>
        <v>6.28</v>
      </c>
      <c r="F2342">
        <f>IFERROR(__xludf.DUMMYFUNCTION("""COMPUTED_VALUE"""),23.73)</f>
        <v>23.73</v>
      </c>
      <c r="G2342">
        <f>IFERROR(__xludf.DUMMYFUNCTION("""COMPUTED_VALUE"""),0.0)</f>
        <v>0</v>
      </c>
    </row>
    <row r="2343">
      <c r="A2343">
        <f>IFERROR(__xludf.DUMMYFUNCTION("""COMPUTED_VALUE"""),174245.0)</f>
        <v>174245</v>
      </c>
      <c r="B2343" t="str">
        <f>IFERROR(__xludf.DUMMYFUNCTION("""COMPUTED_VALUE"""),"Cooked Turbot")</f>
        <v>Cooked Turbot</v>
      </c>
      <c r="C2343" t="str">
        <f>IFERROR(__xludf.DUMMYFUNCTION("""COMPUTED_VALUE"""),"Fish")</f>
        <v>Fish</v>
      </c>
      <c r="D2343">
        <f>IFERROR(__xludf.DUMMYFUNCTION("""COMPUTED_VALUE"""),122.0)</f>
        <v>122</v>
      </c>
      <c r="E2343">
        <f>IFERROR(__xludf.DUMMYFUNCTION("""COMPUTED_VALUE"""),3.78)</f>
        <v>3.78</v>
      </c>
      <c r="F2343">
        <f>IFERROR(__xludf.DUMMYFUNCTION("""COMPUTED_VALUE"""),20.58)</f>
        <v>20.58</v>
      </c>
      <c r="G2343">
        <f>IFERROR(__xludf.DUMMYFUNCTION("""COMPUTED_VALUE"""),0.0)</f>
        <v>0</v>
      </c>
    </row>
    <row r="2344">
      <c r="A2344">
        <f>IFERROR(__xludf.DUMMYFUNCTION("""COMPUTED_VALUE"""),174246.0)</f>
        <v>174246</v>
      </c>
      <c r="B2344" t="str">
        <f>IFERROR(__xludf.DUMMYFUNCTION("""COMPUTED_VALUE"""),"Cooked Whitefish")</f>
        <v>Cooked Whitefish</v>
      </c>
      <c r="C2344" t="str">
        <f>IFERROR(__xludf.DUMMYFUNCTION("""COMPUTED_VALUE"""),"Fish")</f>
        <v>Fish</v>
      </c>
      <c r="D2344">
        <f>IFERROR(__xludf.DUMMYFUNCTION("""COMPUTED_VALUE"""),172.0)</f>
        <v>172</v>
      </c>
      <c r="E2344">
        <f>IFERROR(__xludf.DUMMYFUNCTION("""COMPUTED_VALUE"""),7.51)</f>
        <v>7.51</v>
      </c>
      <c r="F2344">
        <f>IFERROR(__xludf.DUMMYFUNCTION("""COMPUTED_VALUE"""),24.47)</f>
        <v>24.47</v>
      </c>
      <c r="G2344">
        <f>IFERROR(__xludf.DUMMYFUNCTION("""COMPUTED_VALUE"""),0.0)</f>
        <v>0</v>
      </c>
    </row>
    <row r="2345">
      <c r="A2345">
        <f>IFERROR(__xludf.DUMMYFUNCTION("""COMPUTED_VALUE"""),174247.0)</f>
        <v>174247</v>
      </c>
      <c r="B2345" t="str">
        <f>IFERROR(__xludf.DUMMYFUNCTION("""COMPUTED_VALUE"""),"Fish Wolffish Atlantic Cooked Dry Heat")</f>
        <v>Fish Wolffish Atlantic Cooked Dry Heat</v>
      </c>
      <c r="C2345" t="str">
        <f>IFERROR(__xludf.DUMMYFUNCTION("""COMPUTED_VALUE"""),"Fish")</f>
        <v>Fish</v>
      </c>
      <c r="D2345">
        <f>IFERROR(__xludf.DUMMYFUNCTION("""COMPUTED_VALUE"""),123.0)</f>
        <v>123</v>
      </c>
      <c r="E2345">
        <f>IFERROR(__xludf.DUMMYFUNCTION("""COMPUTED_VALUE"""),3.06)</f>
        <v>3.06</v>
      </c>
      <c r="F2345">
        <f>IFERROR(__xludf.DUMMYFUNCTION("""COMPUTED_VALUE"""),22.44)</f>
        <v>22.44</v>
      </c>
      <c r="G2345">
        <f>IFERROR(__xludf.DUMMYFUNCTION("""COMPUTED_VALUE"""),0.0)</f>
        <v>0</v>
      </c>
    </row>
    <row r="2346">
      <c r="A2346">
        <f>IFERROR(__xludf.DUMMYFUNCTION("""COMPUTED_VALUE"""),174248.0)</f>
        <v>174248</v>
      </c>
      <c r="B2346" t="str">
        <f>IFERROR(__xludf.DUMMYFUNCTION("""COMPUTED_VALUE"""),"Cooked Yellowtail")</f>
        <v>Cooked Yellowtail</v>
      </c>
      <c r="C2346" t="str">
        <f>IFERROR(__xludf.DUMMYFUNCTION("""COMPUTED_VALUE"""),"Fish")</f>
        <v>Fish</v>
      </c>
      <c r="D2346">
        <f>IFERROR(__xludf.DUMMYFUNCTION("""COMPUTED_VALUE"""),187.0)</f>
        <v>187</v>
      </c>
      <c r="E2346">
        <f>IFERROR(__xludf.DUMMYFUNCTION("""COMPUTED_VALUE"""),6.72)</f>
        <v>6.72</v>
      </c>
      <c r="F2346">
        <f>IFERROR(__xludf.DUMMYFUNCTION("""COMPUTED_VALUE"""),29.67)</f>
        <v>29.67</v>
      </c>
      <c r="G2346">
        <f>IFERROR(__xludf.DUMMYFUNCTION("""COMPUTED_VALUE"""),0.0)</f>
        <v>0</v>
      </c>
    </row>
    <row r="2347">
      <c r="A2347">
        <f>IFERROR(__xludf.DUMMYFUNCTION("""COMPUTED_VALUE"""),174249.0)</f>
        <v>174249</v>
      </c>
      <c r="B2347" t="str">
        <f>IFERROR(__xludf.DUMMYFUNCTION("""COMPUTED_VALUE"""),"Octopus (Cooked)")</f>
        <v>Octopus (Cooked)</v>
      </c>
      <c r="C2347" t="str">
        <f>IFERROR(__xludf.DUMMYFUNCTION("""COMPUTED_VALUE"""),"Fish")</f>
        <v>Fish</v>
      </c>
      <c r="D2347">
        <f>IFERROR(__xludf.DUMMYFUNCTION("""COMPUTED_VALUE"""),164.0)</f>
        <v>164</v>
      </c>
      <c r="E2347">
        <f>IFERROR(__xludf.DUMMYFUNCTION("""COMPUTED_VALUE"""),2.08)</f>
        <v>2.08</v>
      </c>
      <c r="F2347">
        <f>IFERROR(__xludf.DUMMYFUNCTION("""COMPUTED_VALUE"""),29.82)</f>
        <v>29.82</v>
      </c>
      <c r="G2347">
        <f>IFERROR(__xludf.DUMMYFUNCTION("""COMPUTED_VALUE"""),4.4)</f>
        <v>4.4</v>
      </c>
    </row>
    <row r="2348">
      <c r="A2348">
        <f>IFERROR(__xludf.DUMMYFUNCTION("""COMPUTED_VALUE"""),174250.0)</f>
        <v>174250</v>
      </c>
      <c r="B2348" t="str">
        <f>IFERROR(__xludf.DUMMYFUNCTION("""COMPUTED_VALUE"""),"Cooked Pacific Oysters")</f>
        <v>Cooked Pacific Oysters</v>
      </c>
      <c r="C2348" t="str">
        <f>IFERROR(__xludf.DUMMYFUNCTION("""COMPUTED_VALUE"""),"Fish")</f>
        <v>Fish</v>
      </c>
      <c r="D2348">
        <f>IFERROR(__xludf.DUMMYFUNCTION("""COMPUTED_VALUE"""),163.0)</f>
        <v>163</v>
      </c>
      <c r="E2348">
        <f>IFERROR(__xludf.DUMMYFUNCTION("""COMPUTED_VALUE"""),4.6)</f>
        <v>4.6</v>
      </c>
      <c r="F2348">
        <f>IFERROR(__xludf.DUMMYFUNCTION("""COMPUTED_VALUE"""),18.9)</f>
        <v>18.9</v>
      </c>
      <c r="G2348">
        <f>IFERROR(__xludf.DUMMYFUNCTION("""COMPUTED_VALUE"""),9.9)</f>
        <v>9.9</v>
      </c>
    </row>
    <row r="2349">
      <c r="A2349">
        <f>IFERROR(__xludf.DUMMYFUNCTION("""COMPUTED_VALUE"""),174251.0)</f>
        <v>174251</v>
      </c>
      <c r="B2349" t="str">
        <f>IFERROR(__xludf.DUMMYFUNCTION("""COMPUTED_VALUE"""),"Cooked Orange Roughy")</f>
        <v>Cooked Orange Roughy</v>
      </c>
      <c r="C2349" t="str">
        <f>IFERROR(__xludf.DUMMYFUNCTION("""COMPUTED_VALUE"""),"Fish")</f>
        <v>Fish</v>
      </c>
      <c r="D2349">
        <f>IFERROR(__xludf.DUMMYFUNCTION("""COMPUTED_VALUE"""),105.0)</f>
        <v>105</v>
      </c>
      <c r="E2349">
        <f>IFERROR(__xludf.DUMMYFUNCTION("""COMPUTED_VALUE"""),0.9)</f>
        <v>0.9</v>
      </c>
      <c r="F2349">
        <f>IFERROR(__xludf.DUMMYFUNCTION("""COMPUTED_VALUE"""),22.64)</f>
        <v>22.64</v>
      </c>
      <c r="G2349">
        <f>IFERROR(__xludf.DUMMYFUNCTION("""COMPUTED_VALUE"""),0.0)</f>
        <v>0</v>
      </c>
    </row>
    <row r="2350">
      <c r="A2350">
        <f>IFERROR(__xludf.DUMMYFUNCTION("""COMPUTED_VALUE"""),174307.0)</f>
        <v>174307</v>
      </c>
      <c r="B2350" t="str">
        <f>IFERROR(__xludf.DUMMYFUNCTION("""COMPUTED_VALUE"""),"Lamb Domestic Composite Of Trimmed Retail Cuts Separable Lean Only Trimmed To 1/4 Inch Fat Choice Raw")</f>
        <v>Lamb Domestic Composite Of Trimmed Retail Cuts Separable Lean Only Trimmed To 1/4 Inch Fat Choice Raw</v>
      </c>
      <c r="C2350" t="str">
        <f>IFERROR(__xludf.DUMMYFUNCTION("""COMPUTED_VALUE"""),"Meats")</f>
        <v>Meats</v>
      </c>
      <c r="D2350">
        <f>IFERROR(__xludf.DUMMYFUNCTION("""COMPUTED_VALUE"""),134.0)</f>
        <v>134</v>
      </c>
      <c r="E2350">
        <f>IFERROR(__xludf.DUMMYFUNCTION("""COMPUTED_VALUE"""),5.25)</f>
        <v>5.25</v>
      </c>
      <c r="F2350">
        <f>IFERROR(__xludf.DUMMYFUNCTION("""COMPUTED_VALUE"""),20.29)</f>
        <v>20.29</v>
      </c>
      <c r="G2350">
        <f>IFERROR(__xludf.DUMMYFUNCTION("""COMPUTED_VALUE"""),0.0)</f>
        <v>0</v>
      </c>
    </row>
    <row r="2351">
      <c r="A2351">
        <f>IFERROR(__xludf.DUMMYFUNCTION("""COMPUTED_VALUE"""),174308.0)</f>
        <v>174308</v>
      </c>
      <c r="B2351" t="str">
        <f>IFERROR(__xludf.DUMMYFUNCTION("""COMPUTED_VALUE"""),"Lamb Domestic Composite Of Trimmed Retail Cuts Separable Lean Only Trimmed To 1/4 Inch Fat Choice Cooked")</f>
        <v>Lamb Domestic Composite Of Trimmed Retail Cuts Separable Lean Only Trimmed To 1/4 Inch Fat Choice Cooked</v>
      </c>
      <c r="C2351" t="str">
        <f>IFERROR(__xludf.DUMMYFUNCTION("""COMPUTED_VALUE"""),"Meats")</f>
        <v>Meats</v>
      </c>
      <c r="D2351">
        <f>IFERROR(__xludf.DUMMYFUNCTION("""COMPUTED_VALUE"""),206.0)</f>
        <v>206</v>
      </c>
      <c r="E2351">
        <f>IFERROR(__xludf.DUMMYFUNCTION("""COMPUTED_VALUE"""),9.52)</f>
        <v>9.52</v>
      </c>
      <c r="F2351">
        <f>IFERROR(__xludf.DUMMYFUNCTION("""COMPUTED_VALUE"""),28.22)</f>
        <v>28.22</v>
      </c>
      <c r="G2351">
        <f>IFERROR(__xludf.DUMMYFUNCTION("""COMPUTED_VALUE"""),0.0)</f>
        <v>0</v>
      </c>
    </row>
    <row r="2352">
      <c r="A2352">
        <f>IFERROR(__xludf.DUMMYFUNCTION("""COMPUTED_VALUE"""),174309.0)</f>
        <v>174309</v>
      </c>
      <c r="B2352" t="str">
        <f>IFERROR(__xludf.DUMMYFUNCTION("""COMPUTED_VALUE"""),"Lamb Domestic Composite Of Trimmed Retail Cuts Separable Fat Trimmed To 1/4 Inch Fat Choice Raw")</f>
        <v>Lamb Domestic Composite Of Trimmed Retail Cuts Separable Fat Trimmed To 1/4 Inch Fat Choice Raw</v>
      </c>
      <c r="C2352" t="str">
        <f>IFERROR(__xludf.DUMMYFUNCTION("""COMPUTED_VALUE"""),"Meats")</f>
        <v>Meats</v>
      </c>
      <c r="D2352">
        <f>IFERROR(__xludf.DUMMYFUNCTION("""COMPUTED_VALUE"""),665.0)</f>
        <v>665</v>
      </c>
      <c r="E2352">
        <f>IFERROR(__xludf.DUMMYFUNCTION("""COMPUTED_VALUE"""),70.61)</f>
        <v>70.61</v>
      </c>
      <c r="F2352">
        <f>IFERROR(__xludf.DUMMYFUNCTION("""COMPUTED_VALUE"""),6.65)</f>
        <v>6.65</v>
      </c>
      <c r="G2352">
        <f>IFERROR(__xludf.DUMMYFUNCTION("""COMPUTED_VALUE"""),0.0)</f>
        <v>0</v>
      </c>
    </row>
    <row r="2353">
      <c r="A2353">
        <f>IFERROR(__xludf.DUMMYFUNCTION("""COMPUTED_VALUE"""),174310.0)</f>
        <v>174310</v>
      </c>
      <c r="B2353" t="str">
        <f>IFERROR(__xludf.DUMMYFUNCTION("""COMPUTED_VALUE"""),"Lamb Domestic Composite Of Trimmed Retail Cuts Separable Fat Trimmed To 1/4 Inch Fat Choice Cooked")</f>
        <v>Lamb Domestic Composite Of Trimmed Retail Cuts Separable Fat Trimmed To 1/4 Inch Fat Choice Cooked</v>
      </c>
      <c r="C2353" t="str">
        <f>IFERROR(__xludf.DUMMYFUNCTION("""COMPUTED_VALUE"""),"Meats")</f>
        <v>Meats</v>
      </c>
      <c r="D2353">
        <f>IFERROR(__xludf.DUMMYFUNCTION("""COMPUTED_VALUE"""),586.0)</f>
        <v>586</v>
      </c>
      <c r="E2353">
        <f>IFERROR(__xludf.DUMMYFUNCTION("""COMPUTED_VALUE"""),59.18)</f>
        <v>59.18</v>
      </c>
      <c r="F2353">
        <f>IFERROR(__xludf.DUMMYFUNCTION("""COMPUTED_VALUE"""),12.16)</f>
        <v>12.16</v>
      </c>
      <c r="G2353">
        <f>IFERROR(__xludf.DUMMYFUNCTION("""COMPUTED_VALUE"""),0.0)</f>
        <v>0</v>
      </c>
    </row>
    <row r="2354">
      <c r="A2354">
        <f>IFERROR(__xludf.DUMMYFUNCTION("""COMPUTED_VALUE"""),174311.0)</f>
        <v>174311</v>
      </c>
      <c r="B2354" t="str">
        <f>IFERROR(__xludf.DUMMYFUNCTION("""COMPUTED_VALUE"""),"Leg Of Lamb")</f>
        <v>Leg Of Lamb</v>
      </c>
      <c r="C2354" t="str">
        <f>IFERROR(__xludf.DUMMYFUNCTION("""COMPUTED_VALUE"""),"Meats")</f>
        <v>Meats</v>
      </c>
      <c r="D2354">
        <f>IFERROR(__xludf.DUMMYFUNCTION("""COMPUTED_VALUE"""),230.0)</f>
        <v>230</v>
      </c>
      <c r="E2354">
        <f>IFERROR(__xludf.DUMMYFUNCTION("""COMPUTED_VALUE"""),17.07)</f>
        <v>17.07</v>
      </c>
      <c r="F2354">
        <f>IFERROR(__xludf.DUMMYFUNCTION("""COMPUTED_VALUE"""),17.91)</f>
        <v>17.91</v>
      </c>
      <c r="G2354">
        <f>IFERROR(__xludf.DUMMYFUNCTION("""COMPUTED_VALUE"""),0.0)</f>
        <v>0</v>
      </c>
    </row>
    <row r="2355">
      <c r="A2355">
        <f>IFERROR(__xludf.DUMMYFUNCTION("""COMPUTED_VALUE"""),174312.0)</f>
        <v>174312</v>
      </c>
      <c r="B2355" t="str">
        <f>IFERROR(__xludf.DUMMYFUNCTION("""COMPUTED_VALUE"""),"Lamb Domestic Leg Whole (Shank And Sirloin) Separable Lean And Fat Trimmed To 1/4 Inch Fat Choice Cooked Roasted")</f>
        <v>Lamb Domestic Leg Whole (Shank And Sirloin) Separable Lean And Fat Trimmed To 1/4 Inch Fat Choice Cooked Roasted</v>
      </c>
      <c r="C2355" t="str">
        <f>IFERROR(__xludf.DUMMYFUNCTION("""COMPUTED_VALUE"""),"Meats")</f>
        <v>Meats</v>
      </c>
      <c r="D2355">
        <f>IFERROR(__xludf.DUMMYFUNCTION("""COMPUTED_VALUE"""),258.0)</f>
        <v>258</v>
      </c>
      <c r="E2355">
        <f>IFERROR(__xludf.DUMMYFUNCTION("""COMPUTED_VALUE"""),16.48)</f>
        <v>16.48</v>
      </c>
      <c r="F2355">
        <f>IFERROR(__xludf.DUMMYFUNCTION("""COMPUTED_VALUE"""),25.55)</f>
        <v>25.55</v>
      </c>
      <c r="G2355">
        <f>IFERROR(__xludf.DUMMYFUNCTION("""COMPUTED_VALUE"""),0.0)</f>
        <v>0</v>
      </c>
    </row>
    <row r="2356">
      <c r="A2356">
        <f>IFERROR(__xludf.DUMMYFUNCTION("""COMPUTED_VALUE"""),174313.0)</f>
        <v>174313</v>
      </c>
      <c r="B2356" t="str">
        <f>IFERROR(__xludf.DUMMYFUNCTION("""COMPUTED_VALUE"""),"Lamb Domestic Leg Whole (Shank And Sirloin) Separable Lean Only Trimmed To 1/4 Inch Fat Choice Raw")</f>
        <v>Lamb Domestic Leg Whole (Shank And Sirloin) Separable Lean Only Trimmed To 1/4 Inch Fat Choice Raw</v>
      </c>
      <c r="C2356" t="str">
        <f>IFERROR(__xludf.DUMMYFUNCTION("""COMPUTED_VALUE"""),"Meats")</f>
        <v>Meats</v>
      </c>
      <c r="D2356">
        <f>IFERROR(__xludf.DUMMYFUNCTION("""COMPUTED_VALUE"""),128.0)</f>
        <v>128</v>
      </c>
      <c r="E2356">
        <f>IFERROR(__xludf.DUMMYFUNCTION("""COMPUTED_VALUE"""),4.51)</f>
        <v>4.51</v>
      </c>
      <c r="F2356">
        <f>IFERROR(__xludf.DUMMYFUNCTION("""COMPUTED_VALUE"""),20.56)</f>
        <v>20.56</v>
      </c>
      <c r="G2356">
        <f>IFERROR(__xludf.DUMMYFUNCTION("""COMPUTED_VALUE"""),0.0)</f>
        <v>0</v>
      </c>
    </row>
    <row r="2357">
      <c r="A2357">
        <f>IFERROR(__xludf.DUMMYFUNCTION("""COMPUTED_VALUE"""),174314.0)</f>
        <v>174314</v>
      </c>
      <c r="B2357" t="str">
        <f>IFERROR(__xludf.DUMMYFUNCTION("""COMPUTED_VALUE"""),"Lamb Domestic Leg Whole (Shank And Sirloin) Separable Lean Only Trimmed To 1/4 Inch Fat Choice Cooked Roasted")</f>
        <v>Lamb Domestic Leg Whole (Shank And Sirloin) Separable Lean Only Trimmed To 1/4 Inch Fat Choice Cooked Roasted</v>
      </c>
      <c r="C2357" t="str">
        <f>IFERROR(__xludf.DUMMYFUNCTION("""COMPUTED_VALUE"""),"Meats")</f>
        <v>Meats</v>
      </c>
      <c r="D2357">
        <f>IFERROR(__xludf.DUMMYFUNCTION("""COMPUTED_VALUE"""),191.0)</f>
        <v>191</v>
      </c>
      <c r="E2357">
        <f>IFERROR(__xludf.DUMMYFUNCTION("""COMPUTED_VALUE"""),7.74)</f>
        <v>7.74</v>
      </c>
      <c r="F2357">
        <f>IFERROR(__xludf.DUMMYFUNCTION("""COMPUTED_VALUE"""),28.3)</f>
        <v>28.3</v>
      </c>
      <c r="G2357">
        <f>IFERROR(__xludf.DUMMYFUNCTION("""COMPUTED_VALUE"""),0.0)</f>
        <v>0</v>
      </c>
    </row>
    <row r="2358">
      <c r="A2358">
        <f>IFERROR(__xludf.DUMMYFUNCTION("""COMPUTED_VALUE"""),174315.0)</f>
        <v>174315</v>
      </c>
      <c r="B2358" t="str">
        <f>IFERROR(__xludf.DUMMYFUNCTION("""COMPUTED_VALUE"""),"Lamb Domestic Leg Shank Half Separable Lean And Fat Trimmed To 1/4 Inch Fat Choice Raw")</f>
        <v>Lamb Domestic Leg Shank Half Separable Lean And Fat Trimmed To 1/4 Inch Fat Choice Raw</v>
      </c>
      <c r="C2358" t="str">
        <f>IFERROR(__xludf.DUMMYFUNCTION("""COMPUTED_VALUE"""),"Meats")</f>
        <v>Meats</v>
      </c>
      <c r="D2358">
        <f>IFERROR(__xludf.DUMMYFUNCTION("""COMPUTED_VALUE"""),201.0)</f>
        <v>201</v>
      </c>
      <c r="E2358">
        <f>IFERROR(__xludf.DUMMYFUNCTION("""COMPUTED_VALUE"""),13.49)</f>
        <v>13.49</v>
      </c>
      <c r="F2358">
        <f>IFERROR(__xludf.DUMMYFUNCTION("""COMPUTED_VALUE"""),18.58)</f>
        <v>18.58</v>
      </c>
      <c r="G2358">
        <f>IFERROR(__xludf.DUMMYFUNCTION("""COMPUTED_VALUE"""),0.0)</f>
        <v>0</v>
      </c>
    </row>
    <row r="2359">
      <c r="A2359">
        <f>IFERROR(__xludf.DUMMYFUNCTION("""COMPUTED_VALUE"""),174316.0)</f>
        <v>174316</v>
      </c>
      <c r="B2359" t="str">
        <f>IFERROR(__xludf.DUMMYFUNCTION("""COMPUTED_VALUE"""),"Lamb Domestic Leg Sirloin Half Separable Lean And Fat Trimmed To 1/4 Inch Fat Choice Cooked Roasted")</f>
        <v>Lamb Domestic Leg Sirloin Half Separable Lean And Fat Trimmed To 1/4 Inch Fat Choice Cooked Roasted</v>
      </c>
      <c r="C2359" t="str">
        <f>IFERROR(__xludf.DUMMYFUNCTION("""COMPUTED_VALUE"""),"Meats")</f>
        <v>Meats</v>
      </c>
      <c r="D2359">
        <f>IFERROR(__xludf.DUMMYFUNCTION("""COMPUTED_VALUE"""),292.0)</f>
        <v>292</v>
      </c>
      <c r="E2359">
        <f>IFERROR(__xludf.DUMMYFUNCTION("""COMPUTED_VALUE"""),20.67)</f>
        <v>20.67</v>
      </c>
      <c r="F2359">
        <f>IFERROR(__xludf.DUMMYFUNCTION("""COMPUTED_VALUE"""),24.63)</f>
        <v>24.63</v>
      </c>
      <c r="G2359">
        <f>IFERROR(__xludf.DUMMYFUNCTION("""COMPUTED_VALUE"""),0.0)</f>
        <v>0</v>
      </c>
    </row>
    <row r="2360">
      <c r="A2360">
        <f>IFERROR(__xludf.DUMMYFUNCTION("""COMPUTED_VALUE"""),174317.0)</f>
        <v>174317</v>
      </c>
      <c r="B2360" t="str">
        <f>IFERROR(__xludf.DUMMYFUNCTION("""COMPUTED_VALUE"""),"Lamb Domestic Leg Sirloin Half Separable Lean Only Trimmed To 1/4 Inch Fat Choice Raw")</f>
        <v>Lamb Domestic Leg Sirloin Half Separable Lean Only Trimmed To 1/4 Inch Fat Choice Raw</v>
      </c>
      <c r="C2360" t="str">
        <f>IFERROR(__xludf.DUMMYFUNCTION("""COMPUTED_VALUE"""),"Meats")</f>
        <v>Meats</v>
      </c>
      <c r="D2360">
        <f>IFERROR(__xludf.DUMMYFUNCTION("""COMPUTED_VALUE"""),134.0)</f>
        <v>134</v>
      </c>
      <c r="E2360">
        <f>IFERROR(__xludf.DUMMYFUNCTION("""COMPUTED_VALUE"""),5.08)</f>
        <v>5.08</v>
      </c>
      <c r="F2360">
        <f>IFERROR(__xludf.DUMMYFUNCTION("""COMPUTED_VALUE"""),20.55)</f>
        <v>20.55</v>
      </c>
      <c r="G2360">
        <f>IFERROR(__xludf.DUMMYFUNCTION("""COMPUTED_VALUE"""),0.0)</f>
        <v>0</v>
      </c>
    </row>
    <row r="2361">
      <c r="A2361">
        <f>IFERROR(__xludf.DUMMYFUNCTION("""COMPUTED_VALUE"""),174318.0)</f>
        <v>174318</v>
      </c>
      <c r="B2361" t="str">
        <f>IFERROR(__xludf.DUMMYFUNCTION("""COMPUTED_VALUE"""),"Lamb Sirloin")</f>
        <v>Lamb Sirloin</v>
      </c>
      <c r="C2361" t="str">
        <f>IFERROR(__xludf.DUMMYFUNCTION("""COMPUTED_VALUE"""),"Meats")</f>
        <v>Meats</v>
      </c>
      <c r="D2361">
        <f>IFERROR(__xludf.DUMMYFUNCTION("""COMPUTED_VALUE"""),204.0)</f>
        <v>204</v>
      </c>
      <c r="E2361">
        <f>IFERROR(__xludf.DUMMYFUNCTION("""COMPUTED_VALUE"""),9.17)</f>
        <v>9.17</v>
      </c>
      <c r="F2361">
        <f>IFERROR(__xludf.DUMMYFUNCTION("""COMPUTED_VALUE"""),28.35)</f>
        <v>28.35</v>
      </c>
      <c r="G2361">
        <f>IFERROR(__xludf.DUMMYFUNCTION("""COMPUTED_VALUE"""),0.0)</f>
        <v>0</v>
      </c>
    </row>
    <row r="2362">
      <c r="A2362">
        <f>IFERROR(__xludf.DUMMYFUNCTION("""COMPUTED_VALUE"""),174319.0)</f>
        <v>174319</v>
      </c>
      <c r="B2362" t="str">
        <f>IFERROR(__xludf.DUMMYFUNCTION("""COMPUTED_VALUE"""),"Lamb Domestic Loin Separable Lean And Fat Trimmed To 1/4 Inch Fat Choice Raw")</f>
        <v>Lamb Domestic Loin Separable Lean And Fat Trimmed To 1/4 Inch Fat Choice Raw</v>
      </c>
      <c r="C2362" t="str">
        <f>IFERROR(__xludf.DUMMYFUNCTION("""COMPUTED_VALUE"""),"Meats")</f>
        <v>Meats</v>
      </c>
      <c r="D2362">
        <f>IFERROR(__xludf.DUMMYFUNCTION("""COMPUTED_VALUE"""),310.0)</f>
        <v>310</v>
      </c>
      <c r="E2362">
        <f>IFERROR(__xludf.DUMMYFUNCTION("""COMPUTED_VALUE"""),26.63)</f>
        <v>26.63</v>
      </c>
      <c r="F2362">
        <f>IFERROR(__xludf.DUMMYFUNCTION("""COMPUTED_VALUE"""),16.32)</f>
        <v>16.32</v>
      </c>
      <c r="G2362">
        <f>IFERROR(__xludf.DUMMYFUNCTION("""COMPUTED_VALUE"""),0.0)</f>
        <v>0</v>
      </c>
    </row>
    <row r="2363">
      <c r="A2363">
        <f>IFERROR(__xludf.DUMMYFUNCTION("""COMPUTED_VALUE"""),174320.0)</f>
        <v>174320</v>
      </c>
      <c r="B2363" t="str">
        <f>IFERROR(__xludf.DUMMYFUNCTION("""COMPUTED_VALUE"""),"Lamb Domestic Loin Separable Lean Only Trimmed To 1/4 Inch Fat Choice Cooked Roasted")</f>
        <v>Lamb Domestic Loin Separable Lean Only Trimmed To 1/4 Inch Fat Choice Cooked Roasted</v>
      </c>
      <c r="C2363" t="str">
        <f>IFERROR(__xludf.DUMMYFUNCTION("""COMPUTED_VALUE"""),"Meats")</f>
        <v>Meats</v>
      </c>
      <c r="D2363">
        <f>IFERROR(__xludf.DUMMYFUNCTION("""COMPUTED_VALUE"""),202.0)</f>
        <v>202</v>
      </c>
      <c r="E2363">
        <f>IFERROR(__xludf.DUMMYFUNCTION("""COMPUTED_VALUE"""),9.76)</f>
        <v>9.76</v>
      </c>
      <c r="F2363">
        <f>IFERROR(__xludf.DUMMYFUNCTION("""COMPUTED_VALUE"""),26.59)</f>
        <v>26.59</v>
      </c>
      <c r="G2363">
        <f>IFERROR(__xludf.DUMMYFUNCTION("""COMPUTED_VALUE"""),0.0)</f>
        <v>0</v>
      </c>
    </row>
    <row r="2364">
      <c r="A2364">
        <f>IFERROR(__xludf.DUMMYFUNCTION("""COMPUTED_VALUE"""),174321.0)</f>
        <v>174321</v>
      </c>
      <c r="B2364" t="str">
        <f>IFERROR(__xludf.DUMMYFUNCTION("""COMPUTED_VALUE"""),"Lamb Domestic Rib Separable Lean And Fat Trimmed To 1/4 Inch Fat Choice Raw")</f>
        <v>Lamb Domestic Rib Separable Lean And Fat Trimmed To 1/4 Inch Fat Choice Raw</v>
      </c>
      <c r="C2364" t="str">
        <f>IFERROR(__xludf.DUMMYFUNCTION("""COMPUTED_VALUE"""),"Meats")</f>
        <v>Meats</v>
      </c>
      <c r="D2364">
        <f>IFERROR(__xludf.DUMMYFUNCTION("""COMPUTED_VALUE"""),372.0)</f>
        <v>372</v>
      </c>
      <c r="E2364">
        <f>IFERROR(__xludf.DUMMYFUNCTION("""COMPUTED_VALUE"""),34.39)</f>
        <v>34.39</v>
      </c>
      <c r="F2364">
        <f>IFERROR(__xludf.DUMMYFUNCTION("""COMPUTED_VALUE"""),14.52)</f>
        <v>14.52</v>
      </c>
      <c r="G2364">
        <f>IFERROR(__xludf.DUMMYFUNCTION("""COMPUTED_VALUE"""),0.0)</f>
        <v>0</v>
      </c>
    </row>
    <row r="2365">
      <c r="A2365">
        <f>IFERROR(__xludf.DUMMYFUNCTION("""COMPUTED_VALUE"""),174322.0)</f>
        <v>174322</v>
      </c>
      <c r="B2365" t="str">
        <f>IFERROR(__xludf.DUMMYFUNCTION("""COMPUTED_VALUE"""),"Lamb Domestic Rib Separable Lean And Fat Trimmed To 1/4 Inch Fat Choice Cooked Broiled")</f>
        <v>Lamb Domestic Rib Separable Lean And Fat Trimmed To 1/4 Inch Fat Choice Cooked Broiled</v>
      </c>
      <c r="C2365" t="str">
        <f>IFERROR(__xludf.DUMMYFUNCTION("""COMPUTED_VALUE"""),"Meats")</f>
        <v>Meats</v>
      </c>
      <c r="D2365">
        <f>IFERROR(__xludf.DUMMYFUNCTION("""COMPUTED_VALUE"""),361.0)</f>
        <v>361</v>
      </c>
      <c r="E2365">
        <f>IFERROR(__xludf.DUMMYFUNCTION("""COMPUTED_VALUE"""),29.59)</f>
        <v>29.59</v>
      </c>
      <c r="F2365">
        <f>IFERROR(__xludf.DUMMYFUNCTION("""COMPUTED_VALUE"""),22.13)</f>
        <v>22.13</v>
      </c>
      <c r="G2365">
        <f>IFERROR(__xludf.DUMMYFUNCTION("""COMPUTED_VALUE"""),0.0)</f>
        <v>0</v>
      </c>
    </row>
    <row r="2366">
      <c r="A2366">
        <f>IFERROR(__xludf.DUMMYFUNCTION("""COMPUTED_VALUE"""),174323.0)</f>
        <v>174323</v>
      </c>
      <c r="B2366" t="str">
        <f>IFERROR(__xludf.DUMMYFUNCTION("""COMPUTED_VALUE"""),"Lamb Ribs")</f>
        <v>Lamb Ribs</v>
      </c>
      <c r="C2366" t="str">
        <f>IFERROR(__xludf.DUMMYFUNCTION("""COMPUTED_VALUE"""),"Meats")</f>
        <v>Meats</v>
      </c>
      <c r="D2366">
        <f>IFERROR(__xludf.DUMMYFUNCTION("""COMPUTED_VALUE"""),359.0)</f>
        <v>359</v>
      </c>
      <c r="E2366">
        <f>IFERROR(__xludf.DUMMYFUNCTION("""COMPUTED_VALUE"""),29.82)</f>
        <v>29.82</v>
      </c>
      <c r="F2366">
        <f>IFERROR(__xludf.DUMMYFUNCTION("""COMPUTED_VALUE"""),21.12)</f>
        <v>21.12</v>
      </c>
      <c r="G2366">
        <f>IFERROR(__xludf.DUMMYFUNCTION("""COMPUTED_VALUE"""),0.0)</f>
        <v>0</v>
      </c>
    </row>
    <row r="2367">
      <c r="A2367">
        <f>IFERROR(__xludf.DUMMYFUNCTION("""COMPUTED_VALUE"""),174324.0)</f>
        <v>174324</v>
      </c>
      <c r="B2367" t="str">
        <f>IFERROR(__xludf.DUMMYFUNCTION("""COMPUTED_VALUE"""),"Lamb Domestic Shoulder Whole (Arm And Blade) Separable Lean And Fat Trimmed To 1/4 Inch Fat Choice Cooked Broiled")</f>
        <v>Lamb Domestic Shoulder Whole (Arm And Blade) Separable Lean And Fat Trimmed To 1/4 Inch Fat Choice Cooked Broiled</v>
      </c>
      <c r="C2367" t="str">
        <f>IFERROR(__xludf.DUMMYFUNCTION("""COMPUTED_VALUE"""),"Meats")</f>
        <v>Meats</v>
      </c>
      <c r="D2367">
        <f>IFERROR(__xludf.DUMMYFUNCTION("""COMPUTED_VALUE"""),278.0)</f>
        <v>278</v>
      </c>
      <c r="E2367">
        <f>IFERROR(__xludf.DUMMYFUNCTION("""COMPUTED_VALUE"""),19.26)</f>
        <v>19.26</v>
      </c>
      <c r="F2367">
        <f>IFERROR(__xludf.DUMMYFUNCTION("""COMPUTED_VALUE"""),24.42)</f>
        <v>24.42</v>
      </c>
      <c r="G2367">
        <f>IFERROR(__xludf.DUMMYFUNCTION("""COMPUTED_VALUE"""),0.0)</f>
        <v>0</v>
      </c>
    </row>
    <row r="2368">
      <c r="A2368">
        <f>IFERROR(__xludf.DUMMYFUNCTION("""COMPUTED_VALUE"""),174325.0)</f>
        <v>174325</v>
      </c>
      <c r="B2368" t="str">
        <f>IFERROR(__xludf.DUMMYFUNCTION("""COMPUTED_VALUE"""),"Lamb Domestic Shoulder Whole (Arm And Blade) Separable Lean And Fat Trimmed To 1/4 Inch Fat Choice Cooked Roasted")</f>
        <v>Lamb Domestic Shoulder Whole (Arm And Blade) Separable Lean And Fat Trimmed To 1/4 Inch Fat Choice Cooked Roasted</v>
      </c>
      <c r="C2368" t="str">
        <f>IFERROR(__xludf.DUMMYFUNCTION("""COMPUTED_VALUE"""),"Meats")</f>
        <v>Meats</v>
      </c>
      <c r="D2368">
        <f>IFERROR(__xludf.DUMMYFUNCTION("""COMPUTED_VALUE"""),276.0)</f>
        <v>276</v>
      </c>
      <c r="E2368">
        <f>IFERROR(__xludf.DUMMYFUNCTION("""COMPUTED_VALUE"""),19.97)</f>
        <v>19.97</v>
      </c>
      <c r="F2368">
        <f>IFERROR(__xludf.DUMMYFUNCTION("""COMPUTED_VALUE"""),22.51)</f>
        <v>22.51</v>
      </c>
      <c r="G2368">
        <f>IFERROR(__xludf.DUMMYFUNCTION("""COMPUTED_VALUE"""),0.0)</f>
        <v>0</v>
      </c>
    </row>
    <row r="2369">
      <c r="A2369">
        <f>IFERROR(__xludf.DUMMYFUNCTION("""COMPUTED_VALUE"""),174326.0)</f>
        <v>174326</v>
      </c>
      <c r="B2369" t="str">
        <f>IFERROR(__xludf.DUMMYFUNCTION("""COMPUTED_VALUE"""),"Lamb Domestic Shoulder Whole (Arm And Blade) Separable Lean Only Trimmed To 1/4 Inch Fat Choice Raw")</f>
        <v>Lamb Domestic Shoulder Whole (Arm And Blade) Separable Lean Only Trimmed To 1/4 Inch Fat Choice Raw</v>
      </c>
      <c r="C2369" t="str">
        <f>IFERROR(__xludf.DUMMYFUNCTION("""COMPUTED_VALUE"""),"Meats")</f>
        <v>Meats</v>
      </c>
      <c r="D2369">
        <f>IFERROR(__xludf.DUMMYFUNCTION("""COMPUTED_VALUE"""),144.0)</f>
        <v>144</v>
      </c>
      <c r="E2369">
        <f>IFERROR(__xludf.DUMMYFUNCTION("""COMPUTED_VALUE"""),6.76)</f>
        <v>6.76</v>
      </c>
      <c r="F2369">
        <f>IFERROR(__xludf.DUMMYFUNCTION("""COMPUTED_VALUE"""),19.55)</f>
        <v>19.55</v>
      </c>
      <c r="G2369">
        <f>IFERROR(__xludf.DUMMYFUNCTION("""COMPUTED_VALUE"""),0.0)</f>
        <v>0</v>
      </c>
    </row>
    <row r="2370">
      <c r="A2370">
        <f>IFERROR(__xludf.DUMMYFUNCTION("""COMPUTED_VALUE"""),174327.0)</f>
        <v>174327</v>
      </c>
      <c r="B2370" t="str">
        <f>IFERROR(__xludf.DUMMYFUNCTION("""COMPUTED_VALUE"""),"Lamb Domestic Shoulder Whole (Arm And Blade) Separable Lean Only Trimmed To 1/4 Inch Fat Choice Cooked Braised")</f>
        <v>Lamb Domestic Shoulder Whole (Arm And Blade) Separable Lean Only Trimmed To 1/4 Inch Fat Choice Cooked Braised</v>
      </c>
      <c r="C2370" t="str">
        <f>IFERROR(__xludf.DUMMYFUNCTION("""COMPUTED_VALUE"""),"Meats")</f>
        <v>Meats</v>
      </c>
      <c r="D2370">
        <f>IFERROR(__xludf.DUMMYFUNCTION("""COMPUTED_VALUE"""),283.0)</f>
        <v>283</v>
      </c>
      <c r="E2370">
        <f>IFERROR(__xludf.DUMMYFUNCTION("""COMPUTED_VALUE"""),15.89)</f>
        <v>15.89</v>
      </c>
      <c r="F2370">
        <f>IFERROR(__xludf.DUMMYFUNCTION("""COMPUTED_VALUE"""),32.81)</f>
        <v>32.81</v>
      </c>
      <c r="G2370">
        <f>IFERROR(__xludf.DUMMYFUNCTION("""COMPUTED_VALUE"""),0.0)</f>
        <v>0</v>
      </c>
    </row>
    <row r="2371">
      <c r="A2371">
        <f>IFERROR(__xludf.DUMMYFUNCTION("""COMPUTED_VALUE"""),174328.0)</f>
        <v>174328</v>
      </c>
      <c r="B2371" t="str">
        <f>IFERROR(__xludf.DUMMYFUNCTION("""COMPUTED_VALUE"""),"Lamb Domestic Shoulder Arm Separable Lean And Fat Trimmed To 1/4 Inch Fat Choice Cooked Broiled")</f>
        <v>Lamb Domestic Shoulder Arm Separable Lean And Fat Trimmed To 1/4 Inch Fat Choice Cooked Broiled</v>
      </c>
      <c r="C2371" t="str">
        <f>IFERROR(__xludf.DUMMYFUNCTION("""COMPUTED_VALUE"""),"Meats")</f>
        <v>Meats</v>
      </c>
      <c r="D2371">
        <f>IFERROR(__xludf.DUMMYFUNCTION("""COMPUTED_VALUE"""),281.0)</f>
        <v>281</v>
      </c>
      <c r="E2371">
        <f>IFERROR(__xludf.DUMMYFUNCTION("""COMPUTED_VALUE"""),19.55)</f>
        <v>19.55</v>
      </c>
      <c r="F2371">
        <f>IFERROR(__xludf.DUMMYFUNCTION("""COMPUTED_VALUE"""),24.44)</f>
        <v>24.44</v>
      </c>
      <c r="G2371">
        <f>IFERROR(__xludf.DUMMYFUNCTION("""COMPUTED_VALUE"""),0.0)</f>
        <v>0</v>
      </c>
    </row>
    <row r="2372">
      <c r="A2372">
        <f>IFERROR(__xludf.DUMMYFUNCTION("""COMPUTED_VALUE"""),174329.0)</f>
        <v>174329</v>
      </c>
      <c r="B2372" t="str">
        <f>IFERROR(__xludf.DUMMYFUNCTION("""COMPUTED_VALUE"""),"Lamb Domestic Shoulder Arm Separable Lean And Fat Trimmed To 1/4 Inch Fat Choice Cooked Roasted")</f>
        <v>Lamb Domestic Shoulder Arm Separable Lean And Fat Trimmed To 1/4 Inch Fat Choice Cooked Roasted</v>
      </c>
      <c r="C2372" t="str">
        <f>IFERROR(__xludf.DUMMYFUNCTION("""COMPUTED_VALUE"""),"Meats")</f>
        <v>Meats</v>
      </c>
      <c r="D2372">
        <f>IFERROR(__xludf.DUMMYFUNCTION("""COMPUTED_VALUE"""),279.0)</f>
        <v>279</v>
      </c>
      <c r="E2372">
        <f>IFERROR(__xludf.DUMMYFUNCTION("""COMPUTED_VALUE"""),20.24)</f>
        <v>20.24</v>
      </c>
      <c r="F2372">
        <f>IFERROR(__xludf.DUMMYFUNCTION("""COMPUTED_VALUE"""),22.53)</f>
        <v>22.53</v>
      </c>
      <c r="G2372">
        <f>IFERROR(__xludf.DUMMYFUNCTION("""COMPUTED_VALUE"""),0.0)</f>
        <v>0</v>
      </c>
    </row>
    <row r="2373">
      <c r="A2373">
        <f>IFERROR(__xludf.DUMMYFUNCTION("""COMPUTED_VALUE"""),174330.0)</f>
        <v>174330</v>
      </c>
      <c r="B2373" t="str">
        <f>IFERROR(__xludf.DUMMYFUNCTION("""COMPUTED_VALUE"""),"Lamb Domestic Shoulder Arm Separable Lean Only Trimmed To 1/4 Inch Fat Choice Raw")</f>
        <v>Lamb Domestic Shoulder Arm Separable Lean Only Trimmed To 1/4 Inch Fat Choice Raw</v>
      </c>
      <c r="C2373" t="str">
        <f>IFERROR(__xludf.DUMMYFUNCTION("""COMPUTED_VALUE"""),"Meats")</f>
        <v>Meats</v>
      </c>
      <c r="D2373">
        <f>IFERROR(__xludf.DUMMYFUNCTION("""COMPUTED_VALUE"""),132.0)</f>
        <v>132</v>
      </c>
      <c r="E2373">
        <f>IFERROR(__xludf.DUMMYFUNCTION("""COMPUTED_VALUE"""),5.2)</f>
        <v>5.2</v>
      </c>
      <c r="F2373">
        <f>IFERROR(__xludf.DUMMYFUNCTION("""COMPUTED_VALUE"""),19.99)</f>
        <v>19.99</v>
      </c>
      <c r="G2373">
        <f>IFERROR(__xludf.DUMMYFUNCTION("""COMPUTED_VALUE"""),0.0)</f>
        <v>0</v>
      </c>
    </row>
    <row r="2374">
      <c r="A2374">
        <f>IFERROR(__xludf.DUMMYFUNCTION("""COMPUTED_VALUE"""),174331.0)</f>
        <v>174331</v>
      </c>
      <c r="B2374" t="str">
        <f>IFERROR(__xludf.DUMMYFUNCTION("""COMPUTED_VALUE"""),"Lamb Shoulder Roast (Cooked)")</f>
        <v>Lamb Shoulder Roast (Cooked)</v>
      </c>
      <c r="C2374" t="str">
        <f>IFERROR(__xludf.DUMMYFUNCTION("""COMPUTED_VALUE"""),"Meats")</f>
        <v>Meats</v>
      </c>
      <c r="D2374">
        <f>IFERROR(__xludf.DUMMYFUNCTION("""COMPUTED_VALUE"""),279.0)</f>
        <v>279</v>
      </c>
      <c r="E2374">
        <f>IFERROR(__xludf.DUMMYFUNCTION("""COMPUTED_VALUE"""),14.08)</f>
        <v>14.08</v>
      </c>
      <c r="F2374">
        <f>IFERROR(__xludf.DUMMYFUNCTION("""COMPUTED_VALUE"""),35.54)</f>
        <v>35.54</v>
      </c>
      <c r="G2374">
        <f>IFERROR(__xludf.DUMMYFUNCTION("""COMPUTED_VALUE"""),0.0)</f>
        <v>0</v>
      </c>
    </row>
    <row r="2375">
      <c r="A2375">
        <f>IFERROR(__xludf.DUMMYFUNCTION("""COMPUTED_VALUE"""),174332.0)</f>
        <v>174332</v>
      </c>
      <c r="B2375" t="str">
        <f>IFERROR(__xludf.DUMMYFUNCTION("""COMPUTED_VALUE"""),"Lamb Domestic Shoulder Blade Separable Lean And Fat Trimmed To 1/4 Inch Fat Choice Cooked Broiled")</f>
        <v>Lamb Domestic Shoulder Blade Separable Lean And Fat Trimmed To 1/4 Inch Fat Choice Cooked Broiled</v>
      </c>
      <c r="C2375" t="str">
        <f>IFERROR(__xludf.DUMMYFUNCTION("""COMPUTED_VALUE"""),"Meats")</f>
        <v>Meats</v>
      </c>
      <c r="D2375">
        <f>IFERROR(__xludf.DUMMYFUNCTION("""COMPUTED_VALUE"""),278.0)</f>
        <v>278</v>
      </c>
      <c r="E2375">
        <f>IFERROR(__xludf.DUMMYFUNCTION("""COMPUTED_VALUE"""),19.94)</f>
        <v>19.94</v>
      </c>
      <c r="F2375">
        <f>IFERROR(__xludf.DUMMYFUNCTION("""COMPUTED_VALUE"""),23.08)</f>
        <v>23.08</v>
      </c>
      <c r="G2375">
        <f>IFERROR(__xludf.DUMMYFUNCTION("""COMPUTED_VALUE"""),0.0)</f>
        <v>0</v>
      </c>
    </row>
    <row r="2376">
      <c r="A2376">
        <f>IFERROR(__xludf.DUMMYFUNCTION("""COMPUTED_VALUE"""),174333.0)</f>
        <v>174333</v>
      </c>
      <c r="B2376" t="str">
        <f>IFERROR(__xludf.DUMMYFUNCTION("""COMPUTED_VALUE"""),"Lamb Domestic Shoulder Blade Separable Lean And Fat Trimmed To 1/4 Inch Fat Choice Cooked Roasted")</f>
        <v>Lamb Domestic Shoulder Blade Separable Lean And Fat Trimmed To 1/4 Inch Fat Choice Cooked Roasted</v>
      </c>
      <c r="C2376" t="str">
        <f>IFERROR(__xludf.DUMMYFUNCTION("""COMPUTED_VALUE"""),"Meats")</f>
        <v>Meats</v>
      </c>
      <c r="D2376">
        <f>IFERROR(__xludf.DUMMYFUNCTION("""COMPUTED_VALUE"""),281.0)</f>
        <v>281</v>
      </c>
      <c r="E2376">
        <f>IFERROR(__xludf.DUMMYFUNCTION("""COMPUTED_VALUE"""),20.61)</f>
        <v>20.61</v>
      </c>
      <c r="F2376">
        <f>IFERROR(__xludf.DUMMYFUNCTION("""COMPUTED_VALUE"""),22.25)</f>
        <v>22.25</v>
      </c>
      <c r="G2376">
        <f>IFERROR(__xludf.DUMMYFUNCTION("""COMPUTED_VALUE"""),0.0)</f>
        <v>0</v>
      </c>
    </row>
    <row r="2377">
      <c r="A2377">
        <f>IFERROR(__xludf.DUMMYFUNCTION("""COMPUTED_VALUE"""),174334.0)</f>
        <v>174334</v>
      </c>
      <c r="B2377" t="str">
        <f>IFERROR(__xludf.DUMMYFUNCTION("""COMPUTED_VALUE"""),"Lamb Domestic Shoulder Blade Separable Lean Only Trimmed To 1/4 Inch Fat Choice Raw")</f>
        <v>Lamb Domestic Shoulder Blade Separable Lean Only Trimmed To 1/4 Inch Fat Choice Raw</v>
      </c>
      <c r="C2377" t="str">
        <f>IFERROR(__xludf.DUMMYFUNCTION("""COMPUTED_VALUE"""),"Meats")</f>
        <v>Meats</v>
      </c>
      <c r="D2377">
        <f>IFERROR(__xludf.DUMMYFUNCTION("""COMPUTED_VALUE"""),151.0)</f>
        <v>151</v>
      </c>
      <c r="E2377">
        <f>IFERROR(__xludf.DUMMYFUNCTION("""COMPUTED_VALUE"""),7.63)</f>
        <v>7.63</v>
      </c>
      <c r="F2377">
        <f>IFERROR(__xludf.DUMMYFUNCTION("""COMPUTED_VALUE"""),19.29)</f>
        <v>19.29</v>
      </c>
      <c r="G2377">
        <f>IFERROR(__xludf.DUMMYFUNCTION("""COMPUTED_VALUE"""),0.0)</f>
        <v>0</v>
      </c>
    </row>
    <row r="2378">
      <c r="A2378">
        <f>IFERROR(__xludf.DUMMYFUNCTION("""COMPUTED_VALUE"""),174335.0)</f>
        <v>174335</v>
      </c>
      <c r="B2378" t="str">
        <f>IFERROR(__xludf.DUMMYFUNCTION("""COMPUTED_VALUE"""),"Lamb Domestic Shoulder Blade Separable Lean Only Trimmed To 1/4 Inch Fat Choice Cooked Braised")</f>
        <v>Lamb Domestic Shoulder Blade Separable Lean Only Trimmed To 1/4 Inch Fat Choice Cooked Braised</v>
      </c>
      <c r="C2378" t="str">
        <f>IFERROR(__xludf.DUMMYFUNCTION("""COMPUTED_VALUE"""),"Meats")</f>
        <v>Meats</v>
      </c>
      <c r="D2378">
        <f>IFERROR(__xludf.DUMMYFUNCTION("""COMPUTED_VALUE"""),288.0)</f>
        <v>288</v>
      </c>
      <c r="E2378">
        <f>IFERROR(__xludf.DUMMYFUNCTION("""COMPUTED_VALUE"""),16.64)</f>
        <v>16.64</v>
      </c>
      <c r="F2378">
        <f>IFERROR(__xludf.DUMMYFUNCTION("""COMPUTED_VALUE"""),32.35)</f>
        <v>32.35</v>
      </c>
      <c r="G2378">
        <f>IFERROR(__xludf.DUMMYFUNCTION("""COMPUTED_VALUE"""),0.0)</f>
        <v>0</v>
      </c>
    </row>
    <row r="2379">
      <c r="A2379">
        <f>IFERROR(__xludf.DUMMYFUNCTION("""COMPUTED_VALUE"""),174336.0)</f>
        <v>174336</v>
      </c>
      <c r="B2379" t="str">
        <f>IFERROR(__xludf.DUMMYFUNCTION("""COMPUTED_VALUE"""),"Lamb New Zealand Imported Frozen Composite Of Trimmed Retail Cuts Separable Lean And Fat Raw")</f>
        <v>Lamb New Zealand Imported Frozen Composite Of Trimmed Retail Cuts Separable Lean And Fat Raw</v>
      </c>
      <c r="C2379" t="str">
        <f>IFERROR(__xludf.DUMMYFUNCTION("""COMPUTED_VALUE"""),"Meats")</f>
        <v>Meats</v>
      </c>
      <c r="D2379">
        <f>IFERROR(__xludf.DUMMYFUNCTION("""COMPUTED_VALUE"""),277.0)</f>
        <v>277</v>
      </c>
      <c r="E2379">
        <f>IFERROR(__xludf.DUMMYFUNCTION("""COMPUTED_VALUE"""),22.74)</f>
        <v>22.74</v>
      </c>
      <c r="F2379">
        <f>IFERROR(__xludf.DUMMYFUNCTION("""COMPUTED_VALUE"""),16.74)</f>
        <v>16.74</v>
      </c>
      <c r="G2379">
        <f>IFERROR(__xludf.DUMMYFUNCTION("""COMPUTED_VALUE"""),0.0)</f>
        <v>0</v>
      </c>
    </row>
    <row r="2380">
      <c r="A2380">
        <f>IFERROR(__xludf.DUMMYFUNCTION("""COMPUTED_VALUE"""),174337.0)</f>
        <v>174337</v>
      </c>
      <c r="B2380" t="str">
        <f>IFERROR(__xludf.DUMMYFUNCTION("""COMPUTED_VALUE"""),"Lamb New Zealand Imported Frozen Composite Of Trimmed Retail Cuts Separable Lean And Fat Cooked")</f>
        <v>Lamb New Zealand Imported Frozen Composite Of Trimmed Retail Cuts Separable Lean And Fat Cooked</v>
      </c>
      <c r="C2380" t="str">
        <f>IFERROR(__xludf.DUMMYFUNCTION("""COMPUTED_VALUE"""),"Meats")</f>
        <v>Meats</v>
      </c>
      <c r="D2380">
        <f>IFERROR(__xludf.DUMMYFUNCTION("""COMPUTED_VALUE"""),305.0)</f>
        <v>305</v>
      </c>
      <c r="E2380">
        <f>IFERROR(__xludf.DUMMYFUNCTION("""COMPUTED_VALUE"""),22.26)</f>
        <v>22.26</v>
      </c>
      <c r="F2380">
        <f>IFERROR(__xludf.DUMMYFUNCTION("""COMPUTED_VALUE"""),24.42)</f>
        <v>24.42</v>
      </c>
      <c r="G2380">
        <f>IFERROR(__xludf.DUMMYFUNCTION("""COMPUTED_VALUE"""),0.0)</f>
        <v>0</v>
      </c>
    </row>
    <row r="2381">
      <c r="A2381">
        <f>IFERROR(__xludf.DUMMYFUNCTION("""COMPUTED_VALUE"""),174338.0)</f>
        <v>174338</v>
      </c>
      <c r="B2381" t="str">
        <f>IFERROR(__xludf.DUMMYFUNCTION("""COMPUTED_VALUE"""),"Lamb New Zealand Imported Frozen Composite Of Trimmed Retail Cuts Separable Lean Only Raw")</f>
        <v>Lamb New Zealand Imported Frozen Composite Of Trimmed Retail Cuts Separable Lean Only Raw</v>
      </c>
      <c r="C2381" t="str">
        <f>IFERROR(__xludf.DUMMYFUNCTION("""COMPUTED_VALUE"""),"Meats")</f>
        <v>Meats</v>
      </c>
      <c r="D2381">
        <f>IFERROR(__xludf.DUMMYFUNCTION("""COMPUTED_VALUE"""),128.0)</f>
        <v>128</v>
      </c>
      <c r="E2381">
        <f>IFERROR(__xludf.DUMMYFUNCTION("""COMPUTED_VALUE"""),4.41)</f>
        <v>4.41</v>
      </c>
      <c r="F2381">
        <f>IFERROR(__xludf.DUMMYFUNCTION("""COMPUTED_VALUE"""),20.75)</f>
        <v>20.75</v>
      </c>
      <c r="G2381">
        <f>IFERROR(__xludf.DUMMYFUNCTION("""COMPUTED_VALUE"""),0.0)</f>
        <v>0</v>
      </c>
    </row>
    <row r="2382">
      <c r="A2382">
        <f>IFERROR(__xludf.DUMMYFUNCTION("""COMPUTED_VALUE"""),174339.0)</f>
        <v>174339</v>
      </c>
      <c r="B2382" t="str">
        <f>IFERROR(__xludf.DUMMYFUNCTION("""COMPUTED_VALUE"""),"Lamb New Zealand Imported Frozen Composite Of Trimmed Retail Cuts Separable Lean Only Cooked")</f>
        <v>Lamb New Zealand Imported Frozen Composite Of Trimmed Retail Cuts Separable Lean Only Cooked</v>
      </c>
      <c r="C2382" t="str">
        <f>IFERROR(__xludf.DUMMYFUNCTION("""COMPUTED_VALUE"""),"Meats")</f>
        <v>Meats</v>
      </c>
      <c r="D2382">
        <f>IFERROR(__xludf.DUMMYFUNCTION("""COMPUTED_VALUE"""),206.0)</f>
        <v>206</v>
      </c>
      <c r="E2382">
        <f>IFERROR(__xludf.DUMMYFUNCTION("""COMPUTED_VALUE"""),8.86)</f>
        <v>8.86</v>
      </c>
      <c r="F2382">
        <f>IFERROR(__xludf.DUMMYFUNCTION("""COMPUTED_VALUE"""),29.59)</f>
        <v>29.59</v>
      </c>
      <c r="G2382">
        <f>IFERROR(__xludf.DUMMYFUNCTION("""COMPUTED_VALUE"""),0.0)</f>
        <v>0</v>
      </c>
    </row>
    <row r="2383">
      <c r="A2383">
        <f>IFERROR(__xludf.DUMMYFUNCTION("""COMPUTED_VALUE"""),174340.0)</f>
        <v>174340</v>
      </c>
      <c r="B2383" t="str">
        <f>IFERROR(__xludf.DUMMYFUNCTION("""COMPUTED_VALUE"""),"Lamb New Zealand Imported Fore-Shank Separable Lean Only Raw")</f>
        <v>Lamb New Zealand Imported Fore-Shank Separable Lean Only Raw</v>
      </c>
      <c r="C2383" t="str">
        <f>IFERROR(__xludf.DUMMYFUNCTION("""COMPUTED_VALUE"""),"Meats")</f>
        <v>Meats</v>
      </c>
      <c r="D2383">
        <f>IFERROR(__xludf.DUMMYFUNCTION("""COMPUTED_VALUE"""),122.0)</f>
        <v>122</v>
      </c>
      <c r="E2383">
        <f>IFERROR(__xludf.DUMMYFUNCTION("""COMPUTED_VALUE"""),3.77)</f>
        <v>3.77</v>
      </c>
      <c r="F2383">
        <f>IFERROR(__xludf.DUMMYFUNCTION("""COMPUTED_VALUE"""),22.05)</f>
        <v>22.05</v>
      </c>
      <c r="G2383">
        <f>IFERROR(__xludf.DUMMYFUNCTION("""COMPUTED_VALUE"""),0.0)</f>
        <v>0</v>
      </c>
    </row>
    <row r="2384">
      <c r="A2384">
        <f>IFERROR(__xludf.DUMMYFUNCTION("""COMPUTED_VALUE"""),174341.0)</f>
        <v>174341</v>
      </c>
      <c r="B2384" t="str">
        <f>IFERROR(__xludf.DUMMYFUNCTION("""COMPUTED_VALUE"""),"Lamb New Zealand Imported Fore-Shank Separable Lean Only Cooked Braised")</f>
        <v>Lamb New Zealand Imported Fore-Shank Separable Lean Only Cooked Braised</v>
      </c>
      <c r="C2384" t="str">
        <f>IFERROR(__xludf.DUMMYFUNCTION("""COMPUTED_VALUE"""),"Meats")</f>
        <v>Meats</v>
      </c>
      <c r="D2384">
        <f>IFERROR(__xludf.DUMMYFUNCTION("""COMPUTED_VALUE"""),209.0)</f>
        <v>209</v>
      </c>
      <c r="E2384">
        <f>IFERROR(__xludf.DUMMYFUNCTION("""COMPUTED_VALUE"""),8.4)</f>
        <v>8.4</v>
      </c>
      <c r="F2384">
        <f>IFERROR(__xludf.DUMMYFUNCTION("""COMPUTED_VALUE"""),33.31)</f>
        <v>33.31</v>
      </c>
      <c r="G2384">
        <f>IFERROR(__xludf.DUMMYFUNCTION("""COMPUTED_VALUE"""),0.0)</f>
        <v>0</v>
      </c>
    </row>
    <row r="2385">
      <c r="A2385">
        <f>IFERROR(__xludf.DUMMYFUNCTION("""COMPUTED_VALUE"""),174342.0)</f>
        <v>174342</v>
      </c>
      <c r="B2385" t="str">
        <f>IFERROR(__xludf.DUMMYFUNCTION("""COMPUTED_VALUE"""),"Lamb New Zealand Imported Leg Chop/steak Bone-In Separable Lean And Fat Raw")</f>
        <v>Lamb New Zealand Imported Leg Chop/steak Bone-In Separable Lean And Fat Raw</v>
      </c>
      <c r="C2385" t="str">
        <f>IFERROR(__xludf.DUMMYFUNCTION("""COMPUTED_VALUE"""),"Meats")</f>
        <v>Meats</v>
      </c>
      <c r="D2385">
        <f>IFERROR(__xludf.DUMMYFUNCTION("""COMPUTED_VALUE"""),206.0)</f>
        <v>206</v>
      </c>
      <c r="E2385">
        <f>IFERROR(__xludf.DUMMYFUNCTION("""COMPUTED_VALUE"""),14.52)</f>
        <v>14.52</v>
      </c>
      <c r="F2385">
        <f>IFERROR(__xludf.DUMMYFUNCTION("""COMPUTED_VALUE"""),18.64)</f>
        <v>18.64</v>
      </c>
      <c r="G2385">
        <f>IFERROR(__xludf.DUMMYFUNCTION("""COMPUTED_VALUE"""),0.13)</f>
        <v>0.13</v>
      </c>
    </row>
    <row r="2386">
      <c r="A2386">
        <f>IFERROR(__xludf.DUMMYFUNCTION("""COMPUTED_VALUE"""),174343.0)</f>
        <v>174343</v>
      </c>
      <c r="B2386" t="str">
        <f>IFERROR(__xludf.DUMMYFUNCTION("""COMPUTED_VALUE"""),"Lamb New Zealand Imported Frozen Leg Whole (Shank And Sirloin) Separable Lean And Fat Cooked Roasted")</f>
        <v>Lamb New Zealand Imported Frozen Leg Whole (Shank And Sirloin) Separable Lean And Fat Cooked Roasted</v>
      </c>
      <c r="C2386" t="str">
        <f>IFERROR(__xludf.DUMMYFUNCTION("""COMPUTED_VALUE"""),"Meats")</f>
        <v>Meats</v>
      </c>
      <c r="D2386">
        <f>IFERROR(__xludf.DUMMYFUNCTION("""COMPUTED_VALUE"""),246.0)</f>
        <v>246</v>
      </c>
      <c r="E2386">
        <f>IFERROR(__xludf.DUMMYFUNCTION("""COMPUTED_VALUE"""),15.56)</f>
        <v>15.56</v>
      </c>
      <c r="F2386">
        <f>IFERROR(__xludf.DUMMYFUNCTION("""COMPUTED_VALUE"""),24.81)</f>
        <v>24.81</v>
      </c>
      <c r="G2386">
        <f>IFERROR(__xludf.DUMMYFUNCTION("""COMPUTED_VALUE"""),0.0)</f>
        <v>0</v>
      </c>
    </row>
    <row r="2387">
      <c r="A2387">
        <f>IFERROR(__xludf.DUMMYFUNCTION("""COMPUTED_VALUE"""),174344.0)</f>
        <v>174344</v>
      </c>
      <c r="B2387" t="str">
        <f>IFERROR(__xludf.DUMMYFUNCTION("""COMPUTED_VALUE"""),"Game Meat Moose Raw")</f>
        <v>Game Meat Moose Raw</v>
      </c>
      <c r="C2387" t="str">
        <f>IFERROR(__xludf.DUMMYFUNCTION("""COMPUTED_VALUE"""),"Meats")</f>
        <v>Meats</v>
      </c>
      <c r="D2387">
        <f>IFERROR(__xludf.DUMMYFUNCTION("""COMPUTED_VALUE"""),102.0)</f>
        <v>102</v>
      </c>
      <c r="E2387">
        <f>IFERROR(__xludf.DUMMYFUNCTION("""COMPUTED_VALUE"""),0.74)</f>
        <v>0.74</v>
      </c>
      <c r="F2387">
        <f>IFERROR(__xludf.DUMMYFUNCTION("""COMPUTED_VALUE"""),22.24)</f>
        <v>22.24</v>
      </c>
      <c r="G2387">
        <f>IFERROR(__xludf.DUMMYFUNCTION("""COMPUTED_VALUE"""),0.0)</f>
        <v>0</v>
      </c>
    </row>
    <row r="2388">
      <c r="A2388">
        <f>IFERROR(__xludf.DUMMYFUNCTION("""COMPUTED_VALUE"""),174345.0)</f>
        <v>174345</v>
      </c>
      <c r="B2388" t="str">
        <f>IFERROR(__xludf.DUMMYFUNCTION("""COMPUTED_VALUE"""),"Game Meat Moose Cooked Roasted")</f>
        <v>Game Meat Moose Cooked Roasted</v>
      </c>
      <c r="C2388" t="str">
        <f>IFERROR(__xludf.DUMMYFUNCTION("""COMPUTED_VALUE"""),"Meats")</f>
        <v>Meats</v>
      </c>
      <c r="D2388">
        <f>IFERROR(__xludf.DUMMYFUNCTION("""COMPUTED_VALUE"""),134.0)</f>
        <v>134</v>
      </c>
      <c r="E2388">
        <f>IFERROR(__xludf.DUMMYFUNCTION("""COMPUTED_VALUE"""),0.97)</f>
        <v>0.97</v>
      </c>
      <c r="F2388">
        <f>IFERROR(__xludf.DUMMYFUNCTION("""COMPUTED_VALUE"""),29.27)</f>
        <v>29.27</v>
      </c>
      <c r="G2388">
        <f>IFERROR(__xludf.DUMMYFUNCTION("""COMPUTED_VALUE"""),0.0)</f>
        <v>0</v>
      </c>
    </row>
    <row r="2389">
      <c r="A2389">
        <f>IFERROR(__xludf.DUMMYFUNCTION("""COMPUTED_VALUE"""),174346.0)</f>
        <v>174346</v>
      </c>
      <c r="B2389" t="str">
        <f>IFERROR(__xludf.DUMMYFUNCTION("""COMPUTED_VALUE"""),"Game Meat Rabbit Domesticated Composite Of Cuts Cooked Stewed")</f>
        <v>Game Meat Rabbit Domesticated Composite Of Cuts Cooked Stewed</v>
      </c>
      <c r="C2389" t="str">
        <f>IFERROR(__xludf.DUMMYFUNCTION("""COMPUTED_VALUE"""),"Meats")</f>
        <v>Meats</v>
      </c>
      <c r="D2389">
        <f>IFERROR(__xludf.DUMMYFUNCTION("""COMPUTED_VALUE"""),206.0)</f>
        <v>206</v>
      </c>
      <c r="E2389">
        <f>IFERROR(__xludf.DUMMYFUNCTION("""COMPUTED_VALUE"""),8.41)</f>
        <v>8.41</v>
      </c>
      <c r="F2389">
        <f>IFERROR(__xludf.DUMMYFUNCTION("""COMPUTED_VALUE"""),30.38)</f>
        <v>30.38</v>
      </c>
      <c r="G2389">
        <f>IFERROR(__xludf.DUMMYFUNCTION("""COMPUTED_VALUE"""),0.0)</f>
        <v>0</v>
      </c>
    </row>
    <row r="2390">
      <c r="A2390">
        <f>IFERROR(__xludf.DUMMYFUNCTION("""COMPUTED_VALUE"""),174347.0)</f>
        <v>174347</v>
      </c>
      <c r="B2390" t="str">
        <f>IFERROR(__xludf.DUMMYFUNCTION("""COMPUTED_VALUE"""),"Game Meat Rabbit Wild Raw")</f>
        <v>Game Meat Rabbit Wild Raw</v>
      </c>
      <c r="C2390" t="str">
        <f>IFERROR(__xludf.DUMMYFUNCTION("""COMPUTED_VALUE"""),"Meats")</f>
        <v>Meats</v>
      </c>
      <c r="D2390">
        <f>IFERROR(__xludf.DUMMYFUNCTION("""COMPUTED_VALUE"""),114.0)</f>
        <v>114</v>
      </c>
      <c r="E2390">
        <f>IFERROR(__xludf.DUMMYFUNCTION("""COMPUTED_VALUE"""),2.32)</f>
        <v>2.32</v>
      </c>
      <c r="F2390">
        <f>IFERROR(__xludf.DUMMYFUNCTION("""COMPUTED_VALUE"""),21.79)</f>
        <v>21.79</v>
      </c>
      <c r="G2390">
        <f>IFERROR(__xludf.DUMMYFUNCTION("""COMPUTED_VALUE"""),0.0)</f>
        <v>0</v>
      </c>
    </row>
    <row r="2391">
      <c r="A2391">
        <f>IFERROR(__xludf.DUMMYFUNCTION("""COMPUTED_VALUE"""),174348.0)</f>
        <v>174348</v>
      </c>
      <c r="B2391" t="str">
        <f>IFERROR(__xludf.DUMMYFUNCTION("""COMPUTED_VALUE"""),"Game Meat Rabbit Wild Cooked Stewed")</f>
        <v>Game Meat Rabbit Wild Cooked Stewed</v>
      </c>
      <c r="C2391" t="str">
        <f>IFERROR(__xludf.DUMMYFUNCTION("""COMPUTED_VALUE"""),"Meats")</f>
        <v>Meats</v>
      </c>
      <c r="D2391">
        <f>IFERROR(__xludf.DUMMYFUNCTION("""COMPUTED_VALUE"""),173.0)</f>
        <v>173</v>
      </c>
      <c r="E2391">
        <f>IFERROR(__xludf.DUMMYFUNCTION("""COMPUTED_VALUE"""),3.51)</f>
        <v>3.51</v>
      </c>
      <c r="F2391">
        <f>IFERROR(__xludf.DUMMYFUNCTION("""COMPUTED_VALUE"""),33.02)</f>
        <v>33.02</v>
      </c>
      <c r="G2391">
        <f>IFERROR(__xludf.DUMMYFUNCTION("""COMPUTED_VALUE"""),0.0)</f>
        <v>0</v>
      </c>
    </row>
    <row r="2392">
      <c r="A2392">
        <f>IFERROR(__xludf.DUMMYFUNCTION("""COMPUTED_VALUE"""),174349.0)</f>
        <v>174349</v>
      </c>
      <c r="B2392" t="str">
        <f>IFERROR(__xludf.DUMMYFUNCTION("""COMPUTED_VALUE"""),"Game Meat Raccoon Cooked Roasted")</f>
        <v>Game Meat Raccoon Cooked Roasted</v>
      </c>
      <c r="C2392" t="str">
        <f>IFERROR(__xludf.DUMMYFUNCTION("""COMPUTED_VALUE"""),"Meats")</f>
        <v>Meats</v>
      </c>
      <c r="D2392">
        <f>IFERROR(__xludf.DUMMYFUNCTION("""COMPUTED_VALUE"""),255.0)</f>
        <v>255</v>
      </c>
      <c r="E2392">
        <f>IFERROR(__xludf.DUMMYFUNCTION("""COMPUTED_VALUE"""),14.5)</f>
        <v>14.5</v>
      </c>
      <c r="F2392">
        <f>IFERROR(__xludf.DUMMYFUNCTION("""COMPUTED_VALUE"""),29.2)</f>
        <v>29.2</v>
      </c>
      <c r="G2392">
        <f>IFERROR(__xludf.DUMMYFUNCTION("""COMPUTED_VALUE"""),0.0)</f>
        <v>0</v>
      </c>
    </row>
    <row r="2393">
      <c r="A2393">
        <f>IFERROR(__xludf.DUMMYFUNCTION("""COMPUTED_VALUE"""),174350.0)</f>
        <v>174350</v>
      </c>
      <c r="B2393" t="str">
        <f>IFERROR(__xludf.DUMMYFUNCTION("""COMPUTED_VALUE"""),"Lamb Variety Meats And By-Products Brain Cooked Pan-Fried")</f>
        <v>Lamb Variety Meats And By-Products Brain Cooked Pan-Fried</v>
      </c>
      <c r="C2393" t="str">
        <f>IFERROR(__xludf.DUMMYFUNCTION("""COMPUTED_VALUE"""),"Meats")</f>
        <v>Meats</v>
      </c>
      <c r="D2393">
        <f>IFERROR(__xludf.DUMMYFUNCTION("""COMPUTED_VALUE"""),273.0)</f>
        <v>273</v>
      </c>
      <c r="E2393">
        <f>IFERROR(__xludf.DUMMYFUNCTION("""COMPUTED_VALUE"""),22.19)</f>
        <v>22.19</v>
      </c>
      <c r="F2393">
        <f>IFERROR(__xludf.DUMMYFUNCTION("""COMPUTED_VALUE"""),16.97)</f>
        <v>16.97</v>
      </c>
      <c r="G2393">
        <f>IFERROR(__xludf.DUMMYFUNCTION("""COMPUTED_VALUE"""),0.0)</f>
        <v>0</v>
      </c>
    </row>
    <row r="2394">
      <c r="A2394">
        <f>IFERROR(__xludf.DUMMYFUNCTION("""COMPUTED_VALUE"""),174351.0)</f>
        <v>174351</v>
      </c>
      <c r="B2394" t="str">
        <f>IFERROR(__xludf.DUMMYFUNCTION("""COMPUTED_VALUE"""),"Veal Variety Meats And By-Products Brain Raw")</f>
        <v>Veal Variety Meats And By-Products Brain Raw</v>
      </c>
      <c r="C2394" t="str">
        <f>IFERROR(__xludf.DUMMYFUNCTION("""COMPUTED_VALUE"""),"Meats")</f>
        <v>Meats</v>
      </c>
      <c r="D2394">
        <f>IFERROR(__xludf.DUMMYFUNCTION("""COMPUTED_VALUE"""),118.0)</f>
        <v>118</v>
      </c>
      <c r="E2394">
        <f>IFERROR(__xludf.DUMMYFUNCTION("""COMPUTED_VALUE"""),8.21)</f>
        <v>8.21</v>
      </c>
      <c r="F2394">
        <f>IFERROR(__xludf.DUMMYFUNCTION("""COMPUTED_VALUE"""),10.32)</f>
        <v>10.32</v>
      </c>
      <c r="G2394">
        <f>IFERROR(__xludf.DUMMYFUNCTION("""COMPUTED_VALUE"""),0.0)</f>
        <v>0</v>
      </c>
    </row>
    <row r="2395">
      <c r="A2395">
        <f>IFERROR(__xludf.DUMMYFUNCTION("""COMPUTED_VALUE"""),174352.0)</f>
        <v>174352</v>
      </c>
      <c r="B2395" t="str">
        <f>IFERROR(__xludf.DUMMYFUNCTION("""COMPUTED_VALUE"""),"Veal Variety Meats And By-Products Brain Cooked Braised")</f>
        <v>Veal Variety Meats And By-Products Brain Cooked Braised</v>
      </c>
      <c r="C2395" t="str">
        <f>IFERROR(__xludf.DUMMYFUNCTION("""COMPUTED_VALUE"""),"Meats")</f>
        <v>Meats</v>
      </c>
      <c r="D2395">
        <f>IFERROR(__xludf.DUMMYFUNCTION("""COMPUTED_VALUE"""),136.0)</f>
        <v>136</v>
      </c>
      <c r="E2395">
        <f>IFERROR(__xludf.DUMMYFUNCTION("""COMPUTED_VALUE"""),9.63)</f>
        <v>9.63</v>
      </c>
      <c r="F2395">
        <f>IFERROR(__xludf.DUMMYFUNCTION("""COMPUTED_VALUE"""),11.48)</f>
        <v>11.48</v>
      </c>
      <c r="G2395">
        <f>IFERROR(__xludf.DUMMYFUNCTION("""COMPUTED_VALUE"""),0.0)</f>
        <v>0</v>
      </c>
    </row>
    <row r="2396">
      <c r="A2396">
        <f>IFERROR(__xludf.DUMMYFUNCTION("""COMPUTED_VALUE"""),174353.0)</f>
        <v>174353</v>
      </c>
      <c r="B2396" t="str">
        <f>IFERROR(__xludf.DUMMYFUNCTION("""COMPUTED_VALUE"""),"Veal Variety Meats And By-Products Brain Cooked Pan-Fried")</f>
        <v>Veal Variety Meats And By-Products Brain Cooked Pan-Fried</v>
      </c>
      <c r="C2396" t="str">
        <f>IFERROR(__xludf.DUMMYFUNCTION("""COMPUTED_VALUE"""),"Meats")</f>
        <v>Meats</v>
      </c>
      <c r="D2396">
        <f>IFERROR(__xludf.DUMMYFUNCTION("""COMPUTED_VALUE"""),213.0)</f>
        <v>213</v>
      </c>
      <c r="E2396">
        <f>IFERROR(__xludf.DUMMYFUNCTION("""COMPUTED_VALUE"""),16.75)</f>
        <v>16.75</v>
      </c>
      <c r="F2396">
        <f>IFERROR(__xludf.DUMMYFUNCTION("""COMPUTED_VALUE"""),14.48)</f>
        <v>14.48</v>
      </c>
      <c r="G2396">
        <f>IFERROR(__xludf.DUMMYFUNCTION("""COMPUTED_VALUE"""),0.0)</f>
        <v>0</v>
      </c>
    </row>
    <row r="2397">
      <c r="A2397">
        <f>IFERROR(__xludf.DUMMYFUNCTION("""COMPUTED_VALUE"""),174354.0)</f>
        <v>174354</v>
      </c>
      <c r="B2397" t="str">
        <f>IFERROR(__xludf.DUMMYFUNCTION("""COMPUTED_VALUE"""),"Lamb Variety Meats And By-Products Kidneys Raw")</f>
        <v>Lamb Variety Meats And By-Products Kidneys Raw</v>
      </c>
      <c r="C2397" t="str">
        <f>IFERROR(__xludf.DUMMYFUNCTION("""COMPUTED_VALUE"""),"Meats")</f>
        <v>Meats</v>
      </c>
      <c r="D2397">
        <f>IFERROR(__xludf.DUMMYFUNCTION("""COMPUTED_VALUE"""),97.0)</f>
        <v>97</v>
      </c>
      <c r="E2397">
        <f>IFERROR(__xludf.DUMMYFUNCTION("""COMPUTED_VALUE"""),2.95)</f>
        <v>2.95</v>
      </c>
      <c r="F2397">
        <f>IFERROR(__xludf.DUMMYFUNCTION("""COMPUTED_VALUE"""),15.74)</f>
        <v>15.74</v>
      </c>
      <c r="G2397">
        <f>IFERROR(__xludf.DUMMYFUNCTION("""COMPUTED_VALUE"""),0.82)</f>
        <v>0.82</v>
      </c>
    </row>
    <row r="2398">
      <c r="A2398">
        <f>IFERROR(__xludf.DUMMYFUNCTION("""COMPUTED_VALUE"""),174355.0)</f>
        <v>174355</v>
      </c>
      <c r="B2398" t="str">
        <f>IFERROR(__xludf.DUMMYFUNCTION("""COMPUTED_VALUE"""),"Lamb Variety Meats And By-Products Kidneys Cooked Braised")</f>
        <v>Lamb Variety Meats And By-Products Kidneys Cooked Braised</v>
      </c>
      <c r="C2398" t="str">
        <f>IFERROR(__xludf.DUMMYFUNCTION("""COMPUTED_VALUE"""),"Meats")</f>
        <v>Meats</v>
      </c>
      <c r="D2398">
        <f>IFERROR(__xludf.DUMMYFUNCTION("""COMPUTED_VALUE"""),137.0)</f>
        <v>137</v>
      </c>
      <c r="E2398">
        <f>IFERROR(__xludf.DUMMYFUNCTION("""COMPUTED_VALUE"""),3.62)</f>
        <v>3.62</v>
      </c>
      <c r="F2398">
        <f>IFERROR(__xludf.DUMMYFUNCTION("""COMPUTED_VALUE"""),23.65)</f>
        <v>23.65</v>
      </c>
      <c r="G2398">
        <f>IFERROR(__xludf.DUMMYFUNCTION("""COMPUTED_VALUE"""),0.99)</f>
        <v>0.99</v>
      </c>
    </row>
    <row r="2399">
      <c r="A2399">
        <f>IFERROR(__xludf.DUMMYFUNCTION("""COMPUTED_VALUE"""),174356.0)</f>
        <v>174356</v>
      </c>
      <c r="B2399" t="str">
        <f>IFERROR(__xludf.DUMMYFUNCTION("""COMPUTED_VALUE"""),"Veal Variety Meats And By-Products Kidneys Raw")</f>
        <v>Veal Variety Meats And By-Products Kidneys Raw</v>
      </c>
      <c r="C2399" t="str">
        <f>IFERROR(__xludf.DUMMYFUNCTION("""COMPUTED_VALUE"""),"Meats")</f>
        <v>Meats</v>
      </c>
      <c r="D2399">
        <f>IFERROR(__xludf.DUMMYFUNCTION("""COMPUTED_VALUE"""),99.0)</f>
        <v>99</v>
      </c>
      <c r="E2399">
        <f>IFERROR(__xludf.DUMMYFUNCTION("""COMPUTED_VALUE"""),3.12)</f>
        <v>3.12</v>
      </c>
      <c r="F2399">
        <f>IFERROR(__xludf.DUMMYFUNCTION("""COMPUTED_VALUE"""),15.76)</f>
        <v>15.76</v>
      </c>
      <c r="G2399">
        <f>IFERROR(__xludf.DUMMYFUNCTION("""COMPUTED_VALUE"""),0.85)</f>
        <v>0.85</v>
      </c>
    </row>
    <row r="2400">
      <c r="A2400">
        <f>IFERROR(__xludf.DUMMYFUNCTION("""COMPUTED_VALUE"""),174357.0)</f>
        <v>174357</v>
      </c>
      <c r="B2400" t="str">
        <f>IFERROR(__xludf.DUMMYFUNCTION("""COMPUTED_VALUE"""),"Veal Variety Meats And By-Products Kidneys Cooked Braised")</f>
        <v>Veal Variety Meats And By-Products Kidneys Cooked Braised</v>
      </c>
      <c r="C2400" t="str">
        <f>IFERROR(__xludf.DUMMYFUNCTION("""COMPUTED_VALUE"""),"Meats")</f>
        <v>Meats</v>
      </c>
      <c r="D2400">
        <f>IFERROR(__xludf.DUMMYFUNCTION("""COMPUTED_VALUE"""),163.0)</f>
        <v>163</v>
      </c>
      <c r="E2400">
        <f>IFERROR(__xludf.DUMMYFUNCTION("""COMPUTED_VALUE"""),5.66)</f>
        <v>5.66</v>
      </c>
      <c r="F2400">
        <f>IFERROR(__xludf.DUMMYFUNCTION("""COMPUTED_VALUE"""),26.32)</f>
        <v>26.32</v>
      </c>
      <c r="G2400">
        <f>IFERROR(__xludf.DUMMYFUNCTION("""COMPUTED_VALUE"""),0.0)</f>
        <v>0</v>
      </c>
    </row>
    <row r="2401">
      <c r="A2401">
        <f>IFERROR(__xludf.DUMMYFUNCTION("""COMPUTED_VALUE"""),174358.0)</f>
        <v>174358</v>
      </c>
      <c r="B2401" t="str">
        <f>IFERROR(__xludf.DUMMYFUNCTION("""COMPUTED_VALUE"""),"Veal Variety Meats And By-Products Liver Cooked Pan-Fried")</f>
        <v>Veal Variety Meats And By-Products Liver Cooked Pan-Fried</v>
      </c>
      <c r="C2401" t="str">
        <f>IFERROR(__xludf.DUMMYFUNCTION("""COMPUTED_VALUE"""),"Meats")</f>
        <v>Meats</v>
      </c>
      <c r="D2401">
        <f>IFERROR(__xludf.DUMMYFUNCTION("""COMPUTED_VALUE"""),193.0)</f>
        <v>193</v>
      </c>
      <c r="E2401">
        <f>IFERROR(__xludf.DUMMYFUNCTION("""COMPUTED_VALUE"""),6.51)</f>
        <v>6.51</v>
      </c>
      <c r="F2401">
        <f>IFERROR(__xludf.DUMMYFUNCTION("""COMPUTED_VALUE"""),27.37)</f>
        <v>27.37</v>
      </c>
      <c r="G2401">
        <f>IFERROR(__xludf.DUMMYFUNCTION("""COMPUTED_VALUE"""),4.47)</f>
        <v>4.47</v>
      </c>
    </row>
    <row r="2402">
      <c r="A2402">
        <f>IFERROR(__xludf.DUMMYFUNCTION("""COMPUTED_VALUE"""),174359.0)</f>
        <v>174359</v>
      </c>
      <c r="B2402" t="str">
        <f>IFERROR(__xludf.DUMMYFUNCTION("""COMPUTED_VALUE"""),"Lamb Variety Meats And By-Products Lungs Raw")</f>
        <v>Lamb Variety Meats And By-Products Lungs Raw</v>
      </c>
      <c r="C2402" t="str">
        <f>IFERROR(__xludf.DUMMYFUNCTION("""COMPUTED_VALUE"""),"Meats")</f>
        <v>Meats</v>
      </c>
      <c r="D2402">
        <f>IFERROR(__xludf.DUMMYFUNCTION("""COMPUTED_VALUE"""),95.0)</f>
        <v>95</v>
      </c>
      <c r="E2402">
        <f>IFERROR(__xludf.DUMMYFUNCTION("""COMPUTED_VALUE"""),2.6)</f>
        <v>2.6</v>
      </c>
      <c r="F2402">
        <f>IFERROR(__xludf.DUMMYFUNCTION("""COMPUTED_VALUE"""),16.7)</f>
        <v>16.7</v>
      </c>
      <c r="G2402">
        <f>IFERROR(__xludf.DUMMYFUNCTION("""COMPUTED_VALUE"""),0.0)</f>
        <v>0</v>
      </c>
    </row>
    <row r="2403">
      <c r="A2403">
        <f>IFERROR(__xludf.DUMMYFUNCTION("""COMPUTED_VALUE"""),174360.0)</f>
        <v>174360</v>
      </c>
      <c r="B2403" t="str">
        <f>IFERROR(__xludf.DUMMYFUNCTION("""COMPUTED_VALUE"""),"Lamb Variety Meats And By-Products Lungs Cooked Braised")</f>
        <v>Lamb Variety Meats And By-Products Lungs Cooked Braised</v>
      </c>
      <c r="C2403" t="str">
        <f>IFERROR(__xludf.DUMMYFUNCTION("""COMPUTED_VALUE"""),"Meats")</f>
        <v>Meats</v>
      </c>
      <c r="D2403">
        <f>IFERROR(__xludf.DUMMYFUNCTION("""COMPUTED_VALUE"""),113.0)</f>
        <v>113</v>
      </c>
      <c r="E2403">
        <f>IFERROR(__xludf.DUMMYFUNCTION("""COMPUTED_VALUE"""),3.1)</f>
        <v>3.1</v>
      </c>
      <c r="F2403">
        <f>IFERROR(__xludf.DUMMYFUNCTION("""COMPUTED_VALUE"""),19.88)</f>
        <v>19.88</v>
      </c>
      <c r="G2403">
        <f>IFERROR(__xludf.DUMMYFUNCTION("""COMPUTED_VALUE"""),0.0)</f>
        <v>0</v>
      </c>
    </row>
    <row r="2404">
      <c r="A2404">
        <f>IFERROR(__xludf.DUMMYFUNCTION("""COMPUTED_VALUE"""),174361.0)</f>
        <v>174361</v>
      </c>
      <c r="B2404" t="str">
        <f>IFERROR(__xludf.DUMMYFUNCTION("""COMPUTED_VALUE"""),"Veal Variety Meats And By-Products Lungs Raw")</f>
        <v>Veal Variety Meats And By-Products Lungs Raw</v>
      </c>
      <c r="C2404" t="str">
        <f>IFERROR(__xludf.DUMMYFUNCTION("""COMPUTED_VALUE"""),"Meats")</f>
        <v>Meats</v>
      </c>
      <c r="D2404">
        <f>IFERROR(__xludf.DUMMYFUNCTION("""COMPUTED_VALUE"""),90.0)</f>
        <v>90</v>
      </c>
      <c r="E2404">
        <f>IFERROR(__xludf.DUMMYFUNCTION("""COMPUTED_VALUE"""),2.3)</f>
        <v>2.3</v>
      </c>
      <c r="F2404">
        <f>IFERROR(__xludf.DUMMYFUNCTION("""COMPUTED_VALUE"""),16.3)</f>
        <v>16.3</v>
      </c>
      <c r="G2404">
        <f>IFERROR(__xludf.DUMMYFUNCTION("""COMPUTED_VALUE"""),0.0)</f>
        <v>0</v>
      </c>
    </row>
    <row r="2405">
      <c r="A2405">
        <f>IFERROR(__xludf.DUMMYFUNCTION("""COMPUTED_VALUE"""),174362.0)</f>
        <v>174362</v>
      </c>
      <c r="B2405" t="str">
        <f>IFERROR(__xludf.DUMMYFUNCTION("""COMPUTED_VALUE"""),"Veal Variety Meats And By-Products Pancreas Raw")</f>
        <v>Veal Variety Meats And By-Products Pancreas Raw</v>
      </c>
      <c r="C2405" t="str">
        <f>IFERROR(__xludf.DUMMYFUNCTION("""COMPUTED_VALUE"""),"Meats")</f>
        <v>Meats</v>
      </c>
      <c r="D2405">
        <f>IFERROR(__xludf.DUMMYFUNCTION("""COMPUTED_VALUE"""),182.0)</f>
        <v>182</v>
      </c>
      <c r="E2405">
        <f>IFERROR(__xludf.DUMMYFUNCTION("""COMPUTED_VALUE"""),13.1)</f>
        <v>13.1</v>
      </c>
      <c r="F2405">
        <f>IFERROR(__xludf.DUMMYFUNCTION("""COMPUTED_VALUE"""),15.0)</f>
        <v>15</v>
      </c>
      <c r="G2405">
        <f>IFERROR(__xludf.DUMMYFUNCTION("""COMPUTED_VALUE"""),0.0)</f>
        <v>0</v>
      </c>
    </row>
    <row r="2406">
      <c r="A2406">
        <f>IFERROR(__xludf.DUMMYFUNCTION("""COMPUTED_VALUE"""),174363.0)</f>
        <v>174363</v>
      </c>
      <c r="B2406" t="str">
        <f>IFERROR(__xludf.DUMMYFUNCTION("""COMPUTED_VALUE"""),"Veal Variety Meats And By-Products Pancreas Cooked Braised")</f>
        <v>Veal Variety Meats And By-Products Pancreas Cooked Braised</v>
      </c>
      <c r="C2406" t="str">
        <f>IFERROR(__xludf.DUMMYFUNCTION("""COMPUTED_VALUE"""),"Meats")</f>
        <v>Meats</v>
      </c>
      <c r="D2406">
        <f>IFERROR(__xludf.DUMMYFUNCTION("""COMPUTED_VALUE"""),256.0)</f>
        <v>256</v>
      </c>
      <c r="E2406">
        <f>IFERROR(__xludf.DUMMYFUNCTION("""COMPUTED_VALUE"""),14.6)</f>
        <v>14.6</v>
      </c>
      <c r="F2406">
        <f>IFERROR(__xludf.DUMMYFUNCTION("""COMPUTED_VALUE"""),29.1)</f>
        <v>29.1</v>
      </c>
      <c r="G2406">
        <f>IFERROR(__xludf.DUMMYFUNCTION("""COMPUTED_VALUE"""),0.0)</f>
        <v>0</v>
      </c>
    </row>
    <row r="2407">
      <c r="A2407">
        <f>IFERROR(__xludf.DUMMYFUNCTION("""COMPUTED_VALUE"""),174364.0)</f>
        <v>174364</v>
      </c>
      <c r="B2407" t="str">
        <f>IFERROR(__xludf.DUMMYFUNCTION("""COMPUTED_VALUE"""),"Lamb Variety Meats And By-Products Spleen Raw")</f>
        <v>Lamb Variety Meats And By-Products Spleen Raw</v>
      </c>
      <c r="C2407" t="str">
        <f>IFERROR(__xludf.DUMMYFUNCTION("""COMPUTED_VALUE"""),"Meats")</f>
        <v>Meats</v>
      </c>
      <c r="D2407">
        <f>IFERROR(__xludf.DUMMYFUNCTION("""COMPUTED_VALUE"""),101.0)</f>
        <v>101</v>
      </c>
      <c r="E2407">
        <f>IFERROR(__xludf.DUMMYFUNCTION("""COMPUTED_VALUE"""),3.1)</f>
        <v>3.1</v>
      </c>
      <c r="F2407">
        <f>IFERROR(__xludf.DUMMYFUNCTION("""COMPUTED_VALUE"""),17.2)</f>
        <v>17.2</v>
      </c>
      <c r="G2407">
        <f>IFERROR(__xludf.DUMMYFUNCTION("""COMPUTED_VALUE"""),0.0)</f>
        <v>0</v>
      </c>
    </row>
    <row r="2408">
      <c r="A2408">
        <f>IFERROR(__xludf.DUMMYFUNCTION("""COMPUTED_VALUE"""),174365.0)</f>
        <v>174365</v>
      </c>
      <c r="B2408" t="str">
        <f>IFERROR(__xludf.DUMMYFUNCTION("""COMPUTED_VALUE"""),"Lamb Variety Meats And By-Products Spleen Cooked Braised")</f>
        <v>Lamb Variety Meats And By-Products Spleen Cooked Braised</v>
      </c>
      <c r="C2408" t="str">
        <f>IFERROR(__xludf.DUMMYFUNCTION("""COMPUTED_VALUE"""),"Meats")</f>
        <v>Meats</v>
      </c>
      <c r="D2408">
        <f>IFERROR(__xludf.DUMMYFUNCTION("""COMPUTED_VALUE"""),156.0)</f>
        <v>156</v>
      </c>
      <c r="E2408">
        <f>IFERROR(__xludf.DUMMYFUNCTION("""COMPUTED_VALUE"""),4.77)</f>
        <v>4.77</v>
      </c>
      <c r="F2408">
        <f>IFERROR(__xludf.DUMMYFUNCTION("""COMPUTED_VALUE"""),26.46)</f>
        <v>26.46</v>
      </c>
      <c r="G2408">
        <f>IFERROR(__xludf.DUMMYFUNCTION("""COMPUTED_VALUE"""),0.0)</f>
        <v>0</v>
      </c>
    </row>
    <row r="2409">
      <c r="A2409">
        <f>IFERROR(__xludf.DUMMYFUNCTION("""COMPUTED_VALUE"""),174366.0)</f>
        <v>174366</v>
      </c>
      <c r="B2409" t="str">
        <f>IFERROR(__xludf.DUMMYFUNCTION("""COMPUTED_VALUE"""),"Lamb Variety Meats And By-Products Tongue Raw")</f>
        <v>Lamb Variety Meats And By-Products Tongue Raw</v>
      </c>
      <c r="C2409" t="str">
        <f>IFERROR(__xludf.DUMMYFUNCTION("""COMPUTED_VALUE"""),"Meats")</f>
        <v>Meats</v>
      </c>
      <c r="D2409">
        <f>IFERROR(__xludf.DUMMYFUNCTION("""COMPUTED_VALUE"""),222.0)</f>
        <v>222</v>
      </c>
      <c r="E2409">
        <f>IFERROR(__xludf.DUMMYFUNCTION("""COMPUTED_VALUE"""),17.17)</f>
        <v>17.17</v>
      </c>
      <c r="F2409">
        <f>IFERROR(__xludf.DUMMYFUNCTION("""COMPUTED_VALUE"""),15.7)</f>
        <v>15.7</v>
      </c>
      <c r="G2409">
        <f>IFERROR(__xludf.DUMMYFUNCTION("""COMPUTED_VALUE"""),0.0)</f>
        <v>0</v>
      </c>
    </row>
    <row r="2410">
      <c r="A2410">
        <f>IFERROR(__xludf.DUMMYFUNCTION("""COMPUTED_VALUE"""),174367.0)</f>
        <v>174367</v>
      </c>
      <c r="B2410" t="str">
        <f>IFERROR(__xludf.DUMMYFUNCTION("""COMPUTED_VALUE"""),"Lamb Variety Meats And By-Products Tongue Cooked Braised")</f>
        <v>Lamb Variety Meats And By-Products Tongue Cooked Braised</v>
      </c>
      <c r="C2410" t="str">
        <f>IFERROR(__xludf.DUMMYFUNCTION("""COMPUTED_VALUE"""),"Meats")</f>
        <v>Meats</v>
      </c>
      <c r="D2410">
        <f>IFERROR(__xludf.DUMMYFUNCTION("""COMPUTED_VALUE"""),275.0)</f>
        <v>275</v>
      </c>
      <c r="E2410">
        <f>IFERROR(__xludf.DUMMYFUNCTION("""COMPUTED_VALUE"""),20.28)</f>
        <v>20.28</v>
      </c>
      <c r="F2410">
        <f>IFERROR(__xludf.DUMMYFUNCTION("""COMPUTED_VALUE"""),21.57)</f>
        <v>21.57</v>
      </c>
      <c r="G2410">
        <f>IFERROR(__xludf.DUMMYFUNCTION("""COMPUTED_VALUE"""),0.0)</f>
        <v>0</v>
      </c>
    </row>
    <row r="2411">
      <c r="A2411">
        <f>IFERROR(__xludf.DUMMYFUNCTION("""COMPUTED_VALUE"""),174368.0)</f>
        <v>174368</v>
      </c>
      <c r="B2411" t="str">
        <f>IFERROR(__xludf.DUMMYFUNCTION("""COMPUTED_VALUE"""),"Veal Variety Meats And By-Products Tongue Raw")</f>
        <v>Veal Variety Meats And By-Products Tongue Raw</v>
      </c>
      <c r="C2411" t="str">
        <f>IFERROR(__xludf.DUMMYFUNCTION("""COMPUTED_VALUE"""),"Meats")</f>
        <v>Meats</v>
      </c>
      <c r="D2411">
        <f>IFERROR(__xludf.DUMMYFUNCTION("""COMPUTED_VALUE"""),131.0)</f>
        <v>131</v>
      </c>
      <c r="E2411">
        <f>IFERROR(__xludf.DUMMYFUNCTION("""COMPUTED_VALUE"""),5.48)</f>
        <v>5.48</v>
      </c>
      <c r="F2411">
        <f>IFERROR(__xludf.DUMMYFUNCTION("""COMPUTED_VALUE"""),17.18)</f>
        <v>17.18</v>
      </c>
      <c r="G2411">
        <f>IFERROR(__xludf.DUMMYFUNCTION("""COMPUTED_VALUE"""),1.91)</f>
        <v>1.91</v>
      </c>
    </row>
    <row r="2412">
      <c r="A2412">
        <f>IFERROR(__xludf.DUMMYFUNCTION("""COMPUTED_VALUE"""),174369.0)</f>
        <v>174369</v>
      </c>
      <c r="B2412" t="str">
        <f>IFERROR(__xludf.DUMMYFUNCTION("""COMPUTED_VALUE"""),"Veal Variety Meats And By-Products Tongue Cooked Braised")</f>
        <v>Veal Variety Meats And By-Products Tongue Cooked Braised</v>
      </c>
      <c r="C2412" t="str">
        <f>IFERROR(__xludf.DUMMYFUNCTION("""COMPUTED_VALUE"""),"Meats")</f>
        <v>Meats</v>
      </c>
      <c r="D2412">
        <f>IFERROR(__xludf.DUMMYFUNCTION("""COMPUTED_VALUE"""),202.0)</f>
        <v>202</v>
      </c>
      <c r="E2412">
        <f>IFERROR(__xludf.DUMMYFUNCTION("""COMPUTED_VALUE"""),10.1)</f>
        <v>10.1</v>
      </c>
      <c r="F2412">
        <f>IFERROR(__xludf.DUMMYFUNCTION("""COMPUTED_VALUE"""),25.85)</f>
        <v>25.85</v>
      </c>
      <c r="G2412">
        <f>IFERROR(__xludf.DUMMYFUNCTION("""COMPUTED_VALUE"""),0.0)</f>
        <v>0</v>
      </c>
    </row>
    <row r="2413">
      <c r="A2413">
        <f>IFERROR(__xludf.DUMMYFUNCTION("""COMPUTED_VALUE"""),174370.0)</f>
        <v>174370</v>
      </c>
      <c r="B2413" t="str">
        <f>IFERROR(__xludf.DUMMYFUNCTION("""COMPUTED_VALUE"""),"Lamb Ground Raw")</f>
        <v>Lamb Ground Raw</v>
      </c>
      <c r="C2413" t="str">
        <f>IFERROR(__xludf.DUMMYFUNCTION("""COMPUTED_VALUE"""),"Meats")</f>
        <v>Meats</v>
      </c>
      <c r="D2413">
        <f>IFERROR(__xludf.DUMMYFUNCTION("""COMPUTED_VALUE"""),282.0)</f>
        <v>282</v>
      </c>
      <c r="E2413">
        <f>IFERROR(__xludf.DUMMYFUNCTION("""COMPUTED_VALUE"""),23.41)</f>
        <v>23.41</v>
      </c>
      <c r="F2413">
        <f>IFERROR(__xludf.DUMMYFUNCTION("""COMPUTED_VALUE"""),16.56)</f>
        <v>16.56</v>
      </c>
      <c r="G2413">
        <f>IFERROR(__xludf.DUMMYFUNCTION("""COMPUTED_VALUE"""),0.0)</f>
        <v>0</v>
      </c>
    </row>
    <row r="2414">
      <c r="A2414">
        <f>IFERROR(__xludf.DUMMYFUNCTION("""COMPUTED_VALUE"""),174371.0)</f>
        <v>174371</v>
      </c>
      <c r="B2414" t="str">
        <f>IFERROR(__xludf.DUMMYFUNCTION("""COMPUTED_VALUE"""),"Lamb Domestic Foreshank Separable Lean And Fat Trimmed To 1/8 Inch Fat Cooked Braised")</f>
        <v>Lamb Domestic Foreshank Separable Lean And Fat Trimmed To 1/8 Inch Fat Cooked Braised</v>
      </c>
      <c r="C2414" t="str">
        <f>IFERROR(__xludf.DUMMYFUNCTION("""COMPUTED_VALUE"""),"Meats")</f>
        <v>Meats</v>
      </c>
      <c r="D2414">
        <f>IFERROR(__xludf.DUMMYFUNCTION("""COMPUTED_VALUE"""),243.0)</f>
        <v>243</v>
      </c>
      <c r="E2414">
        <f>IFERROR(__xludf.DUMMYFUNCTION("""COMPUTED_VALUE"""),13.46)</f>
        <v>13.46</v>
      </c>
      <c r="F2414">
        <f>IFERROR(__xludf.DUMMYFUNCTION("""COMPUTED_VALUE"""),28.37)</f>
        <v>28.37</v>
      </c>
      <c r="G2414">
        <f>IFERROR(__xludf.DUMMYFUNCTION("""COMPUTED_VALUE"""),0.0)</f>
        <v>0</v>
      </c>
    </row>
    <row r="2415">
      <c r="A2415">
        <f>IFERROR(__xludf.DUMMYFUNCTION("""COMPUTED_VALUE"""),174372.0)</f>
        <v>174372</v>
      </c>
      <c r="B2415" t="str">
        <f>IFERROR(__xludf.DUMMYFUNCTION("""COMPUTED_VALUE"""),"Lamb Domestic Leg Whole (Shank And Sirloin) Separable Lean And Fat Trimmed To 1/8 Inch Fat Choice Raw")</f>
        <v>Lamb Domestic Leg Whole (Shank And Sirloin) Separable Lean And Fat Trimmed To 1/8 Inch Fat Choice Raw</v>
      </c>
      <c r="C2415" t="str">
        <f>IFERROR(__xludf.DUMMYFUNCTION("""COMPUTED_VALUE"""),"Meats")</f>
        <v>Meats</v>
      </c>
      <c r="D2415">
        <f>IFERROR(__xludf.DUMMYFUNCTION("""COMPUTED_VALUE"""),209.0)</f>
        <v>209</v>
      </c>
      <c r="E2415">
        <f>IFERROR(__xludf.DUMMYFUNCTION("""COMPUTED_VALUE"""),14.42)</f>
        <v>14.42</v>
      </c>
      <c r="F2415">
        <f>IFERROR(__xludf.DUMMYFUNCTION("""COMPUTED_VALUE"""),18.47)</f>
        <v>18.47</v>
      </c>
      <c r="G2415">
        <f>IFERROR(__xludf.DUMMYFUNCTION("""COMPUTED_VALUE"""),0.0)</f>
        <v>0</v>
      </c>
    </row>
    <row r="2416">
      <c r="A2416">
        <f>IFERROR(__xludf.DUMMYFUNCTION("""COMPUTED_VALUE"""),174373.0)</f>
        <v>174373</v>
      </c>
      <c r="B2416" t="str">
        <f>IFERROR(__xludf.DUMMYFUNCTION("""COMPUTED_VALUE"""),"Lamb Domestic Leg Whole (Shank And Sirloin) Separable Lean And Fat Trimmed To 1/8 Inch Fat Choice Cooked Roasted")</f>
        <v>Lamb Domestic Leg Whole (Shank And Sirloin) Separable Lean And Fat Trimmed To 1/8 Inch Fat Choice Cooked Roasted</v>
      </c>
      <c r="C2416" t="str">
        <f>IFERROR(__xludf.DUMMYFUNCTION("""COMPUTED_VALUE"""),"Meats")</f>
        <v>Meats</v>
      </c>
      <c r="D2416">
        <f>IFERROR(__xludf.DUMMYFUNCTION("""COMPUTED_VALUE"""),242.0)</f>
        <v>242</v>
      </c>
      <c r="E2416">
        <f>IFERROR(__xludf.DUMMYFUNCTION("""COMPUTED_VALUE"""),14.42)</f>
        <v>14.42</v>
      </c>
      <c r="F2416">
        <f>IFERROR(__xludf.DUMMYFUNCTION("""COMPUTED_VALUE"""),26.2)</f>
        <v>26.2</v>
      </c>
      <c r="G2416">
        <f>IFERROR(__xludf.DUMMYFUNCTION("""COMPUTED_VALUE"""),0.0)</f>
        <v>0</v>
      </c>
    </row>
    <row r="2417">
      <c r="A2417">
        <f>IFERROR(__xludf.DUMMYFUNCTION("""COMPUTED_VALUE"""),174374.0)</f>
        <v>174374</v>
      </c>
      <c r="B2417" t="str">
        <f>IFERROR(__xludf.DUMMYFUNCTION("""COMPUTED_VALUE"""),"Lamb Domestic Leg Shank Half Separable Lean And Fat Trimmed To 1/8 Inch Fat Choice Raw")</f>
        <v>Lamb Domestic Leg Shank Half Separable Lean And Fat Trimmed To 1/8 Inch Fat Choice Raw</v>
      </c>
      <c r="C2417" t="str">
        <f>IFERROR(__xludf.DUMMYFUNCTION("""COMPUTED_VALUE"""),"Meats")</f>
        <v>Meats</v>
      </c>
      <c r="D2417">
        <f>IFERROR(__xludf.DUMMYFUNCTION("""COMPUTED_VALUE"""),185.0)</f>
        <v>185</v>
      </c>
      <c r="E2417">
        <f>IFERROR(__xludf.DUMMYFUNCTION("""COMPUTED_VALUE"""),11.5)</f>
        <v>11.5</v>
      </c>
      <c r="F2417">
        <f>IFERROR(__xludf.DUMMYFUNCTION("""COMPUTED_VALUE"""),18.99)</f>
        <v>18.99</v>
      </c>
      <c r="G2417">
        <f>IFERROR(__xludf.DUMMYFUNCTION("""COMPUTED_VALUE"""),0.0)</f>
        <v>0</v>
      </c>
    </row>
    <row r="2418">
      <c r="A2418">
        <f>IFERROR(__xludf.DUMMYFUNCTION("""COMPUTED_VALUE"""),174375.0)</f>
        <v>174375</v>
      </c>
      <c r="B2418" t="str">
        <f>IFERROR(__xludf.DUMMYFUNCTION("""COMPUTED_VALUE"""),"Lamb Domestic Loin Separable Lean And Fat Trimmed To 1/8 Inch Fat Choice Cooked Broiled")</f>
        <v>Lamb Domestic Loin Separable Lean And Fat Trimmed To 1/8 Inch Fat Choice Cooked Broiled</v>
      </c>
      <c r="C2418" t="str">
        <f>IFERROR(__xludf.DUMMYFUNCTION("""COMPUTED_VALUE"""),"Meats")</f>
        <v>Meats</v>
      </c>
      <c r="D2418">
        <f>IFERROR(__xludf.DUMMYFUNCTION("""COMPUTED_VALUE"""),297.0)</f>
        <v>297</v>
      </c>
      <c r="E2418">
        <f>IFERROR(__xludf.DUMMYFUNCTION("""COMPUTED_VALUE"""),20.61)</f>
        <v>20.61</v>
      </c>
      <c r="F2418">
        <f>IFERROR(__xludf.DUMMYFUNCTION("""COMPUTED_VALUE"""),26.06)</f>
        <v>26.06</v>
      </c>
      <c r="G2418">
        <f>IFERROR(__xludf.DUMMYFUNCTION("""COMPUTED_VALUE"""),0.0)</f>
        <v>0</v>
      </c>
    </row>
    <row r="2419">
      <c r="A2419">
        <f>IFERROR(__xludf.DUMMYFUNCTION("""COMPUTED_VALUE"""),174376.0)</f>
        <v>174376</v>
      </c>
      <c r="B2419" t="str">
        <f>IFERROR(__xludf.DUMMYFUNCTION("""COMPUTED_VALUE"""),"Lamb Domestic Loin Separable Lean And Fat Trimmed To 1/8 Inch Fat Choice Cooked Roasted")</f>
        <v>Lamb Domestic Loin Separable Lean And Fat Trimmed To 1/8 Inch Fat Choice Cooked Roasted</v>
      </c>
      <c r="C2419" t="str">
        <f>IFERROR(__xludf.DUMMYFUNCTION("""COMPUTED_VALUE"""),"Meats")</f>
        <v>Meats</v>
      </c>
      <c r="D2419">
        <f>IFERROR(__xludf.DUMMYFUNCTION("""COMPUTED_VALUE"""),290.0)</f>
        <v>290</v>
      </c>
      <c r="E2419">
        <f>IFERROR(__xludf.DUMMYFUNCTION("""COMPUTED_VALUE"""),21.12)</f>
        <v>21.12</v>
      </c>
      <c r="F2419">
        <f>IFERROR(__xludf.DUMMYFUNCTION("""COMPUTED_VALUE"""),23.27)</f>
        <v>23.27</v>
      </c>
      <c r="G2419">
        <f>IFERROR(__xludf.DUMMYFUNCTION("""COMPUTED_VALUE"""),0.0)</f>
        <v>0</v>
      </c>
    </row>
    <row r="2420">
      <c r="A2420">
        <f>IFERROR(__xludf.DUMMYFUNCTION("""COMPUTED_VALUE"""),174377.0)</f>
        <v>174377</v>
      </c>
      <c r="B2420" t="str">
        <f>IFERROR(__xludf.DUMMYFUNCTION("""COMPUTED_VALUE"""),"Lamb Domestic Rib Separable Lean And Fat Trimmed To 1/8 Inch Fat Choice Raw")</f>
        <v>Lamb Domestic Rib Separable Lean And Fat Trimmed To 1/8 Inch Fat Choice Raw</v>
      </c>
      <c r="C2420" t="str">
        <f>IFERROR(__xludf.DUMMYFUNCTION("""COMPUTED_VALUE"""),"Meats")</f>
        <v>Meats</v>
      </c>
      <c r="D2420">
        <f>IFERROR(__xludf.DUMMYFUNCTION("""COMPUTED_VALUE"""),342.0)</f>
        <v>342</v>
      </c>
      <c r="E2420">
        <f>IFERROR(__xludf.DUMMYFUNCTION("""COMPUTED_VALUE"""),30.71)</f>
        <v>30.71</v>
      </c>
      <c r="F2420">
        <f>IFERROR(__xludf.DUMMYFUNCTION("""COMPUTED_VALUE"""),15.32)</f>
        <v>15.32</v>
      </c>
      <c r="G2420">
        <f>IFERROR(__xludf.DUMMYFUNCTION("""COMPUTED_VALUE"""),0.0)</f>
        <v>0</v>
      </c>
    </row>
    <row r="2421">
      <c r="A2421">
        <f>IFERROR(__xludf.DUMMYFUNCTION("""COMPUTED_VALUE"""),174378.0)</f>
        <v>174378</v>
      </c>
      <c r="B2421" t="str">
        <f>IFERROR(__xludf.DUMMYFUNCTION("""COMPUTED_VALUE"""),"Lamb Domestic Rib Separable Lean And Fat Trimmed To 1/8 Inch Fat Choice Cooked Broiled")</f>
        <v>Lamb Domestic Rib Separable Lean And Fat Trimmed To 1/8 Inch Fat Choice Cooked Broiled</v>
      </c>
      <c r="C2421" t="str">
        <f>IFERROR(__xludf.DUMMYFUNCTION("""COMPUTED_VALUE"""),"Meats")</f>
        <v>Meats</v>
      </c>
      <c r="D2421">
        <f>IFERROR(__xludf.DUMMYFUNCTION("""COMPUTED_VALUE"""),340.0)</f>
        <v>340</v>
      </c>
      <c r="E2421">
        <f>IFERROR(__xludf.DUMMYFUNCTION("""COMPUTED_VALUE"""),26.82)</f>
        <v>26.82</v>
      </c>
      <c r="F2421">
        <f>IFERROR(__xludf.DUMMYFUNCTION("""COMPUTED_VALUE"""),23.06)</f>
        <v>23.06</v>
      </c>
      <c r="G2421">
        <f>IFERROR(__xludf.DUMMYFUNCTION("""COMPUTED_VALUE"""),0.0)</f>
        <v>0</v>
      </c>
    </row>
    <row r="2422">
      <c r="A2422">
        <f>IFERROR(__xludf.DUMMYFUNCTION("""COMPUTED_VALUE"""),174379.0)</f>
        <v>174379</v>
      </c>
      <c r="B2422" t="str">
        <f>IFERROR(__xludf.DUMMYFUNCTION("""COMPUTED_VALUE"""),"Lamb Domestic Shoulder Whole (Arm And Blade) Separable Lean And Fat Trimmed To 1/8 Inch Fat Choice Cooked Roasted")</f>
        <v>Lamb Domestic Shoulder Whole (Arm And Blade) Separable Lean And Fat Trimmed To 1/8 Inch Fat Choice Cooked Roasted</v>
      </c>
      <c r="C2422" t="str">
        <f>IFERROR(__xludf.DUMMYFUNCTION("""COMPUTED_VALUE"""),"Meats")</f>
        <v>Meats</v>
      </c>
      <c r="D2422">
        <f>IFERROR(__xludf.DUMMYFUNCTION("""COMPUTED_VALUE"""),269.0)</f>
        <v>269</v>
      </c>
      <c r="E2422">
        <f>IFERROR(__xludf.DUMMYFUNCTION("""COMPUTED_VALUE"""),19.08)</f>
        <v>19.08</v>
      </c>
      <c r="F2422">
        <f>IFERROR(__xludf.DUMMYFUNCTION("""COMPUTED_VALUE"""),22.7)</f>
        <v>22.7</v>
      </c>
      <c r="G2422">
        <f>IFERROR(__xludf.DUMMYFUNCTION("""COMPUTED_VALUE"""),0.0)</f>
        <v>0</v>
      </c>
    </row>
    <row r="2423">
      <c r="A2423">
        <f>IFERROR(__xludf.DUMMYFUNCTION("""COMPUTED_VALUE"""),174380.0)</f>
        <v>174380</v>
      </c>
      <c r="B2423" t="str">
        <f>IFERROR(__xludf.DUMMYFUNCTION("""COMPUTED_VALUE"""),"Lamb Domestic Shoulder Arm Separable Lean And Fat Trimmed To 1/8 Inch Fat Choice Raw")</f>
        <v>Lamb Domestic Shoulder Arm Separable Lean And Fat Trimmed To 1/8 Inch Fat Choice Raw</v>
      </c>
      <c r="C2423" t="str">
        <f>IFERROR(__xludf.DUMMYFUNCTION("""COMPUTED_VALUE"""),"Meats")</f>
        <v>Meats</v>
      </c>
      <c r="D2423">
        <f>IFERROR(__xludf.DUMMYFUNCTION("""COMPUTED_VALUE"""),244.0)</f>
        <v>244</v>
      </c>
      <c r="E2423">
        <f>IFERROR(__xludf.DUMMYFUNCTION("""COMPUTED_VALUE"""),18.94)</f>
        <v>18.94</v>
      </c>
      <c r="F2423">
        <f>IFERROR(__xludf.DUMMYFUNCTION("""COMPUTED_VALUE"""),17.19)</f>
        <v>17.19</v>
      </c>
      <c r="G2423">
        <f>IFERROR(__xludf.DUMMYFUNCTION("""COMPUTED_VALUE"""),0.0)</f>
        <v>0</v>
      </c>
    </row>
    <row r="2424">
      <c r="A2424">
        <f>IFERROR(__xludf.DUMMYFUNCTION("""COMPUTED_VALUE"""),174381.0)</f>
        <v>174381</v>
      </c>
      <c r="B2424" t="str">
        <f>IFERROR(__xludf.DUMMYFUNCTION("""COMPUTED_VALUE"""),"Lamb Domestic Shoulder Arm Separable Lean And Fat Trimmed To 1/8 Inch Fat Choice Cooked Braised")</f>
        <v>Lamb Domestic Shoulder Arm Separable Lean And Fat Trimmed To 1/8 Inch Fat Choice Cooked Braised</v>
      </c>
      <c r="C2424" t="str">
        <f>IFERROR(__xludf.DUMMYFUNCTION("""COMPUTED_VALUE"""),"Meats")</f>
        <v>Meats</v>
      </c>
      <c r="D2424">
        <f>IFERROR(__xludf.DUMMYFUNCTION("""COMPUTED_VALUE"""),337.0)</f>
        <v>337</v>
      </c>
      <c r="E2424">
        <f>IFERROR(__xludf.DUMMYFUNCTION("""COMPUTED_VALUE"""),22.65)</f>
        <v>22.65</v>
      </c>
      <c r="F2424">
        <f>IFERROR(__xludf.DUMMYFUNCTION("""COMPUTED_VALUE"""),31.1)</f>
        <v>31.1</v>
      </c>
      <c r="G2424">
        <f>IFERROR(__xludf.DUMMYFUNCTION("""COMPUTED_VALUE"""),0.0)</f>
        <v>0</v>
      </c>
    </row>
    <row r="2425">
      <c r="A2425">
        <f>IFERROR(__xludf.DUMMYFUNCTION("""COMPUTED_VALUE"""),174382.0)</f>
        <v>174382</v>
      </c>
      <c r="B2425" t="str">
        <f>IFERROR(__xludf.DUMMYFUNCTION("""COMPUTED_VALUE"""),"Lamb Domestic Shoulder Arm Separable Lean And Fat Trimmed To 1/8 Inch Fat Cooked Broiled")</f>
        <v>Lamb Domestic Shoulder Arm Separable Lean And Fat Trimmed To 1/8 Inch Fat Cooked Broiled</v>
      </c>
      <c r="C2425" t="str">
        <f>IFERROR(__xludf.DUMMYFUNCTION("""COMPUTED_VALUE"""),"Meats")</f>
        <v>Meats</v>
      </c>
      <c r="D2425">
        <f>IFERROR(__xludf.DUMMYFUNCTION("""COMPUTED_VALUE"""),269.0)</f>
        <v>269</v>
      </c>
      <c r="E2425">
        <f>IFERROR(__xludf.DUMMYFUNCTION("""COMPUTED_VALUE"""),18.05)</f>
        <v>18.05</v>
      </c>
      <c r="F2425">
        <f>IFERROR(__xludf.DUMMYFUNCTION("""COMPUTED_VALUE"""),24.91)</f>
        <v>24.91</v>
      </c>
      <c r="G2425">
        <f>IFERROR(__xludf.DUMMYFUNCTION("""COMPUTED_VALUE"""),0.0)</f>
        <v>0</v>
      </c>
    </row>
    <row r="2426">
      <c r="A2426">
        <f>IFERROR(__xludf.DUMMYFUNCTION("""COMPUTED_VALUE"""),174383.0)</f>
        <v>174383</v>
      </c>
      <c r="B2426" t="str">
        <f>IFERROR(__xludf.DUMMYFUNCTION("""COMPUTED_VALUE"""),"Lamb Domestic Shoulder Arm Separable Lean And Fat Trimmed To 1/8 Inch Fat Choice Roasted")</f>
        <v>Lamb Domestic Shoulder Arm Separable Lean And Fat Trimmed To 1/8 Inch Fat Choice Roasted</v>
      </c>
      <c r="C2426" t="str">
        <f>IFERROR(__xludf.DUMMYFUNCTION("""COMPUTED_VALUE"""),"Meats")</f>
        <v>Meats</v>
      </c>
      <c r="D2426">
        <f>IFERROR(__xludf.DUMMYFUNCTION("""COMPUTED_VALUE"""),267.0)</f>
        <v>267</v>
      </c>
      <c r="E2426">
        <f>IFERROR(__xludf.DUMMYFUNCTION("""COMPUTED_VALUE"""),18.75)</f>
        <v>18.75</v>
      </c>
      <c r="F2426">
        <f>IFERROR(__xludf.DUMMYFUNCTION("""COMPUTED_VALUE"""),22.93)</f>
        <v>22.93</v>
      </c>
      <c r="G2426">
        <f>IFERROR(__xludf.DUMMYFUNCTION("""COMPUTED_VALUE"""),0.0)</f>
        <v>0</v>
      </c>
    </row>
    <row r="2427">
      <c r="A2427">
        <f>IFERROR(__xludf.DUMMYFUNCTION("""COMPUTED_VALUE"""),174384.0)</f>
        <v>174384</v>
      </c>
      <c r="B2427" t="str">
        <f>IFERROR(__xludf.DUMMYFUNCTION("""COMPUTED_VALUE"""),"Lamb New Zealand Imported Frozen Composite Of Trimmed Retail Cuts Separable Lean And Fat Trimmed To 1/8 Inch Fat Raw")</f>
        <v>Lamb New Zealand Imported Frozen Composite Of Trimmed Retail Cuts Separable Lean And Fat Trimmed To 1/8 Inch Fat Raw</v>
      </c>
      <c r="C2427" t="str">
        <f>IFERROR(__xludf.DUMMYFUNCTION("""COMPUTED_VALUE"""),"Meats")</f>
        <v>Meats</v>
      </c>
      <c r="D2427">
        <f>IFERROR(__xludf.DUMMYFUNCTION("""COMPUTED_VALUE"""),232.0)</f>
        <v>232</v>
      </c>
      <c r="E2427">
        <f>IFERROR(__xludf.DUMMYFUNCTION("""COMPUTED_VALUE"""),17.2)</f>
        <v>17.2</v>
      </c>
      <c r="F2427">
        <f>IFERROR(__xludf.DUMMYFUNCTION("""COMPUTED_VALUE"""),17.95)</f>
        <v>17.95</v>
      </c>
      <c r="G2427">
        <f>IFERROR(__xludf.DUMMYFUNCTION("""COMPUTED_VALUE"""),0.0)</f>
        <v>0</v>
      </c>
    </row>
    <row r="2428">
      <c r="A2428">
        <f>IFERROR(__xludf.DUMMYFUNCTION("""COMPUTED_VALUE"""),174385.0)</f>
        <v>174385</v>
      </c>
      <c r="B2428" t="str">
        <f>IFERROR(__xludf.DUMMYFUNCTION("""COMPUTED_VALUE"""),"Lamb New Zealand Imported Frozen Composite Of Trimmed Retail Cuts Separable Lean And Fat Trimmed To 1/8 Inch Fat Cooked")</f>
        <v>Lamb New Zealand Imported Frozen Composite Of Trimmed Retail Cuts Separable Lean And Fat Trimmed To 1/8 Inch Fat Cooked</v>
      </c>
      <c r="C2428" t="str">
        <f>IFERROR(__xludf.DUMMYFUNCTION("""COMPUTED_VALUE"""),"Meats")</f>
        <v>Meats</v>
      </c>
      <c r="D2428">
        <f>IFERROR(__xludf.DUMMYFUNCTION("""COMPUTED_VALUE"""),270.0)</f>
        <v>270</v>
      </c>
      <c r="E2428">
        <f>IFERROR(__xludf.DUMMYFUNCTION("""COMPUTED_VALUE"""),17.98)</f>
        <v>17.98</v>
      </c>
      <c r="F2428">
        <f>IFERROR(__xludf.DUMMYFUNCTION("""COMPUTED_VALUE"""),25.26)</f>
        <v>25.26</v>
      </c>
      <c r="G2428">
        <f>IFERROR(__xludf.DUMMYFUNCTION("""COMPUTED_VALUE"""),0.0)</f>
        <v>0</v>
      </c>
    </row>
    <row r="2429">
      <c r="A2429">
        <f>IFERROR(__xludf.DUMMYFUNCTION("""COMPUTED_VALUE"""),174386.0)</f>
        <v>174386</v>
      </c>
      <c r="B2429" t="str">
        <f>IFERROR(__xludf.DUMMYFUNCTION("""COMPUTED_VALUE"""),"Lamb New Zealand Imported Frozen Foreshank Separable Lean And Fat Trimmed To 1/8 Inch Fat Raw")</f>
        <v>Lamb New Zealand Imported Frozen Foreshank Separable Lean And Fat Trimmed To 1/8 Inch Fat Raw</v>
      </c>
      <c r="C2429" t="str">
        <f>IFERROR(__xludf.DUMMYFUNCTION("""COMPUTED_VALUE"""),"Meats")</f>
        <v>Meats</v>
      </c>
      <c r="D2429">
        <f>IFERROR(__xludf.DUMMYFUNCTION("""COMPUTED_VALUE"""),223.0)</f>
        <v>223</v>
      </c>
      <c r="E2429">
        <f>IFERROR(__xludf.DUMMYFUNCTION("""COMPUTED_VALUE"""),16.15)</f>
        <v>16.15</v>
      </c>
      <c r="F2429">
        <f>IFERROR(__xludf.DUMMYFUNCTION("""COMPUTED_VALUE"""),18.04)</f>
        <v>18.04</v>
      </c>
      <c r="G2429">
        <f>IFERROR(__xludf.DUMMYFUNCTION("""COMPUTED_VALUE"""),0.0)</f>
        <v>0</v>
      </c>
    </row>
    <row r="2430">
      <c r="A2430">
        <f>IFERROR(__xludf.DUMMYFUNCTION("""COMPUTED_VALUE"""),174387.0)</f>
        <v>174387</v>
      </c>
      <c r="B2430" t="str">
        <f>IFERROR(__xludf.DUMMYFUNCTION("""COMPUTED_VALUE"""),"Lamb New Zealand Imported Frozen Foreshank Separable Lean And Fat Trimmed To 1/8 Inch Fat Cooked Braised")</f>
        <v>Lamb New Zealand Imported Frozen Foreshank Separable Lean And Fat Trimmed To 1/8 Inch Fat Cooked Braised</v>
      </c>
      <c r="C2430" t="str">
        <f>IFERROR(__xludf.DUMMYFUNCTION("""COMPUTED_VALUE"""),"Meats")</f>
        <v>Meats</v>
      </c>
      <c r="D2430">
        <f>IFERROR(__xludf.DUMMYFUNCTION("""COMPUTED_VALUE"""),258.0)</f>
        <v>258</v>
      </c>
      <c r="E2430">
        <f>IFERROR(__xludf.DUMMYFUNCTION("""COMPUTED_VALUE"""),15.83)</f>
        <v>15.83</v>
      </c>
      <c r="F2430">
        <f>IFERROR(__xludf.DUMMYFUNCTION("""COMPUTED_VALUE"""),26.97)</f>
        <v>26.97</v>
      </c>
      <c r="G2430">
        <f>IFERROR(__xludf.DUMMYFUNCTION("""COMPUTED_VALUE"""),0.0)</f>
        <v>0</v>
      </c>
    </row>
    <row r="2431">
      <c r="A2431">
        <f>IFERROR(__xludf.DUMMYFUNCTION("""COMPUTED_VALUE"""),174388.0)</f>
        <v>174388</v>
      </c>
      <c r="B2431" t="str">
        <f>IFERROR(__xludf.DUMMYFUNCTION("""COMPUTED_VALUE"""),"Lamb New Zealand Imported Frozen Rib Separable Lean And Fat Trimmed To 1/8 Inch Fat Raw")</f>
        <v>Lamb New Zealand Imported Frozen Rib Separable Lean And Fat Trimmed To 1/8 Inch Fat Raw</v>
      </c>
      <c r="C2431" t="str">
        <f>IFERROR(__xludf.DUMMYFUNCTION("""COMPUTED_VALUE"""),"Meats")</f>
        <v>Meats</v>
      </c>
      <c r="D2431">
        <f>IFERROR(__xludf.DUMMYFUNCTION("""COMPUTED_VALUE"""),311.0)</f>
        <v>311</v>
      </c>
      <c r="E2431">
        <f>IFERROR(__xludf.DUMMYFUNCTION("""COMPUTED_VALUE"""),27.0)</f>
        <v>27</v>
      </c>
      <c r="F2431">
        <f>IFERROR(__xludf.DUMMYFUNCTION("""COMPUTED_VALUE"""),15.87)</f>
        <v>15.87</v>
      </c>
      <c r="G2431">
        <f>IFERROR(__xludf.DUMMYFUNCTION("""COMPUTED_VALUE"""),0.0)</f>
        <v>0</v>
      </c>
    </row>
    <row r="2432">
      <c r="A2432">
        <f>IFERROR(__xludf.DUMMYFUNCTION("""COMPUTED_VALUE"""),174389.0)</f>
        <v>174389</v>
      </c>
      <c r="B2432" t="str">
        <f>IFERROR(__xludf.DUMMYFUNCTION("""COMPUTED_VALUE"""),"Lamb New Zealand Imported Frozen Rib Separable Lean And Fat Trimmed To 1/8 Inch Fat Cooked Roasted")</f>
        <v>Lamb New Zealand Imported Frozen Rib Separable Lean And Fat Trimmed To 1/8 Inch Fat Cooked Roasted</v>
      </c>
      <c r="C2432" t="str">
        <f>IFERROR(__xludf.DUMMYFUNCTION("""COMPUTED_VALUE"""),"Meats")</f>
        <v>Meats</v>
      </c>
      <c r="D2432">
        <f>IFERROR(__xludf.DUMMYFUNCTION("""COMPUTED_VALUE"""),317.0)</f>
        <v>317</v>
      </c>
      <c r="E2432">
        <f>IFERROR(__xludf.DUMMYFUNCTION("""COMPUTED_VALUE"""),25.74)</f>
        <v>25.74</v>
      </c>
      <c r="F2432">
        <f>IFERROR(__xludf.DUMMYFUNCTION("""COMPUTED_VALUE"""),19.86)</f>
        <v>19.86</v>
      </c>
      <c r="G2432">
        <f>IFERROR(__xludf.DUMMYFUNCTION("""COMPUTED_VALUE"""),0.0)</f>
        <v>0</v>
      </c>
    </row>
    <row r="2433">
      <c r="A2433">
        <f>IFERROR(__xludf.DUMMYFUNCTION("""COMPUTED_VALUE"""),174390.0)</f>
        <v>174390</v>
      </c>
      <c r="B2433" t="str">
        <f>IFERROR(__xludf.DUMMYFUNCTION("""COMPUTED_VALUE"""),"Lamb New Zealand Imported Frozen Shoulder Whole (Arm And Blade) Separable Lean And Fat Trimmed To 1/8 Inch Fat Raw")</f>
        <v>Lamb New Zealand Imported Frozen Shoulder Whole (Arm And Blade) Separable Lean And Fat Trimmed To 1/8 Inch Fat Raw</v>
      </c>
      <c r="C2433" t="str">
        <f>IFERROR(__xludf.DUMMYFUNCTION("""COMPUTED_VALUE"""),"Meats")</f>
        <v>Meats</v>
      </c>
      <c r="D2433">
        <f>IFERROR(__xludf.DUMMYFUNCTION("""COMPUTED_VALUE"""),251.0)</f>
        <v>251</v>
      </c>
      <c r="E2433">
        <f>IFERROR(__xludf.DUMMYFUNCTION("""COMPUTED_VALUE"""),19.74)</f>
        <v>19.74</v>
      </c>
      <c r="F2433">
        <f>IFERROR(__xludf.DUMMYFUNCTION("""COMPUTED_VALUE"""),17.19)</f>
        <v>17.19</v>
      </c>
      <c r="G2433">
        <f>IFERROR(__xludf.DUMMYFUNCTION("""COMPUTED_VALUE"""),0.0)</f>
        <v>0</v>
      </c>
    </row>
    <row r="2434">
      <c r="A2434">
        <f>IFERROR(__xludf.DUMMYFUNCTION("""COMPUTED_VALUE"""),174391.0)</f>
        <v>174391</v>
      </c>
      <c r="B2434" t="str">
        <f>IFERROR(__xludf.DUMMYFUNCTION("""COMPUTED_VALUE"""),"Lamb New Zealand Imported Frozen Shoulder Whole (Arm And Blade) Separable Lean And Fat Trimmed To 1/8 Inch Fat Cooked Braised")</f>
        <v>Lamb New Zealand Imported Frozen Shoulder Whole (Arm And Blade) Separable Lean And Fat Trimmed To 1/8 Inch Fat Cooked Braised</v>
      </c>
      <c r="C2434" t="str">
        <f>IFERROR(__xludf.DUMMYFUNCTION("""COMPUTED_VALUE"""),"Meats")</f>
        <v>Meats</v>
      </c>
      <c r="D2434">
        <f>IFERROR(__xludf.DUMMYFUNCTION("""COMPUTED_VALUE"""),342.0)</f>
        <v>342</v>
      </c>
      <c r="E2434">
        <f>IFERROR(__xludf.DUMMYFUNCTION("""COMPUTED_VALUE"""),24.03)</f>
        <v>24.03</v>
      </c>
      <c r="F2434">
        <f>IFERROR(__xludf.DUMMYFUNCTION("""COMPUTED_VALUE"""),29.43)</f>
        <v>29.43</v>
      </c>
      <c r="G2434">
        <f>IFERROR(__xludf.DUMMYFUNCTION("""COMPUTED_VALUE"""),0.0)</f>
        <v>0</v>
      </c>
    </row>
    <row r="2435">
      <c r="A2435">
        <f>IFERROR(__xludf.DUMMYFUNCTION("""COMPUTED_VALUE"""),174392.0)</f>
        <v>174392</v>
      </c>
      <c r="B2435" t="str">
        <f>IFERROR(__xludf.DUMMYFUNCTION("""COMPUTED_VALUE"""),"Veal Breast Whole Boneless Separable Lean And Fat Raw")</f>
        <v>Veal Breast Whole Boneless Separable Lean And Fat Raw</v>
      </c>
      <c r="C2435" t="str">
        <f>IFERROR(__xludf.DUMMYFUNCTION("""COMPUTED_VALUE"""),"Meats")</f>
        <v>Meats</v>
      </c>
      <c r="D2435">
        <f>IFERROR(__xludf.DUMMYFUNCTION("""COMPUTED_VALUE"""),208.0)</f>
        <v>208</v>
      </c>
      <c r="E2435">
        <f>IFERROR(__xludf.DUMMYFUNCTION("""COMPUTED_VALUE"""),14.75)</f>
        <v>14.75</v>
      </c>
      <c r="F2435">
        <f>IFERROR(__xludf.DUMMYFUNCTION("""COMPUTED_VALUE"""),17.47)</f>
        <v>17.47</v>
      </c>
      <c r="G2435">
        <f>IFERROR(__xludf.DUMMYFUNCTION("""COMPUTED_VALUE"""),0.0)</f>
        <v>0</v>
      </c>
    </row>
    <row r="2436">
      <c r="A2436">
        <f>IFERROR(__xludf.DUMMYFUNCTION("""COMPUTED_VALUE"""),174393.0)</f>
        <v>174393</v>
      </c>
      <c r="B2436" t="str">
        <f>IFERROR(__xludf.DUMMYFUNCTION("""COMPUTED_VALUE"""),"Veal Breast Whole Boneless Separable Lean And Fat Cooked Braised")</f>
        <v>Veal Breast Whole Boneless Separable Lean And Fat Cooked Braised</v>
      </c>
      <c r="C2436" t="str">
        <f>IFERROR(__xludf.DUMMYFUNCTION("""COMPUTED_VALUE"""),"Meats")</f>
        <v>Meats</v>
      </c>
      <c r="D2436">
        <f>IFERROR(__xludf.DUMMYFUNCTION("""COMPUTED_VALUE"""),266.0)</f>
        <v>266</v>
      </c>
      <c r="E2436">
        <f>IFERROR(__xludf.DUMMYFUNCTION("""COMPUTED_VALUE"""),16.77)</f>
        <v>16.77</v>
      </c>
      <c r="F2436">
        <f>IFERROR(__xludf.DUMMYFUNCTION("""COMPUTED_VALUE"""),26.97)</f>
        <v>26.97</v>
      </c>
      <c r="G2436">
        <f>IFERROR(__xludf.DUMMYFUNCTION("""COMPUTED_VALUE"""),0.0)</f>
        <v>0</v>
      </c>
    </row>
    <row r="2437">
      <c r="A2437">
        <f>IFERROR(__xludf.DUMMYFUNCTION("""COMPUTED_VALUE"""),174394.0)</f>
        <v>174394</v>
      </c>
      <c r="B2437" t="str">
        <f>IFERROR(__xludf.DUMMYFUNCTION("""COMPUTED_VALUE"""),"Veal Breast Plate Half Boneless Separable Lean And Fat Cooked Braised")</f>
        <v>Veal Breast Plate Half Boneless Separable Lean And Fat Cooked Braised</v>
      </c>
      <c r="C2437" t="str">
        <f>IFERROR(__xludf.DUMMYFUNCTION("""COMPUTED_VALUE"""),"Meats")</f>
        <v>Meats</v>
      </c>
      <c r="D2437">
        <f>IFERROR(__xludf.DUMMYFUNCTION("""COMPUTED_VALUE"""),282.0)</f>
        <v>282</v>
      </c>
      <c r="E2437">
        <f>IFERROR(__xludf.DUMMYFUNCTION("""COMPUTED_VALUE"""),18.95)</f>
        <v>18.95</v>
      </c>
      <c r="F2437">
        <f>IFERROR(__xludf.DUMMYFUNCTION("""COMPUTED_VALUE"""),25.93)</f>
        <v>25.93</v>
      </c>
      <c r="G2437">
        <f>IFERROR(__xludf.DUMMYFUNCTION("""COMPUTED_VALUE"""),0.0)</f>
        <v>0</v>
      </c>
    </row>
    <row r="2438">
      <c r="A2438">
        <f>IFERROR(__xludf.DUMMYFUNCTION("""COMPUTED_VALUE"""),174395.0)</f>
        <v>174395</v>
      </c>
      <c r="B2438" t="str">
        <f>IFERROR(__xludf.DUMMYFUNCTION("""COMPUTED_VALUE"""),"Veal Breast Point Half Boneless Separable Lean And Fat Cooked Braised")</f>
        <v>Veal Breast Point Half Boneless Separable Lean And Fat Cooked Braised</v>
      </c>
      <c r="C2438" t="str">
        <f>IFERROR(__xludf.DUMMYFUNCTION("""COMPUTED_VALUE"""),"Meats")</f>
        <v>Meats</v>
      </c>
      <c r="D2438">
        <f>IFERROR(__xludf.DUMMYFUNCTION("""COMPUTED_VALUE"""),248.0)</f>
        <v>248</v>
      </c>
      <c r="E2438">
        <f>IFERROR(__xludf.DUMMYFUNCTION("""COMPUTED_VALUE"""),14.16)</f>
        <v>14.16</v>
      </c>
      <c r="F2438">
        <f>IFERROR(__xludf.DUMMYFUNCTION("""COMPUTED_VALUE"""),28.23)</f>
        <v>28.23</v>
      </c>
      <c r="G2438">
        <f>IFERROR(__xludf.DUMMYFUNCTION("""COMPUTED_VALUE"""),0.0)</f>
        <v>0</v>
      </c>
    </row>
    <row r="2439">
      <c r="A2439">
        <f>IFERROR(__xludf.DUMMYFUNCTION("""COMPUTED_VALUE"""),174396.0)</f>
        <v>174396</v>
      </c>
      <c r="B2439" t="str">
        <f>IFERROR(__xludf.DUMMYFUNCTION("""COMPUTED_VALUE"""),"Veal Breast Whole Boneless Separable Lean Only Cooked Braised")</f>
        <v>Veal Breast Whole Boneless Separable Lean Only Cooked Braised</v>
      </c>
      <c r="C2439" t="str">
        <f>IFERROR(__xludf.DUMMYFUNCTION("""COMPUTED_VALUE"""),"Meats")</f>
        <v>Meats</v>
      </c>
      <c r="D2439">
        <f>IFERROR(__xludf.DUMMYFUNCTION("""COMPUTED_VALUE"""),218.0)</f>
        <v>218</v>
      </c>
      <c r="E2439">
        <f>IFERROR(__xludf.DUMMYFUNCTION("""COMPUTED_VALUE"""),9.8)</f>
        <v>9.8</v>
      </c>
      <c r="F2439">
        <f>IFERROR(__xludf.DUMMYFUNCTION("""COMPUTED_VALUE"""),30.32)</f>
        <v>30.32</v>
      </c>
      <c r="G2439">
        <f>IFERROR(__xludf.DUMMYFUNCTION("""COMPUTED_VALUE"""),0.0)</f>
        <v>0</v>
      </c>
    </row>
    <row r="2440">
      <c r="A2440">
        <f>IFERROR(__xludf.DUMMYFUNCTION("""COMPUTED_VALUE"""),174397.0)</f>
        <v>174397</v>
      </c>
      <c r="B2440" t="str">
        <f>IFERROR(__xludf.DUMMYFUNCTION("""COMPUTED_VALUE"""),"Lamb Australian Imported Fresh Composite Of Trimmed Retail Cuts Separable Lean And Fat Trimmed To 1/8 Inch Fat Raw")</f>
        <v>Lamb Australian Imported Fresh Composite Of Trimmed Retail Cuts Separable Lean And Fat Trimmed To 1/8 Inch Fat Raw</v>
      </c>
      <c r="C2440" t="str">
        <f>IFERROR(__xludf.DUMMYFUNCTION("""COMPUTED_VALUE"""),"Meats")</f>
        <v>Meats</v>
      </c>
      <c r="D2440">
        <f>IFERROR(__xludf.DUMMYFUNCTION("""COMPUTED_VALUE"""),229.0)</f>
        <v>229</v>
      </c>
      <c r="E2440">
        <f>IFERROR(__xludf.DUMMYFUNCTION("""COMPUTED_VALUE"""),16.97)</f>
        <v>16.97</v>
      </c>
      <c r="F2440">
        <f>IFERROR(__xludf.DUMMYFUNCTION("""COMPUTED_VALUE"""),17.84)</f>
        <v>17.84</v>
      </c>
      <c r="G2440">
        <f>IFERROR(__xludf.DUMMYFUNCTION("""COMPUTED_VALUE"""),0.0)</f>
        <v>0</v>
      </c>
    </row>
    <row r="2441">
      <c r="A2441">
        <f>IFERROR(__xludf.DUMMYFUNCTION("""COMPUTED_VALUE"""),174398.0)</f>
        <v>174398</v>
      </c>
      <c r="B2441" t="str">
        <f>IFERROR(__xludf.DUMMYFUNCTION("""COMPUTED_VALUE"""),"Lamb Australian Imported Fresh Composite Of Trimmed Retail Cuts Separable Lean And Fat Trimmed To 1/8 Inch Fat Cooked")</f>
        <v>Lamb Australian Imported Fresh Composite Of Trimmed Retail Cuts Separable Lean And Fat Trimmed To 1/8 Inch Fat Cooked</v>
      </c>
      <c r="C2441" t="str">
        <f>IFERROR(__xludf.DUMMYFUNCTION("""COMPUTED_VALUE"""),"Meats")</f>
        <v>Meats</v>
      </c>
      <c r="D2441">
        <f>IFERROR(__xludf.DUMMYFUNCTION("""COMPUTED_VALUE"""),256.0)</f>
        <v>256</v>
      </c>
      <c r="E2441">
        <f>IFERROR(__xludf.DUMMYFUNCTION("""COMPUTED_VALUE"""),16.82)</f>
        <v>16.82</v>
      </c>
      <c r="F2441">
        <f>IFERROR(__xludf.DUMMYFUNCTION("""COMPUTED_VALUE"""),24.52)</f>
        <v>24.52</v>
      </c>
      <c r="G2441">
        <f>IFERROR(__xludf.DUMMYFUNCTION("""COMPUTED_VALUE"""),0.0)</f>
        <v>0</v>
      </c>
    </row>
    <row r="2442">
      <c r="A2442">
        <f>IFERROR(__xludf.DUMMYFUNCTION("""COMPUTED_VALUE"""),174399.0)</f>
        <v>174399</v>
      </c>
      <c r="B2442" t="str">
        <f>IFERROR(__xludf.DUMMYFUNCTION("""COMPUTED_VALUE"""),"Lamb Australian Imported Fresh Composite Of Trimmed Retail Cuts Separable Lean Only Trimmed To 1/8 Inch Fat Raw")</f>
        <v>Lamb Australian Imported Fresh Composite Of Trimmed Retail Cuts Separable Lean Only Trimmed To 1/8 Inch Fat Raw</v>
      </c>
      <c r="C2442" t="str">
        <f>IFERROR(__xludf.DUMMYFUNCTION("""COMPUTED_VALUE"""),"Meats")</f>
        <v>Meats</v>
      </c>
      <c r="D2442">
        <f>IFERROR(__xludf.DUMMYFUNCTION("""COMPUTED_VALUE"""),142.0)</f>
        <v>142</v>
      </c>
      <c r="E2442">
        <f>IFERROR(__xludf.DUMMYFUNCTION("""COMPUTED_VALUE"""),6.18)</f>
        <v>6.18</v>
      </c>
      <c r="F2442">
        <f>IFERROR(__xludf.DUMMYFUNCTION("""COMPUTED_VALUE"""),20.25)</f>
        <v>20.25</v>
      </c>
      <c r="G2442">
        <f>IFERROR(__xludf.DUMMYFUNCTION("""COMPUTED_VALUE"""),0.0)</f>
        <v>0</v>
      </c>
    </row>
    <row r="2443">
      <c r="A2443">
        <f>IFERROR(__xludf.DUMMYFUNCTION("""COMPUTED_VALUE"""),174400.0)</f>
        <v>174400</v>
      </c>
      <c r="B2443" t="str">
        <f>IFERROR(__xludf.DUMMYFUNCTION("""COMPUTED_VALUE"""),"Lamb Australian Imported Fresh Composite Of Trimmed Retail Cuts Separable Lean Only Trimmed To 1/8 Inch Fat Cooked")</f>
        <v>Lamb Australian Imported Fresh Composite Of Trimmed Retail Cuts Separable Lean Only Trimmed To 1/8 Inch Fat Cooked</v>
      </c>
      <c r="C2443" t="str">
        <f>IFERROR(__xludf.DUMMYFUNCTION("""COMPUTED_VALUE"""),"Meats")</f>
        <v>Meats</v>
      </c>
      <c r="D2443">
        <f>IFERROR(__xludf.DUMMYFUNCTION("""COMPUTED_VALUE"""),201.0)</f>
        <v>201</v>
      </c>
      <c r="E2443">
        <f>IFERROR(__xludf.DUMMYFUNCTION("""COMPUTED_VALUE"""),9.63)</f>
        <v>9.63</v>
      </c>
      <c r="F2443">
        <f>IFERROR(__xludf.DUMMYFUNCTION("""COMPUTED_VALUE"""),26.71)</f>
        <v>26.71</v>
      </c>
      <c r="G2443">
        <f>IFERROR(__xludf.DUMMYFUNCTION("""COMPUTED_VALUE"""),0.0)</f>
        <v>0</v>
      </c>
    </row>
    <row r="2444">
      <c r="A2444">
        <f>IFERROR(__xludf.DUMMYFUNCTION("""COMPUTED_VALUE"""),174401.0)</f>
        <v>174401</v>
      </c>
      <c r="B2444" t="str">
        <f>IFERROR(__xludf.DUMMYFUNCTION("""COMPUTED_VALUE"""),"Lamb Australian Imported Fresh Foreshank Separable Lean Only Trimmed To 1/8 Inch Fat Raw")</f>
        <v>Lamb Australian Imported Fresh Foreshank Separable Lean Only Trimmed To 1/8 Inch Fat Raw</v>
      </c>
      <c r="C2444" t="str">
        <f>IFERROR(__xludf.DUMMYFUNCTION("""COMPUTED_VALUE"""),"Meats")</f>
        <v>Meats</v>
      </c>
      <c r="D2444">
        <f>IFERROR(__xludf.DUMMYFUNCTION("""COMPUTED_VALUE"""),123.0)</f>
        <v>123</v>
      </c>
      <c r="E2444">
        <f>IFERROR(__xludf.DUMMYFUNCTION("""COMPUTED_VALUE"""),3.81)</f>
        <v>3.81</v>
      </c>
      <c r="F2444">
        <f>IFERROR(__xludf.DUMMYFUNCTION("""COMPUTED_VALUE"""),20.83)</f>
        <v>20.83</v>
      </c>
      <c r="G2444">
        <f>IFERROR(__xludf.DUMMYFUNCTION("""COMPUTED_VALUE"""),0.0)</f>
        <v>0</v>
      </c>
    </row>
    <row r="2445">
      <c r="A2445">
        <f>IFERROR(__xludf.DUMMYFUNCTION("""COMPUTED_VALUE"""),174402.0)</f>
        <v>174402</v>
      </c>
      <c r="B2445" t="str">
        <f>IFERROR(__xludf.DUMMYFUNCTION("""COMPUTED_VALUE"""),"Lamb Australian Imported Fresh Foreshank Separable Lean Only Trimmed To 1/8 Inch Fat Cooked Braised")</f>
        <v>Lamb Australian Imported Fresh Foreshank Separable Lean Only Trimmed To 1/8 Inch Fat Cooked Braised</v>
      </c>
      <c r="C2445" t="str">
        <f>IFERROR(__xludf.DUMMYFUNCTION("""COMPUTED_VALUE"""),"Meats")</f>
        <v>Meats</v>
      </c>
      <c r="D2445">
        <f>IFERROR(__xludf.DUMMYFUNCTION("""COMPUTED_VALUE"""),165.0)</f>
        <v>165</v>
      </c>
      <c r="E2445">
        <f>IFERROR(__xludf.DUMMYFUNCTION("""COMPUTED_VALUE"""),5.22)</f>
        <v>5.22</v>
      </c>
      <c r="F2445">
        <f>IFERROR(__xludf.DUMMYFUNCTION("""COMPUTED_VALUE"""),27.5)</f>
        <v>27.5</v>
      </c>
      <c r="G2445">
        <f>IFERROR(__xludf.DUMMYFUNCTION("""COMPUTED_VALUE"""),0.0)</f>
        <v>0</v>
      </c>
    </row>
    <row r="2446">
      <c r="A2446">
        <f>IFERROR(__xludf.DUMMYFUNCTION("""COMPUTED_VALUE"""),174403.0)</f>
        <v>174403</v>
      </c>
      <c r="B2446" t="str">
        <f>IFERROR(__xludf.DUMMYFUNCTION("""COMPUTED_VALUE"""),"Lamb Australian Imported Fresh Leg Whole (Shank And Sirloin) Separable Lean And Fat Trimmed To 1/8 Inch Fat Raw")</f>
        <v>Lamb Australian Imported Fresh Leg Whole (Shank And Sirloin) Separable Lean And Fat Trimmed To 1/8 Inch Fat Raw</v>
      </c>
      <c r="C2446" t="str">
        <f>IFERROR(__xludf.DUMMYFUNCTION("""COMPUTED_VALUE"""),"Meats")</f>
        <v>Meats</v>
      </c>
      <c r="D2446">
        <f>IFERROR(__xludf.DUMMYFUNCTION("""COMPUTED_VALUE"""),215.0)</f>
        <v>215</v>
      </c>
      <c r="E2446">
        <f>IFERROR(__xludf.DUMMYFUNCTION("""COMPUTED_VALUE"""),15.19)</f>
        <v>15.19</v>
      </c>
      <c r="F2446">
        <f>IFERROR(__xludf.DUMMYFUNCTION("""COMPUTED_VALUE"""),18.24)</f>
        <v>18.24</v>
      </c>
      <c r="G2446">
        <f>IFERROR(__xludf.DUMMYFUNCTION("""COMPUTED_VALUE"""),0.0)</f>
        <v>0</v>
      </c>
    </row>
    <row r="2447">
      <c r="A2447">
        <f>IFERROR(__xludf.DUMMYFUNCTION("""COMPUTED_VALUE"""),174404.0)</f>
        <v>174404</v>
      </c>
      <c r="B2447" t="str">
        <f>IFERROR(__xludf.DUMMYFUNCTION("""COMPUTED_VALUE"""),"Lamb Australian Imported Fresh Leg Whole (Shank And Sirloin) Separable Lean And Fat Trimmed To 1/8 Inch Fat Cooked Roasted")</f>
        <v>Lamb Australian Imported Fresh Leg Whole (Shank And Sirloin) Separable Lean And Fat Trimmed To 1/8 Inch Fat Cooked Roasted</v>
      </c>
      <c r="C2447" t="str">
        <f>IFERROR(__xludf.DUMMYFUNCTION("""COMPUTED_VALUE"""),"Meats")</f>
        <v>Meats</v>
      </c>
      <c r="D2447">
        <f>IFERROR(__xludf.DUMMYFUNCTION("""COMPUTED_VALUE"""),244.0)</f>
        <v>244</v>
      </c>
      <c r="E2447">
        <f>IFERROR(__xludf.DUMMYFUNCTION("""COMPUTED_VALUE"""),15.13)</f>
        <v>15.13</v>
      </c>
      <c r="F2447">
        <f>IFERROR(__xludf.DUMMYFUNCTION("""COMPUTED_VALUE"""),25.16)</f>
        <v>25.16</v>
      </c>
      <c r="G2447">
        <f>IFERROR(__xludf.DUMMYFUNCTION("""COMPUTED_VALUE"""),0.0)</f>
        <v>0</v>
      </c>
    </row>
    <row r="2448">
      <c r="A2448">
        <f>IFERROR(__xludf.DUMMYFUNCTION("""COMPUTED_VALUE"""),174405.0)</f>
        <v>174405</v>
      </c>
      <c r="B2448" t="str">
        <f>IFERROR(__xludf.DUMMYFUNCTION("""COMPUTED_VALUE"""),"Lamb Australian Imported Fresh Leg Shank Half Separable Lean Only Trimmed To 1/8 Inch Fat Cooked Roasted")</f>
        <v>Lamb Australian Imported Fresh Leg Shank Half Separable Lean Only Trimmed To 1/8 Inch Fat Cooked Roasted</v>
      </c>
      <c r="C2448" t="str">
        <f>IFERROR(__xludf.DUMMYFUNCTION("""COMPUTED_VALUE"""),"Meats")</f>
        <v>Meats</v>
      </c>
      <c r="D2448">
        <f>IFERROR(__xludf.DUMMYFUNCTION("""COMPUTED_VALUE"""),182.0)</f>
        <v>182</v>
      </c>
      <c r="E2448">
        <f>IFERROR(__xludf.DUMMYFUNCTION("""COMPUTED_VALUE"""),7.27)</f>
        <v>7.27</v>
      </c>
      <c r="F2448">
        <f>IFERROR(__xludf.DUMMYFUNCTION("""COMPUTED_VALUE"""),27.18)</f>
        <v>27.18</v>
      </c>
      <c r="G2448">
        <f>IFERROR(__xludf.DUMMYFUNCTION("""COMPUTED_VALUE"""),0.0)</f>
        <v>0</v>
      </c>
    </row>
    <row r="2449">
      <c r="A2449">
        <f>IFERROR(__xludf.DUMMYFUNCTION("""COMPUTED_VALUE"""),174406.0)</f>
        <v>174406</v>
      </c>
      <c r="B2449" t="str">
        <f>IFERROR(__xludf.DUMMYFUNCTION("""COMPUTED_VALUE"""),"Lamb Australian Imported Fresh Leg Sirloin Half Boneless Separable Lean And Fat Trimmed To 1/8 Inch Fat Raw")</f>
        <v>Lamb Australian Imported Fresh Leg Sirloin Half Boneless Separable Lean And Fat Trimmed To 1/8 Inch Fat Raw</v>
      </c>
      <c r="C2449" t="str">
        <f>IFERROR(__xludf.DUMMYFUNCTION("""COMPUTED_VALUE"""),"Meats")</f>
        <v>Meats</v>
      </c>
      <c r="D2449">
        <f>IFERROR(__xludf.DUMMYFUNCTION("""COMPUTED_VALUE"""),254.0)</f>
        <v>254</v>
      </c>
      <c r="E2449">
        <f>IFERROR(__xludf.DUMMYFUNCTION("""COMPUTED_VALUE"""),20.0)</f>
        <v>20</v>
      </c>
      <c r="F2449">
        <f>IFERROR(__xludf.DUMMYFUNCTION("""COMPUTED_VALUE"""),17.25)</f>
        <v>17.25</v>
      </c>
      <c r="G2449">
        <f>IFERROR(__xludf.DUMMYFUNCTION("""COMPUTED_VALUE"""),0.0)</f>
        <v>0</v>
      </c>
    </row>
    <row r="2450">
      <c r="A2450">
        <f>IFERROR(__xludf.DUMMYFUNCTION("""COMPUTED_VALUE"""),174407.0)</f>
        <v>174407</v>
      </c>
      <c r="B2450" t="str">
        <f>IFERROR(__xludf.DUMMYFUNCTION("""COMPUTED_VALUE"""),"Lamb Australian Imported Fresh Leg Sirloin Half Boneless Separable Lean And Fat Trimmed To 1/8 Inch Fat Cooked Roasted")</f>
        <v>Lamb Australian Imported Fresh Leg Sirloin Half Boneless Separable Lean And Fat Trimmed To 1/8 Inch Fat Cooked Roasted</v>
      </c>
      <c r="C2450" t="str">
        <f>IFERROR(__xludf.DUMMYFUNCTION("""COMPUTED_VALUE"""),"Meats")</f>
        <v>Meats</v>
      </c>
      <c r="D2450">
        <f>IFERROR(__xludf.DUMMYFUNCTION("""COMPUTED_VALUE"""),281.0)</f>
        <v>281</v>
      </c>
      <c r="E2450">
        <f>IFERROR(__xludf.DUMMYFUNCTION("""COMPUTED_VALUE"""),19.38)</f>
        <v>19.38</v>
      </c>
      <c r="F2450">
        <f>IFERROR(__xludf.DUMMYFUNCTION("""COMPUTED_VALUE"""),24.88)</f>
        <v>24.88</v>
      </c>
      <c r="G2450">
        <f>IFERROR(__xludf.DUMMYFUNCTION("""COMPUTED_VALUE"""),0.0)</f>
        <v>0</v>
      </c>
    </row>
    <row r="2451">
      <c r="A2451">
        <f>IFERROR(__xludf.DUMMYFUNCTION("""COMPUTED_VALUE"""),174408.0)</f>
        <v>174408</v>
      </c>
      <c r="B2451" t="str">
        <f>IFERROR(__xludf.DUMMYFUNCTION("""COMPUTED_VALUE"""),"Lamb Australian Imported Fresh Leg Sirloin Half Boneless Separable Lean Only Trimmed To 1/8 Inch Fat Raw")</f>
        <v>Lamb Australian Imported Fresh Leg Sirloin Half Boneless Separable Lean Only Trimmed To 1/8 Inch Fat Raw</v>
      </c>
      <c r="C2451" t="str">
        <f>IFERROR(__xludf.DUMMYFUNCTION("""COMPUTED_VALUE"""),"Meats")</f>
        <v>Meats</v>
      </c>
      <c r="D2451">
        <f>IFERROR(__xludf.DUMMYFUNCTION("""COMPUTED_VALUE"""),138.0)</f>
        <v>138</v>
      </c>
      <c r="E2451">
        <f>IFERROR(__xludf.DUMMYFUNCTION("""COMPUTED_VALUE"""),5.64)</f>
        <v>5.64</v>
      </c>
      <c r="F2451">
        <f>IFERROR(__xludf.DUMMYFUNCTION("""COMPUTED_VALUE"""),20.48)</f>
        <v>20.48</v>
      </c>
      <c r="G2451">
        <f>IFERROR(__xludf.DUMMYFUNCTION("""COMPUTED_VALUE"""),0.0)</f>
        <v>0</v>
      </c>
    </row>
    <row r="2452">
      <c r="A2452">
        <f>IFERROR(__xludf.DUMMYFUNCTION("""COMPUTED_VALUE"""),174409.0)</f>
        <v>174409</v>
      </c>
      <c r="B2452" t="str">
        <f>IFERROR(__xludf.DUMMYFUNCTION("""COMPUTED_VALUE"""),"Lamb Australian Imported Fresh Leg Sirloin Chops Boneless Separable Lean Only Trimmed To 1/8 Inch Fat Cooked Broiled")</f>
        <v>Lamb Australian Imported Fresh Leg Sirloin Chops Boneless Separable Lean Only Trimmed To 1/8 Inch Fat Cooked Broiled</v>
      </c>
      <c r="C2452" t="str">
        <f>IFERROR(__xludf.DUMMYFUNCTION("""COMPUTED_VALUE"""),"Meats")</f>
        <v>Meats</v>
      </c>
      <c r="D2452">
        <f>IFERROR(__xludf.DUMMYFUNCTION("""COMPUTED_VALUE"""),188.0)</f>
        <v>188</v>
      </c>
      <c r="E2452">
        <f>IFERROR(__xludf.DUMMYFUNCTION("""COMPUTED_VALUE"""),7.8)</f>
        <v>7.8</v>
      </c>
      <c r="F2452">
        <f>IFERROR(__xludf.DUMMYFUNCTION("""COMPUTED_VALUE"""),27.63)</f>
        <v>27.63</v>
      </c>
      <c r="G2452">
        <f>IFERROR(__xludf.DUMMYFUNCTION("""COMPUTED_VALUE"""),0.0)</f>
        <v>0</v>
      </c>
    </row>
    <row r="2453">
      <c r="A2453">
        <f>IFERROR(__xludf.DUMMYFUNCTION("""COMPUTED_VALUE"""),174410.0)</f>
        <v>174410</v>
      </c>
      <c r="B2453" t="str">
        <f>IFERROR(__xludf.DUMMYFUNCTION("""COMPUTED_VALUE"""),"Lamb Australian Imported Fresh Leg Center Slice Bone-In Separable Lean And Fat Trimmed To 1/8 Inch Fat Raw")</f>
        <v>Lamb Australian Imported Fresh Leg Center Slice Bone-In Separable Lean And Fat Trimmed To 1/8 Inch Fat Raw</v>
      </c>
      <c r="C2453" t="str">
        <f>IFERROR(__xludf.DUMMYFUNCTION("""COMPUTED_VALUE"""),"Meats")</f>
        <v>Meats</v>
      </c>
      <c r="D2453">
        <f>IFERROR(__xludf.DUMMYFUNCTION("""COMPUTED_VALUE"""),195.0)</f>
        <v>195</v>
      </c>
      <c r="E2453">
        <f>IFERROR(__xludf.DUMMYFUNCTION("""COMPUTED_VALUE"""),12.56)</f>
        <v>12.56</v>
      </c>
      <c r="F2453">
        <f>IFERROR(__xludf.DUMMYFUNCTION("""COMPUTED_VALUE"""),19.17)</f>
        <v>19.17</v>
      </c>
      <c r="G2453">
        <f>IFERROR(__xludf.DUMMYFUNCTION("""COMPUTED_VALUE"""),0.0)</f>
        <v>0</v>
      </c>
    </row>
    <row r="2454">
      <c r="A2454">
        <f>IFERROR(__xludf.DUMMYFUNCTION("""COMPUTED_VALUE"""),174411.0)</f>
        <v>174411</v>
      </c>
      <c r="B2454" t="str">
        <f>IFERROR(__xludf.DUMMYFUNCTION("""COMPUTED_VALUE"""),"Lamb Australian Imported Fresh Leg Center Slice Bone-In Separable Lean And Fat Trimmed To 1/8 Inch Fat Cooked Broiled")</f>
        <v>Lamb Australian Imported Fresh Leg Center Slice Bone-In Separable Lean And Fat Trimmed To 1/8 Inch Fat Cooked Broiled</v>
      </c>
      <c r="C2454" t="str">
        <f>IFERROR(__xludf.DUMMYFUNCTION("""COMPUTED_VALUE"""),"Meats")</f>
        <v>Meats</v>
      </c>
      <c r="D2454">
        <f>IFERROR(__xludf.DUMMYFUNCTION("""COMPUTED_VALUE"""),215.0)</f>
        <v>215</v>
      </c>
      <c r="E2454">
        <f>IFERROR(__xludf.DUMMYFUNCTION("""COMPUTED_VALUE"""),11.78)</f>
        <v>11.78</v>
      </c>
      <c r="F2454">
        <f>IFERROR(__xludf.DUMMYFUNCTION("""COMPUTED_VALUE"""),25.54)</f>
        <v>25.54</v>
      </c>
      <c r="G2454">
        <f>IFERROR(__xludf.DUMMYFUNCTION("""COMPUTED_VALUE"""),0.0)</f>
        <v>0</v>
      </c>
    </row>
    <row r="2455">
      <c r="A2455">
        <f>IFERROR(__xludf.DUMMYFUNCTION("""COMPUTED_VALUE"""),174412.0)</f>
        <v>174412</v>
      </c>
      <c r="B2455" t="str">
        <f>IFERROR(__xludf.DUMMYFUNCTION("""COMPUTED_VALUE"""),"Lamb Australian Imported Fresh Leg Center Slice Bone-In Separable Lean Only Trimmed To 1/8 Inch Fat Raw")</f>
        <v>Lamb Australian Imported Fresh Leg Center Slice Bone-In Separable Lean Only Trimmed To 1/8 Inch Fat Raw</v>
      </c>
      <c r="C2455" t="str">
        <f>IFERROR(__xludf.DUMMYFUNCTION("""COMPUTED_VALUE"""),"Meats")</f>
        <v>Meats</v>
      </c>
      <c r="D2455">
        <f>IFERROR(__xludf.DUMMYFUNCTION("""COMPUTED_VALUE"""),143.0)</f>
        <v>143</v>
      </c>
      <c r="E2455">
        <f>IFERROR(__xludf.DUMMYFUNCTION("""COMPUTED_VALUE"""),6.08)</f>
        <v>6.08</v>
      </c>
      <c r="F2455">
        <f>IFERROR(__xludf.DUMMYFUNCTION("""COMPUTED_VALUE"""),20.65)</f>
        <v>20.65</v>
      </c>
      <c r="G2455">
        <f>IFERROR(__xludf.DUMMYFUNCTION("""COMPUTED_VALUE"""),0.0)</f>
        <v>0</v>
      </c>
    </row>
    <row r="2456">
      <c r="A2456">
        <f>IFERROR(__xludf.DUMMYFUNCTION("""COMPUTED_VALUE"""),174413.0)</f>
        <v>174413</v>
      </c>
      <c r="B2456" t="str">
        <f>IFERROR(__xludf.DUMMYFUNCTION("""COMPUTED_VALUE"""),"Lamb Australian Imported Fresh Loin Separable Lean Only Trimmed To 1/8 Inch Fat Cooked Broiled")</f>
        <v>Lamb Australian Imported Fresh Loin Separable Lean Only Trimmed To 1/8 Inch Fat Cooked Broiled</v>
      </c>
      <c r="C2456" t="str">
        <f>IFERROR(__xludf.DUMMYFUNCTION("""COMPUTED_VALUE"""),"Meats")</f>
        <v>Meats</v>
      </c>
      <c r="D2456">
        <f>IFERROR(__xludf.DUMMYFUNCTION("""COMPUTED_VALUE"""),192.0)</f>
        <v>192</v>
      </c>
      <c r="E2456">
        <f>IFERROR(__xludf.DUMMYFUNCTION("""COMPUTED_VALUE"""),8.75)</f>
        <v>8.75</v>
      </c>
      <c r="F2456">
        <f>IFERROR(__xludf.DUMMYFUNCTION("""COMPUTED_VALUE"""),26.53)</f>
        <v>26.53</v>
      </c>
      <c r="G2456">
        <f>IFERROR(__xludf.DUMMYFUNCTION("""COMPUTED_VALUE"""),0.0)</f>
        <v>0</v>
      </c>
    </row>
    <row r="2457">
      <c r="A2457">
        <f>IFERROR(__xludf.DUMMYFUNCTION("""COMPUTED_VALUE"""),174414.0)</f>
        <v>174414</v>
      </c>
      <c r="B2457" t="str">
        <f>IFERROR(__xludf.DUMMYFUNCTION("""COMPUTED_VALUE"""),"Lamb Australian Imported Fresh Rib Chop/rack Roast Frenched Bone-In Separable Lean And Fat Trimmed To 1/8 Inch Fat Raw")</f>
        <v>Lamb Australian Imported Fresh Rib Chop/rack Roast Frenched Bone-In Separable Lean And Fat Trimmed To 1/8 Inch Fat Raw</v>
      </c>
      <c r="C2457" t="str">
        <f>IFERROR(__xludf.DUMMYFUNCTION("""COMPUTED_VALUE"""),"Meats")</f>
        <v>Meats</v>
      </c>
      <c r="D2457">
        <f>IFERROR(__xludf.DUMMYFUNCTION("""COMPUTED_VALUE"""),237.0)</f>
        <v>237</v>
      </c>
      <c r="E2457">
        <f>IFERROR(__xludf.DUMMYFUNCTION("""COMPUTED_VALUE"""),16.89)</f>
        <v>16.89</v>
      </c>
      <c r="F2457">
        <f>IFERROR(__xludf.DUMMYFUNCTION("""COMPUTED_VALUE"""),21.26)</f>
        <v>21.26</v>
      </c>
      <c r="G2457">
        <f>IFERROR(__xludf.DUMMYFUNCTION("""COMPUTED_VALUE"""),0.0)</f>
        <v>0</v>
      </c>
    </row>
    <row r="2458">
      <c r="A2458">
        <f>IFERROR(__xludf.DUMMYFUNCTION("""COMPUTED_VALUE"""),174415.0)</f>
        <v>174415</v>
      </c>
      <c r="B2458" t="str">
        <f>IFERROR(__xludf.DUMMYFUNCTION("""COMPUTED_VALUE"""),"Lamb Australian Imported Fresh Rib Chop Frenched Bone-In Separable Lean And Fat Trimmed To 1/8 Inch Fat Cooked Grilled")</f>
        <v>Lamb Australian Imported Fresh Rib Chop Frenched Bone-In Separable Lean And Fat Trimmed To 1/8 Inch Fat Cooked Grilled</v>
      </c>
      <c r="C2458" t="str">
        <f>IFERROR(__xludf.DUMMYFUNCTION("""COMPUTED_VALUE"""),"Meats")</f>
        <v>Meats</v>
      </c>
      <c r="D2458">
        <f>IFERROR(__xludf.DUMMYFUNCTION("""COMPUTED_VALUE"""),305.0)</f>
        <v>305</v>
      </c>
      <c r="E2458">
        <f>IFERROR(__xludf.DUMMYFUNCTION("""COMPUTED_VALUE"""),21.2)</f>
        <v>21.2</v>
      </c>
      <c r="F2458">
        <f>IFERROR(__xludf.DUMMYFUNCTION("""COMPUTED_VALUE"""),28.48)</f>
        <v>28.48</v>
      </c>
      <c r="G2458">
        <f>IFERROR(__xludf.DUMMYFUNCTION("""COMPUTED_VALUE"""),0.0)</f>
        <v>0</v>
      </c>
    </row>
    <row r="2459">
      <c r="A2459">
        <f>IFERROR(__xludf.DUMMYFUNCTION("""COMPUTED_VALUE"""),174416.0)</f>
        <v>174416</v>
      </c>
      <c r="B2459" t="str">
        <f>IFERROR(__xludf.DUMMYFUNCTION("""COMPUTED_VALUE"""),"Lamb Australian Imported Fresh Rib Chop/rack Roast Frenched Bone-In Separable Lean Only Trimmed To 1/8 Inch Fat Raw")</f>
        <v>Lamb Australian Imported Fresh Rib Chop/rack Roast Frenched Bone-In Separable Lean Only Trimmed To 1/8 Inch Fat Raw</v>
      </c>
      <c r="C2459" t="str">
        <f>IFERROR(__xludf.DUMMYFUNCTION("""COMPUTED_VALUE"""),"Meats")</f>
        <v>Meats</v>
      </c>
      <c r="D2459">
        <f>IFERROR(__xludf.DUMMYFUNCTION("""COMPUTED_VALUE"""),147.0)</f>
        <v>147</v>
      </c>
      <c r="E2459">
        <f>IFERROR(__xludf.DUMMYFUNCTION("""COMPUTED_VALUE"""),5.59)</f>
        <v>5.59</v>
      </c>
      <c r="F2459">
        <f>IFERROR(__xludf.DUMMYFUNCTION("""COMPUTED_VALUE"""),24.07)</f>
        <v>24.07</v>
      </c>
      <c r="G2459">
        <f>IFERROR(__xludf.DUMMYFUNCTION("""COMPUTED_VALUE"""),0.0)</f>
        <v>0</v>
      </c>
    </row>
    <row r="2460">
      <c r="A2460">
        <f>IFERROR(__xludf.DUMMYFUNCTION("""COMPUTED_VALUE"""),174417.0)</f>
        <v>174417</v>
      </c>
      <c r="B2460" t="str">
        <f>IFERROR(__xludf.DUMMYFUNCTION("""COMPUTED_VALUE"""),"Lamb Australian Imported Fresh Shoulder Arm Separable Lean And Fat Trimmed To 1/8 Inch Fat Raw")</f>
        <v>Lamb Australian Imported Fresh Shoulder Arm Separable Lean And Fat Trimmed To 1/8 Inch Fat Raw</v>
      </c>
      <c r="C2460" t="str">
        <f>IFERROR(__xludf.DUMMYFUNCTION("""COMPUTED_VALUE"""),"Meats")</f>
        <v>Meats</v>
      </c>
      <c r="D2460">
        <f>IFERROR(__xludf.DUMMYFUNCTION("""COMPUTED_VALUE"""),243.0)</f>
        <v>243</v>
      </c>
      <c r="E2460">
        <f>IFERROR(__xludf.DUMMYFUNCTION("""COMPUTED_VALUE"""),18.89)</f>
        <v>18.89</v>
      </c>
      <c r="F2460">
        <f>IFERROR(__xludf.DUMMYFUNCTION("""COMPUTED_VALUE"""),17.06)</f>
        <v>17.06</v>
      </c>
      <c r="G2460">
        <f>IFERROR(__xludf.DUMMYFUNCTION("""COMPUTED_VALUE"""),0.0)</f>
        <v>0</v>
      </c>
    </row>
    <row r="2461">
      <c r="A2461">
        <f>IFERROR(__xludf.DUMMYFUNCTION("""COMPUTED_VALUE"""),174418.0)</f>
        <v>174418</v>
      </c>
      <c r="B2461" t="str">
        <f>IFERROR(__xludf.DUMMYFUNCTION("""COMPUTED_VALUE"""),"Lamb Australian Imported Fresh Shoulder Arm Separable Lean And Fat Trimmed To 1/8 Inch Fat Cooked Braised")</f>
        <v>Lamb Australian Imported Fresh Shoulder Arm Separable Lean And Fat Trimmed To 1/8 Inch Fat Cooked Braised</v>
      </c>
      <c r="C2461" t="str">
        <f>IFERROR(__xludf.DUMMYFUNCTION("""COMPUTED_VALUE"""),"Meats")</f>
        <v>Meats</v>
      </c>
      <c r="D2461">
        <f>IFERROR(__xludf.DUMMYFUNCTION("""COMPUTED_VALUE"""),311.0)</f>
        <v>311</v>
      </c>
      <c r="E2461">
        <f>IFERROR(__xludf.DUMMYFUNCTION("""COMPUTED_VALUE"""),20.38)</f>
        <v>20.38</v>
      </c>
      <c r="F2461">
        <f>IFERROR(__xludf.DUMMYFUNCTION("""COMPUTED_VALUE"""),29.7)</f>
        <v>29.7</v>
      </c>
      <c r="G2461">
        <f>IFERROR(__xludf.DUMMYFUNCTION("""COMPUTED_VALUE"""),0.0)</f>
        <v>0</v>
      </c>
    </row>
    <row r="2462">
      <c r="A2462">
        <f>IFERROR(__xludf.DUMMYFUNCTION("""COMPUTED_VALUE"""),174419.0)</f>
        <v>174419</v>
      </c>
      <c r="B2462" t="str">
        <f>IFERROR(__xludf.DUMMYFUNCTION("""COMPUTED_VALUE"""),"Lamb Australian Imported Fresh Shoulder Arm Separable Lean Only Trimmed To 1/8 Inch Fat Raw")</f>
        <v>Lamb Australian Imported Fresh Shoulder Arm Separable Lean Only Trimmed To 1/8 Inch Fat Raw</v>
      </c>
      <c r="C2462" t="str">
        <f>IFERROR(__xludf.DUMMYFUNCTION("""COMPUTED_VALUE"""),"Meats")</f>
        <v>Meats</v>
      </c>
      <c r="D2462">
        <f>IFERROR(__xludf.DUMMYFUNCTION("""COMPUTED_VALUE"""),137.0)</f>
        <v>137</v>
      </c>
      <c r="E2462">
        <f>IFERROR(__xludf.DUMMYFUNCTION("""COMPUTED_VALUE"""),5.81)</f>
        <v>5.81</v>
      </c>
      <c r="F2462">
        <f>IFERROR(__xludf.DUMMYFUNCTION("""COMPUTED_VALUE"""),19.88)</f>
        <v>19.88</v>
      </c>
      <c r="G2462">
        <f>IFERROR(__xludf.DUMMYFUNCTION("""COMPUTED_VALUE"""),0.0)</f>
        <v>0</v>
      </c>
    </row>
    <row r="2463">
      <c r="A2463">
        <f>IFERROR(__xludf.DUMMYFUNCTION("""COMPUTED_VALUE"""),174420.0)</f>
        <v>174420</v>
      </c>
      <c r="B2463" t="str">
        <f>IFERROR(__xludf.DUMMYFUNCTION("""COMPUTED_VALUE"""),"Lamb Australian Imported Fresh Shoulder Arm Separable Lean Only   Trimmed To 1/8 Inch Fat Cooked Braised")</f>
        <v>Lamb Australian Imported Fresh Shoulder Arm Separable Lean Only   Trimmed To 1/8 Inch Fat Cooked Braised</v>
      </c>
      <c r="C2463" t="str">
        <f>IFERROR(__xludf.DUMMYFUNCTION("""COMPUTED_VALUE"""),"Meats")</f>
        <v>Meats</v>
      </c>
      <c r="D2463">
        <f>IFERROR(__xludf.DUMMYFUNCTION("""COMPUTED_VALUE"""),238.0)</f>
        <v>238</v>
      </c>
      <c r="E2463">
        <f>IFERROR(__xludf.DUMMYFUNCTION("""COMPUTED_VALUE"""),10.23)</f>
        <v>10.23</v>
      </c>
      <c r="F2463">
        <f>IFERROR(__xludf.DUMMYFUNCTION("""COMPUTED_VALUE"""),34.17)</f>
        <v>34.17</v>
      </c>
      <c r="G2463">
        <f>IFERROR(__xludf.DUMMYFUNCTION("""COMPUTED_VALUE"""),0.0)</f>
        <v>0</v>
      </c>
    </row>
    <row r="2464">
      <c r="A2464">
        <f>IFERROR(__xludf.DUMMYFUNCTION("""COMPUTED_VALUE"""),174421.0)</f>
        <v>174421</v>
      </c>
      <c r="B2464" t="str">
        <f>IFERROR(__xludf.DUMMYFUNCTION("""COMPUTED_VALUE"""),"Game Meat  Bison Ground Raw")</f>
        <v>Game Meat  Bison Ground Raw</v>
      </c>
      <c r="C2464" t="str">
        <f>IFERROR(__xludf.DUMMYFUNCTION("""COMPUTED_VALUE"""),"Meats")</f>
        <v>Meats</v>
      </c>
      <c r="D2464">
        <f>IFERROR(__xludf.DUMMYFUNCTION("""COMPUTED_VALUE"""),223.0)</f>
        <v>223</v>
      </c>
      <c r="E2464">
        <f>IFERROR(__xludf.DUMMYFUNCTION("""COMPUTED_VALUE"""),15.93)</f>
        <v>15.93</v>
      </c>
      <c r="F2464">
        <f>IFERROR(__xludf.DUMMYFUNCTION("""COMPUTED_VALUE"""),18.67)</f>
        <v>18.67</v>
      </c>
      <c r="G2464">
        <f>IFERROR(__xludf.DUMMYFUNCTION("""COMPUTED_VALUE"""),0.0)</f>
        <v>0</v>
      </c>
    </row>
    <row r="2465">
      <c r="A2465">
        <f>IFERROR(__xludf.DUMMYFUNCTION("""COMPUTED_VALUE"""),174422.0)</f>
        <v>174422</v>
      </c>
      <c r="B2465" t="str">
        <f>IFERROR(__xludf.DUMMYFUNCTION("""COMPUTED_VALUE"""),"Pan-Broiled Ground Bison")</f>
        <v>Pan-Broiled Ground Bison</v>
      </c>
      <c r="C2465" t="str">
        <f>IFERROR(__xludf.DUMMYFUNCTION("""COMPUTED_VALUE"""),"Meats")</f>
        <v>Meats</v>
      </c>
      <c r="D2465">
        <f>IFERROR(__xludf.DUMMYFUNCTION("""COMPUTED_VALUE"""),238.0)</f>
        <v>238</v>
      </c>
      <c r="E2465">
        <f>IFERROR(__xludf.DUMMYFUNCTION("""COMPUTED_VALUE"""),15.13)</f>
        <v>15.13</v>
      </c>
      <c r="F2465">
        <f>IFERROR(__xludf.DUMMYFUNCTION("""COMPUTED_VALUE"""),23.77)</f>
        <v>23.77</v>
      </c>
      <c r="G2465">
        <f>IFERROR(__xludf.DUMMYFUNCTION("""COMPUTED_VALUE"""),0.0)</f>
        <v>0</v>
      </c>
    </row>
    <row r="2466">
      <c r="A2466">
        <f>IFERROR(__xludf.DUMMYFUNCTION("""COMPUTED_VALUE"""),174423.0)</f>
        <v>174423</v>
      </c>
      <c r="B2466" t="str">
        <f>IFERROR(__xludf.DUMMYFUNCTION("""COMPUTED_VALUE"""),"Buffalo Sirloin Steak")</f>
        <v>Buffalo Sirloin Steak</v>
      </c>
      <c r="C2466" t="str">
        <f>IFERROR(__xludf.DUMMYFUNCTION("""COMPUTED_VALUE"""),"Meats")</f>
        <v>Meats</v>
      </c>
      <c r="D2466">
        <f>IFERROR(__xludf.DUMMYFUNCTION("""COMPUTED_VALUE"""),171.0)</f>
        <v>171</v>
      </c>
      <c r="E2466">
        <f>IFERROR(__xludf.DUMMYFUNCTION("""COMPUTED_VALUE"""),5.65)</f>
        <v>5.65</v>
      </c>
      <c r="F2466">
        <f>IFERROR(__xludf.DUMMYFUNCTION("""COMPUTED_VALUE"""),28.05)</f>
        <v>28.05</v>
      </c>
      <c r="G2466">
        <f>IFERROR(__xludf.DUMMYFUNCTION("""COMPUTED_VALUE"""),0.0)</f>
        <v>0</v>
      </c>
    </row>
    <row r="2467">
      <c r="A2467">
        <f>IFERROR(__xludf.DUMMYFUNCTION("""COMPUTED_VALUE"""),174424.0)</f>
        <v>174424</v>
      </c>
      <c r="B2467" t="str">
        <f>IFERROR(__xludf.DUMMYFUNCTION("""COMPUTED_VALUE"""),"Game Meat Bison Chuck Shoulder Clod Separable Lean Only Cooked Braised")</f>
        <v>Game Meat Bison Chuck Shoulder Clod Separable Lean Only Cooked Braised</v>
      </c>
      <c r="C2467" t="str">
        <f>IFERROR(__xludf.DUMMYFUNCTION("""COMPUTED_VALUE"""),"Meats")</f>
        <v>Meats</v>
      </c>
      <c r="D2467">
        <f>IFERROR(__xludf.DUMMYFUNCTION("""COMPUTED_VALUE"""),193.0)</f>
        <v>193</v>
      </c>
      <c r="E2467">
        <f>IFERROR(__xludf.DUMMYFUNCTION("""COMPUTED_VALUE"""),5.43)</f>
        <v>5.43</v>
      </c>
      <c r="F2467">
        <f>IFERROR(__xludf.DUMMYFUNCTION("""COMPUTED_VALUE"""),33.78)</f>
        <v>33.78</v>
      </c>
      <c r="G2467">
        <f>IFERROR(__xludf.DUMMYFUNCTION("""COMPUTED_VALUE"""),0.0)</f>
        <v>0</v>
      </c>
    </row>
    <row r="2468">
      <c r="A2468">
        <f>IFERROR(__xludf.DUMMYFUNCTION("""COMPUTED_VALUE"""),174425.0)</f>
        <v>174425</v>
      </c>
      <c r="B2468" t="str">
        <f>IFERROR(__xludf.DUMMYFUNCTION("""COMPUTED_VALUE"""),"Game Meat Elk Ground Raw")</f>
        <v>Game Meat Elk Ground Raw</v>
      </c>
      <c r="C2468" t="str">
        <f>IFERROR(__xludf.DUMMYFUNCTION("""COMPUTED_VALUE"""),"Meats")</f>
        <v>Meats</v>
      </c>
      <c r="D2468">
        <f>IFERROR(__xludf.DUMMYFUNCTION("""COMPUTED_VALUE"""),172.0)</f>
        <v>172</v>
      </c>
      <c r="E2468">
        <f>IFERROR(__xludf.DUMMYFUNCTION("""COMPUTED_VALUE"""),8.82)</f>
        <v>8.82</v>
      </c>
      <c r="F2468">
        <f>IFERROR(__xludf.DUMMYFUNCTION("""COMPUTED_VALUE"""),21.76)</f>
        <v>21.76</v>
      </c>
      <c r="G2468">
        <f>IFERROR(__xludf.DUMMYFUNCTION("""COMPUTED_VALUE"""),0.0)</f>
        <v>0</v>
      </c>
    </row>
    <row r="2469">
      <c r="A2469">
        <f>IFERROR(__xludf.DUMMYFUNCTION("""COMPUTED_VALUE"""),174426.0)</f>
        <v>174426</v>
      </c>
      <c r="B2469" t="str">
        <f>IFERROR(__xludf.DUMMYFUNCTION("""COMPUTED_VALUE"""),"Game Meat Elk Ground Cooked Pan-Broiled")</f>
        <v>Game Meat Elk Ground Cooked Pan-Broiled</v>
      </c>
      <c r="C2469" t="str">
        <f>IFERROR(__xludf.DUMMYFUNCTION("""COMPUTED_VALUE"""),"Meats")</f>
        <v>Meats</v>
      </c>
      <c r="D2469">
        <f>IFERROR(__xludf.DUMMYFUNCTION("""COMPUTED_VALUE"""),193.0)</f>
        <v>193</v>
      </c>
      <c r="E2469">
        <f>IFERROR(__xludf.DUMMYFUNCTION("""COMPUTED_VALUE"""),8.74)</f>
        <v>8.74</v>
      </c>
      <c r="F2469">
        <f>IFERROR(__xludf.DUMMYFUNCTION("""COMPUTED_VALUE"""),26.64)</f>
        <v>26.64</v>
      </c>
      <c r="G2469">
        <f>IFERROR(__xludf.DUMMYFUNCTION("""COMPUTED_VALUE"""),0.0)</f>
        <v>0</v>
      </c>
    </row>
    <row r="2470">
      <c r="A2470">
        <f>IFERROR(__xludf.DUMMYFUNCTION("""COMPUTED_VALUE"""),174427.0)</f>
        <v>174427</v>
      </c>
      <c r="B2470" t="str">
        <f>IFERROR(__xludf.DUMMYFUNCTION("""COMPUTED_VALUE"""),"Game Meat Elk Loin Separable Lean Only Cooked Broiled")</f>
        <v>Game Meat Elk Loin Separable Lean Only Cooked Broiled</v>
      </c>
      <c r="C2470" t="str">
        <f>IFERROR(__xludf.DUMMYFUNCTION("""COMPUTED_VALUE"""),"Meats")</f>
        <v>Meats</v>
      </c>
      <c r="D2470">
        <f>IFERROR(__xludf.DUMMYFUNCTION("""COMPUTED_VALUE"""),167.0)</f>
        <v>167</v>
      </c>
      <c r="E2470">
        <f>IFERROR(__xludf.DUMMYFUNCTION("""COMPUTED_VALUE"""),3.84)</f>
        <v>3.84</v>
      </c>
      <c r="F2470">
        <f>IFERROR(__xludf.DUMMYFUNCTION("""COMPUTED_VALUE"""),31.0)</f>
        <v>31</v>
      </c>
      <c r="G2470">
        <f>IFERROR(__xludf.DUMMYFUNCTION("""COMPUTED_VALUE"""),0.0)</f>
        <v>0</v>
      </c>
    </row>
    <row r="2471">
      <c r="A2471">
        <f>IFERROR(__xludf.DUMMYFUNCTION("""COMPUTED_VALUE"""),174428.0)</f>
        <v>174428</v>
      </c>
      <c r="B2471" t="str">
        <f>IFERROR(__xludf.DUMMYFUNCTION("""COMPUTED_VALUE"""),"Game Meat Elk Round Separable Lean Only Cooked Broiled")</f>
        <v>Game Meat Elk Round Separable Lean Only Cooked Broiled</v>
      </c>
      <c r="C2471" t="str">
        <f>IFERROR(__xludf.DUMMYFUNCTION("""COMPUTED_VALUE"""),"Meats")</f>
        <v>Meats</v>
      </c>
      <c r="D2471">
        <f>IFERROR(__xludf.DUMMYFUNCTION("""COMPUTED_VALUE"""),156.0)</f>
        <v>156</v>
      </c>
      <c r="E2471">
        <f>IFERROR(__xludf.DUMMYFUNCTION("""COMPUTED_VALUE"""),2.64)</f>
        <v>2.64</v>
      </c>
      <c r="F2471">
        <f>IFERROR(__xludf.DUMMYFUNCTION("""COMPUTED_VALUE"""),30.94)</f>
        <v>30.94</v>
      </c>
      <c r="G2471">
        <f>IFERROR(__xludf.DUMMYFUNCTION("""COMPUTED_VALUE"""),0.0)</f>
        <v>0</v>
      </c>
    </row>
    <row r="2472">
      <c r="A2472">
        <f>IFERROR(__xludf.DUMMYFUNCTION("""COMPUTED_VALUE"""),174429.0)</f>
        <v>174429</v>
      </c>
      <c r="B2472" t="str">
        <f>IFERROR(__xludf.DUMMYFUNCTION("""COMPUTED_VALUE"""),"Game Meat Elk Tenderloin Separable Lean Only Cooked Broiled")</f>
        <v>Game Meat Elk Tenderloin Separable Lean Only Cooked Broiled</v>
      </c>
      <c r="C2472" t="str">
        <f>IFERROR(__xludf.DUMMYFUNCTION("""COMPUTED_VALUE"""),"Meats")</f>
        <v>Meats</v>
      </c>
      <c r="D2472">
        <f>IFERROR(__xludf.DUMMYFUNCTION("""COMPUTED_VALUE"""),162.0)</f>
        <v>162</v>
      </c>
      <c r="E2472">
        <f>IFERROR(__xludf.DUMMYFUNCTION("""COMPUTED_VALUE"""),3.41)</f>
        <v>3.41</v>
      </c>
      <c r="F2472">
        <f>IFERROR(__xludf.DUMMYFUNCTION("""COMPUTED_VALUE"""),30.76)</f>
        <v>30.76</v>
      </c>
      <c r="G2472">
        <f>IFERROR(__xludf.DUMMYFUNCTION("""COMPUTED_VALUE"""),0.0)</f>
        <v>0</v>
      </c>
    </row>
    <row r="2473">
      <c r="A2473">
        <f>IFERROR(__xludf.DUMMYFUNCTION("""COMPUTED_VALUE"""),174430.0)</f>
        <v>174430</v>
      </c>
      <c r="B2473" t="str">
        <f>IFERROR(__xludf.DUMMYFUNCTION("""COMPUTED_VALUE"""),"Cooked Deer Tenderloin")</f>
        <v>Cooked Deer Tenderloin</v>
      </c>
      <c r="C2473" t="str">
        <f>IFERROR(__xludf.DUMMYFUNCTION("""COMPUTED_VALUE"""),"Meats")</f>
        <v>Meats</v>
      </c>
      <c r="D2473">
        <f>IFERROR(__xludf.DUMMYFUNCTION("""COMPUTED_VALUE"""),149.0)</f>
        <v>149</v>
      </c>
      <c r="E2473">
        <f>IFERROR(__xludf.DUMMYFUNCTION("""COMPUTED_VALUE"""),2.35)</f>
        <v>2.35</v>
      </c>
      <c r="F2473">
        <f>IFERROR(__xludf.DUMMYFUNCTION("""COMPUTED_VALUE"""),29.9)</f>
        <v>29.9</v>
      </c>
      <c r="G2473">
        <f>IFERROR(__xludf.DUMMYFUNCTION("""COMPUTED_VALUE"""),0.0)</f>
        <v>0</v>
      </c>
    </row>
    <row r="2474">
      <c r="A2474">
        <f>IFERROR(__xludf.DUMMYFUNCTION("""COMPUTED_VALUE"""),174431.0)</f>
        <v>174431</v>
      </c>
      <c r="B2474" t="str">
        <f>IFERROR(__xludf.DUMMYFUNCTION("""COMPUTED_VALUE"""),"Game Meat Deer Top Round Separable Lean Only 1 Inch Steak Cooked Broiled")</f>
        <v>Game Meat Deer Top Round Separable Lean Only 1 Inch Steak Cooked Broiled</v>
      </c>
      <c r="C2474" t="str">
        <f>IFERROR(__xludf.DUMMYFUNCTION("""COMPUTED_VALUE"""),"Meats")</f>
        <v>Meats</v>
      </c>
      <c r="D2474">
        <f>IFERROR(__xludf.DUMMYFUNCTION("""COMPUTED_VALUE"""),152.0)</f>
        <v>152</v>
      </c>
      <c r="E2474">
        <f>IFERROR(__xludf.DUMMYFUNCTION("""COMPUTED_VALUE"""),1.92)</f>
        <v>1.92</v>
      </c>
      <c r="F2474">
        <f>IFERROR(__xludf.DUMMYFUNCTION("""COMPUTED_VALUE"""),31.47)</f>
        <v>31.47</v>
      </c>
      <c r="G2474">
        <f>IFERROR(__xludf.DUMMYFUNCTION("""COMPUTED_VALUE"""),0.0)</f>
        <v>0</v>
      </c>
    </row>
    <row r="2475">
      <c r="A2475">
        <f>IFERROR(__xludf.DUMMYFUNCTION("""COMPUTED_VALUE"""),174432.0)</f>
        <v>174432</v>
      </c>
      <c r="B2475" t="str">
        <f>IFERROR(__xludf.DUMMYFUNCTION("""COMPUTED_VALUE"""),"Veal Australian Shank Fore Bone-In Separable Lean Only Raw")</f>
        <v>Veal Australian Shank Fore Bone-In Separable Lean Only Raw</v>
      </c>
      <c r="C2475" t="str">
        <f>IFERROR(__xludf.DUMMYFUNCTION("""COMPUTED_VALUE"""),"Meats")</f>
        <v>Meats</v>
      </c>
      <c r="D2475">
        <f>IFERROR(__xludf.DUMMYFUNCTION("""COMPUTED_VALUE"""),123.0)</f>
        <v>123</v>
      </c>
      <c r="E2475">
        <f>IFERROR(__xludf.DUMMYFUNCTION("""COMPUTED_VALUE"""),4.65)</f>
        <v>4.65</v>
      </c>
      <c r="F2475">
        <f>IFERROR(__xludf.DUMMYFUNCTION("""COMPUTED_VALUE"""),20.18)</f>
        <v>20.18</v>
      </c>
      <c r="G2475">
        <f>IFERROR(__xludf.DUMMYFUNCTION("""COMPUTED_VALUE"""),0.0)</f>
        <v>0</v>
      </c>
    </row>
    <row r="2476">
      <c r="A2476">
        <f>IFERROR(__xludf.DUMMYFUNCTION("""COMPUTED_VALUE"""),174433.0)</f>
        <v>174433</v>
      </c>
      <c r="B2476" t="str">
        <f>IFERROR(__xludf.DUMMYFUNCTION("""COMPUTED_VALUE"""),"Veal Australian Shank Fore Bone-In Separable Lean And Fat Raw")</f>
        <v>Veal Australian Shank Fore Bone-In Separable Lean And Fat Raw</v>
      </c>
      <c r="C2476" t="str">
        <f>IFERROR(__xludf.DUMMYFUNCTION("""COMPUTED_VALUE"""),"Meats")</f>
        <v>Meats</v>
      </c>
      <c r="D2476">
        <f>IFERROR(__xludf.DUMMYFUNCTION("""COMPUTED_VALUE"""),145.0)</f>
        <v>145</v>
      </c>
      <c r="E2476">
        <f>IFERROR(__xludf.DUMMYFUNCTION("""COMPUTED_VALUE"""),7.42)</f>
        <v>7.42</v>
      </c>
      <c r="F2476">
        <f>IFERROR(__xludf.DUMMYFUNCTION("""COMPUTED_VALUE"""),19.58)</f>
        <v>19.58</v>
      </c>
      <c r="G2476">
        <f>IFERROR(__xludf.DUMMYFUNCTION("""COMPUTED_VALUE"""),0.0)</f>
        <v>0</v>
      </c>
    </row>
    <row r="2477">
      <c r="A2477">
        <f>IFERROR(__xludf.DUMMYFUNCTION("""COMPUTED_VALUE"""),174434.0)</f>
        <v>174434</v>
      </c>
      <c r="B2477" t="str">
        <f>IFERROR(__xludf.DUMMYFUNCTION("""COMPUTED_VALUE"""),"Lamb New Zealand Imported Intermuscular Fat Raw")</f>
        <v>Lamb New Zealand Imported Intermuscular Fat Raw</v>
      </c>
      <c r="C2477" t="str">
        <f>IFERROR(__xludf.DUMMYFUNCTION("""COMPUTED_VALUE"""),"Meats")</f>
        <v>Meats</v>
      </c>
      <c r="D2477">
        <f>IFERROR(__xludf.DUMMYFUNCTION("""COMPUTED_VALUE"""),640.0)</f>
        <v>640</v>
      </c>
      <c r="E2477">
        <f>IFERROR(__xludf.DUMMYFUNCTION("""COMPUTED_VALUE"""),68.53)</f>
        <v>68.53</v>
      </c>
      <c r="F2477">
        <f>IFERROR(__xludf.DUMMYFUNCTION("""COMPUTED_VALUE"""),4.63)</f>
        <v>4.63</v>
      </c>
      <c r="G2477">
        <f>IFERROR(__xludf.DUMMYFUNCTION("""COMPUTED_VALUE"""),1.26)</f>
        <v>1.26</v>
      </c>
    </row>
    <row r="2478">
      <c r="A2478">
        <f>IFERROR(__xludf.DUMMYFUNCTION("""COMPUTED_VALUE"""),174435.0)</f>
        <v>174435</v>
      </c>
      <c r="B2478" t="str">
        <f>IFERROR(__xludf.DUMMYFUNCTION("""COMPUTED_VALUE"""),"Lamb New Zealand Imported Subcutaneous Fat Raw")</f>
        <v>Lamb New Zealand Imported Subcutaneous Fat Raw</v>
      </c>
      <c r="C2478" t="str">
        <f>IFERROR(__xludf.DUMMYFUNCTION("""COMPUTED_VALUE"""),"Meats")</f>
        <v>Meats</v>
      </c>
      <c r="D2478">
        <f>IFERROR(__xludf.DUMMYFUNCTION("""COMPUTED_VALUE"""),703.0)</f>
        <v>703</v>
      </c>
      <c r="E2478">
        <f>IFERROR(__xludf.DUMMYFUNCTION("""COMPUTED_VALUE"""),76.16)</f>
        <v>76.16</v>
      </c>
      <c r="F2478">
        <f>IFERROR(__xludf.DUMMYFUNCTION("""COMPUTED_VALUE"""),3.87)</f>
        <v>3.87</v>
      </c>
      <c r="G2478">
        <f>IFERROR(__xludf.DUMMYFUNCTION("""COMPUTED_VALUE"""),0.55)</f>
        <v>0.55</v>
      </c>
    </row>
    <row r="2479">
      <c r="A2479">
        <f>IFERROR(__xludf.DUMMYFUNCTION("""COMPUTED_VALUE"""),174436.0)</f>
        <v>174436</v>
      </c>
      <c r="B2479" t="str">
        <f>IFERROR(__xludf.DUMMYFUNCTION("""COMPUTED_VALUE"""),"Lamb New Zealand Imported Brains Cooked Soaked And Fried")</f>
        <v>Lamb New Zealand Imported Brains Cooked Soaked And Fried</v>
      </c>
      <c r="C2479" t="str">
        <f>IFERROR(__xludf.DUMMYFUNCTION("""COMPUTED_VALUE"""),"Meats")</f>
        <v>Meats</v>
      </c>
      <c r="D2479">
        <f>IFERROR(__xludf.DUMMYFUNCTION("""COMPUTED_VALUE"""),154.0)</f>
        <v>154</v>
      </c>
      <c r="E2479">
        <f>IFERROR(__xludf.DUMMYFUNCTION("""COMPUTED_VALUE"""),10.92)</f>
        <v>10.92</v>
      </c>
      <c r="F2479">
        <f>IFERROR(__xludf.DUMMYFUNCTION("""COMPUTED_VALUE"""),14.03)</f>
        <v>14.03</v>
      </c>
      <c r="G2479">
        <f>IFERROR(__xludf.DUMMYFUNCTION("""COMPUTED_VALUE"""),0.0)</f>
        <v>0</v>
      </c>
    </row>
    <row r="2480">
      <c r="A2480">
        <f>IFERROR(__xludf.DUMMYFUNCTION("""COMPUTED_VALUE"""),174437.0)</f>
        <v>174437</v>
      </c>
      <c r="B2480" t="str">
        <f>IFERROR(__xludf.DUMMYFUNCTION("""COMPUTED_VALUE"""),"Lamb New Zealand Imported Brains Raw")</f>
        <v>Lamb New Zealand Imported Brains Raw</v>
      </c>
      <c r="C2480" t="str">
        <f>IFERROR(__xludf.DUMMYFUNCTION("""COMPUTED_VALUE"""),"Meats")</f>
        <v>Meats</v>
      </c>
      <c r="D2480">
        <f>IFERROR(__xludf.DUMMYFUNCTION("""COMPUTED_VALUE"""),118.0)</f>
        <v>118</v>
      </c>
      <c r="E2480">
        <f>IFERROR(__xludf.DUMMYFUNCTION("""COMPUTED_VALUE"""),8.03)</f>
        <v>8.03</v>
      </c>
      <c r="F2480">
        <f>IFERROR(__xludf.DUMMYFUNCTION("""COMPUTED_VALUE"""),11.33)</f>
        <v>11.33</v>
      </c>
      <c r="G2480">
        <f>IFERROR(__xludf.DUMMYFUNCTION("""COMPUTED_VALUE"""),0.0)</f>
        <v>0</v>
      </c>
    </row>
    <row r="2481">
      <c r="A2481">
        <f>IFERROR(__xludf.DUMMYFUNCTION("""COMPUTED_VALUE"""),174438.0)</f>
        <v>174438</v>
      </c>
      <c r="B2481" t="str">
        <f>IFERROR(__xludf.DUMMYFUNCTION("""COMPUTED_VALUE"""),"Lamb New Zealand Imported Chump Boneless Separable Lean Only Raw")</f>
        <v>Lamb New Zealand Imported Chump Boneless Separable Lean Only Raw</v>
      </c>
      <c r="C2481" t="str">
        <f>IFERROR(__xludf.DUMMYFUNCTION("""COMPUTED_VALUE"""),"Meats")</f>
        <v>Meats</v>
      </c>
      <c r="D2481">
        <f>IFERROR(__xludf.DUMMYFUNCTION("""COMPUTED_VALUE"""),121.0)</f>
        <v>121</v>
      </c>
      <c r="E2481">
        <f>IFERROR(__xludf.DUMMYFUNCTION("""COMPUTED_VALUE"""),3.83)</f>
        <v>3.83</v>
      </c>
      <c r="F2481">
        <f>IFERROR(__xludf.DUMMYFUNCTION("""COMPUTED_VALUE"""),21.68)</f>
        <v>21.68</v>
      </c>
      <c r="G2481">
        <f>IFERROR(__xludf.DUMMYFUNCTION("""COMPUTED_VALUE"""),0.0)</f>
        <v>0</v>
      </c>
    </row>
    <row r="2482">
      <c r="A2482">
        <f>IFERROR(__xludf.DUMMYFUNCTION("""COMPUTED_VALUE"""),174439.0)</f>
        <v>174439</v>
      </c>
      <c r="B2482" t="str">
        <f>IFERROR(__xludf.DUMMYFUNCTION("""COMPUTED_VALUE"""),"Lamb New Zealand Imported Kidney Cooked Soaked And Fried")</f>
        <v>Lamb New Zealand Imported Kidney Cooked Soaked And Fried</v>
      </c>
      <c r="C2482" t="str">
        <f>IFERROR(__xludf.DUMMYFUNCTION("""COMPUTED_VALUE"""),"Meats")</f>
        <v>Meats</v>
      </c>
      <c r="D2482">
        <f>IFERROR(__xludf.DUMMYFUNCTION("""COMPUTED_VALUE"""),112.0)</f>
        <v>112</v>
      </c>
      <c r="E2482">
        <f>IFERROR(__xludf.DUMMYFUNCTION("""COMPUTED_VALUE"""),3.56)</f>
        <v>3.56</v>
      </c>
      <c r="F2482">
        <f>IFERROR(__xludf.DUMMYFUNCTION("""COMPUTED_VALUE"""),19.78)</f>
        <v>19.78</v>
      </c>
      <c r="G2482">
        <f>IFERROR(__xludf.DUMMYFUNCTION("""COMPUTED_VALUE"""),0.18)</f>
        <v>0.18</v>
      </c>
    </row>
    <row r="2483">
      <c r="A2483">
        <f>IFERROR(__xludf.DUMMYFUNCTION("""COMPUTED_VALUE"""),174440.0)</f>
        <v>174440</v>
      </c>
      <c r="B2483" t="str">
        <f>IFERROR(__xludf.DUMMYFUNCTION("""COMPUTED_VALUE"""),"Lamb New Zealand Imported Flap Boneless Separable Lean Only Cooked Braised")</f>
        <v>Lamb New Zealand Imported Flap Boneless Separable Lean Only Cooked Braised</v>
      </c>
      <c r="C2483" t="str">
        <f>IFERROR(__xludf.DUMMYFUNCTION("""COMPUTED_VALUE"""),"Meats")</f>
        <v>Meats</v>
      </c>
      <c r="D2483">
        <f>IFERROR(__xludf.DUMMYFUNCTION("""COMPUTED_VALUE"""),234.0)</f>
        <v>234</v>
      </c>
      <c r="E2483">
        <f>IFERROR(__xludf.DUMMYFUNCTION("""COMPUTED_VALUE"""),13.6)</f>
        <v>13.6</v>
      </c>
      <c r="F2483">
        <f>IFERROR(__xludf.DUMMYFUNCTION("""COMPUTED_VALUE"""),27.88)</f>
        <v>27.88</v>
      </c>
      <c r="G2483">
        <f>IFERROR(__xludf.DUMMYFUNCTION("""COMPUTED_VALUE"""),0.0)</f>
        <v>0</v>
      </c>
    </row>
    <row r="2484">
      <c r="A2484">
        <f>IFERROR(__xludf.DUMMYFUNCTION("""COMPUTED_VALUE"""),174441.0)</f>
        <v>174441</v>
      </c>
      <c r="B2484" t="str">
        <f>IFERROR(__xludf.DUMMYFUNCTION("""COMPUTED_VALUE"""),"Lamb New Zealand Imported Flap Boneless Separable Lean Only Raw")</f>
        <v>Lamb New Zealand Imported Flap Boneless Separable Lean Only Raw</v>
      </c>
      <c r="C2484" t="str">
        <f>IFERROR(__xludf.DUMMYFUNCTION("""COMPUTED_VALUE"""),"Meats")</f>
        <v>Meats</v>
      </c>
      <c r="D2484">
        <f>IFERROR(__xludf.DUMMYFUNCTION("""COMPUTED_VALUE"""),180.0)</f>
        <v>180</v>
      </c>
      <c r="E2484">
        <f>IFERROR(__xludf.DUMMYFUNCTION("""COMPUTED_VALUE"""),10.31)</f>
        <v>10.31</v>
      </c>
      <c r="F2484">
        <f>IFERROR(__xludf.DUMMYFUNCTION("""COMPUTED_VALUE"""),21.72)</f>
        <v>21.72</v>
      </c>
      <c r="G2484">
        <f>IFERROR(__xludf.DUMMYFUNCTION("""COMPUTED_VALUE"""),0.0)</f>
        <v>0</v>
      </c>
    </row>
    <row r="2485">
      <c r="A2485">
        <f>IFERROR(__xludf.DUMMYFUNCTION("""COMPUTED_VALUE"""),174442.0)</f>
        <v>174442</v>
      </c>
      <c r="B2485" t="str">
        <f>IFERROR(__xludf.DUMMYFUNCTION("""COMPUTED_VALUE"""),"Lamb New Zealand Imported Kidney Raw")</f>
        <v>Lamb New Zealand Imported Kidney Raw</v>
      </c>
      <c r="C2485" t="str">
        <f>IFERROR(__xludf.DUMMYFUNCTION("""COMPUTED_VALUE"""),"Meats")</f>
        <v>Meats</v>
      </c>
      <c r="D2485">
        <f>IFERROR(__xludf.DUMMYFUNCTION("""COMPUTED_VALUE"""),84.0)</f>
        <v>84</v>
      </c>
      <c r="E2485">
        <f>IFERROR(__xludf.DUMMYFUNCTION("""COMPUTED_VALUE"""),2.54)</f>
        <v>2.54</v>
      </c>
      <c r="F2485">
        <f>IFERROR(__xludf.DUMMYFUNCTION("""COMPUTED_VALUE"""),15.21)</f>
        <v>15.21</v>
      </c>
      <c r="G2485">
        <f>IFERROR(__xludf.DUMMYFUNCTION("""COMPUTED_VALUE"""),0.03)</f>
        <v>0.03</v>
      </c>
    </row>
    <row r="2486">
      <c r="A2486">
        <f>IFERROR(__xludf.DUMMYFUNCTION("""COMPUTED_VALUE"""),174443.0)</f>
        <v>174443</v>
      </c>
      <c r="B2486" t="str">
        <f>IFERROR(__xludf.DUMMYFUNCTION("""COMPUTED_VALUE"""),"Lamb New Zealand Imported Heart Cooked Soaked And Simmered")</f>
        <v>Lamb New Zealand Imported Heart Cooked Soaked And Simmered</v>
      </c>
      <c r="C2486" t="str">
        <f>IFERROR(__xludf.DUMMYFUNCTION("""COMPUTED_VALUE"""),"Meats")</f>
        <v>Meats</v>
      </c>
      <c r="D2486">
        <f>IFERROR(__xludf.DUMMYFUNCTION("""COMPUTED_VALUE"""),161.0)</f>
        <v>161</v>
      </c>
      <c r="E2486">
        <f>IFERROR(__xludf.DUMMYFUNCTION("""COMPUTED_VALUE"""),6.21)</f>
        <v>6.21</v>
      </c>
      <c r="F2486">
        <f>IFERROR(__xludf.DUMMYFUNCTION("""COMPUTED_VALUE"""),26.26)</f>
        <v>26.26</v>
      </c>
      <c r="G2486">
        <f>IFERROR(__xludf.DUMMYFUNCTION("""COMPUTED_VALUE"""),0.0)</f>
        <v>0</v>
      </c>
    </row>
    <row r="2487">
      <c r="A2487">
        <f>IFERROR(__xludf.DUMMYFUNCTION("""COMPUTED_VALUE"""),174444.0)</f>
        <v>174444</v>
      </c>
      <c r="B2487" t="str">
        <f>IFERROR(__xludf.DUMMYFUNCTION("""COMPUTED_VALUE"""),"Lamb New Zealand Imported Heart Raw")</f>
        <v>Lamb New Zealand Imported Heart Raw</v>
      </c>
      <c r="C2487" t="str">
        <f>IFERROR(__xludf.DUMMYFUNCTION("""COMPUTED_VALUE"""),"Meats")</f>
        <v>Meats</v>
      </c>
      <c r="D2487">
        <f>IFERROR(__xludf.DUMMYFUNCTION("""COMPUTED_VALUE"""),105.0)</f>
        <v>105</v>
      </c>
      <c r="E2487">
        <f>IFERROR(__xludf.DUMMYFUNCTION("""COMPUTED_VALUE"""),3.68)</f>
        <v>3.68</v>
      </c>
      <c r="F2487">
        <f>IFERROR(__xludf.DUMMYFUNCTION("""COMPUTED_VALUE"""),18.09)</f>
        <v>18.09</v>
      </c>
      <c r="G2487">
        <f>IFERROR(__xludf.DUMMYFUNCTION("""COMPUTED_VALUE"""),0.0)</f>
        <v>0</v>
      </c>
    </row>
    <row r="2488">
      <c r="A2488">
        <f>IFERROR(__xludf.DUMMYFUNCTION("""COMPUTED_VALUE"""),174445.0)</f>
        <v>174445</v>
      </c>
      <c r="B2488" t="str">
        <f>IFERROR(__xludf.DUMMYFUNCTION("""COMPUTED_VALUE"""),"Lamb New Zealand Imported Sweetbread Cooked Soaked And Simmered")</f>
        <v>Lamb New Zealand Imported Sweetbread Cooked Soaked And Simmered</v>
      </c>
      <c r="C2488" t="str">
        <f>IFERROR(__xludf.DUMMYFUNCTION("""COMPUTED_VALUE"""),"Meats")</f>
        <v>Meats</v>
      </c>
      <c r="D2488">
        <f>IFERROR(__xludf.DUMMYFUNCTION("""COMPUTED_VALUE"""),144.0)</f>
        <v>144</v>
      </c>
      <c r="E2488">
        <f>IFERROR(__xludf.DUMMYFUNCTION("""COMPUTED_VALUE"""),6.61)</f>
        <v>6.61</v>
      </c>
      <c r="F2488">
        <f>IFERROR(__xludf.DUMMYFUNCTION("""COMPUTED_VALUE"""),21.13)</f>
        <v>21.13</v>
      </c>
      <c r="G2488">
        <f>IFERROR(__xludf.DUMMYFUNCTION("""COMPUTED_VALUE"""),0.0)</f>
        <v>0</v>
      </c>
    </row>
    <row r="2489">
      <c r="A2489">
        <f>IFERROR(__xludf.DUMMYFUNCTION("""COMPUTED_VALUE"""),174446.0)</f>
        <v>174446</v>
      </c>
      <c r="B2489" t="str">
        <f>IFERROR(__xludf.DUMMYFUNCTION("""COMPUTED_VALUE"""),"Lamb New Zealand Imported Sweetbread Raw")</f>
        <v>Lamb New Zealand Imported Sweetbread Raw</v>
      </c>
      <c r="C2489" t="str">
        <f>IFERROR(__xludf.DUMMYFUNCTION("""COMPUTED_VALUE"""),"Meats")</f>
        <v>Meats</v>
      </c>
      <c r="D2489">
        <f>IFERROR(__xludf.DUMMYFUNCTION("""COMPUTED_VALUE"""),72.0)</f>
        <v>72</v>
      </c>
      <c r="E2489">
        <f>IFERROR(__xludf.DUMMYFUNCTION("""COMPUTED_VALUE"""),3.16)</f>
        <v>3.16</v>
      </c>
      <c r="F2489">
        <f>IFERROR(__xludf.DUMMYFUNCTION("""COMPUTED_VALUE"""),11.0)</f>
        <v>11</v>
      </c>
      <c r="G2489">
        <f>IFERROR(__xludf.DUMMYFUNCTION("""COMPUTED_VALUE"""),0.0)</f>
        <v>0</v>
      </c>
    </row>
    <row r="2490">
      <c r="A2490">
        <f>IFERROR(__xludf.DUMMYFUNCTION("""COMPUTED_VALUE"""),174447.0)</f>
        <v>174447</v>
      </c>
      <c r="B2490" t="str">
        <f>IFERROR(__xludf.DUMMYFUNCTION("""COMPUTED_VALUE"""),"Lamb New Zealand Imported Tunnel-Boned Leg Chump Off Shank Off Separable Lean Only Cooked Slow Roasted")</f>
        <v>Lamb New Zealand Imported Tunnel-Boned Leg Chump Off Shank Off Separable Lean Only Cooked Slow Roasted</v>
      </c>
      <c r="C2490" t="str">
        <f>IFERROR(__xludf.DUMMYFUNCTION("""COMPUTED_VALUE"""),"Meats")</f>
        <v>Meats</v>
      </c>
      <c r="D2490">
        <f>IFERROR(__xludf.DUMMYFUNCTION("""COMPUTED_VALUE"""),159.0)</f>
        <v>159</v>
      </c>
      <c r="E2490">
        <f>IFERROR(__xludf.DUMMYFUNCTION("""COMPUTED_VALUE"""),6.44)</f>
        <v>6.44</v>
      </c>
      <c r="F2490">
        <f>IFERROR(__xludf.DUMMYFUNCTION("""COMPUTED_VALUE"""),25.29)</f>
        <v>25.29</v>
      </c>
      <c r="G2490">
        <f>IFERROR(__xludf.DUMMYFUNCTION("""COMPUTED_VALUE"""),0.0)</f>
        <v>0</v>
      </c>
    </row>
    <row r="2491">
      <c r="A2491">
        <f>IFERROR(__xludf.DUMMYFUNCTION("""COMPUTED_VALUE"""),174448.0)</f>
        <v>174448</v>
      </c>
      <c r="B2491" t="str">
        <f>IFERROR(__xludf.DUMMYFUNCTION("""COMPUTED_VALUE"""),"Lamb New Zealand Imported Tunnel-Boned Leg Chump Off Shank Off Separable Lean Only Raw")</f>
        <v>Lamb New Zealand Imported Tunnel-Boned Leg Chump Off Shank Off Separable Lean Only Raw</v>
      </c>
      <c r="C2491" t="str">
        <f>IFERROR(__xludf.DUMMYFUNCTION("""COMPUTED_VALUE"""),"Meats")</f>
        <v>Meats</v>
      </c>
      <c r="D2491">
        <f>IFERROR(__xludf.DUMMYFUNCTION("""COMPUTED_VALUE"""),121.0)</f>
        <v>121</v>
      </c>
      <c r="E2491">
        <f>IFERROR(__xludf.DUMMYFUNCTION("""COMPUTED_VALUE"""),4.09)</f>
        <v>4.09</v>
      </c>
      <c r="F2491">
        <f>IFERROR(__xludf.DUMMYFUNCTION("""COMPUTED_VALUE"""),20.93)</f>
        <v>20.93</v>
      </c>
      <c r="G2491">
        <f>IFERROR(__xludf.DUMMYFUNCTION("""COMPUTED_VALUE"""),0.0)</f>
        <v>0</v>
      </c>
    </row>
    <row r="2492">
      <c r="A2492">
        <f>IFERROR(__xludf.DUMMYFUNCTION("""COMPUTED_VALUE"""),174449.0)</f>
        <v>174449</v>
      </c>
      <c r="B2492" t="str">
        <f>IFERROR(__xludf.DUMMYFUNCTION("""COMPUTED_VALUE"""),"Lamb New Zealand Imported Square-Cut Shoulder Chops Separable Lean Only Cooked Braised")</f>
        <v>Lamb New Zealand Imported Square-Cut Shoulder Chops Separable Lean Only Cooked Braised</v>
      </c>
      <c r="C2492" t="str">
        <f>IFERROR(__xludf.DUMMYFUNCTION("""COMPUTED_VALUE"""),"Meats")</f>
        <v>Meats</v>
      </c>
      <c r="D2492">
        <f>IFERROR(__xludf.DUMMYFUNCTION("""COMPUTED_VALUE"""),255.0)</f>
        <v>255</v>
      </c>
      <c r="E2492">
        <f>IFERROR(__xludf.DUMMYFUNCTION("""COMPUTED_VALUE"""),14.56)</f>
        <v>14.56</v>
      </c>
      <c r="F2492">
        <f>IFERROR(__xludf.DUMMYFUNCTION("""COMPUTED_VALUE"""),31.06)</f>
        <v>31.06</v>
      </c>
      <c r="G2492">
        <f>IFERROR(__xludf.DUMMYFUNCTION("""COMPUTED_VALUE"""),0.0)</f>
        <v>0</v>
      </c>
    </row>
    <row r="2493">
      <c r="A2493">
        <f>IFERROR(__xludf.DUMMYFUNCTION("""COMPUTED_VALUE"""),174450.0)</f>
        <v>174450</v>
      </c>
      <c r="B2493" t="str">
        <f>IFERROR(__xludf.DUMMYFUNCTION("""COMPUTED_VALUE"""),"Lamb New Zealand Imported Square-Cut Shoulder Chops Separable Lean Only Raw")</f>
        <v>Lamb New Zealand Imported Square-Cut Shoulder Chops Separable Lean Only Raw</v>
      </c>
      <c r="C2493" t="str">
        <f>IFERROR(__xludf.DUMMYFUNCTION("""COMPUTED_VALUE"""),"Meats")</f>
        <v>Meats</v>
      </c>
      <c r="D2493">
        <f>IFERROR(__xludf.DUMMYFUNCTION("""COMPUTED_VALUE"""),164.0)</f>
        <v>164</v>
      </c>
      <c r="E2493">
        <f>IFERROR(__xludf.DUMMYFUNCTION("""COMPUTED_VALUE"""),9.08)</f>
        <v>9.08</v>
      </c>
      <c r="F2493">
        <f>IFERROR(__xludf.DUMMYFUNCTION("""COMPUTED_VALUE"""),20.62)</f>
        <v>20.62</v>
      </c>
      <c r="G2493">
        <f>IFERROR(__xludf.DUMMYFUNCTION("""COMPUTED_VALUE"""),0.0)</f>
        <v>0</v>
      </c>
    </row>
    <row r="2494">
      <c r="A2494">
        <f>IFERROR(__xludf.DUMMYFUNCTION("""COMPUTED_VALUE"""),174451.0)</f>
        <v>174451</v>
      </c>
      <c r="B2494" t="str">
        <f>IFERROR(__xludf.DUMMYFUNCTION("""COMPUTED_VALUE"""),"Lamb New Zealand Imported Loin Boneless Separable Lean Only Cooked Fast Roasted")</f>
        <v>Lamb New Zealand Imported Loin Boneless Separable Lean Only Cooked Fast Roasted</v>
      </c>
      <c r="C2494" t="str">
        <f>IFERROR(__xludf.DUMMYFUNCTION("""COMPUTED_VALUE"""),"Meats")</f>
        <v>Meats</v>
      </c>
      <c r="D2494">
        <f>IFERROR(__xludf.DUMMYFUNCTION("""COMPUTED_VALUE"""),156.0)</f>
        <v>156</v>
      </c>
      <c r="E2494">
        <f>IFERROR(__xludf.DUMMYFUNCTION("""COMPUTED_VALUE"""),4.49)</f>
        <v>4.49</v>
      </c>
      <c r="F2494">
        <f>IFERROR(__xludf.DUMMYFUNCTION("""COMPUTED_VALUE"""),28.99)</f>
        <v>28.99</v>
      </c>
      <c r="G2494">
        <f>IFERROR(__xludf.DUMMYFUNCTION("""COMPUTED_VALUE"""),0.0)</f>
        <v>0</v>
      </c>
    </row>
    <row r="2495">
      <c r="A2495">
        <f>IFERROR(__xludf.DUMMYFUNCTION("""COMPUTED_VALUE"""),174452.0)</f>
        <v>174452</v>
      </c>
      <c r="B2495" t="str">
        <f>IFERROR(__xludf.DUMMYFUNCTION("""COMPUTED_VALUE"""),"Lamb New Zealand Imported Loin Boneless Separable Lean Only Raw")</f>
        <v>Lamb New Zealand Imported Loin Boneless Separable Lean Only Raw</v>
      </c>
      <c r="C2495" t="str">
        <f>IFERROR(__xludf.DUMMYFUNCTION("""COMPUTED_VALUE"""),"Meats")</f>
        <v>Meats</v>
      </c>
      <c r="D2495">
        <f>IFERROR(__xludf.DUMMYFUNCTION("""COMPUTED_VALUE"""),120.0)</f>
        <v>120</v>
      </c>
      <c r="E2495">
        <f>IFERROR(__xludf.DUMMYFUNCTION("""COMPUTED_VALUE"""),3.77)</f>
        <v>3.77</v>
      </c>
      <c r="F2495">
        <f>IFERROR(__xludf.DUMMYFUNCTION("""COMPUTED_VALUE"""),21.5)</f>
        <v>21.5</v>
      </c>
      <c r="G2495">
        <f>IFERROR(__xludf.DUMMYFUNCTION("""COMPUTED_VALUE"""),0.0)</f>
        <v>0</v>
      </c>
    </row>
    <row r="2496">
      <c r="A2496">
        <f>IFERROR(__xludf.DUMMYFUNCTION("""COMPUTED_VALUE"""),174453.0)</f>
        <v>174453</v>
      </c>
      <c r="B2496" t="str">
        <f>IFERROR(__xludf.DUMMYFUNCTION("""COMPUTED_VALUE"""),"Lamb New Zealand Imported Hind-Shank Separable Lean Only Cooked Braised")</f>
        <v>Lamb New Zealand Imported Hind-Shank Separable Lean Only Cooked Braised</v>
      </c>
      <c r="C2496" t="str">
        <f>IFERROR(__xludf.DUMMYFUNCTION("""COMPUTED_VALUE"""),"Meats")</f>
        <v>Meats</v>
      </c>
      <c r="D2496">
        <f>IFERROR(__xludf.DUMMYFUNCTION("""COMPUTED_VALUE"""),196.0)</f>
        <v>196</v>
      </c>
      <c r="E2496">
        <f>IFERROR(__xludf.DUMMYFUNCTION("""COMPUTED_VALUE"""),7.37)</f>
        <v>7.37</v>
      </c>
      <c r="F2496">
        <f>IFERROR(__xludf.DUMMYFUNCTION("""COMPUTED_VALUE"""),32.5)</f>
        <v>32.5</v>
      </c>
      <c r="G2496">
        <f>IFERROR(__xludf.DUMMYFUNCTION("""COMPUTED_VALUE"""),0.0)</f>
        <v>0</v>
      </c>
    </row>
    <row r="2497">
      <c r="A2497">
        <f>IFERROR(__xludf.DUMMYFUNCTION("""COMPUTED_VALUE"""),174454.0)</f>
        <v>174454</v>
      </c>
      <c r="B2497" t="str">
        <f>IFERROR(__xludf.DUMMYFUNCTION("""COMPUTED_VALUE"""),"Lamb New Zealand Imported Hind-Shank Separable Lean Only Raw")</f>
        <v>Lamb New Zealand Imported Hind-Shank Separable Lean Only Raw</v>
      </c>
      <c r="C2497" t="str">
        <f>IFERROR(__xludf.DUMMYFUNCTION("""COMPUTED_VALUE"""),"Meats")</f>
        <v>Meats</v>
      </c>
      <c r="D2497">
        <f>IFERROR(__xludf.DUMMYFUNCTION("""COMPUTED_VALUE"""),115.0)</f>
        <v>115</v>
      </c>
      <c r="E2497">
        <f>IFERROR(__xludf.DUMMYFUNCTION("""COMPUTED_VALUE"""),3.35)</f>
        <v>3.35</v>
      </c>
      <c r="F2497">
        <f>IFERROR(__xludf.DUMMYFUNCTION("""COMPUTED_VALUE"""),20.4)</f>
        <v>20.4</v>
      </c>
      <c r="G2497">
        <f>IFERROR(__xludf.DUMMYFUNCTION("""COMPUTED_VALUE"""),0.73)</f>
        <v>0.73</v>
      </c>
    </row>
    <row r="2498">
      <c r="A2498">
        <f>IFERROR(__xludf.DUMMYFUNCTION("""COMPUTED_VALUE"""),174455.0)</f>
        <v>174455</v>
      </c>
      <c r="B2498" t="str">
        <f>IFERROR(__xludf.DUMMYFUNCTION("""COMPUTED_VALUE"""),"Lamb New Zealand Imported Neck Chops Separable Lean Only Raw")</f>
        <v>Lamb New Zealand Imported Neck Chops Separable Lean Only Raw</v>
      </c>
      <c r="C2498" t="str">
        <f>IFERROR(__xludf.DUMMYFUNCTION("""COMPUTED_VALUE"""),"Meats")</f>
        <v>Meats</v>
      </c>
      <c r="D2498">
        <f>IFERROR(__xludf.DUMMYFUNCTION("""COMPUTED_VALUE"""),151.0)</f>
        <v>151</v>
      </c>
      <c r="E2498">
        <f>IFERROR(__xludf.DUMMYFUNCTION("""COMPUTED_VALUE"""),7.97)</f>
        <v>7.97</v>
      </c>
      <c r="F2498">
        <f>IFERROR(__xludf.DUMMYFUNCTION("""COMPUTED_VALUE"""),19.84)</f>
        <v>19.84</v>
      </c>
      <c r="G2498">
        <f>IFERROR(__xludf.DUMMYFUNCTION("""COMPUTED_VALUE"""),0.0)</f>
        <v>0</v>
      </c>
    </row>
    <row r="2499">
      <c r="A2499">
        <f>IFERROR(__xludf.DUMMYFUNCTION("""COMPUTED_VALUE"""),174456.0)</f>
        <v>174456</v>
      </c>
      <c r="B2499" t="str">
        <f>IFERROR(__xludf.DUMMYFUNCTION("""COMPUTED_VALUE"""),"Lamb New Zealand Imported Rack - Fully Frenched Separable Lean Only Raw")</f>
        <v>Lamb New Zealand Imported Rack - Fully Frenched Separable Lean Only Raw</v>
      </c>
      <c r="C2499" t="str">
        <f>IFERROR(__xludf.DUMMYFUNCTION("""COMPUTED_VALUE"""),"Meats")</f>
        <v>Meats</v>
      </c>
      <c r="D2499">
        <f>IFERROR(__xludf.DUMMYFUNCTION("""COMPUTED_VALUE"""),147.0)</f>
        <v>147</v>
      </c>
      <c r="E2499">
        <f>IFERROR(__xludf.DUMMYFUNCTION("""COMPUTED_VALUE"""),7.12)</f>
        <v>7.12</v>
      </c>
      <c r="F2499">
        <f>IFERROR(__xludf.DUMMYFUNCTION("""COMPUTED_VALUE"""),20.61)</f>
        <v>20.61</v>
      </c>
      <c r="G2499">
        <f>IFERROR(__xludf.DUMMYFUNCTION("""COMPUTED_VALUE"""),0.0)</f>
        <v>0</v>
      </c>
    </row>
    <row r="2500">
      <c r="A2500">
        <f>IFERROR(__xludf.DUMMYFUNCTION("""COMPUTED_VALUE"""),174457.0)</f>
        <v>174457</v>
      </c>
      <c r="B2500" t="str">
        <f>IFERROR(__xludf.DUMMYFUNCTION("""COMPUTED_VALUE"""),"Lamb New Zealand Imported Loin Chop Separable Lean Only Cooked Fast Fried")</f>
        <v>Lamb New Zealand Imported Loin Chop Separable Lean Only Cooked Fast Fried</v>
      </c>
      <c r="C2500" t="str">
        <f>IFERROR(__xludf.DUMMYFUNCTION("""COMPUTED_VALUE"""),"Meats")</f>
        <v>Meats</v>
      </c>
      <c r="D2500">
        <f>IFERROR(__xludf.DUMMYFUNCTION("""COMPUTED_VALUE"""),208.0)</f>
        <v>208</v>
      </c>
      <c r="E2500">
        <f>IFERROR(__xludf.DUMMYFUNCTION("""COMPUTED_VALUE"""),10.7)</f>
        <v>10.7</v>
      </c>
      <c r="F2500">
        <f>IFERROR(__xludf.DUMMYFUNCTION("""COMPUTED_VALUE"""),27.43)</f>
        <v>27.43</v>
      </c>
      <c r="G2500">
        <f>IFERROR(__xludf.DUMMYFUNCTION("""COMPUTED_VALUE"""),0.41)</f>
        <v>0.41</v>
      </c>
    </row>
    <row r="2501">
      <c r="A2501">
        <f>IFERROR(__xludf.DUMMYFUNCTION("""COMPUTED_VALUE"""),174458.0)</f>
        <v>174458</v>
      </c>
      <c r="B2501" t="str">
        <f>IFERROR(__xludf.DUMMYFUNCTION("""COMPUTED_VALUE"""),"Lamb New Zealand Imported Square-Cut Shoulder Separable Lean Only Cooked Slow Roasted")</f>
        <v>Lamb New Zealand Imported Square-Cut Shoulder Separable Lean Only Cooked Slow Roasted</v>
      </c>
      <c r="C2501" t="str">
        <f>IFERROR(__xludf.DUMMYFUNCTION("""COMPUTED_VALUE"""),"Meats")</f>
        <v>Meats</v>
      </c>
      <c r="D2501">
        <f>IFERROR(__xludf.DUMMYFUNCTION("""COMPUTED_VALUE"""),192.0)</f>
        <v>192</v>
      </c>
      <c r="E2501">
        <f>IFERROR(__xludf.DUMMYFUNCTION("""COMPUTED_VALUE"""),10.13)</f>
        <v>10.13</v>
      </c>
      <c r="F2501">
        <f>IFERROR(__xludf.DUMMYFUNCTION("""COMPUTED_VALUE"""),25.08)</f>
        <v>25.08</v>
      </c>
      <c r="G2501">
        <f>IFERROR(__xludf.DUMMYFUNCTION("""COMPUTED_VALUE"""),0.0)</f>
        <v>0</v>
      </c>
    </row>
    <row r="2502">
      <c r="A2502">
        <f>IFERROR(__xludf.DUMMYFUNCTION("""COMPUTED_VALUE"""),174459.0)</f>
        <v>174459</v>
      </c>
      <c r="B2502" t="str">
        <f>IFERROR(__xludf.DUMMYFUNCTION("""COMPUTED_VALUE"""),"Lamb New Zealand Imported Leg Chop/steak Bone-In Separable Lean Only Cooked Fast Fried")</f>
        <v>Lamb New Zealand Imported Leg Chop/steak Bone-In Separable Lean Only Cooked Fast Fried</v>
      </c>
      <c r="C2502" t="str">
        <f>IFERROR(__xludf.DUMMYFUNCTION("""COMPUTED_VALUE"""),"Meats")</f>
        <v>Meats</v>
      </c>
      <c r="D2502">
        <f>IFERROR(__xludf.DUMMYFUNCTION("""COMPUTED_VALUE"""),162.0)</f>
        <v>162</v>
      </c>
      <c r="E2502">
        <f>IFERROR(__xludf.DUMMYFUNCTION("""COMPUTED_VALUE"""),6.35)</f>
        <v>6.35</v>
      </c>
      <c r="F2502">
        <f>IFERROR(__xludf.DUMMYFUNCTION("""COMPUTED_VALUE"""),26.31)</f>
        <v>26.31</v>
      </c>
      <c r="G2502">
        <f>IFERROR(__xludf.DUMMYFUNCTION("""COMPUTED_VALUE"""),0.0)</f>
        <v>0</v>
      </c>
    </row>
    <row r="2503">
      <c r="A2503">
        <f>IFERROR(__xludf.DUMMYFUNCTION("""COMPUTED_VALUE"""),174460.0)</f>
        <v>174460</v>
      </c>
      <c r="B2503" t="str">
        <f>IFERROR(__xludf.DUMMYFUNCTION("""COMPUTED_VALUE"""),"Lamb New Zealand Imported Leg Chop/steak Bone-In Separable Lean And Fat Cooked Fast Fried")</f>
        <v>Lamb New Zealand Imported Leg Chop/steak Bone-In Separable Lean And Fat Cooked Fast Fried</v>
      </c>
      <c r="C2503" t="str">
        <f>IFERROR(__xludf.DUMMYFUNCTION("""COMPUTED_VALUE"""),"Meats")</f>
        <v>Meats</v>
      </c>
      <c r="D2503">
        <f>IFERROR(__xludf.DUMMYFUNCTION("""COMPUTED_VALUE"""),212.0)</f>
        <v>212</v>
      </c>
      <c r="E2503">
        <f>IFERROR(__xludf.DUMMYFUNCTION("""COMPUTED_VALUE"""),12.76)</f>
        <v>12.76</v>
      </c>
      <c r="F2503">
        <f>IFERROR(__xludf.DUMMYFUNCTION("""COMPUTED_VALUE"""),24.26)</f>
        <v>24.26</v>
      </c>
      <c r="G2503">
        <f>IFERROR(__xludf.DUMMYFUNCTION("""COMPUTED_VALUE"""),0.04)</f>
        <v>0.04</v>
      </c>
    </row>
    <row r="2504">
      <c r="A2504">
        <f>IFERROR(__xludf.DUMMYFUNCTION("""COMPUTED_VALUE"""),174461.0)</f>
        <v>174461</v>
      </c>
      <c r="B2504" t="str">
        <f>IFERROR(__xludf.DUMMYFUNCTION("""COMPUTED_VALUE"""),"Lamb New Zealand Imported Loin Chop Separable Lean And Fat Cooked Fast Fried")</f>
        <v>Lamb New Zealand Imported Loin Chop Separable Lean And Fat Cooked Fast Fried</v>
      </c>
      <c r="C2504" t="str">
        <f>IFERROR(__xludf.DUMMYFUNCTION("""COMPUTED_VALUE"""),"Meats")</f>
        <v>Meats</v>
      </c>
      <c r="D2504">
        <f>IFERROR(__xludf.DUMMYFUNCTION("""COMPUTED_VALUE"""),332.0)</f>
        <v>332</v>
      </c>
      <c r="E2504">
        <f>IFERROR(__xludf.DUMMYFUNCTION("""COMPUTED_VALUE"""),27.11)</f>
        <v>27.11</v>
      </c>
      <c r="F2504">
        <f>IFERROR(__xludf.DUMMYFUNCTION("""COMPUTED_VALUE"""),21.5)</f>
        <v>21.5</v>
      </c>
      <c r="G2504">
        <f>IFERROR(__xludf.DUMMYFUNCTION("""COMPUTED_VALUE"""),0.41)</f>
        <v>0.41</v>
      </c>
    </row>
    <row r="2505">
      <c r="A2505">
        <f>IFERROR(__xludf.DUMMYFUNCTION("""COMPUTED_VALUE"""),174462.0)</f>
        <v>174462</v>
      </c>
      <c r="B2505" t="str">
        <f>IFERROR(__xludf.DUMMYFUNCTION("""COMPUTED_VALUE"""),"Lamb New Zealand Imported Loin Saddle Separable Lean And Fat Cooked Fast Roasted")</f>
        <v>Lamb New Zealand Imported Loin Saddle Separable Lean And Fat Cooked Fast Roasted</v>
      </c>
      <c r="C2505" t="str">
        <f>IFERROR(__xludf.DUMMYFUNCTION("""COMPUTED_VALUE"""),"Meats")</f>
        <v>Meats</v>
      </c>
      <c r="D2505">
        <f>IFERROR(__xludf.DUMMYFUNCTION("""COMPUTED_VALUE"""),274.0)</f>
        <v>274</v>
      </c>
      <c r="E2505">
        <f>IFERROR(__xludf.DUMMYFUNCTION("""COMPUTED_VALUE"""),20.98)</f>
        <v>20.98</v>
      </c>
      <c r="F2505">
        <f>IFERROR(__xludf.DUMMYFUNCTION("""COMPUTED_VALUE"""),21.13)</f>
        <v>21.13</v>
      </c>
      <c r="G2505">
        <f>IFERROR(__xludf.DUMMYFUNCTION("""COMPUTED_VALUE"""),0.1)</f>
        <v>0.1</v>
      </c>
    </row>
    <row r="2506">
      <c r="A2506">
        <f>IFERROR(__xludf.DUMMYFUNCTION("""COMPUTED_VALUE"""),174463.0)</f>
        <v>174463</v>
      </c>
      <c r="B2506" t="str">
        <f>IFERROR(__xludf.DUMMYFUNCTION("""COMPUTED_VALUE"""),"Lamb New Zealand Imported Loin Saddle Separable Lean And Fat Raw")</f>
        <v>Lamb New Zealand Imported Loin Saddle Separable Lean And Fat Raw</v>
      </c>
      <c r="C2506" t="str">
        <f>IFERROR(__xludf.DUMMYFUNCTION("""COMPUTED_VALUE"""),"Meats")</f>
        <v>Meats</v>
      </c>
      <c r="D2506">
        <f>IFERROR(__xludf.DUMMYFUNCTION("""COMPUTED_VALUE"""),273.0)</f>
        <v>273</v>
      </c>
      <c r="E2506">
        <f>IFERROR(__xludf.DUMMYFUNCTION("""COMPUTED_VALUE"""),22.9)</f>
        <v>22.9</v>
      </c>
      <c r="F2506">
        <f>IFERROR(__xludf.DUMMYFUNCTION("""COMPUTED_VALUE"""),16.56)</f>
        <v>16.56</v>
      </c>
      <c r="G2506">
        <f>IFERROR(__xludf.DUMMYFUNCTION("""COMPUTED_VALUE"""),0.2)</f>
        <v>0.2</v>
      </c>
    </row>
    <row r="2507">
      <c r="A2507">
        <f>IFERROR(__xludf.DUMMYFUNCTION("""COMPUTED_VALUE"""),174464.0)</f>
        <v>174464</v>
      </c>
      <c r="B2507" t="str">
        <f>IFERROR(__xludf.DUMMYFUNCTION("""COMPUTED_VALUE"""),"Lamb New Zealand Imported Netted Shoulder Rolled Boneless Separable Lean And Fat Raw")</f>
        <v>Lamb New Zealand Imported Netted Shoulder Rolled Boneless Separable Lean And Fat Raw</v>
      </c>
      <c r="C2507" t="str">
        <f>IFERROR(__xludf.DUMMYFUNCTION("""COMPUTED_VALUE"""),"Meats")</f>
        <v>Meats</v>
      </c>
      <c r="D2507">
        <f>IFERROR(__xludf.DUMMYFUNCTION("""COMPUTED_VALUE"""),252.0)</f>
        <v>252</v>
      </c>
      <c r="E2507">
        <f>IFERROR(__xludf.DUMMYFUNCTION("""COMPUTED_VALUE"""),20.36)</f>
        <v>20.36</v>
      </c>
      <c r="F2507">
        <f>IFERROR(__xludf.DUMMYFUNCTION("""COMPUTED_VALUE"""),16.9)</f>
        <v>16.9</v>
      </c>
      <c r="G2507">
        <f>IFERROR(__xludf.DUMMYFUNCTION("""COMPUTED_VALUE"""),0.2)</f>
        <v>0.2</v>
      </c>
    </row>
    <row r="2508">
      <c r="A2508">
        <f>IFERROR(__xludf.DUMMYFUNCTION("""COMPUTED_VALUE"""),174465.0)</f>
        <v>174465</v>
      </c>
      <c r="B2508" t="str">
        <f>IFERROR(__xludf.DUMMYFUNCTION("""COMPUTED_VALUE"""),"Chicken Capons Giblets Raw")</f>
        <v>Chicken Capons Giblets Raw</v>
      </c>
      <c r="C2508" t="str">
        <f>IFERROR(__xludf.DUMMYFUNCTION("""COMPUTED_VALUE"""),"Meats")</f>
        <v>Meats</v>
      </c>
      <c r="D2508">
        <f>IFERROR(__xludf.DUMMYFUNCTION("""COMPUTED_VALUE"""),130.0)</f>
        <v>130</v>
      </c>
      <c r="E2508">
        <f>IFERROR(__xludf.DUMMYFUNCTION("""COMPUTED_VALUE"""),5.18)</f>
        <v>5.18</v>
      </c>
      <c r="F2508">
        <f>IFERROR(__xludf.DUMMYFUNCTION("""COMPUTED_VALUE"""),18.28)</f>
        <v>18.28</v>
      </c>
      <c r="G2508">
        <f>IFERROR(__xludf.DUMMYFUNCTION("""COMPUTED_VALUE"""),1.42)</f>
        <v>1.42</v>
      </c>
    </row>
    <row r="2509">
      <c r="A2509">
        <f>IFERROR(__xludf.DUMMYFUNCTION("""COMPUTED_VALUE"""),174466.0)</f>
        <v>174466</v>
      </c>
      <c r="B2509" t="str">
        <f>IFERROR(__xludf.DUMMYFUNCTION("""COMPUTED_VALUE"""),"Chicken Capons Giblets Cooked Simmered")</f>
        <v>Chicken Capons Giblets Cooked Simmered</v>
      </c>
      <c r="C2509" t="str">
        <f>IFERROR(__xludf.DUMMYFUNCTION("""COMPUTED_VALUE"""),"Meats")</f>
        <v>Meats</v>
      </c>
      <c r="D2509">
        <f>IFERROR(__xludf.DUMMYFUNCTION("""COMPUTED_VALUE"""),164.0)</f>
        <v>164</v>
      </c>
      <c r="E2509">
        <f>IFERROR(__xludf.DUMMYFUNCTION("""COMPUTED_VALUE"""),5.4)</f>
        <v>5.4</v>
      </c>
      <c r="F2509">
        <f>IFERROR(__xludf.DUMMYFUNCTION("""COMPUTED_VALUE"""),26.39)</f>
        <v>26.39</v>
      </c>
      <c r="G2509">
        <f>IFERROR(__xludf.DUMMYFUNCTION("""COMPUTED_VALUE"""),0.76)</f>
        <v>0.76</v>
      </c>
    </row>
    <row r="2510">
      <c r="A2510">
        <f>IFERROR(__xludf.DUMMYFUNCTION("""COMPUTED_VALUE"""),174467.0)</f>
        <v>174467</v>
      </c>
      <c r="B2510" t="str">
        <f>IFERROR(__xludf.DUMMYFUNCTION("""COMPUTED_VALUE"""),"Duck Domesticated Liver Raw")</f>
        <v>Duck Domesticated Liver Raw</v>
      </c>
      <c r="C2510" t="str">
        <f>IFERROR(__xludf.DUMMYFUNCTION("""COMPUTED_VALUE"""),"Meats")</f>
        <v>Meats</v>
      </c>
      <c r="D2510">
        <f>IFERROR(__xludf.DUMMYFUNCTION("""COMPUTED_VALUE"""),136.0)</f>
        <v>136</v>
      </c>
      <c r="E2510">
        <f>IFERROR(__xludf.DUMMYFUNCTION("""COMPUTED_VALUE"""),4.64)</f>
        <v>4.64</v>
      </c>
      <c r="F2510">
        <f>IFERROR(__xludf.DUMMYFUNCTION("""COMPUTED_VALUE"""),18.74)</f>
        <v>18.74</v>
      </c>
      <c r="G2510">
        <f>IFERROR(__xludf.DUMMYFUNCTION("""COMPUTED_VALUE"""),3.53)</f>
        <v>3.53</v>
      </c>
    </row>
    <row r="2511">
      <c r="A2511">
        <f>IFERROR(__xludf.DUMMYFUNCTION("""COMPUTED_VALUE"""),174468.0)</f>
        <v>174468</v>
      </c>
      <c r="B2511" t="str">
        <f>IFERROR(__xludf.DUMMYFUNCTION("""COMPUTED_VALUE"""),"Duck Wild Meat And Skin Raw")</f>
        <v>Duck Wild Meat And Skin Raw</v>
      </c>
      <c r="C2511" t="str">
        <f>IFERROR(__xludf.DUMMYFUNCTION("""COMPUTED_VALUE"""),"Meats")</f>
        <v>Meats</v>
      </c>
      <c r="D2511">
        <f>IFERROR(__xludf.DUMMYFUNCTION("""COMPUTED_VALUE"""),211.0)</f>
        <v>211</v>
      </c>
      <c r="E2511">
        <f>IFERROR(__xludf.DUMMYFUNCTION("""COMPUTED_VALUE"""),15.2)</f>
        <v>15.2</v>
      </c>
      <c r="F2511">
        <f>IFERROR(__xludf.DUMMYFUNCTION("""COMPUTED_VALUE"""),17.42)</f>
        <v>17.42</v>
      </c>
      <c r="G2511">
        <f>IFERROR(__xludf.DUMMYFUNCTION("""COMPUTED_VALUE"""),0.0)</f>
        <v>0</v>
      </c>
    </row>
    <row r="2512">
      <c r="A2512">
        <f>IFERROR(__xludf.DUMMYFUNCTION("""COMPUTED_VALUE"""),174469.0)</f>
        <v>174469</v>
      </c>
      <c r="B2512" t="str">
        <f>IFERROR(__xludf.DUMMYFUNCTION("""COMPUTED_VALUE"""),"Duck Wild Breast Meat Only Raw")</f>
        <v>Duck Wild Breast Meat Only Raw</v>
      </c>
      <c r="C2512" t="str">
        <f>IFERROR(__xludf.DUMMYFUNCTION("""COMPUTED_VALUE"""),"Meats")</f>
        <v>Meats</v>
      </c>
      <c r="D2512">
        <f>IFERROR(__xludf.DUMMYFUNCTION("""COMPUTED_VALUE"""),123.0)</f>
        <v>123</v>
      </c>
      <c r="E2512">
        <f>IFERROR(__xludf.DUMMYFUNCTION("""COMPUTED_VALUE"""),4.25)</f>
        <v>4.25</v>
      </c>
      <c r="F2512">
        <f>IFERROR(__xludf.DUMMYFUNCTION("""COMPUTED_VALUE"""),19.85)</f>
        <v>19.85</v>
      </c>
      <c r="G2512">
        <f>IFERROR(__xludf.DUMMYFUNCTION("""COMPUTED_VALUE"""),0.0)</f>
        <v>0</v>
      </c>
    </row>
    <row r="2513">
      <c r="A2513">
        <f>IFERROR(__xludf.DUMMYFUNCTION("""COMPUTED_VALUE"""),174470.0)</f>
        <v>174470</v>
      </c>
      <c r="B2513" t="str">
        <f>IFERROR(__xludf.DUMMYFUNCTION("""COMPUTED_VALUE"""),"Goose Domesticated Meat And Skin Raw")</f>
        <v>Goose Domesticated Meat And Skin Raw</v>
      </c>
      <c r="C2513" t="str">
        <f>IFERROR(__xludf.DUMMYFUNCTION("""COMPUTED_VALUE"""),"Meats")</f>
        <v>Meats</v>
      </c>
      <c r="D2513">
        <f>IFERROR(__xludf.DUMMYFUNCTION("""COMPUTED_VALUE"""),371.0)</f>
        <v>371</v>
      </c>
      <c r="E2513">
        <f>IFERROR(__xludf.DUMMYFUNCTION("""COMPUTED_VALUE"""),33.62)</f>
        <v>33.62</v>
      </c>
      <c r="F2513">
        <f>IFERROR(__xludf.DUMMYFUNCTION("""COMPUTED_VALUE"""),15.86)</f>
        <v>15.86</v>
      </c>
      <c r="G2513">
        <f>IFERROR(__xludf.DUMMYFUNCTION("""COMPUTED_VALUE"""),0.0)</f>
        <v>0</v>
      </c>
    </row>
    <row r="2514">
      <c r="A2514">
        <f>IFERROR(__xludf.DUMMYFUNCTION("""COMPUTED_VALUE"""),174471.0)</f>
        <v>174471</v>
      </c>
      <c r="B2514" t="str">
        <f>IFERROR(__xludf.DUMMYFUNCTION("""COMPUTED_VALUE"""),"Guinea Hen Meat Only Raw")</f>
        <v>Guinea Hen Meat Only Raw</v>
      </c>
      <c r="C2514" t="str">
        <f>IFERROR(__xludf.DUMMYFUNCTION("""COMPUTED_VALUE"""),"Meats")</f>
        <v>Meats</v>
      </c>
      <c r="D2514">
        <f>IFERROR(__xludf.DUMMYFUNCTION("""COMPUTED_VALUE"""),110.0)</f>
        <v>110</v>
      </c>
      <c r="E2514">
        <f>IFERROR(__xludf.DUMMYFUNCTION("""COMPUTED_VALUE"""),2.47)</f>
        <v>2.47</v>
      </c>
      <c r="F2514">
        <f>IFERROR(__xludf.DUMMYFUNCTION("""COMPUTED_VALUE"""),20.64)</f>
        <v>20.64</v>
      </c>
      <c r="G2514">
        <f>IFERROR(__xludf.DUMMYFUNCTION("""COMPUTED_VALUE"""),0.0)</f>
        <v>0</v>
      </c>
    </row>
    <row r="2515">
      <c r="A2515">
        <f>IFERROR(__xludf.DUMMYFUNCTION("""COMPUTED_VALUE"""),174472.0)</f>
        <v>174472</v>
      </c>
      <c r="B2515" t="str">
        <f>IFERROR(__xludf.DUMMYFUNCTION("""COMPUTED_VALUE"""),"Pheasant Raw Meat And Skin")</f>
        <v>Pheasant Raw Meat And Skin</v>
      </c>
      <c r="C2515" t="str">
        <f>IFERROR(__xludf.DUMMYFUNCTION("""COMPUTED_VALUE"""),"Meats")</f>
        <v>Meats</v>
      </c>
      <c r="D2515">
        <f>IFERROR(__xludf.DUMMYFUNCTION("""COMPUTED_VALUE"""),181.0)</f>
        <v>181</v>
      </c>
      <c r="E2515">
        <f>IFERROR(__xludf.DUMMYFUNCTION("""COMPUTED_VALUE"""),9.29)</f>
        <v>9.29</v>
      </c>
      <c r="F2515">
        <f>IFERROR(__xludf.DUMMYFUNCTION("""COMPUTED_VALUE"""),22.7)</f>
        <v>22.7</v>
      </c>
      <c r="G2515">
        <f>IFERROR(__xludf.DUMMYFUNCTION("""COMPUTED_VALUE"""),0.0)</f>
        <v>0</v>
      </c>
    </row>
    <row r="2516">
      <c r="A2516">
        <f>IFERROR(__xludf.DUMMYFUNCTION("""COMPUTED_VALUE"""),174473.0)</f>
        <v>174473</v>
      </c>
      <c r="B2516" t="str">
        <f>IFERROR(__xludf.DUMMYFUNCTION("""COMPUTED_VALUE"""),"Pheasant Raw Meat Only")</f>
        <v>Pheasant Raw Meat Only</v>
      </c>
      <c r="C2516" t="str">
        <f>IFERROR(__xludf.DUMMYFUNCTION("""COMPUTED_VALUE"""),"Meats")</f>
        <v>Meats</v>
      </c>
      <c r="D2516">
        <f>IFERROR(__xludf.DUMMYFUNCTION("""COMPUTED_VALUE"""),133.0)</f>
        <v>133</v>
      </c>
      <c r="E2516">
        <f>IFERROR(__xludf.DUMMYFUNCTION("""COMPUTED_VALUE"""),3.64)</f>
        <v>3.64</v>
      </c>
      <c r="F2516">
        <f>IFERROR(__xludf.DUMMYFUNCTION("""COMPUTED_VALUE"""),23.57)</f>
        <v>23.57</v>
      </c>
      <c r="G2516">
        <f>IFERROR(__xludf.DUMMYFUNCTION("""COMPUTED_VALUE"""),0.0)</f>
        <v>0</v>
      </c>
    </row>
    <row r="2517">
      <c r="A2517">
        <f>IFERROR(__xludf.DUMMYFUNCTION("""COMPUTED_VALUE"""),174474.0)</f>
        <v>174474</v>
      </c>
      <c r="B2517" t="str">
        <f>IFERROR(__xludf.DUMMYFUNCTION("""COMPUTED_VALUE"""),"Pheasant Breast Meat Only Raw")</f>
        <v>Pheasant Breast Meat Only Raw</v>
      </c>
      <c r="C2517" t="str">
        <f>IFERROR(__xludf.DUMMYFUNCTION("""COMPUTED_VALUE"""),"Meats")</f>
        <v>Meats</v>
      </c>
      <c r="D2517">
        <f>IFERROR(__xludf.DUMMYFUNCTION("""COMPUTED_VALUE"""),133.0)</f>
        <v>133</v>
      </c>
      <c r="E2517">
        <f>IFERROR(__xludf.DUMMYFUNCTION("""COMPUTED_VALUE"""),3.25)</f>
        <v>3.25</v>
      </c>
      <c r="F2517">
        <f>IFERROR(__xludf.DUMMYFUNCTION("""COMPUTED_VALUE"""),24.37)</f>
        <v>24.37</v>
      </c>
      <c r="G2517">
        <f>IFERROR(__xludf.DUMMYFUNCTION("""COMPUTED_VALUE"""),0.0)</f>
        <v>0</v>
      </c>
    </row>
    <row r="2518">
      <c r="A2518">
        <f>IFERROR(__xludf.DUMMYFUNCTION("""COMPUTED_VALUE"""),174475.0)</f>
        <v>174475</v>
      </c>
      <c r="B2518" t="str">
        <f>IFERROR(__xludf.DUMMYFUNCTION("""COMPUTED_VALUE"""),"Squab (Pigeon) Meat And Skin Raw")</f>
        <v>Squab (Pigeon) Meat And Skin Raw</v>
      </c>
      <c r="C2518" t="str">
        <f>IFERROR(__xludf.DUMMYFUNCTION("""COMPUTED_VALUE"""),"Meats")</f>
        <v>Meats</v>
      </c>
      <c r="D2518">
        <f>IFERROR(__xludf.DUMMYFUNCTION("""COMPUTED_VALUE"""),294.0)</f>
        <v>294</v>
      </c>
      <c r="E2518">
        <f>IFERROR(__xludf.DUMMYFUNCTION("""COMPUTED_VALUE"""),23.8)</f>
        <v>23.8</v>
      </c>
      <c r="F2518">
        <f>IFERROR(__xludf.DUMMYFUNCTION("""COMPUTED_VALUE"""),18.47)</f>
        <v>18.47</v>
      </c>
      <c r="G2518">
        <f>IFERROR(__xludf.DUMMYFUNCTION("""COMPUTED_VALUE"""),0.0)</f>
        <v>0</v>
      </c>
    </row>
    <row r="2519">
      <c r="A2519">
        <f>IFERROR(__xludf.DUMMYFUNCTION("""COMPUTED_VALUE"""),174476.0)</f>
        <v>174476</v>
      </c>
      <c r="B2519" t="str">
        <f>IFERROR(__xludf.DUMMYFUNCTION("""COMPUTED_VALUE"""),"Emu Fan Fillet Raw")</f>
        <v>Emu Fan Fillet Raw</v>
      </c>
      <c r="C2519" t="str">
        <f>IFERROR(__xludf.DUMMYFUNCTION("""COMPUTED_VALUE"""),"Meats")</f>
        <v>Meats</v>
      </c>
      <c r="D2519">
        <f>IFERROR(__xludf.DUMMYFUNCTION("""COMPUTED_VALUE"""),103.0)</f>
        <v>103</v>
      </c>
      <c r="E2519">
        <f>IFERROR(__xludf.DUMMYFUNCTION("""COMPUTED_VALUE"""),0.8)</f>
        <v>0.8</v>
      </c>
      <c r="F2519">
        <f>IFERROR(__xludf.DUMMYFUNCTION("""COMPUTED_VALUE"""),22.5)</f>
        <v>22.5</v>
      </c>
      <c r="G2519">
        <f>IFERROR(__xludf.DUMMYFUNCTION("""COMPUTED_VALUE"""),0.0)</f>
        <v>0</v>
      </c>
    </row>
    <row r="2520">
      <c r="A2520">
        <f>IFERROR(__xludf.DUMMYFUNCTION("""COMPUTED_VALUE"""),174477.0)</f>
        <v>174477</v>
      </c>
      <c r="B2520" t="str">
        <f>IFERROR(__xludf.DUMMYFUNCTION("""COMPUTED_VALUE"""),"Emu Steak")</f>
        <v>Emu Steak</v>
      </c>
      <c r="C2520" t="str">
        <f>IFERROR(__xludf.DUMMYFUNCTION("""COMPUTED_VALUE"""),"Meats")</f>
        <v>Meats</v>
      </c>
      <c r="D2520">
        <f>IFERROR(__xludf.DUMMYFUNCTION("""COMPUTED_VALUE"""),154.0)</f>
        <v>154</v>
      </c>
      <c r="E2520">
        <f>IFERROR(__xludf.DUMMYFUNCTION("""COMPUTED_VALUE"""),2.3)</f>
        <v>2.3</v>
      </c>
      <c r="F2520">
        <f>IFERROR(__xludf.DUMMYFUNCTION("""COMPUTED_VALUE"""),31.27)</f>
        <v>31.27</v>
      </c>
      <c r="G2520">
        <f>IFERROR(__xludf.DUMMYFUNCTION("""COMPUTED_VALUE"""),0.0)</f>
        <v>0</v>
      </c>
    </row>
    <row r="2521">
      <c r="A2521">
        <f>IFERROR(__xludf.DUMMYFUNCTION("""COMPUTED_VALUE"""),174478.0)</f>
        <v>174478</v>
      </c>
      <c r="B2521" t="str">
        <f>IFERROR(__xludf.DUMMYFUNCTION("""COMPUTED_VALUE"""),"Emu Flat Fillet Raw")</f>
        <v>Emu Flat Fillet Raw</v>
      </c>
      <c r="C2521" t="str">
        <f>IFERROR(__xludf.DUMMYFUNCTION("""COMPUTED_VALUE"""),"Meats")</f>
        <v>Meats</v>
      </c>
      <c r="D2521">
        <f>IFERROR(__xludf.DUMMYFUNCTION("""COMPUTED_VALUE"""),102.0)</f>
        <v>102</v>
      </c>
      <c r="E2521">
        <f>IFERROR(__xludf.DUMMYFUNCTION("""COMPUTED_VALUE"""),0.74)</f>
        <v>0.74</v>
      </c>
      <c r="F2521">
        <f>IFERROR(__xludf.DUMMYFUNCTION("""COMPUTED_VALUE"""),22.25)</f>
        <v>22.25</v>
      </c>
      <c r="G2521">
        <f>IFERROR(__xludf.DUMMYFUNCTION("""COMPUTED_VALUE"""),0.0)</f>
        <v>0</v>
      </c>
    </row>
    <row r="2522">
      <c r="A2522">
        <f>IFERROR(__xludf.DUMMYFUNCTION("""COMPUTED_VALUE"""),174479.0)</f>
        <v>174479</v>
      </c>
      <c r="B2522" t="str">
        <f>IFERROR(__xludf.DUMMYFUNCTION("""COMPUTED_VALUE"""),"Emu Full Rump Raw")</f>
        <v>Emu Full Rump Raw</v>
      </c>
      <c r="C2522" t="str">
        <f>IFERROR(__xludf.DUMMYFUNCTION("""COMPUTED_VALUE"""),"Meats")</f>
        <v>Meats</v>
      </c>
      <c r="D2522">
        <f>IFERROR(__xludf.DUMMYFUNCTION("""COMPUTED_VALUE"""),112.0)</f>
        <v>112</v>
      </c>
      <c r="E2522">
        <f>IFERROR(__xludf.DUMMYFUNCTION("""COMPUTED_VALUE"""),1.64)</f>
        <v>1.64</v>
      </c>
      <c r="F2522">
        <f>IFERROR(__xludf.DUMMYFUNCTION("""COMPUTED_VALUE"""),22.83)</f>
        <v>22.83</v>
      </c>
      <c r="G2522">
        <f>IFERROR(__xludf.DUMMYFUNCTION("""COMPUTED_VALUE"""),0.0)</f>
        <v>0</v>
      </c>
    </row>
    <row r="2523">
      <c r="A2523">
        <f>IFERROR(__xludf.DUMMYFUNCTION("""COMPUTED_VALUE"""),174480.0)</f>
        <v>174480</v>
      </c>
      <c r="B2523" t="str">
        <f>IFERROR(__xludf.DUMMYFUNCTION("""COMPUTED_VALUE"""),"Emu Top Loin Cooked Broiled")</f>
        <v>Emu Top Loin Cooked Broiled</v>
      </c>
      <c r="C2523" t="str">
        <f>IFERROR(__xludf.DUMMYFUNCTION("""COMPUTED_VALUE"""),"Meats")</f>
        <v>Meats</v>
      </c>
      <c r="D2523">
        <f>IFERROR(__xludf.DUMMYFUNCTION("""COMPUTED_VALUE"""),152.0)</f>
        <v>152</v>
      </c>
      <c r="E2523">
        <f>IFERROR(__xludf.DUMMYFUNCTION("""COMPUTED_VALUE"""),3.13)</f>
        <v>3.13</v>
      </c>
      <c r="F2523">
        <f>IFERROR(__xludf.DUMMYFUNCTION("""COMPUTED_VALUE"""),29.07)</f>
        <v>29.07</v>
      </c>
      <c r="G2523">
        <f>IFERROR(__xludf.DUMMYFUNCTION("""COMPUTED_VALUE"""),0.0)</f>
        <v>0</v>
      </c>
    </row>
    <row r="2524">
      <c r="A2524">
        <f>IFERROR(__xludf.DUMMYFUNCTION("""COMPUTED_VALUE"""),174481.0)</f>
        <v>174481</v>
      </c>
      <c r="B2524" t="str">
        <f>IFERROR(__xludf.DUMMYFUNCTION("""COMPUTED_VALUE"""),"Ostrich Ground Raw")</f>
        <v>Ostrich Ground Raw</v>
      </c>
      <c r="C2524" t="str">
        <f>IFERROR(__xludf.DUMMYFUNCTION("""COMPUTED_VALUE"""),"Meats")</f>
        <v>Meats</v>
      </c>
      <c r="D2524">
        <f>IFERROR(__xludf.DUMMYFUNCTION("""COMPUTED_VALUE"""),165.0)</f>
        <v>165</v>
      </c>
      <c r="E2524">
        <f>IFERROR(__xludf.DUMMYFUNCTION("""COMPUTED_VALUE"""),8.7)</f>
        <v>8.7</v>
      </c>
      <c r="F2524">
        <f>IFERROR(__xludf.DUMMYFUNCTION("""COMPUTED_VALUE"""),20.22)</f>
        <v>20.22</v>
      </c>
      <c r="G2524">
        <f>IFERROR(__xludf.DUMMYFUNCTION("""COMPUTED_VALUE"""),0.0)</f>
        <v>0</v>
      </c>
    </row>
    <row r="2525">
      <c r="A2525">
        <f>IFERROR(__xludf.DUMMYFUNCTION("""COMPUTED_VALUE"""),174482.0)</f>
        <v>174482</v>
      </c>
      <c r="B2525" t="str">
        <f>IFERROR(__xludf.DUMMYFUNCTION("""COMPUTED_VALUE"""),"Ostrich Ground Cooked Pan-Broiled")</f>
        <v>Ostrich Ground Cooked Pan-Broiled</v>
      </c>
      <c r="C2525" t="str">
        <f>IFERROR(__xludf.DUMMYFUNCTION("""COMPUTED_VALUE"""),"Meats")</f>
        <v>Meats</v>
      </c>
      <c r="D2525">
        <f>IFERROR(__xludf.DUMMYFUNCTION("""COMPUTED_VALUE"""),175.0)</f>
        <v>175</v>
      </c>
      <c r="E2525">
        <f>IFERROR(__xludf.DUMMYFUNCTION("""COMPUTED_VALUE"""),7.07)</f>
        <v>7.07</v>
      </c>
      <c r="F2525">
        <f>IFERROR(__xludf.DUMMYFUNCTION("""COMPUTED_VALUE"""),26.15)</f>
        <v>26.15</v>
      </c>
      <c r="G2525">
        <f>IFERROR(__xludf.DUMMYFUNCTION("""COMPUTED_VALUE"""),0.0)</f>
        <v>0</v>
      </c>
    </row>
    <row r="2526">
      <c r="A2526">
        <f>IFERROR(__xludf.DUMMYFUNCTION("""COMPUTED_VALUE"""),174483.0)</f>
        <v>174483</v>
      </c>
      <c r="B2526" t="str">
        <f>IFERROR(__xludf.DUMMYFUNCTION("""COMPUTED_VALUE"""),"Ostrich Fan Raw")</f>
        <v>Ostrich Fan Raw</v>
      </c>
      <c r="C2526" t="str">
        <f>IFERROR(__xludf.DUMMYFUNCTION("""COMPUTED_VALUE"""),"Meats")</f>
        <v>Meats</v>
      </c>
      <c r="D2526">
        <f>IFERROR(__xludf.DUMMYFUNCTION("""COMPUTED_VALUE"""),117.0)</f>
        <v>117</v>
      </c>
      <c r="E2526">
        <f>IFERROR(__xludf.DUMMYFUNCTION("""COMPUTED_VALUE"""),2.65)</f>
        <v>2.65</v>
      </c>
      <c r="F2526">
        <f>IFERROR(__xludf.DUMMYFUNCTION("""COMPUTED_VALUE"""),21.81)</f>
        <v>21.81</v>
      </c>
      <c r="G2526">
        <f>IFERROR(__xludf.DUMMYFUNCTION("""COMPUTED_VALUE"""),0.0)</f>
        <v>0</v>
      </c>
    </row>
    <row r="2527">
      <c r="A2527">
        <f>IFERROR(__xludf.DUMMYFUNCTION("""COMPUTED_VALUE"""),174484.0)</f>
        <v>174484</v>
      </c>
      <c r="B2527" t="str">
        <f>IFERROR(__xludf.DUMMYFUNCTION("""COMPUTED_VALUE"""),"Ostrich Outside Leg Raw")</f>
        <v>Ostrich Outside Leg Raw</v>
      </c>
      <c r="C2527" t="str">
        <f>IFERROR(__xludf.DUMMYFUNCTION("""COMPUTED_VALUE"""),"Meats")</f>
        <v>Meats</v>
      </c>
      <c r="D2527">
        <f>IFERROR(__xludf.DUMMYFUNCTION("""COMPUTED_VALUE"""),115.0)</f>
        <v>115</v>
      </c>
      <c r="E2527">
        <f>IFERROR(__xludf.DUMMYFUNCTION("""COMPUTED_VALUE"""),1.96)</f>
        <v>1.96</v>
      </c>
      <c r="F2527">
        <f>IFERROR(__xludf.DUMMYFUNCTION("""COMPUTED_VALUE"""),22.86)</f>
        <v>22.86</v>
      </c>
      <c r="G2527">
        <f>IFERROR(__xludf.DUMMYFUNCTION("""COMPUTED_VALUE"""),0.0)</f>
        <v>0</v>
      </c>
    </row>
    <row r="2528">
      <c r="A2528">
        <f>IFERROR(__xludf.DUMMYFUNCTION("""COMPUTED_VALUE"""),174485.0)</f>
        <v>174485</v>
      </c>
      <c r="B2528" t="str">
        <f>IFERROR(__xludf.DUMMYFUNCTION("""COMPUTED_VALUE"""),"Ostrich Outside Strip Raw")</f>
        <v>Ostrich Outside Strip Raw</v>
      </c>
      <c r="C2528" t="str">
        <f>IFERROR(__xludf.DUMMYFUNCTION("""COMPUTED_VALUE"""),"Meats")</f>
        <v>Meats</v>
      </c>
      <c r="D2528">
        <f>IFERROR(__xludf.DUMMYFUNCTION("""COMPUTED_VALUE"""),120.0)</f>
        <v>120</v>
      </c>
      <c r="E2528">
        <f>IFERROR(__xludf.DUMMYFUNCTION("""COMPUTED_VALUE"""),2.21)</f>
        <v>2.21</v>
      </c>
      <c r="F2528">
        <f>IFERROR(__xludf.DUMMYFUNCTION("""COMPUTED_VALUE"""),23.36)</f>
        <v>23.36</v>
      </c>
      <c r="G2528">
        <f>IFERROR(__xludf.DUMMYFUNCTION("""COMPUTED_VALUE"""),0.0)</f>
        <v>0</v>
      </c>
    </row>
    <row r="2529">
      <c r="A2529">
        <f>IFERROR(__xludf.DUMMYFUNCTION("""COMPUTED_VALUE"""),174486.0)</f>
        <v>174486</v>
      </c>
      <c r="B2529" t="str">
        <f>IFERROR(__xludf.DUMMYFUNCTION("""COMPUTED_VALUE"""),"Ostrich Outside Strip Cooked")</f>
        <v>Ostrich Outside Strip Cooked</v>
      </c>
      <c r="C2529" t="str">
        <f>IFERROR(__xludf.DUMMYFUNCTION("""COMPUTED_VALUE"""),"Meats")</f>
        <v>Meats</v>
      </c>
      <c r="D2529">
        <f>IFERROR(__xludf.DUMMYFUNCTION("""COMPUTED_VALUE"""),156.0)</f>
        <v>156</v>
      </c>
      <c r="E2529">
        <f>IFERROR(__xludf.DUMMYFUNCTION("""COMPUTED_VALUE"""),3.83)</f>
        <v>3.83</v>
      </c>
      <c r="F2529">
        <f>IFERROR(__xludf.DUMMYFUNCTION("""COMPUTED_VALUE"""),28.55)</f>
        <v>28.55</v>
      </c>
      <c r="G2529">
        <f>IFERROR(__xludf.DUMMYFUNCTION("""COMPUTED_VALUE"""),0.0)</f>
        <v>0</v>
      </c>
    </row>
    <row r="2530">
      <c r="A2530">
        <f>IFERROR(__xludf.DUMMYFUNCTION("""COMPUTED_VALUE"""),174487.0)</f>
        <v>174487</v>
      </c>
      <c r="B2530" t="str">
        <f>IFERROR(__xludf.DUMMYFUNCTION("""COMPUTED_VALUE"""),"Ostrich Oyster Raw")</f>
        <v>Ostrich Oyster Raw</v>
      </c>
      <c r="C2530" t="str">
        <f>IFERROR(__xludf.DUMMYFUNCTION("""COMPUTED_VALUE"""),"Meats")</f>
        <v>Meats</v>
      </c>
      <c r="D2530">
        <f>IFERROR(__xludf.DUMMYFUNCTION("""COMPUTED_VALUE"""),125.0)</f>
        <v>125</v>
      </c>
      <c r="E2530">
        <f>IFERROR(__xludf.DUMMYFUNCTION("""COMPUTED_VALUE"""),3.67)</f>
        <v>3.67</v>
      </c>
      <c r="F2530">
        <f>IFERROR(__xludf.DUMMYFUNCTION("""COMPUTED_VALUE"""),21.55)</f>
        <v>21.55</v>
      </c>
      <c r="G2530">
        <f>IFERROR(__xludf.DUMMYFUNCTION("""COMPUTED_VALUE"""),0.0)</f>
        <v>0</v>
      </c>
    </row>
    <row r="2531">
      <c r="A2531">
        <f>IFERROR(__xludf.DUMMYFUNCTION("""COMPUTED_VALUE"""),174488.0)</f>
        <v>174488</v>
      </c>
      <c r="B2531" t="str">
        <f>IFERROR(__xludf.DUMMYFUNCTION("""COMPUTED_VALUE"""),"Ostrich Tip Trimmed Cooked")</f>
        <v>Ostrich Tip Trimmed Cooked</v>
      </c>
      <c r="C2531" t="str">
        <f>IFERROR(__xludf.DUMMYFUNCTION("""COMPUTED_VALUE"""),"Meats")</f>
        <v>Meats</v>
      </c>
      <c r="D2531">
        <f>IFERROR(__xludf.DUMMYFUNCTION("""COMPUTED_VALUE"""),145.0)</f>
        <v>145</v>
      </c>
      <c r="E2531">
        <f>IFERROR(__xludf.DUMMYFUNCTION("""COMPUTED_VALUE"""),2.57)</f>
        <v>2.57</v>
      </c>
      <c r="F2531">
        <f>IFERROR(__xludf.DUMMYFUNCTION("""COMPUTED_VALUE"""),28.49)</f>
        <v>28.49</v>
      </c>
      <c r="G2531">
        <f>IFERROR(__xludf.DUMMYFUNCTION("""COMPUTED_VALUE"""),0.0)</f>
        <v>0</v>
      </c>
    </row>
    <row r="2532">
      <c r="A2532">
        <f>IFERROR(__xludf.DUMMYFUNCTION("""COMPUTED_VALUE"""),174489.0)</f>
        <v>174489</v>
      </c>
      <c r="B2532" t="str">
        <f>IFERROR(__xludf.DUMMYFUNCTION("""COMPUTED_VALUE"""),"Ostrich Top Loin Raw")</f>
        <v>Ostrich Top Loin Raw</v>
      </c>
      <c r="C2532" t="str">
        <f>IFERROR(__xludf.DUMMYFUNCTION("""COMPUTED_VALUE"""),"Meats")</f>
        <v>Meats</v>
      </c>
      <c r="D2532">
        <f>IFERROR(__xludf.DUMMYFUNCTION("""COMPUTED_VALUE"""),119.0)</f>
        <v>119</v>
      </c>
      <c r="E2532">
        <f>IFERROR(__xludf.DUMMYFUNCTION("""COMPUTED_VALUE"""),2.95)</f>
        <v>2.95</v>
      </c>
      <c r="F2532">
        <f>IFERROR(__xludf.DUMMYFUNCTION("""COMPUTED_VALUE"""),21.67)</f>
        <v>21.67</v>
      </c>
      <c r="G2532">
        <f>IFERROR(__xludf.DUMMYFUNCTION("""COMPUTED_VALUE"""),0.0)</f>
        <v>0</v>
      </c>
    </row>
    <row r="2533">
      <c r="A2533">
        <f>IFERROR(__xludf.DUMMYFUNCTION("""COMPUTED_VALUE"""),174490.0)</f>
        <v>174490</v>
      </c>
      <c r="B2533" t="str">
        <f>IFERROR(__xludf.DUMMYFUNCTION("""COMPUTED_VALUE"""),"Ostrich Top Loin Cooked")</f>
        <v>Ostrich Top Loin Cooked</v>
      </c>
      <c r="C2533" t="str">
        <f>IFERROR(__xludf.DUMMYFUNCTION("""COMPUTED_VALUE"""),"Meats")</f>
        <v>Meats</v>
      </c>
      <c r="D2533">
        <f>IFERROR(__xludf.DUMMYFUNCTION("""COMPUTED_VALUE"""),155.0)</f>
        <v>155</v>
      </c>
      <c r="E2533">
        <f>IFERROR(__xludf.DUMMYFUNCTION("""COMPUTED_VALUE"""),3.87)</f>
        <v>3.87</v>
      </c>
      <c r="F2533">
        <f>IFERROR(__xludf.DUMMYFUNCTION("""COMPUTED_VALUE"""),28.12)</f>
        <v>28.12</v>
      </c>
      <c r="G2533">
        <f>IFERROR(__xludf.DUMMYFUNCTION("""COMPUTED_VALUE"""),0.0)</f>
        <v>0</v>
      </c>
    </row>
    <row r="2534">
      <c r="A2534">
        <f>IFERROR(__xludf.DUMMYFUNCTION("""COMPUTED_VALUE"""),174491.0)</f>
        <v>174491</v>
      </c>
      <c r="B2534" t="str">
        <f>IFERROR(__xludf.DUMMYFUNCTION("""COMPUTED_VALUE"""),"Chicken Liver All Classes Cooked Pan-Fried")</f>
        <v>Chicken Liver All Classes Cooked Pan-Fried</v>
      </c>
      <c r="C2534" t="str">
        <f>IFERROR(__xludf.DUMMYFUNCTION("""COMPUTED_VALUE"""),"Meats")</f>
        <v>Meats</v>
      </c>
      <c r="D2534">
        <f>IFERROR(__xludf.DUMMYFUNCTION("""COMPUTED_VALUE"""),172.0)</f>
        <v>172</v>
      </c>
      <c r="E2534">
        <f>IFERROR(__xludf.DUMMYFUNCTION("""COMPUTED_VALUE"""),6.43)</f>
        <v>6.43</v>
      </c>
      <c r="F2534">
        <f>IFERROR(__xludf.DUMMYFUNCTION("""COMPUTED_VALUE"""),25.78)</f>
        <v>25.78</v>
      </c>
      <c r="G2534">
        <f>IFERROR(__xludf.DUMMYFUNCTION("""COMPUTED_VALUE"""),1.11)</f>
        <v>1.11</v>
      </c>
    </row>
    <row r="2535">
      <c r="A2535">
        <f>IFERROR(__xludf.DUMMYFUNCTION("""COMPUTED_VALUE"""),174492.0)</f>
        <v>174492</v>
      </c>
      <c r="B2535" t="str">
        <f>IFERROR(__xludf.DUMMYFUNCTION("""COMPUTED_VALUE"""),"Low Fat Broiled Turkey Patties")</f>
        <v>Low Fat Broiled Turkey Patties</v>
      </c>
      <c r="C2535" t="str">
        <f>IFERROR(__xludf.DUMMYFUNCTION("""COMPUTED_VALUE"""),"Meats")</f>
        <v>Meats</v>
      </c>
      <c r="D2535">
        <f>IFERROR(__xludf.DUMMYFUNCTION("""COMPUTED_VALUE"""),207.0)</f>
        <v>207</v>
      </c>
      <c r="E2535">
        <f>IFERROR(__xludf.DUMMYFUNCTION("""COMPUTED_VALUE"""),11.45)</f>
        <v>11.45</v>
      </c>
      <c r="F2535">
        <f>IFERROR(__xludf.DUMMYFUNCTION("""COMPUTED_VALUE"""),25.86)</f>
        <v>25.86</v>
      </c>
      <c r="G2535">
        <f>IFERROR(__xludf.DUMMYFUNCTION("""COMPUTED_VALUE"""),0.0)</f>
        <v>0</v>
      </c>
    </row>
    <row r="2536">
      <c r="A2536">
        <f>IFERROR(__xludf.DUMMYFUNCTION("""COMPUTED_VALUE"""),174493.0)</f>
        <v>174493</v>
      </c>
      <c r="B2536" t="str">
        <f>IFERROR(__xludf.DUMMYFUNCTION("""COMPUTED_VALUE"""),"Ground Turkey 85% Lean 15% Fat Raw")</f>
        <v>Ground Turkey 85% Lean 15% Fat Raw</v>
      </c>
      <c r="C2536" t="str">
        <f>IFERROR(__xludf.DUMMYFUNCTION("""COMPUTED_VALUE"""),"Meats")</f>
        <v>Meats</v>
      </c>
      <c r="D2536">
        <f>IFERROR(__xludf.DUMMYFUNCTION("""COMPUTED_VALUE"""),180.0)</f>
        <v>180</v>
      </c>
      <c r="E2536">
        <f>IFERROR(__xludf.DUMMYFUNCTION("""COMPUTED_VALUE"""),12.54)</f>
        <v>12.54</v>
      </c>
      <c r="F2536">
        <f>IFERROR(__xludf.DUMMYFUNCTION("""COMPUTED_VALUE"""),16.9)</f>
        <v>16.9</v>
      </c>
      <c r="G2536">
        <f>IFERROR(__xludf.DUMMYFUNCTION("""COMPUTED_VALUE"""),0.0)</f>
        <v>0</v>
      </c>
    </row>
    <row r="2537">
      <c r="A2537">
        <f>IFERROR(__xludf.DUMMYFUNCTION("""COMPUTED_VALUE"""),174494.0)</f>
        <v>174494</v>
      </c>
      <c r="B2537" t="str">
        <f>IFERROR(__xludf.DUMMYFUNCTION("""COMPUTED_VALUE"""),"Ground Turkey 85% Lean 15% Fat Pan-Broiled Crumbles")</f>
        <v>Ground Turkey 85% Lean 15% Fat Pan-Broiled Crumbles</v>
      </c>
      <c r="C2537" t="str">
        <f>IFERROR(__xludf.DUMMYFUNCTION("""COMPUTED_VALUE"""),"Meats")</f>
        <v>Meats</v>
      </c>
      <c r="D2537">
        <f>IFERROR(__xludf.DUMMYFUNCTION("""COMPUTED_VALUE"""),258.0)</f>
        <v>258</v>
      </c>
      <c r="E2537">
        <f>IFERROR(__xludf.DUMMYFUNCTION("""COMPUTED_VALUE"""),17.45)</f>
        <v>17.45</v>
      </c>
      <c r="F2537">
        <f>IFERROR(__xludf.DUMMYFUNCTION("""COMPUTED_VALUE"""),25.11)</f>
        <v>25.11</v>
      </c>
      <c r="G2537">
        <f>IFERROR(__xludf.DUMMYFUNCTION("""COMPUTED_VALUE"""),0.0)</f>
        <v>0</v>
      </c>
    </row>
    <row r="2538">
      <c r="A2538">
        <f>IFERROR(__xludf.DUMMYFUNCTION("""COMPUTED_VALUE"""),174495.0)</f>
        <v>174495</v>
      </c>
      <c r="B2538" t="str">
        <f>IFERROR(__xludf.DUMMYFUNCTION("""COMPUTED_VALUE"""),"Broiled Turkey Patties")</f>
        <v>Broiled Turkey Patties</v>
      </c>
      <c r="C2538" t="str">
        <f>IFERROR(__xludf.DUMMYFUNCTION("""COMPUTED_VALUE"""),"Meats")</f>
        <v>Meats</v>
      </c>
      <c r="D2538">
        <f>IFERROR(__xludf.DUMMYFUNCTION("""COMPUTED_VALUE"""),249.0)</f>
        <v>249</v>
      </c>
      <c r="E2538">
        <f>IFERROR(__xludf.DUMMYFUNCTION("""COMPUTED_VALUE"""),16.2)</f>
        <v>16.2</v>
      </c>
      <c r="F2538">
        <f>IFERROR(__xludf.DUMMYFUNCTION("""COMPUTED_VALUE"""),25.88)</f>
        <v>25.88</v>
      </c>
      <c r="G2538">
        <f>IFERROR(__xludf.DUMMYFUNCTION("""COMPUTED_VALUE"""),0.0)</f>
        <v>0</v>
      </c>
    </row>
    <row r="2539">
      <c r="A2539">
        <f>IFERROR(__xludf.DUMMYFUNCTION("""COMPUTED_VALUE"""),174496.0)</f>
        <v>174496</v>
      </c>
      <c r="B2539" t="str">
        <f>IFERROR(__xludf.DUMMYFUNCTION("""COMPUTED_VALUE"""),"Chicken Skin (Drumsticks And Thighs) Cooked Roasted")</f>
        <v>Chicken Skin (Drumsticks And Thighs) Cooked Roasted</v>
      </c>
      <c r="C2539" t="str">
        <f>IFERROR(__xludf.DUMMYFUNCTION("""COMPUTED_VALUE"""),"Meats")</f>
        <v>Meats</v>
      </c>
      <c r="D2539">
        <f>IFERROR(__xludf.DUMMYFUNCTION("""COMPUTED_VALUE"""),462.0)</f>
        <v>462</v>
      </c>
      <c r="E2539">
        <f>IFERROR(__xludf.DUMMYFUNCTION("""COMPUTED_VALUE"""),43.99)</f>
        <v>43.99</v>
      </c>
      <c r="F2539">
        <f>IFERROR(__xludf.DUMMYFUNCTION("""COMPUTED_VALUE"""),16.57)</f>
        <v>16.57</v>
      </c>
      <c r="G2539">
        <f>IFERROR(__xludf.DUMMYFUNCTION("""COMPUTED_VALUE"""),0.0)</f>
        <v>0</v>
      </c>
    </row>
    <row r="2540">
      <c r="A2540">
        <f>IFERROR(__xludf.DUMMYFUNCTION("""COMPUTED_VALUE"""),174497.0)</f>
        <v>174497</v>
      </c>
      <c r="B2540" t="str">
        <f>IFERROR(__xludf.DUMMYFUNCTION("""COMPUTED_VALUE"""),"Chicken Broilers Or Fryers Dark Meat Drumstick Meat And Skin Cooked Braised")</f>
        <v>Chicken Broilers Or Fryers Dark Meat Drumstick Meat And Skin Cooked Braised</v>
      </c>
      <c r="C2540" t="str">
        <f>IFERROR(__xludf.DUMMYFUNCTION("""COMPUTED_VALUE"""),"Meats")</f>
        <v>Meats</v>
      </c>
      <c r="D2540">
        <f>IFERROR(__xludf.DUMMYFUNCTION("""COMPUTED_VALUE"""),187.0)</f>
        <v>187</v>
      </c>
      <c r="E2540">
        <f>IFERROR(__xludf.DUMMYFUNCTION("""COMPUTED_VALUE"""),10.73)</f>
        <v>10.73</v>
      </c>
      <c r="F2540">
        <f>IFERROR(__xludf.DUMMYFUNCTION("""COMPUTED_VALUE"""),22.72)</f>
        <v>22.72</v>
      </c>
      <c r="G2540">
        <f>IFERROR(__xludf.DUMMYFUNCTION("""COMPUTED_VALUE"""),0.0)</f>
        <v>0</v>
      </c>
    </row>
    <row r="2541">
      <c r="A2541">
        <f>IFERROR(__xludf.DUMMYFUNCTION("""COMPUTED_VALUE"""),174498.0)</f>
        <v>174498</v>
      </c>
      <c r="B2541" t="str">
        <f>IFERROR(__xludf.DUMMYFUNCTION("""COMPUTED_VALUE"""),"Chicken Broilers Or Fryers Dark Meat Thigh Meat And Skin Cooked Braised")</f>
        <v>Chicken Broilers Or Fryers Dark Meat Thigh Meat And Skin Cooked Braised</v>
      </c>
      <c r="C2541" t="str">
        <f>IFERROR(__xludf.DUMMYFUNCTION("""COMPUTED_VALUE"""),"Meats")</f>
        <v>Meats</v>
      </c>
      <c r="D2541">
        <f>IFERROR(__xludf.DUMMYFUNCTION("""COMPUTED_VALUE"""),229.0)</f>
        <v>229</v>
      </c>
      <c r="E2541">
        <f>IFERROR(__xludf.DUMMYFUNCTION("""COMPUTED_VALUE"""),15.43)</f>
        <v>15.43</v>
      </c>
      <c r="F2541">
        <f>IFERROR(__xludf.DUMMYFUNCTION("""COMPUTED_VALUE"""),22.57)</f>
        <v>22.57</v>
      </c>
      <c r="G2541">
        <f>IFERROR(__xludf.DUMMYFUNCTION("""COMPUTED_VALUE"""),0.0)</f>
        <v>0</v>
      </c>
    </row>
    <row r="2542">
      <c r="A2542">
        <f>IFERROR(__xludf.DUMMYFUNCTION("""COMPUTED_VALUE"""),174499.0)</f>
        <v>174499</v>
      </c>
      <c r="B2542" t="str">
        <f>IFERROR(__xludf.DUMMYFUNCTION("""COMPUTED_VALUE"""),"Chicken Dark Meat Drumstick Meat Only With Added Solution Raw")</f>
        <v>Chicken Dark Meat Drumstick Meat Only With Added Solution Raw</v>
      </c>
      <c r="C2542" t="str">
        <f>IFERROR(__xludf.DUMMYFUNCTION("""COMPUTED_VALUE"""),"Meats")</f>
        <v>Meats</v>
      </c>
      <c r="D2542">
        <f>IFERROR(__xludf.DUMMYFUNCTION("""COMPUTED_VALUE"""),106.0)</f>
        <v>106</v>
      </c>
      <c r="E2542">
        <f>IFERROR(__xludf.DUMMYFUNCTION("""COMPUTED_VALUE"""),3.26)</f>
        <v>3.26</v>
      </c>
      <c r="F2542">
        <f>IFERROR(__xludf.DUMMYFUNCTION("""COMPUTED_VALUE"""),19.19)</f>
        <v>19.19</v>
      </c>
      <c r="G2542">
        <f>IFERROR(__xludf.DUMMYFUNCTION("""COMPUTED_VALUE"""),0.0)</f>
        <v>0</v>
      </c>
    </row>
    <row r="2543">
      <c r="A2543">
        <f>IFERROR(__xludf.DUMMYFUNCTION("""COMPUTED_VALUE"""),174500.0)</f>
        <v>174500</v>
      </c>
      <c r="B2543" t="str">
        <f>IFERROR(__xludf.DUMMYFUNCTION("""COMPUTED_VALUE"""),"Chicken Dark Meat Thigh Meat Only With Added Solution Cooked Roasted")</f>
        <v>Chicken Dark Meat Thigh Meat Only With Added Solution Cooked Roasted</v>
      </c>
      <c r="C2543" t="str">
        <f>IFERROR(__xludf.DUMMYFUNCTION("""COMPUTED_VALUE"""),"Meats")</f>
        <v>Meats</v>
      </c>
      <c r="D2543">
        <f>IFERROR(__xludf.DUMMYFUNCTION("""COMPUTED_VALUE"""),164.0)</f>
        <v>164</v>
      </c>
      <c r="E2543">
        <f>IFERROR(__xludf.DUMMYFUNCTION("""COMPUTED_VALUE"""),7.73)</f>
        <v>7.73</v>
      </c>
      <c r="F2543">
        <f>IFERROR(__xludf.DUMMYFUNCTION("""COMPUTED_VALUE"""),24.23)</f>
        <v>24.23</v>
      </c>
      <c r="G2543">
        <f>IFERROR(__xludf.DUMMYFUNCTION("""COMPUTED_VALUE"""),0.0)</f>
        <v>0</v>
      </c>
    </row>
    <row r="2544">
      <c r="A2544">
        <f>IFERROR(__xludf.DUMMYFUNCTION("""COMPUTED_VALUE"""),174501.0)</f>
        <v>174501</v>
      </c>
      <c r="B2544" t="str">
        <f>IFERROR(__xludf.DUMMYFUNCTION("""COMPUTED_VALUE"""),"Chicken Skin (Drumsticks And Thighs) With Added Solution Cooked Braised")</f>
        <v>Chicken Skin (Drumsticks And Thighs) With Added Solution Cooked Braised</v>
      </c>
      <c r="C2544" t="str">
        <f>IFERROR(__xludf.DUMMYFUNCTION("""COMPUTED_VALUE"""),"Meats")</f>
        <v>Meats</v>
      </c>
      <c r="D2544">
        <f>IFERROR(__xludf.DUMMYFUNCTION("""COMPUTED_VALUE"""),403.0)</f>
        <v>403</v>
      </c>
      <c r="E2544">
        <f>IFERROR(__xludf.DUMMYFUNCTION("""COMPUTED_VALUE"""),38.94)</f>
        <v>38.94</v>
      </c>
      <c r="F2544">
        <f>IFERROR(__xludf.DUMMYFUNCTION("""COMPUTED_VALUE"""),12.26)</f>
        <v>12.26</v>
      </c>
      <c r="G2544">
        <f>IFERROR(__xludf.DUMMYFUNCTION("""COMPUTED_VALUE"""),1.0)</f>
        <v>1</v>
      </c>
    </row>
    <row r="2545">
      <c r="A2545">
        <f>IFERROR(__xludf.DUMMYFUNCTION("""COMPUTED_VALUE"""),174502.0)</f>
        <v>174502</v>
      </c>
      <c r="B2545" t="str">
        <f>IFERROR(__xludf.DUMMYFUNCTION("""COMPUTED_VALUE"""),"Chicken Skin (Drumsticks And Thighs) With Added Solution Raw")</f>
        <v>Chicken Skin (Drumsticks And Thighs) With Added Solution Raw</v>
      </c>
      <c r="C2545" t="str">
        <f>IFERROR(__xludf.DUMMYFUNCTION("""COMPUTED_VALUE"""),"Meats")</f>
        <v>Meats</v>
      </c>
      <c r="D2545">
        <f>IFERROR(__xludf.DUMMYFUNCTION("""COMPUTED_VALUE"""),386.0)</f>
        <v>386</v>
      </c>
      <c r="E2545">
        <f>IFERROR(__xludf.DUMMYFUNCTION("""COMPUTED_VALUE"""),37.9)</f>
        <v>37.9</v>
      </c>
      <c r="F2545">
        <f>IFERROR(__xludf.DUMMYFUNCTION("""COMPUTED_VALUE"""),11.11)</f>
        <v>11.11</v>
      </c>
      <c r="G2545">
        <f>IFERROR(__xludf.DUMMYFUNCTION("""COMPUTED_VALUE"""),0.01)</f>
        <v>0.01</v>
      </c>
    </row>
    <row r="2546">
      <c r="A2546">
        <f>IFERROR(__xludf.DUMMYFUNCTION("""COMPUTED_VALUE"""),174503.0)</f>
        <v>174503</v>
      </c>
      <c r="B2546" t="str">
        <f>IFERROR(__xludf.DUMMYFUNCTION("""COMPUTED_VALUE"""),"Chicken Skin (Drumsticks And Thighs) With Added Solution Cooked Roasted")</f>
        <v>Chicken Skin (Drumsticks And Thighs) With Added Solution Cooked Roasted</v>
      </c>
      <c r="C2546" t="str">
        <f>IFERROR(__xludf.DUMMYFUNCTION("""COMPUTED_VALUE"""),"Meats")</f>
        <v>Meats</v>
      </c>
      <c r="D2546">
        <f>IFERROR(__xludf.DUMMYFUNCTION("""COMPUTED_VALUE"""),421.0)</f>
        <v>421</v>
      </c>
      <c r="E2546">
        <f>IFERROR(__xludf.DUMMYFUNCTION("""COMPUTED_VALUE"""),37.6)</f>
        <v>37.6</v>
      </c>
      <c r="F2546">
        <f>IFERROR(__xludf.DUMMYFUNCTION("""COMPUTED_VALUE"""),20.31)</f>
        <v>20.31</v>
      </c>
      <c r="G2546">
        <f>IFERROR(__xludf.DUMMYFUNCTION("""COMPUTED_VALUE"""),0.44)</f>
        <v>0.44</v>
      </c>
    </row>
    <row r="2547">
      <c r="A2547">
        <f>IFERROR(__xludf.DUMMYFUNCTION("""COMPUTED_VALUE"""),174504.0)</f>
        <v>174504</v>
      </c>
      <c r="B2547" t="str">
        <f>IFERROR(__xludf.DUMMYFUNCTION("""COMPUTED_VALUE"""),"Chicken Dark Meat Drumstick Meat And Skin With Added Solution Cooked Braised")</f>
        <v>Chicken Dark Meat Drumstick Meat And Skin With Added Solution Cooked Braised</v>
      </c>
      <c r="C2547" t="str">
        <f>IFERROR(__xludf.DUMMYFUNCTION("""COMPUTED_VALUE"""),"Meats")</f>
        <v>Meats</v>
      </c>
      <c r="D2547">
        <f>IFERROR(__xludf.DUMMYFUNCTION("""COMPUTED_VALUE"""),183.0)</f>
        <v>183</v>
      </c>
      <c r="E2547">
        <f>IFERROR(__xludf.DUMMYFUNCTION("""COMPUTED_VALUE"""),10.71)</f>
        <v>10.71</v>
      </c>
      <c r="F2547">
        <f>IFERROR(__xludf.DUMMYFUNCTION("""COMPUTED_VALUE"""),21.55)</f>
        <v>21.55</v>
      </c>
      <c r="G2547">
        <f>IFERROR(__xludf.DUMMYFUNCTION("""COMPUTED_VALUE"""),0.13)</f>
        <v>0.13</v>
      </c>
    </row>
    <row r="2548">
      <c r="A2548">
        <f>IFERROR(__xludf.DUMMYFUNCTION("""COMPUTED_VALUE"""),174505.0)</f>
        <v>174505</v>
      </c>
      <c r="B2548" t="str">
        <f>IFERROR(__xludf.DUMMYFUNCTION("""COMPUTED_VALUE"""),"Chicken Dark Meat Thigh Meat And Skin With Added Solution Cooked Roasted")</f>
        <v>Chicken Dark Meat Thigh Meat And Skin With Added Solution Cooked Roasted</v>
      </c>
      <c r="C2548" t="str">
        <f>IFERROR(__xludf.DUMMYFUNCTION("""COMPUTED_VALUE"""),"Meats")</f>
        <v>Meats</v>
      </c>
      <c r="D2548">
        <f>IFERROR(__xludf.DUMMYFUNCTION("""COMPUTED_VALUE"""),214.0)</f>
        <v>214</v>
      </c>
      <c r="E2548">
        <f>IFERROR(__xludf.DUMMYFUNCTION("""COMPUTED_VALUE"""),13.81)</f>
        <v>13.81</v>
      </c>
      <c r="F2548">
        <f>IFERROR(__xludf.DUMMYFUNCTION("""COMPUTED_VALUE"""),23.47)</f>
        <v>23.47</v>
      </c>
      <c r="G2548">
        <f>IFERROR(__xludf.DUMMYFUNCTION("""COMPUTED_VALUE"""),0.09)</f>
        <v>0.09</v>
      </c>
    </row>
    <row r="2549">
      <c r="A2549">
        <f>IFERROR(__xludf.DUMMYFUNCTION("""COMPUTED_VALUE"""),174506.0)</f>
        <v>174506</v>
      </c>
      <c r="B2549" t="str">
        <f>IFERROR(__xludf.DUMMYFUNCTION("""COMPUTED_VALUE"""),"Chicken Broiler Rotisserie BBQ Back Meat Only")</f>
        <v>Chicken Broiler Rotisserie BBQ Back Meat Only</v>
      </c>
      <c r="C2549" t="str">
        <f>IFERROR(__xludf.DUMMYFUNCTION("""COMPUTED_VALUE"""),"Meats")</f>
        <v>Meats</v>
      </c>
      <c r="D2549">
        <f>IFERROR(__xludf.DUMMYFUNCTION("""COMPUTED_VALUE"""),212.0)</f>
        <v>212</v>
      </c>
      <c r="E2549">
        <f>IFERROR(__xludf.DUMMYFUNCTION("""COMPUTED_VALUE"""),13.87)</f>
        <v>13.87</v>
      </c>
      <c r="F2549">
        <f>IFERROR(__xludf.DUMMYFUNCTION("""COMPUTED_VALUE"""),21.85)</f>
        <v>21.85</v>
      </c>
      <c r="G2549">
        <f>IFERROR(__xludf.DUMMYFUNCTION("""COMPUTED_VALUE"""),0.31)</f>
        <v>0.31</v>
      </c>
    </row>
    <row r="2550">
      <c r="A2550">
        <f>IFERROR(__xludf.DUMMYFUNCTION("""COMPUTED_VALUE"""),174507.0)</f>
        <v>174507</v>
      </c>
      <c r="B2550" t="str">
        <f>IFERROR(__xludf.DUMMYFUNCTION("""COMPUTED_VALUE"""),"Turkey Dark Meat From Whole Meat Only With Added Solution Raw")</f>
        <v>Turkey Dark Meat From Whole Meat Only With Added Solution Raw</v>
      </c>
      <c r="C2550" t="str">
        <f>IFERROR(__xludf.DUMMYFUNCTION("""COMPUTED_VALUE"""),"Meats")</f>
        <v>Meats</v>
      </c>
      <c r="D2550">
        <f>IFERROR(__xludf.DUMMYFUNCTION("""COMPUTED_VALUE"""),115.0)</f>
        <v>115</v>
      </c>
      <c r="E2550">
        <f>IFERROR(__xludf.DUMMYFUNCTION("""COMPUTED_VALUE"""),4.12)</f>
        <v>4.12</v>
      </c>
      <c r="F2550">
        <f>IFERROR(__xludf.DUMMYFUNCTION("""COMPUTED_VALUE"""),19.27)</f>
        <v>19.27</v>
      </c>
      <c r="G2550">
        <f>IFERROR(__xludf.DUMMYFUNCTION("""COMPUTED_VALUE"""),0.1)</f>
        <v>0.1</v>
      </c>
    </row>
    <row r="2551">
      <c r="A2551">
        <f>IFERROR(__xludf.DUMMYFUNCTION("""COMPUTED_VALUE"""),174508.0)</f>
        <v>174508</v>
      </c>
      <c r="B2551" t="str">
        <f>IFERROR(__xludf.DUMMYFUNCTION("""COMPUTED_VALUE"""),"Turkey Dark Meat Meat Only With Added Solution Cooked Roasted")</f>
        <v>Turkey Dark Meat Meat Only With Added Solution Cooked Roasted</v>
      </c>
      <c r="C2551" t="str">
        <f>IFERROR(__xludf.DUMMYFUNCTION("""COMPUTED_VALUE"""),"Meats")</f>
        <v>Meats</v>
      </c>
      <c r="D2551">
        <f>IFERROR(__xludf.DUMMYFUNCTION("""COMPUTED_VALUE"""),158.0)</f>
        <v>158</v>
      </c>
      <c r="E2551">
        <f>IFERROR(__xludf.DUMMYFUNCTION("""COMPUTED_VALUE"""),6.0)</f>
        <v>6</v>
      </c>
      <c r="F2551">
        <f>IFERROR(__xludf.DUMMYFUNCTION("""COMPUTED_VALUE"""),26.1)</f>
        <v>26.1</v>
      </c>
      <c r="G2551">
        <f>IFERROR(__xludf.DUMMYFUNCTION("""COMPUTED_VALUE"""),0.0)</f>
        <v>0</v>
      </c>
    </row>
    <row r="2552">
      <c r="A2552">
        <f>IFERROR(__xludf.DUMMYFUNCTION("""COMPUTED_VALUE"""),174509.0)</f>
        <v>174509</v>
      </c>
      <c r="B2552" t="str">
        <f>IFERROR(__xludf.DUMMYFUNCTION("""COMPUTED_VALUE"""),"Turkey Dark Meat From Whole Meat And Skin With Added Solution Raw")</f>
        <v>Turkey Dark Meat From Whole Meat And Skin With Added Solution Raw</v>
      </c>
      <c r="C2552" t="str">
        <f>IFERROR(__xludf.DUMMYFUNCTION("""COMPUTED_VALUE"""),"Meats")</f>
        <v>Meats</v>
      </c>
      <c r="D2552">
        <f>IFERROR(__xludf.DUMMYFUNCTION("""COMPUTED_VALUE"""),169.0)</f>
        <v>169</v>
      </c>
      <c r="E2552">
        <f>IFERROR(__xludf.DUMMYFUNCTION("""COMPUTED_VALUE"""),10.83)</f>
        <v>10.83</v>
      </c>
      <c r="F2552">
        <f>IFERROR(__xludf.DUMMYFUNCTION("""COMPUTED_VALUE"""),17.84)</f>
        <v>17.84</v>
      </c>
      <c r="G2552">
        <f>IFERROR(__xludf.DUMMYFUNCTION("""COMPUTED_VALUE"""),0.15)</f>
        <v>0.15</v>
      </c>
    </row>
    <row r="2553">
      <c r="A2553">
        <f>IFERROR(__xludf.DUMMYFUNCTION("""COMPUTED_VALUE"""),174510.0)</f>
        <v>174510</v>
      </c>
      <c r="B2553" t="str">
        <f>IFERROR(__xludf.DUMMYFUNCTION("""COMPUTED_VALUE"""),"Turkey Dark Meat From Whole Meat And Skin With Added Solution Cooked Roasted")</f>
        <v>Turkey Dark Meat From Whole Meat And Skin With Added Solution Cooked Roasted</v>
      </c>
      <c r="C2553" t="str">
        <f>IFERROR(__xludf.DUMMYFUNCTION("""COMPUTED_VALUE"""),"Meats")</f>
        <v>Meats</v>
      </c>
      <c r="D2553">
        <f>IFERROR(__xludf.DUMMYFUNCTION("""COMPUTED_VALUE"""),199.0)</f>
        <v>199</v>
      </c>
      <c r="E2553">
        <f>IFERROR(__xludf.DUMMYFUNCTION("""COMPUTED_VALUE"""),10.81)</f>
        <v>10.81</v>
      </c>
      <c r="F2553">
        <f>IFERROR(__xludf.DUMMYFUNCTION("""COMPUTED_VALUE"""),25.55)</f>
        <v>25.55</v>
      </c>
      <c r="G2553">
        <f>IFERROR(__xludf.DUMMYFUNCTION("""COMPUTED_VALUE"""),0.0)</f>
        <v>0</v>
      </c>
    </row>
    <row r="2554">
      <c r="A2554">
        <f>IFERROR(__xludf.DUMMYFUNCTION("""COMPUTED_VALUE"""),174511.0)</f>
        <v>174511</v>
      </c>
      <c r="B2554" t="str">
        <f>IFERROR(__xludf.DUMMYFUNCTION("""COMPUTED_VALUE"""),"Turkey From Whole Light Meat Meat And Skin With Added Solution Raw")</f>
        <v>Turkey From Whole Light Meat Meat And Skin With Added Solution Raw</v>
      </c>
      <c r="C2554" t="str">
        <f>IFERROR(__xludf.DUMMYFUNCTION("""COMPUTED_VALUE"""),"Meats")</f>
        <v>Meats</v>
      </c>
      <c r="D2554">
        <f>IFERROR(__xludf.DUMMYFUNCTION("""COMPUTED_VALUE"""),147.0)</f>
        <v>147</v>
      </c>
      <c r="E2554">
        <f>IFERROR(__xludf.DUMMYFUNCTION("""COMPUTED_VALUE"""),7.42)</f>
        <v>7.42</v>
      </c>
      <c r="F2554">
        <f>IFERROR(__xludf.DUMMYFUNCTION("""COMPUTED_VALUE"""),20.02)</f>
        <v>20.02</v>
      </c>
      <c r="G2554">
        <f>IFERROR(__xludf.DUMMYFUNCTION("""COMPUTED_VALUE"""),0.14)</f>
        <v>0.14</v>
      </c>
    </row>
    <row r="2555">
      <c r="A2555">
        <f>IFERROR(__xludf.DUMMYFUNCTION("""COMPUTED_VALUE"""),174512.0)</f>
        <v>174512</v>
      </c>
      <c r="B2555" t="str">
        <f>IFERROR(__xludf.DUMMYFUNCTION("""COMPUTED_VALUE"""),"Turkey From Whole Light Meat Meat And Skin With Added Solution Cooked Roasted")</f>
        <v>Turkey From Whole Light Meat Meat And Skin With Added Solution Cooked Roasted</v>
      </c>
      <c r="C2555" t="str">
        <f>IFERROR(__xludf.DUMMYFUNCTION("""COMPUTED_VALUE"""),"Meats")</f>
        <v>Meats</v>
      </c>
      <c r="D2555">
        <f>IFERROR(__xludf.DUMMYFUNCTION("""COMPUTED_VALUE"""),157.0)</f>
        <v>157</v>
      </c>
      <c r="E2555">
        <f>IFERROR(__xludf.DUMMYFUNCTION("""COMPUTED_VALUE"""),5.64)</f>
        <v>5.64</v>
      </c>
      <c r="F2555">
        <f>IFERROR(__xludf.DUMMYFUNCTION("""COMPUTED_VALUE"""),26.52)</f>
        <v>26.52</v>
      </c>
      <c r="G2555">
        <f>IFERROR(__xludf.DUMMYFUNCTION("""COMPUTED_VALUE"""),0.0)</f>
        <v>0</v>
      </c>
    </row>
    <row r="2556">
      <c r="A2556">
        <f>IFERROR(__xludf.DUMMYFUNCTION("""COMPUTED_VALUE"""),174513.0)</f>
        <v>174513</v>
      </c>
      <c r="B2556" t="str">
        <f>IFERROR(__xludf.DUMMYFUNCTION("""COMPUTED_VALUE"""),"Turkey Retail Parts Breast Meat Only With Added Solution Raw")</f>
        <v>Turkey Retail Parts Breast Meat Only With Added Solution Raw</v>
      </c>
      <c r="C2556" t="str">
        <f>IFERROR(__xludf.DUMMYFUNCTION("""COMPUTED_VALUE"""),"Meats")</f>
        <v>Meats</v>
      </c>
      <c r="D2556">
        <f>IFERROR(__xludf.DUMMYFUNCTION("""COMPUTED_VALUE"""),111.0)</f>
        <v>111</v>
      </c>
      <c r="E2556">
        <f>IFERROR(__xludf.DUMMYFUNCTION("""COMPUTED_VALUE"""),2.53)</f>
        <v>2.53</v>
      </c>
      <c r="F2556">
        <f>IFERROR(__xludf.DUMMYFUNCTION("""COMPUTED_VALUE"""),21.99)</f>
        <v>21.99</v>
      </c>
      <c r="G2556">
        <f>IFERROR(__xludf.DUMMYFUNCTION("""COMPUTED_VALUE"""),0.0)</f>
        <v>0</v>
      </c>
    </row>
    <row r="2557">
      <c r="A2557">
        <f>IFERROR(__xludf.DUMMYFUNCTION("""COMPUTED_VALUE"""),174514.0)</f>
        <v>174514</v>
      </c>
      <c r="B2557" t="str">
        <f>IFERROR(__xludf.DUMMYFUNCTION("""COMPUTED_VALUE"""),"Turkey Retail Parts Breast Meat Only With Added Solution Cooked Roasted")</f>
        <v>Turkey Retail Parts Breast Meat Only With Added Solution Cooked Roasted</v>
      </c>
      <c r="C2557" t="str">
        <f>IFERROR(__xludf.DUMMYFUNCTION("""COMPUTED_VALUE"""),"Meats")</f>
        <v>Meats</v>
      </c>
      <c r="D2557">
        <f>IFERROR(__xludf.DUMMYFUNCTION("""COMPUTED_VALUE"""),130.0)</f>
        <v>130</v>
      </c>
      <c r="E2557">
        <f>IFERROR(__xludf.DUMMYFUNCTION("""COMPUTED_VALUE"""),2.08)</f>
        <v>2.08</v>
      </c>
      <c r="F2557">
        <f>IFERROR(__xludf.DUMMYFUNCTION("""COMPUTED_VALUE"""),27.94)</f>
        <v>27.94</v>
      </c>
      <c r="G2557">
        <f>IFERROR(__xludf.DUMMYFUNCTION("""COMPUTED_VALUE"""),0.0)</f>
        <v>0</v>
      </c>
    </row>
    <row r="2558">
      <c r="A2558">
        <f>IFERROR(__xludf.DUMMYFUNCTION("""COMPUTED_VALUE"""),174515.0)</f>
        <v>174515</v>
      </c>
      <c r="B2558" t="str">
        <f>IFERROR(__xludf.DUMMYFUNCTION("""COMPUTED_VALUE"""),"Turkey Retail Parts Breast Meat Only Raw")</f>
        <v>Turkey Retail Parts Breast Meat Only Raw</v>
      </c>
      <c r="C2558" t="str">
        <f>IFERROR(__xludf.DUMMYFUNCTION("""COMPUTED_VALUE"""),"Meats")</f>
        <v>Meats</v>
      </c>
      <c r="D2558">
        <f>IFERROR(__xludf.DUMMYFUNCTION("""COMPUTED_VALUE"""),114.0)</f>
        <v>114</v>
      </c>
      <c r="E2558">
        <f>IFERROR(__xludf.DUMMYFUNCTION("""COMPUTED_VALUE"""),2.33)</f>
        <v>2.33</v>
      </c>
      <c r="F2558">
        <f>IFERROR(__xludf.DUMMYFUNCTION("""COMPUTED_VALUE"""),23.34)</f>
        <v>23.34</v>
      </c>
      <c r="G2558">
        <f>IFERROR(__xludf.DUMMYFUNCTION("""COMPUTED_VALUE"""),0.0)</f>
        <v>0</v>
      </c>
    </row>
    <row r="2559">
      <c r="A2559">
        <f>IFERROR(__xludf.DUMMYFUNCTION("""COMPUTED_VALUE"""),174516.0)</f>
        <v>174516</v>
      </c>
      <c r="B2559" t="str">
        <f>IFERROR(__xludf.DUMMYFUNCTION("""COMPUTED_VALUE"""),"Turkey Retail Parts Breast Meat Only Cooked Roasted")</f>
        <v>Turkey Retail Parts Breast Meat Only Cooked Roasted</v>
      </c>
      <c r="C2559" t="str">
        <f>IFERROR(__xludf.DUMMYFUNCTION("""COMPUTED_VALUE"""),"Meats")</f>
        <v>Meats</v>
      </c>
      <c r="D2559">
        <f>IFERROR(__xludf.DUMMYFUNCTION("""COMPUTED_VALUE"""),136.0)</f>
        <v>136</v>
      </c>
      <c r="E2559">
        <f>IFERROR(__xludf.DUMMYFUNCTION("""COMPUTED_VALUE"""),1.97)</f>
        <v>1.97</v>
      </c>
      <c r="F2559">
        <f>IFERROR(__xludf.DUMMYFUNCTION("""COMPUTED_VALUE"""),29.51)</f>
        <v>29.51</v>
      </c>
      <c r="G2559">
        <f>IFERROR(__xludf.DUMMYFUNCTION("""COMPUTED_VALUE"""),0.0)</f>
        <v>0</v>
      </c>
    </row>
    <row r="2560">
      <c r="A2560">
        <f>IFERROR(__xludf.DUMMYFUNCTION("""COMPUTED_VALUE"""),174517.0)</f>
        <v>174517</v>
      </c>
      <c r="B2560" t="str">
        <f>IFERROR(__xludf.DUMMYFUNCTION("""COMPUTED_VALUE"""),"Turkey Retail Parts Wing Meat Only Raw")</f>
        <v>Turkey Retail Parts Wing Meat Only Raw</v>
      </c>
      <c r="C2560" t="str">
        <f>IFERROR(__xludf.DUMMYFUNCTION("""COMPUTED_VALUE"""),"Meats")</f>
        <v>Meats</v>
      </c>
      <c r="D2560">
        <f>IFERROR(__xludf.DUMMYFUNCTION("""COMPUTED_VALUE"""),112.0)</f>
        <v>112</v>
      </c>
      <c r="E2560">
        <f>IFERROR(__xludf.DUMMYFUNCTION("""COMPUTED_VALUE"""),2.49)</f>
        <v>2.49</v>
      </c>
      <c r="F2560">
        <f>IFERROR(__xludf.DUMMYFUNCTION("""COMPUTED_VALUE"""),22.48)</f>
        <v>22.48</v>
      </c>
      <c r="G2560">
        <f>IFERROR(__xludf.DUMMYFUNCTION("""COMPUTED_VALUE"""),0.0)</f>
        <v>0</v>
      </c>
    </row>
    <row r="2561">
      <c r="A2561">
        <f>IFERROR(__xludf.DUMMYFUNCTION("""COMPUTED_VALUE"""),174518.0)</f>
        <v>174518</v>
      </c>
      <c r="B2561" t="str">
        <f>IFERROR(__xludf.DUMMYFUNCTION("""COMPUTED_VALUE"""),"Turkey Retail Parts Thigh Meat Only Raw")</f>
        <v>Turkey Retail Parts Thigh Meat Only Raw</v>
      </c>
      <c r="C2561" t="str">
        <f>IFERROR(__xludf.DUMMYFUNCTION("""COMPUTED_VALUE"""),"Meats")</f>
        <v>Meats</v>
      </c>
      <c r="D2561">
        <f>IFERROR(__xludf.DUMMYFUNCTION("""COMPUTED_VALUE"""),116.0)</f>
        <v>116</v>
      </c>
      <c r="E2561">
        <f>IFERROR(__xludf.DUMMYFUNCTION("""COMPUTED_VALUE"""),3.69)</f>
        <v>3.69</v>
      </c>
      <c r="F2561">
        <f>IFERROR(__xludf.DUMMYFUNCTION("""COMPUTED_VALUE"""),20.6)</f>
        <v>20.6</v>
      </c>
      <c r="G2561">
        <f>IFERROR(__xludf.DUMMYFUNCTION("""COMPUTED_VALUE"""),0.0)</f>
        <v>0</v>
      </c>
    </row>
    <row r="2562">
      <c r="A2562">
        <f>IFERROR(__xludf.DUMMYFUNCTION("""COMPUTED_VALUE"""),174519.0)</f>
        <v>174519</v>
      </c>
      <c r="B2562" t="str">
        <f>IFERROR(__xludf.DUMMYFUNCTION("""COMPUTED_VALUE"""),"Turkey Breast From Whole Bird Meat Only With Added Solution Roasted")</f>
        <v>Turkey Breast From Whole Bird Meat Only With Added Solution Roasted</v>
      </c>
      <c r="C2562" t="str">
        <f>IFERROR(__xludf.DUMMYFUNCTION("""COMPUTED_VALUE"""),"Meats")</f>
        <v>Meats</v>
      </c>
      <c r="D2562">
        <f>IFERROR(__xludf.DUMMYFUNCTION("""COMPUTED_VALUE"""),127.0)</f>
        <v>127</v>
      </c>
      <c r="E2562">
        <f>IFERROR(__xludf.DUMMYFUNCTION("""COMPUTED_VALUE"""),2.08)</f>
        <v>2.08</v>
      </c>
      <c r="F2562">
        <f>IFERROR(__xludf.DUMMYFUNCTION("""COMPUTED_VALUE"""),26.97)</f>
        <v>26.97</v>
      </c>
      <c r="G2562">
        <f>IFERROR(__xludf.DUMMYFUNCTION("""COMPUTED_VALUE"""),0.0)</f>
        <v>0</v>
      </c>
    </row>
    <row r="2563">
      <c r="A2563">
        <f>IFERROR(__xludf.DUMMYFUNCTION("""COMPUTED_VALUE"""),174520.0)</f>
        <v>174520</v>
      </c>
      <c r="B2563" t="str">
        <f>IFERROR(__xludf.DUMMYFUNCTION("""COMPUTED_VALUE"""),"Turkey Back From Whole Bird Meat Only With Added Solution Raw")</f>
        <v>Turkey Back From Whole Bird Meat Only With Added Solution Raw</v>
      </c>
      <c r="C2563" t="str">
        <f>IFERROR(__xludf.DUMMYFUNCTION("""COMPUTED_VALUE"""),"Meats")</f>
        <v>Meats</v>
      </c>
      <c r="D2563">
        <f>IFERROR(__xludf.DUMMYFUNCTION("""COMPUTED_VALUE"""),115.0)</f>
        <v>115</v>
      </c>
      <c r="E2563">
        <f>IFERROR(__xludf.DUMMYFUNCTION("""COMPUTED_VALUE"""),4.12)</f>
        <v>4.12</v>
      </c>
      <c r="F2563">
        <f>IFERROR(__xludf.DUMMYFUNCTION("""COMPUTED_VALUE"""),19.27)</f>
        <v>19.27</v>
      </c>
      <c r="G2563">
        <f>IFERROR(__xludf.DUMMYFUNCTION("""COMPUTED_VALUE"""),0.15)</f>
        <v>0.15</v>
      </c>
    </row>
    <row r="2564">
      <c r="A2564">
        <f>IFERROR(__xludf.DUMMYFUNCTION("""COMPUTED_VALUE"""),174521.0)</f>
        <v>174521</v>
      </c>
      <c r="B2564" t="str">
        <f>IFERROR(__xludf.DUMMYFUNCTION("""COMPUTED_VALUE"""),"Turkey Back From Whole Bird Meat Only With Added Solution Roasted")</f>
        <v>Turkey Back From Whole Bird Meat Only With Added Solution Roasted</v>
      </c>
      <c r="C2564" t="str">
        <f>IFERROR(__xludf.DUMMYFUNCTION("""COMPUTED_VALUE"""),"Meats")</f>
        <v>Meats</v>
      </c>
      <c r="D2564">
        <f>IFERROR(__xludf.DUMMYFUNCTION("""COMPUTED_VALUE"""),127.0)</f>
        <v>127</v>
      </c>
      <c r="E2564">
        <f>IFERROR(__xludf.DUMMYFUNCTION("""COMPUTED_VALUE"""),2.08)</f>
        <v>2.08</v>
      </c>
      <c r="F2564">
        <f>IFERROR(__xludf.DUMMYFUNCTION("""COMPUTED_VALUE"""),26.97)</f>
        <v>26.97</v>
      </c>
      <c r="G2564">
        <f>IFERROR(__xludf.DUMMYFUNCTION("""COMPUTED_VALUE"""),0.0)</f>
        <v>0</v>
      </c>
    </row>
    <row r="2565">
      <c r="A2565">
        <f>IFERROR(__xludf.DUMMYFUNCTION("""COMPUTED_VALUE"""),174570.0)</f>
        <v>174570</v>
      </c>
      <c r="B2565" t="str">
        <f>IFERROR(__xludf.DUMMYFUNCTION("""COMPUTED_VALUE"""),"Roast Beef Deli Style Prepackaged Sliced")</f>
        <v>Roast Beef Deli Style Prepackaged Sliced</v>
      </c>
      <c r="C2565" t="str">
        <f>IFERROR(__xludf.DUMMYFUNCTION("""COMPUTED_VALUE"""),"Meats")</f>
        <v>Meats</v>
      </c>
      <c r="D2565">
        <f>IFERROR(__xludf.DUMMYFUNCTION("""COMPUTED_VALUE"""),115.0)</f>
        <v>115</v>
      </c>
      <c r="E2565">
        <f>IFERROR(__xludf.DUMMYFUNCTION("""COMPUTED_VALUE"""),3.69)</f>
        <v>3.69</v>
      </c>
      <c r="F2565">
        <f>IFERROR(__xludf.DUMMYFUNCTION("""COMPUTED_VALUE"""),18.62)</f>
        <v>18.62</v>
      </c>
      <c r="G2565">
        <f>IFERROR(__xludf.DUMMYFUNCTION("""COMPUTED_VALUE"""),0.64)</f>
        <v>0.64</v>
      </c>
    </row>
    <row r="2566">
      <c r="A2566">
        <f>IFERROR(__xludf.DUMMYFUNCTION("""COMPUTED_VALUE"""),174571.0)</f>
        <v>174571</v>
      </c>
      <c r="B2566" t="str">
        <f>IFERROR(__xludf.DUMMYFUNCTION("""COMPUTED_VALUE"""),"Luncheon Meat Pork Canned")</f>
        <v>Luncheon Meat Pork Canned</v>
      </c>
      <c r="C2566" t="str">
        <f>IFERROR(__xludf.DUMMYFUNCTION("""COMPUTED_VALUE"""),"Meats")</f>
        <v>Meats</v>
      </c>
      <c r="D2566">
        <f>IFERROR(__xludf.DUMMYFUNCTION("""COMPUTED_VALUE"""),334.0)</f>
        <v>334</v>
      </c>
      <c r="E2566">
        <f>IFERROR(__xludf.DUMMYFUNCTION("""COMPUTED_VALUE"""),30.3)</f>
        <v>30.3</v>
      </c>
      <c r="F2566">
        <f>IFERROR(__xludf.DUMMYFUNCTION("""COMPUTED_VALUE"""),12.5)</f>
        <v>12.5</v>
      </c>
      <c r="G2566">
        <f>IFERROR(__xludf.DUMMYFUNCTION("""COMPUTED_VALUE"""),2.1)</f>
        <v>2.1</v>
      </c>
    </row>
    <row r="2567">
      <c r="A2567">
        <f>IFERROR(__xludf.DUMMYFUNCTION("""COMPUTED_VALUE"""),174572.0)</f>
        <v>174572</v>
      </c>
      <c r="B2567" t="str">
        <f>IFERROR(__xludf.DUMMYFUNCTION("""COMPUTED_VALUE"""),"Turkey Breast Low Salt Prepackaged Or Deli Luncheon Meat")</f>
        <v>Turkey Breast Low Salt Prepackaged Or Deli Luncheon Meat</v>
      </c>
      <c r="C2567" t="str">
        <f>IFERROR(__xludf.DUMMYFUNCTION("""COMPUTED_VALUE"""),"Meats")</f>
        <v>Meats</v>
      </c>
      <c r="D2567">
        <f>IFERROR(__xludf.DUMMYFUNCTION("""COMPUTED_VALUE"""),109.0)</f>
        <v>109</v>
      </c>
      <c r="E2567">
        <f>IFERROR(__xludf.DUMMYFUNCTION("""COMPUTED_VALUE"""),0.83)</f>
        <v>0.83</v>
      </c>
      <c r="F2567">
        <f>IFERROR(__xludf.DUMMYFUNCTION("""COMPUTED_VALUE"""),21.81)</f>
        <v>21.81</v>
      </c>
      <c r="G2567">
        <f>IFERROR(__xludf.DUMMYFUNCTION("""COMPUTED_VALUE"""),3.51)</f>
        <v>3.51</v>
      </c>
    </row>
    <row r="2568">
      <c r="A2568">
        <f>IFERROR(__xludf.DUMMYFUNCTION("""COMPUTED_VALUE"""),174573.0)</f>
        <v>174573</v>
      </c>
      <c r="B2568" t="str">
        <f>IFERROR(__xludf.DUMMYFUNCTION("""COMPUTED_VALUE"""),"Mortadella Beef Pork")</f>
        <v>Mortadella Beef Pork</v>
      </c>
      <c r="C2568" t="str">
        <f>IFERROR(__xludf.DUMMYFUNCTION("""COMPUTED_VALUE"""),"Meats")</f>
        <v>Meats</v>
      </c>
      <c r="D2568">
        <f>IFERROR(__xludf.DUMMYFUNCTION("""COMPUTED_VALUE"""),311.0)</f>
        <v>311</v>
      </c>
      <c r="E2568">
        <f>IFERROR(__xludf.DUMMYFUNCTION("""COMPUTED_VALUE"""),25.39)</f>
        <v>25.39</v>
      </c>
      <c r="F2568">
        <f>IFERROR(__xludf.DUMMYFUNCTION("""COMPUTED_VALUE"""),16.37)</f>
        <v>16.37</v>
      </c>
      <c r="G2568">
        <f>IFERROR(__xludf.DUMMYFUNCTION("""COMPUTED_VALUE"""),3.05)</f>
        <v>3.05</v>
      </c>
    </row>
    <row r="2569">
      <c r="A2569">
        <f>IFERROR(__xludf.DUMMYFUNCTION("""COMPUTED_VALUE"""),174574.0)</f>
        <v>174574</v>
      </c>
      <c r="B2569" t="str">
        <f>IFERROR(__xludf.DUMMYFUNCTION("""COMPUTED_VALUE"""),"Peppered Loaf Pork Beef")</f>
        <v>Peppered Loaf Pork Beef</v>
      </c>
      <c r="C2569" t="str">
        <f>IFERROR(__xludf.DUMMYFUNCTION("""COMPUTED_VALUE"""),"Meats")</f>
        <v>Meats</v>
      </c>
      <c r="D2569">
        <f>IFERROR(__xludf.DUMMYFUNCTION("""COMPUTED_VALUE"""),149.0)</f>
        <v>149</v>
      </c>
      <c r="E2569">
        <f>IFERROR(__xludf.DUMMYFUNCTION("""COMPUTED_VALUE"""),6.37)</f>
        <v>6.37</v>
      </c>
      <c r="F2569">
        <f>IFERROR(__xludf.DUMMYFUNCTION("""COMPUTED_VALUE"""),17.3)</f>
        <v>17.3</v>
      </c>
      <c r="G2569">
        <f>IFERROR(__xludf.DUMMYFUNCTION("""COMPUTED_VALUE"""),4.53)</f>
        <v>4.53</v>
      </c>
    </row>
    <row r="2570">
      <c r="A2570">
        <f>IFERROR(__xludf.DUMMYFUNCTION("""COMPUTED_VALUE"""),174575.0)</f>
        <v>174575</v>
      </c>
      <c r="B2570" t="str">
        <f>IFERROR(__xludf.DUMMYFUNCTION("""COMPUTED_VALUE"""),"Pepperoni")</f>
        <v>Pepperoni</v>
      </c>
      <c r="C2570" t="str">
        <f>IFERROR(__xludf.DUMMYFUNCTION("""COMPUTED_VALUE"""),"Meats")</f>
        <v>Meats</v>
      </c>
      <c r="D2570">
        <f>IFERROR(__xludf.DUMMYFUNCTION("""COMPUTED_VALUE"""),504.0)</f>
        <v>504</v>
      </c>
      <c r="E2570">
        <f>IFERROR(__xludf.DUMMYFUNCTION("""COMPUTED_VALUE"""),46.28)</f>
        <v>46.28</v>
      </c>
      <c r="F2570">
        <f>IFERROR(__xludf.DUMMYFUNCTION("""COMPUTED_VALUE"""),19.25)</f>
        <v>19.25</v>
      </c>
      <c r="G2570">
        <f>IFERROR(__xludf.DUMMYFUNCTION("""COMPUTED_VALUE"""),1.18)</f>
        <v>1.18</v>
      </c>
    </row>
    <row r="2571">
      <c r="A2571">
        <f>IFERROR(__xludf.DUMMYFUNCTION("""COMPUTED_VALUE"""),174576.0)</f>
        <v>174576</v>
      </c>
      <c r="B2571" t="str">
        <f>IFERROR(__xludf.DUMMYFUNCTION("""COMPUTED_VALUE"""),"Pickle And Pimiento Loaf Pork")</f>
        <v>Pickle And Pimiento Loaf Pork</v>
      </c>
      <c r="C2571" t="str">
        <f>IFERROR(__xludf.DUMMYFUNCTION("""COMPUTED_VALUE"""),"Meats")</f>
        <v>Meats</v>
      </c>
      <c r="D2571">
        <f>IFERROR(__xludf.DUMMYFUNCTION("""COMPUTED_VALUE"""),225.0)</f>
        <v>225</v>
      </c>
      <c r="E2571">
        <f>IFERROR(__xludf.DUMMYFUNCTION("""COMPUTED_VALUE"""),15.95)</f>
        <v>15.95</v>
      </c>
      <c r="F2571">
        <f>IFERROR(__xludf.DUMMYFUNCTION("""COMPUTED_VALUE"""),11.23)</f>
        <v>11.23</v>
      </c>
      <c r="G2571">
        <f>IFERROR(__xludf.DUMMYFUNCTION("""COMPUTED_VALUE"""),8.46)</f>
        <v>8.46</v>
      </c>
    </row>
    <row r="2572">
      <c r="A2572">
        <f>IFERROR(__xludf.DUMMYFUNCTION("""COMPUTED_VALUE"""),174577.0)</f>
        <v>174577</v>
      </c>
      <c r="B2572" t="str">
        <f>IFERROR(__xludf.DUMMYFUNCTION("""COMPUTED_VALUE"""),"Polish Sausage Pork")</f>
        <v>Polish Sausage Pork</v>
      </c>
      <c r="C2572" t="str">
        <f>IFERROR(__xludf.DUMMYFUNCTION("""COMPUTED_VALUE"""),"Meats")</f>
        <v>Meats</v>
      </c>
      <c r="D2572">
        <f>IFERROR(__xludf.DUMMYFUNCTION("""COMPUTED_VALUE"""),326.0)</f>
        <v>326</v>
      </c>
      <c r="E2572">
        <f>IFERROR(__xludf.DUMMYFUNCTION("""COMPUTED_VALUE"""),28.72)</f>
        <v>28.72</v>
      </c>
      <c r="F2572">
        <f>IFERROR(__xludf.DUMMYFUNCTION("""COMPUTED_VALUE"""),14.1)</f>
        <v>14.1</v>
      </c>
      <c r="G2572">
        <f>IFERROR(__xludf.DUMMYFUNCTION("""COMPUTED_VALUE"""),1.63)</f>
        <v>1.63</v>
      </c>
    </row>
    <row r="2573">
      <c r="A2573">
        <f>IFERROR(__xludf.DUMMYFUNCTION("""COMPUTED_VALUE"""),174578.0)</f>
        <v>174578</v>
      </c>
      <c r="B2573" t="str">
        <f>IFERROR(__xludf.DUMMYFUNCTION("""COMPUTED_VALUE"""),"Pork Sausage Link/patty Cooked Pan-Fried")</f>
        <v>Pork Sausage Link/patty Cooked Pan-Fried</v>
      </c>
      <c r="C2573" t="str">
        <f>IFERROR(__xludf.DUMMYFUNCTION("""COMPUTED_VALUE"""),"Meats")</f>
        <v>Meats</v>
      </c>
      <c r="D2573">
        <f>IFERROR(__xludf.DUMMYFUNCTION("""COMPUTED_VALUE"""),325.0)</f>
        <v>325</v>
      </c>
      <c r="E2573">
        <f>IFERROR(__xludf.DUMMYFUNCTION("""COMPUTED_VALUE"""),27.25)</f>
        <v>27.25</v>
      </c>
      <c r="F2573">
        <f>IFERROR(__xludf.DUMMYFUNCTION("""COMPUTED_VALUE"""),18.53)</f>
        <v>18.53</v>
      </c>
      <c r="G2573">
        <f>IFERROR(__xludf.DUMMYFUNCTION("""COMPUTED_VALUE"""),1.42)</f>
        <v>1.42</v>
      </c>
    </row>
    <row r="2574">
      <c r="A2574">
        <f>IFERROR(__xludf.DUMMYFUNCTION("""COMPUTED_VALUE"""),174579.0)</f>
        <v>174579</v>
      </c>
      <c r="B2574" t="str">
        <f>IFERROR(__xludf.DUMMYFUNCTION("""COMPUTED_VALUE"""),"Pork And Beef Sausage Fresh Cooked")</f>
        <v>Pork And Beef Sausage Fresh Cooked</v>
      </c>
      <c r="C2574" t="str">
        <f>IFERROR(__xludf.DUMMYFUNCTION("""COMPUTED_VALUE"""),"Meats")</f>
        <v>Meats</v>
      </c>
      <c r="D2574">
        <f>IFERROR(__xludf.DUMMYFUNCTION("""COMPUTED_VALUE"""),396.0)</f>
        <v>396</v>
      </c>
      <c r="E2574">
        <f>IFERROR(__xludf.DUMMYFUNCTION("""COMPUTED_VALUE"""),36.25)</f>
        <v>36.25</v>
      </c>
      <c r="F2574">
        <f>IFERROR(__xludf.DUMMYFUNCTION("""COMPUTED_VALUE"""),13.8)</f>
        <v>13.8</v>
      </c>
      <c r="G2574">
        <f>IFERROR(__xludf.DUMMYFUNCTION("""COMPUTED_VALUE"""),2.7)</f>
        <v>2.7</v>
      </c>
    </row>
    <row r="2575">
      <c r="A2575">
        <f>IFERROR(__xludf.DUMMYFUNCTION("""COMPUTED_VALUE"""),174580.0)</f>
        <v>174580</v>
      </c>
      <c r="B2575" t="str">
        <f>IFERROR(__xludf.DUMMYFUNCTION("""COMPUTED_VALUE"""),"Turkey Sausage Reduced Fat Brown And Serve Cooked (Include Butterball Breakfast Links Turkey Sausage)")</f>
        <v>Turkey Sausage Reduced Fat Brown And Serve Cooked (Include Butterball Breakfast Links Turkey Sausage)</v>
      </c>
      <c r="C2575" t="str">
        <f>IFERROR(__xludf.DUMMYFUNCTION("""COMPUTED_VALUE"""),"Meats")</f>
        <v>Meats</v>
      </c>
      <c r="D2575">
        <f>IFERROR(__xludf.DUMMYFUNCTION("""COMPUTED_VALUE"""),204.0)</f>
        <v>204</v>
      </c>
      <c r="E2575">
        <f>IFERROR(__xludf.DUMMYFUNCTION("""COMPUTED_VALUE"""),10.3)</f>
        <v>10.3</v>
      </c>
      <c r="F2575">
        <f>IFERROR(__xludf.DUMMYFUNCTION("""COMPUTED_VALUE"""),17.0)</f>
        <v>17</v>
      </c>
      <c r="G2575">
        <f>IFERROR(__xludf.DUMMYFUNCTION("""COMPUTED_VALUE"""),10.92)</f>
        <v>10.92</v>
      </c>
    </row>
    <row r="2576">
      <c r="A2576">
        <f>IFERROR(__xludf.DUMMYFUNCTION("""COMPUTED_VALUE"""),174581.0)</f>
        <v>174581</v>
      </c>
      <c r="B2576" t="str">
        <f>IFERROR(__xludf.DUMMYFUNCTION("""COMPUTED_VALUE"""),"Poultry Salad Sandwich Spread")</f>
        <v>Poultry Salad Sandwich Spread</v>
      </c>
      <c r="C2576" t="str">
        <f>IFERROR(__xludf.DUMMYFUNCTION("""COMPUTED_VALUE"""),"Meats")</f>
        <v>Meats</v>
      </c>
      <c r="D2576">
        <f>IFERROR(__xludf.DUMMYFUNCTION("""COMPUTED_VALUE"""),200.0)</f>
        <v>200</v>
      </c>
      <c r="E2576">
        <f>IFERROR(__xludf.DUMMYFUNCTION("""COMPUTED_VALUE"""),13.52)</f>
        <v>13.52</v>
      </c>
      <c r="F2576">
        <f>IFERROR(__xludf.DUMMYFUNCTION("""COMPUTED_VALUE"""),11.64)</f>
        <v>11.64</v>
      </c>
      <c r="G2576">
        <f>IFERROR(__xludf.DUMMYFUNCTION("""COMPUTED_VALUE"""),7.41)</f>
        <v>7.41</v>
      </c>
    </row>
    <row r="2577">
      <c r="A2577">
        <f>IFERROR(__xludf.DUMMYFUNCTION("""COMPUTED_VALUE"""),174582.0)</f>
        <v>174582</v>
      </c>
      <c r="B2577" t="str">
        <f>IFERROR(__xludf.DUMMYFUNCTION("""COMPUTED_VALUE"""),"Dry Pork And Beef Salami")</f>
        <v>Dry Pork And Beef Salami</v>
      </c>
      <c r="C2577" t="str">
        <f>IFERROR(__xludf.DUMMYFUNCTION("""COMPUTED_VALUE"""),"Meats")</f>
        <v>Meats</v>
      </c>
      <c r="D2577">
        <f>IFERROR(__xludf.DUMMYFUNCTION("""COMPUTED_VALUE"""),378.0)</f>
        <v>378</v>
      </c>
      <c r="E2577">
        <f>IFERROR(__xludf.DUMMYFUNCTION("""COMPUTED_VALUE"""),31.65)</f>
        <v>31.65</v>
      </c>
      <c r="F2577">
        <f>IFERROR(__xludf.DUMMYFUNCTION("""COMPUTED_VALUE"""),21.07)</f>
        <v>21.07</v>
      </c>
      <c r="G2577">
        <f>IFERROR(__xludf.DUMMYFUNCTION("""COMPUTED_VALUE"""),0.72)</f>
        <v>0.72</v>
      </c>
    </row>
    <row r="2578">
      <c r="A2578">
        <f>IFERROR(__xludf.DUMMYFUNCTION("""COMPUTED_VALUE"""),174583.0)</f>
        <v>174583</v>
      </c>
      <c r="B2578" t="str">
        <f>IFERROR(__xludf.DUMMYFUNCTION("""COMPUTED_VALUE"""),"Sandwich Spread Pork Beef")</f>
        <v>Sandwich Spread Pork Beef</v>
      </c>
      <c r="C2578" t="str">
        <f>IFERROR(__xludf.DUMMYFUNCTION("""COMPUTED_VALUE"""),"Meats")</f>
        <v>Meats</v>
      </c>
      <c r="D2578">
        <f>IFERROR(__xludf.DUMMYFUNCTION("""COMPUTED_VALUE"""),235.0)</f>
        <v>235</v>
      </c>
      <c r="E2578">
        <f>IFERROR(__xludf.DUMMYFUNCTION("""COMPUTED_VALUE"""),17.34)</f>
        <v>17.34</v>
      </c>
      <c r="F2578">
        <f>IFERROR(__xludf.DUMMYFUNCTION("""COMPUTED_VALUE"""),7.66)</f>
        <v>7.66</v>
      </c>
      <c r="G2578">
        <f>IFERROR(__xludf.DUMMYFUNCTION("""COMPUTED_VALUE"""),11.94)</f>
        <v>11.94</v>
      </c>
    </row>
    <row r="2579">
      <c r="A2579">
        <f>IFERROR(__xludf.DUMMYFUNCTION("""COMPUTED_VALUE"""),174584.0)</f>
        <v>174584</v>
      </c>
      <c r="B2579" t="str">
        <f>IFERROR(__xludf.DUMMYFUNCTION("""COMPUTED_VALUE"""),"Smoked Link Sausage Pork")</f>
        <v>Smoked Link Sausage Pork</v>
      </c>
      <c r="C2579" t="str">
        <f>IFERROR(__xludf.DUMMYFUNCTION("""COMPUTED_VALUE"""),"Meats")</f>
        <v>Meats</v>
      </c>
      <c r="D2579">
        <f>IFERROR(__xludf.DUMMYFUNCTION("""COMPUTED_VALUE"""),309.0)</f>
        <v>309</v>
      </c>
      <c r="E2579">
        <f>IFERROR(__xludf.DUMMYFUNCTION("""COMPUTED_VALUE"""),28.23)</f>
        <v>28.23</v>
      </c>
      <c r="F2579">
        <f>IFERROR(__xludf.DUMMYFUNCTION("""COMPUTED_VALUE"""),11.98)</f>
        <v>11.98</v>
      </c>
      <c r="G2579">
        <f>IFERROR(__xludf.DUMMYFUNCTION("""COMPUTED_VALUE"""),0.94)</f>
        <v>0.94</v>
      </c>
    </row>
    <row r="2580">
      <c r="A2580">
        <f>IFERROR(__xludf.DUMMYFUNCTION("""COMPUTED_VALUE"""),174585.0)</f>
        <v>174585</v>
      </c>
      <c r="B2580" t="str">
        <f>IFERROR(__xludf.DUMMYFUNCTION("""COMPUTED_VALUE"""),"Sausage Smoked Link Sausage Pork And Beef")</f>
        <v>Sausage Smoked Link Sausage Pork And Beef</v>
      </c>
      <c r="C2580" t="str">
        <f>IFERROR(__xludf.DUMMYFUNCTION("""COMPUTED_VALUE"""),"Meats")</f>
        <v>Meats</v>
      </c>
      <c r="D2580">
        <f>IFERROR(__xludf.DUMMYFUNCTION("""COMPUTED_VALUE"""),320.0)</f>
        <v>320</v>
      </c>
      <c r="E2580">
        <f>IFERROR(__xludf.DUMMYFUNCTION("""COMPUTED_VALUE"""),28.73)</f>
        <v>28.73</v>
      </c>
      <c r="F2580">
        <f>IFERROR(__xludf.DUMMYFUNCTION("""COMPUTED_VALUE"""),12.0)</f>
        <v>12</v>
      </c>
      <c r="G2580">
        <f>IFERROR(__xludf.DUMMYFUNCTION("""COMPUTED_VALUE"""),2.42)</f>
        <v>2.42</v>
      </c>
    </row>
    <row r="2581">
      <c r="A2581">
        <f>IFERROR(__xludf.DUMMYFUNCTION("""COMPUTED_VALUE"""),174586.0)</f>
        <v>174586</v>
      </c>
      <c r="B2581" t="str">
        <f>IFERROR(__xludf.DUMMYFUNCTION("""COMPUTED_VALUE"""),"Sausage Italian Pork Cooked")</f>
        <v>Sausage Italian Pork Cooked</v>
      </c>
      <c r="C2581" t="str">
        <f>IFERROR(__xludf.DUMMYFUNCTION("""COMPUTED_VALUE"""),"Meats")</f>
        <v>Meats</v>
      </c>
      <c r="D2581">
        <f>IFERROR(__xludf.DUMMYFUNCTION("""COMPUTED_VALUE"""),324.0)</f>
        <v>324</v>
      </c>
      <c r="E2581">
        <f>IFERROR(__xludf.DUMMYFUNCTION("""COMPUTED_VALUE"""),26.4)</f>
        <v>26.4</v>
      </c>
      <c r="F2581">
        <f>IFERROR(__xludf.DUMMYFUNCTION("""COMPUTED_VALUE"""),18.4)</f>
        <v>18.4</v>
      </c>
      <c r="G2581">
        <f>IFERROR(__xludf.DUMMYFUNCTION("""COMPUTED_VALUE"""),1.86)</f>
        <v>1.86</v>
      </c>
    </row>
    <row r="2582">
      <c r="A2582">
        <f>IFERROR(__xludf.DUMMYFUNCTION("""COMPUTED_VALUE"""),174587.0)</f>
        <v>174587</v>
      </c>
      <c r="B2582" t="str">
        <f>IFERROR(__xludf.DUMMYFUNCTION("""COMPUTED_VALUE"""),"Luncheon Sausage (Pork And Beef)")</f>
        <v>Luncheon Sausage (Pork And Beef)</v>
      </c>
      <c r="C2582" t="str">
        <f>IFERROR(__xludf.DUMMYFUNCTION("""COMPUTED_VALUE"""),"Meats")</f>
        <v>Meats</v>
      </c>
      <c r="D2582">
        <f>IFERROR(__xludf.DUMMYFUNCTION("""COMPUTED_VALUE"""),260.0)</f>
        <v>260</v>
      </c>
      <c r="E2582">
        <f>IFERROR(__xludf.DUMMYFUNCTION("""COMPUTED_VALUE"""),20.9)</f>
        <v>20.9</v>
      </c>
      <c r="F2582">
        <f>IFERROR(__xludf.DUMMYFUNCTION("""COMPUTED_VALUE"""),15.38)</f>
        <v>15.38</v>
      </c>
      <c r="G2582">
        <f>IFERROR(__xludf.DUMMYFUNCTION("""COMPUTED_VALUE"""),1.58)</f>
        <v>1.58</v>
      </c>
    </row>
    <row r="2583">
      <c r="A2583">
        <f>IFERROR(__xludf.DUMMYFUNCTION("""COMPUTED_VALUE"""),174588.0)</f>
        <v>174588</v>
      </c>
      <c r="B2583" t="str">
        <f>IFERROR(__xludf.DUMMYFUNCTION("""COMPUTED_VALUE"""),"New England Brand Sausage Pork Beef")</f>
        <v>New England Brand Sausage Pork Beef</v>
      </c>
      <c r="C2583" t="str">
        <f>IFERROR(__xludf.DUMMYFUNCTION("""COMPUTED_VALUE"""),"Meats")</f>
        <v>Meats</v>
      </c>
      <c r="D2583">
        <f>IFERROR(__xludf.DUMMYFUNCTION("""COMPUTED_VALUE"""),161.0)</f>
        <v>161</v>
      </c>
      <c r="E2583">
        <f>IFERROR(__xludf.DUMMYFUNCTION("""COMPUTED_VALUE"""),7.58)</f>
        <v>7.58</v>
      </c>
      <c r="F2583">
        <f>IFERROR(__xludf.DUMMYFUNCTION("""COMPUTED_VALUE"""),17.27)</f>
        <v>17.27</v>
      </c>
      <c r="G2583">
        <f>IFERROR(__xludf.DUMMYFUNCTION("""COMPUTED_VALUE"""),4.83)</f>
        <v>4.83</v>
      </c>
    </row>
    <row r="2584">
      <c r="A2584">
        <f>IFERROR(__xludf.DUMMYFUNCTION("""COMPUTED_VALUE"""),174589.0)</f>
        <v>174589</v>
      </c>
      <c r="B2584" t="str">
        <f>IFERROR(__xludf.DUMMYFUNCTION("""COMPUTED_VALUE"""),"Oscar Mayer Bologna (Beef)")</f>
        <v>Oscar Mayer Bologna (Beef)</v>
      </c>
      <c r="C2584" t="str">
        <f>IFERROR(__xludf.DUMMYFUNCTION("""COMPUTED_VALUE"""),"Meats")</f>
        <v>Meats</v>
      </c>
      <c r="D2584">
        <f>IFERROR(__xludf.DUMMYFUNCTION("""COMPUTED_VALUE"""),316.0)</f>
        <v>316</v>
      </c>
      <c r="E2584">
        <f>IFERROR(__xludf.DUMMYFUNCTION("""COMPUTED_VALUE"""),29.1)</f>
        <v>29.1</v>
      </c>
      <c r="F2584">
        <f>IFERROR(__xludf.DUMMYFUNCTION("""COMPUTED_VALUE"""),11.05)</f>
        <v>11.05</v>
      </c>
      <c r="G2584">
        <f>IFERROR(__xludf.DUMMYFUNCTION("""COMPUTED_VALUE"""),2.45)</f>
        <v>2.45</v>
      </c>
    </row>
    <row r="2585">
      <c r="A2585">
        <f>IFERROR(__xludf.DUMMYFUNCTION("""COMPUTED_VALUE"""),174590.0)</f>
        <v>174590</v>
      </c>
      <c r="B2585" t="str">
        <f>IFERROR(__xludf.DUMMYFUNCTION("""COMPUTED_VALUE"""),"Oscar Mayer Smokies Sausage Little Cheese (Pork Turkey)")</f>
        <v>Oscar Mayer Smokies Sausage Little Cheese (Pork Turkey)</v>
      </c>
      <c r="C2585" t="str">
        <f>IFERROR(__xludf.DUMMYFUNCTION("""COMPUTED_VALUE"""),"Meats")</f>
        <v>Meats</v>
      </c>
      <c r="D2585">
        <f>IFERROR(__xludf.DUMMYFUNCTION("""COMPUTED_VALUE"""),315.0)</f>
        <v>315</v>
      </c>
      <c r="E2585">
        <f>IFERROR(__xludf.DUMMYFUNCTION("""COMPUTED_VALUE"""),28.2)</f>
        <v>28.2</v>
      </c>
      <c r="F2585">
        <f>IFERROR(__xludf.DUMMYFUNCTION("""COMPUTED_VALUE"""),13.5)</f>
        <v>13.5</v>
      </c>
      <c r="G2585">
        <f>IFERROR(__xludf.DUMMYFUNCTION("""COMPUTED_VALUE"""),1.7)</f>
        <v>1.7</v>
      </c>
    </row>
    <row r="2586">
      <c r="A2586">
        <f>IFERROR(__xludf.DUMMYFUNCTION("""COMPUTED_VALUE"""),174591.0)</f>
        <v>174591</v>
      </c>
      <c r="B2586" t="str">
        <f>IFERROR(__xludf.DUMMYFUNCTION("""COMPUTED_VALUE"""),"Oscar Mayer Wieners (Beef Franks)")</f>
        <v>Oscar Mayer Wieners (Beef Franks)</v>
      </c>
      <c r="C2586" t="str">
        <f>IFERROR(__xludf.DUMMYFUNCTION("""COMPUTED_VALUE"""),"Meats")</f>
        <v>Meats</v>
      </c>
      <c r="D2586">
        <f>IFERROR(__xludf.DUMMYFUNCTION("""COMPUTED_VALUE"""),329.0)</f>
        <v>329</v>
      </c>
      <c r="E2586">
        <f>IFERROR(__xludf.DUMMYFUNCTION("""COMPUTED_VALUE"""),30.26)</f>
        <v>30.26</v>
      </c>
      <c r="F2586">
        <f>IFERROR(__xludf.DUMMYFUNCTION("""COMPUTED_VALUE"""),11.35)</f>
        <v>11.35</v>
      </c>
      <c r="G2586">
        <f>IFERROR(__xludf.DUMMYFUNCTION("""COMPUTED_VALUE"""),2.78)</f>
        <v>2.78</v>
      </c>
    </row>
    <row r="2587">
      <c r="A2587">
        <f>IFERROR(__xludf.DUMMYFUNCTION("""COMPUTED_VALUE"""),174592.0)</f>
        <v>174592</v>
      </c>
      <c r="B2587" t="str">
        <f>IFERROR(__xludf.DUMMYFUNCTION("""COMPUTED_VALUE"""),"Unprepared Turkey Bacon")</f>
        <v>Unprepared Turkey Bacon</v>
      </c>
      <c r="C2587" t="str">
        <f>IFERROR(__xludf.DUMMYFUNCTION("""COMPUTED_VALUE"""),"Meats")</f>
        <v>Meats</v>
      </c>
      <c r="D2587">
        <f>IFERROR(__xludf.DUMMYFUNCTION("""COMPUTED_VALUE"""),226.0)</f>
        <v>226</v>
      </c>
      <c r="E2587">
        <f>IFERROR(__xludf.DUMMYFUNCTION("""COMPUTED_VALUE"""),16.93)</f>
        <v>16.93</v>
      </c>
      <c r="F2587">
        <f>IFERROR(__xludf.DUMMYFUNCTION("""COMPUTED_VALUE"""),15.94)</f>
        <v>15.94</v>
      </c>
      <c r="G2587">
        <f>IFERROR(__xludf.DUMMYFUNCTION("""COMPUTED_VALUE"""),1.89)</f>
        <v>1.89</v>
      </c>
    </row>
    <row r="2588">
      <c r="A2588">
        <f>IFERROR(__xludf.DUMMYFUNCTION("""COMPUTED_VALUE"""),174593.0)</f>
        <v>174593</v>
      </c>
      <c r="B2588" t="str">
        <f>IFERROR(__xludf.DUMMYFUNCTION("""COMPUTED_VALUE"""),"Hormel Pillow Pak Sliced Turkey Pepperoni")</f>
        <v>Hormel Pillow Pak Sliced Turkey Pepperoni</v>
      </c>
      <c r="C2588" t="str">
        <f>IFERROR(__xludf.DUMMYFUNCTION("""COMPUTED_VALUE"""),"Meats")</f>
        <v>Meats</v>
      </c>
      <c r="D2588">
        <f>IFERROR(__xludf.DUMMYFUNCTION("""COMPUTED_VALUE"""),243.0)</f>
        <v>243</v>
      </c>
      <c r="E2588">
        <f>IFERROR(__xludf.DUMMYFUNCTION("""COMPUTED_VALUE"""),11.52)</f>
        <v>11.52</v>
      </c>
      <c r="F2588">
        <f>IFERROR(__xludf.DUMMYFUNCTION("""COMPUTED_VALUE"""),30.99)</f>
        <v>30.99</v>
      </c>
      <c r="G2588">
        <f>IFERROR(__xludf.DUMMYFUNCTION("""COMPUTED_VALUE"""),3.78)</f>
        <v>3.78</v>
      </c>
    </row>
    <row r="2589">
      <c r="A2589">
        <f>IFERROR(__xludf.DUMMYFUNCTION("""COMPUTED_VALUE"""),174594.0)</f>
        <v>174594</v>
      </c>
      <c r="B2589" t="str">
        <f>IFERROR(__xludf.DUMMYFUNCTION("""COMPUTED_VALUE"""),"Luncheon Meat Pork And Chicken Minced Canned Includes Spam Lite")</f>
        <v>Luncheon Meat Pork And Chicken Minced Canned Includes Spam Lite</v>
      </c>
      <c r="C2589" t="str">
        <f>IFERROR(__xludf.DUMMYFUNCTION("""COMPUTED_VALUE"""),"Meats")</f>
        <v>Meats</v>
      </c>
      <c r="D2589">
        <f>IFERROR(__xludf.DUMMYFUNCTION("""COMPUTED_VALUE"""),196.0)</f>
        <v>196</v>
      </c>
      <c r="E2589">
        <f>IFERROR(__xludf.DUMMYFUNCTION("""COMPUTED_VALUE"""),13.9)</f>
        <v>13.9</v>
      </c>
      <c r="F2589">
        <f>IFERROR(__xludf.DUMMYFUNCTION("""COMPUTED_VALUE"""),15.23)</f>
        <v>15.23</v>
      </c>
      <c r="G2589">
        <f>IFERROR(__xludf.DUMMYFUNCTION("""COMPUTED_VALUE"""),1.35)</f>
        <v>1.35</v>
      </c>
    </row>
    <row r="2590">
      <c r="A2590">
        <f>IFERROR(__xludf.DUMMYFUNCTION("""COMPUTED_VALUE"""),174595.0)</f>
        <v>174595</v>
      </c>
      <c r="B2590" t="str">
        <f>IFERROR(__xludf.DUMMYFUNCTION("""COMPUTED_VALUE"""),"Veal Bratwurst")</f>
        <v>Veal Bratwurst</v>
      </c>
      <c r="C2590" t="str">
        <f>IFERROR(__xludf.DUMMYFUNCTION("""COMPUTED_VALUE"""),"Meats")</f>
        <v>Meats</v>
      </c>
      <c r="D2590">
        <f>IFERROR(__xludf.DUMMYFUNCTION("""COMPUTED_VALUE"""),341.0)</f>
        <v>341</v>
      </c>
      <c r="E2590">
        <f>IFERROR(__xludf.DUMMYFUNCTION("""COMPUTED_VALUE"""),31.7)</f>
        <v>31.7</v>
      </c>
      <c r="F2590">
        <f>IFERROR(__xludf.DUMMYFUNCTION("""COMPUTED_VALUE"""),13.99)</f>
        <v>13.99</v>
      </c>
      <c r="G2590">
        <f>IFERROR(__xludf.DUMMYFUNCTION("""COMPUTED_VALUE"""),0.0)</f>
        <v>0</v>
      </c>
    </row>
    <row r="2591">
      <c r="A2591">
        <f>IFERROR(__xludf.DUMMYFUNCTION("""COMPUTED_VALUE"""),174596.0)</f>
        <v>174596</v>
      </c>
      <c r="B2591" t="str">
        <f>IFERROR(__xludf.DUMMYFUNCTION("""COMPUTED_VALUE"""),"Liverwurst Spread")</f>
        <v>Liverwurst Spread</v>
      </c>
      <c r="C2591" t="str">
        <f>IFERROR(__xludf.DUMMYFUNCTION("""COMPUTED_VALUE"""),"Meats")</f>
        <v>Meats</v>
      </c>
      <c r="D2591">
        <f>IFERROR(__xludf.DUMMYFUNCTION("""COMPUTED_VALUE"""),305.0)</f>
        <v>305</v>
      </c>
      <c r="E2591">
        <f>IFERROR(__xludf.DUMMYFUNCTION("""COMPUTED_VALUE"""),25.45)</f>
        <v>25.45</v>
      </c>
      <c r="F2591">
        <f>IFERROR(__xludf.DUMMYFUNCTION("""COMPUTED_VALUE"""),12.38)</f>
        <v>12.38</v>
      </c>
      <c r="G2591">
        <f>IFERROR(__xludf.DUMMYFUNCTION("""COMPUTED_VALUE"""),5.89)</f>
        <v>5.89</v>
      </c>
    </row>
    <row r="2592">
      <c r="A2592">
        <f>IFERROR(__xludf.DUMMYFUNCTION("""COMPUTED_VALUE"""),174597.0)</f>
        <v>174597</v>
      </c>
      <c r="B2592" t="str">
        <f>IFERROR(__xludf.DUMMYFUNCTION("""COMPUTED_VALUE"""),"Roast Beef Spread")</f>
        <v>Roast Beef Spread</v>
      </c>
      <c r="C2592" t="str">
        <f>IFERROR(__xludf.DUMMYFUNCTION("""COMPUTED_VALUE"""),"Meats")</f>
        <v>Meats</v>
      </c>
      <c r="D2592">
        <f>IFERROR(__xludf.DUMMYFUNCTION("""COMPUTED_VALUE"""),223.0)</f>
        <v>223</v>
      </c>
      <c r="E2592">
        <f>IFERROR(__xludf.DUMMYFUNCTION("""COMPUTED_VALUE"""),16.28)</f>
        <v>16.28</v>
      </c>
      <c r="F2592">
        <f>IFERROR(__xludf.DUMMYFUNCTION("""COMPUTED_VALUE"""),15.27)</f>
        <v>15.27</v>
      </c>
      <c r="G2592">
        <f>IFERROR(__xludf.DUMMYFUNCTION("""COMPUTED_VALUE"""),3.73)</f>
        <v>3.73</v>
      </c>
    </row>
    <row r="2593">
      <c r="A2593">
        <f>IFERROR(__xludf.DUMMYFUNCTION("""COMPUTED_VALUE"""),174598.0)</f>
        <v>174598</v>
      </c>
      <c r="B2593" t="str">
        <f>IFERROR(__xludf.DUMMYFUNCTION("""COMPUTED_VALUE"""),"Salami Pork Beef Less Sodium")</f>
        <v>Salami Pork Beef Less Sodium</v>
      </c>
      <c r="C2593" t="str">
        <f>IFERROR(__xludf.DUMMYFUNCTION("""COMPUTED_VALUE"""),"Meats")</f>
        <v>Meats</v>
      </c>
      <c r="D2593">
        <f>IFERROR(__xludf.DUMMYFUNCTION("""COMPUTED_VALUE"""),396.0)</f>
        <v>396</v>
      </c>
      <c r="E2593">
        <f>IFERROR(__xludf.DUMMYFUNCTION("""COMPUTED_VALUE"""),30.5)</f>
        <v>30.5</v>
      </c>
      <c r="F2593">
        <f>IFERROR(__xludf.DUMMYFUNCTION("""COMPUTED_VALUE"""),15.01)</f>
        <v>15.01</v>
      </c>
      <c r="G2593">
        <f>IFERROR(__xludf.DUMMYFUNCTION("""COMPUTED_VALUE"""),15.38)</f>
        <v>15.38</v>
      </c>
    </row>
    <row r="2594">
      <c r="A2594">
        <f>IFERROR(__xludf.DUMMYFUNCTION("""COMPUTED_VALUE"""),174599.0)</f>
        <v>174599</v>
      </c>
      <c r="B2594" t="str">
        <f>IFERROR(__xludf.DUMMYFUNCTION("""COMPUTED_VALUE"""),"Sausage Summer Pork And Beef Sticks With Cheddar Cheese")</f>
        <v>Sausage Summer Pork And Beef Sticks With Cheddar Cheese</v>
      </c>
      <c r="C2594" t="str">
        <f>IFERROR(__xludf.DUMMYFUNCTION("""COMPUTED_VALUE"""),"Meats")</f>
        <v>Meats</v>
      </c>
      <c r="D2594">
        <f>IFERROR(__xludf.DUMMYFUNCTION("""COMPUTED_VALUE"""),426.0)</f>
        <v>426</v>
      </c>
      <c r="E2594">
        <f>IFERROR(__xludf.DUMMYFUNCTION("""COMPUTED_VALUE"""),37.91)</f>
        <v>37.91</v>
      </c>
      <c r="F2594">
        <f>IFERROR(__xludf.DUMMYFUNCTION("""COMPUTED_VALUE"""),19.43)</f>
        <v>19.43</v>
      </c>
      <c r="G2594">
        <f>IFERROR(__xludf.DUMMYFUNCTION("""COMPUTED_VALUE"""),1.82)</f>
        <v>1.82</v>
      </c>
    </row>
    <row r="2595">
      <c r="A2595">
        <f>IFERROR(__xludf.DUMMYFUNCTION("""COMPUTED_VALUE"""),174600.0)</f>
        <v>174600</v>
      </c>
      <c r="B2595" t="str">
        <f>IFERROR(__xludf.DUMMYFUNCTION("""COMPUTED_VALUE"""),"Sausage Turkey Breakfast Links Mild")</f>
        <v>Sausage Turkey Breakfast Links Mild</v>
      </c>
      <c r="C2595" t="str">
        <f>IFERROR(__xludf.DUMMYFUNCTION("""COMPUTED_VALUE"""),"Meats")</f>
        <v>Meats</v>
      </c>
      <c r="D2595">
        <f>IFERROR(__xludf.DUMMYFUNCTION("""COMPUTED_VALUE"""),174.0)</f>
        <v>174</v>
      </c>
      <c r="E2595">
        <f>IFERROR(__xludf.DUMMYFUNCTION("""COMPUTED_VALUE"""),10.39)</f>
        <v>10.39</v>
      </c>
      <c r="F2595">
        <f>IFERROR(__xludf.DUMMYFUNCTION("""COMPUTED_VALUE"""),15.91)</f>
        <v>15.91</v>
      </c>
      <c r="G2595">
        <f>IFERROR(__xludf.DUMMYFUNCTION("""COMPUTED_VALUE"""),3.18)</f>
        <v>3.18</v>
      </c>
    </row>
    <row r="2596">
      <c r="A2596">
        <f>IFERROR(__xludf.DUMMYFUNCTION("""COMPUTED_VALUE"""),174601.0)</f>
        <v>174601</v>
      </c>
      <c r="B2596" t="str">
        <f>IFERROR(__xludf.DUMMYFUNCTION("""COMPUTED_VALUE"""),"Swisswurst Pork And Beef With Swiss Cheese Smoked")</f>
        <v>Swisswurst Pork And Beef With Swiss Cheese Smoked</v>
      </c>
      <c r="C2596" t="str">
        <f>IFERROR(__xludf.DUMMYFUNCTION("""COMPUTED_VALUE"""),"Meats")</f>
        <v>Meats</v>
      </c>
      <c r="D2596">
        <f>IFERROR(__xludf.DUMMYFUNCTION("""COMPUTED_VALUE"""),307.0)</f>
        <v>307</v>
      </c>
      <c r="E2596">
        <f>IFERROR(__xludf.DUMMYFUNCTION("""COMPUTED_VALUE"""),27.37)</f>
        <v>27.37</v>
      </c>
      <c r="F2596">
        <f>IFERROR(__xludf.DUMMYFUNCTION("""COMPUTED_VALUE"""),12.69)</f>
        <v>12.69</v>
      </c>
      <c r="G2596">
        <f>IFERROR(__xludf.DUMMYFUNCTION("""COMPUTED_VALUE"""),1.6)</f>
        <v>1.6</v>
      </c>
    </row>
    <row r="2597">
      <c r="A2597">
        <f>IFERROR(__xludf.DUMMYFUNCTION("""COMPUTED_VALUE"""),174602.0)</f>
        <v>174602</v>
      </c>
      <c r="B2597" t="str">
        <f>IFERROR(__xludf.DUMMYFUNCTION("""COMPUTED_VALUE"""),"Bacon And Beef Sticks")</f>
        <v>Bacon And Beef Sticks</v>
      </c>
      <c r="C2597" t="str">
        <f>IFERROR(__xludf.DUMMYFUNCTION("""COMPUTED_VALUE"""),"Meats")</f>
        <v>Meats</v>
      </c>
      <c r="D2597">
        <f>IFERROR(__xludf.DUMMYFUNCTION("""COMPUTED_VALUE"""),517.0)</f>
        <v>517</v>
      </c>
      <c r="E2597">
        <f>IFERROR(__xludf.DUMMYFUNCTION("""COMPUTED_VALUE"""),44.2)</f>
        <v>44.2</v>
      </c>
      <c r="F2597">
        <f>IFERROR(__xludf.DUMMYFUNCTION("""COMPUTED_VALUE"""),29.1)</f>
        <v>29.1</v>
      </c>
      <c r="G2597">
        <f>IFERROR(__xludf.DUMMYFUNCTION("""COMPUTED_VALUE"""),0.8)</f>
        <v>0.8</v>
      </c>
    </row>
    <row r="2598">
      <c r="A2598">
        <f>IFERROR(__xludf.DUMMYFUNCTION("""COMPUTED_VALUE"""),174603.0)</f>
        <v>174603</v>
      </c>
      <c r="B2598" t="str">
        <f>IFERROR(__xludf.DUMMYFUNCTION("""COMPUTED_VALUE"""),"Salami")</f>
        <v>Salami</v>
      </c>
      <c r="C2598" t="str">
        <f>IFERROR(__xludf.DUMMYFUNCTION("""COMPUTED_VALUE"""),"Meats")</f>
        <v>Meats</v>
      </c>
      <c r="D2598">
        <f>IFERROR(__xludf.DUMMYFUNCTION("""COMPUTED_VALUE"""),425.0)</f>
        <v>425</v>
      </c>
      <c r="E2598">
        <f>IFERROR(__xludf.DUMMYFUNCTION("""COMPUTED_VALUE"""),37.0)</f>
        <v>37</v>
      </c>
      <c r="F2598">
        <f>IFERROR(__xludf.DUMMYFUNCTION("""COMPUTED_VALUE"""),21.7)</f>
        <v>21.7</v>
      </c>
      <c r="G2598">
        <f>IFERROR(__xludf.DUMMYFUNCTION("""COMPUTED_VALUE"""),1.2)</f>
        <v>1.2</v>
      </c>
    </row>
    <row r="2599">
      <c r="A2599">
        <f>IFERROR(__xludf.DUMMYFUNCTION("""COMPUTED_VALUE"""),174604.0)</f>
        <v>174604</v>
      </c>
      <c r="B2599" t="str">
        <f>IFERROR(__xludf.DUMMYFUNCTION("""COMPUTED_VALUE"""),"Sausage Italian Turkey Smoked")</f>
        <v>Sausage Italian Turkey Smoked</v>
      </c>
      <c r="C2599" t="str">
        <f>IFERROR(__xludf.DUMMYFUNCTION("""COMPUTED_VALUE"""),"Meats")</f>
        <v>Meats</v>
      </c>
      <c r="D2599">
        <f>IFERROR(__xludf.DUMMYFUNCTION("""COMPUTED_VALUE"""),158.0)</f>
        <v>158</v>
      </c>
      <c r="E2599">
        <f>IFERROR(__xludf.DUMMYFUNCTION("""COMPUTED_VALUE"""),8.75)</f>
        <v>8.75</v>
      </c>
      <c r="F2599">
        <f>IFERROR(__xludf.DUMMYFUNCTION("""COMPUTED_VALUE"""),15.05)</f>
        <v>15.05</v>
      </c>
      <c r="G2599">
        <f>IFERROR(__xludf.DUMMYFUNCTION("""COMPUTED_VALUE"""),4.65)</f>
        <v>4.65</v>
      </c>
    </row>
    <row r="2600">
      <c r="A2600">
        <f>IFERROR(__xludf.DUMMYFUNCTION("""COMPUTED_VALUE"""),174605.0)</f>
        <v>174605</v>
      </c>
      <c r="B2600" t="str">
        <f>IFERROR(__xludf.DUMMYFUNCTION("""COMPUTED_VALUE"""),"Sausage Chicken Beef Pork Skinless Smoked")</f>
        <v>Sausage Chicken Beef Pork Skinless Smoked</v>
      </c>
      <c r="C2600" t="str">
        <f>IFERROR(__xludf.DUMMYFUNCTION("""COMPUTED_VALUE"""),"Meats")</f>
        <v>Meats</v>
      </c>
      <c r="D2600">
        <f>IFERROR(__xludf.DUMMYFUNCTION("""COMPUTED_VALUE"""),216.0)</f>
        <v>216</v>
      </c>
      <c r="E2600">
        <f>IFERROR(__xludf.DUMMYFUNCTION("""COMPUTED_VALUE"""),14.3)</f>
        <v>14.3</v>
      </c>
      <c r="F2600">
        <f>IFERROR(__xludf.DUMMYFUNCTION("""COMPUTED_VALUE"""),13.6)</f>
        <v>13.6</v>
      </c>
      <c r="G2600">
        <f>IFERROR(__xludf.DUMMYFUNCTION("""COMPUTED_VALUE"""),8.1)</f>
        <v>8.1</v>
      </c>
    </row>
    <row r="2601">
      <c r="A2601">
        <f>IFERROR(__xludf.DUMMYFUNCTION("""COMPUTED_VALUE"""),174606.0)</f>
        <v>174606</v>
      </c>
      <c r="B2601" t="str">
        <f>IFERROR(__xludf.DUMMYFUNCTION("""COMPUTED_VALUE"""),"Sausage Turkey Hot Smoked")</f>
        <v>Sausage Turkey Hot Smoked</v>
      </c>
      <c r="C2601" t="str">
        <f>IFERROR(__xludf.DUMMYFUNCTION("""COMPUTED_VALUE"""),"Meats")</f>
        <v>Meats</v>
      </c>
      <c r="D2601">
        <f>IFERROR(__xludf.DUMMYFUNCTION("""COMPUTED_VALUE"""),158.0)</f>
        <v>158</v>
      </c>
      <c r="E2601">
        <f>IFERROR(__xludf.DUMMYFUNCTION("""COMPUTED_VALUE"""),8.75)</f>
        <v>8.75</v>
      </c>
      <c r="F2601">
        <f>IFERROR(__xludf.DUMMYFUNCTION("""COMPUTED_VALUE"""),15.05)</f>
        <v>15.05</v>
      </c>
      <c r="G2601">
        <f>IFERROR(__xludf.DUMMYFUNCTION("""COMPUTED_VALUE"""),4.65)</f>
        <v>4.65</v>
      </c>
    </row>
    <row r="2602">
      <c r="A2602">
        <f>IFERROR(__xludf.DUMMYFUNCTION("""COMPUTED_VALUE"""),174607.0)</f>
        <v>174607</v>
      </c>
      <c r="B2602" t="str">
        <f>IFERROR(__xludf.DUMMYFUNCTION("""COMPUTED_VALUE"""),"Kielbasa Polish Turkey And Beef Smoked")</f>
        <v>Kielbasa Polish Turkey And Beef Smoked</v>
      </c>
      <c r="C2602" t="str">
        <f>IFERROR(__xludf.DUMMYFUNCTION("""COMPUTED_VALUE"""),"Meats")</f>
        <v>Meats</v>
      </c>
      <c r="D2602">
        <f>IFERROR(__xludf.DUMMYFUNCTION("""COMPUTED_VALUE"""),226.0)</f>
        <v>226</v>
      </c>
      <c r="E2602">
        <f>IFERROR(__xludf.DUMMYFUNCTION("""COMPUTED_VALUE"""),17.6)</f>
        <v>17.6</v>
      </c>
      <c r="F2602">
        <f>IFERROR(__xludf.DUMMYFUNCTION("""COMPUTED_VALUE"""),13.1)</f>
        <v>13.1</v>
      </c>
      <c r="G2602">
        <f>IFERROR(__xludf.DUMMYFUNCTION("""COMPUTED_VALUE"""),3.9)</f>
        <v>3.9</v>
      </c>
    </row>
    <row r="2603">
      <c r="A2603">
        <f>IFERROR(__xludf.DUMMYFUNCTION("""COMPUTED_VALUE"""),174608.0)</f>
        <v>174608</v>
      </c>
      <c r="B2603" t="str">
        <f>IFERROR(__xludf.DUMMYFUNCTION("""COMPUTED_VALUE"""),"Oven-Roasted Chicken Breast Roll")</f>
        <v>Oven-Roasted Chicken Breast Roll</v>
      </c>
      <c r="C2603" t="str">
        <f>IFERROR(__xludf.DUMMYFUNCTION("""COMPUTED_VALUE"""),"Meats")</f>
        <v>Meats</v>
      </c>
      <c r="D2603">
        <f>IFERROR(__xludf.DUMMYFUNCTION("""COMPUTED_VALUE"""),134.0)</f>
        <v>134</v>
      </c>
      <c r="E2603">
        <f>IFERROR(__xludf.DUMMYFUNCTION("""COMPUTED_VALUE"""),7.65)</f>
        <v>7.65</v>
      </c>
      <c r="F2603">
        <f>IFERROR(__xludf.DUMMYFUNCTION("""COMPUTED_VALUE"""),14.59)</f>
        <v>14.59</v>
      </c>
      <c r="G2603">
        <f>IFERROR(__xludf.DUMMYFUNCTION("""COMPUTED_VALUE"""),1.79)</f>
        <v>1.79</v>
      </c>
    </row>
    <row r="2604">
      <c r="A2604">
        <f>IFERROR(__xludf.DUMMYFUNCTION("""COMPUTED_VALUE"""),174609.0)</f>
        <v>174609</v>
      </c>
      <c r="B2604" t="str">
        <f>IFERROR(__xludf.DUMMYFUNCTION("""COMPUTED_VALUE"""),"Bologna Pork And Turkey Lite")</f>
        <v>Bologna Pork And Turkey Lite</v>
      </c>
      <c r="C2604" t="str">
        <f>IFERROR(__xludf.DUMMYFUNCTION("""COMPUTED_VALUE"""),"Meats")</f>
        <v>Meats</v>
      </c>
      <c r="D2604">
        <f>IFERROR(__xludf.DUMMYFUNCTION("""COMPUTED_VALUE"""),211.0)</f>
        <v>211</v>
      </c>
      <c r="E2604">
        <f>IFERROR(__xludf.DUMMYFUNCTION("""COMPUTED_VALUE"""),16.06)</f>
        <v>16.06</v>
      </c>
      <c r="F2604">
        <f>IFERROR(__xludf.DUMMYFUNCTION("""COMPUTED_VALUE"""),13.06)</f>
        <v>13.06</v>
      </c>
      <c r="G2604">
        <f>IFERROR(__xludf.DUMMYFUNCTION("""COMPUTED_VALUE"""),3.45)</f>
        <v>3.45</v>
      </c>
    </row>
    <row r="2605">
      <c r="A2605">
        <f>IFERROR(__xludf.DUMMYFUNCTION("""COMPUTED_VALUE"""),174610.0)</f>
        <v>174610</v>
      </c>
      <c r="B2605" t="str">
        <f>IFERROR(__xludf.DUMMYFUNCTION("""COMPUTED_VALUE"""),"Bologna Pork Turkey And Beef")</f>
        <v>Bologna Pork Turkey And Beef</v>
      </c>
      <c r="C2605" t="str">
        <f>IFERROR(__xludf.DUMMYFUNCTION("""COMPUTED_VALUE"""),"Meats")</f>
        <v>Meats</v>
      </c>
      <c r="D2605">
        <f>IFERROR(__xludf.DUMMYFUNCTION("""COMPUTED_VALUE"""),336.0)</f>
        <v>336</v>
      </c>
      <c r="E2605">
        <f>IFERROR(__xludf.DUMMYFUNCTION("""COMPUTED_VALUE"""),29.25)</f>
        <v>29.25</v>
      </c>
      <c r="F2605">
        <f>IFERROR(__xludf.DUMMYFUNCTION("""COMPUTED_VALUE"""),11.56)</f>
        <v>11.56</v>
      </c>
      <c r="G2605">
        <f>IFERROR(__xludf.DUMMYFUNCTION("""COMPUTED_VALUE"""),6.66)</f>
        <v>6.66</v>
      </c>
    </row>
    <row r="2606">
      <c r="A2606">
        <f>IFERROR(__xludf.DUMMYFUNCTION("""COMPUTED_VALUE"""),174611.0)</f>
        <v>174611</v>
      </c>
      <c r="B2606" t="str">
        <f>IFERROR(__xludf.DUMMYFUNCTION("""COMPUTED_VALUE"""),"Ham Honey Smoked Cooked")</f>
        <v>Ham Honey Smoked Cooked</v>
      </c>
      <c r="C2606" t="str">
        <f>IFERROR(__xludf.DUMMYFUNCTION("""COMPUTED_VALUE"""),"Meats")</f>
        <v>Meats</v>
      </c>
      <c r="D2606">
        <f>IFERROR(__xludf.DUMMYFUNCTION("""COMPUTED_VALUE"""),122.0)</f>
        <v>122</v>
      </c>
      <c r="E2606">
        <f>IFERROR(__xludf.DUMMYFUNCTION("""COMPUTED_VALUE"""),2.37)</f>
        <v>2.37</v>
      </c>
      <c r="F2606">
        <f>IFERROR(__xludf.DUMMYFUNCTION("""COMPUTED_VALUE"""),17.93)</f>
        <v>17.93</v>
      </c>
      <c r="G2606">
        <f>IFERROR(__xludf.DUMMYFUNCTION("""COMPUTED_VALUE"""),7.27)</f>
        <v>7.27</v>
      </c>
    </row>
    <row r="2607">
      <c r="A2607">
        <f>IFERROR(__xludf.DUMMYFUNCTION("""COMPUTED_VALUE"""),174612.0)</f>
        <v>174612</v>
      </c>
      <c r="B2607" t="str">
        <f>IFERROR(__xludf.DUMMYFUNCTION("""COMPUTED_VALUE"""),"Turkey Breast Smoked Lemon Pepper Flavor 97% Fat-Free")</f>
        <v>Turkey Breast Smoked Lemon Pepper Flavor 97% Fat-Free</v>
      </c>
      <c r="C2607" t="str">
        <f>IFERROR(__xludf.DUMMYFUNCTION("""COMPUTED_VALUE"""),"Meats")</f>
        <v>Meats</v>
      </c>
      <c r="D2607">
        <f>IFERROR(__xludf.DUMMYFUNCTION("""COMPUTED_VALUE"""),95.0)</f>
        <v>95</v>
      </c>
      <c r="E2607">
        <f>IFERROR(__xludf.DUMMYFUNCTION("""COMPUTED_VALUE"""),0.69)</f>
        <v>0.69</v>
      </c>
      <c r="F2607">
        <f>IFERROR(__xludf.DUMMYFUNCTION("""COMPUTED_VALUE"""),20.9)</f>
        <v>20.9</v>
      </c>
      <c r="G2607">
        <f>IFERROR(__xludf.DUMMYFUNCTION("""COMPUTED_VALUE"""),1.31)</f>
        <v>1.31</v>
      </c>
    </row>
    <row r="2608">
      <c r="A2608">
        <f>IFERROR(__xludf.DUMMYFUNCTION("""COMPUTED_VALUE"""),174613.0)</f>
        <v>174613</v>
      </c>
      <c r="B2608" t="str">
        <f>IFERROR(__xludf.DUMMYFUNCTION("""COMPUTED_VALUE"""),"Turkey White Rotisserie Deli Cut")</f>
        <v>Turkey White Rotisserie Deli Cut</v>
      </c>
      <c r="C2608" t="str">
        <f>IFERROR(__xludf.DUMMYFUNCTION("""COMPUTED_VALUE"""),"Meats")</f>
        <v>Meats</v>
      </c>
      <c r="D2608">
        <f>IFERROR(__xludf.DUMMYFUNCTION("""COMPUTED_VALUE"""),112.0)</f>
        <v>112</v>
      </c>
      <c r="E2608">
        <f>IFERROR(__xludf.DUMMYFUNCTION("""COMPUTED_VALUE"""),3.0)</f>
        <v>3</v>
      </c>
      <c r="F2608">
        <f>IFERROR(__xludf.DUMMYFUNCTION("""COMPUTED_VALUE"""),13.5)</f>
        <v>13.5</v>
      </c>
      <c r="G2608">
        <f>IFERROR(__xludf.DUMMYFUNCTION("""COMPUTED_VALUE"""),7.7)</f>
        <v>7.7</v>
      </c>
    </row>
    <row r="2609">
      <c r="A2609">
        <f>IFERROR(__xludf.DUMMYFUNCTION("""COMPUTED_VALUE"""),174614.0)</f>
        <v>174614</v>
      </c>
      <c r="B2609" t="str">
        <f>IFERROR(__xludf.DUMMYFUNCTION("""COMPUTED_VALUE"""),"Frankfurter Beef Heated")</f>
        <v>Frankfurter Beef Heated</v>
      </c>
      <c r="C2609" t="str">
        <f>IFERROR(__xludf.DUMMYFUNCTION("""COMPUTED_VALUE"""),"Meats")</f>
        <v>Meats</v>
      </c>
      <c r="D2609">
        <f>IFERROR(__xludf.DUMMYFUNCTION("""COMPUTED_VALUE"""),322.0)</f>
        <v>322</v>
      </c>
      <c r="E2609">
        <f>IFERROR(__xludf.DUMMYFUNCTION("""COMPUTED_VALUE"""),29.36)</f>
        <v>29.36</v>
      </c>
      <c r="F2609">
        <f>IFERROR(__xludf.DUMMYFUNCTION("""COMPUTED_VALUE"""),11.69)</f>
        <v>11.69</v>
      </c>
      <c r="G2609">
        <f>IFERROR(__xludf.DUMMYFUNCTION("""COMPUTED_VALUE"""),2.66)</f>
        <v>2.66</v>
      </c>
    </row>
    <row r="2610">
      <c r="A2610">
        <f>IFERROR(__xludf.DUMMYFUNCTION("""COMPUTED_VALUE"""),174615.0)</f>
        <v>174615</v>
      </c>
      <c r="B2610" t="str">
        <f>IFERROR(__xludf.DUMMYFUNCTION("""COMPUTED_VALUE"""),"Frankfurter Meat Heated")</f>
        <v>Frankfurter Meat Heated</v>
      </c>
      <c r="C2610" t="str">
        <f>IFERROR(__xludf.DUMMYFUNCTION("""COMPUTED_VALUE"""),"Meats")</f>
        <v>Meats</v>
      </c>
      <c r="D2610">
        <f>IFERROR(__xludf.DUMMYFUNCTION("""COMPUTED_VALUE"""),278.0)</f>
        <v>278</v>
      </c>
      <c r="E2610">
        <f>IFERROR(__xludf.DUMMYFUNCTION("""COMPUTED_VALUE"""),24.31)</f>
        <v>24.31</v>
      </c>
      <c r="F2610">
        <f>IFERROR(__xludf.DUMMYFUNCTION("""COMPUTED_VALUE"""),9.77)</f>
        <v>9.77</v>
      </c>
      <c r="G2610">
        <f>IFERROR(__xludf.DUMMYFUNCTION("""COMPUTED_VALUE"""),4.9)</f>
        <v>4.9</v>
      </c>
    </row>
    <row r="2611">
      <c r="A2611">
        <f>IFERROR(__xludf.DUMMYFUNCTION("""COMPUTED_VALUE"""),174616.0)</f>
        <v>174616</v>
      </c>
      <c r="B2611" t="str">
        <f>IFERROR(__xludf.DUMMYFUNCTION("""COMPUTED_VALUE"""),"Beef Sausage Pre-Cooked")</f>
        <v>Beef Sausage Pre-Cooked</v>
      </c>
      <c r="C2611" t="str">
        <f>IFERROR(__xludf.DUMMYFUNCTION("""COMPUTED_VALUE"""),"Meats")</f>
        <v>Meats</v>
      </c>
      <c r="D2611">
        <f>IFERROR(__xludf.DUMMYFUNCTION("""COMPUTED_VALUE"""),327.0)</f>
        <v>327</v>
      </c>
      <c r="E2611">
        <f>IFERROR(__xludf.DUMMYFUNCTION("""COMPUTED_VALUE"""),28.22)</f>
        <v>28.22</v>
      </c>
      <c r="F2611">
        <f>IFERROR(__xludf.DUMMYFUNCTION("""COMPUTED_VALUE"""),12.9)</f>
        <v>12.9</v>
      </c>
      <c r="G2611">
        <f>IFERROR(__xludf.DUMMYFUNCTION("""COMPUTED_VALUE"""),4.61)</f>
        <v>4.61</v>
      </c>
    </row>
    <row r="2612">
      <c r="A2612">
        <f>IFERROR(__xludf.DUMMYFUNCTION("""COMPUTED_VALUE"""),174617.0)</f>
        <v>174617</v>
      </c>
      <c r="B2612" t="str">
        <f>IFERROR(__xludf.DUMMYFUNCTION("""COMPUTED_VALUE"""),"Turkey Sausage Fresh Raw")</f>
        <v>Turkey Sausage Fresh Raw</v>
      </c>
      <c r="C2612" t="str">
        <f>IFERROR(__xludf.DUMMYFUNCTION("""COMPUTED_VALUE"""),"Meats")</f>
        <v>Meats</v>
      </c>
      <c r="D2612">
        <f>IFERROR(__xludf.DUMMYFUNCTION("""COMPUTED_VALUE"""),155.0)</f>
        <v>155</v>
      </c>
      <c r="E2612">
        <f>IFERROR(__xludf.DUMMYFUNCTION("""COMPUTED_VALUE"""),8.08)</f>
        <v>8.08</v>
      </c>
      <c r="F2612">
        <f>IFERROR(__xludf.DUMMYFUNCTION("""COMPUTED_VALUE"""),18.79)</f>
        <v>18.79</v>
      </c>
      <c r="G2612">
        <f>IFERROR(__xludf.DUMMYFUNCTION("""COMPUTED_VALUE"""),0.47)</f>
        <v>0.47</v>
      </c>
    </row>
    <row r="2613">
      <c r="A2613">
        <f>IFERROR(__xludf.DUMMYFUNCTION("""COMPUTED_VALUE"""),174618.0)</f>
        <v>174618</v>
      </c>
      <c r="B2613" t="str">
        <f>IFERROR(__xludf.DUMMYFUNCTION("""COMPUTED_VALUE"""),"Beef Sausage Fresh Cooked")</f>
        <v>Beef Sausage Fresh Cooked</v>
      </c>
      <c r="C2613" t="str">
        <f>IFERROR(__xludf.DUMMYFUNCTION("""COMPUTED_VALUE"""),"Meats")</f>
        <v>Meats</v>
      </c>
      <c r="D2613">
        <f>IFERROR(__xludf.DUMMYFUNCTION("""COMPUTED_VALUE"""),332.0)</f>
        <v>332</v>
      </c>
      <c r="E2613">
        <f>IFERROR(__xludf.DUMMYFUNCTION("""COMPUTED_VALUE"""),27.98)</f>
        <v>27.98</v>
      </c>
      <c r="F2613">
        <f>IFERROR(__xludf.DUMMYFUNCTION("""COMPUTED_VALUE"""),18.21)</f>
        <v>18.21</v>
      </c>
      <c r="G2613">
        <f>IFERROR(__xludf.DUMMYFUNCTION("""COMPUTED_VALUE"""),0.35)</f>
        <v>0.35</v>
      </c>
    </row>
    <row r="2614">
      <c r="A2614">
        <f>IFERROR(__xludf.DUMMYFUNCTION("""COMPUTED_VALUE"""),174688.0)</f>
        <v>174688</v>
      </c>
      <c r="B2614" t="str">
        <f>IFERROR(__xludf.DUMMYFUNCTION("""COMPUTED_VALUE"""),"Beef Top Loin Filet Boneless Separable Lean Only Trimmed To 1/8 Inch Fat All Grades Cooked Grilled")</f>
        <v>Beef Top Loin Filet Boneless Separable Lean Only Trimmed To 1/8 Inch Fat All Grades Cooked Grilled</v>
      </c>
      <c r="C2614" t="str">
        <f>IFERROR(__xludf.DUMMYFUNCTION("""COMPUTED_VALUE"""),"Meats")</f>
        <v>Meats</v>
      </c>
      <c r="D2614">
        <f>IFERROR(__xludf.DUMMYFUNCTION("""COMPUTED_VALUE"""),195.0)</f>
        <v>195</v>
      </c>
      <c r="E2614">
        <f>IFERROR(__xludf.DUMMYFUNCTION("""COMPUTED_VALUE"""),8.54)</f>
        <v>8.54</v>
      </c>
      <c r="F2614">
        <f>IFERROR(__xludf.DUMMYFUNCTION("""COMPUTED_VALUE"""),29.33)</f>
        <v>29.33</v>
      </c>
      <c r="G2614">
        <f>IFERROR(__xludf.DUMMYFUNCTION("""COMPUTED_VALUE"""),0.3)</f>
        <v>0.3</v>
      </c>
    </row>
    <row r="2615">
      <c r="A2615">
        <f>IFERROR(__xludf.DUMMYFUNCTION("""COMPUTED_VALUE"""),174689.0)</f>
        <v>174689</v>
      </c>
      <c r="B2615" t="str">
        <f>IFERROR(__xludf.DUMMYFUNCTION("""COMPUTED_VALUE"""),"Beef Top Loin Filet Boneless Separable Lean Only Trimmed To 1/8 Inch Fat Choice Cooked Grilled")</f>
        <v>Beef Top Loin Filet Boneless Separable Lean Only Trimmed To 1/8 Inch Fat Choice Cooked Grilled</v>
      </c>
      <c r="C2615" t="str">
        <f>IFERROR(__xludf.DUMMYFUNCTION("""COMPUTED_VALUE"""),"Meats")</f>
        <v>Meats</v>
      </c>
      <c r="D2615">
        <f>IFERROR(__xludf.DUMMYFUNCTION("""COMPUTED_VALUE"""),203.0)</f>
        <v>203</v>
      </c>
      <c r="E2615">
        <f>IFERROR(__xludf.DUMMYFUNCTION("""COMPUTED_VALUE"""),9.48)</f>
        <v>9.48</v>
      </c>
      <c r="F2615">
        <f>IFERROR(__xludf.DUMMYFUNCTION("""COMPUTED_VALUE"""),28.99)</f>
        <v>28.99</v>
      </c>
      <c r="G2615">
        <f>IFERROR(__xludf.DUMMYFUNCTION("""COMPUTED_VALUE"""),0.36)</f>
        <v>0.36</v>
      </c>
    </row>
    <row r="2616">
      <c r="A2616">
        <f>IFERROR(__xludf.DUMMYFUNCTION("""COMPUTED_VALUE"""),174690.0)</f>
        <v>174690</v>
      </c>
      <c r="B2616" t="str">
        <f>IFERROR(__xludf.DUMMYFUNCTION("""COMPUTED_VALUE"""),"Beef Top Loin Filet Boneless Separable Lean Only Trimmed To 1/8 Inch Fat Select Cooked Grilled")</f>
        <v>Beef Top Loin Filet Boneless Separable Lean Only Trimmed To 1/8 Inch Fat Select Cooked Grilled</v>
      </c>
      <c r="C2616" t="str">
        <f>IFERROR(__xludf.DUMMYFUNCTION("""COMPUTED_VALUE"""),"Meats")</f>
        <v>Meats</v>
      </c>
      <c r="D2616">
        <f>IFERROR(__xludf.DUMMYFUNCTION("""COMPUTED_VALUE"""),184.0)</f>
        <v>184</v>
      </c>
      <c r="E2616">
        <f>IFERROR(__xludf.DUMMYFUNCTION("""COMPUTED_VALUE"""),7.12)</f>
        <v>7.12</v>
      </c>
      <c r="F2616">
        <f>IFERROR(__xludf.DUMMYFUNCTION("""COMPUTED_VALUE"""),29.85)</f>
        <v>29.85</v>
      </c>
      <c r="G2616">
        <f>IFERROR(__xludf.DUMMYFUNCTION("""COMPUTED_VALUE"""),0.2)</f>
        <v>0.2</v>
      </c>
    </row>
    <row r="2617">
      <c r="A2617">
        <f>IFERROR(__xludf.DUMMYFUNCTION("""COMPUTED_VALUE"""),174691.0)</f>
        <v>174691</v>
      </c>
      <c r="B2617" t="str">
        <f>IFERROR(__xludf.DUMMYFUNCTION("""COMPUTED_VALUE"""),"Beef Top Loin Petite Roast/filet Boneless Separable Lean Only Trimmed To 1/8 Inch Fat Choice Raw")</f>
        <v>Beef Top Loin Petite Roast/filet Boneless Separable Lean Only Trimmed To 1/8 Inch Fat Choice Raw</v>
      </c>
      <c r="C2617" t="str">
        <f>IFERROR(__xludf.DUMMYFUNCTION("""COMPUTED_VALUE"""),"Meats")</f>
        <v>Meats</v>
      </c>
      <c r="D2617">
        <f>IFERROR(__xludf.DUMMYFUNCTION("""COMPUTED_VALUE"""),149.0)</f>
        <v>149</v>
      </c>
      <c r="E2617">
        <f>IFERROR(__xludf.DUMMYFUNCTION("""COMPUTED_VALUE"""),6.48)</f>
        <v>6.48</v>
      </c>
      <c r="F2617">
        <f>IFERROR(__xludf.DUMMYFUNCTION("""COMPUTED_VALUE"""),22.5)</f>
        <v>22.5</v>
      </c>
      <c r="G2617">
        <f>IFERROR(__xludf.DUMMYFUNCTION("""COMPUTED_VALUE"""),0.23)</f>
        <v>0.23</v>
      </c>
    </row>
    <row r="2618">
      <c r="A2618">
        <f>IFERROR(__xludf.DUMMYFUNCTION("""COMPUTED_VALUE"""),174692.0)</f>
        <v>174692</v>
      </c>
      <c r="B2618" t="str">
        <f>IFERROR(__xludf.DUMMYFUNCTION("""COMPUTED_VALUE"""),"Beef Top Loin Petite Roast/filet Boneless Separable Lean Only Trimmed To 1/8 Inch Fat Select Raw")</f>
        <v>Beef Top Loin Petite Roast/filet Boneless Separable Lean Only Trimmed To 1/8 Inch Fat Select Raw</v>
      </c>
      <c r="C2618" t="str">
        <f>IFERROR(__xludf.DUMMYFUNCTION("""COMPUTED_VALUE"""),"Meats")</f>
        <v>Meats</v>
      </c>
      <c r="D2618">
        <f>IFERROR(__xludf.DUMMYFUNCTION("""COMPUTED_VALUE"""),135.0)</f>
        <v>135</v>
      </c>
      <c r="E2618">
        <f>IFERROR(__xludf.DUMMYFUNCTION("""COMPUTED_VALUE"""),4.88)</f>
        <v>4.88</v>
      </c>
      <c r="F2618">
        <f>IFERROR(__xludf.DUMMYFUNCTION("""COMPUTED_VALUE"""),22.77)</f>
        <v>22.77</v>
      </c>
      <c r="G2618">
        <f>IFERROR(__xludf.DUMMYFUNCTION("""COMPUTED_VALUE"""),0.0)</f>
        <v>0</v>
      </c>
    </row>
    <row r="2619">
      <c r="A2619">
        <f>IFERROR(__xludf.DUMMYFUNCTION("""COMPUTED_VALUE"""),174693.0)</f>
        <v>174693</v>
      </c>
      <c r="B2619" t="str">
        <f>IFERROR(__xludf.DUMMYFUNCTION("""COMPUTED_VALUE"""),"Beef Loin Top Sirloin Filet Boneless Separable Lean Only Trimmed To 0 Inch Fat All Grades Cooked Grilled")</f>
        <v>Beef Loin Top Sirloin Filet Boneless Separable Lean Only Trimmed To 0 Inch Fat All Grades Cooked Grilled</v>
      </c>
      <c r="C2619" t="str">
        <f>IFERROR(__xludf.DUMMYFUNCTION("""COMPUTED_VALUE"""),"Meats")</f>
        <v>Meats</v>
      </c>
      <c r="D2619">
        <f>IFERROR(__xludf.DUMMYFUNCTION("""COMPUTED_VALUE"""),171.0)</f>
        <v>171</v>
      </c>
      <c r="E2619">
        <f>IFERROR(__xludf.DUMMYFUNCTION("""COMPUTED_VALUE"""),5.37)</f>
        <v>5.37</v>
      </c>
      <c r="F2619">
        <f>IFERROR(__xludf.DUMMYFUNCTION("""COMPUTED_VALUE"""),30.58)</f>
        <v>30.58</v>
      </c>
      <c r="G2619">
        <f>IFERROR(__xludf.DUMMYFUNCTION("""COMPUTED_VALUE"""),0.0)</f>
        <v>0</v>
      </c>
    </row>
    <row r="2620">
      <c r="A2620">
        <f>IFERROR(__xludf.DUMMYFUNCTION("""COMPUTED_VALUE"""),174694.0)</f>
        <v>174694</v>
      </c>
      <c r="B2620" t="str">
        <f>IFERROR(__xludf.DUMMYFUNCTION("""COMPUTED_VALUE"""),"Beef Loin Top Sirloin Filet Boneless Separable Lean Only Trimmed To 0 Inch Fat Choice Cooked Grilled")</f>
        <v>Beef Loin Top Sirloin Filet Boneless Separable Lean Only Trimmed To 0 Inch Fat Choice Cooked Grilled</v>
      </c>
      <c r="C2620" t="str">
        <f>IFERROR(__xludf.DUMMYFUNCTION("""COMPUTED_VALUE"""),"Meats")</f>
        <v>Meats</v>
      </c>
      <c r="D2620">
        <f>IFERROR(__xludf.DUMMYFUNCTION("""COMPUTED_VALUE"""),174.0)</f>
        <v>174</v>
      </c>
      <c r="E2620">
        <f>IFERROR(__xludf.DUMMYFUNCTION("""COMPUTED_VALUE"""),5.83)</f>
        <v>5.83</v>
      </c>
      <c r="F2620">
        <f>IFERROR(__xludf.DUMMYFUNCTION("""COMPUTED_VALUE"""),30.45)</f>
        <v>30.45</v>
      </c>
      <c r="G2620">
        <f>IFERROR(__xludf.DUMMYFUNCTION("""COMPUTED_VALUE"""),0.0)</f>
        <v>0</v>
      </c>
    </row>
    <row r="2621">
      <c r="A2621">
        <f>IFERROR(__xludf.DUMMYFUNCTION("""COMPUTED_VALUE"""),174695.0)</f>
        <v>174695</v>
      </c>
      <c r="B2621" t="str">
        <f>IFERROR(__xludf.DUMMYFUNCTION("""COMPUTED_VALUE"""),"Beef Loin Top Sirloin Petite Roast/filet Boneless Separable Lean Only Trimmed To 0 Inch Fat Select Raw")</f>
        <v>Beef Loin Top Sirloin Petite Roast/filet Boneless Separable Lean Only Trimmed To 0 Inch Fat Select Raw</v>
      </c>
      <c r="C2621" t="str">
        <f>IFERROR(__xludf.DUMMYFUNCTION("""COMPUTED_VALUE"""),"Meats")</f>
        <v>Meats</v>
      </c>
      <c r="D2621">
        <f>IFERROR(__xludf.DUMMYFUNCTION("""COMPUTED_VALUE"""),122.0)</f>
        <v>122</v>
      </c>
      <c r="E2621">
        <f>IFERROR(__xludf.DUMMYFUNCTION("""COMPUTED_VALUE"""),3.35)</f>
        <v>3.35</v>
      </c>
      <c r="F2621">
        <f>IFERROR(__xludf.DUMMYFUNCTION("""COMPUTED_VALUE"""),23.05)</f>
        <v>23.05</v>
      </c>
      <c r="G2621">
        <f>IFERROR(__xludf.DUMMYFUNCTION("""COMPUTED_VALUE"""),0.0)</f>
        <v>0</v>
      </c>
    </row>
    <row r="2622">
      <c r="A2622">
        <f>IFERROR(__xludf.DUMMYFUNCTION("""COMPUTED_VALUE"""),174696.0)</f>
        <v>174696</v>
      </c>
      <c r="B2622" t="str">
        <f>IFERROR(__xludf.DUMMYFUNCTION("""COMPUTED_VALUE"""),"Beef Ribeye  Petite Roast/filet Boneless Separable Lean Only Trimmed To 0 Inch Fat All Grades Raw")</f>
        <v>Beef Ribeye  Petite Roast/filet Boneless Separable Lean Only Trimmed To 0 Inch Fat All Grades Raw</v>
      </c>
      <c r="C2622" t="str">
        <f>IFERROR(__xludf.DUMMYFUNCTION("""COMPUTED_VALUE"""),"Meats")</f>
        <v>Meats</v>
      </c>
      <c r="D2622">
        <f>IFERROR(__xludf.DUMMYFUNCTION("""COMPUTED_VALUE"""),133.0)</f>
        <v>133</v>
      </c>
      <c r="E2622">
        <f>IFERROR(__xludf.DUMMYFUNCTION("""COMPUTED_VALUE"""),4.66)</f>
        <v>4.66</v>
      </c>
      <c r="F2622">
        <f>IFERROR(__xludf.DUMMYFUNCTION("""COMPUTED_VALUE"""),22.66)</f>
        <v>22.66</v>
      </c>
      <c r="G2622">
        <f>IFERROR(__xludf.DUMMYFUNCTION("""COMPUTED_VALUE"""),0.04)</f>
        <v>0.04</v>
      </c>
    </row>
    <row r="2623">
      <c r="A2623">
        <f>IFERROR(__xludf.DUMMYFUNCTION("""COMPUTED_VALUE"""),174697.0)</f>
        <v>174697</v>
      </c>
      <c r="B2623" t="str">
        <f>IFERROR(__xludf.DUMMYFUNCTION("""COMPUTED_VALUE"""),"Beef Ribeye  Petite Roast/filet Boneless Separable Lean Only Trimmed To 0 Inch Fat Choice Raw")</f>
        <v>Beef Ribeye  Petite Roast/filet Boneless Separable Lean Only Trimmed To 0 Inch Fat Choice Raw</v>
      </c>
      <c r="C2623" t="str">
        <f>IFERROR(__xludf.DUMMYFUNCTION("""COMPUTED_VALUE"""),"Meats")</f>
        <v>Meats</v>
      </c>
      <c r="D2623">
        <f>IFERROR(__xludf.DUMMYFUNCTION("""COMPUTED_VALUE"""),138.0)</f>
        <v>138</v>
      </c>
      <c r="E2623">
        <f>IFERROR(__xludf.DUMMYFUNCTION("""COMPUTED_VALUE"""),5.29)</f>
        <v>5.29</v>
      </c>
      <c r="F2623">
        <f>IFERROR(__xludf.DUMMYFUNCTION("""COMPUTED_VALUE"""),22.52)</f>
        <v>22.52</v>
      </c>
      <c r="G2623">
        <f>IFERROR(__xludf.DUMMYFUNCTION("""COMPUTED_VALUE"""),0.18)</f>
        <v>0.18</v>
      </c>
    </row>
    <row r="2624">
      <c r="A2624">
        <f>IFERROR(__xludf.DUMMYFUNCTION("""COMPUTED_VALUE"""),174698.0)</f>
        <v>174698</v>
      </c>
      <c r="B2624" t="str">
        <f>IFERROR(__xludf.DUMMYFUNCTION("""COMPUTED_VALUE"""),"Beef Ribeye  Petite Roast/filet Boneless Separable Lean Only Trimmed To 0 Inch Fat Select Raw")</f>
        <v>Beef Ribeye  Petite Roast/filet Boneless Separable Lean Only Trimmed To 0 Inch Fat Select Raw</v>
      </c>
      <c r="C2624" t="str">
        <f>IFERROR(__xludf.DUMMYFUNCTION("""COMPUTED_VALUE"""),"Meats")</f>
        <v>Meats</v>
      </c>
      <c r="D2624">
        <f>IFERROR(__xludf.DUMMYFUNCTION("""COMPUTED_VALUE"""),125.0)</f>
        <v>125</v>
      </c>
      <c r="E2624">
        <f>IFERROR(__xludf.DUMMYFUNCTION("""COMPUTED_VALUE"""),3.72)</f>
        <v>3.72</v>
      </c>
      <c r="F2624">
        <f>IFERROR(__xludf.DUMMYFUNCTION("""COMPUTED_VALUE"""),22.89)</f>
        <v>22.89</v>
      </c>
      <c r="G2624">
        <f>IFERROR(__xludf.DUMMYFUNCTION("""COMPUTED_VALUE"""),0.0)</f>
        <v>0</v>
      </c>
    </row>
    <row r="2625">
      <c r="A2625">
        <f>IFERROR(__xludf.DUMMYFUNCTION("""COMPUTED_VALUE"""),174699.0)</f>
        <v>174699</v>
      </c>
      <c r="B2625" t="str">
        <f>IFERROR(__xludf.DUMMYFUNCTION("""COMPUTED_VALUE"""),"Beef Ribeye Cap Steak Boneless Separable Lean Only Trimmed To 0 Inch Fat Choice Raw")</f>
        <v>Beef Ribeye Cap Steak Boneless Separable Lean Only Trimmed To 0 Inch Fat Choice Raw</v>
      </c>
      <c r="C2625" t="str">
        <f>IFERROR(__xludf.DUMMYFUNCTION("""COMPUTED_VALUE"""),"Meats")</f>
        <v>Meats</v>
      </c>
      <c r="D2625">
        <f>IFERROR(__xludf.DUMMYFUNCTION("""COMPUTED_VALUE"""),187.0)</f>
        <v>187</v>
      </c>
      <c r="E2625">
        <f>IFERROR(__xludf.DUMMYFUNCTION("""COMPUTED_VALUE"""),11.4)</f>
        <v>11.4</v>
      </c>
      <c r="F2625">
        <f>IFERROR(__xludf.DUMMYFUNCTION("""COMPUTED_VALUE"""),19.46)</f>
        <v>19.46</v>
      </c>
      <c r="G2625">
        <f>IFERROR(__xludf.DUMMYFUNCTION("""COMPUTED_VALUE"""),1.75)</f>
        <v>1.75</v>
      </c>
    </row>
    <row r="2626">
      <c r="A2626">
        <f>IFERROR(__xludf.DUMMYFUNCTION("""COMPUTED_VALUE"""),174700.0)</f>
        <v>174700</v>
      </c>
      <c r="B2626" t="str">
        <f>IFERROR(__xludf.DUMMYFUNCTION("""COMPUTED_VALUE"""),"Beef Ribeye Cap Steak Boneless Separable Lean Only Trimmed To 0 Inch Fat Select Raw")</f>
        <v>Beef Ribeye Cap Steak Boneless Separable Lean Only Trimmed To 0 Inch Fat Select Raw</v>
      </c>
      <c r="C2626" t="str">
        <f>IFERROR(__xludf.DUMMYFUNCTION("""COMPUTED_VALUE"""),"Meats")</f>
        <v>Meats</v>
      </c>
      <c r="D2626">
        <f>IFERROR(__xludf.DUMMYFUNCTION("""COMPUTED_VALUE"""),169.0)</f>
        <v>169</v>
      </c>
      <c r="E2626">
        <f>IFERROR(__xludf.DUMMYFUNCTION("""COMPUTED_VALUE"""),9.39)</f>
        <v>9.39</v>
      </c>
      <c r="F2626">
        <f>IFERROR(__xludf.DUMMYFUNCTION("""COMPUTED_VALUE"""),20.05)</f>
        <v>20.05</v>
      </c>
      <c r="G2626">
        <f>IFERROR(__xludf.DUMMYFUNCTION("""COMPUTED_VALUE"""),1.15)</f>
        <v>1.15</v>
      </c>
    </row>
    <row r="2627">
      <c r="A2627">
        <f>IFERROR(__xludf.DUMMYFUNCTION("""COMPUTED_VALUE"""),174701.0)</f>
        <v>174701</v>
      </c>
      <c r="B2627" t="str">
        <f>IFERROR(__xludf.DUMMYFUNCTION("""COMPUTED_VALUE"""),"Beef Ribeye Filet Boneless Separable Lean Only Trimmed To 0 Inch Fat All Grades Cooked Grilled")</f>
        <v>Beef Ribeye Filet Boneless Separable Lean Only Trimmed To 0 Inch Fat All Grades Cooked Grilled</v>
      </c>
      <c r="C2627" t="str">
        <f>IFERROR(__xludf.DUMMYFUNCTION("""COMPUTED_VALUE"""),"Meats")</f>
        <v>Meats</v>
      </c>
      <c r="D2627">
        <f>IFERROR(__xludf.DUMMYFUNCTION("""COMPUTED_VALUE"""),199.0)</f>
        <v>199</v>
      </c>
      <c r="E2627">
        <f>IFERROR(__xludf.DUMMYFUNCTION("""COMPUTED_VALUE"""),9.2)</f>
        <v>9.2</v>
      </c>
      <c r="F2627">
        <f>IFERROR(__xludf.DUMMYFUNCTION("""COMPUTED_VALUE"""),28.77)</f>
        <v>28.77</v>
      </c>
      <c r="G2627">
        <f>IFERROR(__xludf.DUMMYFUNCTION("""COMPUTED_VALUE"""),0.17)</f>
        <v>0.17</v>
      </c>
    </row>
    <row r="2628">
      <c r="A2628">
        <f>IFERROR(__xludf.DUMMYFUNCTION("""COMPUTED_VALUE"""),174702.0)</f>
        <v>174702</v>
      </c>
      <c r="B2628" t="str">
        <f>IFERROR(__xludf.DUMMYFUNCTION("""COMPUTED_VALUE"""),"Beef Ribeye Filet Boneless Separable Lean Only Trimmed To 0 Inch Fat Choice Cooked Grilled")</f>
        <v>Beef Ribeye Filet Boneless Separable Lean Only Trimmed To 0 Inch Fat Choice Cooked Grilled</v>
      </c>
      <c r="C2628" t="str">
        <f>IFERROR(__xludf.DUMMYFUNCTION("""COMPUTED_VALUE"""),"Meats")</f>
        <v>Meats</v>
      </c>
      <c r="D2628">
        <f>IFERROR(__xludf.DUMMYFUNCTION("""COMPUTED_VALUE"""),208.0)</f>
        <v>208</v>
      </c>
      <c r="E2628">
        <f>IFERROR(__xludf.DUMMYFUNCTION("""COMPUTED_VALUE"""),10.26)</f>
        <v>10.26</v>
      </c>
      <c r="F2628">
        <f>IFERROR(__xludf.DUMMYFUNCTION("""COMPUTED_VALUE"""),28.35)</f>
        <v>28.35</v>
      </c>
      <c r="G2628">
        <f>IFERROR(__xludf.DUMMYFUNCTION("""COMPUTED_VALUE"""),0.51)</f>
        <v>0.51</v>
      </c>
    </row>
    <row r="2629">
      <c r="A2629">
        <f>IFERROR(__xludf.DUMMYFUNCTION("""COMPUTED_VALUE"""),174703.0)</f>
        <v>174703</v>
      </c>
      <c r="B2629" t="str">
        <f>IFERROR(__xludf.DUMMYFUNCTION("""COMPUTED_VALUE"""),"Ribeye Steak (Filet)")</f>
        <v>Ribeye Steak (Filet)</v>
      </c>
      <c r="C2629" t="str">
        <f>IFERROR(__xludf.DUMMYFUNCTION("""COMPUTED_VALUE"""),"Meats")</f>
        <v>Meats</v>
      </c>
      <c r="D2629">
        <f>IFERROR(__xludf.DUMMYFUNCTION("""COMPUTED_VALUE"""),186.0)</f>
        <v>186</v>
      </c>
      <c r="E2629">
        <f>IFERROR(__xludf.DUMMYFUNCTION("""COMPUTED_VALUE"""),7.61)</f>
        <v>7.61</v>
      </c>
      <c r="F2629">
        <f>IFERROR(__xludf.DUMMYFUNCTION("""COMPUTED_VALUE"""),29.39)</f>
        <v>29.39</v>
      </c>
      <c r="G2629">
        <f>IFERROR(__xludf.DUMMYFUNCTION("""COMPUTED_VALUE"""),0.0)</f>
        <v>0</v>
      </c>
    </row>
    <row r="2630">
      <c r="A2630">
        <f>IFERROR(__xludf.DUMMYFUNCTION("""COMPUTED_VALUE"""),174704.0)</f>
        <v>174704</v>
      </c>
      <c r="B2630" t="str">
        <f>IFERROR(__xludf.DUMMYFUNCTION("""COMPUTED_VALUE"""),"Beef Loin Top Sirloin Cap Steak Boneless Separable Lean And Fat Trimmed To 1/8 Inch Fat Choice Cooked Grilled")</f>
        <v>Beef Loin Top Sirloin Cap Steak Boneless Separable Lean And Fat Trimmed To 1/8 Inch Fat Choice Cooked Grilled</v>
      </c>
      <c r="C2630" t="str">
        <f>IFERROR(__xludf.DUMMYFUNCTION("""COMPUTED_VALUE"""),"Meats")</f>
        <v>Meats</v>
      </c>
      <c r="D2630">
        <f>IFERROR(__xludf.DUMMYFUNCTION("""COMPUTED_VALUE"""),238.0)</f>
        <v>238</v>
      </c>
      <c r="E2630">
        <f>IFERROR(__xludf.DUMMYFUNCTION("""COMPUTED_VALUE"""),14.3)</f>
        <v>14.3</v>
      </c>
      <c r="F2630">
        <f>IFERROR(__xludf.DUMMYFUNCTION("""COMPUTED_VALUE"""),26.3)</f>
        <v>26.3</v>
      </c>
      <c r="G2630">
        <f>IFERROR(__xludf.DUMMYFUNCTION("""COMPUTED_VALUE"""),1.1)</f>
        <v>1.1</v>
      </c>
    </row>
    <row r="2631">
      <c r="A2631">
        <f>IFERROR(__xludf.DUMMYFUNCTION("""COMPUTED_VALUE"""),174705.0)</f>
        <v>174705</v>
      </c>
      <c r="B2631" t="str">
        <f>IFERROR(__xludf.DUMMYFUNCTION("""COMPUTED_VALUE"""),"Beef Loin Top Sirloin Cap Steak Boneless Separable Lean And Fat Trimmed To 1/8 Inch Fat Select Cooked Grilled")</f>
        <v>Beef Loin Top Sirloin Cap Steak Boneless Separable Lean And Fat Trimmed To 1/8 Inch Fat Select Cooked Grilled</v>
      </c>
      <c r="C2631" t="str">
        <f>IFERROR(__xludf.DUMMYFUNCTION("""COMPUTED_VALUE"""),"Meats")</f>
        <v>Meats</v>
      </c>
      <c r="D2631">
        <f>IFERROR(__xludf.DUMMYFUNCTION("""COMPUTED_VALUE"""),249.0)</f>
        <v>249</v>
      </c>
      <c r="E2631">
        <f>IFERROR(__xludf.DUMMYFUNCTION("""COMPUTED_VALUE"""),16.1)</f>
        <v>16.1</v>
      </c>
      <c r="F2631">
        <f>IFERROR(__xludf.DUMMYFUNCTION("""COMPUTED_VALUE"""),25.5)</f>
        <v>25.5</v>
      </c>
      <c r="G2631">
        <f>IFERROR(__xludf.DUMMYFUNCTION("""COMPUTED_VALUE"""),0.4)</f>
        <v>0.4</v>
      </c>
    </row>
    <row r="2632">
      <c r="A2632">
        <f>IFERROR(__xludf.DUMMYFUNCTION("""COMPUTED_VALUE"""),174706.0)</f>
        <v>174706</v>
      </c>
      <c r="B2632" t="str">
        <f>IFERROR(__xludf.DUMMYFUNCTION("""COMPUTED_VALUE"""),"Beef Loin Top Sirloin Cap Steak Boneless Separable Lean And Fat Trimmed To 1/8 Inch Fat All Grades Raw")</f>
        <v>Beef Loin Top Sirloin Cap Steak Boneless Separable Lean And Fat Trimmed To 1/8 Inch Fat All Grades Raw</v>
      </c>
      <c r="C2632" t="str">
        <f>IFERROR(__xludf.DUMMYFUNCTION("""COMPUTED_VALUE"""),"Meats")</f>
        <v>Meats</v>
      </c>
      <c r="D2632">
        <f>IFERROR(__xludf.DUMMYFUNCTION("""COMPUTED_VALUE"""),191.0)</f>
        <v>191</v>
      </c>
      <c r="E2632">
        <f>IFERROR(__xludf.DUMMYFUNCTION("""COMPUTED_VALUE"""),12.4)</f>
        <v>12.4</v>
      </c>
      <c r="F2632">
        <f>IFERROR(__xludf.DUMMYFUNCTION("""COMPUTED_VALUE"""),19.9)</f>
        <v>19.9</v>
      </c>
      <c r="G2632">
        <f>IFERROR(__xludf.DUMMYFUNCTION("""COMPUTED_VALUE"""),0.0)</f>
        <v>0</v>
      </c>
    </row>
    <row r="2633">
      <c r="A2633">
        <f>IFERROR(__xludf.DUMMYFUNCTION("""COMPUTED_VALUE"""),174707.0)</f>
        <v>174707</v>
      </c>
      <c r="B2633" t="str">
        <f>IFERROR(__xludf.DUMMYFUNCTION("""COMPUTED_VALUE"""),"Beef Loin Top Sirloin Cap Steak Boneless Separable Lean And Fat Trimmed To 1/8 Inch Fat Choice Raw")</f>
        <v>Beef Loin Top Sirloin Cap Steak Boneless Separable Lean And Fat Trimmed To 1/8 Inch Fat Choice Raw</v>
      </c>
      <c r="C2633" t="str">
        <f>IFERROR(__xludf.DUMMYFUNCTION("""COMPUTED_VALUE"""),"Meats")</f>
        <v>Meats</v>
      </c>
      <c r="D2633">
        <f>IFERROR(__xludf.DUMMYFUNCTION("""COMPUTED_VALUE"""),199.0)</f>
        <v>199</v>
      </c>
      <c r="E2633">
        <f>IFERROR(__xludf.DUMMYFUNCTION("""COMPUTED_VALUE"""),13.4)</f>
        <v>13.4</v>
      </c>
      <c r="F2633">
        <f>IFERROR(__xludf.DUMMYFUNCTION("""COMPUTED_VALUE"""),19.7)</f>
        <v>19.7</v>
      </c>
      <c r="G2633">
        <f>IFERROR(__xludf.DUMMYFUNCTION("""COMPUTED_VALUE"""),0.0)</f>
        <v>0</v>
      </c>
    </row>
    <row r="2634">
      <c r="A2634">
        <f>IFERROR(__xludf.DUMMYFUNCTION("""COMPUTED_VALUE"""),174708.0)</f>
        <v>174708</v>
      </c>
      <c r="B2634" t="str">
        <f>IFERROR(__xludf.DUMMYFUNCTION("""COMPUTED_VALUE"""),"Beef Top Loin Petite Roast Boneless Separable Lean And Fat Trimmed To 1/8 Inch Fat All Grades Cooked Roasted")</f>
        <v>Beef Top Loin Petite Roast Boneless Separable Lean And Fat Trimmed To 1/8 Inch Fat All Grades Cooked Roasted</v>
      </c>
      <c r="C2634" t="str">
        <f>IFERROR(__xludf.DUMMYFUNCTION("""COMPUTED_VALUE"""),"Meats")</f>
        <v>Meats</v>
      </c>
      <c r="D2634">
        <f>IFERROR(__xludf.DUMMYFUNCTION("""COMPUTED_VALUE"""),228.0)</f>
        <v>228</v>
      </c>
      <c r="E2634">
        <f>IFERROR(__xludf.DUMMYFUNCTION("""COMPUTED_VALUE"""),12.9)</f>
        <v>12.9</v>
      </c>
      <c r="F2634">
        <f>IFERROR(__xludf.DUMMYFUNCTION("""COMPUTED_VALUE"""),27.0)</f>
        <v>27</v>
      </c>
      <c r="G2634">
        <f>IFERROR(__xludf.DUMMYFUNCTION("""COMPUTED_VALUE"""),1.0)</f>
        <v>1</v>
      </c>
    </row>
    <row r="2635">
      <c r="A2635">
        <f>IFERROR(__xludf.DUMMYFUNCTION("""COMPUTED_VALUE"""),174709.0)</f>
        <v>174709</v>
      </c>
      <c r="B2635" t="str">
        <f>IFERROR(__xludf.DUMMYFUNCTION("""COMPUTED_VALUE"""),"Beef Top Loin Petite Roast Boneless Separable Lean And Fat Trimmed To 1/8 Inch Fat Choice Cooked Roasted")</f>
        <v>Beef Top Loin Petite Roast Boneless Separable Lean And Fat Trimmed To 1/8 Inch Fat Choice Cooked Roasted</v>
      </c>
      <c r="C2635" t="str">
        <f>IFERROR(__xludf.DUMMYFUNCTION("""COMPUTED_VALUE"""),"Meats")</f>
        <v>Meats</v>
      </c>
      <c r="D2635">
        <f>IFERROR(__xludf.DUMMYFUNCTION("""COMPUTED_VALUE"""),239.0)</f>
        <v>239</v>
      </c>
      <c r="E2635">
        <f>IFERROR(__xludf.DUMMYFUNCTION("""COMPUTED_VALUE"""),14.1)</f>
        <v>14.1</v>
      </c>
      <c r="F2635">
        <f>IFERROR(__xludf.DUMMYFUNCTION("""COMPUTED_VALUE"""),26.8)</f>
        <v>26.8</v>
      </c>
      <c r="G2635">
        <f>IFERROR(__xludf.DUMMYFUNCTION("""COMPUTED_VALUE"""),1.1)</f>
        <v>1.1</v>
      </c>
    </row>
    <row r="2636">
      <c r="A2636">
        <f>IFERROR(__xludf.DUMMYFUNCTION("""COMPUTED_VALUE"""),174710.0)</f>
        <v>174710</v>
      </c>
      <c r="B2636" t="str">
        <f>IFERROR(__xludf.DUMMYFUNCTION("""COMPUTED_VALUE"""),"Beef Top Loin Petite Roast Boneless Separable Lean And Fat Trimmed To 1/8 Inch Fat Select Cooked Roasted")</f>
        <v>Beef Top Loin Petite Roast Boneless Separable Lean And Fat Trimmed To 1/8 Inch Fat Select Cooked Roasted</v>
      </c>
      <c r="C2636" t="str">
        <f>IFERROR(__xludf.DUMMYFUNCTION("""COMPUTED_VALUE"""),"Meats")</f>
        <v>Meats</v>
      </c>
      <c r="D2636">
        <f>IFERROR(__xludf.DUMMYFUNCTION("""COMPUTED_VALUE"""),213.0)</f>
        <v>213</v>
      </c>
      <c r="E2636">
        <f>IFERROR(__xludf.DUMMYFUNCTION("""COMPUTED_VALUE"""),11.2)</f>
        <v>11.2</v>
      </c>
      <c r="F2636">
        <f>IFERROR(__xludf.DUMMYFUNCTION("""COMPUTED_VALUE"""),27.1)</f>
        <v>27.1</v>
      </c>
      <c r="G2636">
        <f>IFERROR(__xludf.DUMMYFUNCTION("""COMPUTED_VALUE"""),0.9)</f>
        <v>0.9</v>
      </c>
    </row>
    <row r="2637">
      <c r="A2637">
        <f>IFERROR(__xludf.DUMMYFUNCTION("""COMPUTED_VALUE"""),174711.0)</f>
        <v>174711</v>
      </c>
      <c r="B2637" t="str">
        <f>IFERROR(__xludf.DUMMYFUNCTION("""COMPUTED_VALUE"""),"Beef Top Loin Petite Roast/filet Boneless Separable Lean And Fat Trimmed To 1/8 Inch Fat All Grades Raw")</f>
        <v>Beef Top Loin Petite Roast/filet Boneless Separable Lean And Fat Trimmed To 1/8 Inch Fat All Grades Raw</v>
      </c>
      <c r="C2637" t="str">
        <f>IFERROR(__xludf.DUMMYFUNCTION("""COMPUTED_VALUE"""),"Meats")</f>
        <v>Meats</v>
      </c>
      <c r="D2637">
        <f>IFERROR(__xludf.DUMMYFUNCTION("""COMPUTED_VALUE"""),187.0)</f>
        <v>187</v>
      </c>
      <c r="E2637">
        <f>IFERROR(__xludf.DUMMYFUNCTION("""COMPUTED_VALUE"""),11.3)</f>
        <v>11.3</v>
      </c>
      <c r="F2637">
        <f>IFERROR(__xludf.DUMMYFUNCTION("""COMPUTED_VALUE"""),21.1)</f>
        <v>21.1</v>
      </c>
      <c r="G2637">
        <f>IFERROR(__xludf.DUMMYFUNCTION("""COMPUTED_VALUE"""),0.3)</f>
        <v>0.3</v>
      </c>
    </row>
    <row r="2638">
      <c r="A2638">
        <f>IFERROR(__xludf.DUMMYFUNCTION("""COMPUTED_VALUE"""),174712.0)</f>
        <v>174712</v>
      </c>
      <c r="B2638" t="str">
        <f>IFERROR(__xludf.DUMMYFUNCTION("""COMPUTED_VALUE"""),"Beef Loin Top Loin Steak Boneless Lip-On Separable Lean And Fat Trimmed To 1/8 Inch Fat Choice Cooked Grilled")</f>
        <v>Beef Loin Top Loin Steak Boneless Lip-On Separable Lean And Fat Trimmed To 1/8 Inch Fat Choice Cooked Grilled</v>
      </c>
      <c r="C2638" t="str">
        <f>IFERROR(__xludf.DUMMYFUNCTION("""COMPUTED_VALUE"""),"Meats")</f>
        <v>Meats</v>
      </c>
      <c r="D2638">
        <f>IFERROR(__xludf.DUMMYFUNCTION("""COMPUTED_VALUE"""),275.0)</f>
        <v>275</v>
      </c>
      <c r="E2638">
        <f>IFERROR(__xludf.DUMMYFUNCTION("""COMPUTED_VALUE"""),19.19)</f>
        <v>19.19</v>
      </c>
      <c r="F2638">
        <f>IFERROR(__xludf.DUMMYFUNCTION("""COMPUTED_VALUE"""),25.69)</f>
        <v>25.69</v>
      </c>
      <c r="G2638">
        <f>IFERROR(__xludf.DUMMYFUNCTION("""COMPUTED_VALUE"""),0.0)</f>
        <v>0</v>
      </c>
    </row>
    <row r="2639">
      <c r="A2639">
        <f>IFERROR(__xludf.DUMMYFUNCTION("""COMPUTED_VALUE"""),174713.0)</f>
        <v>174713</v>
      </c>
      <c r="B2639" t="str">
        <f>IFERROR(__xludf.DUMMYFUNCTION("""COMPUTED_VALUE"""),"Beef Loin Top Loin Steak Boneless Lip-On Separable Lean And Fat Trimmed To 1/8 Inch Fat Select Cooked Grilled")</f>
        <v>Beef Loin Top Loin Steak Boneless Lip-On Separable Lean And Fat Trimmed To 1/8 Inch Fat Select Cooked Grilled</v>
      </c>
      <c r="C2639" t="str">
        <f>IFERROR(__xludf.DUMMYFUNCTION("""COMPUTED_VALUE"""),"Meats")</f>
        <v>Meats</v>
      </c>
      <c r="D2639">
        <f>IFERROR(__xludf.DUMMYFUNCTION("""COMPUTED_VALUE"""),247.0)</f>
        <v>247</v>
      </c>
      <c r="E2639">
        <f>IFERROR(__xludf.DUMMYFUNCTION("""COMPUTED_VALUE"""),15.44)</f>
        <v>15.44</v>
      </c>
      <c r="F2639">
        <f>IFERROR(__xludf.DUMMYFUNCTION("""COMPUTED_VALUE"""),26.92)</f>
        <v>26.92</v>
      </c>
      <c r="G2639">
        <f>IFERROR(__xludf.DUMMYFUNCTION("""COMPUTED_VALUE"""),0.0)</f>
        <v>0</v>
      </c>
    </row>
    <row r="2640">
      <c r="A2640">
        <f>IFERROR(__xludf.DUMMYFUNCTION("""COMPUTED_VALUE"""),174714.0)</f>
        <v>174714</v>
      </c>
      <c r="B2640" t="str">
        <f>IFERROR(__xludf.DUMMYFUNCTION("""COMPUTED_VALUE"""),"Beef Loin Top Loin Steak Boneless Lip-On Separable Lean And Fat Trimmed To 1/8 Inch Fat All Grades Cooked Grilled")</f>
        <v>Beef Loin Top Loin Steak Boneless Lip-On Separable Lean And Fat Trimmed To 1/8 Inch Fat All Grades Cooked Grilled</v>
      </c>
      <c r="C2640" t="str">
        <f>IFERROR(__xludf.DUMMYFUNCTION("""COMPUTED_VALUE"""),"Meats")</f>
        <v>Meats</v>
      </c>
      <c r="D2640">
        <f>IFERROR(__xludf.DUMMYFUNCTION("""COMPUTED_VALUE"""),264.0)</f>
        <v>264</v>
      </c>
      <c r="E2640">
        <f>IFERROR(__xludf.DUMMYFUNCTION("""COMPUTED_VALUE"""),17.69)</f>
        <v>17.69</v>
      </c>
      <c r="F2640">
        <f>IFERROR(__xludf.DUMMYFUNCTION("""COMPUTED_VALUE"""),26.18)</f>
        <v>26.18</v>
      </c>
      <c r="G2640">
        <f>IFERROR(__xludf.DUMMYFUNCTION("""COMPUTED_VALUE"""),0.0)</f>
        <v>0</v>
      </c>
    </row>
    <row r="2641">
      <c r="A2641">
        <f>IFERROR(__xludf.DUMMYFUNCTION("""COMPUTED_VALUE"""),174715.0)</f>
        <v>174715</v>
      </c>
      <c r="B2641" t="str">
        <f>IFERROR(__xludf.DUMMYFUNCTION("""COMPUTED_VALUE"""),"Beef New Zealand Imported Bolar Blade Separable Lean Only Cooked Fast Roasted")</f>
        <v>Beef New Zealand Imported Bolar Blade Separable Lean Only Cooked Fast Roasted</v>
      </c>
      <c r="C2641" t="str">
        <f>IFERROR(__xludf.DUMMYFUNCTION("""COMPUTED_VALUE"""),"Meats")</f>
        <v>Meats</v>
      </c>
      <c r="D2641">
        <f>IFERROR(__xludf.DUMMYFUNCTION("""COMPUTED_VALUE"""),193.0)</f>
        <v>193</v>
      </c>
      <c r="E2641">
        <f>IFERROR(__xludf.DUMMYFUNCTION("""COMPUTED_VALUE"""),6.57)</f>
        <v>6.57</v>
      </c>
      <c r="F2641">
        <f>IFERROR(__xludf.DUMMYFUNCTION("""COMPUTED_VALUE"""),33.53)</f>
        <v>33.53</v>
      </c>
      <c r="G2641">
        <f>IFERROR(__xludf.DUMMYFUNCTION("""COMPUTED_VALUE"""),0.0)</f>
        <v>0</v>
      </c>
    </row>
    <row r="2642">
      <c r="A2642">
        <f>IFERROR(__xludf.DUMMYFUNCTION("""COMPUTED_VALUE"""),174716.0)</f>
        <v>174716</v>
      </c>
      <c r="B2642" t="str">
        <f>IFERROR(__xludf.DUMMYFUNCTION("""COMPUTED_VALUE"""),"Beef New Zealand Imported Bolar Blade Separable Lean Only Raw")</f>
        <v>Beef New Zealand Imported Bolar Blade Separable Lean Only Raw</v>
      </c>
      <c r="C2642" t="str">
        <f>IFERROR(__xludf.DUMMYFUNCTION("""COMPUTED_VALUE"""),"Meats")</f>
        <v>Meats</v>
      </c>
      <c r="D2642">
        <f>IFERROR(__xludf.DUMMYFUNCTION("""COMPUTED_VALUE"""),129.0)</f>
        <v>129</v>
      </c>
      <c r="E2642">
        <f>IFERROR(__xludf.DUMMYFUNCTION("""COMPUTED_VALUE"""),4.49)</f>
        <v>4.49</v>
      </c>
      <c r="F2642">
        <f>IFERROR(__xludf.DUMMYFUNCTION("""COMPUTED_VALUE"""),22.09)</f>
        <v>22.09</v>
      </c>
      <c r="G2642">
        <f>IFERROR(__xludf.DUMMYFUNCTION("""COMPUTED_VALUE"""),0.0)</f>
        <v>0</v>
      </c>
    </row>
    <row r="2643">
      <c r="A2643">
        <f>IFERROR(__xludf.DUMMYFUNCTION("""COMPUTED_VALUE"""),174717.0)</f>
        <v>174717</v>
      </c>
      <c r="B2643" t="str">
        <f>IFERROR(__xludf.DUMMYFUNCTION("""COMPUTED_VALUE"""),"Beef New Zealand Imported Brisket Navel End Separable Lean Only Cooked Braised")</f>
        <v>Beef New Zealand Imported Brisket Navel End Separable Lean Only Cooked Braised</v>
      </c>
      <c r="C2643" t="str">
        <f>IFERROR(__xludf.DUMMYFUNCTION("""COMPUTED_VALUE"""),"Meats")</f>
        <v>Meats</v>
      </c>
      <c r="D2643">
        <f>IFERROR(__xludf.DUMMYFUNCTION("""COMPUTED_VALUE"""),265.0)</f>
        <v>265</v>
      </c>
      <c r="E2643">
        <f>IFERROR(__xludf.DUMMYFUNCTION("""COMPUTED_VALUE"""),16.37)</f>
        <v>16.37</v>
      </c>
      <c r="F2643">
        <f>IFERROR(__xludf.DUMMYFUNCTION("""COMPUTED_VALUE"""),29.35)</f>
        <v>29.35</v>
      </c>
      <c r="G2643">
        <f>IFERROR(__xludf.DUMMYFUNCTION("""COMPUTED_VALUE"""),0.0)</f>
        <v>0</v>
      </c>
    </row>
    <row r="2644">
      <c r="A2644">
        <f>IFERROR(__xludf.DUMMYFUNCTION("""COMPUTED_VALUE"""),174718.0)</f>
        <v>174718</v>
      </c>
      <c r="B2644" t="str">
        <f>IFERROR(__xludf.DUMMYFUNCTION("""COMPUTED_VALUE"""),"Beef New Zealand Imported Brisket Navel End Separable Lean Only Raw")</f>
        <v>Beef New Zealand Imported Brisket Navel End Separable Lean Only Raw</v>
      </c>
      <c r="C2644" t="str">
        <f>IFERROR(__xludf.DUMMYFUNCTION("""COMPUTED_VALUE"""),"Meats")</f>
        <v>Meats</v>
      </c>
      <c r="D2644">
        <f>IFERROR(__xludf.DUMMYFUNCTION("""COMPUTED_VALUE"""),194.0)</f>
        <v>194</v>
      </c>
      <c r="E2644">
        <f>IFERROR(__xludf.DUMMYFUNCTION("""COMPUTED_VALUE"""),12.75)</f>
        <v>12.75</v>
      </c>
      <c r="F2644">
        <f>IFERROR(__xludf.DUMMYFUNCTION("""COMPUTED_VALUE"""),19.74)</f>
        <v>19.74</v>
      </c>
      <c r="G2644">
        <f>IFERROR(__xludf.DUMMYFUNCTION("""COMPUTED_VALUE"""),0.0)</f>
        <v>0</v>
      </c>
    </row>
    <row r="2645">
      <c r="A2645">
        <f>IFERROR(__xludf.DUMMYFUNCTION("""COMPUTED_VALUE"""),174719.0)</f>
        <v>174719</v>
      </c>
      <c r="B2645" t="str">
        <f>IFERROR(__xludf.DUMMYFUNCTION("""COMPUTED_VALUE"""),"Beef New Zealand Imported Cube Roll Separable Lean Only Cooked Fast Roasted")</f>
        <v>Beef New Zealand Imported Cube Roll Separable Lean Only Cooked Fast Roasted</v>
      </c>
      <c r="C2645" t="str">
        <f>IFERROR(__xludf.DUMMYFUNCTION("""COMPUTED_VALUE"""),"Meats")</f>
        <v>Meats</v>
      </c>
      <c r="D2645">
        <f>IFERROR(__xludf.DUMMYFUNCTION("""COMPUTED_VALUE"""),239.0)</f>
        <v>239</v>
      </c>
      <c r="E2645">
        <f>IFERROR(__xludf.DUMMYFUNCTION("""COMPUTED_VALUE"""),13.22)</f>
        <v>13.22</v>
      </c>
      <c r="F2645">
        <f>IFERROR(__xludf.DUMMYFUNCTION("""COMPUTED_VALUE"""),30.09)</f>
        <v>30.09</v>
      </c>
      <c r="G2645">
        <f>IFERROR(__xludf.DUMMYFUNCTION("""COMPUTED_VALUE"""),0.0)</f>
        <v>0</v>
      </c>
    </row>
    <row r="2646">
      <c r="A2646">
        <f>IFERROR(__xludf.DUMMYFUNCTION("""COMPUTED_VALUE"""),174720.0)</f>
        <v>174720</v>
      </c>
      <c r="B2646" t="str">
        <f>IFERROR(__xludf.DUMMYFUNCTION("""COMPUTED_VALUE"""),"Beef New Zealand Imported Cube Roll Separable Lean Only Raw")</f>
        <v>Beef New Zealand Imported Cube Roll Separable Lean Only Raw</v>
      </c>
      <c r="C2646" t="str">
        <f>IFERROR(__xludf.DUMMYFUNCTION("""COMPUTED_VALUE"""),"Meats")</f>
        <v>Meats</v>
      </c>
      <c r="D2646">
        <f>IFERROR(__xludf.DUMMYFUNCTION("""COMPUTED_VALUE"""),161.0)</f>
        <v>161</v>
      </c>
      <c r="E2646">
        <f>IFERROR(__xludf.DUMMYFUNCTION("""COMPUTED_VALUE"""),8.51)</f>
        <v>8.51</v>
      </c>
      <c r="F2646">
        <f>IFERROR(__xludf.DUMMYFUNCTION("""COMPUTED_VALUE"""),19.77)</f>
        <v>19.77</v>
      </c>
      <c r="G2646">
        <f>IFERROR(__xludf.DUMMYFUNCTION("""COMPUTED_VALUE"""),1.38)</f>
        <v>1.38</v>
      </c>
    </row>
    <row r="2647">
      <c r="A2647">
        <f>IFERROR(__xludf.DUMMYFUNCTION("""COMPUTED_VALUE"""),174721.0)</f>
        <v>174721</v>
      </c>
      <c r="B2647" t="str">
        <f>IFERROR(__xludf.DUMMYFUNCTION("""COMPUTED_VALUE"""),"Beef New Zealand Imported Eye Round Separable Lean Only Cooked Slow Roasted")</f>
        <v>Beef New Zealand Imported Eye Round Separable Lean Only Cooked Slow Roasted</v>
      </c>
      <c r="C2647" t="str">
        <f>IFERROR(__xludf.DUMMYFUNCTION("""COMPUTED_VALUE"""),"Meats")</f>
        <v>Meats</v>
      </c>
      <c r="D2647">
        <f>IFERROR(__xludf.DUMMYFUNCTION("""COMPUTED_VALUE"""),164.0)</f>
        <v>164</v>
      </c>
      <c r="E2647">
        <f>IFERROR(__xludf.DUMMYFUNCTION("""COMPUTED_VALUE"""),4.98)</f>
        <v>4.98</v>
      </c>
      <c r="F2647">
        <f>IFERROR(__xludf.DUMMYFUNCTION("""COMPUTED_VALUE"""),29.68)</f>
        <v>29.68</v>
      </c>
      <c r="G2647">
        <f>IFERROR(__xludf.DUMMYFUNCTION("""COMPUTED_VALUE"""),0.0)</f>
        <v>0</v>
      </c>
    </row>
    <row r="2648">
      <c r="A2648">
        <f>IFERROR(__xludf.DUMMYFUNCTION("""COMPUTED_VALUE"""),174722.0)</f>
        <v>174722</v>
      </c>
      <c r="B2648" t="str">
        <f>IFERROR(__xludf.DUMMYFUNCTION("""COMPUTED_VALUE"""),"Beef New Zealand Imported Eye Round Separable Lean Only Raw")</f>
        <v>Beef New Zealand Imported Eye Round Separable Lean Only Raw</v>
      </c>
      <c r="C2648" t="str">
        <f>IFERROR(__xludf.DUMMYFUNCTION("""COMPUTED_VALUE"""),"Meats")</f>
        <v>Meats</v>
      </c>
      <c r="D2648">
        <f>IFERROR(__xludf.DUMMYFUNCTION("""COMPUTED_VALUE"""),116.0)</f>
        <v>116</v>
      </c>
      <c r="E2648">
        <f>IFERROR(__xludf.DUMMYFUNCTION("""COMPUTED_VALUE"""),3.35)</f>
        <v>3.35</v>
      </c>
      <c r="F2648">
        <f>IFERROR(__xludf.DUMMYFUNCTION("""COMPUTED_VALUE"""),20.15)</f>
        <v>20.15</v>
      </c>
      <c r="G2648">
        <f>IFERROR(__xludf.DUMMYFUNCTION("""COMPUTED_VALUE"""),1.35)</f>
        <v>1.35</v>
      </c>
    </row>
    <row r="2649">
      <c r="A2649">
        <f>IFERROR(__xludf.DUMMYFUNCTION("""COMPUTED_VALUE"""),174723.0)</f>
        <v>174723</v>
      </c>
      <c r="B2649" t="str">
        <f>IFERROR(__xludf.DUMMYFUNCTION("""COMPUTED_VALUE"""),"Beef New Zealand Imported Variety Meats And By-Products Heart Raw")</f>
        <v>Beef New Zealand Imported Variety Meats And By-Products Heart Raw</v>
      </c>
      <c r="C2649" t="str">
        <f>IFERROR(__xludf.DUMMYFUNCTION("""COMPUTED_VALUE"""),"Meats")</f>
        <v>Meats</v>
      </c>
      <c r="D2649">
        <f>IFERROR(__xludf.DUMMYFUNCTION("""COMPUTED_VALUE"""),105.0)</f>
        <v>105</v>
      </c>
      <c r="E2649">
        <f>IFERROR(__xludf.DUMMYFUNCTION("""COMPUTED_VALUE"""),3.4)</f>
        <v>3.4</v>
      </c>
      <c r="F2649">
        <f>IFERROR(__xludf.DUMMYFUNCTION("""COMPUTED_VALUE"""),18.52)</f>
        <v>18.52</v>
      </c>
      <c r="G2649">
        <f>IFERROR(__xludf.DUMMYFUNCTION("""COMPUTED_VALUE"""),0.0)</f>
        <v>0</v>
      </c>
    </row>
    <row r="2650">
      <c r="A2650">
        <f>IFERROR(__xludf.DUMMYFUNCTION("""COMPUTED_VALUE"""),174724.0)</f>
        <v>174724</v>
      </c>
      <c r="B2650" t="str">
        <f>IFERROR(__xludf.DUMMYFUNCTION("""COMPUTED_VALUE"""),"Beef New Zealand Imported Hind Shin Separable Lean Only Cooked Braised")</f>
        <v>Beef New Zealand Imported Hind Shin Separable Lean Only Cooked Braised</v>
      </c>
      <c r="C2650" t="str">
        <f>IFERROR(__xludf.DUMMYFUNCTION("""COMPUTED_VALUE"""),"Meats")</f>
        <v>Meats</v>
      </c>
      <c r="D2650">
        <f>IFERROR(__xludf.DUMMYFUNCTION("""COMPUTED_VALUE"""),167.0)</f>
        <v>167</v>
      </c>
      <c r="E2650">
        <f>IFERROR(__xludf.DUMMYFUNCTION("""COMPUTED_VALUE"""),4.64)</f>
        <v>4.64</v>
      </c>
      <c r="F2650">
        <f>IFERROR(__xludf.DUMMYFUNCTION("""COMPUTED_VALUE"""),31.23)</f>
        <v>31.23</v>
      </c>
      <c r="G2650">
        <f>IFERROR(__xludf.DUMMYFUNCTION("""COMPUTED_VALUE"""),0.0)</f>
        <v>0</v>
      </c>
    </row>
    <row r="2651">
      <c r="A2651">
        <f>IFERROR(__xludf.DUMMYFUNCTION("""COMPUTED_VALUE"""),174725.0)</f>
        <v>174725</v>
      </c>
      <c r="B2651" t="str">
        <f>IFERROR(__xludf.DUMMYFUNCTION("""COMPUTED_VALUE"""),"Beef New Zealand Imported Hind Shin Separable Lean Only Raw")</f>
        <v>Beef New Zealand Imported Hind Shin Separable Lean Only Raw</v>
      </c>
      <c r="C2651" t="str">
        <f>IFERROR(__xludf.DUMMYFUNCTION("""COMPUTED_VALUE"""),"Meats")</f>
        <v>Meats</v>
      </c>
      <c r="D2651">
        <f>IFERROR(__xludf.DUMMYFUNCTION("""COMPUTED_VALUE"""),114.0)</f>
        <v>114</v>
      </c>
      <c r="E2651">
        <f>IFERROR(__xludf.DUMMYFUNCTION("""COMPUTED_VALUE"""),3.12)</f>
        <v>3.12</v>
      </c>
      <c r="F2651">
        <f>IFERROR(__xludf.DUMMYFUNCTION("""COMPUTED_VALUE"""),21.46)</f>
        <v>21.46</v>
      </c>
      <c r="G2651">
        <f>IFERROR(__xludf.DUMMYFUNCTION("""COMPUTED_VALUE"""),0.0)</f>
        <v>0</v>
      </c>
    </row>
    <row r="2652">
      <c r="A2652">
        <f>IFERROR(__xludf.DUMMYFUNCTION("""COMPUTED_VALUE"""),174726.0)</f>
        <v>174726</v>
      </c>
      <c r="B2652" t="str">
        <f>IFERROR(__xludf.DUMMYFUNCTION("""COMPUTED_VALUE"""),"Beef New Zealand Imported Inside Raw")</f>
        <v>Beef New Zealand Imported Inside Raw</v>
      </c>
      <c r="C2652" t="str">
        <f>IFERROR(__xludf.DUMMYFUNCTION("""COMPUTED_VALUE"""),"Meats")</f>
        <v>Meats</v>
      </c>
      <c r="D2652">
        <f>IFERROR(__xludf.DUMMYFUNCTION("""COMPUTED_VALUE"""),128.0)</f>
        <v>128</v>
      </c>
      <c r="E2652">
        <f>IFERROR(__xludf.DUMMYFUNCTION("""COMPUTED_VALUE"""),4.36)</f>
        <v>4.36</v>
      </c>
      <c r="F2652">
        <f>IFERROR(__xludf.DUMMYFUNCTION("""COMPUTED_VALUE"""),22.16)</f>
        <v>22.16</v>
      </c>
      <c r="G2652">
        <f>IFERROR(__xludf.DUMMYFUNCTION("""COMPUTED_VALUE"""),0.1)</f>
        <v>0.1</v>
      </c>
    </row>
    <row r="2653">
      <c r="A2653">
        <f>IFERROR(__xludf.DUMMYFUNCTION("""COMPUTED_VALUE"""),174727.0)</f>
        <v>174727</v>
      </c>
      <c r="B2653" t="str">
        <f>IFERROR(__xludf.DUMMYFUNCTION("""COMPUTED_VALUE"""),"Beef New Zealand Imported Variety Meats And By-Products Kidney Raw")</f>
        <v>Beef New Zealand Imported Variety Meats And By-Products Kidney Raw</v>
      </c>
      <c r="C2653" t="str">
        <f>IFERROR(__xludf.DUMMYFUNCTION("""COMPUTED_VALUE"""),"Meats")</f>
        <v>Meats</v>
      </c>
      <c r="D2653">
        <f>IFERROR(__xludf.DUMMYFUNCTION("""COMPUTED_VALUE"""),87.0)</f>
        <v>87</v>
      </c>
      <c r="E2653">
        <f>IFERROR(__xludf.DUMMYFUNCTION("""COMPUTED_VALUE"""),2.64)</f>
        <v>2.64</v>
      </c>
      <c r="F2653">
        <f>IFERROR(__xludf.DUMMYFUNCTION("""COMPUTED_VALUE"""),15.68)</f>
        <v>15.68</v>
      </c>
      <c r="G2653">
        <f>IFERROR(__xludf.DUMMYFUNCTION("""COMPUTED_VALUE"""),0.0)</f>
        <v>0</v>
      </c>
    </row>
    <row r="2654">
      <c r="A2654">
        <f>IFERROR(__xludf.DUMMYFUNCTION("""COMPUTED_VALUE"""),174728.0)</f>
        <v>174728</v>
      </c>
      <c r="B2654" t="str">
        <f>IFERROR(__xludf.DUMMYFUNCTION("""COMPUTED_VALUE"""),"Beef New Zealand Imported Variety Meats And By-Products Liver Cooked Boiled")</f>
        <v>Beef New Zealand Imported Variety Meats And By-Products Liver Cooked Boiled</v>
      </c>
      <c r="C2654" t="str">
        <f>IFERROR(__xludf.DUMMYFUNCTION("""COMPUTED_VALUE"""),"Meats")</f>
        <v>Meats</v>
      </c>
      <c r="D2654">
        <f>IFERROR(__xludf.DUMMYFUNCTION("""COMPUTED_VALUE"""),150.0)</f>
        <v>150</v>
      </c>
      <c r="E2654">
        <f>IFERROR(__xludf.DUMMYFUNCTION("""COMPUTED_VALUE"""),4.68)</f>
        <v>4.68</v>
      </c>
      <c r="F2654">
        <f>IFERROR(__xludf.DUMMYFUNCTION("""COMPUTED_VALUE"""),23.3)</f>
        <v>23.3</v>
      </c>
      <c r="G2654">
        <f>IFERROR(__xludf.DUMMYFUNCTION("""COMPUTED_VALUE"""),3.78)</f>
        <v>3.78</v>
      </c>
    </row>
    <row r="2655">
      <c r="A2655">
        <f>IFERROR(__xludf.DUMMYFUNCTION("""COMPUTED_VALUE"""),174729.0)</f>
        <v>174729</v>
      </c>
      <c r="B2655" t="str">
        <f>IFERROR(__xludf.DUMMYFUNCTION("""COMPUTED_VALUE"""),"Beef New Zealand Imported Variety Meats And By-Products Liver Raw")</f>
        <v>Beef New Zealand Imported Variety Meats And By-Products Liver Raw</v>
      </c>
      <c r="C2655" t="str">
        <f>IFERROR(__xludf.DUMMYFUNCTION("""COMPUTED_VALUE"""),"Meats")</f>
        <v>Meats</v>
      </c>
      <c r="D2655">
        <f>IFERROR(__xludf.DUMMYFUNCTION("""COMPUTED_VALUE"""),133.0)</f>
        <v>133</v>
      </c>
      <c r="E2655">
        <f>IFERROR(__xludf.DUMMYFUNCTION("""COMPUTED_VALUE"""),4.05)</f>
        <v>4.05</v>
      </c>
      <c r="F2655">
        <f>IFERROR(__xludf.DUMMYFUNCTION("""COMPUTED_VALUE"""),20.5)</f>
        <v>20.5</v>
      </c>
      <c r="G2655">
        <f>IFERROR(__xludf.DUMMYFUNCTION("""COMPUTED_VALUE"""),3.6)</f>
        <v>3.6</v>
      </c>
    </row>
    <row r="2656">
      <c r="A2656">
        <f>IFERROR(__xludf.DUMMYFUNCTION("""COMPUTED_VALUE"""),174730.0)</f>
        <v>174730</v>
      </c>
      <c r="B2656" t="str">
        <f>IFERROR(__xludf.DUMMYFUNCTION("""COMPUTED_VALUE"""),"Beef New Zealand Imported Manufacturing Beef Cooked Boiled")</f>
        <v>Beef New Zealand Imported Manufacturing Beef Cooked Boiled</v>
      </c>
      <c r="C2656" t="str">
        <f>IFERROR(__xludf.DUMMYFUNCTION("""COMPUTED_VALUE"""),"Meats")</f>
        <v>Meats</v>
      </c>
      <c r="D2656">
        <f>IFERROR(__xludf.DUMMYFUNCTION("""COMPUTED_VALUE"""),126.0)</f>
        <v>126</v>
      </c>
      <c r="E2656">
        <f>IFERROR(__xludf.DUMMYFUNCTION("""COMPUTED_VALUE"""),3.26)</f>
        <v>3.26</v>
      </c>
      <c r="F2656">
        <f>IFERROR(__xludf.DUMMYFUNCTION("""COMPUTED_VALUE"""),24.21)</f>
        <v>24.21</v>
      </c>
      <c r="G2656">
        <f>IFERROR(__xludf.DUMMYFUNCTION("""COMPUTED_VALUE"""),0.0)</f>
        <v>0</v>
      </c>
    </row>
    <row r="2657">
      <c r="A2657">
        <f>IFERROR(__xludf.DUMMYFUNCTION("""COMPUTED_VALUE"""),174731.0)</f>
        <v>174731</v>
      </c>
      <c r="B2657" t="str">
        <f>IFERROR(__xludf.DUMMYFUNCTION("""COMPUTED_VALUE"""),"Beef New Zealand Imported Ribs Prepared Raw")</f>
        <v>Beef New Zealand Imported Ribs Prepared Raw</v>
      </c>
      <c r="C2657" t="str">
        <f>IFERROR(__xludf.DUMMYFUNCTION("""COMPUTED_VALUE"""),"Meats")</f>
        <v>Meats</v>
      </c>
      <c r="D2657">
        <f>IFERROR(__xludf.DUMMYFUNCTION("""COMPUTED_VALUE"""),146.0)</f>
        <v>146</v>
      </c>
      <c r="E2657">
        <f>IFERROR(__xludf.DUMMYFUNCTION("""COMPUTED_VALUE"""),6.78)</f>
        <v>6.78</v>
      </c>
      <c r="F2657">
        <f>IFERROR(__xludf.DUMMYFUNCTION("""COMPUTED_VALUE"""),21.31)</f>
        <v>21.31</v>
      </c>
      <c r="G2657">
        <f>IFERROR(__xludf.DUMMYFUNCTION("""COMPUTED_VALUE"""),0.0)</f>
        <v>0</v>
      </c>
    </row>
    <row r="2658">
      <c r="A2658">
        <f>IFERROR(__xludf.DUMMYFUNCTION("""COMPUTED_VALUE"""),174732.0)</f>
        <v>174732</v>
      </c>
      <c r="B2658" t="str">
        <f>IFERROR(__xludf.DUMMYFUNCTION("""COMPUTED_VALUE"""),"Beef New Zealand Imported Rump Centre Separable Lean Only Cooked Fast Fried")</f>
        <v>Beef New Zealand Imported Rump Centre Separable Lean Only Cooked Fast Fried</v>
      </c>
      <c r="C2658" t="str">
        <f>IFERROR(__xludf.DUMMYFUNCTION("""COMPUTED_VALUE"""),"Meats")</f>
        <v>Meats</v>
      </c>
      <c r="D2658">
        <f>IFERROR(__xludf.DUMMYFUNCTION("""COMPUTED_VALUE"""),188.0)</f>
        <v>188</v>
      </c>
      <c r="E2658">
        <f>IFERROR(__xludf.DUMMYFUNCTION("""COMPUTED_VALUE"""),7.48)</f>
        <v>7.48</v>
      </c>
      <c r="F2658">
        <f>IFERROR(__xludf.DUMMYFUNCTION("""COMPUTED_VALUE"""),30.17)</f>
        <v>30.17</v>
      </c>
      <c r="G2658">
        <f>IFERROR(__xludf.DUMMYFUNCTION("""COMPUTED_VALUE"""),0.0)</f>
        <v>0</v>
      </c>
    </row>
    <row r="2659">
      <c r="A2659">
        <f>IFERROR(__xludf.DUMMYFUNCTION("""COMPUTED_VALUE"""),174733.0)</f>
        <v>174733</v>
      </c>
      <c r="B2659" t="str">
        <f>IFERROR(__xludf.DUMMYFUNCTION("""COMPUTED_VALUE"""),"Beef New Zealand Imported Striploin Separable Lean Only Cooked Fast Fried")</f>
        <v>Beef New Zealand Imported Striploin Separable Lean Only Cooked Fast Fried</v>
      </c>
      <c r="C2659" t="str">
        <f>IFERROR(__xludf.DUMMYFUNCTION("""COMPUTED_VALUE"""),"Meats")</f>
        <v>Meats</v>
      </c>
      <c r="D2659">
        <f>IFERROR(__xludf.DUMMYFUNCTION("""COMPUTED_VALUE"""),217.0)</f>
        <v>217</v>
      </c>
      <c r="E2659">
        <f>IFERROR(__xludf.DUMMYFUNCTION("""COMPUTED_VALUE"""),11.4)</f>
        <v>11.4</v>
      </c>
      <c r="F2659">
        <f>IFERROR(__xludf.DUMMYFUNCTION("""COMPUTED_VALUE"""),28.53)</f>
        <v>28.53</v>
      </c>
      <c r="G2659">
        <f>IFERROR(__xludf.DUMMYFUNCTION("""COMPUTED_VALUE"""),0.0)</f>
        <v>0</v>
      </c>
    </row>
    <row r="2660">
      <c r="A2660">
        <f>IFERROR(__xludf.DUMMYFUNCTION("""COMPUTED_VALUE"""),174734.0)</f>
        <v>174734</v>
      </c>
      <c r="B2660" t="str">
        <f>IFERROR(__xludf.DUMMYFUNCTION("""COMPUTED_VALUE"""),"Beef New Zealand Imported Striploin Separable Lean Only Raw")</f>
        <v>Beef New Zealand Imported Striploin Separable Lean Only Raw</v>
      </c>
      <c r="C2660" t="str">
        <f>IFERROR(__xludf.DUMMYFUNCTION("""COMPUTED_VALUE"""),"Meats")</f>
        <v>Meats</v>
      </c>
      <c r="D2660">
        <f>IFERROR(__xludf.DUMMYFUNCTION("""COMPUTED_VALUE"""),150.0)</f>
        <v>150</v>
      </c>
      <c r="E2660">
        <f>IFERROR(__xludf.DUMMYFUNCTION("""COMPUTED_VALUE"""),7.0)</f>
        <v>7</v>
      </c>
      <c r="F2660">
        <f>IFERROR(__xludf.DUMMYFUNCTION("""COMPUTED_VALUE"""),20.93)</f>
        <v>20.93</v>
      </c>
      <c r="G2660">
        <f>IFERROR(__xludf.DUMMYFUNCTION("""COMPUTED_VALUE"""),0.74)</f>
        <v>0.74</v>
      </c>
    </row>
    <row r="2661">
      <c r="A2661">
        <f>IFERROR(__xludf.DUMMYFUNCTION("""COMPUTED_VALUE"""),174735.0)</f>
        <v>174735</v>
      </c>
      <c r="B2661" t="str">
        <f>IFERROR(__xludf.DUMMYFUNCTION("""COMPUTED_VALUE"""),"Beef New Zealand Imported Oyster Blade Separable Lean And Fat Raw")</f>
        <v>Beef New Zealand Imported Oyster Blade Separable Lean And Fat Raw</v>
      </c>
      <c r="C2661" t="str">
        <f>IFERROR(__xludf.DUMMYFUNCTION("""COMPUTED_VALUE"""),"Meats")</f>
        <v>Meats</v>
      </c>
      <c r="D2661">
        <f>IFERROR(__xludf.DUMMYFUNCTION("""COMPUTED_VALUE"""),178.0)</f>
        <v>178</v>
      </c>
      <c r="E2661">
        <f>IFERROR(__xludf.DUMMYFUNCTION("""COMPUTED_VALUE"""),10.31)</f>
        <v>10.31</v>
      </c>
      <c r="F2661">
        <f>IFERROR(__xludf.DUMMYFUNCTION("""COMPUTED_VALUE"""),21.27)</f>
        <v>21.27</v>
      </c>
      <c r="G2661">
        <f>IFERROR(__xludf.DUMMYFUNCTION("""COMPUTED_VALUE"""),0.0)</f>
        <v>0</v>
      </c>
    </row>
    <row r="2662">
      <c r="A2662">
        <f>IFERROR(__xludf.DUMMYFUNCTION("""COMPUTED_VALUE"""),174736.0)</f>
        <v>174736</v>
      </c>
      <c r="B2662" t="str">
        <f>IFERROR(__xludf.DUMMYFUNCTION("""COMPUTED_VALUE"""),"Beef New Zealand Imported Tenderloin Separable Lean Only Raw")</f>
        <v>Beef New Zealand Imported Tenderloin Separable Lean Only Raw</v>
      </c>
      <c r="C2662" t="str">
        <f>IFERROR(__xludf.DUMMYFUNCTION("""COMPUTED_VALUE"""),"Meats")</f>
        <v>Meats</v>
      </c>
      <c r="D2662">
        <f>IFERROR(__xludf.DUMMYFUNCTION("""COMPUTED_VALUE"""),140.0)</f>
        <v>140</v>
      </c>
      <c r="E2662">
        <f>IFERROR(__xludf.DUMMYFUNCTION("""COMPUTED_VALUE"""),6.1)</f>
        <v>6.1</v>
      </c>
      <c r="F2662">
        <f>IFERROR(__xludf.DUMMYFUNCTION("""COMPUTED_VALUE"""),21.19)</f>
        <v>21.19</v>
      </c>
      <c r="G2662">
        <f>IFERROR(__xludf.DUMMYFUNCTION("""COMPUTED_VALUE"""),0.0)</f>
        <v>0</v>
      </c>
    </row>
    <row r="2663">
      <c r="A2663">
        <f>IFERROR(__xludf.DUMMYFUNCTION("""COMPUTED_VALUE"""),174737.0)</f>
        <v>174737</v>
      </c>
      <c r="B2663" t="str">
        <f>IFERROR(__xludf.DUMMYFUNCTION("""COMPUTED_VALUE"""),"Beef New Zealand Imported Variety Meats And By-Products Tongue Cooked Boiled")</f>
        <v>Beef New Zealand Imported Variety Meats And By-Products Tongue Cooked Boiled</v>
      </c>
      <c r="C2663" t="str">
        <f>IFERROR(__xludf.DUMMYFUNCTION("""COMPUTED_VALUE"""),"Meats")</f>
        <v>Meats</v>
      </c>
      <c r="D2663">
        <f>IFERROR(__xludf.DUMMYFUNCTION("""COMPUTED_VALUE"""),271.0)</f>
        <v>271</v>
      </c>
      <c r="E2663">
        <f>IFERROR(__xludf.DUMMYFUNCTION("""COMPUTED_VALUE"""),20.34)</f>
        <v>20.34</v>
      </c>
      <c r="F2663">
        <f>IFERROR(__xludf.DUMMYFUNCTION("""COMPUTED_VALUE"""),18.31)</f>
        <v>18.31</v>
      </c>
      <c r="G2663">
        <f>IFERROR(__xludf.DUMMYFUNCTION("""COMPUTED_VALUE"""),3.68)</f>
        <v>3.68</v>
      </c>
    </row>
    <row r="2664">
      <c r="A2664">
        <f>IFERROR(__xludf.DUMMYFUNCTION("""COMPUTED_VALUE"""),174738.0)</f>
        <v>174738</v>
      </c>
      <c r="B2664" t="str">
        <f>IFERROR(__xludf.DUMMYFUNCTION("""COMPUTED_VALUE"""),"Beef New Zealand Imported Variety Meats And By-Products Tongue Raw")</f>
        <v>Beef New Zealand Imported Variety Meats And By-Products Tongue Raw</v>
      </c>
      <c r="C2664" t="str">
        <f>IFERROR(__xludf.DUMMYFUNCTION("""COMPUTED_VALUE"""),"Meats")</f>
        <v>Meats</v>
      </c>
      <c r="D2664">
        <f>IFERROR(__xludf.DUMMYFUNCTION("""COMPUTED_VALUE"""),243.0)</f>
        <v>243</v>
      </c>
      <c r="E2664">
        <f>IFERROR(__xludf.DUMMYFUNCTION("""COMPUTED_VALUE"""),19.09)</f>
        <v>19.09</v>
      </c>
      <c r="F2664">
        <f>IFERROR(__xludf.DUMMYFUNCTION("""COMPUTED_VALUE"""),17.77)</f>
        <v>17.77</v>
      </c>
      <c r="G2664">
        <f>IFERROR(__xludf.DUMMYFUNCTION("""COMPUTED_VALUE"""),0.0)</f>
        <v>0</v>
      </c>
    </row>
    <row r="2665">
      <c r="A2665">
        <f>IFERROR(__xludf.DUMMYFUNCTION("""COMPUTED_VALUE"""),174739.0)</f>
        <v>174739</v>
      </c>
      <c r="B2665" t="str">
        <f>IFERROR(__xludf.DUMMYFUNCTION("""COMPUTED_VALUE"""),"Beef New Zealand Imported Brisket Navel End Separable Lean And Fat Cooked Braised")</f>
        <v>Beef New Zealand Imported Brisket Navel End Separable Lean And Fat Cooked Braised</v>
      </c>
      <c r="C2665" t="str">
        <f>IFERROR(__xludf.DUMMYFUNCTION("""COMPUTED_VALUE"""),"Meats")</f>
        <v>Meats</v>
      </c>
      <c r="D2665">
        <f>IFERROR(__xludf.DUMMYFUNCTION("""COMPUTED_VALUE"""),453.0)</f>
        <v>453</v>
      </c>
      <c r="E2665">
        <f>IFERROR(__xludf.DUMMYFUNCTION("""COMPUTED_VALUE"""),41.33)</f>
        <v>41.33</v>
      </c>
      <c r="F2665">
        <f>IFERROR(__xludf.DUMMYFUNCTION("""COMPUTED_VALUE"""),20.14)</f>
        <v>20.14</v>
      </c>
      <c r="G2665">
        <f>IFERROR(__xludf.DUMMYFUNCTION("""COMPUTED_VALUE"""),0.0)</f>
        <v>0</v>
      </c>
    </row>
    <row r="2666">
      <c r="A2666">
        <f>IFERROR(__xludf.DUMMYFUNCTION("""COMPUTED_VALUE"""),174740.0)</f>
        <v>174740</v>
      </c>
      <c r="B2666" t="str">
        <f>IFERROR(__xludf.DUMMYFUNCTION("""COMPUTED_VALUE"""),"Beef New Zealand Imported Brisket Navel End Separable Lean And Fat Raw")</f>
        <v>Beef New Zealand Imported Brisket Navel End Separable Lean And Fat Raw</v>
      </c>
      <c r="C2666" t="str">
        <f>IFERROR(__xludf.DUMMYFUNCTION("""COMPUTED_VALUE"""),"Meats")</f>
        <v>Meats</v>
      </c>
      <c r="D2666">
        <f>IFERROR(__xludf.DUMMYFUNCTION("""COMPUTED_VALUE"""),345.0)</f>
        <v>345</v>
      </c>
      <c r="E2666">
        <f>IFERROR(__xludf.DUMMYFUNCTION("""COMPUTED_VALUE"""),31.27)</f>
        <v>31.27</v>
      </c>
      <c r="F2666">
        <f>IFERROR(__xludf.DUMMYFUNCTION("""COMPUTED_VALUE"""),15.81)</f>
        <v>15.81</v>
      </c>
      <c r="G2666">
        <f>IFERROR(__xludf.DUMMYFUNCTION("""COMPUTED_VALUE"""),0.0)</f>
        <v>0</v>
      </c>
    </row>
    <row r="2667">
      <c r="A2667">
        <f>IFERROR(__xludf.DUMMYFUNCTION("""COMPUTED_VALUE"""),174741.0)</f>
        <v>174741</v>
      </c>
      <c r="B2667" t="str">
        <f>IFERROR(__xludf.DUMMYFUNCTION("""COMPUTED_VALUE"""),"Beef New Zealand Imported Brisket Point End Separable Lean And Fat Cooked Braised")</f>
        <v>Beef New Zealand Imported Brisket Point End Separable Lean And Fat Cooked Braised</v>
      </c>
      <c r="C2667" t="str">
        <f>IFERROR(__xludf.DUMMYFUNCTION("""COMPUTED_VALUE"""),"Meats")</f>
        <v>Meats</v>
      </c>
      <c r="D2667">
        <f>IFERROR(__xludf.DUMMYFUNCTION("""COMPUTED_VALUE"""),250.0)</f>
        <v>250</v>
      </c>
      <c r="E2667">
        <f>IFERROR(__xludf.DUMMYFUNCTION("""COMPUTED_VALUE"""),13.6)</f>
        <v>13.6</v>
      </c>
      <c r="F2667">
        <f>IFERROR(__xludf.DUMMYFUNCTION("""COMPUTED_VALUE"""),31.94)</f>
        <v>31.94</v>
      </c>
      <c r="G2667">
        <f>IFERROR(__xludf.DUMMYFUNCTION("""COMPUTED_VALUE"""),0.0)</f>
        <v>0</v>
      </c>
    </row>
    <row r="2668">
      <c r="A2668">
        <f>IFERROR(__xludf.DUMMYFUNCTION("""COMPUTED_VALUE"""),174742.0)</f>
        <v>174742</v>
      </c>
      <c r="B2668" t="str">
        <f>IFERROR(__xludf.DUMMYFUNCTION("""COMPUTED_VALUE"""),"Beef New Zealand Imported Brisket Point End Separable Lean And Fat Raw")</f>
        <v>Beef New Zealand Imported Brisket Point End Separable Lean And Fat Raw</v>
      </c>
      <c r="C2668" t="str">
        <f>IFERROR(__xludf.DUMMYFUNCTION("""COMPUTED_VALUE"""),"Meats")</f>
        <v>Meats</v>
      </c>
      <c r="D2668">
        <f>IFERROR(__xludf.DUMMYFUNCTION("""COMPUTED_VALUE"""),163.0)</f>
        <v>163</v>
      </c>
      <c r="E2668">
        <f>IFERROR(__xludf.DUMMYFUNCTION("""COMPUTED_VALUE"""),9.23)</f>
        <v>9.23</v>
      </c>
      <c r="F2668">
        <f>IFERROR(__xludf.DUMMYFUNCTION("""COMPUTED_VALUE"""),20.05)</f>
        <v>20.05</v>
      </c>
      <c r="G2668">
        <f>IFERROR(__xludf.DUMMYFUNCTION("""COMPUTED_VALUE"""),0.0)</f>
        <v>0</v>
      </c>
    </row>
    <row r="2669">
      <c r="A2669">
        <f>IFERROR(__xludf.DUMMYFUNCTION("""COMPUTED_VALUE"""),174743.0)</f>
        <v>174743</v>
      </c>
      <c r="B2669" t="str">
        <f>IFERROR(__xludf.DUMMYFUNCTION("""COMPUTED_VALUE"""),"Beef New Zealand Imported Eye Round Separable Lean And Fat Cooked Slow Roasted")</f>
        <v>Beef New Zealand Imported Eye Round Separable Lean And Fat Cooked Slow Roasted</v>
      </c>
      <c r="C2669" t="str">
        <f>IFERROR(__xludf.DUMMYFUNCTION("""COMPUTED_VALUE"""),"Meats")</f>
        <v>Meats</v>
      </c>
      <c r="D2669">
        <f>IFERROR(__xludf.DUMMYFUNCTION("""COMPUTED_VALUE"""),168.0)</f>
        <v>168</v>
      </c>
      <c r="E2669">
        <f>IFERROR(__xludf.DUMMYFUNCTION("""COMPUTED_VALUE"""),5.57)</f>
        <v>5.57</v>
      </c>
      <c r="F2669">
        <f>IFERROR(__xludf.DUMMYFUNCTION("""COMPUTED_VALUE"""),29.49)</f>
        <v>29.49</v>
      </c>
      <c r="G2669">
        <f>IFERROR(__xludf.DUMMYFUNCTION("""COMPUTED_VALUE"""),0.0)</f>
        <v>0</v>
      </c>
    </row>
    <row r="2670">
      <c r="A2670">
        <f>IFERROR(__xludf.DUMMYFUNCTION("""COMPUTED_VALUE"""),174744.0)</f>
        <v>174744</v>
      </c>
      <c r="B2670" t="str">
        <f>IFERROR(__xludf.DUMMYFUNCTION("""COMPUTED_VALUE"""),"Beef New Zealand Imported Eye Round Separable Lean And Fat Raw")</f>
        <v>Beef New Zealand Imported Eye Round Separable Lean And Fat Raw</v>
      </c>
      <c r="C2670" t="str">
        <f>IFERROR(__xludf.DUMMYFUNCTION("""COMPUTED_VALUE"""),"Meats")</f>
        <v>Meats</v>
      </c>
      <c r="D2670">
        <f>IFERROR(__xludf.DUMMYFUNCTION("""COMPUTED_VALUE"""),129.0)</f>
        <v>129</v>
      </c>
      <c r="E2670">
        <f>IFERROR(__xludf.DUMMYFUNCTION("""COMPUTED_VALUE"""),4.92)</f>
        <v>4.92</v>
      </c>
      <c r="F2670">
        <f>IFERROR(__xludf.DUMMYFUNCTION("""COMPUTED_VALUE"""),19.88)</f>
        <v>19.88</v>
      </c>
      <c r="G2670">
        <f>IFERROR(__xludf.DUMMYFUNCTION("""COMPUTED_VALUE"""),1.32)</f>
        <v>1.32</v>
      </c>
    </row>
    <row r="2671">
      <c r="A2671">
        <f>IFERROR(__xludf.DUMMYFUNCTION("""COMPUTED_VALUE"""),174745.0)</f>
        <v>174745</v>
      </c>
      <c r="B2671" t="str">
        <f>IFERROR(__xludf.DUMMYFUNCTION("""COMPUTED_VALUE"""),"Beef New Zealand Imported Flank Separable Lean And Fat Cooked Braised")</f>
        <v>Beef New Zealand Imported Flank Separable Lean And Fat Cooked Braised</v>
      </c>
      <c r="C2671" t="str">
        <f>IFERROR(__xludf.DUMMYFUNCTION("""COMPUTED_VALUE"""),"Meats")</f>
        <v>Meats</v>
      </c>
      <c r="D2671">
        <f>IFERROR(__xludf.DUMMYFUNCTION("""COMPUTED_VALUE"""),208.0)</f>
        <v>208</v>
      </c>
      <c r="E2671">
        <f>IFERROR(__xludf.DUMMYFUNCTION("""COMPUTED_VALUE"""),9.73)</f>
        <v>9.73</v>
      </c>
      <c r="F2671">
        <f>IFERROR(__xludf.DUMMYFUNCTION("""COMPUTED_VALUE"""),30.13)</f>
        <v>30.13</v>
      </c>
      <c r="G2671">
        <f>IFERROR(__xludf.DUMMYFUNCTION("""COMPUTED_VALUE"""),0.0)</f>
        <v>0</v>
      </c>
    </row>
    <row r="2672">
      <c r="A2672">
        <f>IFERROR(__xludf.DUMMYFUNCTION("""COMPUTED_VALUE"""),174746.0)</f>
        <v>174746</v>
      </c>
      <c r="B2672" t="str">
        <f>IFERROR(__xludf.DUMMYFUNCTION("""COMPUTED_VALUE"""),"Beef New Zealand Imported Flank Separable Lean And Fat Raw")</f>
        <v>Beef New Zealand Imported Flank Separable Lean And Fat Raw</v>
      </c>
      <c r="C2672" t="str">
        <f>IFERROR(__xludf.DUMMYFUNCTION("""COMPUTED_VALUE"""),"Meats")</f>
        <v>Meats</v>
      </c>
      <c r="D2672">
        <f>IFERROR(__xludf.DUMMYFUNCTION("""COMPUTED_VALUE"""),161.0)</f>
        <v>161</v>
      </c>
      <c r="E2672">
        <f>IFERROR(__xludf.DUMMYFUNCTION("""COMPUTED_VALUE"""),8.9)</f>
        <v>8.9</v>
      </c>
      <c r="F2672">
        <f>IFERROR(__xludf.DUMMYFUNCTION("""COMPUTED_VALUE"""),20.12)</f>
        <v>20.12</v>
      </c>
      <c r="G2672">
        <f>IFERROR(__xludf.DUMMYFUNCTION("""COMPUTED_VALUE"""),0.0)</f>
        <v>0</v>
      </c>
    </row>
    <row r="2673">
      <c r="A2673">
        <f>IFERROR(__xludf.DUMMYFUNCTION("""COMPUTED_VALUE"""),174747.0)</f>
        <v>174747</v>
      </c>
      <c r="B2673" t="str">
        <f>IFERROR(__xludf.DUMMYFUNCTION("""COMPUTED_VALUE"""),"Beef New Zealand Imported Flat Separable Lean And Fat Cooked Braised")</f>
        <v>Beef New Zealand Imported Flat Separable Lean And Fat Cooked Braised</v>
      </c>
      <c r="C2673" t="str">
        <f>IFERROR(__xludf.DUMMYFUNCTION("""COMPUTED_VALUE"""),"Meats")</f>
        <v>Meats</v>
      </c>
      <c r="D2673">
        <f>IFERROR(__xludf.DUMMYFUNCTION("""COMPUTED_VALUE"""),252.0)</f>
        <v>252</v>
      </c>
      <c r="E2673">
        <f>IFERROR(__xludf.DUMMYFUNCTION("""COMPUTED_VALUE"""),13.79)</f>
        <v>13.79</v>
      </c>
      <c r="F2673">
        <f>IFERROR(__xludf.DUMMYFUNCTION("""COMPUTED_VALUE"""),31.86)</f>
        <v>31.86</v>
      </c>
      <c r="G2673">
        <f>IFERROR(__xludf.DUMMYFUNCTION("""COMPUTED_VALUE"""),0.0)</f>
        <v>0</v>
      </c>
    </row>
    <row r="2674">
      <c r="A2674">
        <f>IFERROR(__xludf.DUMMYFUNCTION("""COMPUTED_VALUE"""),174748.0)</f>
        <v>174748</v>
      </c>
      <c r="B2674" t="str">
        <f>IFERROR(__xludf.DUMMYFUNCTION("""COMPUTED_VALUE"""),"Beef New Zealand Imported Rump Centre Separable Lean And Fat Cooked Fast Fried")</f>
        <v>Beef New Zealand Imported Rump Centre Separable Lean And Fat Cooked Fast Fried</v>
      </c>
      <c r="C2674" t="str">
        <f>IFERROR(__xludf.DUMMYFUNCTION("""COMPUTED_VALUE"""),"Meats")</f>
        <v>Meats</v>
      </c>
      <c r="D2674">
        <f>IFERROR(__xludf.DUMMYFUNCTION("""COMPUTED_VALUE"""),192.0)</f>
        <v>192</v>
      </c>
      <c r="E2674">
        <f>IFERROR(__xludf.DUMMYFUNCTION("""COMPUTED_VALUE"""),7.96)</f>
        <v>7.96</v>
      </c>
      <c r="F2674">
        <f>IFERROR(__xludf.DUMMYFUNCTION("""COMPUTED_VALUE"""),30.01)</f>
        <v>30.01</v>
      </c>
      <c r="G2674">
        <f>IFERROR(__xludf.DUMMYFUNCTION("""COMPUTED_VALUE"""),0.0)</f>
        <v>0</v>
      </c>
    </row>
    <row r="2675">
      <c r="A2675">
        <f>IFERROR(__xludf.DUMMYFUNCTION("""COMPUTED_VALUE"""),174749.0)</f>
        <v>174749</v>
      </c>
      <c r="B2675" t="str">
        <f>IFERROR(__xludf.DUMMYFUNCTION("""COMPUTED_VALUE"""),"Beef New Zealand Imported Rump Centre Separable Lean Only Raw")</f>
        <v>Beef New Zealand Imported Rump Centre Separable Lean Only Raw</v>
      </c>
      <c r="C2675" t="str">
        <f>IFERROR(__xludf.DUMMYFUNCTION("""COMPUTED_VALUE"""),"Meats")</f>
        <v>Meats</v>
      </c>
      <c r="D2675">
        <f>IFERROR(__xludf.DUMMYFUNCTION("""COMPUTED_VALUE"""),141.0)</f>
        <v>141</v>
      </c>
      <c r="E2675">
        <f>IFERROR(__xludf.DUMMYFUNCTION("""COMPUTED_VALUE"""),6.05)</f>
        <v>6.05</v>
      </c>
      <c r="F2675">
        <f>IFERROR(__xludf.DUMMYFUNCTION("""COMPUTED_VALUE"""),21.74)</f>
        <v>21.74</v>
      </c>
      <c r="G2675">
        <f>IFERROR(__xludf.DUMMYFUNCTION("""COMPUTED_VALUE"""),0.0)</f>
        <v>0</v>
      </c>
    </row>
    <row r="2676">
      <c r="A2676">
        <f>IFERROR(__xludf.DUMMYFUNCTION("""COMPUTED_VALUE"""),174750.0)</f>
        <v>174750</v>
      </c>
      <c r="B2676" t="str">
        <f>IFERROR(__xludf.DUMMYFUNCTION("""COMPUTED_VALUE"""),"Beef New Zealand Imported Rump Centre Separable Lean And Fat Raw")</f>
        <v>Beef New Zealand Imported Rump Centre Separable Lean And Fat Raw</v>
      </c>
      <c r="C2676" t="str">
        <f>IFERROR(__xludf.DUMMYFUNCTION("""COMPUTED_VALUE"""),"Meats")</f>
        <v>Meats</v>
      </c>
      <c r="D2676">
        <f>IFERROR(__xludf.DUMMYFUNCTION("""COMPUTED_VALUE"""),145.0)</f>
        <v>145</v>
      </c>
      <c r="E2676">
        <f>IFERROR(__xludf.DUMMYFUNCTION("""COMPUTED_VALUE"""),6.5)</f>
        <v>6.5</v>
      </c>
      <c r="F2676">
        <f>IFERROR(__xludf.DUMMYFUNCTION("""COMPUTED_VALUE"""),21.65)</f>
        <v>21.65</v>
      </c>
      <c r="G2676">
        <f>IFERROR(__xludf.DUMMYFUNCTION("""COMPUTED_VALUE"""),0.0)</f>
        <v>0</v>
      </c>
    </row>
    <row r="2677">
      <c r="A2677">
        <f>IFERROR(__xludf.DUMMYFUNCTION("""COMPUTED_VALUE"""),174751.0)</f>
        <v>174751</v>
      </c>
      <c r="B2677" t="str">
        <f>IFERROR(__xludf.DUMMYFUNCTION("""COMPUTED_VALUE"""),"Beef New Zealand Imported Striploin Separable Lean And Fat Cooked Fast Fried")</f>
        <v>Beef New Zealand Imported Striploin Separable Lean And Fat Cooked Fast Fried</v>
      </c>
      <c r="C2677" t="str">
        <f>IFERROR(__xludf.DUMMYFUNCTION("""COMPUTED_VALUE"""),"Meats")</f>
        <v>Meats</v>
      </c>
      <c r="D2677">
        <f>IFERROR(__xludf.DUMMYFUNCTION("""COMPUTED_VALUE"""),301.0)</f>
        <v>301</v>
      </c>
      <c r="E2677">
        <f>IFERROR(__xludf.DUMMYFUNCTION("""COMPUTED_VALUE"""),22.33)</f>
        <v>22.33</v>
      </c>
      <c r="F2677">
        <f>IFERROR(__xludf.DUMMYFUNCTION("""COMPUTED_VALUE"""),24.89)</f>
        <v>24.89</v>
      </c>
      <c r="G2677">
        <f>IFERROR(__xludf.DUMMYFUNCTION("""COMPUTED_VALUE"""),0.02)</f>
        <v>0.02</v>
      </c>
    </row>
    <row r="2678">
      <c r="A2678">
        <f>IFERROR(__xludf.DUMMYFUNCTION("""COMPUTED_VALUE"""),174752.0)</f>
        <v>174752</v>
      </c>
      <c r="B2678" t="str">
        <f>IFERROR(__xludf.DUMMYFUNCTION("""COMPUTED_VALUE"""),"Broiled Ground Beef Patty (93% Lean)")</f>
        <v>Broiled Ground Beef Patty (93% Lean)</v>
      </c>
      <c r="C2678" t="str">
        <f>IFERROR(__xludf.DUMMYFUNCTION("""COMPUTED_VALUE"""),"Meats")</f>
        <v>Meats</v>
      </c>
      <c r="D2678">
        <f>IFERROR(__xludf.DUMMYFUNCTION("""COMPUTED_VALUE"""),193.0)</f>
        <v>193</v>
      </c>
      <c r="E2678">
        <f>IFERROR(__xludf.DUMMYFUNCTION("""COMPUTED_VALUE"""),8.94)</f>
        <v>8.94</v>
      </c>
      <c r="F2678">
        <f>IFERROR(__xludf.DUMMYFUNCTION("""COMPUTED_VALUE"""),26.22)</f>
        <v>26.22</v>
      </c>
      <c r="G2678">
        <f>IFERROR(__xludf.DUMMYFUNCTION("""COMPUTED_VALUE"""),0.0)</f>
        <v>0</v>
      </c>
    </row>
    <row r="2679">
      <c r="A2679">
        <f>IFERROR(__xludf.DUMMYFUNCTION("""COMPUTED_VALUE"""),174753.0)</f>
        <v>174753</v>
      </c>
      <c r="B2679" t="str">
        <f>IFERROR(__xludf.DUMMYFUNCTION("""COMPUTED_VALUE"""),"Beef Ground 93% Lean Meat /7% Fat Patty Cooked Pan-Broiled")</f>
        <v>Beef Ground 93% Lean Meat /7% Fat Patty Cooked Pan-Broiled</v>
      </c>
      <c r="C2679" t="str">
        <f>IFERROR(__xludf.DUMMYFUNCTION("""COMPUTED_VALUE"""),"Meats")</f>
        <v>Meats</v>
      </c>
      <c r="D2679">
        <f>IFERROR(__xludf.DUMMYFUNCTION("""COMPUTED_VALUE"""),182.0)</f>
        <v>182</v>
      </c>
      <c r="E2679">
        <f>IFERROR(__xludf.DUMMYFUNCTION("""COMPUTED_VALUE"""),8.01)</f>
        <v>8.01</v>
      </c>
      <c r="F2679">
        <f>IFERROR(__xludf.DUMMYFUNCTION("""COMPUTED_VALUE"""),25.56)</f>
        <v>25.56</v>
      </c>
      <c r="G2679">
        <f>IFERROR(__xludf.DUMMYFUNCTION("""COMPUTED_VALUE"""),0.06)</f>
        <v>0.06</v>
      </c>
    </row>
    <row r="2680">
      <c r="A2680">
        <f>IFERROR(__xludf.DUMMYFUNCTION("""COMPUTED_VALUE"""),174754.0)</f>
        <v>174754</v>
      </c>
      <c r="B2680" t="str">
        <f>IFERROR(__xludf.DUMMYFUNCTION("""COMPUTED_VALUE"""),"Beef Ground 93% Lean Meat / 7% Fat Loaf Cooked Baked")</f>
        <v>Beef Ground 93% Lean Meat / 7% Fat Loaf Cooked Baked</v>
      </c>
      <c r="C2680" t="str">
        <f>IFERROR(__xludf.DUMMYFUNCTION("""COMPUTED_VALUE"""),"Meats")</f>
        <v>Meats</v>
      </c>
      <c r="D2680">
        <f>IFERROR(__xludf.DUMMYFUNCTION("""COMPUTED_VALUE"""),192.0)</f>
        <v>192</v>
      </c>
      <c r="E2680">
        <f>IFERROR(__xludf.DUMMYFUNCTION("""COMPUTED_VALUE"""),8.43)</f>
        <v>8.43</v>
      </c>
      <c r="F2680">
        <f>IFERROR(__xludf.DUMMYFUNCTION("""COMPUTED_VALUE"""),27.03)</f>
        <v>27.03</v>
      </c>
      <c r="G2680">
        <f>IFERROR(__xludf.DUMMYFUNCTION("""COMPUTED_VALUE"""),0.0)</f>
        <v>0</v>
      </c>
    </row>
    <row r="2681">
      <c r="A2681">
        <f>IFERROR(__xludf.DUMMYFUNCTION("""COMPUTED_VALUE"""),174755.0)</f>
        <v>174755</v>
      </c>
      <c r="B2681" t="str">
        <f>IFERROR(__xludf.DUMMYFUNCTION("""COMPUTED_VALUE"""),"Beef Ground 93% Lean Meat / 7% Fat Crumbles Cooked Pan-Browned")</f>
        <v>Beef Ground 93% Lean Meat / 7% Fat Crumbles Cooked Pan-Browned</v>
      </c>
      <c r="C2681" t="str">
        <f>IFERROR(__xludf.DUMMYFUNCTION("""COMPUTED_VALUE"""),"Meats")</f>
        <v>Meats</v>
      </c>
      <c r="D2681">
        <f>IFERROR(__xludf.DUMMYFUNCTION("""COMPUTED_VALUE"""),209.0)</f>
        <v>209</v>
      </c>
      <c r="E2681">
        <f>IFERROR(__xludf.DUMMYFUNCTION("""COMPUTED_VALUE"""),9.51)</f>
        <v>9.51</v>
      </c>
      <c r="F2681">
        <f>IFERROR(__xludf.DUMMYFUNCTION("""COMPUTED_VALUE"""),28.88)</f>
        <v>28.88</v>
      </c>
      <c r="G2681">
        <f>IFERROR(__xludf.DUMMYFUNCTION("""COMPUTED_VALUE"""),0.0)</f>
        <v>0</v>
      </c>
    </row>
    <row r="2682">
      <c r="A2682">
        <f>IFERROR(__xludf.DUMMYFUNCTION("""COMPUTED_VALUE"""),174756.0)</f>
        <v>174756</v>
      </c>
      <c r="B2682" t="str">
        <f>IFERROR(__xludf.DUMMYFUNCTION("""COMPUTED_VALUE"""),"Beef Ground 97% Lean Meat / 3% Fat Crumbles Cooked Pan-Browned")</f>
        <v>Beef Ground 97% Lean Meat / 3% Fat Crumbles Cooked Pan-Browned</v>
      </c>
      <c r="C2682" t="str">
        <f>IFERROR(__xludf.DUMMYFUNCTION("""COMPUTED_VALUE"""),"Meats")</f>
        <v>Meats</v>
      </c>
      <c r="D2682">
        <f>IFERROR(__xludf.DUMMYFUNCTION("""COMPUTED_VALUE"""),175.0)</f>
        <v>175</v>
      </c>
      <c r="E2682">
        <f>IFERROR(__xludf.DUMMYFUNCTION("""COMPUTED_VALUE"""),5.46)</f>
        <v>5.46</v>
      </c>
      <c r="F2682">
        <f>IFERROR(__xludf.DUMMYFUNCTION("""COMPUTED_VALUE"""),29.46)</f>
        <v>29.46</v>
      </c>
      <c r="G2682">
        <f>IFERROR(__xludf.DUMMYFUNCTION("""COMPUTED_VALUE"""),0.0)</f>
        <v>0</v>
      </c>
    </row>
    <row r="2683">
      <c r="A2683">
        <f>IFERROR(__xludf.DUMMYFUNCTION("""COMPUTED_VALUE"""),174757.0)</f>
        <v>174757</v>
      </c>
      <c r="B2683" t="str">
        <f>IFERROR(__xludf.DUMMYFUNCTION("""COMPUTED_VALUE"""),"Beef Composite Of Trimmed Retail Cuts Separable Lean And Fat Trimmed To 0 Inch Fat All Grades Raw")</f>
        <v>Beef Composite Of Trimmed Retail Cuts Separable Lean And Fat Trimmed To 0 Inch Fat All Grades Raw</v>
      </c>
      <c r="C2683" t="str">
        <f>IFERROR(__xludf.DUMMYFUNCTION("""COMPUTED_VALUE"""),"Meats")</f>
        <v>Meats</v>
      </c>
      <c r="D2683">
        <f>IFERROR(__xludf.DUMMYFUNCTION("""COMPUTED_VALUE"""),167.0)</f>
        <v>167</v>
      </c>
      <c r="E2683">
        <f>IFERROR(__xludf.DUMMYFUNCTION("""COMPUTED_VALUE"""),9.3)</f>
        <v>9.3</v>
      </c>
      <c r="F2683">
        <f>IFERROR(__xludf.DUMMYFUNCTION("""COMPUTED_VALUE"""),20.95)</f>
        <v>20.95</v>
      </c>
      <c r="G2683">
        <f>IFERROR(__xludf.DUMMYFUNCTION("""COMPUTED_VALUE"""),0.0)</f>
        <v>0</v>
      </c>
    </row>
    <row r="2684">
      <c r="A2684">
        <f>IFERROR(__xludf.DUMMYFUNCTION("""COMPUTED_VALUE"""),174758.0)</f>
        <v>174758</v>
      </c>
      <c r="B2684" t="str">
        <f>IFERROR(__xludf.DUMMYFUNCTION("""COMPUTED_VALUE"""),"Beef Composite Of Trimmed Retail Cuts Separable Lean Only Trimmed To 1/8 Inch Fat All Grades Raw")</f>
        <v>Beef Composite Of Trimmed Retail Cuts Separable Lean Only Trimmed To 1/8 Inch Fat All Grades Raw</v>
      </c>
      <c r="C2684" t="str">
        <f>IFERROR(__xludf.DUMMYFUNCTION("""COMPUTED_VALUE"""),"Meats")</f>
        <v>Meats</v>
      </c>
      <c r="D2684">
        <f>IFERROR(__xludf.DUMMYFUNCTION("""COMPUTED_VALUE"""),140.0)</f>
        <v>140</v>
      </c>
      <c r="E2684">
        <f>IFERROR(__xludf.DUMMYFUNCTION("""COMPUTED_VALUE"""),5.38)</f>
        <v>5.38</v>
      </c>
      <c r="F2684">
        <f>IFERROR(__xludf.DUMMYFUNCTION("""COMPUTED_VALUE"""),22.15)</f>
        <v>22.15</v>
      </c>
      <c r="G2684">
        <f>IFERROR(__xludf.DUMMYFUNCTION("""COMPUTED_VALUE"""),0.0)</f>
        <v>0</v>
      </c>
    </row>
    <row r="2685">
      <c r="A2685">
        <f>IFERROR(__xludf.DUMMYFUNCTION("""COMPUTED_VALUE"""),174759.0)</f>
        <v>174759</v>
      </c>
      <c r="B2685" t="str">
        <f>IFERROR(__xludf.DUMMYFUNCTION("""COMPUTED_VALUE"""),"Beef Composite Of Trimmed Retail Cuts Separable Lean Only Trimmed To 1/8 Inch Fat All Grades Cooked")</f>
        <v>Beef Composite Of Trimmed Retail Cuts Separable Lean Only Trimmed To 1/8 Inch Fat All Grades Cooked</v>
      </c>
      <c r="C2685" t="str">
        <f>IFERROR(__xludf.DUMMYFUNCTION("""COMPUTED_VALUE"""),"Meats")</f>
        <v>Meats</v>
      </c>
      <c r="D2685">
        <f>IFERROR(__xludf.DUMMYFUNCTION("""COMPUTED_VALUE"""),194.0)</f>
        <v>194</v>
      </c>
      <c r="E2685">
        <f>IFERROR(__xludf.DUMMYFUNCTION("""COMPUTED_VALUE"""),8.15)</f>
        <v>8.15</v>
      </c>
      <c r="F2685">
        <f>IFERROR(__xludf.DUMMYFUNCTION("""COMPUTED_VALUE"""),28.95)</f>
        <v>28.95</v>
      </c>
      <c r="G2685">
        <f>IFERROR(__xludf.DUMMYFUNCTION("""COMPUTED_VALUE"""),0.0)</f>
        <v>0</v>
      </c>
    </row>
    <row r="2686">
      <c r="A2686">
        <f>IFERROR(__xludf.DUMMYFUNCTION("""COMPUTED_VALUE"""),174760.0)</f>
        <v>174760</v>
      </c>
      <c r="B2686" t="str">
        <f>IFERROR(__xludf.DUMMYFUNCTION("""COMPUTED_VALUE"""),"Beef Composite Of Trimmed Retail Cuts Separable Lean Only Trimmed To 0 Inch Fat All Grades Raw")</f>
        <v>Beef Composite Of Trimmed Retail Cuts Separable Lean Only Trimmed To 0 Inch Fat All Grades Raw</v>
      </c>
      <c r="C2686" t="str">
        <f>IFERROR(__xludf.DUMMYFUNCTION("""COMPUTED_VALUE"""),"Meats")</f>
        <v>Meats</v>
      </c>
      <c r="D2686">
        <f>IFERROR(__xludf.DUMMYFUNCTION("""COMPUTED_VALUE"""),138.0)</f>
        <v>138</v>
      </c>
      <c r="E2686">
        <f>IFERROR(__xludf.DUMMYFUNCTION("""COMPUTED_VALUE"""),5.54)</f>
        <v>5.54</v>
      </c>
      <c r="F2686">
        <f>IFERROR(__xludf.DUMMYFUNCTION("""COMPUTED_VALUE"""),22.15)</f>
        <v>22.15</v>
      </c>
      <c r="G2686">
        <f>IFERROR(__xludf.DUMMYFUNCTION("""COMPUTED_VALUE"""),0.0)</f>
        <v>0</v>
      </c>
    </row>
    <row r="2687">
      <c r="A2687">
        <f>IFERROR(__xludf.DUMMYFUNCTION("""COMPUTED_VALUE"""),174761.0)</f>
        <v>174761</v>
      </c>
      <c r="B2687" t="str">
        <f>IFERROR(__xludf.DUMMYFUNCTION("""COMPUTED_VALUE"""),"Beef Rib Small End (Ribs 10-12) Separable Lean Only Trimmed To 1/8 Inch Fat Choice Raw")</f>
        <v>Beef Rib Small End (Ribs 10-12) Separable Lean Only Trimmed To 1/8 Inch Fat Choice Raw</v>
      </c>
      <c r="C2687" t="str">
        <f>IFERROR(__xludf.DUMMYFUNCTION("""COMPUTED_VALUE"""),"Meats")</f>
        <v>Meats</v>
      </c>
      <c r="D2687">
        <f>IFERROR(__xludf.DUMMYFUNCTION("""COMPUTED_VALUE"""),148.0)</f>
        <v>148</v>
      </c>
      <c r="E2687">
        <f>IFERROR(__xludf.DUMMYFUNCTION("""COMPUTED_VALUE"""),5.91)</f>
        <v>5.91</v>
      </c>
      <c r="F2687">
        <f>IFERROR(__xludf.DUMMYFUNCTION("""COMPUTED_VALUE"""),22.12)</f>
        <v>22.12</v>
      </c>
      <c r="G2687">
        <f>IFERROR(__xludf.DUMMYFUNCTION("""COMPUTED_VALUE"""),0.0)</f>
        <v>0</v>
      </c>
    </row>
    <row r="2688">
      <c r="A2688">
        <f>IFERROR(__xludf.DUMMYFUNCTION("""COMPUTED_VALUE"""),174762.0)</f>
        <v>174762</v>
      </c>
      <c r="B2688" t="str">
        <f>IFERROR(__xludf.DUMMYFUNCTION("""COMPUTED_VALUE"""),"Beef Tenderloin Steak Separable Lean Only Trimmed To 1/8 Inch Fat Choice Raw")</f>
        <v>Beef Tenderloin Steak Separable Lean Only Trimmed To 1/8 Inch Fat Choice Raw</v>
      </c>
      <c r="C2688" t="str">
        <f>IFERROR(__xludf.DUMMYFUNCTION("""COMPUTED_VALUE"""),"Meats")</f>
        <v>Meats</v>
      </c>
      <c r="D2688">
        <f>IFERROR(__xludf.DUMMYFUNCTION("""COMPUTED_VALUE"""),158.0)</f>
        <v>158</v>
      </c>
      <c r="E2688">
        <f>IFERROR(__xludf.DUMMYFUNCTION("""COMPUTED_VALUE"""),7.07)</f>
        <v>7.07</v>
      </c>
      <c r="F2688">
        <f>IFERROR(__xludf.DUMMYFUNCTION("""COMPUTED_VALUE"""),22.17)</f>
        <v>22.17</v>
      </c>
      <c r="G2688">
        <f>IFERROR(__xludf.DUMMYFUNCTION("""COMPUTED_VALUE"""),0.0)</f>
        <v>0</v>
      </c>
    </row>
    <row r="2689">
      <c r="A2689">
        <f>IFERROR(__xludf.DUMMYFUNCTION("""COMPUTED_VALUE"""),174763.0)</f>
        <v>174763</v>
      </c>
      <c r="B2689" t="str">
        <f>IFERROR(__xludf.DUMMYFUNCTION("""COMPUTED_VALUE"""),"Beef Top Sirloin Steak Separable Lean Only Trimmed To 1/8 Inch Fat Choice Raw")</f>
        <v>Beef Top Sirloin Steak Separable Lean Only Trimmed To 1/8 Inch Fat Choice Raw</v>
      </c>
      <c r="C2689" t="str">
        <f>IFERROR(__xludf.DUMMYFUNCTION("""COMPUTED_VALUE"""),"Meats")</f>
        <v>Meats</v>
      </c>
      <c r="D2689">
        <f>IFERROR(__xludf.DUMMYFUNCTION("""COMPUTED_VALUE"""),135.0)</f>
        <v>135</v>
      </c>
      <c r="E2689">
        <f>IFERROR(__xludf.DUMMYFUNCTION("""COMPUTED_VALUE"""),4.62)</f>
        <v>4.62</v>
      </c>
      <c r="F2689">
        <f>IFERROR(__xludf.DUMMYFUNCTION("""COMPUTED_VALUE"""),21.91)</f>
        <v>21.91</v>
      </c>
      <c r="G2689">
        <f>IFERROR(__xludf.DUMMYFUNCTION("""COMPUTED_VALUE"""),0.0)</f>
        <v>0</v>
      </c>
    </row>
    <row r="2690">
      <c r="A2690">
        <f>IFERROR(__xludf.DUMMYFUNCTION("""COMPUTED_VALUE"""),174764.0)</f>
        <v>174764</v>
      </c>
      <c r="B2690" t="str">
        <f>IFERROR(__xludf.DUMMYFUNCTION("""COMPUTED_VALUE"""),"Beef Rib Small End (Ribs 10-12) Separable Lean Only Trimmed To 1/8 Inchfat Choice Cooked Broiled")</f>
        <v>Beef Rib Small End (Ribs 10-12) Separable Lean Only Trimmed To 1/8 Inchfat Choice Cooked Broiled</v>
      </c>
      <c r="C2690" t="str">
        <f>IFERROR(__xludf.DUMMYFUNCTION("""COMPUTED_VALUE"""),"Meats")</f>
        <v>Meats</v>
      </c>
      <c r="D2690">
        <f>IFERROR(__xludf.DUMMYFUNCTION("""COMPUTED_VALUE"""),202.0)</f>
        <v>202</v>
      </c>
      <c r="E2690">
        <f>IFERROR(__xludf.DUMMYFUNCTION("""COMPUTED_VALUE"""),9.05)</f>
        <v>9.05</v>
      </c>
      <c r="F2690">
        <f>IFERROR(__xludf.DUMMYFUNCTION("""COMPUTED_VALUE"""),28.29)</f>
        <v>28.29</v>
      </c>
      <c r="G2690">
        <f>IFERROR(__xludf.DUMMYFUNCTION("""COMPUTED_VALUE"""),0.0)</f>
        <v>0</v>
      </c>
    </row>
    <row r="2691">
      <c r="A2691">
        <f>IFERROR(__xludf.DUMMYFUNCTION("""COMPUTED_VALUE"""),174765.0)</f>
        <v>174765</v>
      </c>
      <c r="B2691" t="str">
        <f>IFERROR(__xludf.DUMMYFUNCTION("""COMPUTED_VALUE"""),"Beef Chuck Arm Pot Roast Separable Lean Only Trimmed To 1/8 Inch Fat Select Raw")</f>
        <v>Beef Chuck Arm Pot Roast Separable Lean Only Trimmed To 1/8 Inch Fat Select Raw</v>
      </c>
      <c r="C2691" t="str">
        <f>IFERROR(__xludf.DUMMYFUNCTION("""COMPUTED_VALUE"""),"Meats")</f>
        <v>Meats</v>
      </c>
      <c r="D2691">
        <f>IFERROR(__xludf.DUMMYFUNCTION("""COMPUTED_VALUE"""),125.0)</f>
        <v>125</v>
      </c>
      <c r="E2691">
        <f>IFERROR(__xludf.DUMMYFUNCTION("""COMPUTED_VALUE"""),3.32)</f>
        <v>3.32</v>
      </c>
      <c r="F2691">
        <f>IFERROR(__xludf.DUMMYFUNCTION("""COMPUTED_VALUE"""),22.26)</f>
        <v>22.26</v>
      </c>
      <c r="G2691">
        <f>IFERROR(__xludf.DUMMYFUNCTION("""COMPUTED_VALUE"""),0.0)</f>
        <v>0</v>
      </c>
    </row>
    <row r="2692">
      <c r="A2692">
        <f>IFERROR(__xludf.DUMMYFUNCTION("""COMPUTED_VALUE"""),174766.0)</f>
        <v>174766</v>
      </c>
      <c r="B2692" t="str">
        <f>IFERROR(__xludf.DUMMYFUNCTION("""COMPUTED_VALUE"""),"Beef Brisket Flat Half Separable Lean Only Trimmed To 1/8 Inch Fat Select Raw")</f>
        <v>Beef Brisket Flat Half Separable Lean Only Trimmed To 1/8 Inch Fat Select Raw</v>
      </c>
      <c r="C2692" t="str">
        <f>IFERROR(__xludf.DUMMYFUNCTION("""COMPUTED_VALUE"""),"Meats")</f>
        <v>Meats</v>
      </c>
      <c r="D2692">
        <f>IFERROR(__xludf.DUMMYFUNCTION("""COMPUTED_VALUE"""),124.0)</f>
        <v>124</v>
      </c>
      <c r="E2692">
        <f>IFERROR(__xludf.DUMMYFUNCTION("""COMPUTED_VALUE"""),3.61)</f>
        <v>3.61</v>
      </c>
      <c r="F2692">
        <f>IFERROR(__xludf.DUMMYFUNCTION("""COMPUTED_VALUE"""),21.45)</f>
        <v>21.45</v>
      </c>
      <c r="G2692">
        <f>IFERROR(__xludf.DUMMYFUNCTION("""COMPUTED_VALUE"""),0.0)</f>
        <v>0</v>
      </c>
    </row>
    <row r="2693">
      <c r="A2693">
        <f>IFERROR(__xludf.DUMMYFUNCTION("""COMPUTED_VALUE"""),174767.0)</f>
        <v>174767</v>
      </c>
      <c r="B2693" t="str">
        <f>IFERROR(__xludf.DUMMYFUNCTION("""COMPUTED_VALUE"""),"Beef Chuck Arm Pot Roast Separable Lean Only Trimmed To 1/8 Inch Fat Select Cooked Braised")</f>
        <v>Beef Chuck Arm Pot Roast Separable Lean Only Trimmed To 1/8 Inch Fat Select Cooked Braised</v>
      </c>
      <c r="C2693" t="str">
        <f>IFERROR(__xludf.DUMMYFUNCTION("""COMPUTED_VALUE"""),"Meats")</f>
        <v>Meats</v>
      </c>
      <c r="D2693">
        <f>IFERROR(__xludf.DUMMYFUNCTION("""COMPUTED_VALUE"""),205.0)</f>
        <v>205</v>
      </c>
      <c r="E2693">
        <f>IFERROR(__xludf.DUMMYFUNCTION("""COMPUTED_VALUE"""),6.35)</f>
        <v>6.35</v>
      </c>
      <c r="F2693">
        <f>IFERROR(__xludf.DUMMYFUNCTION("""COMPUTED_VALUE"""),34.6)</f>
        <v>34.6</v>
      </c>
      <c r="G2693">
        <f>IFERROR(__xludf.DUMMYFUNCTION("""COMPUTED_VALUE"""),0.0)</f>
        <v>0</v>
      </c>
    </row>
    <row r="2694">
      <c r="A2694">
        <f>IFERROR(__xludf.DUMMYFUNCTION("""COMPUTED_VALUE"""),174768.0)</f>
        <v>174768</v>
      </c>
      <c r="B2694" t="str">
        <f>IFERROR(__xludf.DUMMYFUNCTION("""COMPUTED_VALUE"""),"Beef Brisket Flat Half Separable Lean Only Trimmed To 1/8 Inch Fat Select Cooked Braised")</f>
        <v>Beef Brisket Flat Half Separable Lean Only Trimmed To 1/8 Inch Fat Select Cooked Braised</v>
      </c>
      <c r="C2694" t="str">
        <f>IFERROR(__xludf.DUMMYFUNCTION("""COMPUTED_VALUE"""),"Meats")</f>
        <v>Meats</v>
      </c>
      <c r="D2694">
        <f>IFERROR(__xludf.DUMMYFUNCTION("""COMPUTED_VALUE"""),189.0)</f>
        <v>189</v>
      </c>
      <c r="E2694">
        <f>IFERROR(__xludf.DUMMYFUNCTION("""COMPUTED_VALUE"""),5.21)</f>
        <v>5.21</v>
      </c>
      <c r="F2694">
        <f>IFERROR(__xludf.DUMMYFUNCTION("""COMPUTED_VALUE"""),33.18)</f>
        <v>33.18</v>
      </c>
      <c r="G2694">
        <f>IFERROR(__xludf.DUMMYFUNCTION("""COMPUTED_VALUE"""),0.0)</f>
        <v>0</v>
      </c>
    </row>
    <row r="2695">
      <c r="A2695">
        <f>IFERROR(__xludf.DUMMYFUNCTION("""COMPUTED_VALUE"""),174769.0)</f>
        <v>174769</v>
      </c>
      <c r="B2695" t="str">
        <f>IFERROR(__xludf.DUMMYFUNCTION("""COMPUTED_VALUE"""),"Beef Variety Meats And By-Products Tripe Cooked Simmered")</f>
        <v>Beef Variety Meats And By-Products Tripe Cooked Simmered</v>
      </c>
      <c r="C2695" t="str">
        <f>IFERROR(__xludf.DUMMYFUNCTION("""COMPUTED_VALUE"""),"Meats")</f>
        <v>Meats</v>
      </c>
      <c r="D2695">
        <f>IFERROR(__xludf.DUMMYFUNCTION("""COMPUTED_VALUE"""),94.0)</f>
        <v>94</v>
      </c>
      <c r="E2695">
        <f>IFERROR(__xludf.DUMMYFUNCTION("""COMPUTED_VALUE"""),4.05)</f>
        <v>4.05</v>
      </c>
      <c r="F2695">
        <f>IFERROR(__xludf.DUMMYFUNCTION("""COMPUTED_VALUE"""),11.71)</f>
        <v>11.71</v>
      </c>
      <c r="G2695">
        <f>IFERROR(__xludf.DUMMYFUNCTION("""COMPUTED_VALUE"""),1.99)</f>
        <v>1.99</v>
      </c>
    </row>
    <row r="2696">
      <c r="A2696">
        <f>IFERROR(__xludf.DUMMYFUNCTION("""COMPUTED_VALUE"""),174770.0)</f>
        <v>174770</v>
      </c>
      <c r="B2696" t="str">
        <f>IFERROR(__xludf.DUMMYFUNCTION("""COMPUTED_VALUE"""),"Beef Bottom Sirloin Tri-Tip Roast Separable Lean Only Trimmed To 0 Inch Fat All Grades Raw")</f>
        <v>Beef Bottom Sirloin Tri-Tip Roast Separable Lean Only Trimmed To 0 Inch Fat All Grades Raw</v>
      </c>
      <c r="C2696" t="str">
        <f>IFERROR(__xludf.DUMMYFUNCTION("""COMPUTED_VALUE"""),"Meats")</f>
        <v>Meats</v>
      </c>
      <c r="D2696">
        <f>IFERROR(__xludf.DUMMYFUNCTION("""COMPUTED_VALUE"""),142.0)</f>
        <v>142</v>
      </c>
      <c r="E2696">
        <f>IFERROR(__xludf.DUMMYFUNCTION("""COMPUTED_VALUE"""),5.63)</f>
        <v>5.63</v>
      </c>
      <c r="F2696">
        <f>IFERROR(__xludf.DUMMYFUNCTION("""COMPUTED_VALUE"""),21.26)</f>
        <v>21.26</v>
      </c>
      <c r="G2696">
        <f>IFERROR(__xludf.DUMMYFUNCTION("""COMPUTED_VALUE"""),0.0)</f>
        <v>0</v>
      </c>
    </row>
    <row r="2697">
      <c r="A2697">
        <f>IFERROR(__xludf.DUMMYFUNCTION("""COMPUTED_VALUE"""),174771.0)</f>
        <v>174771</v>
      </c>
      <c r="B2697" t="str">
        <f>IFERROR(__xludf.DUMMYFUNCTION("""COMPUTED_VALUE"""),"Beef Bottom Sirloin Tri-Tip Roast Separable Lean Only Trimmed To 0 Inch Fat Choice Cooked Roasted")</f>
        <v>Beef Bottom Sirloin Tri-Tip Roast Separable Lean Only Trimmed To 0 Inch Fat Choice Cooked Roasted</v>
      </c>
      <c r="C2697" t="str">
        <f>IFERROR(__xludf.DUMMYFUNCTION("""COMPUTED_VALUE"""),"Meats")</f>
        <v>Meats</v>
      </c>
      <c r="D2697">
        <f>IFERROR(__xludf.DUMMYFUNCTION("""COMPUTED_VALUE"""),193.0)</f>
        <v>193</v>
      </c>
      <c r="E2697">
        <f>IFERROR(__xludf.DUMMYFUNCTION("""COMPUTED_VALUE"""),9.73)</f>
        <v>9.73</v>
      </c>
      <c r="F2697">
        <f>IFERROR(__xludf.DUMMYFUNCTION("""COMPUTED_VALUE"""),26.34)</f>
        <v>26.34</v>
      </c>
      <c r="G2697">
        <f>IFERROR(__xludf.DUMMYFUNCTION("""COMPUTED_VALUE"""),0.0)</f>
        <v>0</v>
      </c>
    </row>
    <row r="2698">
      <c r="A2698">
        <f>IFERROR(__xludf.DUMMYFUNCTION("""COMPUTED_VALUE"""),174772.0)</f>
        <v>174772</v>
      </c>
      <c r="B2698" t="str">
        <f>IFERROR(__xludf.DUMMYFUNCTION("""COMPUTED_VALUE"""),"Beef Bottom Sirloin Tri-Tip Roast Separable Lean Only Trimmed To 0 Inch Fat Choice Raw")</f>
        <v>Beef Bottom Sirloin Tri-Tip Roast Separable Lean Only Trimmed To 0 Inch Fat Choice Raw</v>
      </c>
      <c r="C2698" t="str">
        <f>IFERROR(__xludf.DUMMYFUNCTION("""COMPUTED_VALUE"""),"Meats")</f>
        <v>Meats</v>
      </c>
      <c r="D2698">
        <f>IFERROR(__xludf.DUMMYFUNCTION("""COMPUTED_VALUE"""),154.0)</f>
        <v>154</v>
      </c>
      <c r="E2698">
        <f>IFERROR(__xludf.DUMMYFUNCTION("""COMPUTED_VALUE"""),7.06)</f>
        <v>7.06</v>
      </c>
      <c r="F2698">
        <f>IFERROR(__xludf.DUMMYFUNCTION("""COMPUTED_VALUE"""),21.17)</f>
        <v>21.17</v>
      </c>
      <c r="G2698">
        <f>IFERROR(__xludf.DUMMYFUNCTION("""COMPUTED_VALUE"""),0.0)</f>
        <v>0</v>
      </c>
    </row>
    <row r="2699">
      <c r="A2699">
        <f>IFERROR(__xludf.DUMMYFUNCTION("""COMPUTED_VALUE"""),174773.0)</f>
        <v>174773</v>
      </c>
      <c r="B2699" t="str">
        <f>IFERROR(__xludf.DUMMYFUNCTION("""COMPUTED_VALUE"""),"Beef Bottom Sirloin Tri-Tip Roast Separable Lean Only Trimmed To 0 Inch Fat Select Cooked Roasted")</f>
        <v>Beef Bottom Sirloin Tri-Tip Roast Separable Lean Only Trimmed To 0 Inch Fat Select Cooked Roasted</v>
      </c>
      <c r="C2699" t="str">
        <f>IFERROR(__xludf.DUMMYFUNCTION("""COMPUTED_VALUE"""),"Meats")</f>
        <v>Meats</v>
      </c>
      <c r="D2699">
        <f>IFERROR(__xludf.DUMMYFUNCTION("""COMPUTED_VALUE"""),179.0)</f>
        <v>179</v>
      </c>
      <c r="E2699">
        <f>IFERROR(__xludf.DUMMYFUNCTION("""COMPUTED_VALUE"""),6.95)</f>
        <v>6.95</v>
      </c>
      <c r="F2699">
        <f>IFERROR(__xludf.DUMMYFUNCTION("""COMPUTED_VALUE"""),27.17)</f>
        <v>27.17</v>
      </c>
      <c r="G2699">
        <f>IFERROR(__xludf.DUMMYFUNCTION("""COMPUTED_VALUE"""),0.0)</f>
        <v>0</v>
      </c>
    </row>
    <row r="2700">
      <c r="A2700">
        <f>IFERROR(__xludf.DUMMYFUNCTION("""COMPUTED_VALUE"""),174774.0)</f>
        <v>174774</v>
      </c>
      <c r="B2700" t="str">
        <f>IFERROR(__xludf.DUMMYFUNCTION("""COMPUTED_VALUE"""),"Beef Flank Steak Separable Lean Only Trimmed To 0 Inch Fat All Grades Cooked Broiled")</f>
        <v>Beef Flank Steak Separable Lean Only Trimmed To 0 Inch Fat All Grades Cooked Broiled</v>
      </c>
      <c r="C2700" t="str">
        <f>IFERROR(__xludf.DUMMYFUNCTION("""COMPUTED_VALUE"""),"Meats")</f>
        <v>Meats</v>
      </c>
      <c r="D2700">
        <f>IFERROR(__xludf.DUMMYFUNCTION("""COMPUTED_VALUE"""),186.0)</f>
        <v>186</v>
      </c>
      <c r="E2700">
        <f>IFERROR(__xludf.DUMMYFUNCTION("""COMPUTED_VALUE"""),7.4)</f>
        <v>7.4</v>
      </c>
      <c r="F2700">
        <f>IFERROR(__xludf.DUMMYFUNCTION("""COMPUTED_VALUE"""),27.89)</f>
        <v>27.89</v>
      </c>
      <c r="G2700">
        <f>IFERROR(__xludf.DUMMYFUNCTION("""COMPUTED_VALUE"""),0.0)</f>
        <v>0</v>
      </c>
    </row>
    <row r="2701">
      <c r="A2701">
        <f>IFERROR(__xludf.DUMMYFUNCTION("""COMPUTED_VALUE"""),174775.0)</f>
        <v>174775</v>
      </c>
      <c r="B2701" t="str">
        <f>IFERROR(__xludf.DUMMYFUNCTION("""COMPUTED_VALUE"""),"Beef Flank Steak Separable Lean Only Trimmed To 0 Inch Fat Select Cooked Broiled")</f>
        <v>Beef Flank Steak Separable Lean Only Trimmed To 0 Inch Fat Select Cooked Broiled</v>
      </c>
      <c r="C2701" t="str">
        <f>IFERROR(__xludf.DUMMYFUNCTION("""COMPUTED_VALUE"""),"Meats")</f>
        <v>Meats</v>
      </c>
      <c r="D2701">
        <f>IFERROR(__xludf.DUMMYFUNCTION("""COMPUTED_VALUE"""),178.0)</f>
        <v>178</v>
      </c>
      <c r="E2701">
        <f>IFERROR(__xludf.DUMMYFUNCTION("""COMPUTED_VALUE"""),6.48)</f>
        <v>6.48</v>
      </c>
      <c r="F2701">
        <f>IFERROR(__xludf.DUMMYFUNCTION("""COMPUTED_VALUE"""),27.96)</f>
        <v>27.96</v>
      </c>
      <c r="G2701">
        <f>IFERROR(__xludf.DUMMYFUNCTION("""COMPUTED_VALUE"""),0.0)</f>
        <v>0</v>
      </c>
    </row>
    <row r="2702">
      <c r="A2702">
        <f>IFERROR(__xludf.DUMMYFUNCTION("""COMPUTED_VALUE"""),174776.0)</f>
        <v>174776</v>
      </c>
      <c r="B2702" t="str">
        <f>IFERROR(__xludf.DUMMYFUNCTION("""COMPUTED_VALUE"""),"Beef Flank Steak Separable Lean Only Trimmed To 0 Inch Fat All Grades Raw")</f>
        <v>Beef Flank Steak Separable Lean Only Trimmed To 0 Inch Fat All Grades Raw</v>
      </c>
      <c r="C2702" t="str">
        <f>IFERROR(__xludf.DUMMYFUNCTION("""COMPUTED_VALUE"""),"Meats")</f>
        <v>Meats</v>
      </c>
      <c r="D2702">
        <f>IFERROR(__xludf.DUMMYFUNCTION("""COMPUTED_VALUE"""),141.0)</f>
        <v>141</v>
      </c>
      <c r="E2702">
        <f>IFERROR(__xludf.DUMMYFUNCTION("""COMPUTED_VALUE"""),5.47)</f>
        <v>5.47</v>
      </c>
      <c r="F2702">
        <f>IFERROR(__xludf.DUMMYFUNCTION("""COMPUTED_VALUE"""),21.57)</f>
        <v>21.57</v>
      </c>
      <c r="G2702">
        <f>IFERROR(__xludf.DUMMYFUNCTION("""COMPUTED_VALUE"""),0.0)</f>
        <v>0</v>
      </c>
    </row>
    <row r="2703">
      <c r="A2703">
        <f>IFERROR(__xludf.DUMMYFUNCTION("""COMPUTED_VALUE"""),174777.0)</f>
        <v>174777</v>
      </c>
      <c r="B2703" t="str">
        <f>IFERROR(__xludf.DUMMYFUNCTION("""COMPUTED_VALUE"""),"Beef Flank Steak Separable Lean Only Trimmed To 0 Inch Fat Select Raw")</f>
        <v>Beef Flank Steak Separable Lean Only Trimmed To 0 Inch Fat Select Raw</v>
      </c>
      <c r="C2703" t="str">
        <f>IFERROR(__xludf.DUMMYFUNCTION("""COMPUTED_VALUE"""),"Meats")</f>
        <v>Meats</v>
      </c>
      <c r="D2703">
        <f>IFERROR(__xludf.DUMMYFUNCTION("""COMPUTED_VALUE"""),137.0)</f>
        <v>137</v>
      </c>
      <c r="E2703">
        <f>IFERROR(__xludf.DUMMYFUNCTION("""COMPUTED_VALUE"""),5.0)</f>
        <v>5</v>
      </c>
      <c r="F2703">
        <f>IFERROR(__xludf.DUMMYFUNCTION("""COMPUTED_VALUE"""),21.43)</f>
        <v>21.43</v>
      </c>
      <c r="G2703">
        <f>IFERROR(__xludf.DUMMYFUNCTION("""COMPUTED_VALUE"""),0.0)</f>
        <v>0</v>
      </c>
    </row>
    <row r="2704">
      <c r="A2704">
        <f>IFERROR(__xludf.DUMMYFUNCTION("""COMPUTED_VALUE"""),174874.0)</f>
        <v>174874</v>
      </c>
      <c r="B2704" t="str">
        <f>IFERROR(__xludf.DUMMYFUNCTION("""COMPUTED_VALUE"""),"Lamb New Zealand Imported Square-Cut Shoulder Chops Separable Lean And Fat Cooked Braised")</f>
        <v>Lamb New Zealand Imported Square-Cut Shoulder Chops Separable Lean And Fat Cooked Braised</v>
      </c>
      <c r="C2704" t="str">
        <f>IFERROR(__xludf.DUMMYFUNCTION("""COMPUTED_VALUE"""),"Meats")</f>
        <v>Meats</v>
      </c>
      <c r="D2704">
        <f>IFERROR(__xludf.DUMMYFUNCTION("""COMPUTED_VALUE"""),322.0)</f>
        <v>322</v>
      </c>
      <c r="E2704">
        <f>IFERROR(__xludf.DUMMYFUNCTION("""COMPUTED_VALUE"""),23.86)</f>
        <v>23.86</v>
      </c>
      <c r="F2704">
        <f>IFERROR(__xludf.DUMMYFUNCTION("""COMPUTED_VALUE"""),26.79)</f>
        <v>26.79</v>
      </c>
      <c r="G2704">
        <f>IFERROR(__xludf.DUMMYFUNCTION("""COMPUTED_VALUE"""),0.05)</f>
        <v>0.05</v>
      </c>
    </row>
    <row r="2705">
      <c r="A2705">
        <f>IFERROR(__xludf.DUMMYFUNCTION("""COMPUTED_VALUE"""),174875.0)</f>
        <v>174875</v>
      </c>
      <c r="B2705" t="str">
        <f>IFERROR(__xludf.DUMMYFUNCTION("""COMPUTED_VALUE"""),"Lamb New Zealand Imported Square-Cut Shoulder Chops Separable Lean And Fat Raw")</f>
        <v>Lamb New Zealand Imported Square-Cut Shoulder Chops Separable Lean And Fat Raw</v>
      </c>
      <c r="C2705" t="str">
        <f>IFERROR(__xludf.DUMMYFUNCTION("""COMPUTED_VALUE"""),"Meats")</f>
        <v>Meats</v>
      </c>
      <c r="D2705">
        <f>IFERROR(__xludf.DUMMYFUNCTION("""COMPUTED_VALUE"""),275.0)</f>
        <v>275</v>
      </c>
      <c r="E2705">
        <f>IFERROR(__xludf.DUMMYFUNCTION("""COMPUTED_VALUE"""),22.84)</f>
        <v>22.84</v>
      </c>
      <c r="F2705">
        <f>IFERROR(__xludf.DUMMYFUNCTION("""COMPUTED_VALUE"""),17.02)</f>
        <v>17.02</v>
      </c>
      <c r="G2705">
        <f>IFERROR(__xludf.DUMMYFUNCTION("""COMPUTED_VALUE"""),0.23)</f>
        <v>0.23</v>
      </c>
    </row>
    <row r="2706">
      <c r="A2706">
        <f>IFERROR(__xludf.DUMMYFUNCTION("""COMPUTED_VALUE"""),174876.0)</f>
        <v>174876</v>
      </c>
      <c r="B2706" t="str">
        <f>IFERROR(__xludf.DUMMYFUNCTION("""COMPUTED_VALUE"""),"Lamb New Zealand Imported Square-Cut Shoulder Separable Lean And Fat Cooked Slow Roasted")</f>
        <v>Lamb New Zealand Imported Square-Cut Shoulder Separable Lean And Fat Cooked Slow Roasted</v>
      </c>
      <c r="C2706" t="str">
        <f>IFERROR(__xludf.DUMMYFUNCTION("""COMPUTED_VALUE"""),"Meats")</f>
        <v>Meats</v>
      </c>
      <c r="D2706">
        <f>IFERROR(__xludf.DUMMYFUNCTION("""COMPUTED_VALUE"""),294.0)</f>
        <v>294</v>
      </c>
      <c r="E2706">
        <f>IFERROR(__xludf.DUMMYFUNCTION("""COMPUTED_VALUE"""),23.39)</f>
        <v>23.39</v>
      </c>
      <c r="F2706">
        <f>IFERROR(__xludf.DUMMYFUNCTION("""COMPUTED_VALUE"""),20.88)</f>
        <v>20.88</v>
      </c>
      <c r="G2706">
        <f>IFERROR(__xludf.DUMMYFUNCTION("""COMPUTED_VALUE"""),0.03)</f>
        <v>0.03</v>
      </c>
    </row>
    <row r="2707">
      <c r="A2707">
        <f>IFERROR(__xludf.DUMMYFUNCTION("""COMPUTED_VALUE"""),174877.0)</f>
        <v>174877</v>
      </c>
      <c r="B2707" t="str">
        <f>IFERROR(__xludf.DUMMYFUNCTION("""COMPUTED_VALUE"""),"Lamb New Zealand Imported Tunnel-Boned Leg Chump Off Shank Off Separable Lean And Fat Raw")</f>
        <v>Lamb New Zealand Imported Tunnel-Boned Leg Chump Off Shank Off Separable Lean And Fat Raw</v>
      </c>
      <c r="C2707" t="str">
        <f>IFERROR(__xludf.DUMMYFUNCTION("""COMPUTED_VALUE"""),"Meats")</f>
        <v>Meats</v>
      </c>
      <c r="D2707">
        <f>IFERROR(__xludf.DUMMYFUNCTION("""COMPUTED_VALUE"""),121.0)</f>
        <v>121</v>
      </c>
      <c r="E2707">
        <f>IFERROR(__xludf.DUMMYFUNCTION("""COMPUTED_VALUE"""),4.09)</f>
        <v>4.09</v>
      </c>
      <c r="F2707">
        <f>IFERROR(__xludf.DUMMYFUNCTION("""COMPUTED_VALUE"""),20.93)</f>
        <v>20.93</v>
      </c>
      <c r="G2707">
        <f>IFERROR(__xludf.DUMMYFUNCTION("""COMPUTED_VALUE"""),0.0)</f>
        <v>0</v>
      </c>
    </row>
    <row r="2708">
      <c r="A2708">
        <f>IFERROR(__xludf.DUMMYFUNCTION("""COMPUTED_VALUE"""),174878.0)</f>
        <v>174878</v>
      </c>
      <c r="B2708" t="str">
        <f>IFERROR(__xludf.DUMMYFUNCTION("""COMPUTED_VALUE"""),"Lamb New Zealand Imported Tenderloin Separable Lean And Fat Raw")</f>
        <v>Lamb New Zealand Imported Tenderloin Separable Lean And Fat Raw</v>
      </c>
      <c r="C2708" t="str">
        <f>IFERROR(__xludf.DUMMYFUNCTION("""COMPUTED_VALUE"""),"Meats")</f>
        <v>Meats</v>
      </c>
      <c r="D2708">
        <f>IFERROR(__xludf.DUMMYFUNCTION("""COMPUTED_VALUE"""),120.0)</f>
        <v>120</v>
      </c>
      <c r="E2708">
        <f>IFERROR(__xludf.DUMMYFUNCTION("""COMPUTED_VALUE"""),4.22)</f>
        <v>4.22</v>
      </c>
      <c r="F2708">
        <f>IFERROR(__xludf.DUMMYFUNCTION("""COMPUTED_VALUE"""),20.43)</f>
        <v>20.43</v>
      </c>
      <c r="G2708">
        <f>IFERROR(__xludf.DUMMYFUNCTION("""COMPUTED_VALUE"""),0.01)</f>
        <v>0.01</v>
      </c>
    </row>
    <row r="2709">
      <c r="A2709">
        <f>IFERROR(__xludf.DUMMYFUNCTION("""COMPUTED_VALUE"""),174879.0)</f>
        <v>174879</v>
      </c>
      <c r="B2709" t="str">
        <f>IFERROR(__xludf.DUMMYFUNCTION("""COMPUTED_VALUE"""),"Veal Ground Cooked Pan-Fried")</f>
        <v>Veal Ground Cooked Pan-Fried</v>
      </c>
      <c r="C2709" t="str">
        <f>IFERROR(__xludf.DUMMYFUNCTION("""COMPUTED_VALUE"""),"Meats")</f>
        <v>Meats</v>
      </c>
      <c r="D2709">
        <f>IFERROR(__xludf.DUMMYFUNCTION("""COMPUTED_VALUE"""),215.0)</f>
        <v>215</v>
      </c>
      <c r="E2709">
        <f>IFERROR(__xludf.DUMMYFUNCTION("""COMPUTED_VALUE"""),11.78)</f>
        <v>11.78</v>
      </c>
      <c r="F2709">
        <f>IFERROR(__xludf.DUMMYFUNCTION("""COMPUTED_VALUE"""),25.83)</f>
        <v>25.83</v>
      </c>
      <c r="G2709">
        <f>IFERROR(__xludf.DUMMYFUNCTION("""COMPUTED_VALUE"""),1.51)</f>
        <v>1.51</v>
      </c>
    </row>
    <row r="2710">
      <c r="A2710">
        <f>IFERROR(__xludf.DUMMYFUNCTION("""COMPUTED_VALUE"""),174880.0)</f>
        <v>174880</v>
      </c>
      <c r="B2710" t="str">
        <f>IFERROR(__xludf.DUMMYFUNCTION("""COMPUTED_VALUE"""),"Veal Leg Top Round Cap Off Cutlet Boneless Cooked Grilled")</f>
        <v>Veal Leg Top Round Cap Off Cutlet Boneless Cooked Grilled</v>
      </c>
      <c r="C2710" t="str">
        <f>IFERROR(__xludf.DUMMYFUNCTION("""COMPUTED_VALUE"""),"Meats")</f>
        <v>Meats</v>
      </c>
      <c r="D2710">
        <f>IFERROR(__xludf.DUMMYFUNCTION("""COMPUTED_VALUE"""),151.0)</f>
        <v>151</v>
      </c>
      <c r="E2710">
        <f>IFERROR(__xludf.DUMMYFUNCTION("""COMPUTED_VALUE"""),2.63)</f>
        <v>2.63</v>
      </c>
      <c r="F2710">
        <f>IFERROR(__xludf.DUMMYFUNCTION("""COMPUTED_VALUE"""),31.89)</f>
        <v>31.89</v>
      </c>
      <c r="G2710">
        <f>IFERROR(__xludf.DUMMYFUNCTION("""COMPUTED_VALUE"""),0.0)</f>
        <v>0</v>
      </c>
    </row>
    <row r="2711">
      <c r="A2711">
        <f>IFERROR(__xludf.DUMMYFUNCTION("""COMPUTED_VALUE"""),174881.0)</f>
        <v>174881</v>
      </c>
      <c r="B2711" t="str">
        <f>IFERROR(__xludf.DUMMYFUNCTION("""COMPUTED_VALUE"""),"Veal Shoulder Blade Chop Separable Lean Only Cooked Grilled")</f>
        <v>Veal Shoulder Blade Chop Separable Lean Only Cooked Grilled</v>
      </c>
      <c r="C2711" t="str">
        <f>IFERROR(__xludf.DUMMYFUNCTION("""COMPUTED_VALUE"""),"Meats")</f>
        <v>Meats</v>
      </c>
      <c r="D2711">
        <f>IFERROR(__xludf.DUMMYFUNCTION("""COMPUTED_VALUE"""),159.0)</f>
        <v>159</v>
      </c>
      <c r="E2711">
        <f>IFERROR(__xludf.DUMMYFUNCTION("""COMPUTED_VALUE"""),5.53)</f>
        <v>5.53</v>
      </c>
      <c r="F2711">
        <f>IFERROR(__xludf.DUMMYFUNCTION("""COMPUTED_VALUE"""),27.33)</f>
        <v>27.33</v>
      </c>
      <c r="G2711">
        <f>IFERROR(__xludf.DUMMYFUNCTION("""COMPUTED_VALUE"""),0.0)</f>
        <v>0</v>
      </c>
    </row>
    <row r="2712">
      <c r="A2712">
        <f>IFERROR(__xludf.DUMMYFUNCTION("""COMPUTED_VALUE"""),174882.0)</f>
        <v>174882</v>
      </c>
      <c r="B2712" t="str">
        <f>IFERROR(__xludf.DUMMYFUNCTION("""COMPUTED_VALUE"""),"Veal External Fat Only Raw")</f>
        <v>Veal External Fat Only Raw</v>
      </c>
      <c r="C2712" t="str">
        <f>IFERROR(__xludf.DUMMYFUNCTION("""COMPUTED_VALUE"""),"Meats")</f>
        <v>Meats</v>
      </c>
      <c r="D2712">
        <f>IFERROR(__xludf.DUMMYFUNCTION("""COMPUTED_VALUE"""),503.0)</f>
        <v>503</v>
      </c>
      <c r="E2712">
        <f>IFERROR(__xludf.DUMMYFUNCTION("""COMPUTED_VALUE"""),51.6)</f>
        <v>51.6</v>
      </c>
      <c r="F2712">
        <f>IFERROR(__xludf.DUMMYFUNCTION("""COMPUTED_VALUE"""),8.85)</f>
        <v>8.85</v>
      </c>
      <c r="G2712">
        <f>IFERROR(__xludf.DUMMYFUNCTION("""COMPUTED_VALUE"""),0.89)</f>
        <v>0.89</v>
      </c>
    </row>
    <row r="2713">
      <c r="A2713">
        <f>IFERROR(__xludf.DUMMYFUNCTION("""COMPUTED_VALUE"""),174883.0)</f>
        <v>174883</v>
      </c>
      <c r="B2713" t="str">
        <f>IFERROR(__xludf.DUMMYFUNCTION("""COMPUTED_VALUE"""),"Veal External Fat Only Cooked")</f>
        <v>Veal External Fat Only Cooked</v>
      </c>
      <c r="C2713" t="str">
        <f>IFERROR(__xludf.DUMMYFUNCTION("""COMPUTED_VALUE"""),"Meats")</f>
        <v>Meats</v>
      </c>
      <c r="D2713">
        <f>IFERROR(__xludf.DUMMYFUNCTION("""COMPUTED_VALUE"""),540.0)</f>
        <v>540</v>
      </c>
      <c r="E2713">
        <f>IFERROR(__xludf.DUMMYFUNCTION("""COMPUTED_VALUE"""),53.23)</f>
        <v>53.23</v>
      </c>
      <c r="F2713">
        <f>IFERROR(__xludf.DUMMYFUNCTION("""COMPUTED_VALUE"""),15.28)</f>
        <v>15.28</v>
      </c>
      <c r="G2713">
        <f>IFERROR(__xludf.DUMMYFUNCTION("""COMPUTED_VALUE"""),0.0)</f>
        <v>0</v>
      </c>
    </row>
    <row r="2714">
      <c r="A2714">
        <f>IFERROR(__xludf.DUMMYFUNCTION("""COMPUTED_VALUE"""),174884.0)</f>
        <v>174884</v>
      </c>
      <c r="B2714" t="str">
        <f>IFERROR(__xludf.DUMMYFUNCTION("""COMPUTED_VALUE"""),"Veal Seam Fat Only Raw")</f>
        <v>Veal Seam Fat Only Raw</v>
      </c>
      <c r="C2714" t="str">
        <f>IFERROR(__xludf.DUMMYFUNCTION("""COMPUTED_VALUE"""),"Meats")</f>
        <v>Meats</v>
      </c>
      <c r="D2714">
        <f>IFERROR(__xludf.DUMMYFUNCTION("""COMPUTED_VALUE"""),444.0)</f>
        <v>444</v>
      </c>
      <c r="E2714">
        <f>IFERROR(__xludf.DUMMYFUNCTION("""COMPUTED_VALUE"""),43.75)</f>
        <v>43.75</v>
      </c>
      <c r="F2714">
        <f>IFERROR(__xludf.DUMMYFUNCTION("""COMPUTED_VALUE"""),12.53)</f>
        <v>12.53</v>
      </c>
      <c r="G2714">
        <f>IFERROR(__xludf.DUMMYFUNCTION("""COMPUTED_VALUE"""),0.0)</f>
        <v>0</v>
      </c>
    </row>
    <row r="2715">
      <c r="A2715">
        <f>IFERROR(__xludf.DUMMYFUNCTION("""COMPUTED_VALUE"""),174885.0)</f>
        <v>174885</v>
      </c>
      <c r="B2715" t="str">
        <f>IFERROR(__xludf.DUMMYFUNCTION("""COMPUTED_VALUE"""),"Lamb Australian Imported Fresh Leg Bottom Boneless Separable Lean Only Trimmed To 1/8 Inch Fat Cooked Roasted")</f>
        <v>Lamb Australian Imported Fresh Leg Bottom Boneless Separable Lean Only Trimmed To 1/8 Inch Fat Cooked Roasted</v>
      </c>
      <c r="C2715" t="str">
        <f>IFERROR(__xludf.DUMMYFUNCTION("""COMPUTED_VALUE"""),"Meats")</f>
        <v>Meats</v>
      </c>
      <c r="D2715">
        <f>IFERROR(__xludf.DUMMYFUNCTION("""COMPUTED_VALUE"""),190.0)</f>
        <v>190</v>
      </c>
      <c r="E2715">
        <f>IFERROR(__xludf.DUMMYFUNCTION("""COMPUTED_VALUE"""),8.35)</f>
        <v>8.35</v>
      </c>
      <c r="F2715">
        <f>IFERROR(__xludf.DUMMYFUNCTION("""COMPUTED_VALUE"""),28.6)</f>
        <v>28.6</v>
      </c>
      <c r="G2715">
        <f>IFERROR(__xludf.DUMMYFUNCTION("""COMPUTED_VALUE"""),0.0)</f>
        <v>0</v>
      </c>
    </row>
    <row r="2716">
      <c r="A2716">
        <f>IFERROR(__xludf.DUMMYFUNCTION("""COMPUTED_VALUE"""),174886.0)</f>
        <v>174886</v>
      </c>
      <c r="B2716" t="str">
        <f>IFERROR(__xludf.DUMMYFUNCTION("""COMPUTED_VALUE"""),"Lamb Australian Imported Fresh Leg Hindshank Heel On Bone-In Separable Lean Only Trimmed To 1/8 Inch Fat Cooked Braised")</f>
        <v>Lamb Australian Imported Fresh Leg Hindshank Heel On Bone-In Separable Lean Only Trimmed To 1/8 Inch Fat Cooked Braised</v>
      </c>
      <c r="C2716" t="str">
        <f>IFERROR(__xludf.DUMMYFUNCTION("""COMPUTED_VALUE"""),"Meats")</f>
        <v>Meats</v>
      </c>
      <c r="D2716">
        <f>IFERROR(__xludf.DUMMYFUNCTION("""COMPUTED_VALUE"""),174.0)</f>
        <v>174</v>
      </c>
      <c r="E2716">
        <f>IFERROR(__xludf.DUMMYFUNCTION("""COMPUTED_VALUE"""),5.63)</f>
        <v>5.63</v>
      </c>
      <c r="F2716">
        <f>IFERROR(__xludf.DUMMYFUNCTION("""COMPUTED_VALUE"""),30.73)</f>
        <v>30.73</v>
      </c>
      <c r="G2716">
        <f>IFERROR(__xludf.DUMMYFUNCTION("""COMPUTED_VALUE"""),0.0)</f>
        <v>0</v>
      </c>
    </row>
    <row r="2717">
      <c r="A2717">
        <f>IFERROR(__xludf.DUMMYFUNCTION("""COMPUTED_VALUE"""),174887.0)</f>
        <v>174887</v>
      </c>
      <c r="B2717" t="str">
        <f>IFERROR(__xludf.DUMMYFUNCTION("""COMPUTED_VALUE"""),"Lamb Australian Imported Fresh Leg Hindshank Heel On Bone-In Separable Lean Only Trimmed To 1/8 Inch Fat Raw")</f>
        <v>Lamb Australian Imported Fresh Leg Hindshank Heel On Bone-In Separable Lean Only Trimmed To 1/8 Inch Fat Raw</v>
      </c>
      <c r="C2717" t="str">
        <f>IFERROR(__xludf.DUMMYFUNCTION("""COMPUTED_VALUE"""),"Meats")</f>
        <v>Meats</v>
      </c>
      <c r="D2717">
        <f>IFERROR(__xludf.DUMMYFUNCTION("""COMPUTED_VALUE"""),122.0)</f>
        <v>122</v>
      </c>
      <c r="E2717">
        <f>IFERROR(__xludf.DUMMYFUNCTION("""COMPUTED_VALUE"""),3.53)</f>
        <v>3.53</v>
      </c>
      <c r="F2717">
        <f>IFERROR(__xludf.DUMMYFUNCTION("""COMPUTED_VALUE"""),22.49)</f>
        <v>22.49</v>
      </c>
      <c r="G2717">
        <f>IFERROR(__xludf.DUMMYFUNCTION("""COMPUTED_VALUE"""),0.0)</f>
        <v>0</v>
      </c>
    </row>
    <row r="2718">
      <c r="A2718">
        <f>IFERROR(__xludf.DUMMYFUNCTION("""COMPUTED_VALUE"""),174888.0)</f>
        <v>174888</v>
      </c>
      <c r="B2718" t="str">
        <f>IFERROR(__xludf.DUMMYFUNCTION("""COMPUTED_VALUE"""),"Lamb Australian Imported Fresh Tenderloin Boneless Separable Lean Only Trimmed To 1/8 Inch Fat Cooked Roasted")</f>
        <v>Lamb Australian Imported Fresh Tenderloin Boneless Separable Lean Only Trimmed To 1/8 Inch Fat Cooked Roasted</v>
      </c>
      <c r="C2718" t="str">
        <f>IFERROR(__xludf.DUMMYFUNCTION("""COMPUTED_VALUE"""),"Meats")</f>
        <v>Meats</v>
      </c>
      <c r="D2718">
        <f>IFERROR(__xludf.DUMMYFUNCTION("""COMPUTED_VALUE"""),184.0)</f>
        <v>184</v>
      </c>
      <c r="E2718">
        <f>IFERROR(__xludf.DUMMYFUNCTION("""COMPUTED_VALUE"""),6.71)</f>
        <v>6.71</v>
      </c>
      <c r="F2718">
        <f>IFERROR(__xludf.DUMMYFUNCTION("""COMPUTED_VALUE"""),30.97)</f>
        <v>30.97</v>
      </c>
      <c r="G2718">
        <f>IFERROR(__xludf.DUMMYFUNCTION("""COMPUTED_VALUE"""),0.0)</f>
        <v>0</v>
      </c>
    </row>
    <row r="2719">
      <c r="A2719">
        <f>IFERROR(__xludf.DUMMYFUNCTION("""COMPUTED_VALUE"""),174889.0)</f>
        <v>174889</v>
      </c>
      <c r="B2719" t="str">
        <f>IFERROR(__xludf.DUMMYFUNCTION("""COMPUTED_VALUE"""),"Lamb Australian Imported Fresh Rack Roast Frenched Denuded Bone-In Separable Lean Only Trimmed To 0 Inch Fat Cooked Roasted")</f>
        <v>Lamb Australian Imported Fresh Rack Roast Frenched Denuded Bone-In Separable Lean Only Trimmed To 0 Inch Fat Cooked Roasted</v>
      </c>
      <c r="C2719" t="str">
        <f>IFERROR(__xludf.DUMMYFUNCTION("""COMPUTED_VALUE"""),"Meats")</f>
        <v>Meats</v>
      </c>
      <c r="D2719">
        <f>IFERROR(__xludf.DUMMYFUNCTION("""COMPUTED_VALUE"""),175.0)</f>
        <v>175</v>
      </c>
      <c r="E2719">
        <f>IFERROR(__xludf.DUMMYFUNCTION("""COMPUTED_VALUE"""),7.63)</f>
        <v>7.63</v>
      </c>
      <c r="F2719">
        <f>IFERROR(__xludf.DUMMYFUNCTION("""COMPUTED_VALUE"""),26.52)</f>
        <v>26.52</v>
      </c>
      <c r="G2719">
        <f>IFERROR(__xludf.DUMMYFUNCTION("""COMPUTED_VALUE"""),0.0)</f>
        <v>0</v>
      </c>
    </row>
    <row r="2720">
      <c r="A2720">
        <f>IFERROR(__xludf.DUMMYFUNCTION("""COMPUTED_VALUE"""),174890.0)</f>
        <v>174890</v>
      </c>
      <c r="B2720" t="str">
        <f>IFERROR(__xludf.DUMMYFUNCTION("""COMPUTED_VALUE"""),"Lamb Australian Imported Fresh Rack Roast Frenched Bone-In Separable Lean Only Trimmed To 1/8 Inch Fat Cooked Roasted")</f>
        <v>Lamb Australian Imported Fresh Rack Roast Frenched Bone-In Separable Lean Only Trimmed To 1/8 Inch Fat Cooked Roasted</v>
      </c>
      <c r="C2720" t="str">
        <f>IFERROR(__xludf.DUMMYFUNCTION("""COMPUTED_VALUE"""),"Meats")</f>
        <v>Meats</v>
      </c>
      <c r="D2720">
        <f>IFERROR(__xludf.DUMMYFUNCTION("""COMPUTED_VALUE"""),244.0)</f>
        <v>244</v>
      </c>
      <c r="E2720">
        <f>IFERROR(__xludf.DUMMYFUNCTION("""COMPUTED_VALUE"""),14.64)</f>
        <v>14.64</v>
      </c>
      <c r="F2720">
        <f>IFERROR(__xludf.DUMMYFUNCTION("""COMPUTED_VALUE"""),28.01)</f>
        <v>28.01</v>
      </c>
      <c r="G2720">
        <f>IFERROR(__xludf.DUMMYFUNCTION("""COMPUTED_VALUE"""),0.0)</f>
        <v>0</v>
      </c>
    </row>
    <row r="2721">
      <c r="A2721">
        <f>IFERROR(__xludf.DUMMYFUNCTION("""COMPUTED_VALUE"""),174891.0)</f>
        <v>174891</v>
      </c>
      <c r="B2721" t="str">
        <f>IFERROR(__xludf.DUMMYFUNCTION("""COMPUTED_VALUE"""),"Lamb Australian Imported Fresh External Fat Cooked")</f>
        <v>Lamb Australian Imported Fresh External Fat Cooked</v>
      </c>
      <c r="C2721" t="str">
        <f>IFERROR(__xludf.DUMMYFUNCTION("""COMPUTED_VALUE"""),"Meats")</f>
        <v>Meats</v>
      </c>
      <c r="D2721">
        <f>IFERROR(__xludf.DUMMYFUNCTION("""COMPUTED_VALUE"""),538.0)</f>
        <v>538</v>
      </c>
      <c r="E2721">
        <f>IFERROR(__xludf.DUMMYFUNCTION("""COMPUTED_VALUE"""),52.3)</f>
        <v>52.3</v>
      </c>
      <c r="F2721">
        <f>IFERROR(__xludf.DUMMYFUNCTION("""COMPUTED_VALUE"""),16.9)</f>
        <v>16.9</v>
      </c>
      <c r="G2721">
        <f>IFERROR(__xludf.DUMMYFUNCTION("""COMPUTED_VALUE"""),0.0)</f>
        <v>0</v>
      </c>
    </row>
    <row r="2722">
      <c r="A2722">
        <f>IFERROR(__xludf.DUMMYFUNCTION("""COMPUTED_VALUE"""),174892.0)</f>
        <v>174892</v>
      </c>
      <c r="B2722" t="str">
        <f>IFERROR(__xludf.DUMMYFUNCTION("""COMPUTED_VALUE"""),"Lamb Australian Imported Fresh External Fat Raw")</f>
        <v>Lamb Australian Imported Fresh External Fat Raw</v>
      </c>
      <c r="C2722" t="str">
        <f>IFERROR(__xludf.DUMMYFUNCTION("""COMPUTED_VALUE"""),"Meats")</f>
        <v>Meats</v>
      </c>
      <c r="D2722">
        <f>IFERROR(__xludf.DUMMYFUNCTION("""COMPUTED_VALUE"""),487.0)</f>
        <v>487</v>
      </c>
      <c r="E2722">
        <f>IFERROR(__xludf.DUMMYFUNCTION("""COMPUTED_VALUE"""),48.5)</f>
        <v>48.5</v>
      </c>
      <c r="F2722">
        <f>IFERROR(__xludf.DUMMYFUNCTION("""COMPUTED_VALUE"""),12.59)</f>
        <v>12.59</v>
      </c>
      <c r="G2722">
        <f>IFERROR(__xludf.DUMMYFUNCTION("""COMPUTED_VALUE"""),0.0)</f>
        <v>0</v>
      </c>
    </row>
    <row r="2723">
      <c r="A2723">
        <f>IFERROR(__xludf.DUMMYFUNCTION("""COMPUTED_VALUE"""),174893.0)</f>
        <v>174893</v>
      </c>
      <c r="B2723" t="str">
        <f>IFERROR(__xludf.DUMMYFUNCTION("""COMPUTED_VALUE"""),"Lamb Australian Imported Fresh Leg Hindshank Heel On Bone-In Separable Lean And Fat Trimmed To 1/8 Inch Fat Cooked Braised")</f>
        <v>Lamb Australian Imported Fresh Leg Hindshank Heel On Bone-In Separable Lean And Fat Trimmed To 1/8 Inch Fat Cooked Braised</v>
      </c>
      <c r="C2723" t="str">
        <f>IFERROR(__xludf.DUMMYFUNCTION("""COMPUTED_VALUE"""),"Meats")</f>
        <v>Meats</v>
      </c>
      <c r="D2723">
        <f>IFERROR(__xludf.DUMMYFUNCTION("""COMPUTED_VALUE"""),204.0)</f>
        <v>204</v>
      </c>
      <c r="E2723">
        <f>IFERROR(__xludf.DUMMYFUNCTION("""COMPUTED_VALUE"""),9.5)</f>
        <v>9.5</v>
      </c>
      <c r="F2723">
        <f>IFERROR(__xludf.DUMMYFUNCTION("""COMPUTED_VALUE"""),29.52)</f>
        <v>29.52</v>
      </c>
      <c r="G2723">
        <f>IFERROR(__xludf.DUMMYFUNCTION("""COMPUTED_VALUE"""),0.0)</f>
        <v>0</v>
      </c>
    </row>
    <row r="2724">
      <c r="A2724">
        <f>IFERROR(__xludf.DUMMYFUNCTION("""COMPUTED_VALUE"""),174894.0)</f>
        <v>174894</v>
      </c>
      <c r="B2724" t="str">
        <f>IFERROR(__xludf.DUMMYFUNCTION("""COMPUTED_VALUE"""),"Lamb Australian Imported Fresh Leg Hindshank Heel On Bone-In Separable Lean And Fat Trimmed To 1/8 Inch Fat Raw")</f>
        <v>Lamb Australian Imported Fresh Leg Hindshank Heel On Bone-In Separable Lean And Fat Trimmed To 1/8 Inch Fat Raw</v>
      </c>
      <c r="C2724" t="str">
        <f>IFERROR(__xludf.DUMMYFUNCTION("""COMPUTED_VALUE"""),"Meats")</f>
        <v>Meats</v>
      </c>
      <c r="D2724">
        <f>IFERROR(__xludf.DUMMYFUNCTION("""COMPUTED_VALUE"""),196.0)</f>
        <v>196</v>
      </c>
      <c r="E2724">
        <f>IFERROR(__xludf.DUMMYFUNCTION("""COMPUTED_VALUE"""),12.68)</f>
        <v>12.68</v>
      </c>
      <c r="F2724">
        <f>IFERROR(__xludf.DUMMYFUNCTION("""COMPUTED_VALUE"""),20.58)</f>
        <v>20.58</v>
      </c>
      <c r="G2724">
        <f>IFERROR(__xludf.DUMMYFUNCTION("""COMPUTED_VALUE"""),0.0)</f>
        <v>0</v>
      </c>
    </row>
    <row r="2725">
      <c r="A2725">
        <f>IFERROR(__xludf.DUMMYFUNCTION("""COMPUTED_VALUE"""),174895.0)</f>
        <v>174895</v>
      </c>
      <c r="B2725" t="str">
        <f>IFERROR(__xludf.DUMMYFUNCTION("""COMPUTED_VALUE"""),"Lamb Australian Imported Fresh Leg Trotter Off Bone-In Separable Lean And Fat Trimmed To 1/8 Inch Fat Cooked Roasted")</f>
        <v>Lamb Australian Imported Fresh Leg Trotter Off Bone-In Separable Lean And Fat Trimmed To 1/8 Inch Fat Cooked Roasted</v>
      </c>
      <c r="C2725" t="str">
        <f>IFERROR(__xludf.DUMMYFUNCTION("""COMPUTED_VALUE"""),"Meats")</f>
        <v>Meats</v>
      </c>
      <c r="D2725">
        <f>IFERROR(__xludf.DUMMYFUNCTION("""COMPUTED_VALUE"""),226.0)</f>
        <v>226</v>
      </c>
      <c r="E2725">
        <f>IFERROR(__xludf.DUMMYFUNCTION("""COMPUTED_VALUE"""),11.64)</f>
        <v>11.64</v>
      </c>
      <c r="F2725">
        <f>IFERROR(__xludf.DUMMYFUNCTION("""COMPUTED_VALUE"""),30.15)</f>
        <v>30.15</v>
      </c>
      <c r="G2725">
        <f>IFERROR(__xludf.DUMMYFUNCTION("""COMPUTED_VALUE"""),0.08)</f>
        <v>0.08</v>
      </c>
    </row>
    <row r="2726">
      <c r="A2726">
        <f>IFERROR(__xludf.DUMMYFUNCTION("""COMPUTED_VALUE"""),174896.0)</f>
        <v>174896</v>
      </c>
      <c r="B2726" t="str">
        <f>IFERROR(__xludf.DUMMYFUNCTION("""COMPUTED_VALUE"""),"Lamb Australian Imported Fresh Leg Trotter Off Bone-In Separable Lean And Fat Trimmed To 1/8 Inch Fat Raw")</f>
        <v>Lamb Australian Imported Fresh Leg Trotter Off Bone-In Separable Lean And Fat Trimmed To 1/8 Inch Fat Raw</v>
      </c>
      <c r="C2726" t="str">
        <f>IFERROR(__xludf.DUMMYFUNCTION("""COMPUTED_VALUE"""),"Meats")</f>
        <v>Meats</v>
      </c>
      <c r="D2726">
        <f>IFERROR(__xludf.DUMMYFUNCTION("""COMPUTED_VALUE"""),175.0)</f>
        <v>175</v>
      </c>
      <c r="E2726">
        <f>IFERROR(__xludf.DUMMYFUNCTION("""COMPUTED_VALUE"""),9.73)</f>
        <v>9.73</v>
      </c>
      <c r="F2726">
        <f>IFERROR(__xludf.DUMMYFUNCTION("""COMPUTED_VALUE"""),21.95)</f>
        <v>21.95</v>
      </c>
      <c r="G2726">
        <f>IFERROR(__xludf.DUMMYFUNCTION("""COMPUTED_VALUE"""),0.0)</f>
        <v>0</v>
      </c>
    </row>
    <row r="2727">
      <c r="A2727">
        <f>IFERROR(__xludf.DUMMYFUNCTION("""COMPUTED_VALUE"""),174897.0)</f>
        <v>174897</v>
      </c>
      <c r="B2727" t="str">
        <f>IFERROR(__xludf.DUMMYFUNCTION("""COMPUTED_VALUE"""),"Lamb Australian Imported Fresh Tenderloin Boneless Separable Lean And Fat Trimmed To 1/8 Inch Fat Cooked Roasted")</f>
        <v>Lamb Australian Imported Fresh Tenderloin Boneless Separable Lean And Fat Trimmed To 1/8 Inch Fat Cooked Roasted</v>
      </c>
      <c r="C2727" t="str">
        <f>IFERROR(__xludf.DUMMYFUNCTION("""COMPUTED_VALUE"""),"Meats")</f>
        <v>Meats</v>
      </c>
      <c r="D2727">
        <f>IFERROR(__xludf.DUMMYFUNCTION("""COMPUTED_VALUE"""),187.0)</f>
        <v>187</v>
      </c>
      <c r="E2727">
        <f>IFERROR(__xludf.DUMMYFUNCTION("""COMPUTED_VALUE"""),7.02)</f>
        <v>7.02</v>
      </c>
      <c r="F2727">
        <f>IFERROR(__xludf.DUMMYFUNCTION("""COMPUTED_VALUE"""),30.87)</f>
        <v>30.87</v>
      </c>
      <c r="G2727">
        <f>IFERROR(__xludf.DUMMYFUNCTION("""COMPUTED_VALUE"""),0.0)</f>
        <v>0</v>
      </c>
    </row>
    <row r="2728">
      <c r="A2728">
        <f>IFERROR(__xludf.DUMMYFUNCTION("""COMPUTED_VALUE"""),174898.0)</f>
        <v>174898</v>
      </c>
      <c r="B2728" t="str">
        <f>IFERROR(__xludf.DUMMYFUNCTION("""COMPUTED_VALUE"""),"Lamb Australian Imported Fresh Rib Chop Frenched Denuded Bone-In Separable Lean And Fat Trimmed To 0 Inch Fat Cooked Grilled")</f>
        <v>Lamb Australian Imported Fresh Rib Chop Frenched Denuded Bone-In Separable Lean And Fat Trimmed To 0 Inch Fat Cooked Grilled</v>
      </c>
      <c r="C2728" t="str">
        <f>IFERROR(__xludf.DUMMYFUNCTION("""COMPUTED_VALUE"""),"Meats")</f>
        <v>Meats</v>
      </c>
      <c r="D2728">
        <f>IFERROR(__xludf.DUMMYFUNCTION("""COMPUTED_VALUE"""),276.0)</f>
        <v>276</v>
      </c>
      <c r="E2728">
        <f>IFERROR(__xludf.DUMMYFUNCTION("""COMPUTED_VALUE"""),16.96)</f>
        <v>16.96</v>
      </c>
      <c r="F2728">
        <f>IFERROR(__xludf.DUMMYFUNCTION("""COMPUTED_VALUE"""),30.9)</f>
        <v>30.9</v>
      </c>
      <c r="G2728">
        <f>IFERROR(__xludf.DUMMYFUNCTION("""COMPUTED_VALUE"""),0.0)</f>
        <v>0</v>
      </c>
    </row>
    <row r="2729">
      <c r="A2729">
        <f>IFERROR(__xludf.DUMMYFUNCTION("""COMPUTED_VALUE"""),175085.0)</f>
        <v>175085</v>
      </c>
      <c r="B2729" t="str">
        <f>IFERROR(__xludf.DUMMYFUNCTION("""COMPUTED_VALUE"""),"Game Meat Deer Cooked Roasted")</f>
        <v>Game Meat Deer Cooked Roasted</v>
      </c>
      <c r="C2729" t="str">
        <f>IFERROR(__xludf.DUMMYFUNCTION("""COMPUTED_VALUE"""),"Meats")</f>
        <v>Meats</v>
      </c>
      <c r="D2729">
        <f>IFERROR(__xludf.DUMMYFUNCTION("""COMPUTED_VALUE"""),158.0)</f>
        <v>158</v>
      </c>
      <c r="E2729">
        <f>IFERROR(__xludf.DUMMYFUNCTION("""COMPUTED_VALUE"""),3.19)</f>
        <v>3.19</v>
      </c>
      <c r="F2729">
        <f>IFERROR(__xludf.DUMMYFUNCTION("""COMPUTED_VALUE"""),30.21)</f>
        <v>30.21</v>
      </c>
      <c r="G2729">
        <f>IFERROR(__xludf.DUMMYFUNCTION("""COMPUTED_VALUE"""),0.0)</f>
        <v>0</v>
      </c>
    </row>
    <row r="2730">
      <c r="A2730">
        <f>IFERROR(__xludf.DUMMYFUNCTION("""COMPUTED_VALUE"""),175086.0)</f>
        <v>175086</v>
      </c>
      <c r="B2730" t="str">
        <f>IFERROR(__xludf.DUMMYFUNCTION("""COMPUTED_VALUE"""),"Game Meat Horse Raw")</f>
        <v>Game Meat Horse Raw</v>
      </c>
      <c r="C2730" t="str">
        <f>IFERROR(__xludf.DUMMYFUNCTION("""COMPUTED_VALUE"""),"Meats")</f>
        <v>Meats</v>
      </c>
      <c r="D2730">
        <f>IFERROR(__xludf.DUMMYFUNCTION("""COMPUTED_VALUE"""),133.0)</f>
        <v>133</v>
      </c>
      <c r="E2730">
        <f>IFERROR(__xludf.DUMMYFUNCTION("""COMPUTED_VALUE"""),4.6)</f>
        <v>4.6</v>
      </c>
      <c r="F2730">
        <f>IFERROR(__xludf.DUMMYFUNCTION("""COMPUTED_VALUE"""),21.39)</f>
        <v>21.39</v>
      </c>
      <c r="G2730">
        <f>IFERROR(__xludf.DUMMYFUNCTION("""COMPUTED_VALUE"""),0.0)</f>
        <v>0</v>
      </c>
    </row>
    <row r="2731">
      <c r="A2731">
        <f>IFERROR(__xludf.DUMMYFUNCTION("""COMPUTED_VALUE"""),175087.0)</f>
        <v>175087</v>
      </c>
      <c r="B2731" t="str">
        <f>IFERROR(__xludf.DUMMYFUNCTION("""COMPUTED_VALUE"""),"Game Meat Horse Cooked Roasted")</f>
        <v>Game Meat Horse Cooked Roasted</v>
      </c>
      <c r="C2731" t="str">
        <f>IFERROR(__xludf.DUMMYFUNCTION("""COMPUTED_VALUE"""),"Meats")</f>
        <v>Meats</v>
      </c>
      <c r="D2731">
        <f>IFERROR(__xludf.DUMMYFUNCTION("""COMPUTED_VALUE"""),175.0)</f>
        <v>175</v>
      </c>
      <c r="E2731">
        <f>IFERROR(__xludf.DUMMYFUNCTION("""COMPUTED_VALUE"""),6.05)</f>
        <v>6.05</v>
      </c>
      <c r="F2731">
        <f>IFERROR(__xludf.DUMMYFUNCTION("""COMPUTED_VALUE"""),28.14)</f>
        <v>28.14</v>
      </c>
      <c r="G2731">
        <f>IFERROR(__xludf.DUMMYFUNCTION("""COMPUTED_VALUE"""),0.0)</f>
        <v>0</v>
      </c>
    </row>
    <row r="2732">
      <c r="A2732">
        <f>IFERROR(__xludf.DUMMYFUNCTION("""COMPUTED_VALUE"""),175116.0)</f>
        <v>175116</v>
      </c>
      <c r="B2732" t="str">
        <f>IFERROR(__xludf.DUMMYFUNCTION("""COMPUTED_VALUE"""),"Fish Herring Atlantic Raw")</f>
        <v>Fish Herring Atlantic Raw</v>
      </c>
      <c r="C2732" t="str">
        <f>IFERROR(__xludf.DUMMYFUNCTION("""COMPUTED_VALUE"""),"Fish")</f>
        <v>Fish</v>
      </c>
      <c r="D2732">
        <f>IFERROR(__xludf.DUMMYFUNCTION("""COMPUTED_VALUE"""),158.0)</f>
        <v>158</v>
      </c>
      <c r="E2732">
        <f>IFERROR(__xludf.DUMMYFUNCTION("""COMPUTED_VALUE"""),9.04)</f>
        <v>9.04</v>
      </c>
      <c r="F2732">
        <f>IFERROR(__xludf.DUMMYFUNCTION("""COMPUTED_VALUE"""),17.96)</f>
        <v>17.96</v>
      </c>
      <c r="G2732">
        <f>IFERROR(__xludf.DUMMYFUNCTION("""COMPUTED_VALUE"""),0.0)</f>
        <v>0</v>
      </c>
    </row>
    <row r="2733">
      <c r="A2733">
        <f>IFERROR(__xludf.DUMMYFUNCTION("""COMPUTED_VALUE"""),175117.0)</f>
        <v>175117</v>
      </c>
      <c r="B2733" t="str">
        <f>IFERROR(__xludf.DUMMYFUNCTION("""COMPUTED_VALUE"""),"Atlantic Herring")</f>
        <v>Atlantic Herring</v>
      </c>
      <c r="C2733" t="str">
        <f>IFERROR(__xludf.DUMMYFUNCTION("""COMPUTED_VALUE"""),"Fish")</f>
        <v>Fish</v>
      </c>
      <c r="D2733">
        <f>IFERROR(__xludf.DUMMYFUNCTION("""COMPUTED_VALUE"""),203.0)</f>
        <v>203</v>
      </c>
      <c r="E2733">
        <f>IFERROR(__xludf.DUMMYFUNCTION("""COMPUTED_VALUE"""),11.59)</f>
        <v>11.59</v>
      </c>
      <c r="F2733">
        <f>IFERROR(__xludf.DUMMYFUNCTION("""COMPUTED_VALUE"""),23.03)</f>
        <v>23.03</v>
      </c>
      <c r="G2733">
        <f>IFERROR(__xludf.DUMMYFUNCTION("""COMPUTED_VALUE"""),0.0)</f>
        <v>0</v>
      </c>
    </row>
    <row r="2734">
      <c r="A2734">
        <f>IFERROR(__xludf.DUMMYFUNCTION("""COMPUTED_VALUE"""),175118.0)</f>
        <v>175118</v>
      </c>
      <c r="B2734" t="str">
        <f>IFERROR(__xludf.DUMMYFUNCTION("""COMPUTED_VALUE"""),"Pickled Herring")</f>
        <v>Pickled Herring</v>
      </c>
      <c r="C2734" t="str">
        <f>IFERROR(__xludf.DUMMYFUNCTION("""COMPUTED_VALUE"""),"Fish")</f>
        <v>Fish</v>
      </c>
      <c r="D2734">
        <f>IFERROR(__xludf.DUMMYFUNCTION("""COMPUTED_VALUE"""),262.0)</f>
        <v>262</v>
      </c>
      <c r="E2734">
        <f>IFERROR(__xludf.DUMMYFUNCTION("""COMPUTED_VALUE"""),18.0)</f>
        <v>18</v>
      </c>
      <c r="F2734">
        <f>IFERROR(__xludf.DUMMYFUNCTION("""COMPUTED_VALUE"""),14.19)</f>
        <v>14.19</v>
      </c>
      <c r="G2734">
        <f>IFERROR(__xludf.DUMMYFUNCTION("""COMPUTED_VALUE"""),9.64)</f>
        <v>9.64</v>
      </c>
    </row>
    <row r="2735">
      <c r="A2735">
        <f>IFERROR(__xludf.DUMMYFUNCTION("""COMPUTED_VALUE"""),175119.0)</f>
        <v>175119</v>
      </c>
      <c r="B2735" t="str">
        <f>IFERROR(__xludf.DUMMYFUNCTION("""COMPUTED_VALUE"""),"Atlantic Mackerel (Raw)")</f>
        <v>Atlantic Mackerel (Raw)</v>
      </c>
      <c r="C2735" t="str">
        <f>IFERROR(__xludf.DUMMYFUNCTION("""COMPUTED_VALUE"""),"Fish")</f>
        <v>Fish</v>
      </c>
      <c r="D2735">
        <f>IFERROR(__xludf.DUMMYFUNCTION("""COMPUTED_VALUE"""),205.0)</f>
        <v>205</v>
      </c>
      <c r="E2735">
        <f>IFERROR(__xludf.DUMMYFUNCTION("""COMPUTED_VALUE"""),13.89)</f>
        <v>13.89</v>
      </c>
      <c r="F2735">
        <f>IFERROR(__xludf.DUMMYFUNCTION("""COMPUTED_VALUE"""),18.6)</f>
        <v>18.6</v>
      </c>
      <c r="G2735">
        <f>IFERROR(__xludf.DUMMYFUNCTION("""COMPUTED_VALUE"""),0.0)</f>
        <v>0</v>
      </c>
    </row>
    <row r="2736">
      <c r="A2736">
        <f>IFERROR(__xludf.DUMMYFUNCTION("""COMPUTED_VALUE"""),175120.0)</f>
        <v>175120</v>
      </c>
      <c r="B2736" t="str">
        <f>IFERROR(__xludf.DUMMYFUNCTION("""COMPUTED_VALUE"""),"Atlantic Mackerel (Cooked)")</f>
        <v>Atlantic Mackerel (Cooked)</v>
      </c>
      <c r="C2736" t="str">
        <f>IFERROR(__xludf.DUMMYFUNCTION("""COMPUTED_VALUE"""),"Fish")</f>
        <v>Fish</v>
      </c>
      <c r="D2736">
        <f>IFERROR(__xludf.DUMMYFUNCTION("""COMPUTED_VALUE"""),262.0)</f>
        <v>262</v>
      </c>
      <c r="E2736">
        <f>IFERROR(__xludf.DUMMYFUNCTION("""COMPUTED_VALUE"""),17.81)</f>
        <v>17.81</v>
      </c>
      <c r="F2736">
        <f>IFERROR(__xludf.DUMMYFUNCTION("""COMPUTED_VALUE"""),23.85)</f>
        <v>23.85</v>
      </c>
      <c r="G2736">
        <f>IFERROR(__xludf.DUMMYFUNCTION("""COMPUTED_VALUE"""),0.0)</f>
        <v>0</v>
      </c>
    </row>
    <row r="2737">
      <c r="A2737">
        <f>IFERROR(__xludf.DUMMYFUNCTION("""COMPUTED_VALUE"""),175121.0)</f>
        <v>175121</v>
      </c>
      <c r="B2737" t="str">
        <f>IFERROR(__xludf.DUMMYFUNCTION("""COMPUTED_VALUE"""),"Fish Mackerel Jack Canned Drained Solids")</f>
        <v>Fish Mackerel Jack Canned Drained Solids</v>
      </c>
      <c r="C2737" t="str">
        <f>IFERROR(__xludf.DUMMYFUNCTION("""COMPUTED_VALUE"""),"Fish")</f>
        <v>Fish</v>
      </c>
      <c r="D2737">
        <f>IFERROR(__xludf.DUMMYFUNCTION("""COMPUTED_VALUE"""),156.0)</f>
        <v>156</v>
      </c>
      <c r="E2737">
        <f>IFERROR(__xludf.DUMMYFUNCTION("""COMPUTED_VALUE"""),6.3)</f>
        <v>6.3</v>
      </c>
      <c r="F2737">
        <f>IFERROR(__xludf.DUMMYFUNCTION("""COMPUTED_VALUE"""),23.19)</f>
        <v>23.19</v>
      </c>
      <c r="G2737">
        <f>IFERROR(__xludf.DUMMYFUNCTION("""COMPUTED_VALUE"""),0.0)</f>
        <v>0</v>
      </c>
    </row>
    <row r="2738">
      <c r="A2738">
        <f>IFERROR(__xludf.DUMMYFUNCTION("""COMPUTED_VALUE"""),175122.0)</f>
        <v>175122</v>
      </c>
      <c r="B2738" t="str">
        <f>IFERROR(__xludf.DUMMYFUNCTION("""COMPUTED_VALUE"""),"Fish Mackerel King Raw")</f>
        <v>Fish Mackerel King Raw</v>
      </c>
      <c r="C2738" t="str">
        <f>IFERROR(__xludf.DUMMYFUNCTION("""COMPUTED_VALUE"""),"Fish")</f>
        <v>Fish</v>
      </c>
      <c r="D2738">
        <f>IFERROR(__xludf.DUMMYFUNCTION("""COMPUTED_VALUE"""),105.0)</f>
        <v>105</v>
      </c>
      <c r="E2738">
        <f>IFERROR(__xludf.DUMMYFUNCTION("""COMPUTED_VALUE"""),2.0)</f>
        <v>2</v>
      </c>
      <c r="F2738">
        <f>IFERROR(__xludf.DUMMYFUNCTION("""COMPUTED_VALUE"""),20.28)</f>
        <v>20.28</v>
      </c>
      <c r="G2738">
        <f>IFERROR(__xludf.DUMMYFUNCTION("""COMPUTED_VALUE"""),0.0)</f>
        <v>0</v>
      </c>
    </row>
    <row r="2739">
      <c r="A2739">
        <f>IFERROR(__xludf.DUMMYFUNCTION("""COMPUTED_VALUE"""),175123.0)</f>
        <v>175123</v>
      </c>
      <c r="B2739" t="str">
        <f>IFERROR(__xludf.DUMMYFUNCTION("""COMPUTED_VALUE"""),"Fish Mullet Striped Raw")</f>
        <v>Fish Mullet Striped Raw</v>
      </c>
      <c r="C2739" t="str">
        <f>IFERROR(__xludf.DUMMYFUNCTION("""COMPUTED_VALUE"""),"Fish")</f>
        <v>Fish</v>
      </c>
      <c r="D2739">
        <f>IFERROR(__xludf.DUMMYFUNCTION("""COMPUTED_VALUE"""),117.0)</f>
        <v>117</v>
      </c>
      <c r="E2739">
        <f>IFERROR(__xludf.DUMMYFUNCTION("""COMPUTED_VALUE"""),3.79)</f>
        <v>3.79</v>
      </c>
      <c r="F2739">
        <f>IFERROR(__xludf.DUMMYFUNCTION("""COMPUTED_VALUE"""),19.35)</f>
        <v>19.35</v>
      </c>
      <c r="G2739">
        <f>IFERROR(__xludf.DUMMYFUNCTION("""COMPUTED_VALUE"""),0.0)</f>
        <v>0</v>
      </c>
    </row>
    <row r="2740">
      <c r="A2740">
        <f>IFERROR(__xludf.DUMMYFUNCTION("""COMPUTED_VALUE"""),175124.0)</f>
        <v>175124</v>
      </c>
      <c r="B2740" t="str">
        <f>IFERROR(__xludf.DUMMYFUNCTION("""COMPUTED_VALUE"""),"Fish Mullet Striped Cooked Dry Heat")</f>
        <v>Fish Mullet Striped Cooked Dry Heat</v>
      </c>
      <c r="C2740" t="str">
        <f>IFERROR(__xludf.DUMMYFUNCTION("""COMPUTED_VALUE"""),"Fish")</f>
        <v>Fish</v>
      </c>
      <c r="D2740">
        <f>IFERROR(__xludf.DUMMYFUNCTION("""COMPUTED_VALUE"""),150.0)</f>
        <v>150</v>
      </c>
      <c r="E2740">
        <f>IFERROR(__xludf.DUMMYFUNCTION("""COMPUTED_VALUE"""),4.86)</f>
        <v>4.86</v>
      </c>
      <c r="F2740">
        <f>IFERROR(__xludf.DUMMYFUNCTION("""COMPUTED_VALUE"""),24.81)</f>
        <v>24.81</v>
      </c>
      <c r="G2740">
        <f>IFERROR(__xludf.DUMMYFUNCTION("""COMPUTED_VALUE"""),0.0)</f>
        <v>0</v>
      </c>
    </row>
    <row r="2741">
      <c r="A2741">
        <f>IFERROR(__xludf.DUMMYFUNCTION("""COMPUTED_VALUE"""),175125.0)</f>
        <v>175125</v>
      </c>
      <c r="B2741" t="str">
        <f>IFERROR(__xludf.DUMMYFUNCTION("""COMPUTED_VALUE"""),"Fish Ocean Perch Atlantic Raw")</f>
        <v>Fish Ocean Perch Atlantic Raw</v>
      </c>
      <c r="C2741" t="str">
        <f>IFERROR(__xludf.DUMMYFUNCTION("""COMPUTED_VALUE"""),"Fish")</f>
        <v>Fish</v>
      </c>
      <c r="D2741">
        <f>IFERROR(__xludf.DUMMYFUNCTION("""COMPUTED_VALUE"""),79.0)</f>
        <v>79</v>
      </c>
      <c r="E2741">
        <f>IFERROR(__xludf.DUMMYFUNCTION("""COMPUTED_VALUE"""),1.54)</f>
        <v>1.54</v>
      </c>
      <c r="F2741">
        <f>IFERROR(__xludf.DUMMYFUNCTION("""COMPUTED_VALUE"""),15.31)</f>
        <v>15.31</v>
      </c>
      <c r="G2741">
        <f>IFERROR(__xludf.DUMMYFUNCTION("""COMPUTED_VALUE"""),0.0)</f>
        <v>0</v>
      </c>
    </row>
    <row r="2742">
      <c r="A2742">
        <f>IFERROR(__xludf.DUMMYFUNCTION("""COMPUTED_VALUE"""),175126.0)</f>
        <v>175126</v>
      </c>
      <c r="B2742" t="str">
        <f>IFERROR(__xludf.DUMMYFUNCTION("""COMPUTED_VALUE"""),"Cooked Atlantic Perch")</f>
        <v>Cooked Atlantic Perch</v>
      </c>
      <c r="C2742" t="str">
        <f>IFERROR(__xludf.DUMMYFUNCTION("""COMPUTED_VALUE"""),"Fish")</f>
        <v>Fish</v>
      </c>
      <c r="D2742">
        <f>IFERROR(__xludf.DUMMYFUNCTION("""COMPUTED_VALUE"""),96.0)</f>
        <v>96</v>
      </c>
      <c r="E2742">
        <f>IFERROR(__xludf.DUMMYFUNCTION("""COMPUTED_VALUE"""),1.87)</f>
        <v>1.87</v>
      </c>
      <c r="F2742">
        <f>IFERROR(__xludf.DUMMYFUNCTION("""COMPUTED_VALUE"""),18.51)</f>
        <v>18.51</v>
      </c>
      <c r="G2742">
        <f>IFERROR(__xludf.DUMMYFUNCTION("""COMPUTED_VALUE"""),0.0)</f>
        <v>0</v>
      </c>
    </row>
    <row r="2743">
      <c r="A2743">
        <f>IFERROR(__xludf.DUMMYFUNCTION("""COMPUTED_VALUE"""),175127.0)</f>
        <v>175127</v>
      </c>
      <c r="B2743" t="str">
        <f>IFERROR(__xludf.DUMMYFUNCTION("""COMPUTED_VALUE"""),"Cooked Northern Pike")</f>
        <v>Cooked Northern Pike</v>
      </c>
      <c r="C2743" t="str">
        <f>IFERROR(__xludf.DUMMYFUNCTION("""COMPUTED_VALUE"""),"Fish")</f>
        <v>Fish</v>
      </c>
      <c r="D2743">
        <f>IFERROR(__xludf.DUMMYFUNCTION("""COMPUTED_VALUE"""),113.0)</f>
        <v>113</v>
      </c>
      <c r="E2743">
        <f>IFERROR(__xludf.DUMMYFUNCTION("""COMPUTED_VALUE"""),0.88)</f>
        <v>0.88</v>
      </c>
      <c r="F2743">
        <f>IFERROR(__xludf.DUMMYFUNCTION("""COMPUTED_VALUE"""),24.69)</f>
        <v>24.69</v>
      </c>
      <c r="G2743">
        <f>IFERROR(__xludf.DUMMYFUNCTION("""COMPUTED_VALUE"""),0.0)</f>
        <v>0</v>
      </c>
    </row>
    <row r="2744">
      <c r="A2744">
        <f>IFERROR(__xludf.DUMMYFUNCTION("""COMPUTED_VALUE"""),175128.0)</f>
        <v>175128</v>
      </c>
      <c r="B2744" t="str">
        <f>IFERROR(__xludf.DUMMYFUNCTION("""COMPUTED_VALUE"""),"Fish Pike Walleye Raw")</f>
        <v>Fish Pike Walleye Raw</v>
      </c>
      <c r="C2744" t="str">
        <f>IFERROR(__xludf.DUMMYFUNCTION("""COMPUTED_VALUE"""),"Fish")</f>
        <v>Fish</v>
      </c>
      <c r="D2744">
        <f>IFERROR(__xludf.DUMMYFUNCTION("""COMPUTED_VALUE"""),93.0)</f>
        <v>93</v>
      </c>
      <c r="E2744">
        <f>IFERROR(__xludf.DUMMYFUNCTION("""COMPUTED_VALUE"""),1.22)</f>
        <v>1.22</v>
      </c>
      <c r="F2744">
        <f>IFERROR(__xludf.DUMMYFUNCTION("""COMPUTED_VALUE"""),19.14)</f>
        <v>19.14</v>
      </c>
      <c r="G2744">
        <f>IFERROR(__xludf.DUMMYFUNCTION("""COMPUTED_VALUE"""),0.0)</f>
        <v>0</v>
      </c>
    </row>
    <row r="2745">
      <c r="A2745">
        <f>IFERROR(__xludf.DUMMYFUNCTION("""COMPUTED_VALUE"""),175129.0)</f>
        <v>175129</v>
      </c>
      <c r="B2745" t="str">
        <f>IFERROR(__xludf.DUMMYFUNCTION("""COMPUTED_VALUE"""),"Fish Pollock Atlantic Raw")</f>
        <v>Fish Pollock Atlantic Raw</v>
      </c>
      <c r="C2745" t="str">
        <f>IFERROR(__xludf.DUMMYFUNCTION("""COMPUTED_VALUE"""),"Fish")</f>
        <v>Fish</v>
      </c>
      <c r="D2745">
        <f>IFERROR(__xludf.DUMMYFUNCTION("""COMPUTED_VALUE"""),92.0)</f>
        <v>92</v>
      </c>
      <c r="E2745">
        <f>IFERROR(__xludf.DUMMYFUNCTION("""COMPUTED_VALUE"""),0.98)</f>
        <v>0.98</v>
      </c>
      <c r="F2745">
        <f>IFERROR(__xludf.DUMMYFUNCTION("""COMPUTED_VALUE"""),19.44)</f>
        <v>19.44</v>
      </c>
      <c r="G2745">
        <f>IFERROR(__xludf.DUMMYFUNCTION("""COMPUTED_VALUE"""),0.0)</f>
        <v>0</v>
      </c>
    </row>
    <row r="2746">
      <c r="A2746">
        <f>IFERROR(__xludf.DUMMYFUNCTION("""COMPUTED_VALUE"""),175130.0)</f>
        <v>175130</v>
      </c>
      <c r="B2746" t="str">
        <f>IFERROR(__xludf.DUMMYFUNCTION("""COMPUTED_VALUE"""),"Fish Pollock Alaska Raw (May Have Been Previously Frozen)")</f>
        <v>Fish Pollock Alaska Raw (May Have Been Previously Frozen)</v>
      </c>
      <c r="C2746" t="str">
        <f>IFERROR(__xludf.DUMMYFUNCTION("""COMPUTED_VALUE"""),"Fish")</f>
        <v>Fish</v>
      </c>
      <c r="D2746">
        <f>IFERROR(__xludf.DUMMYFUNCTION("""COMPUTED_VALUE"""),56.0)</f>
        <v>56</v>
      </c>
      <c r="E2746">
        <f>IFERROR(__xludf.DUMMYFUNCTION("""COMPUTED_VALUE"""),0.41)</f>
        <v>0.41</v>
      </c>
      <c r="F2746">
        <f>IFERROR(__xludf.DUMMYFUNCTION("""COMPUTED_VALUE"""),12.19)</f>
        <v>12.19</v>
      </c>
      <c r="G2746">
        <f>IFERROR(__xludf.DUMMYFUNCTION("""COMPUTED_VALUE"""),0.0)</f>
        <v>0</v>
      </c>
    </row>
    <row r="2747">
      <c r="A2747">
        <f>IFERROR(__xludf.DUMMYFUNCTION("""COMPUTED_VALUE"""),175131.0)</f>
        <v>175131</v>
      </c>
      <c r="B2747" t="str">
        <f>IFERROR(__xludf.DUMMYFUNCTION("""COMPUTED_VALUE"""),"Fish Rockfish Pacific Mixed Species Cooked Dry Heat")</f>
        <v>Fish Rockfish Pacific Mixed Species Cooked Dry Heat</v>
      </c>
      <c r="C2747" t="str">
        <f>IFERROR(__xludf.DUMMYFUNCTION("""COMPUTED_VALUE"""),"Fish")</f>
        <v>Fish</v>
      </c>
      <c r="D2747">
        <f>IFERROR(__xludf.DUMMYFUNCTION("""COMPUTED_VALUE"""),109.0)</f>
        <v>109</v>
      </c>
      <c r="E2747">
        <f>IFERROR(__xludf.DUMMYFUNCTION("""COMPUTED_VALUE"""),1.62)</f>
        <v>1.62</v>
      </c>
      <c r="F2747">
        <f>IFERROR(__xludf.DUMMYFUNCTION("""COMPUTED_VALUE"""),22.23)</f>
        <v>22.23</v>
      </c>
      <c r="G2747">
        <f>IFERROR(__xludf.DUMMYFUNCTION("""COMPUTED_VALUE"""),0.0)</f>
        <v>0</v>
      </c>
    </row>
    <row r="2748">
      <c r="A2748">
        <f>IFERROR(__xludf.DUMMYFUNCTION("""COMPUTED_VALUE"""),175132.0)</f>
        <v>175132</v>
      </c>
      <c r="B2748" t="str">
        <f>IFERROR(__xludf.DUMMYFUNCTION("""COMPUTED_VALUE"""),"Fish Roe")</f>
        <v>Fish Roe</v>
      </c>
      <c r="C2748" t="str">
        <f>IFERROR(__xludf.DUMMYFUNCTION("""COMPUTED_VALUE"""),"Fish")</f>
        <v>Fish</v>
      </c>
      <c r="D2748">
        <f>IFERROR(__xludf.DUMMYFUNCTION("""COMPUTED_VALUE"""),143.0)</f>
        <v>143</v>
      </c>
      <c r="E2748">
        <f>IFERROR(__xludf.DUMMYFUNCTION("""COMPUTED_VALUE"""),6.42)</f>
        <v>6.42</v>
      </c>
      <c r="F2748">
        <f>IFERROR(__xludf.DUMMYFUNCTION("""COMPUTED_VALUE"""),22.32)</f>
        <v>22.32</v>
      </c>
      <c r="G2748">
        <f>IFERROR(__xludf.DUMMYFUNCTION("""COMPUTED_VALUE"""),1.5)</f>
        <v>1.5</v>
      </c>
    </row>
    <row r="2749">
      <c r="A2749">
        <f>IFERROR(__xludf.DUMMYFUNCTION("""COMPUTED_VALUE"""),175133.0)</f>
        <v>175133</v>
      </c>
      <c r="B2749" t="str">
        <f>IFERROR(__xludf.DUMMYFUNCTION("""COMPUTED_VALUE"""),"Fish Roughy Orange Raw")</f>
        <v>Fish Roughy Orange Raw</v>
      </c>
      <c r="C2749" t="str">
        <f>IFERROR(__xludf.DUMMYFUNCTION("""COMPUTED_VALUE"""),"Fish")</f>
        <v>Fish</v>
      </c>
      <c r="D2749">
        <f>IFERROR(__xludf.DUMMYFUNCTION("""COMPUTED_VALUE"""),76.0)</f>
        <v>76</v>
      </c>
      <c r="E2749">
        <f>IFERROR(__xludf.DUMMYFUNCTION("""COMPUTED_VALUE"""),0.7)</f>
        <v>0.7</v>
      </c>
      <c r="F2749">
        <f>IFERROR(__xludf.DUMMYFUNCTION("""COMPUTED_VALUE"""),16.41)</f>
        <v>16.41</v>
      </c>
      <c r="G2749">
        <f>IFERROR(__xludf.DUMMYFUNCTION("""COMPUTED_VALUE"""),0.0)</f>
        <v>0</v>
      </c>
    </row>
    <row r="2750">
      <c r="A2750">
        <f>IFERROR(__xludf.DUMMYFUNCTION("""COMPUTED_VALUE"""),175134.0)</f>
        <v>175134</v>
      </c>
      <c r="B2750" t="str">
        <f>IFERROR(__xludf.DUMMYFUNCTION("""COMPUTED_VALUE"""),"Fish Sablefish Raw")</f>
        <v>Fish Sablefish Raw</v>
      </c>
      <c r="C2750" t="str">
        <f>IFERROR(__xludf.DUMMYFUNCTION("""COMPUTED_VALUE"""),"Fish")</f>
        <v>Fish</v>
      </c>
      <c r="D2750">
        <f>IFERROR(__xludf.DUMMYFUNCTION("""COMPUTED_VALUE"""),195.0)</f>
        <v>195</v>
      </c>
      <c r="E2750">
        <f>IFERROR(__xludf.DUMMYFUNCTION("""COMPUTED_VALUE"""),15.3)</f>
        <v>15.3</v>
      </c>
      <c r="F2750">
        <f>IFERROR(__xludf.DUMMYFUNCTION("""COMPUTED_VALUE"""),13.41)</f>
        <v>13.41</v>
      </c>
      <c r="G2750">
        <f>IFERROR(__xludf.DUMMYFUNCTION("""COMPUTED_VALUE"""),0.0)</f>
        <v>0</v>
      </c>
    </row>
    <row r="2751">
      <c r="A2751">
        <f>IFERROR(__xludf.DUMMYFUNCTION("""COMPUTED_VALUE"""),175135.0)</f>
        <v>175135</v>
      </c>
      <c r="B2751" t="str">
        <f>IFERROR(__xludf.DUMMYFUNCTION("""COMPUTED_VALUE"""),"Fish Salmon Chum Canned Drained Solids With Bone")</f>
        <v>Fish Salmon Chum Canned Drained Solids With Bone</v>
      </c>
      <c r="C2751" t="str">
        <f>IFERROR(__xludf.DUMMYFUNCTION("""COMPUTED_VALUE"""),"Fish")</f>
        <v>Fish</v>
      </c>
      <c r="D2751">
        <f>IFERROR(__xludf.DUMMYFUNCTION("""COMPUTED_VALUE"""),141.0)</f>
        <v>141</v>
      </c>
      <c r="E2751">
        <f>IFERROR(__xludf.DUMMYFUNCTION("""COMPUTED_VALUE"""),5.5)</f>
        <v>5.5</v>
      </c>
      <c r="F2751">
        <f>IFERROR(__xludf.DUMMYFUNCTION("""COMPUTED_VALUE"""),21.43)</f>
        <v>21.43</v>
      </c>
      <c r="G2751">
        <f>IFERROR(__xludf.DUMMYFUNCTION("""COMPUTED_VALUE"""),0.0)</f>
        <v>0</v>
      </c>
    </row>
    <row r="2752">
      <c r="A2752">
        <f>IFERROR(__xludf.DUMMYFUNCTION("""COMPUTED_VALUE"""),175136.0)</f>
        <v>175136</v>
      </c>
      <c r="B2752" t="str">
        <f>IFERROR(__xludf.DUMMYFUNCTION("""COMPUTED_VALUE"""),"Fish Salmon Coho Wild Raw")</f>
        <v>Fish Salmon Coho Wild Raw</v>
      </c>
      <c r="C2752" t="str">
        <f>IFERROR(__xludf.DUMMYFUNCTION("""COMPUTED_VALUE"""),"Fish")</f>
        <v>Fish</v>
      </c>
      <c r="D2752">
        <f>IFERROR(__xludf.DUMMYFUNCTION("""COMPUTED_VALUE"""),146.0)</f>
        <v>146</v>
      </c>
      <c r="E2752">
        <f>IFERROR(__xludf.DUMMYFUNCTION("""COMPUTED_VALUE"""),5.93)</f>
        <v>5.93</v>
      </c>
      <c r="F2752">
        <f>IFERROR(__xludf.DUMMYFUNCTION("""COMPUTED_VALUE"""),21.62)</f>
        <v>21.62</v>
      </c>
      <c r="G2752">
        <f>IFERROR(__xludf.DUMMYFUNCTION("""COMPUTED_VALUE"""),0.0)</f>
        <v>0</v>
      </c>
    </row>
    <row r="2753">
      <c r="A2753">
        <f>IFERROR(__xludf.DUMMYFUNCTION("""COMPUTED_VALUE"""),175137.0)</f>
        <v>175137</v>
      </c>
      <c r="B2753" t="str">
        <f>IFERROR(__xludf.DUMMYFUNCTION("""COMPUTED_VALUE"""),"Cooked Coho Salmon (Wild Moist Heat)")</f>
        <v>Cooked Coho Salmon (Wild Moist Heat)</v>
      </c>
      <c r="C2753" t="str">
        <f>IFERROR(__xludf.DUMMYFUNCTION("""COMPUTED_VALUE"""),"Fish")</f>
        <v>Fish</v>
      </c>
      <c r="D2753">
        <f>IFERROR(__xludf.DUMMYFUNCTION("""COMPUTED_VALUE"""),184.0)</f>
        <v>184</v>
      </c>
      <c r="E2753">
        <f>IFERROR(__xludf.DUMMYFUNCTION("""COMPUTED_VALUE"""),7.5)</f>
        <v>7.5</v>
      </c>
      <c r="F2753">
        <f>IFERROR(__xludf.DUMMYFUNCTION("""COMPUTED_VALUE"""),27.36)</f>
        <v>27.36</v>
      </c>
      <c r="G2753">
        <f>IFERROR(__xludf.DUMMYFUNCTION("""COMPUTED_VALUE"""),0.0)</f>
        <v>0</v>
      </c>
    </row>
    <row r="2754">
      <c r="A2754">
        <f>IFERROR(__xludf.DUMMYFUNCTION("""COMPUTED_VALUE"""),175138.0)</f>
        <v>175138</v>
      </c>
      <c r="B2754" t="str">
        <f>IFERROR(__xludf.DUMMYFUNCTION("""COMPUTED_VALUE"""),"Pink Salmon (Raw)")</f>
        <v>Pink Salmon (Raw)</v>
      </c>
      <c r="C2754" t="str">
        <f>IFERROR(__xludf.DUMMYFUNCTION("""COMPUTED_VALUE"""),"Fish")</f>
        <v>Fish</v>
      </c>
      <c r="D2754">
        <f>IFERROR(__xludf.DUMMYFUNCTION("""COMPUTED_VALUE"""),127.0)</f>
        <v>127</v>
      </c>
      <c r="E2754">
        <f>IFERROR(__xludf.DUMMYFUNCTION("""COMPUTED_VALUE"""),4.4)</f>
        <v>4.4</v>
      </c>
      <c r="F2754">
        <f>IFERROR(__xludf.DUMMYFUNCTION("""COMPUTED_VALUE"""),20.5)</f>
        <v>20.5</v>
      </c>
      <c r="G2754">
        <f>IFERROR(__xludf.DUMMYFUNCTION("""COMPUTED_VALUE"""),0.0)</f>
        <v>0</v>
      </c>
    </row>
    <row r="2755">
      <c r="A2755">
        <f>IFERROR(__xludf.DUMMYFUNCTION("""COMPUTED_VALUE"""),175139.0)</f>
        <v>175139</v>
      </c>
      <c r="B2755" t="str">
        <f>IFERROR(__xludf.DUMMYFUNCTION("""COMPUTED_VALUE"""),"Canned Sardines")</f>
        <v>Canned Sardines</v>
      </c>
      <c r="C2755" t="str">
        <f>IFERROR(__xludf.DUMMYFUNCTION("""COMPUTED_VALUE"""),"Fish")</f>
        <v>Fish</v>
      </c>
      <c r="D2755">
        <f>IFERROR(__xludf.DUMMYFUNCTION("""COMPUTED_VALUE"""),208.0)</f>
        <v>208</v>
      </c>
      <c r="E2755">
        <f>IFERROR(__xludf.DUMMYFUNCTION("""COMPUTED_VALUE"""),11.45)</f>
        <v>11.45</v>
      </c>
      <c r="F2755">
        <f>IFERROR(__xludf.DUMMYFUNCTION("""COMPUTED_VALUE"""),24.62)</f>
        <v>24.62</v>
      </c>
      <c r="G2755">
        <f>IFERROR(__xludf.DUMMYFUNCTION("""COMPUTED_VALUE"""),0.0)</f>
        <v>0</v>
      </c>
    </row>
    <row r="2756">
      <c r="A2756">
        <f>IFERROR(__xludf.DUMMYFUNCTION("""COMPUTED_VALUE"""),175140.0)</f>
        <v>175140</v>
      </c>
      <c r="B2756" t="str">
        <f>IFERROR(__xludf.DUMMYFUNCTION("""COMPUTED_VALUE"""),"Fish Sardine Pacific Canned In Tomato Sauce Drained Solids With Bone")</f>
        <v>Fish Sardine Pacific Canned In Tomato Sauce Drained Solids With Bone</v>
      </c>
      <c r="C2756" t="str">
        <f>IFERROR(__xludf.DUMMYFUNCTION("""COMPUTED_VALUE"""),"Fish")</f>
        <v>Fish</v>
      </c>
      <c r="D2756">
        <f>IFERROR(__xludf.DUMMYFUNCTION("""COMPUTED_VALUE"""),185.0)</f>
        <v>185</v>
      </c>
      <c r="E2756">
        <f>IFERROR(__xludf.DUMMYFUNCTION("""COMPUTED_VALUE"""),10.45)</f>
        <v>10.45</v>
      </c>
      <c r="F2756">
        <f>IFERROR(__xludf.DUMMYFUNCTION("""COMPUTED_VALUE"""),20.86)</f>
        <v>20.86</v>
      </c>
      <c r="G2756">
        <f>IFERROR(__xludf.DUMMYFUNCTION("""COMPUTED_VALUE"""),0.54)</f>
        <v>0.54</v>
      </c>
    </row>
    <row r="2757">
      <c r="A2757">
        <f>IFERROR(__xludf.DUMMYFUNCTION("""COMPUTED_VALUE"""),175141.0)</f>
        <v>175141</v>
      </c>
      <c r="B2757" t="str">
        <f>IFERROR(__xludf.DUMMYFUNCTION("""COMPUTED_VALUE"""),"Fish Scup Raw")</f>
        <v>Fish Scup Raw</v>
      </c>
      <c r="C2757" t="str">
        <f>IFERROR(__xludf.DUMMYFUNCTION("""COMPUTED_VALUE"""),"Fish")</f>
        <v>Fish</v>
      </c>
      <c r="D2757">
        <f>IFERROR(__xludf.DUMMYFUNCTION("""COMPUTED_VALUE"""),105.0)</f>
        <v>105</v>
      </c>
      <c r="E2757">
        <f>IFERROR(__xludf.DUMMYFUNCTION("""COMPUTED_VALUE"""),2.73)</f>
        <v>2.73</v>
      </c>
      <c r="F2757">
        <f>IFERROR(__xludf.DUMMYFUNCTION("""COMPUTED_VALUE"""),18.88)</f>
        <v>18.88</v>
      </c>
      <c r="G2757">
        <f>IFERROR(__xludf.DUMMYFUNCTION("""COMPUTED_VALUE"""),0.0)</f>
        <v>0</v>
      </c>
    </row>
    <row r="2758">
      <c r="A2758">
        <f>IFERROR(__xludf.DUMMYFUNCTION("""COMPUTED_VALUE"""),175142.0)</f>
        <v>175142</v>
      </c>
      <c r="B2758" t="str">
        <f>IFERROR(__xludf.DUMMYFUNCTION("""COMPUTED_VALUE"""),"Fish Sea Bass Mixed Species Raw")</f>
        <v>Fish Sea Bass Mixed Species Raw</v>
      </c>
      <c r="C2758" t="str">
        <f>IFERROR(__xludf.DUMMYFUNCTION("""COMPUTED_VALUE"""),"Fish")</f>
        <v>Fish</v>
      </c>
      <c r="D2758">
        <f>IFERROR(__xludf.DUMMYFUNCTION("""COMPUTED_VALUE"""),97.0)</f>
        <v>97</v>
      </c>
      <c r="E2758">
        <f>IFERROR(__xludf.DUMMYFUNCTION("""COMPUTED_VALUE"""),2.0)</f>
        <v>2</v>
      </c>
      <c r="F2758">
        <f>IFERROR(__xludf.DUMMYFUNCTION("""COMPUTED_VALUE"""),18.43)</f>
        <v>18.43</v>
      </c>
      <c r="G2758">
        <f>IFERROR(__xludf.DUMMYFUNCTION("""COMPUTED_VALUE"""),0.0)</f>
        <v>0</v>
      </c>
    </row>
    <row r="2759">
      <c r="A2759">
        <f>IFERROR(__xludf.DUMMYFUNCTION("""COMPUTED_VALUE"""),175143.0)</f>
        <v>175143</v>
      </c>
      <c r="B2759" t="str">
        <f>IFERROR(__xludf.DUMMYFUNCTION("""COMPUTED_VALUE"""),"Fish Shark Mixed Species Cooked Batter-Dipped And Fried")</f>
        <v>Fish Shark Mixed Species Cooked Batter-Dipped And Fried</v>
      </c>
      <c r="C2759" t="str">
        <f>IFERROR(__xludf.DUMMYFUNCTION("""COMPUTED_VALUE"""),"Fish")</f>
        <v>Fish</v>
      </c>
      <c r="D2759">
        <f>IFERROR(__xludf.DUMMYFUNCTION("""COMPUTED_VALUE"""),228.0)</f>
        <v>228</v>
      </c>
      <c r="E2759">
        <f>IFERROR(__xludf.DUMMYFUNCTION("""COMPUTED_VALUE"""),13.82)</f>
        <v>13.82</v>
      </c>
      <c r="F2759">
        <f>IFERROR(__xludf.DUMMYFUNCTION("""COMPUTED_VALUE"""),18.62)</f>
        <v>18.62</v>
      </c>
      <c r="G2759">
        <f>IFERROR(__xludf.DUMMYFUNCTION("""COMPUTED_VALUE"""),6.39)</f>
        <v>6.39</v>
      </c>
    </row>
    <row r="2760">
      <c r="A2760">
        <f>IFERROR(__xludf.DUMMYFUNCTION("""COMPUTED_VALUE"""),175144.0)</f>
        <v>175144</v>
      </c>
      <c r="B2760" t="str">
        <f>IFERROR(__xludf.DUMMYFUNCTION("""COMPUTED_VALUE"""),"Fish Sheepshead Raw")</f>
        <v>Fish Sheepshead Raw</v>
      </c>
      <c r="C2760" t="str">
        <f>IFERROR(__xludf.DUMMYFUNCTION("""COMPUTED_VALUE"""),"Fish")</f>
        <v>Fish</v>
      </c>
      <c r="D2760">
        <f>IFERROR(__xludf.DUMMYFUNCTION("""COMPUTED_VALUE"""),108.0)</f>
        <v>108</v>
      </c>
      <c r="E2760">
        <f>IFERROR(__xludf.DUMMYFUNCTION("""COMPUTED_VALUE"""),2.41)</f>
        <v>2.41</v>
      </c>
      <c r="F2760">
        <f>IFERROR(__xludf.DUMMYFUNCTION("""COMPUTED_VALUE"""),20.21)</f>
        <v>20.21</v>
      </c>
      <c r="G2760">
        <f>IFERROR(__xludf.DUMMYFUNCTION("""COMPUTED_VALUE"""),0.0)</f>
        <v>0</v>
      </c>
    </row>
    <row r="2761">
      <c r="A2761">
        <f>IFERROR(__xludf.DUMMYFUNCTION("""COMPUTED_VALUE"""),175145.0)</f>
        <v>175145</v>
      </c>
      <c r="B2761" t="str">
        <f>IFERROR(__xludf.DUMMYFUNCTION("""COMPUTED_VALUE"""),"Fish Sheepshead Cooked Dry Heat")</f>
        <v>Fish Sheepshead Cooked Dry Heat</v>
      </c>
      <c r="C2761" t="str">
        <f>IFERROR(__xludf.DUMMYFUNCTION("""COMPUTED_VALUE"""),"Fish")</f>
        <v>Fish</v>
      </c>
      <c r="D2761">
        <f>IFERROR(__xludf.DUMMYFUNCTION("""COMPUTED_VALUE"""),126.0)</f>
        <v>126</v>
      </c>
      <c r="E2761">
        <f>IFERROR(__xludf.DUMMYFUNCTION("""COMPUTED_VALUE"""),1.63)</f>
        <v>1.63</v>
      </c>
      <c r="F2761">
        <f>IFERROR(__xludf.DUMMYFUNCTION("""COMPUTED_VALUE"""),26.02)</f>
        <v>26.02</v>
      </c>
      <c r="G2761">
        <f>IFERROR(__xludf.DUMMYFUNCTION("""COMPUTED_VALUE"""),0.0)</f>
        <v>0</v>
      </c>
    </row>
    <row r="2762">
      <c r="A2762">
        <f>IFERROR(__xludf.DUMMYFUNCTION("""COMPUTED_VALUE"""),175146.0)</f>
        <v>175146</v>
      </c>
      <c r="B2762" t="str">
        <f>IFERROR(__xludf.DUMMYFUNCTION("""COMPUTED_VALUE"""),"Fish Smelt Rainbow Raw")</f>
        <v>Fish Smelt Rainbow Raw</v>
      </c>
      <c r="C2762" t="str">
        <f>IFERROR(__xludf.DUMMYFUNCTION("""COMPUTED_VALUE"""),"Fish")</f>
        <v>Fish</v>
      </c>
      <c r="D2762">
        <f>IFERROR(__xludf.DUMMYFUNCTION("""COMPUTED_VALUE"""),97.0)</f>
        <v>97</v>
      </c>
      <c r="E2762">
        <f>IFERROR(__xludf.DUMMYFUNCTION("""COMPUTED_VALUE"""),2.42)</f>
        <v>2.42</v>
      </c>
      <c r="F2762">
        <f>IFERROR(__xludf.DUMMYFUNCTION("""COMPUTED_VALUE"""),17.63)</f>
        <v>17.63</v>
      </c>
      <c r="G2762">
        <f>IFERROR(__xludf.DUMMYFUNCTION("""COMPUTED_VALUE"""),0.0)</f>
        <v>0</v>
      </c>
    </row>
    <row r="2763">
      <c r="A2763">
        <f>IFERROR(__xludf.DUMMYFUNCTION("""COMPUTED_VALUE"""),175147.0)</f>
        <v>175147</v>
      </c>
      <c r="B2763" t="str">
        <f>IFERROR(__xludf.DUMMYFUNCTION("""COMPUTED_VALUE"""),"Cooked Smelt")</f>
        <v>Cooked Smelt</v>
      </c>
      <c r="C2763" t="str">
        <f>IFERROR(__xludf.DUMMYFUNCTION("""COMPUTED_VALUE"""),"Fish")</f>
        <v>Fish</v>
      </c>
      <c r="D2763">
        <f>IFERROR(__xludf.DUMMYFUNCTION("""COMPUTED_VALUE"""),124.0)</f>
        <v>124</v>
      </c>
      <c r="E2763">
        <f>IFERROR(__xludf.DUMMYFUNCTION("""COMPUTED_VALUE"""),3.1)</f>
        <v>3.1</v>
      </c>
      <c r="F2763">
        <f>IFERROR(__xludf.DUMMYFUNCTION("""COMPUTED_VALUE"""),22.6)</f>
        <v>22.6</v>
      </c>
      <c r="G2763">
        <f>IFERROR(__xludf.DUMMYFUNCTION("""COMPUTED_VALUE"""),0.0)</f>
        <v>0</v>
      </c>
    </row>
    <row r="2764">
      <c r="A2764">
        <f>IFERROR(__xludf.DUMMYFUNCTION("""COMPUTED_VALUE"""),175148.0)</f>
        <v>175148</v>
      </c>
      <c r="B2764" t="str">
        <f>IFERROR(__xludf.DUMMYFUNCTION("""COMPUTED_VALUE"""),"Cooked Sturgeon")</f>
        <v>Cooked Sturgeon</v>
      </c>
      <c r="C2764" t="str">
        <f>IFERROR(__xludf.DUMMYFUNCTION("""COMPUTED_VALUE"""),"Fish")</f>
        <v>Fish</v>
      </c>
      <c r="D2764">
        <f>IFERROR(__xludf.DUMMYFUNCTION("""COMPUTED_VALUE"""),135.0)</f>
        <v>135</v>
      </c>
      <c r="E2764">
        <f>IFERROR(__xludf.DUMMYFUNCTION("""COMPUTED_VALUE"""),5.18)</f>
        <v>5.18</v>
      </c>
      <c r="F2764">
        <f>IFERROR(__xludf.DUMMYFUNCTION("""COMPUTED_VALUE"""),20.7)</f>
        <v>20.7</v>
      </c>
      <c r="G2764">
        <f>IFERROR(__xludf.DUMMYFUNCTION("""COMPUTED_VALUE"""),0.0)</f>
        <v>0</v>
      </c>
    </row>
    <row r="2765">
      <c r="A2765">
        <f>IFERROR(__xludf.DUMMYFUNCTION("""COMPUTED_VALUE"""),175149.0)</f>
        <v>175149</v>
      </c>
      <c r="B2765" t="str">
        <f>IFERROR(__xludf.DUMMYFUNCTION("""COMPUTED_VALUE"""),"Smoked Sturgeon")</f>
        <v>Smoked Sturgeon</v>
      </c>
      <c r="C2765" t="str">
        <f>IFERROR(__xludf.DUMMYFUNCTION("""COMPUTED_VALUE"""),"Fish")</f>
        <v>Fish</v>
      </c>
      <c r="D2765">
        <f>IFERROR(__xludf.DUMMYFUNCTION("""COMPUTED_VALUE"""),173.0)</f>
        <v>173</v>
      </c>
      <c r="E2765">
        <f>IFERROR(__xludf.DUMMYFUNCTION("""COMPUTED_VALUE"""),4.4)</f>
        <v>4.4</v>
      </c>
      <c r="F2765">
        <f>IFERROR(__xludf.DUMMYFUNCTION("""COMPUTED_VALUE"""),31.2)</f>
        <v>31.2</v>
      </c>
      <c r="G2765">
        <f>IFERROR(__xludf.DUMMYFUNCTION("""COMPUTED_VALUE"""),0.0)</f>
        <v>0</v>
      </c>
    </row>
    <row r="2766">
      <c r="A2766">
        <f>IFERROR(__xludf.DUMMYFUNCTION("""COMPUTED_VALUE"""),175150.0)</f>
        <v>175150</v>
      </c>
      <c r="B2766" t="str">
        <f>IFERROR(__xludf.DUMMYFUNCTION("""COMPUTED_VALUE"""),"Fish Sucker White Raw")</f>
        <v>Fish Sucker White Raw</v>
      </c>
      <c r="C2766" t="str">
        <f>IFERROR(__xludf.DUMMYFUNCTION("""COMPUTED_VALUE"""),"Fish")</f>
        <v>Fish</v>
      </c>
      <c r="D2766">
        <f>IFERROR(__xludf.DUMMYFUNCTION("""COMPUTED_VALUE"""),92.0)</f>
        <v>92</v>
      </c>
      <c r="E2766">
        <f>IFERROR(__xludf.DUMMYFUNCTION("""COMPUTED_VALUE"""),2.32)</f>
        <v>2.32</v>
      </c>
      <c r="F2766">
        <f>IFERROR(__xludf.DUMMYFUNCTION("""COMPUTED_VALUE"""),16.76)</f>
        <v>16.76</v>
      </c>
      <c r="G2766">
        <f>IFERROR(__xludf.DUMMYFUNCTION("""COMPUTED_VALUE"""),0.0)</f>
        <v>0</v>
      </c>
    </row>
    <row r="2767">
      <c r="A2767">
        <f>IFERROR(__xludf.DUMMYFUNCTION("""COMPUTED_VALUE"""),175151.0)</f>
        <v>175151</v>
      </c>
      <c r="B2767" t="str">
        <f>IFERROR(__xludf.DUMMYFUNCTION("""COMPUTED_VALUE"""),"Fish Sunfish Pumpkin Seed Raw")</f>
        <v>Fish Sunfish Pumpkin Seed Raw</v>
      </c>
      <c r="C2767" t="str">
        <f>IFERROR(__xludf.DUMMYFUNCTION("""COMPUTED_VALUE"""),"Fish")</f>
        <v>Fish</v>
      </c>
      <c r="D2767">
        <f>IFERROR(__xludf.DUMMYFUNCTION("""COMPUTED_VALUE"""),89.0)</f>
        <v>89</v>
      </c>
      <c r="E2767">
        <f>IFERROR(__xludf.DUMMYFUNCTION("""COMPUTED_VALUE"""),0.7)</f>
        <v>0.7</v>
      </c>
      <c r="F2767">
        <f>IFERROR(__xludf.DUMMYFUNCTION("""COMPUTED_VALUE"""),19.4)</f>
        <v>19.4</v>
      </c>
      <c r="G2767">
        <f>IFERROR(__xludf.DUMMYFUNCTION("""COMPUTED_VALUE"""),0.0)</f>
        <v>0</v>
      </c>
    </row>
    <row r="2768">
      <c r="A2768">
        <f>IFERROR(__xludf.DUMMYFUNCTION("""COMPUTED_VALUE"""),175152.0)</f>
        <v>175152</v>
      </c>
      <c r="B2768" t="str">
        <f>IFERROR(__xludf.DUMMYFUNCTION("""COMPUTED_VALUE"""),"Cooked Tilefish")</f>
        <v>Cooked Tilefish</v>
      </c>
      <c r="C2768" t="str">
        <f>IFERROR(__xludf.DUMMYFUNCTION("""COMPUTED_VALUE"""),"Fish")</f>
        <v>Fish</v>
      </c>
      <c r="D2768">
        <f>IFERROR(__xludf.DUMMYFUNCTION("""COMPUTED_VALUE"""),147.0)</f>
        <v>147</v>
      </c>
      <c r="E2768">
        <f>IFERROR(__xludf.DUMMYFUNCTION("""COMPUTED_VALUE"""),4.69)</f>
        <v>4.69</v>
      </c>
      <c r="F2768">
        <f>IFERROR(__xludf.DUMMYFUNCTION("""COMPUTED_VALUE"""),24.49)</f>
        <v>24.49</v>
      </c>
      <c r="G2768">
        <f>IFERROR(__xludf.DUMMYFUNCTION("""COMPUTED_VALUE"""),0.0)</f>
        <v>0</v>
      </c>
    </row>
    <row r="2769">
      <c r="A2769">
        <f>IFERROR(__xludf.DUMMYFUNCTION("""COMPUTED_VALUE"""),175153.0)</f>
        <v>175153</v>
      </c>
      <c r="B2769" t="str">
        <f>IFERROR(__xludf.DUMMYFUNCTION("""COMPUTED_VALUE"""),"Fish Trout Mixed Species Raw")</f>
        <v>Fish Trout Mixed Species Raw</v>
      </c>
      <c r="C2769" t="str">
        <f>IFERROR(__xludf.DUMMYFUNCTION("""COMPUTED_VALUE"""),"Fish")</f>
        <v>Fish</v>
      </c>
      <c r="D2769">
        <f>IFERROR(__xludf.DUMMYFUNCTION("""COMPUTED_VALUE"""),148.0)</f>
        <v>148</v>
      </c>
      <c r="E2769">
        <f>IFERROR(__xludf.DUMMYFUNCTION("""COMPUTED_VALUE"""),6.61)</f>
        <v>6.61</v>
      </c>
      <c r="F2769">
        <f>IFERROR(__xludf.DUMMYFUNCTION("""COMPUTED_VALUE"""),20.77)</f>
        <v>20.77</v>
      </c>
      <c r="G2769">
        <f>IFERROR(__xludf.DUMMYFUNCTION("""COMPUTED_VALUE"""),0.0)</f>
        <v>0</v>
      </c>
    </row>
    <row r="2770">
      <c r="A2770">
        <f>IFERROR(__xludf.DUMMYFUNCTION("""COMPUTED_VALUE"""),175154.0)</f>
        <v>175154</v>
      </c>
      <c r="B2770" t="str">
        <f>IFERROR(__xludf.DUMMYFUNCTION("""COMPUTED_VALUE"""),"Fish Trout Rainbow Wild Raw")</f>
        <v>Fish Trout Rainbow Wild Raw</v>
      </c>
      <c r="C2770" t="str">
        <f>IFERROR(__xludf.DUMMYFUNCTION("""COMPUTED_VALUE"""),"Fish")</f>
        <v>Fish</v>
      </c>
      <c r="D2770">
        <f>IFERROR(__xludf.DUMMYFUNCTION("""COMPUTED_VALUE"""),119.0)</f>
        <v>119</v>
      </c>
      <c r="E2770">
        <f>IFERROR(__xludf.DUMMYFUNCTION("""COMPUTED_VALUE"""),3.46)</f>
        <v>3.46</v>
      </c>
      <c r="F2770">
        <f>IFERROR(__xludf.DUMMYFUNCTION("""COMPUTED_VALUE"""),20.48)</f>
        <v>20.48</v>
      </c>
      <c r="G2770">
        <f>IFERROR(__xludf.DUMMYFUNCTION("""COMPUTED_VALUE"""),0.0)</f>
        <v>0</v>
      </c>
    </row>
    <row r="2771">
      <c r="A2771">
        <f>IFERROR(__xludf.DUMMYFUNCTION("""COMPUTED_VALUE"""),175155.0)</f>
        <v>175155</v>
      </c>
      <c r="B2771" t="str">
        <f>IFERROR(__xludf.DUMMYFUNCTION("""COMPUTED_VALUE"""),"Cooked Trout")</f>
        <v>Cooked Trout</v>
      </c>
      <c r="C2771" t="str">
        <f>IFERROR(__xludf.DUMMYFUNCTION("""COMPUTED_VALUE"""),"Fish")</f>
        <v>Fish</v>
      </c>
      <c r="D2771">
        <f>IFERROR(__xludf.DUMMYFUNCTION("""COMPUTED_VALUE"""),150.0)</f>
        <v>150</v>
      </c>
      <c r="E2771">
        <f>IFERROR(__xludf.DUMMYFUNCTION("""COMPUTED_VALUE"""),5.82)</f>
        <v>5.82</v>
      </c>
      <c r="F2771">
        <f>IFERROR(__xludf.DUMMYFUNCTION("""COMPUTED_VALUE"""),22.92)</f>
        <v>22.92</v>
      </c>
      <c r="G2771">
        <f>IFERROR(__xludf.DUMMYFUNCTION("""COMPUTED_VALUE"""),0.0)</f>
        <v>0</v>
      </c>
    </row>
    <row r="2772">
      <c r="A2772">
        <f>IFERROR(__xludf.DUMMYFUNCTION("""COMPUTED_VALUE"""),175156.0)</f>
        <v>175156</v>
      </c>
      <c r="B2772" t="str">
        <f>IFERROR(__xludf.DUMMYFUNCTION("""COMPUTED_VALUE"""),"Skipjack Tuna (Raw)")</f>
        <v>Skipjack Tuna (Raw)</v>
      </c>
      <c r="C2772" t="str">
        <f>IFERROR(__xludf.DUMMYFUNCTION("""COMPUTED_VALUE"""),"Fish")</f>
        <v>Fish</v>
      </c>
      <c r="D2772">
        <f>IFERROR(__xludf.DUMMYFUNCTION("""COMPUTED_VALUE"""),103.0)</f>
        <v>103</v>
      </c>
      <c r="E2772">
        <f>IFERROR(__xludf.DUMMYFUNCTION("""COMPUTED_VALUE"""),1.01)</f>
        <v>1.01</v>
      </c>
      <c r="F2772">
        <f>IFERROR(__xludf.DUMMYFUNCTION("""COMPUTED_VALUE"""),22.0)</f>
        <v>22</v>
      </c>
      <c r="G2772">
        <f>IFERROR(__xludf.DUMMYFUNCTION("""COMPUTED_VALUE"""),0.0)</f>
        <v>0</v>
      </c>
    </row>
    <row r="2773">
      <c r="A2773">
        <f>IFERROR(__xludf.DUMMYFUNCTION("""COMPUTED_VALUE"""),175157.0)</f>
        <v>175157</v>
      </c>
      <c r="B2773" t="str">
        <f>IFERROR(__xludf.DUMMYFUNCTION("""COMPUTED_VALUE"""),"Canned White Tuna (Oil Packed)")</f>
        <v>Canned White Tuna (Oil Packed)</v>
      </c>
      <c r="C2773" t="str">
        <f>IFERROR(__xludf.DUMMYFUNCTION("""COMPUTED_VALUE"""),"Fish")</f>
        <v>Fish</v>
      </c>
      <c r="D2773">
        <f>IFERROR(__xludf.DUMMYFUNCTION("""COMPUTED_VALUE"""),186.0)</f>
        <v>186</v>
      </c>
      <c r="E2773">
        <f>IFERROR(__xludf.DUMMYFUNCTION("""COMPUTED_VALUE"""),8.08)</f>
        <v>8.08</v>
      </c>
      <c r="F2773">
        <f>IFERROR(__xludf.DUMMYFUNCTION("""COMPUTED_VALUE"""),26.53)</f>
        <v>26.53</v>
      </c>
      <c r="G2773">
        <f>IFERROR(__xludf.DUMMYFUNCTION("""COMPUTED_VALUE"""),0.0)</f>
        <v>0</v>
      </c>
    </row>
    <row r="2774">
      <c r="A2774">
        <f>IFERROR(__xludf.DUMMYFUNCTION("""COMPUTED_VALUE"""),175158.0)</f>
        <v>175158</v>
      </c>
      <c r="B2774" t="str">
        <f>IFERROR(__xludf.DUMMYFUNCTION("""COMPUTED_VALUE"""),"Canned White Tuna (Water Packed)")</f>
        <v>Canned White Tuna (Water Packed)</v>
      </c>
      <c r="C2774" t="str">
        <f>IFERROR(__xludf.DUMMYFUNCTION("""COMPUTED_VALUE"""),"Fish")</f>
        <v>Fish</v>
      </c>
      <c r="D2774">
        <f>IFERROR(__xludf.DUMMYFUNCTION("""COMPUTED_VALUE"""),128.0)</f>
        <v>128</v>
      </c>
      <c r="E2774">
        <f>IFERROR(__xludf.DUMMYFUNCTION("""COMPUTED_VALUE"""),2.97)</f>
        <v>2.97</v>
      </c>
      <c r="F2774">
        <f>IFERROR(__xludf.DUMMYFUNCTION("""COMPUTED_VALUE"""),23.62)</f>
        <v>23.62</v>
      </c>
      <c r="G2774">
        <f>IFERROR(__xludf.DUMMYFUNCTION("""COMPUTED_VALUE"""),0.0)</f>
        <v>0</v>
      </c>
    </row>
    <row r="2775">
      <c r="A2775">
        <f>IFERROR(__xludf.DUMMYFUNCTION("""COMPUTED_VALUE"""),175159.0)</f>
        <v>175159</v>
      </c>
      <c r="B2775" t="str">
        <f>IFERROR(__xludf.DUMMYFUNCTION("""COMPUTED_VALUE"""),"Yellowfin Tuna (Raw)")</f>
        <v>Yellowfin Tuna (Raw)</v>
      </c>
      <c r="C2775" t="str">
        <f>IFERROR(__xludf.DUMMYFUNCTION("""COMPUTED_VALUE"""),"Fish")</f>
        <v>Fish</v>
      </c>
      <c r="D2775">
        <f>IFERROR(__xludf.DUMMYFUNCTION("""COMPUTED_VALUE"""),109.0)</f>
        <v>109</v>
      </c>
      <c r="E2775">
        <f>IFERROR(__xludf.DUMMYFUNCTION("""COMPUTED_VALUE"""),0.49)</f>
        <v>0.49</v>
      </c>
      <c r="F2775">
        <f>IFERROR(__xludf.DUMMYFUNCTION("""COMPUTED_VALUE"""),24.4)</f>
        <v>24.4</v>
      </c>
      <c r="G2775">
        <f>IFERROR(__xludf.DUMMYFUNCTION("""COMPUTED_VALUE"""),0.0)</f>
        <v>0</v>
      </c>
    </row>
    <row r="2776">
      <c r="A2776">
        <f>IFERROR(__xludf.DUMMYFUNCTION("""COMPUTED_VALUE"""),175160.0)</f>
        <v>175160</v>
      </c>
      <c r="B2776" t="str">
        <f>IFERROR(__xludf.DUMMYFUNCTION("""COMPUTED_VALUE"""),"Fish Tuna Salad")</f>
        <v>Fish Tuna Salad</v>
      </c>
      <c r="C2776" t="str">
        <f>IFERROR(__xludf.DUMMYFUNCTION("""COMPUTED_VALUE"""),"Fish")</f>
        <v>Fish</v>
      </c>
      <c r="D2776">
        <f>IFERROR(__xludf.DUMMYFUNCTION("""COMPUTED_VALUE"""),187.0)</f>
        <v>187</v>
      </c>
      <c r="E2776">
        <f>IFERROR(__xludf.DUMMYFUNCTION("""COMPUTED_VALUE"""),9.26)</f>
        <v>9.26</v>
      </c>
      <c r="F2776">
        <f>IFERROR(__xludf.DUMMYFUNCTION("""COMPUTED_VALUE"""),16.04)</f>
        <v>16.04</v>
      </c>
      <c r="G2776">
        <f>IFERROR(__xludf.DUMMYFUNCTION("""COMPUTED_VALUE"""),9.41)</f>
        <v>9.41</v>
      </c>
    </row>
    <row r="2777">
      <c r="A2777">
        <f>IFERROR(__xludf.DUMMYFUNCTION("""COMPUTED_VALUE"""),175161.0)</f>
        <v>175161</v>
      </c>
      <c r="B2777" t="str">
        <f>IFERROR(__xludf.DUMMYFUNCTION("""COMPUTED_VALUE"""),"Cooked Whiting")</f>
        <v>Cooked Whiting</v>
      </c>
      <c r="C2777" t="str">
        <f>IFERROR(__xludf.DUMMYFUNCTION("""COMPUTED_VALUE"""),"Fish")</f>
        <v>Fish</v>
      </c>
      <c r="D2777">
        <f>IFERROR(__xludf.DUMMYFUNCTION("""COMPUTED_VALUE"""),116.0)</f>
        <v>116</v>
      </c>
      <c r="E2777">
        <f>IFERROR(__xludf.DUMMYFUNCTION("""COMPUTED_VALUE"""),1.69)</f>
        <v>1.69</v>
      </c>
      <c r="F2777">
        <f>IFERROR(__xludf.DUMMYFUNCTION("""COMPUTED_VALUE"""),23.48)</f>
        <v>23.48</v>
      </c>
      <c r="G2777">
        <f>IFERROR(__xludf.DUMMYFUNCTION("""COMPUTED_VALUE"""),0.0)</f>
        <v>0</v>
      </c>
    </row>
    <row r="2778">
      <c r="A2778">
        <f>IFERROR(__xludf.DUMMYFUNCTION("""COMPUTED_VALUE"""),175162.0)</f>
        <v>175162</v>
      </c>
      <c r="B2778" t="str">
        <f>IFERROR(__xludf.DUMMYFUNCTION("""COMPUTED_VALUE"""),"Fish Wolffish Atlantic Raw")</f>
        <v>Fish Wolffish Atlantic Raw</v>
      </c>
      <c r="C2778" t="str">
        <f>IFERROR(__xludf.DUMMYFUNCTION("""COMPUTED_VALUE"""),"Fish")</f>
        <v>Fish</v>
      </c>
      <c r="D2778">
        <f>IFERROR(__xludf.DUMMYFUNCTION("""COMPUTED_VALUE"""),96.0)</f>
        <v>96</v>
      </c>
      <c r="E2778">
        <f>IFERROR(__xludf.DUMMYFUNCTION("""COMPUTED_VALUE"""),2.39)</f>
        <v>2.39</v>
      </c>
      <c r="F2778">
        <f>IFERROR(__xludf.DUMMYFUNCTION("""COMPUTED_VALUE"""),17.5)</f>
        <v>17.5</v>
      </c>
      <c r="G2778">
        <f>IFERROR(__xludf.DUMMYFUNCTION("""COMPUTED_VALUE"""),0.0)</f>
        <v>0</v>
      </c>
    </row>
    <row r="2779">
      <c r="A2779">
        <f>IFERROR(__xludf.DUMMYFUNCTION("""COMPUTED_VALUE"""),175163.0)</f>
        <v>175163</v>
      </c>
      <c r="B2779" t="str">
        <f>IFERROR(__xludf.DUMMYFUNCTION("""COMPUTED_VALUE"""),"Yellowtail (Raw)")</f>
        <v>Yellowtail (Raw)</v>
      </c>
      <c r="C2779" t="str">
        <f>IFERROR(__xludf.DUMMYFUNCTION("""COMPUTED_VALUE"""),"Fish")</f>
        <v>Fish</v>
      </c>
      <c r="D2779">
        <f>IFERROR(__xludf.DUMMYFUNCTION("""COMPUTED_VALUE"""),146.0)</f>
        <v>146</v>
      </c>
      <c r="E2779">
        <f>IFERROR(__xludf.DUMMYFUNCTION("""COMPUTED_VALUE"""),5.24)</f>
        <v>5.24</v>
      </c>
      <c r="F2779">
        <f>IFERROR(__xludf.DUMMYFUNCTION("""COMPUTED_VALUE"""),23.14)</f>
        <v>23.14</v>
      </c>
      <c r="G2779">
        <f>IFERROR(__xludf.DUMMYFUNCTION("""COMPUTED_VALUE"""),0.0)</f>
        <v>0</v>
      </c>
    </row>
    <row r="2780">
      <c r="A2780">
        <f>IFERROR(__xludf.DUMMYFUNCTION("""COMPUTED_VALUE"""),175164.0)</f>
        <v>175164</v>
      </c>
      <c r="B2780" t="str">
        <f>IFERROR(__xludf.DUMMYFUNCTION("""COMPUTED_VALUE"""),"Crustaceans Crab Alaska King Raw")</f>
        <v>Crustaceans Crab Alaska King Raw</v>
      </c>
      <c r="C2780" t="str">
        <f>IFERROR(__xludf.DUMMYFUNCTION("""COMPUTED_VALUE"""),"Fish")</f>
        <v>Fish</v>
      </c>
      <c r="D2780">
        <f>IFERROR(__xludf.DUMMYFUNCTION("""COMPUTED_VALUE"""),84.0)</f>
        <v>84</v>
      </c>
      <c r="E2780">
        <f>IFERROR(__xludf.DUMMYFUNCTION("""COMPUTED_VALUE"""),0.6)</f>
        <v>0.6</v>
      </c>
      <c r="F2780">
        <f>IFERROR(__xludf.DUMMYFUNCTION("""COMPUTED_VALUE"""),18.29)</f>
        <v>18.29</v>
      </c>
      <c r="G2780">
        <f>IFERROR(__xludf.DUMMYFUNCTION("""COMPUTED_VALUE"""),0.0)</f>
        <v>0</v>
      </c>
    </row>
    <row r="2781">
      <c r="A2781">
        <f>IFERROR(__xludf.DUMMYFUNCTION("""COMPUTED_VALUE"""),175165.0)</f>
        <v>175165</v>
      </c>
      <c r="B2781" t="str">
        <f>IFERROR(__xludf.DUMMYFUNCTION("""COMPUTED_VALUE"""),"Fish Catfish Channel Farmed Raw")</f>
        <v>Fish Catfish Channel Farmed Raw</v>
      </c>
      <c r="C2781" t="str">
        <f>IFERROR(__xludf.DUMMYFUNCTION("""COMPUTED_VALUE"""),"Fish")</f>
        <v>Fish</v>
      </c>
      <c r="D2781">
        <f>IFERROR(__xludf.DUMMYFUNCTION("""COMPUTED_VALUE"""),119.0)</f>
        <v>119</v>
      </c>
      <c r="E2781">
        <f>IFERROR(__xludf.DUMMYFUNCTION("""COMPUTED_VALUE"""),5.94)</f>
        <v>5.94</v>
      </c>
      <c r="F2781">
        <f>IFERROR(__xludf.DUMMYFUNCTION("""COMPUTED_VALUE"""),15.23)</f>
        <v>15.23</v>
      </c>
      <c r="G2781">
        <f>IFERROR(__xludf.DUMMYFUNCTION("""COMPUTED_VALUE"""),0.0)</f>
        <v>0</v>
      </c>
    </row>
    <row r="2782">
      <c r="A2782">
        <f>IFERROR(__xludf.DUMMYFUNCTION("""COMPUTED_VALUE"""),175166.0)</f>
        <v>175166</v>
      </c>
      <c r="B2782" t="str">
        <f>IFERROR(__xludf.DUMMYFUNCTION("""COMPUTED_VALUE"""),"Fish Catfish Channel Farmed Cooked Dry Heat")</f>
        <v>Fish Catfish Channel Farmed Cooked Dry Heat</v>
      </c>
      <c r="C2782" t="str">
        <f>IFERROR(__xludf.DUMMYFUNCTION("""COMPUTED_VALUE"""),"Fish")</f>
        <v>Fish</v>
      </c>
      <c r="D2782">
        <f>IFERROR(__xludf.DUMMYFUNCTION("""COMPUTED_VALUE"""),144.0)</f>
        <v>144</v>
      </c>
      <c r="E2782">
        <f>IFERROR(__xludf.DUMMYFUNCTION("""COMPUTED_VALUE"""),7.19)</f>
        <v>7.19</v>
      </c>
      <c r="F2782">
        <f>IFERROR(__xludf.DUMMYFUNCTION("""COMPUTED_VALUE"""),18.44)</f>
        <v>18.44</v>
      </c>
      <c r="G2782">
        <f>IFERROR(__xludf.DUMMYFUNCTION("""COMPUTED_VALUE"""),0.0)</f>
        <v>0</v>
      </c>
    </row>
    <row r="2783">
      <c r="A2783">
        <f>IFERROR(__xludf.DUMMYFUNCTION("""COMPUTED_VALUE"""),175167.0)</f>
        <v>175167</v>
      </c>
      <c r="B2783" t="str">
        <f>IFERROR(__xludf.DUMMYFUNCTION("""COMPUTED_VALUE"""),"Farmed Atlantic Salmon (Raw)")</f>
        <v>Farmed Atlantic Salmon (Raw)</v>
      </c>
      <c r="C2783" t="str">
        <f>IFERROR(__xludf.DUMMYFUNCTION("""COMPUTED_VALUE"""),"Fish")</f>
        <v>Fish</v>
      </c>
      <c r="D2783">
        <f>IFERROR(__xludf.DUMMYFUNCTION("""COMPUTED_VALUE"""),208.0)</f>
        <v>208</v>
      </c>
      <c r="E2783">
        <f>IFERROR(__xludf.DUMMYFUNCTION("""COMPUTED_VALUE"""),13.42)</f>
        <v>13.42</v>
      </c>
      <c r="F2783">
        <f>IFERROR(__xludf.DUMMYFUNCTION("""COMPUTED_VALUE"""),20.42)</f>
        <v>20.42</v>
      </c>
      <c r="G2783">
        <f>IFERROR(__xludf.DUMMYFUNCTION("""COMPUTED_VALUE"""),0.0)</f>
        <v>0</v>
      </c>
    </row>
    <row r="2784">
      <c r="A2784">
        <f>IFERROR(__xludf.DUMMYFUNCTION("""COMPUTED_VALUE"""),175168.0)</f>
        <v>175168</v>
      </c>
      <c r="B2784" t="str">
        <f>IFERROR(__xludf.DUMMYFUNCTION("""COMPUTED_VALUE"""),"Farmed Atlantic Salmon")</f>
        <v>Farmed Atlantic Salmon</v>
      </c>
      <c r="C2784" t="str">
        <f>IFERROR(__xludf.DUMMYFUNCTION("""COMPUTED_VALUE"""),"Fish")</f>
        <v>Fish</v>
      </c>
      <c r="D2784">
        <f>IFERROR(__xludf.DUMMYFUNCTION("""COMPUTED_VALUE"""),206.0)</f>
        <v>206</v>
      </c>
      <c r="E2784">
        <f>IFERROR(__xludf.DUMMYFUNCTION("""COMPUTED_VALUE"""),12.35)</f>
        <v>12.35</v>
      </c>
      <c r="F2784">
        <f>IFERROR(__xludf.DUMMYFUNCTION("""COMPUTED_VALUE"""),22.1)</f>
        <v>22.1</v>
      </c>
      <c r="G2784">
        <f>IFERROR(__xludf.DUMMYFUNCTION("""COMPUTED_VALUE"""),0.0)</f>
        <v>0</v>
      </c>
    </row>
    <row r="2785">
      <c r="A2785">
        <f>IFERROR(__xludf.DUMMYFUNCTION("""COMPUTED_VALUE"""),175169.0)</f>
        <v>175169</v>
      </c>
      <c r="B2785" t="str">
        <f>IFERROR(__xludf.DUMMYFUNCTION("""COMPUTED_VALUE"""),"Crustaceans Crayfish Mixed Species Farmed Raw")</f>
        <v>Crustaceans Crayfish Mixed Species Farmed Raw</v>
      </c>
      <c r="C2785" t="str">
        <f>IFERROR(__xludf.DUMMYFUNCTION("""COMPUTED_VALUE"""),"Fish")</f>
        <v>Fish</v>
      </c>
      <c r="D2785">
        <f>IFERROR(__xludf.DUMMYFUNCTION("""COMPUTED_VALUE"""),72.0)</f>
        <v>72</v>
      </c>
      <c r="E2785">
        <f>IFERROR(__xludf.DUMMYFUNCTION("""COMPUTED_VALUE"""),0.97)</f>
        <v>0.97</v>
      </c>
      <c r="F2785">
        <f>IFERROR(__xludf.DUMMYFUNCTION("""COMPUTED_VALUE"""),14.85)</f>
        <v>14.85</v>
      </c>
      <c r="G2785">
        <f>IFERROR(__xludf.DUMMYFUNCTION("""COMPUTED_VALUE"""),0.0)</f>
        <v>0</v>
      </c>
    </row>
    <row r="2786">
      <c r="A2786">
        <f>IFERROR(__xludf.DUMMYFUNCTION("""COMPUTED_VALUE"""),175170.0)</f>
        <v>175170</v>
      </c>
      <c r="B2786" t="str">
        <f>IFERROR(__xludf.DUMMYFUNCTION("""COMPUTED_VALUE"""),"Cooked Crayfish")</f>
        <v>Cooked Crayfish</v>
      </c>
      <c r="C2786" t="str">
        <f>IFERROR(__xludf.DUMMYFUNCTION("""COMPUTED_VALUE"""),"Fish")</f>
        <v>Fish</v>
      </c>
      <c r="D2786">
        <f>IFERROR(__xludf.DUMMYFUNCTION("""COMPUTED_VALUE"""),87.0)</f>
        <v>87</v>
      </c>
      <c r="E2786">
        <f>IFERROR(__xludf.DUMMYFUNCTION("""COMPUTED_VALUE"""),1.3)</f>
        <v>1.3</v>
      </c>
      <c r="F2786">
        <f>IFERROR(__xludf.DUMMYFUNCTION("""COMPUTED_VALUE"""),17.52)</f>
        <v>17.52</v>
      </c>
      <c r="G2786">
        <f>IFERROR(__xludf.DUMMYFUNCTION("""COMPUTED_VALUE"""),0.0)</f>
        <v>0</v>
      </c>
    </row>
    <row r="2787">
      <c r="A2787">
        <f>IFERROR(__xludf.DUMMYFUNCTION("""COMPUTED_VALUE"""),175171.0)</f>
        <v>175171</v>
      </c>
      <c r="B2787" t="str">
        <f>IFERROR(__xludf.DUMMYFUNCTION("""COMPUTED_VALUE"""),"Cooked Eastern Oysters (Wild)")</f>
        <v>Cooked Eastern Oysters (Wild)</v>
      </c>
      <c r="C2787" t="str">
        <f>IFERROR(__xludf.DUMMYFUNCTION("""COMPUTED_VALUE"""),"Fish")</f>
        <v>Fish</v>
      </c>
      <c r="D2787">
        <f>IFERROR(__xludf.DUMMYFUNCTION("""COMPUTED_VALUE"""),79.0)</f>
        <v>79</v>
      </c>
      <c r="E2787">
        <f>IFERROR(__xludf.DUMMYFUNCTION("""COMPUTED_VALUE"""),2.65)</f>
        <v>2.65</v>
      </c>
      <c r="F2787">
        <f>IFERROR(__xludf.DUMMYFUNCTION("""COMPUTED_VALUE"""),8.87)</f>
        <v>8.87</v>
      </c>
      <c r="G2787">
        <f>IFERROR(__xludf.DUMMYFUNCTION("""COMPUTED_VALUE"""),4.23)</f>
        <v>4.23</v>
      </c>
    </row>
    <row r="2788">
      <c r="A2788">
        <f>IFERROR(__xludf.DUMMYFUNCTION("""COMPUTED_VALUE"""),175172.0)</f>
        <v>175172</v>
      </c>
      <c r="B2788" t="str">
        <f>IFERROR(__xludf.DUMMYFUNCTION("""COMPUTED_VALUE"""),"Raw Eastern Oysters")</f>
        <v>Raw Eastern Oysters</v>
      </c>
      <c r="C2788" t="str">
        <f>IFERROR(__xludf.DUMMYFUNCTION("""COMPUTED_VALUE"""),"Fish")</f>
        <v>Fish</v>
      </c>
      <c r="D2788">
        <f>IFERROR(__xludf.DUMMYFUNCTION("""COMPUTED_VALUE"""),59.0)</f>
        <v>59</v>
      </c>
      <c r="E2788">
        <f>IFERROR(__xludf.DUMMYFUNCTION("""COMPUTED_VALUE"""),1.55)</f>
        <v>1.55</v>
      </c>
      <c r="F2788">
        <f>IFERROR(__xludf.DUMMYFUNCTION("""COMPUTED_VALUE"""),5.22)</f>
        <v>5.22</v>
      </c>
      <c r="G2788">
        <f>IFERROR(__xludf.DUMMYFUNCTION("""COMPUTED_VALUE"""),5.53)</f>
        <v>5.53</v>
      </c>
    </row>
    <row r="2789">
      <c r="A2789">
        <f>IFERROR(__xludf.DUMMYFUNCTION("""COMPUTED_VALUE"""),175173.0)</f>
        <v>175173</v>
      </c>
      <c r="B2789" t="str">
        <f>IFERROR(__xludf.DUMMYFUNCTION("""COMPUTED_VALUE"""),"Cooked Eastern Oysters (Farmed)")</f>
        <v>Cooked Eastern Oysters (Farmed)</v>
      </c>
      <c r="C2789" t="str">
        <f>IFERROR(__xludf.DUMMYFUNCTION("""COMPUTED_VALUE"""),"Fish")</f>
        <v>Fish</v>
      </c>
      <c r="D2789">
        <f>IFERROR(__xludf.DUMMYFUNCTION("""COMPUTED_VALUE"""),79.0)</f>
        <v>79</v>
      </c>
      <c r="E2789">
        <f>IFERROR(__xludf.DUMMYFUNCTION("""COMPUTED_VALUE"""),2.12)</f>
        <v>2.12</v>
      </c>
      <c r="F2789">
        <f>IFERROR(__xludf.DUMMYFUNCTION("""COMPUTED_VALUE"""),7.0)</f>
        <v>7</v>
      </c>
      <c r="G2789">
        <f>IFERROR(__xludf.DUMMYFUNCTION("""COMPUTED_VALUE"""),7.28)</f>
        <v>7.28</v>
      </c>
    </row>
    <row r="2790">
      <c r="A2790">
        <f>IFERROR(__xludf.DUMMYFUNCTION("""COMPUTED_VALUE"""),175174.0)</f>
        <v>175174</v>
      </c>
      <c r="B2790" t="str">
        <f>IFERROR(__xludf.DUMMYFUNCTION("""COMPUTED_VALUE"""),"Canned Sockeye Salmon (With Skin And Bones)")</f>
        <v>Canned Sockeye Salmon (With Skin And Bones)</v>
      </c>
      <c r="C2790" t="str">
        <f>IFERROR(__xludf.DUMMYFUNCTION("""COMPUTED_VALUE"""),"Fish")</f>
        <v>Fish</v>
      </c>
      <c r="D2790">
        <f>IFERROR(__xludf.DUMMYFUNCTION("""COMPUTED_VALUE"""),153.0)</f>
        <v>153</v>
      </c>
      <c r="E2790">
        <f>IFERROR(__xludf.DUMMYFUNCTION("""COMPUTED_VALUE"""),7.17)</f>
        <v>7.17</v>
      </c>
      <c r="F2790">
        <f>IFERROR(__xludf.DUMMYFUNCTION("""COMPUTED_VALUE"""),20.63)</f>
        <v>20.63</v>
      </c>
      <c r="G2790">
        <f>IFERROR(__xludf.DUMMYFUNCTION("""COMPUTED_VALUE"""),0.0)</f>
        <v>0</v>
      </c>
    </row>
    <row r="2791">
      <c r="A2791">
        <f>IFERROR(__xludf.DUMMYFUNCTION("""COMPUTED_VALUE"""),175175.0)</f>
        <v>175175</v>
      </c>
      <c r="B2791" t="str">
        <f>IFERROR(__xludf.DUMMYFUNCTION("""COMPUTED_VALUE"""),"Canned Pink Salmon (With Skin And Bones)")</f>
        <v>Canned Pink Salmon (With Skin And Bones)</v>
      </c>
      <c r="C2791" t="str">
        <f>IFERROR(__xludf.DUMMYFUNCTION("""COMPUTED_VALUE"""),"Fish")</f>
        <v>Fish</v>
      </c>
      <c r="D2791">
        <f>IFERROR(__xludf.DUMMYFUNCTION("""COMPUTED_VALUE"""),138.0)</f>
        <v>138</v>
      </c>
      <c r="E2791">
        <f>IFERROR(__xludf.DUMMYFUNCTION("""COMPUTED_VALUE"""),5.02)</f>
        <v>5.02</v>
      </c>
      <c r="F2791">
        <f>IFERROR(__xludf.DUMMYFUNCTION("""COMPUTED_VALUE"""),23.1)</f>
        <v>23.1</v>
      </c>
      <c r="G2791">
        <f>IFERROR(__xludf.DUMMYFUNCTION("""COMPUTED_VALUE"""),0.0)</f>
        <v>0</v>
      </c>
    </row>
    <row r="2792">
      <c r="A2792">
        <f>IFERROR(__xludf.DUMMYFUNCTION("""COMPUTED_VALUE"""),175176.0)</f>
        <v>175176</v>
      </c>
      <c r="B2792" t="str">
        <f>IFERROR(__xludf.DUMMYFUNCTION("""COMPUTED_VALUE"""),"Raw Tilapia")</f>
        <v>Raw Tilapia</v>
      </c>
      <c r="C2792" t="str">
        <f>IFERROR(__xludf.DUMMYFUNCTION("""COMPUTED_VALUE"""),"Fish")</f>
        <v>Fish</v>
      </c>
      <c r="D2792">
        <f>IFERROR(__xludf.DUMMYFUNCTION("""COMPUTED_VALUE"""),96.0)</f>
        <v>96</v>
      </c>
      <c r="E2792">
        <f>IFERROR(__xludf.DUMMYFUNCTION("""COMPUTED_VALUE"""),1.7)</f>
        <v>1.7</v>
      </c>
      <c r="F2792">
        <f>IFERROR(__xludf.DUMMYFUNCTION("""COMPUTED_VALUE"""),20.08)</f>
        <v>20.08</v>
      </c>
      <c r="G2792">
        <f>IFERROR(__xludf.DUMMYFUNCTION("""COMPUTED_VALUE"""),0.0)</f>
        <v>0</v>
      </c>
    </row>
    <row r="2793">
      <c r="A2793">
        <f>IFERROR(__xludf.DUMMYFUNCTION("""COMPUTED_VALUE"""),175177.0)</f>
        <v>175177</v>
      </c>
      <c r="B2793" t="str">
        <f>IFERROR(__xludf.DUMMYFUNCTION("""COMPUTED_VALUE"""),"Cooked Tilapia")</f>
        <v>Cooked Tilapia</v>
      </c>
      <c r="C2793" t="str">
        <f>IFERROR(__xludf.DUMMYFUNCTION("""COMPUTED_VALUE"""),"Fish")</f>
        <v>Fish</v>
      </c>
      <c r="D2793">
        <f>IFERROR(__xludf.DUMMYFUNCTION("""COMPUTED_VALUE"""),128.0)</f>
        <v>128</v>
      </c>
      <c r="E2793">
        <f>IFERROR(__xludf.DUMMYFUNCTION("""COMPUTED_VALUE"""),2.65)</f>
        <v>2.65</v>
      </c>
      <c r="F2793">
        <f>IFERROR(__xludf.DUMMYFUNCTION("""COMPUTED_VALUE"""),26.15)</f>
        <v>26.15</v>
      </c>
      <c r="G2793">
        <f>IFERROR(__xludf.DUMMYFUNCTION("""COMPUTED_VALUE"""),0.0)</f>
        <v>0</v>
      </c>
    </row>
    <row r="2794">
      <c r="A2794">
        <f>IFERROR(__xludf.DUMMYFUNCTION("""COMPUTED_VALUE"""),175178.0)</f>
        <v>175178</v>
      </c>
      <c r="B2794" t="str">
        <f>IFERROR(__xludf.DUMMYFUNCTION("""COMPUTED_VALUE"""),"Cooked Cod")</f>
        <v>Cooked Cod</v>
      </c>
      <c r="C2794" t="str">
        <f>IFERROR(__xludf.DUMMYFUNCTION("""COMPUTED_VALUE"""),"Fish")</f>
        <v>Fish</v>
      </c>
      <c r="D2794">
        <f>IFERROR(__xludf.DUMMYFUNCTION("""COMPUTED_VALUE"""),84.0)</f>
        <v>84</v>
      </c>
      <c r="E2794">
        <f>IFERROR(__xludf.DUMMYFUNCTION("""COMPUTED_VALUE"""),0.25)</f>
        <v>0.25</v>
      </c>
      <c r="F2794">
        <f>IFERROR(__xludf.DUMMYFUNCTION("""COMPUTED_VALUE"""),20.42)</f>
        <v>20.42</v>
      </c>
      <c r="G2794">
        <f>IFERROR(__xludf.DUMMYFUNCTION("""COMPUTED_VALUE"""),0.0)</f>
        <v>0</v>
      </c>
    </row>
    <row r="2795">
      <c r="A2795">
        <f>IFERROR(__xludf.DUMMYFUNCTION("""COMPUTED_VALUE"""),175179.0)</f>
        <v>175179</v>
      </c>
      <c r="B2795" t="str">
        <f>IFERROR(__xludf.DUMMYFUNCTION("""COMPUTED_VALUE"""),"Crustaceans Shrimp Raw (Not Previously Frozen)")</f>
        <v>Crustaceans Shrimp Raw (Not Previously Frozen)</v>
      </c>
      <c r="C2795" t="str">
        <f>IFERROR(__xludf.DUMMYFUNCTION("""COMPUTED_VALUE"""),"Fish")</f>
        <v>Fish</v>
      </c>
      <c r="D2795">
        <f>IFERROR(__xludf.DUMMYFUNCTION("""COMPUTED_VALUE"""),85.0)</f>
        <v>85</v>
      </c>
      <c r="E2795">
        <f>IFERROR(__xludf.DUMMYFUNCTION("""COMPUTED_VALUE"""),0.51)</f>
        <v>0.51</v>
      </c>
      <c r="F2795">
        <f>IFERROR(__xludf.DUMMYFUNCTION("""COMPUTED_VALUE"""),20.1)</f>
        <v>20.1</v>
      </c>
      <c r="G2795">
        <f>IFERROR(__xludf.DUMMYFUNCTION("""COMPUTED_VALUE"""),0.0)</f>
        <v>0</v>
      </c>
    </row>
    <row r="2796">
      <c r="A2796">
        <f>IFERROR(__xludf.DUMMYFUNCTION("""COMPUTED_VALUE"""),175180.0)</f>
        <v>175180</v>
      </c>
      <c r="B2796" t="str">
        <f>IFERROR(__xludf.DUMMYFUNCTION("""COMPUTED_VALUE"""),"Crustaceans Shrimp Cooked (Not Previously Frozen)")</f>
        <v>Crustaceans Shrimp Cooked (Not Previously Frozen)</v>
      </c>
      <c r="C2796" t="str">
        <f>IFERROR(__xludf.DUMMYFUNCTION("""COMPUTED_VALUE"""),"Fish")</f>
        <v>Fish</v>
      </c>
      <c r="D2796">
        <f>IFERROR(__xludf.DUMMYFUNCTION("""COMPUTED_VALUE"""),99.0)</f>
        <v>99</v>
      </c>
      <c r="E2796">
        <f>IFERROR(__xludf.DUMMYFUNCTION("""COMPUTED_VALUE"""),0.28)</f>
        <v>0.28</v>
      </c>
      <c r="F2796">
        <f>IFERROR(__xludf.DUMMYFUNCTION("""COMPUTED_VALUE"""),23.98)</f>
        <v>23.98</v>
      </c>
      <c r="G2796">
        <f>IFERROR(__xludf.DUMMYFUNCTION("""COMPUTED_VALUE"""),0.2)</f>
        <v>0.2</v>
      </c>
    </row>
    <row r="2797">
      <c r="A2797">
        <f>IFERROR(__xludf.DUMMYFUNCTION("""COMPUTED_VALUE"""),175181.0)</f>
        <v>175181</v>
      </c>
      <c r="B2797" t="str">
        <f>IFERROR(__xludf.DUMMYFUNCTION("""COMPUTED_VALUE"""),"Fish Trout Brook Raw New York State")</f>
        <v>Fish Trout Brook Raw New York State</v>
      </c>
      <c r="C2797" t="str">
        <f>IFERROR(__xludf.DUMMYFUNCTION("""COMPUTED_VALUE"""),"Fish")</f>
        <v>Fish</v>
      </c>
      <c r="D2797">
        <f>IFERROR(__xludf.DUMMYFUNCTION("""COMPUTED_VALUE"""),110.0)</f>
        <v>110</v>
      </c>
      <c r="E2797">
        <f>IFERROR(__xludf.DUMMYFUNCTION("""COMPUTED_VALUE"""),2.73)</f>
        <v>2.73</v>
      </c>
      <c r="F2797">
        <f>IFERROR(__xludf.DUMMYFUNCTION("""COMPUTED_VALUE"""),21.23)</f>
        <v>21.23</v>
      </c>
      <c r="G2797">
        <f>IFERROR(__xludf.DUMMYFUNCTION("""COMPUTED_VALUE"""),0.0)</f>
        <v>0</v>
      </c>
    </row>
    <row r="2798">
      <c r="A2798">
        <f>IFERROR(__xludf.DUMMYFUNCTION("""COMPUTED_VALUE"""),175259.0)</f>
        <v>175259</v>
      </c>
      <c r="B2798" t="str">
        <f>IFERROR(__xludf.DUMMYFUNCTION("""COMPUTED_VALUE"""),"Lamb New Zealand Imported Frozen Loin Separable Lean And Fat Cooked Broiled")</f>
        <v>Lamb New Zealand Imported Frozen Loin Separable Lean And Fat Cooked Broiled</v>
      </c>
      <c r="C2798" t="str">
        <f>IFERROR(__xludf.DUMMYFUNCTION("""COMPUTED_VALUE"""),"Meats")</f>
        <v>Meats</v>
      </c>
      <c r="D2798">
        <f>IFERROR(__xludf.DUMMYFUNCTION("""COMPUTED_VALUE"""),315.0)</f>
        <v>315</v>
      </c>
      <c r="E2798">
        <f>IFERROR(__xludf.DUMMYFUNCTION("""COMPUTED_VALUE"""),23.88)</f>
        <v>23.88</v>
      </c>
      <c r="F2798">
        <f>IFERROR(__xludf.DUMMYFUNCTION("""COMPUTED_VALUE"""),23.43)</f>
        <v>23.43</v>
      </c>
      <c r="G2798">
        <f>IFERROR(__xludf.DUMMYFUNCTION("""COMPUTED_VALUE"""),0.0)</f>
        <v>0</v>
      </c>
    </row>
    <row r="2799">
      <c r="A2799">
        <f>IFERROR(__xludf.DUMMYFUNCTION("""COMPUTED_VALUE"""),175260.0)</f>
        <v>175260</v>
      </c>
      <c r="B2799" t="str">
        <f>IFERROR(__xludf.DUMMYFUNCTION("""COMPUTED_VALUE"""),"Lamb New Zealand Imported Rack - Partly Frenched Separable Lean Only Raw")</f>
        <v>Lamb New Zealand Imported Rack - Partly Frenched Separable Lean Only Raw</v>
      </c>
      <c r="C2799" t="str">
        <f>IFERROR(__xludf.DUMMYFUNCTION("""COMPUTED_VALUE"""),"Meats")</f>
        <v>Meats</v>
      </c>
      <c r="D2799">
        <f>IFERROR(__xludf.DUMMYFUNCTION("""COMPUTED_VALUE"""),160.0)</f>
        <v>160</v>
      </c>
      <c r="E2799">
        <f>IFERROR(__xludf.DUMMYFUNCTION("""COMPUTED_VALUE"""),8.61)</f>
        <v>8.61</v>
      </c>
      <c r="F2799">
        <f>IFERROR(__xludf.DUMMYFUNCTION("""COMPUTED_VALUE"""),20.65)</f>
        <v>20.65</v>
      </c>
      <c r="G2799">
        <f>IFERROR(__xludf.DUMMYFUNCTION("""COMPUTED_VALUE"""),0.0)</f>
        <v>0</v>
      </c>
    </row>
    <row r="2800">
      <c r="A2800">
        <f>IFERROR(__xludf.DUMMYFUNCTION("""COMPUTED_VALUE"""),175261.0)</f>
        <v>175261</v>
      </c>
      <c r="B2800" t="str">
        <f>IFERROR(__xludf.DUMMYFUNCTION("""COMPUTED_VALUE"""),"Lamb New Zealand Imported Rack - Partly Frenched Separable Lean Only Cooked Fast Roasted")</f>
        <v>Lamb New Zealand Imported Rack - Partly Frenched Separable Lean Only Cooked Fast Roasted</v>
      </c>
      <c r="C2800" t="str">
        <f>IFERROR(__xludf.DUMMYFUNCTION("""COMPUTED_VALUE"""),"Meats")</f>
        <v>Meats</v>
      </c>
      <c r="D2800">
        <f>IFERROR(__xludf.DUMMYFUNCTION("""COMPUTED_VALUE"""),193.0)</f>
        <v>193</v>
      </c>
      <c r="E2800">
        <f>IFERROR(__xludf.DUMMYFUNCTION("""COMPUTED_VALUE"""),10.63)</f>
        <v>10.63</v>
      </c>
      <c r="F2800">
        <f>IFERROR(__xludf.DUMMYFUNCTION("""COMPUTED_VALUE"""),24.43)</f>
        <v>24.43</v>
      </c>
      <c r="G2800">
        <f>IFERROR(__xludf.DUMMYFUNCTION("""COMPUTED_VALUE"""),0.0)</f>
        <v>0</v>
      </c>
    </row>
    <row r="2801">
      <c r="A2801">
        <f>IFERROR(__xludf.DUMMYFUNCTION("""COMPUTED_VALUE"""),175262.0)</f>
        <v>175262</v>
      </c>
      <c r="B2801" t="str">
        <f>IFERROR(__xludf.DUMMYFUNCTION("""COMPUTED_VALUE"""),"Lamb New Zealand Imported Square-Cut Shoulder Separable Lean And Fat Raw")</f>
        <v>Lamb New Zealand Imported Square-Cut Shoulder Separable Lean And Fat Raw</v>
      </c>
      <c r="C2801" t="str">
        <f>IFERROR(__xludf.DUMMYFUNCTION("""COMPUTED_VALUE"""),"Meats")</f>
        <v>Meats</v>
      </c>
      <c r="D2801">
        <f>IFERROR(__xludf.DUMMYFUNCTION("""COMPUTED_VALUE"""),272.0)</f>
        <v>272</v>
      </c>
      <c r="E2801">
        <f>IFERROR(__xludf.DUMMYFUNCTION("""COMPUTED_VALUE"""),22.89)</f>
        <v>22.89</v>
      </c>
      <c r="F2801">
        <f>IFERROR(__xludf.DUMMYFUNCTION("""COMPUTED_VALUE"""),16.16)</f>
        <v>16.16</v>
      </c>
      <c r="G2801">
        <f>IFERROR(__xludf.DUMMYFUNCTION("""COMPUTED_VALUE"""),0.24)</f>
        <v>0.24</v>
      </c>
    </row>
    <row r="2802">
      <c r="A2802">
        <f>IFERROR(__xludf.DUMMYFUNCTION("""COMPUTED_VALUE"""),175263.0)</f>
        <v>175263</v>
      </c>
      <c r="B2802" t="str">
        <f>IFERROR(__xludf.DUMMYFUNCTION("""COMPUTED_VALUE"""),"Lamb New Zealand Imported Frozen Shoulder Whole (Arm And Blade) Separable Lean And Fat Cooked Braised")</f>
        <v>Lamb New Zealand Imported Frozen Shoulder Whole (Arm And Blade) Separable Lean And Fat Cooked Braised</v>
      </c>
      <c r="C2802" t="str">
        <f>IFERROR(__xludf.DUMMYFUNCTION("""COMPUTED_VALUE"""),"Meats")</f>
        <v>Meats</v>
      </c>
      <c r="D2802">
        <f>IFERROR(__xludf.DUMMYFUNCTION("""COMPUTED_VALUE"""),357.0)</f>
        <v>357</v>
      </c>
      <c r="E2802">
        <f>IFERROR(__xludf.DUMMYFUNCTION("""COMPUTED_VALUE"""),26.27)</f>
        <v>26.27</v>
      </c>
      <c r="F2802">
        <f>IFERROR(__xludf.DUMMYFUNCTION("""COMPUTED_VALUE"""),28.21)</f>
        <v>28.21</v>
      </c>
      <c r="G2802">
        <f>IFERROR(__xludf.DUMMYFUNCTION("""COMPUTED_VALUE"""),0.0)</f>
        <v>0</v>
      </c>
    </row>
    <row r="2803">
      <c r="A2803">
        <f>IFERROR(__xludf.DUMMYFUNCTION("""COMPUTED_VALUE"""),175264.0)</f>
        <v>175264</v>
      </c>
      <c r="B2803" t="str">
        <f>IFERROR(__xludf.DUMMYFUNCTION("""COMPUTED_VALUE"""),"Lamb New Zealand Imported Square-Cut Shoulder Separable Lean Only Raw")</f>
        <v>Lamb New Zealand Imported Square-Cut Shoulder Separable Lean Only Raw</v>
      </c>
      <c r="C2803" t="str">
        <f>IFERROR(__xludf.DUMMYFUNCTION("""COMPUTED_VALUE"""),"Meats")</f>
        <v>Meats</v>
      </c>
      <c r="D2803">
        <f>IFERROR(__xludf.DUMMYFUNCTION("""COMPUTED_VALUE"""),154.0)</f>
        <v>154</v>
      </c>
      <c r="E2803">
        <f>IFERROR(__xludf.DUMMYFUNCTION("""COMPUTED_VALUE"""),8.3)</f>
        <v>8.3</v>
      </c>
      <c r="F2803">
        <f>IFERROR(__xludf.DUMMYFUNCTION("""COMPUTED_VALUE"""),19.72)</f>
        <v>19.72</v>
      </c>
      <c r="G2803">
        <f>IFERROR(__xludf.DUMMYFUNCTION("""COMPUTED_VALUE"""),0.0)</f>
        <v>0</v>
      </c>
    </row>
    <row r="2804">
      <c r="A2804">
        <f>IFERROR(__xludf.DUMMYFUNCTION("""COMPUTED_VALUE"""),175265.0)</f>
        <v>175265</v>
      </c>
      <c r="B2804" t="str">
        <f>IFERROR(__xludf.DUMMYFUNCTION("""COMPUTED_VALUE"""),"Veal Composite Of Trimmed Retail Cuts Separable Lean Only Cooked")</f>
        <v>Veal Composite Of Trimmed Retail Cuts Separable Lean Only Cooked</v>
      </c>
      <c r="C2804" t="str">
        <f>IFERROR(__xludf.DUMMYFUNCTION("""COMPUTED_VALUE"""),"Meats")</f>
        <v>Meats</v>
      </c>
      <c r="D2804">
        <f>IFERROR(__xludf.DUMMYFUNCTION("""COMPUTED_VALUE"""),196.0)</f>
        <v>196</v>
      </c>
      <c r="E2804">
        <f>IFERROR(__xludf.DUMMYFUNCTION("""COMPUTED_VALUE"""),6.58)</f>
        <v>6.58</v>
      </c>
      <c r="F2804">
        <f>IFERROR(__xludf.DUMMYFUNCTION("""COMPUTED_VALUE"""),31.9)</f>
        <v>31.9</v>
      </c>
      <c r="G2804">
        <f>IFERROR(__xludf.DUMMYFUNCTION("""COMPUTED_VALUE"""),0.0)</f>
        <v>0</v>
      </c>
    </row>
    <row r="2805">
      <c r="A2805">
        <f>IFERROR(__xludf.DUMMYFUNCTION("""COMPUTED_VALUE"""),175266.0)</f>
        <v>175266</v>
      </c>
      <c r="B2805" t="str">
        <f>IFERROR(__xludf.DUMMYFUNCTION("""COMPUTED_VALUE"""),"Veal Composite Of Trimmed Retail Cuts Separable Fat Raw")</f>
        <v>Veal Composite Of Trimmed Retail Cuts Separable Fat Raw</v>
      </c>
      <c r="C2805" t="str">
        <f>IFERROR(__xludf.DUMMYFUNCTION("""COMPUTED_VALUE"""),"Meats")</f>
        <v>Meats</v>
      </c>
      <c r="D2805">
        <f>IFERROR(__xludf.DUMMYFUNCTION("""COMPUTED_VALUE"""),638.0)</f>
        <v>638</v>
      </c>
      <c r="E2805">
        <f>IFERROR(__xludf.DUMMYFUNCTION("""COMPUTED_VALUE"""),67.83)</f>
        <v>67.83</v>
      </c>
      <c r="F2805">
        <f>IFERROR(__xludf.DUMMYFUNCTION("""COMPUTED_VALUE"""),6.02)</f>
        <v>6.02</v>
      </c>
      <c r="G2805">
        <f>IFERROR(__xludf.DUMMYFUNCTION("""COMPUTED_VALUE"""),0.0)</f>
        <v>0</v>
      </c>
    </row>
    <row r="2806">
      <c r="A2806">
        <f>IFERROR(__xludf.DUMMYFUNCTION("""COMPUTED_VALUE"""),175267.0)</f>
        <v>175267</v>
      </c>
      <c r="B2806" t="str">
        <f>IFERROR(__xludf.DUMMYFUNCTION("""COMPUTED_VALUE"""),"Veal Composite Of Trimmed Retail Cuts Separable Fat Cooked")</f>
        <v>Veal Composite Of Trimmed Retail Cuts Separable Fat Cooked</v>
      </c>
      <c r="C2806" t="str">
        <f>IFERROR(__xludf.DUMMYFUNCTION("""COMPUTED_VALUE"""),"Meats")</f>
        <v>Meats</v>
      </c>
      <c r="D2806">
        <f>IFERROR(__xludf.DUMMYFUNCTION("""COMPUTED_VALUE"""),642.0)</f>
        <v>642</v>
      </c>
      <c r="E2806">
        <f>IFERROR(__xludf.DUMMYFUNCTION("""COMPUTED_VALUE"""),66.74)</f>
        <v>66.74</v>
      </c>
      <c r="F2806">
        <f>IFERROR(__xludf.DUMMYFUNCTION("""COMPUTED_VALUE"""),9.42)</f>
        <v>9.42</v>
      </c>
      <c r="G2806">
        <f>IFERROR(__xludf.DUMMYFUNCTION("""COMPUTED_VALUE"""),0.0)</f>
        <v>0</v>
      </c>
    </row>
    <row r="2807">
      <c r="A2807">
        <f>IFERROR(__xludf.DUMMYFUNCTION("""COMPUTED_VALUE"""),175268.0)</f>
        <v>175268</v>
      </c>
      <c r="B2807" t="str">
        <f>IFERROR(__xludf.DUMMYFUNCTION("""COMPUTED_VALUE"""),"Veal Leg (Top Round) Separable Lean And Fat Raw")</f>
        <v>Veal Leg (Top Round) Separable Lean And Fat Raw</v>
      </c>
      <c r="C2807" t="str">
        <f>IFERROR(__xludf.DUMMYFUNCTION("""COMPUTED_VALUE"""),"Meats")</f>
        <v>Meats</v>
      </c>
      <c r="D2807">
        <f>IFERROR(__xludf.DUMMYFUNCTION("""COMPUTED_VALUE"""),117.0)</f>
        <v>117</v>
      </c>
      <c r="E2807">
        <f>IFERROR(__xludf.DUMMYFUNCTION("""COMPUTED_VALUE"""),3.08)</f>
        <v>3.08</v>
      </c>
      <c r="F2807">
        <f>IFERROR(__xludf.DUMMYFUNCTION("""COMPUTED_VALUE"""),20.98)</f>
        <v>20.98</v>
      </c>
      <c r="G2807">
        <f>IFERROR(__xludf.DUMMYFUNCTION("""COMPUTED_VALUE"""),0.0)</f>
        <v>0</v>
      </c>
    </row>
    <row r="2808">
      <c r="A2808">
        <f>IFERROR(__xludf.DUMMYFUNCTION("""COMPUTED_VALUE"""),175269.0)</f>
        <v>175269</v>
      </c>
      <c r="B2808" t="str">
        <f>IFERROR(__xludf.DUMMYFUNCTION("""COMPUTED_VALUE"""),"Veal Leg (Top Round) Separable Lean Only Raw")</f>
        <v>Veal Leg (Top Round) Separable Lean Only Raw</v>
      </c>
      <c r="C2808" t="str">
        <f>IFERROR(__xludf.DUMMYFUNCTION("""COMPUTED_VALUE"""),"Meats")</f>
        <v>Meats</v>
      </c>
      <c r="D2808">
        <f>IFERROR(__xludf.DUMMYFUNCTION("""COMPUTED_VALUE"""),107.0)</f>
        <v>107</v>
      </c>
      <c r="E2808">
        <f>IFERROR(__xludf.DUMMYFUNCTION("""COMPUTED_VALUE"""),1.76)</f>
        <v>1.76</v>
      </c>
      <c r="F2808">
        <f>IFERROR(__xludf.DUMMYFUNCTION("""COMPUTED_VALUE"""),21.28)</f>
        <v>21.28</v>
      </c>
      <c r="G2808">
        <f>IFERROR(__xludf.DUMMYFUNCTION("""COMPUTED_VALUE"""),0.0)</f>
        <v>0</v>
      </c>
    </row>
    <row r="2809">
      <c r="A2809">
        <f>IFERROR(__xludf.DUMMYFUNCTION("""COMPUTED_VALUE"""),175270.0)</f>
        <v>175270</v>
      </c>
      <c r="B2809" t="str">
        <f>IFERROR(__xludf.DUMMYFUNCTION("""COMPUTED_VALUE"""),"Veal Leg Top Roast (Cooked)")</f>
        <v>Veal Leg Top Roast (Cooked)</v>
      </c>
      <c r="C2809" t="str">
        <f>IFERROR(__xludf.DUMMYFUNCTION("""COMPUTED_VALUE"""),"Meats")</f>
        <v>Meats</v>
      </c>
      <c r="D2809">
        <f>IFERROR(__xludf.DUMMYFUNCTION("""COMPUTED_VALUE"""),203.0)</f>
        <v>203</v>
      </c>
      <c r="E2809">
        <f>IFERROR(__xludf.DUMMYFUNCTION("""COMPUTED_VALUE"""),5.09)</f>
        <v>5.09</v>
      </c>
      <c r="F2809">
        <f>IFERROR(__xludf.DUMMYFUNCTION("""COMPUTED_VALUE"""),36.71)</f>
        <v>36.71</v>
      </c>
      <c r="G2809">
        <f>IFERROR(__xludf.DUMMYFUNCTION("""COMPUTED_VALUE"""),0.0)</f>
        <v>0</v>
      </c>
    </row>
    <row r="2810">
      <c r="A2810">
        <f>IFERROR(__xludf.DUMMYFUNCTION("""COMPUTED_VALUE"""),175271.0)</f>
        <v>175271</v>
      </c>
      <c r="B2810" t="str">
        <f>IFERROR(__xludf.DUMMYFUNCTION("""COMPUTED_VALUE"""),"Veal Leg (Top Round) Separable Lean Only Cooked Pan-Fried Breaded")</f>
        <v>Veal Leg (Top Round) Separable Lean Only Cooked Pan-Fried Breaded</v>
      </c>
      <c r="C2810" t="str">
        <f>IFERROR(__xludf.DUMMYFUNCTION("""COMPUTED_VALUE"""),"Meats")</f>
        <v>Meats</v>
      </c>
      <c r="D2810">
        <f>IFERROR(__xludf.DUMMYFUNCTION("""COMPUTED_VALUE"""),216.0)</f>
        <v>216</v>
      </c>
      <c r="E2810">
        <f>IFERROR(__xludf.DUMMYFUNCTION("""COMPUTED_VALUE"""),6.27)</f>
        <v>6.27</v>
      </c>
      <c r="F2810">
        <f>IFERROR(__xludf.DUMMYFUNCTION("""COMPUTED_VALUE"""),28.41)</f>
        <v>28.41</v>
      </c>
      <c r="G2810">
        <f>IFERROR(__xludf.DUMMYFUNCTION("""COMPUTED_VALUE"""),9.84)</f>
        <v>9.84</v>
      </c>
    </row>
    <row r="2811">
      <c r="A2811">
        <f>IFERROR(__xludf.DUMMYFUNCTION("""COMPUTED_VALUE"""),175272.0)</f>
        <v>175272</v>
      </c>
      <c r="B2811" t="str">
        <f>IFERROR(__xludf.DUMMYFUNCTION("""COMPUTED_VALUE"""),"Veal Leg (Top Round) Separable Lean Only Cooked Pan-Fried Not Breaded")</f>
        <v>Veal Leg (Top Round) Separable Lean Only Cooked Pan-Fried Not Breaded</v>
      </c>
      <c r="C2811" t="str">
        <f>IFERROR(__xludf.DUMMYFUNCTION("""COMPUTED_VALUE"""),"Meats")</f>
        <v>Meats</v>
      </c>
      <c r="D2811">
        <f>IFERROR(__xludf.DUMMYFUNCTION("""COMPUTED_VALUE"""),183.0)</f>
        <v>183</v>
      </c>
      <c r="E2811">
        <f>IFERROR(__xludf.DUMMYFUNCTION("""COMPUTED_VALUE"""),4.62)</f>
        <v>4.62</v>
      </c>
      <c r="F2811">
        <f>IFERROR(__xludf.DUMMYFUNCTION("""COMPUTED_VALUE"""),33.17)</f>
        <v>33.17</v>
      </c>
      <c r="G2811">
        <f>IFERROR(__xludf.DUMMYFUNCTION("""COMPUTED_VALUE"""),0.0)</f>
        <v>0</v>
      </c>
    </row>
    <row r="2812">
      <c r="A2812">
        <f>IFERROR(__xludf.DUMMYFUNCTION("""COMPUTED_VALUE"""),175273.0)</f>
        <v>175273</v>
      </c>
      <c r="B2812" t="str">
        <f>IFERROR(__xludf.DUMMYFUNCTION("""COMPUTED_VALUE"""),"Veal Loin Separable Lean Only Cooked Braised")</f>
        <v>Veal Loin Separable Lean Only Cooked Braised</v>
      </c>
      <c r="C2812" t="str">
        <f>IFERROR(__xludf.DUMMYFUNCTION("""COMPUTED_VALUE"""),"Meats")</f>
        <v>Meats</v>
      </c>
      <c r="D2812">
        <f>IFERROR(__xludf.DUMMYFUNCTION("""COMPUTED_VALUE"""),226.0)</f>
        <v>226</v>
      </c>
      <c r="E2812">
        <f>IFERROR(__xludf.DUMMYFUNCTION("""COMPUTED_VALUE"""),9.15)</f>
        <v>9.15</v>
      </c>
      <c r="F2812">
        <f>IFERROR(__xludf.DUMMYFUNCTION("""COMPUTED_VALUE"""),33.57)</f>
        <v>33.57</v>
      </c>
      <c r="G2812">
        <f>IFERROR(__xludf.DUMMYFUNCTION("""COMPUTED_VALUE"""),0.0)</f>
        <v>0</v>
      </c>
    </row>
    <row r="2813">
      <c r="A2813">
        <f>IFERROR(__xludf.DUMMYFUNCTION("""COMPUTED_VALUE"""),175274.0)</f>
        <v>175274</v>
      </c>
      <c r="B2813" t="str">
        <f>IFERROR(__xludf.DUMMYFUNCTION("""COMPUTED_VALUE"""),"Veal Loin Separable Lean Only Cooked Roasted")</f>
        <v>Veal Loin Separable Lean Only Cooked Roasted</v>
      </c>
      <c r="C2813" t="str">
        <f>IFERROR(__xludf.DUMMYFUNCTION("""COMPUTED_VALUE"""),"Meats")</f>
        <v>Meats</v>
      </c>
      <c r="D2813">
        <f>IFERROR(__xludf.DUMMYFUNCTION("""COMPUTED_VALUE"""),175.0)</f>
        <v>175</v>
      </c>
      <c r="E2813">
        <f>IFERROR(__xludf.DUMMYFUNCTION("""COMPUTED_VALUE"""),6.94)</f>
        <v>6.94</v>
      </c>
      <c r="F2813">
        <f>IFERROR(__xludf.DUMMYFUNCTION("""COMPUTED_VALUE"""),26.32)</f>
        <v>26.32</v>
      </c>
      <c r="G2813">
        <f>IFERROR(__xludf.DUMMYFUNCTION("""COMPUTED_VALUE"""),0.0)</f>
        <v>0</v>
      </c>
    </row>
    <row r="2814">
      <c r="A2814">
        <f>IFERROR(__xludf.DUMMYFUNCTION("""COMPUTED_VALUE"""),175275.0)</f>
        <v>175275</v>
      </c>
      <c r="B2814" t="str">
        <f>IFERROR(__xludf.DUMMYFUNCTION("""COMPUTED_VALUE"""),"Veal Rib Separable Lean And Fat Raw")</f>
        <v>Veal Rib Separable Lean And Fat Raw</v>
      </c>
      <c r="C2814" t="str">
        <f>IFERROR(__xludf.DUMMYFUNCTION("""COMPUTED_VALUE"""),"Meats")</f>
        <v>Meats</v>
      </c>
      <c r="D2814">
        <f>IFERROR(__xludf.DUMMYFUNCTION("""COMPUTED_VALUE"""),162.0)</f>
        <v>162</v>
      </c>
      <c r="E2814">
        <f>IFERROR(__xludf.DUMMYFUNCTION("""COMPUTED_VALUE"""),9.01)</f>
        <v>9.01</v>
      </c>
      <c r="F2814">
        <f>IFERROR(__xludf.DUMMYFUNCTION("""COMPUTED_VALUE"""),18.86)</f>
        <v>18.86</v>
      </c>
      <c r="G2814">
        <f>IFERROR(__xludf.DUMMYFUNCTION("""COMPUTED_VALUE"""),0.0)</f>
        <v>0</v>
      </c>
    </row>
    <row r="2815">
      <c r="A2815">
        <f>IFERROR(__xludf.DUMMYFUNCTION("""COMPUTED_VALUE"""),175276.0)</f>
        <v>175276</v>
      </c>
      <c r="B2815" t="str">
        <f>IFERROR(__xludf.DUMMYFUNCTION("""COMPUTED_VALUE"""),"Veal Rib Separable Lean And Fat Cooked Braised")</f>
        <v>Veal Rib Separable Lean And Fat Cooked Braised</v>
      </c>
      <c r="C2815" t="str">
        <f>IFERROR(__xludf.DUMMYFUNCTION("""COMPUTED_VALUE"""),"Meats")</f>
        <v>Meats</v>
      </c>
      <c r="D2815">
        <f>IFERROR(__xludf.DUMMYFUNCTION("""COMPUTED_VALUE"""),251.0)</f>
        <v>251</v>
      </c>
      <c r="E2815">
        <f>IFERROR(__xludf.DUMMYFUNCTION("""COMPUTED_VALUE"""),12.53)</f>
        <v>12.53</v>
      </c>
      <c r="F2815">
        <f>IFERROR(__xludf.DUMMYFUNCTION("""COMPUTED_VALUE"""),32.43)</f>
        <v>32.43</v>
      </c>
      <c r="G2815">
        <f>IFERROR(__xludf.DUMMYFUNCTION("""COMPUTED_VALUE"""),0.0)</f>
        <v>0</v>
      </c>
    </row>
    <row r="2816">
      <c r="A2816">
        <f>IFERROR(__xludf.DUMMYFUNCTION("""COMPUTED_VALUE"""),175277.0)</f>
        <v>175277</v>
      </c>
      <c r="B2816" t="str">
        <f>IFERROR(__xludf.DUMMYFUNCTION("""COMPUTED_VALUE"""),"Veal Shoulder Whole (Arm And Blade) Separable Lean And Fat Raw")</f>
        <v>Veal Shoulder Whole (Arm And Blade) Separable Lean And Fat Raw</v>
      </c>
      <c r="C2816" t="str">
        <f>IFERROR(__xludf.DUMMYFUNCTION("""COMPUTED_VALUE"""),"Meats")</f>
        <v>Meats</v>
      </c>
      <c r="D2816">
        <f>IFERROR(__xludf.DUMMYFUNCTION("""COMPUTED_VALUE"""),130.0)</f>
        <v>130</v>
      </c>
      <c r="E2816">
        <f>IFERROR(__xludf.DUMMYFUNCTION("""COMPUTED_VALUE"""),5.28)</f>
        <v>5.28</v>
      </c>
      <c r="F2816">
        <f>IFERROR(__xludf.DUMMYFUNCTION("""COMPUTED_VALUE"""),19.27)</f>
        <v>19.27</v>
      </c>
      <c r="G2816">
        <f>IFERROR(__xludf.DUMMYFUNCTION("""COMPUTED_VALUE"""),0.0)</f>
        <v>0</v>
      </c>
    </row>
    <row r="2817">
      <c r="A2817">
        <f>IFERROR(__xludf.DUMMYFUNCTION("""COMPUTED_VALUE"""),175278.0)</f>
        <v>175278</v>
      </c>
      <c r="B2817" t="str">
        <f>IFERROR(__xludf.DUMMYFUNCTION("""COMPUTED_VALUE"""),"Veal Shoulder Whole (Arm And Blade) Separable Lean And Fat Cooked Braised")</f>
        <v>Veal Shoulder Whole (Arm And Blade) Separable Lean And Fat Cooked Braised</v>
      </c>
      <c r="C2817" t="str">
        <f>IFERROR(__xludf.DUMMYFUNCTION("""COMPUTED_VALUE"""),"Meats")</f>
        <v>Meats</v>
      </c>
      <c r="D2817">
        <f>IFERROR(__xludf.DUMMYFUNCTION("""COMPUTED_VALUE"""),228.0)</f>
        <v>228</v>
      </c>
      <c r="E2817">
        <f>IFERROR(__xludf.DUMMYFUNCTION("""COMPUTED_VALUE"""),10.14)</f>
        <v>10.14</v>
      </c>
      <c r="F2817">
        <f>IFERROR(__xludf.DUMMYFUNCTION("""COMPUTED_VALUE"""),32.06)</f>
        <v>32.06</v>
      </c>
      <c r="G2817">
        <f>IFERROR(__xludf.DUMMYFUNCTION("""COMPUTED_VALUE"""),0.0)</f>
        <v>0</v>
      </c>
    </row>
    <row r="2818">
      <c r="A2818">
        <f>IFERROR(__xludf.DUMMYFUNCTION("""COMPUTED_VALUE"""),175279.0)</f>
        <v>175279</v>
      </c>
      <c r="B2818" t="str">
        <f>IFERROR(__xludf.DUMMYFUNCTION("""COMPUTED_VALUE"""),"Veal Shoulder Whole (Arm And Blade) Separable Lean And Fat Cooked Roasted")</f>
        <v>Veal Shoulder Whole (Arm And Blade) Separable Lean And Fat Cooked Roasted</v>
      </c>
      <c r="C2818" t="str">
        <f>IFERROR(__xludf.DUMMYFUNCTION("""COMPUTED_VALUE"""),"Meats")</f>
        <v>Meats</v>
      </c>
      <c r="D2818">
        <f>IFERROR(__xludf.DUMMYFUNCTION("""COMPUTED_VALUE"""),184.0)</f>
        <v>184</v>
      </c>
      <c r="E2818">
        <f>IFERROR(__xludf.DUMMYFUNCTION("""COMPUTED_VALUE"""),8.42)</f>
        <v>8.42</v>
      </c>
      <c r="F2818">
        <f>IFERROR(__xludf.DUMMYFUNCTION("""COMPUTED_VALUE"""),25.32)</f>
        <v>25.32</v>
      </c>
      <c r="G2818">
        <f>IFERROR(__xludf.DUMMYFUNCTION("""COMPUTED_VALUE"""),0.0)</f>
        <v>0</v>
      </c>
    </row>
    <row r="2819">
      <c r="A2819">
        <f>IFERROR(__xludf.DUMMYFUNCTION("""COMPUTED_VALUE"""),175280.0)</f>
        <v>175280</v>
      </c>
      <c r="B2819" t="str">
        <f>IFERROR(__xludf.DUMMYFUNCTION("""COMPUTED_VALUE"""),"Veal Shoulder Whole (Arm And Blade) Separable Lean Only Raw")</f>
        <v>Veal Shoulder Whole (Arm And Blade) Separable Lean Only Raw</v>
      </c>
      <c r="C2819" t="str">
        <f>IFERROR(__xludf.DUMMYFUNCTION("""COMPUTED_VALUE"""),"Meats")</f>
        <v>Meats</v>
      </c>
      <c r="D2819">
        <f>IFERROR(__xludf.DUMMYFUNCTION("""COMPUTED_VALUE"""),112.0)</f>
        <v>112</v>
      </c>
      <c r="E2819">
        <f>IFERROR(__xludf.DUMMYFUNCTION("""COMPUTED_VALUE"""),3.0)</f>
        <v>3</v>
      </c>
      <c r="F2819">
        <f>IFERROR(__xludf.DUMMYFUNCTION("""COMPUTED_VALUE"""),19.79)</f>
        <v>19.79</v>
      </c>
      <c r="G2819">
        <f>IFERROR(__xludf.DUMMYFUNCTION("""COMPUTED_VALUE"""),0.0)</f>
        <v>0</v>
      </c>
    </row>
    <row r="2820">
      <c r="A2820">
        <f>IFERROR(__xludf.DUMMYFUNCTION("""COMPUTED_VALUE"""),175281.0)</f>
        <v>175281</v>
      </c>
      <c r="B2820" t="str">
        <f>IFERROR(__xludf.DUMMYFUNCTION("""COMPUTED_VALUE"""),"Veal Shoulder Arm Separable Lean And Fat Cooked Roasted")</f>
        <v>Veal Shoulder Arm Separable Lean And Fat Cooked Roasted</v>
      </c>
      <c r="C2820" t="str">
        <f>IFERROR(__xludf.DUMMYFUNCTION("""COMPUTED_VALUE"""),"Meats")</f>
        <v>Meats</v>
      </c>
      <c r="D2820">
        <f>IFERROR(__xludf.DUMMYFUNCTION("""COMPUTED_VALUE"""),183.0)</f>
        <v>183</v>
      </c>
      <c r="E2820">
        <f>IFERROR(__xludf.DUMMYFUNCTION("""COMPUTED_VALUE"""),8.25)</f>
        <v>8.25</v>
      </c>
      <c r="F2820">
        <f>IFERROR(__xludf.DUMMYFUNCTION("""COMPUTED_VALUE"""),25.46)</f>
        <v>25.46</v>
      </c>
      <c r="G2820">
        <f>IFERROR(__xludf.DUMMYFUNCTION("""COMPUTED_VALUE"""),0.0)</f>
        <v>0</v>
      </c>
    </row>
    <row r="2821">
      <c r="A2821">
        <f>IFERROR(__xludf.DUMMYFUNCTION("""COMPUTED_VALUE"""),175282.0)</f>
        <v>175282</v>
      </c>
      <c r="B2821" t="str">
        <f>IFERROR(__xludf.DUMMYFUNCTION("""COMPUTED_VALUE"""),"Veal Shoulder Arm Separable Lean Only Raw")</f>
        <v>Veal Shoulder Arm Separable Lean Only Raw</v>
      </c>
      <c r="C2821" t="str">
        <f>IFERROR(__xludf.DUMMYFUNCTION("""COMPUTED_VALUE"""),"Meats")</f>
        <v>Meats</v>
      </c>
      <c r="D2821">
        <f>IFERROR(__xludf.DUMMYFUNCTION("""COMPUTED_VALUE"""),105.0)</f>
        <v>105</v>
      </c>
      <c r="E2821">
        <f>IFERROR(__xludf.DUMMYFUNCTION("""COMPUTED_VALUE"""),2.16)</f>
        <v>2.16</v>
      </c>
      <c r="F2821">
        <f>IFERROR(__xludf.DUMMYFUNCTION("""COMPUTED_VALUE"""),20.04)</f>
        <v>20.04</v>
      </c>
      <c r="G2821">
        <f>IFERROR(__xludf.DUMMYFUNCTION("""COMPUTED_VALUE"""),0.0)</f>
        <v>0</v>
      </c>
    </row>
    <row r="2822">
      <c r="A2822">
        <f>IFERROR(__xludf.DUMMYFUNCTION("""COMPUTED_VALUE"""),175283.0)</f>
        <v>175283</v>
      </c>
      <c r="B2822" t="str">
        <f>IFERROR(__xludf.DUMMYFUNCTION("""COMPUTED_VALUE"""),"Veal Shoulder Arm Separable Lean Only Cooked Braised")</f>
        <v>Veal Shoulder Arm Separable Lean Only Cooked Braised</v>
      </c>
      <c r="C2822" t="str">
        <f>IFERROR(__xludf.DUMMYFUNCTION("""COMPUTED_VALUE"""),"Meats")</f>
        <v>Meats</v>
      </c>
      <c r="D2822">
        <f>IFERROR(__xludf.DUMMYFUNCTION("""COMPUTED_VALUE"""),201.0)</f>
        <v>201</v>
      </c>
      <c r="E2822">
        <f>IFERROR(__xludf.DUMMYFUNCTION("""COMPUTED_VALUE"""),5.33)</f>
        <v>5.33</v>
      </c>
      <c r="F2822">
        <f>IFERROR(__xludf.DUMMYFUNCTION("""COMPUTED_VALUE"""),35.73)</f>
        <v>35.73</v>
      </c>
      <c r="G2822">
        <f>IFERROR(__xludf.DUMMYFUNCTION("""COMPUTED_VALUE"""),0.0)</f>
        <v>0</v>
      </c>
    </row>
    <row r="2823">
      <c r="A2823">
        <f>IFERROR(__xludf.DUMMYFUNCTION("""COMPUTED_VALUE"""),175284.0)</f>
        <v>175284</v>
      </c>
      <c r="B2823" t="str">
        <f>IFERROR(__xludf.DUMMYFUNCTION("""COMPUTED_VALUE"""),"Veal Shoulder Arm Separable Lean Only Cooked Roasted")</f>
        <v>Veal Shoulder Arm Separable Lean Only Cooked Roasted</v>
      </c>
      <c r="C2823" t="str">
        <f>IFERROR(__xludf.DUMMYFUNCTION("""COMPUTED_VALUE"""),"Meats")</f>
        <v>Meats</v>
      </c>
      <c r="D2823">
        <f>IFERROR(__xludf.DUMMYFUNCTION("""COMPUTED_VALUE"""),164.0)</f>
        <v>164</v>
      </c>
      <c r="E2823">
        <f>IFERROR(__xludf.DUMMYFUNCTION("""COMPUTED_VALUE"""),5.81)</f>
        <v>5.81</v>
      </c>
      <c r="F2823">
        <f>IFERROR(__xludf.DUMMYFUNCTION("""COMPUTED_VALUE"""),26.13)</f>
        <v>26.13</v>
      </c>
      <c r="G2823">
        <f>IFERROR(__xludf.DUMMYFUNCTION("""COMPUTED_VALUE"""),0.0)</f>
        <v>0</v>
      </c>
    </row>
    <row r="2824">
      <c r="A2824">
        <f>IFERROR(__xludf.DUMMYFUNCTION("""COMPUTED_VALUE"""),175285.0)</f>
        <v>175285</v>
      </c>
      <c r="B2824" t="str">
        <f>IFERROR(__xludf.DUMMYFUNCTION("""COMPUTED_VALUE"""),"Veal Shoulder Blade Separable Lean Only Cooked Roasted")</f>
        <v>Veal Shoulder Blade Separable Lean Only Cooked Roasted</v>
      </c>
      <c r="C2824" t="str">
        <f>IFERROR(__xludf.DUMMYFUNCTION("""COMPUTED_VALUE"""),"Meats")</f>
        <v>Meats</v>
      </c>
      <c r="D2824">
        <f>IFERROR(__xludf.DUMMYFUNCTION("""COMPUTED_VALUE"""),171.0)</f>
        <v>171</v>
      </c>
      <c r="E2824">
        <f>IFERROR(__xludf.DUMMYFUNCTION("""COMPUTED_VALUE"""),6.88)</f>
        <v>6.88</v>
      </c>
      <c r="F2824">
        <f>IFERROR(__xludf.DUMMYFUNCTION("""COMPUTED_VALUE"""),25.64)</f>
        <v>25.64</v>
      </c>
      <c r="G2824">
        <f>IFERROR(__xludf.DUMMYFUNCTION("""COMPUTED_VALUE"""),0.0)</f>
        <v>0</v>
      </c>
    </row>
    <row r="2825">
      <c r="A2825">
        <f>IFERROR(__xludf.DUMMYFUNCTION("""COMPUTED_VALUE"""),175286.0)</f>
        <v>175286</v>
      </c>
      <c r="B2825" t="str">
        <f>IFERROR(__xludf.DUMMYFUNCTION("""COMPUTED_VALUE"""),"Veal Sirloin Separable Lean And Fat Raw")</f>
        <v>Veal Sirloin Separable Lean And Fat Raw</v>
      </c>
      <c r="C2825" t="str">
        <f>IFERROR(__xludf.DUMMYFUNCTION("""COMPUTED_VALUE"""),"Meats")</f>
        <v>Meats</v>
      </c>
      <c r="D2825">
        <f>IFERROR(__xludf.DUMMYFUNCTION("""COMPUTED_VALUE"""),152.0)</f>
        <v>152</v>
      </c>
      <c r="E2825">
        <f>IFERROR(__xludf.DUMMYFUNCTION("""COMPUTED_VALUE"""),7.81)</f>
        <v>7.81</v>
      </c>
      <c r="F2825">
        <f>IFERROR(__xludf.DUMMYFUNCTION("""COMPUTED_VALUE"""),19.07)</f>
        <v>19.07</v>
      </c>
      <c r="G2825">
        <f>IFERROR(__xludf.DUMMYFUNCTION("""COMPUTED_VALUE"""),0.0)</f>
        <v>0</v>
      </c>
    </row>
    <row r="2826">
      <c r="A2826">
        <f>IFERROR(__xludf.DUMMYFUNCTION("""COMPUTED_VALUE"""),175287.0)</f>
        <v>175287</v>
      </c>
      <c r="B2826" t="str">
        <f>IFERROR(__xludf.DUMMYFUNCTION("""COMPUTED_VALUE"""),"Veal Sirloin Separable Lean And Fat Cooked Braised")</f>
        <v>Veal Sirloin Separable Lean And Fat Cooked Braised</v>
      </c>
      <c r="C2826" t="str">
        <f>IFERROR(__xludf.DUMMYFUNCTION("""COMPUTED_VALUE"""),"Meats")</f>
        <v>Meats</v>
      </c>
      <c r="D2826">
        <f>IFERROR(__xludf.DUMMYFUNCTION("""COMPUTED_VALUE"""),252.0)</f>
        <v>252</v>
      </c>
      <c r="E2826">
        <f>IFERROR(__xludf.DUMMYFUNCTION("""COMPUTED_VALUE"""),13.14)</f>
        <v>13.14</v>
      </c>
      <c r="F2826">
        <f>IFERROR(__xludf.DUMMYFUNCTION("""COMPUTED_VALUE"""),31.26)</f>
        <v>31.26</v>
      </c>
      <c r="G2826">
        <f>IFERROR(__xludf.DUMMYFUNCTION("""COMPUTED_VALUE"""),0.0)</f>
        <v>0</v>
      </c>
    </row>
    <row r="2827">
      <c r="A2827">
        <f>IFERROR(__xludf.DUMMYFUNCTION("""COMPUTED_VALUE"""),175288.0)</f>
        <v>175288</v>
      </c>
      <c r="B2827" t="str">
        <f>IFERROR(__xludf.DUMMYFUNCTION("""COMPUTED_VALUE"""),"Veal Sirloin Separable Lean And Fat Cooked Roasted")</f>
        <v>Veal Sirloin Separable Lean And Fat Cooked Roasted</v>
      </c>
      <c r="C2827" t="str">
        <f>IFERROR(__xludf.DUMMYFUNCTION("""COMPUTED_VALUE"""),"Meats")</f>
        <v>Meats</v>
      </c>
      <c r="D2827">
        <f>IFERROR(__xludf.DUMMYFUNCTION("""COMPUTED_VALUE"""),202.0)</f>
        <v>202</v>
      </c>
      <c r="E2827">
        <f>IFERROR(__xludf.DUMMYFUNCTION("""COMPUTED_VALUE"""),10.45)</f>
        <v>10.45</v>
      </c>
      <c r="F2827">
        <f>IFERROR(__xludf.DUMMYFUNCTION("""COMPUTED_VALUE"""),25.14)</f>
        <v>25.14</v>
      </c>
      <c r="G2827">
        <f>IFERROR(__xludf.DUMMYFUNCTION("""COMPUTED_VALUE"""),0.0)</f>
        <v>0</v>
      </c>
    </row>
    <row r="2828">
      <c r="A2828">
        <f>IFERROR(__xludf.DUMMYFUNCTION("""COMPUTED_VALUE"""),175289.0)</f>
        <v>175289</v>
      </c>
      <c r="B2828" t="str">
        <f>IFERROR(__xludf.DUMMYFUNCTION("""COMPUTED_VALUE"""),"Veal Cubed For Stew (Leg And Shoulder) Separable Lean Only Cooked Braised")</f>
        <v>Veal Cubed For Stew (Leg And Shoulder) Separable Lean Only Cooked Braised</v>
      </c>
      <c r="C2828" t="str">
        <f>IFERROR(__xludf.DUMMYFUNCTION("""COMPUTED_VALUE"""),"Meats")</f>
        <v>Meats</v>
      </c>
      <c r="D2828">
        <f>IFERROR(__xludf.DUMMYFUNCTION("""COMPUTED_VALUE"""),188.0)</f>
        <v>188</v>
      </c>
      <c r="E2828">
        <f>IFERROR(__xludf.DUMMYFUNCTION("""COMPUTED_VALUE"""),4.31)</f>
        <v>4.31</v>
      </c>
      <c r="F2828">
        <f>IFERROR(__xludf.DUMMYFUNCTION("""COMPUTED_VALUE"""),34.94)</f>
        <v>34.94</v>
      </c>
      <c r="G2828">
        <f>IFERROR(__xludf.DUMMYFUNCTION("""COMPUTED_VALUE"""),0.0)</f>
        <v>0</v>
      </c>
    </row>
    <row r="2829">
      <c r="A2829">
        <f>IFERROR(__xludf.DUMMYFUNCTION("""COMPUTED_VALUE"""),175290.0)</f>
        <v>175290</v>
      </c>
      <c r="B2829" t="str">
        <f>IFERROR(__xludf.DUMMYFUNCTION("""COMPUTED_VALUE"""),"Veal Ground Raw")</f>
        <v>Veal Ground Raw</v>
      </c>
      <c r="C2829" t="str">
        <f>IFERROR(__xludf.DUMMYFUNCTION("""COMPUTED_VALUE"""),"Meats")</f>
        <v>Meats</v>
      </c>
      <c r="D2829">
        <f>IFERROR(__xludf.DUMMYFUNCTION("""COMPUTED_VALUE"""),197.0)</f>
        <v>197</v>
      </c>
      <c r="E2829">
        <f>IFERROR(__xludf.DUMMYFUNCTION("""COMPUTED_VALUE"""),13.06)</f>
        <v>13.06</v>
      </c>
      <c r="F2829">
        <f>IFERROR(__xludf.DUMMYFUNCTION("""COMPUTED_VALUE"""),18.58)</f>
        <v>18.58</v>
      </c>
      <c r="G2829">
        <f>IFERROR(__xludf.DUMMYFUNCTION("""COMPUTED_VALUE"""),0.0)</f>
        <v>0</v>
      </c>
    </row>
    <row r="2830">
      <c r="A2830">
        <f>IFERROR(__xludf.DUMMYFUNCTION("""COMPUTED_VALUE"""),175291.0)</f>
        <v>175291</v>
      </c>
      <c r="B2830" t="str">
        <f>IFERROR(__xludf.DUMMYFUNCTION("""COMPUTED_VALUE"""),"Veal Ground Cooked Broiled")</f>
        <v>Veal Ground Cooked Broiled</v>
      </c>
      <c r="C2830" t="str">
        <f>IFERROR(__xludf.DUMMYFUNCTION("""COMPUTED_VALUE"""),"Meats")</f>
        <v>Meats</v>
      </c>
      <c r="D2830">
        <f>IFERROR(__xludf.DUMMYFUNCTION("""COMPUTED_VALUE"""),172.0)</f>
        <v>172</v>
      </c>
      <c r="E2830">
        <f>IFERROR(__xludf.DUMMYFUNCTION("""COMPUTED_VALUE"""),7.56)</f>
        <v>7.56</v>
      </c>
      <c r="F2830">
        <f>IFERROR(__xludf.DUMMYFUNCTION("""COMPUTED_VALUE"""),24.38)</f>
        <v>24.38</v>
      </c>
      <c r="G2830">
        <f>IFERROR(__xludf.DUMMYFUNCTION("""COMPUTED_VALUE"""),0.0)</f>
        <v>0</v>
      </c>
    </row>
    <row r="2831">
      <c r="A2831">
        <f>IFERROR(__xludf.DUMMYFUNCTION("""COMPUTED_VALUE"""),175292.0)</f>
        <v>175292</v>
      </c>
      <c r="B2831" t="str">
        <f>IFERROR(__xludf.DUMMYFUNCTION("""COMPUTED_VALUE"""),"Game Meat Antelope Raw")</f>
        <v>Game Meat Antelope Raw</v>
      </c>
      <c r="C2831" t="str">
        <f>IFERROR(__xludf.DUMMYFUNCTION("""COMPUTED_VALUE"""),"Meats")</f>
        <v>Meats</v>
      </c>
      <c r="D2831">
        <f>IFERROR(__xludf.DUMMYFUNCTION("""COMPUTED_VALUE"""),114.0)</f>
        <v>114</v>
      </c>
      <c r="E2831">
        <f>IFERROR(__xludf.DUMMYFUNCTION("""COMPUTED_VALUE"""),2.03)</f>
        <v>2.03</v>
      </c>
      <c r="F2831">
        <f>IFERROR(__xludf.DUMMYFUNCTION("""COMPUTED_VALUE"""),22.38)</f>
        <v>22.38</v>
      </c>
      <c r="G2831">
        <f>IFERROR(__xludf.DUMMYFUNCTION("""COMPUTED_VALUE"""),0.0)</f>
        <v>0</v>
      </c>
    </row>
    <row r="2832">
      <c r="A2832">
        <f>IFERROR(__xludf.DUMMYFUNCTION("""COMPUTED_VALUE"""),175293.0)</f>
        <v>175293</v>
      </c>
      <c r="B2832" t="str">
        <f>IFERROR(__xludf.DUMMYFUNCTION("""COMPUTED_VALUE"""),"Bison Ground Grass-Fed Raw")</f>
        <v>Bison Ground Grass-Fed Raw</v>
      </c>
      <c r="C2832" t="str">
        <f>IFERROR(__xludf.DUMMYFUNCTION("""COMPUTED_VALUE"""),"Meats")</f>
        <v>Meats</v>
      </c>
      <c r="D2832">
        <f>IFERROR(__xludf.DUMMYFUNCTION("""COMPUTED_VALUE"""),146.0)</f>
        <v>146</v>
      </c>
      <c r="E2832">
        <f>IFERROR(__xludf.DUMMYFUNCTION("""COMPUTED_VALUE"""),7.21)</f>
        <v>7.21</v>
      </c>
      <c r="F2832">
        <f>IFERROR(__xludf.DUMMYFUNCTION("""COMPUTED_VALUE"""),20.23)</f>
        <v>20.23</v>
      </c>
      <c r="G2832">
        <f>IFERROR(__xludf.DUMMYFUNCTION("""COMPUTED_VALUE"""),0.05)</f>
        <v>0.05</v>
      </c>
    </row>
    <row r="2833">
      <c r="A2833">
        <f>IFERROR(__xludf.DUMMYFUNCTION("""COMPUTED_VALUE"""),175294.0)</f>
        <v>175294</v>
      </c>
      <c r="B2833" t="str">
        <f>IFERROR(__xludf.DUMMYFUNCTION("""COMPUTED_VALUE"""),"Game Meat Beaver Raw")</f>
        <v>Game Meat Beaver Raw</v>
      </c>
      <c r="C2833" t="str">
        <f>IFERROR(__xludf.DUMMYFUNCTION("""COMPUTED_VALUE"""),"Meats")</f>
        <v>Meats</v>
      </c>
      <c r="D2833">
        <f>IFERROR(__xludf.DUMMYFUNCTION("""COMPUTED_VALUE"""),146.0)</f>
        <v>146</v>
      </c>
      <c r="E2833">
        <f>IFERROR(__xludf.DUMMYFUNCTION("""COMPUTED_VALUE"""),4.8)</f>
        <v>4.8</v>
      </c>
      <c r="F2833">
        <f>IFERROR(__xludf.DUMMYFUNCTION("""COMPUTED_VALUE"""),24.05)</f>
        <v>24.05</v>
      </c>
      <c r="G2833">
        <f>IFERROR(__xludf.DUMMYFUNCTION("""COMPUTED_VALUE"""),0.0)</f>
        <v>0</v>
      </c>
    </row>
    <row r="2834">
      <c r="A2834">
        <f>IFERROR(__xludf.DUMMYFUNCTION("""COMPUTED_VALUE"""),175295.0)</f>
        <v>175295</v>
      </c>
      <c r="B2834" t="str">
        <f>IFERROR(__xludf.DUMMYFUNCTION("""COMPUTED_VALUE"""),"Game Meat Beaver Cooked Roasted")</f>
        <v>Game Meat Beaver Cooked Roasted</v>
      </c>
      <c r="C2834" t="str">
        <f>IFERROR(__xludf.DUMMYFUNCTION("""COMPUTED_VALUE"""),"Meats")</f>
        <v>Meats</v>
      </c>
      <c r="D2834">
        <f>IFERROR(__xludf.DUMMYFUNCTION("""COMPUTED_VALUE"""),212.0)</f>
        <v>212</v>
      </c>
      <c r="E2834">
        <f>IFERROR(__xludf.DUMMYFUNCTION("""COMPUTED_VALUE"""),6.96)</f>
        <v>6.96</v>
      </c>
      <c r="F2834">
        <f>IFERROR(__xludf.DUMMYFUNCTION("""COMPUTED_VALUE"""),34.85)</f>
        <v>34.85</v>
      </c>
      <c r="G2834">
        <f>IFERROR(__xludf.DUMMYFUNCTION("""COMPUTED_VALUE"""),0.0)</f>
        <v>0</v>
      </c>
    </row>
    <row r="2835">
      <c r="A2835">
        <f>IFERROR(__xludf.DUMMYFUNCTION("""COMPUTED_VALUE"""),175296.0)</f>
        <v>175296</v>
      </c>
      <c r="B2835" t="str">
        <f>IFERROR(__xludf.DUMMYFUNCTION("""COMPUTED_VALUE"""),"Game Meat Beefalo Composite Of Cuts Raw")</f>
        <v>Game Meat Beefalo Composite Of Cuts Raw</v>
      </c>
      <c r="C2835" t="str">
        <f>IFERROR(__xludf.DUMMYFUNCTION("""COMPUTED_VALUE"""),"Meats")</f>
        <v>Meats</v>
      </c>
      <c r="D2835">
        <f>IFERROR(__xludf.DUMMYFUNCTION("""COMPUTED_VALUE"""),143.0)</f>
        <v>143</v>
      </c>
      <c r="E2835">
        <f>IFERROR(__xludf.DUMMYFUNCTION("""COMPUTED_VALUE"""),4.8)</f>
        <v>4.8</v>
      </c>
      <c r="F2835">
        <f>IFERROR(__xludf.DUMMYFUNCTION("""COMPUTED_VALUE"""),23.3)</f>
        <v>23.3</v>
      </c>
      <c r="G2835">
        <f>IFERROR(__xludf.DUMMYFUNCTION("""COMPUTED_VALUE"""),0.0)</f>
        <v>0</v>
      </c>
    </row>
    <row r="2836">
      <c r="A2836">
        <f>IFERROR(__xludf.DUMMYFUNCTION("""COMPUTED_VALUE"""),175297.0)</f>
        <v>175297</v>
      </c>
      <c r="B2836" t="str">
        <f>IFERROR(__xludf.DUMMYFUNCTION("""COMPUTED_VALUE"""),"Game Meat Boar Wild Raw")</f>
        <v>Game Meat Boar Wild Raw</v>
      </c>
      <c r="C2836" t="str">
        <f>IFERROR(__xludf.DUMMYFUNCTION("""COMPUTED_VALUE"""),"Meats")</f>
        <v>Meats</v>
      </c>
      <c r="D2836">
        <f>IFERROR(__xludf.DUMMYFUNCTION("""COMPUTED_VALUE"""),122.0)</f>
        <v>122</v>
      </c>
      <c r="E2836">
        <f>IFERROR(__xludf.DUMMYFUNCTION("""COMPUTED_VALUE"""),3.33)</f>
        <v>3.33</v>
      </c>
      <c r="F2836">
        <f>IFERROR(__xludf.DUMMYFUNCTION("""COMPUTED_VALUE"""),21.51)</f>
        <v>21.51</v>
      </c>
      <c r="G2836">
        <f>IFERROR(__xludf.DUMMYFUNCTION("""COMPUTED_VALUE"""),0.0)</f>
        <v>0</v>
      </c>
    </row>
    <row r="2837">
      <c r="A2837">
        <f>IFERROR(__xludf.DUMMYFUNCTION("""COMPUTED_VALUE"""),175298.0)</f>
        <v>175298</v>
      </c>
      <c r="B2837" t="str">
        <f>IFERROR(__xludf.DUMMYFUNCTION("""COMPUTED_VALUE"""),"Roasted Wild Boar")</f>
        <v>Roasted Wild Boar</v>
      </c>
      <c r="C2837" t="str">
        <f>IFERROR(__xludf.DUMMYFUNCTION("""COMPUTED_VALUE"""),"Meats")</f>
        <v>Meats</v>
      </c>
      <c r="D2837">
        <f>IFERROR(__xludf.DUMMYFUNCTION("""COMPUTED_VALUE"""),160.0)</f>
        <v>160</v>
      </c>
      <c r="E2837">
        <f>IFERROR(__xludf.DUMMYFUNCTION("""COMPUTED_VALUE"""),4.38)</f>
        <v>4.38</v>
      </c>
      <c r="F2837">
        <f>IFERROR(__xludf.DUMMYFUNCTION("""COMPUTED_VALUE"""),28.3)</f>
        <v>28.3</v>
      </c>
      <c r="G2837">
        <f>IFERROR(__xludf.DUMMYFUNCTION("""COMPUTED_VALUE"""),0.0)</f>
        <v>0</v>
      </c>
    </row>
    <row r="2838">
      <c r="A2838">
        <f>IFERROR(__xludf.DUMMYFUNCTION("""COMPUTED_VALUE"""),175299.0)</f>
        <v>175299</v>
      </c>
      <c r="B2838" t="str">
        <f>IFERROR(__xludf.DUMMYFUNCTION("""COMPUTED_VALUE"""),"Game Meat Buffalo Water Raw")</f>
        <v>Game Meat Buffalo Water Raw</v>
      </c>
      <c r="C2838" t="str">
        <f>IFERROR(__xludf.DUMMYFUNCTION("""COMPUTED_VALUE"""),"Meats")</f>
        <v>Meats</v>
      </c>
      <c r="D2838">
        <f>IFERROR(__xludf.DUMMYFUNCTION("""COMPUTED_VALUE"""),99.0)</f>
        <v>99</v>
      </c>
      <c r="E2838">
        <f>IFERROR(__xludf.DUMMYFUNCTION("""COMPUTED_VALUE"""),1.37)</f>
        <v>1.37</v>
      </c>
      <c r="F2838">
        <f>IFERROR(__xludf.DUMMYFUNCTION("""COMPUTED_VALUE"""),20.39)</f>
        <v>20.39</v>
      </c>
      <c r="G2838">
        <f>IFERROR(__xludf.DUMMYFUNCTION("""COMPUTED_VALUE"""),0.0)</f>
        <v>0</v>
      </c>
    </row>
    <row r="2839">
      <c r="A2839">
        <f>IFERROR(__xludf.DUMMYFUNCTION("""COMPUTED_VALUE"""),175300.0)</f>
        <v>175300</v>
      </c>
      <c r="B2839" t="str">
        <f>IFERROR(__xludf.DUMMYFUNCTION("""COMPUTED_VALUE"""),"Game Meat Buffalo Water Cooked Roasted")</f>
        <v>Game Meat Buffalo Water Cooked Roasted</v>
      </c>
      <c r="C2839" t="str">
        <f>IFERROR(__xludf.DUMMYFUNCTION("""COMPUTED_VALUE"""),"Meats")</f>
        <v>Meats</v>
      </c>
      <c r="D2839">
        <f>IFERROR(__xludf.DUMMYFUNCTION("""COMPUTED_VALUE"""),131.0)</f>
        <v>131</v>
      </c>
      <c r="E2839">
        <f>IFERROR(__xludf.DUMMYFUNCTION("""COMPUTED_VALUE"""),1.8)</f>
        <v>1.8</v>
      </c>
      <c r="F2839">
        <f>IFERROR(__xludf.DUMMYFUNCTION("""COMPUTED_VALUE"""),26.83)</f>
        <v>26.83</v>
      </c>
      <c r="G2839">
        <f>IFERROR(__xludf.DUMMYFUNCTION("""COMPUTED_VALUE"""),0.0)</f>
        <v>0</v>
      </c>
    </row>
    <row r="2840">
      <c r="A2840">
        <f>IFERROR(__xludf.DUMMYFUNCTION("""COMPUTED_VALUE"""),175301.0)</f>
        <v>175301</v>
      </c>
      <c r="B2840" t="str">
        <f>IFERROR(__xludf.DUMMYFUNCTION("""COMPUTED_VALUE"""),"Game Meat Elk Raw")</f>
        <v>Game Meat Elk Raw</v>
      </c>
      <c r="C2840" t="str">
        <f>IFERROR(__xludf.DUMMYFUNCTION("""COMPUTED_VALUE"""),"Meats")</f>
        <v>Meats</v>
      </c>
      <c r="D2840">
        <f>IFERROR(__xludf.DUMMYFUNCTION("""COMPUTED_VALUE"""),111.0)</f>
        <v>111</v>
      </c>
      <c r="E2840">
        <f>IFERROR(__xludf.DUMMYFUNCTION("""COMPUTED_VALUE"""),1.45)</f>
        <v>1.45</v>
      </c>
      <c r="F2840">
        <f>IFERROR(__xludf.DUMMYFUNCTION("""COMPUTED_VALUE"""),22.95)</f>
        <v>22.95</v>
      </c>
      <c r="G2840">
        <f>IFERROR(__xludf.DUMMYFUNCTION("""COMPUTED_VALUE"""),0.0)</f>
        <v>0</v>
      </c>
    </row>
    <row r="2841">
      <c r="A2841">
        <f>IFERROR(__xludf.DUMMYFUNCTION("""COMPUTED_VALUE"""),175302.0)</f>
        <v>175302</v>
      </c>
      <c r="B2841" t="str">
        <f>IFERROR(__xludf.DUMMYFUNCTION("""COMPUTED_VALUE"""),"Game Meat Elk Cooked Roasted")</f>
        <v>Game Meat Elk Cooked Roasted</v>
      </c>
      <c r="C2841" t="str">
        <f>IFERROR(__xludf.DUMMYFUNCTION("""COMPUTED_VALUE"""),"Meats")</f>
        <v>Meats</v>
      </c>
      <c r="D2841">
        <f>IFERROR(__xludf.DUMMYFUNCTION("""COMPUTED_VALUE"""),146.0)</f>
        <v>146</v>
      </c>
      <c r="E2841">
        <f>IFERROR(__xludf.DUMMYFUNCTION("""COMPUTED_VALUE"""),1.9)</f>
        <v>1.9</v>
      </c>
      <c r="F2841">
        <f>IFERROR(__xludf.DUMMYFUNCTION("""COMPUTED_VALUE"""),30.19)</f>
        <v>30.19</v>
      </c>
      <c r="G2841">
        <f>IFERROR(__xludf.DUMMYFUNCTION("""COMPUTED_VALUE"""),0.0)</f>
        <v>0</v>
      </c>
    </row>
    <row r="2842">
      <c r="A2842">
        <f>IFERROR(__xludf.DUMMYFUNCTION("""COMPUTED_VALUE"""),175303.0)</f>
        <v>175303</v>
      </c>
      <c r="B2842" t="str">
        <f>IFERROR(__xludf.DUMMYFUNCTION("""COMPUTED_VALUE"""),"Goat Raw")</f>
        <v>Goat Raw</v>
      </c>
      <c r="C2842" t="str">
        <f>IFERROR(__xludf.DUMMYFUNCTION("""COMPUTED_VALUE"""),"Meats")</f>
        <v>Meats</v>
      </c>
      <c r="D2842">
        <f>IFERROR(__xludf.DUMMYFUNCTION("""COMPUTED_VALUE"""),109.0)</f>
        <v>109</v>
      </c>
      <c r="E2842">
        <f>IFERROR(__xludf.DUMMYFUNCTION("""COMPUTED_VALUE"""),2.31)</f>
        <v>2.31</v>
      </c>
      <c r="F2842">
        <f>IFERROR(__xludf.DUMMYFUNCTION("""COMPUTED_VALUE"""),20.6)</f>
        <v>20.6</v>
      </c>
      <c r="G2842">
        <f>IFERROR(__xludf.DUMMYFUNCTION("""COMPUTED_VALUE"""),0.0)</f>
        <v>0</v>
      </c>
    </row>
    <row r="2843">
      <c r="A2843">
        <f>IFERROR(__xludf.DUMMYFUNCTION("""COMPUTED_VALUE"""),175304.0)</f>
        <v>175304</v>
      </c>
      <c r="B2843" t="str">
        <f>IFERROR(__xludf.DUMMYFUNCTION("""COMPUTED_VALUE"""),"Game Meat Goat Cooked Roasted")</f>
        <v>Game Meat Goat Cooked Roasted</v>
      </c>
      <c r="C2843" t="str">
        <f>IFERROR(__xludf.DUMMYFUNCTION("""COMPUTED_VALUE"""),"Meats")</f>
        <v>Meats</v>
      </c>
      <c r="D2843">
        <f>IFERROR(__xludf.DUMMYFUNCTION("""COMPUTED_VALUE"""),143.0)</f>
        <v>143</v>
      </c>
      <c r="E2843">
        <f>IFERROR(__xludf.DUMMYFUNCTION("""COMPUTED_VALUE"""),3.03)</f>
        <v>3.03</v>
      </c>
      <c r="F2843">
        <f>IFERROR(__xludf.DUMMYFUNCTION("""COMPUTED_VALUE"""),27.1)</f>
        <v>27.1</v>
      </c>
      <c r="G2843">
        <f>IFERROR(__xludf.DUMMYFUNCTION("""COMPUTED_VALUE"""),0.0)</f>
        <v>0</v>
      </c>
    </row>
    <row r="2844">
      <c r="A2844">
        <f>IFERROR(__xludf.DUMMYFUNCTION("""COMPUTED_VALUE"""),781810.0)</f>
        <v>781810</v>
      </c>
      <c r="B2844" t="str">
        <f>IFERROR(__xludf.DUMMYFUNCTION("""COMPUTED_VALUE"""),"Meat Nfs")</f>
        <v>Meat Nfs</v>
      </c>
      <c r="C2844" t="str">
        <f>IFERROR(__xludf.DUMMYFUNCTION("""COMPUTED_VALUE"""),"Meats")</f>
        <v>Meats</v>
      </c>
      <c r="D2844">
        <f>IFERROR(__xludf.DUMMYFUNCTION("""COMPUTED_VALUE"""),201.0)</f>
        <v>201</v>
      </c>
      <c r="E2844">
        <f>IFERROR(__xludf.DUMMYFUNCTION("""COMPUTED_VALUE"""),8.3)</f>
        <v>8.3</v>
      </c>
      <c r="F2844">
        <f>IFERROR(__xludf.DUMMYFUNCTION("""COMPUTED_VALUE"""),29.65)</f>
        <v>29.65</v>
      </c>
      <c r="G2844">
        <f>IFERROR(__xludf.DUMMYFUNCTION("""COMPUTED_VALUE"""),0.0)</f>
        <v>0</v>
      </c>
    </row>
    <row r="2845">
      <c r="A2845">
        <f>IFERROR(__xludf.DUMMYFUNCTION("""COMPUTED_VALUE"""),781813.0)</f>
        <v>781813</v>
      </c>
      <c r="B2845" t="str">
        <f>IFERROR(__xludf.DUMMYFUNCTION("""COMPUTED_VALUE"""),"Ground Meat Nfs")</f>
        <v>Ground Meat Nfs</v>
      </c>
      <c r="C2845" t="str">
        <f>IFERROR(__xludf.DUMMYFUNCTION("""COMPUTED_VALUE"""),"Meats")</f>
        <v>Meats</v>
      </c>
      <c r="D2845">
        <f>IFERROR(__xludf.DUMMYFUNCTION("""COMPUTED_VALUE"""),260.0)</f>
        <v>260</v>
      </c>
      <c r="E2845">
        <f>IFERROR(__xludf.DUMMYFUNCTION("""COMPUTED_VALUE"""),16.82)</f>
        <v>16.82</v>
      </c>
      <c r="F2845">
        <f>IFERROR(__xludf.DUMMYFUNCTION("""COMPUTED_VALUE"""),25.54)</f>
        <v>25.54</v>
      </c>
      <c r="G2845">
        <f>IFERROR(__xludf.DUMMYFUNCTION("""COMPUTED_VALUE"""),0.0)</f>
        <v>0</v>
      </c>
    </row>
    <row r="2846">
      <c r="A2846">
        <f>IFERROR(__xludf.DUMMYFUNCTION("""COMPUTED_VALUE"""),781814.0)</f>
        <v>781814</v>
      </c>
      <c r="B2846" t="str">
        <f>IFERROR(__xludf.DUMMYFUNCTION("""COMPUTED_VALUE"""),"Beef Ns As To Cut Cooked Ns As To Fat Eaten")</f>
        <v>Beef Ns As To Cut Cooked Ns As To Fat Eaten</v>
      </c>
      <c r="C2846" t="str">
        <f>IFERROR(__xludf.DUMMYFUNCTION("""COMPUTED_VALUE"""),"Meats")</f>
        <v>Meats</v>
      </c>
      <c r="D2846">
        <f>IFERROR(__xludf.DUMMYFUNCTION("""COMPUTED_VALUE"""),184.0)</f>
        <v>184</v>
      </c>
      <c r="E2846">
        <f>IFERROR(__xludf.DUMMYFUNCTION("""COMPUTED_VALUE"""),6.75)</f>
        <v>6.75</v>
      </c>
      <c r="F2846">
        <f>IFERROR(__xludf.DUMMYFUNCTION("""COMPUTED_VALUE"""),29.23)</f>
        <v>29.23</v>
      </c>
      <c r="G2846">
        <f>IFERROR(__xludf.DUMMYFUNCTION("""COMPUTED_VALUE"""),0.0)</f>
        <v>0</v>
      </c>
    </row>
    <row r="2847">
      <c r="A2847">
        <f>IFERROR(__xludf.DUMMYFUNCTION("""COMPUTED_VALUE"""),781815.0)</f>
        <v>781815</v>
      </c>
      <c r="B2847" t="str">
        <f>IFERROR(__xludf.DUMMYFUNCTION("""COMPUTED_VALUE"""),"Beef Ns As To Cut Cooked Lean And Fat Eaten")</f>
        <v>Beef Ns As To Cut Cooked Lean And Fat Eaten</v>
      </c>
      <c r="C2847" t="str">
        <f>IFERROR(__xludf.DUMMYFUNCTION("""COMPUTED_VALUE"""),"Meats")</f>
        <v>Meats</v>
      </c>
      <c r="D2847">
        <f>IFERROR(__xludf.DUMMYFUNCTION("""COMPUTED_VALUE"""),235.0)</f>
        <v>235</v>
      </c>
      <c r="E2847">
        <f>IFERROR(__xludf.DUMMYFUNCTION("""COMPUTED_VALUE"""),13.44)</f>
        <v>13.44</v>
      </c>
      <c r="F2847">
        <f>IFERROR(__xludf.DUMMYFUNCTION("""COMPUTED_VALUE"""),27.06)</f>
        <v>27.06</v>
      </c>
      <c r="G2847">
        <f>IFERROR(__xludf.DUMMYFUNCTION("""COMPUTED_VALUE"""),0.0)</f>
        <v>0</v>
      </c>
    </row>
    <row r="2848">
      <c r="A2848">
        <f>IFERROR(__xludf.DUMMYFUNCTION("""COMPUTED_VALUE"""),781816.0)</f>
        <v>781816</v>
      </c>
      <c r="B2848" t="str">
        <f>IFERROR(__xludf.DUMMYFUNCTION("""COMPUTED_VALUE"""),"Beef Ns As To Cut Cooked Lean Only Eaten")</f>
        <v>Beef Ns As To Cut Cooked Lean Only Eaten</v>
      </c>
      <c r="C2848" t="str">
        <f>IFERROR(__xludf.DUMMYFUNCTION("""COMPUTED_VALUE"""),"Meats")</f>
        <v>Meats</v>
      </c>
      <c r="D2848">
        <f>IFERROR(__xludf.DUMMYFUNCTION("""COMPUTED_VALUE"""),184.0)</f>
        <v>184</v>
      </c>
      <c r="E2848">
        <f>IFERROR(__xludf.DUMMYFUNCTION("""COMPUTED_VALUE"""),6.75)</f>
        <v>6.75</v>
      </c>
      <c r="F2848">
        <f>IFERROR(__xludf.DUMMYFUNCTION("""COMPUTED_VALUE"""),29.23)</f>
        <v>29.23</v>
      </c>
      <c r="G2848">
        <f>IFERROR(__xludf.DUMMYFUNCTION("""COMPUTED_VALUE"""),0.0)</f>
        <v>0</v>
      </c>
    </row>
    <row r="2849">
      <c r="A2849">
        <f>IFERROR(__xludf.DUMMYFUNCTION("""COMPUTED_VALUE"""),781817.0)</f>
        <v>781817</v>
      </c>
      <c r="B2849" t="str">
        <f>IFERROR(__xludf.DUMMYFUNCTION("""COMPUTED_VALUE"""),"Steak Ns As To Type Of Meat Cooked Ns As To Fat Eaten")</f>
        <v>Steak Ns As To Type Of Meat Cooked Ns As To Fat Eaten</v>
      </c>
      <c r="C2849" t="str">
        <f>IFERROR(__xludf.DUMMYFUNCTION("""COMPUTED_VALUE"""),"Meats")</f>
        <v>Meats</v>
      </c>
      <c r="D2849">
        <f>IFERROR(__xludf.DUMMYFUNCTION("""COMPUTED_VALUE"""),184.0)</f>
        <v>184</v>
      </c>
      <c r="E2849">
        <f>IFERROR(__xludf.DUMMYFUNCTION("""COMPUTED_VALUE"""),6.75)</f>
        <v>6.75</v>
      </c>
      <c r="F2849">
        <f>IFERROR(__xludf.DUMMYFUNCTION("""COMPUTED_VALUE"""),29.23)</f>
        <v>29.23</v>
      </c>
      <c r="G2849">
        <f>IFERROR(__xludf.DUMMYFUNCTION("""COMPUTED_VALUE"""),0.0)</f>
        <v>0</v>
      </c>
    </row>
    <row r="2850">
      <c r="A2850">
        <f>IFERROR(__xludf.DUMMYFUNCTION("""COMPUTED_VALUE"""),781818.0)</f>
        <v>781818</v>
      </c>
      <c r="B2850" t="str">
        <f>IFERROR(__xludf.DUMMYFUNCTION("""COMPUTED_VALUE"""),"Steak Ns As To Type Of Meat Cooked Lean And Fat Eaten")</f>
        <v>Steak Ns As To Type Of Meat Cooked Lean And Fat Eaten</v>
      </c>
      <c r="C2850" t="str">
        <f>IFERROR(__xludf.DUMMYFUNCTION("""COMPUTED_VALUE"""),"Meats")</f>
        <v>Meats</v>
      </c>
      <c r="D2850">
        <f>IFERROR(__xludf.DUMMYFUNCTION("""COMPUTED_VALUE"""),235.0)</f>
        <v>235</v>
      </c>
      <c r="E2850">
        <f>IFERROR(__xludf.DUMMYFUNCTION("""COMPUTED_VALUE"""),13.44)</f>
        <v>13.44</v>
      </c>
      <c r="F2850">
        <f>IFERROR(__xludf.DUMMYFUNCTION("""COMPUTED_VALUE"""),27.06)</f>
        <v>27.06</v>
      </c>
      <c r="G2850">
        <f>IFERROR(__xludf.DUMMYFUNCTION("""COMPUTED_VALUE"""),0.0)</f>
        <v>0</v>
      </c>
    </row>
    <row r="2851">
      <c r="A2851">
        <f>IFERROR(__xludf.DUMMYFUNCTION("""COMPUTED_VALUE"""),781819.0)</f>
        <v>781819</v>
      </c>
      <c r="B2851" t="str">
        <f>IFERROR(__xludf.DUMMYFUNCTION("""COMPUTED_VALUE"""),"Steak Ns As To Type Of Meat Cooked Lean Only Eaten")</f>
        <v>Steak Ns As To Type Of Meat Cooked Lean Only Eaten</v>
      </c>
      <c r="C2851" t="str">
        <f>IFERROR(__xludf.DUMMYFUNCTION("""COMPUTED_VALUE"""),"Meats")</f>
        <v>Meats</v>
      </c>
      <c r="D2851">
        <f>IFERROR(__xludf.DUMMYFUNCTION("""COMPUTED_VALUE"""),184.0)</f>
        <v>184</v>
      </c>
      <c r="E2851">
        <f>IFERROR(__xludf.DUMMYFUNCTION("""COMPUTED_VALUE"""),6.75)</f>
        <v>6.75</v>
      </c>
      <c r="F2851">
        <f>IFERROR(__xludf.DUMMYFUNCTION("""COMPUTED_VALUE"""),29.23)</f>
        <v>29.23</v>
      </c>
      <c r="G2851">
        <f>IFERROR(__xludf.DUMMYFUNCTION("""COMPUTED_VALUE"""),0.0)</f>
        <v>0</v>
      </c>
    </row>
    <row r="2852">
      <c r="A2852">
        <f>IFERROR(__xludf.DUMMYFUNCTION("""COMPUTED_VALUE"""),781821.0)</f>
        <v>781821</v>
      </c>
      <c r="B2852" t="str">
        <f>IFERROR(__xludf.DUMMYFUNCTION("""COMPUTED_VALUE"""),"Beef Ns As To Cut Fried Ns To Fat Eaten")</f>
        <v>Beef Ns As To Cut Fried Ns To Fat Eaten</v>
      </c>
      <c r="C2852" t="str">
        <f>IFERROR(__xludf.DUMMYFUNCTION("""COMPUTED_VALUE"""),"Meats")</f>
        <v>Meats</v>
      </c>
      <c r="D2852">
        <f>IFERROR(__xludf.DUMMYFUNCTION("""COMPUTED_VALUE"""),184.0)</f>
        <v>184</v>
      </c>
      <c r="E2852">
        <f>IFERROR(__xludf.DUMMYFUNCTION("""COMPUTED_VALUE"""),6.75)</f>
        <v>6.75</v>
      </c>
      <c r="F2852">
        <f>IFERROR(__xludf.DUMMYFUNCTION("""COMPUTED_VALUE"""),29.23)</f>
        <v>29.23</v>
      </c>
      <c r="G2852">
        <f>IFERROR(__xludf.DUMMYFUNCTION("""COMPUTED_VALUE"""),0.0)</f>
        <v>0</v>
      </c>
    </row>
    <row r="2853">
      <c r="A2853">
        <f>IFERROR(__xludf.DUMMYFUNCTION("""COMPUTED_VALUE"""),781822.0)</f>
        <v>781822</v>
      </c>
      <c r="B2853" t="str">
        <f>IFERROR(__xludf.DUMMYFUNCTION("""COMPUTED_VALUE"""),"Beef Steak Ns As To Cooking Method Ns As To Fat Eaten")</f>
        <v>Beef Steak Ns As To Cooking Method Ns As To Fat Eaten</v>
      </c>
      <c r="C2853" t="str">
        <f>IFERROR(__xludf.DUMMYFUNCTION("""COMPUTED_VALUE"""),"Meats")</f>
        <v>Meats</v>
      </c>
      <c r="D2853">
        <f>IFERROR(__xludf.DUMMYFUNCTION("""COMPUTED_VALUE"""),184.0)</f>
        <v>184</v>
      </c>
      <c r="E2853">
        <f>IFERROR(__xludf.DUMMYFUNCTION("""COMPUTED_VALUE"""),6.75)</f>
        <v>6.75</v>
      </c>
      <c r="F2853">
        <f>IFERROR(__xludf.DUMMYFUNCTION("""COMPUTED_VALUE"""),29.23)</f>
        <v>29.23</v>
      </c>
      <c r="G2853">
        <f>IFERROR(__xludf.DUMMYFUNCTION("""COMPUTED_VALUE"""),0.0)</f>
        <v>0</v>
      </c>
    </row>
    <row r="2854">
      <c r="A2854">
        <f>IFERROR(__xludf.DUMMYFUNCTION("""COMPUTED_VALUE"""),781823.0)</f>
        <v>781823</v>
      </c>
      <c r="B2854" t="str">
        <f>IFERROR(__xludf.DUMMYFUNCTION("""COMPUTED_VALUE"""),"Beef Steak Ns As To Cooking Method Lean And Fat Eaten")</f>
        <v>Beef Steak Ns As To Cooking Method Lean And Fat Eaten</v>
      </c>
      <c r="C2854" t="str">
        <f>IFERROR(__xludf.DUMMYFUNCTION("""COMPUTED_VALUE"""),"Meats")</f>
        <v>Meats</v>
      </c>
      <c r="D2854">
        <f>IFERROR(__xludf.DUMMYFUNCTION("""COMPUTED_VALUE"""),235.0)</f>
        <v>235</v>
      </c>
      <c r="E2854">
        <f>IFERROR(__xludf.DUMMYFUNCTION("""COMPUTED_VALUE"""),13.44)</f>
        <v>13.44</v>
      </c>
      <c r="F2854">
        <f>IFERROR(__xludf.DUMMYFUNCTION("""COMPUTED_VALUE"""),27.06)</f>
        <v>27.06</v>
      </c>
      <c r="G2854">
        <f>IFERROR(__xludf.DUMMYFUNCTION("""COMPUTED_VALUE"""),0.0)</f>
        <v>0</v>
      </c>
    </row>
    <row r="2855">
      <c r="A2855">
        <f>IFERROR(__xludf.DUMMYFUNCTION("""COMPUTED_VALUE"""),781824.0)</f>
        <v>781824</v>
      </c>
      <c r="B2855" t="str">
        <f>IFERROR(__xludf.DUMMYFUNCTION("""COMPUTED_VALUE"""),"Beef Steak Ns As To Cooking Method Lean Only Eaten")</f>
        <v>Beef Steak Ns As To Cooking Method Lean Only Eaten</v>
      </c>
      <c r="C2855" t="str">
        <f>IFERROR(__xludf.DUMMYFUNCTION("""COMPUTED_VALUE"""),"Meats")</f>
        <v>Meats</v>
      </c>
      <c r="D2855">
        <f>IFERROR(__xludf.DUMMYFUNCTION("""COMPUTED_VALUE"""),184.0)</f>
        <v>184</v>
      </c>
      <c r="E2855">
        <f>IFERROR(__xludf.DUMMYFUNCTION("""COMPUTED_VALUE"""),6.75)</f>
        <v>6.75</v>
      </c>
      <c r="F2855">
        <f>IFERROR(__xludf.DUMMYFUNCTION("""COMPUTED_VALUE"""),29.23)</f>
        <v>29.23</v>
      </c>
      <c r="G2855">
        <f>IFERROR(__xludf.DUMMYFUNCTION("""COMPUTED_VALUE"""),0.0)</f>
        <v>0</v>
      </c>
    </row>
    <row r="2856">
      <c r="A2856">
        <f>IFERROR(__xludf.DUMMYFUNCTION("""COMPUTED_VALUE"""),781825.0)</f>
        <v>781825</v>
      </c>
      <c r="B2856" t="str">
        <f>IFERROR(__xludf.DUMMYFUNCTION("""COMPUTED_VALUE"""),"Beef Steak Broiled Or Baked Ns As To Fat Eaten")</f>
        <v>Beef Steak Broiled Or Baked Ns As To Fat Eaten</v>
      </c>
      <c r="C2856" t="str">
        <f>IFERROR(__xludf.DUMMYFUNCTION("""COMPUTED_VALUE"""),"Meats")</f>
        <v>Meats</v>
      </c>
      <c r="D2856">
        <f>IFERROR(__xludf.DUMMYFUNCTION("""COMPUTED_VALUE"""),184.0)</f>
        <v>184</v>
      </c>
      <c r="E2856">
        <f>IFERROR(__xludf.DUMMYFUNCTION("""COMPUTED_VALUE"""),6.75)</f>
        <v>6.75</v>
      </c>
      <c r="F2856">
        <f>IFERROR(__xludf.DUMMYFUNCTION("""COMPUTED_VALUE"""),29.23)</f>
        <v>29.23</v>
      </c>
      <c r="G2856">
        <f>IFERROR(__xludf.DUMMYFUNCTION("""COMPUTED_VALUE"""),0.0)</f>
        <v>0</v>
      </c>
    </row>
    <row r="2857">
      <c r="A2857">
        <f>IFERROR(__xludf.DUMMYFUNCTION("""COMPUTED_VALUE"""),781826.0)</f>
        <v>781826</v>
      </c>
      <c r="B2857" t="str">
        <f>IFERROR(__xludf.DUMMYFUNCTION("""COMPUTED_VALUE"""),"Beef Steak Broiled Or Baked Lean And Fat Eaten")</f>
        <v>Beef Steak Broiled Or Baked Lean And Fat Eaten</v>
      </c>
      <c r="C2857" t="str">
        <f>IFERROR(__xludf.DUMMYFUNCTION("""COMPUTED_VALUE"""),"Meats")</f>
        <v>Meats</v>
      </c>
      <c r="D2857">
        <f>IFERROR(__xludf.DUMMYFUNCTION("""COMPUTED_VALUE"""),235.0)</f>
        <v>235</v>
      </c>
      <c r="E2857">
        <f>IFERROR(__xludf.DUMMYFUNCTION("""COMPUTED_VALUE"""),13.44)</f>
        <v>13.44</v>
      </c>
      <c r="F2857">
        <f>IFERROR(__xludf.DUMMYFUNCTION("""COMPUTED_VALUE"""),27.06)</f>
        <v>27.06</v>
      </c>
      <c r="G2857">
        <f>IFERROR(__xludf.DUMMYFUNCTION("""COMPUTED_VALUE"""),0.0)</f>
        <v>0</v>
      </c>
    </row>
    <row r="2858">
      <c r="A2858">
        <f>IFERROR(__xludf.DUMMYFUNCTION("""COMPUTED_VALUE"""),781827.0)</f>
        <v>781827</v>
      </c>
      <c r="B2858" t="str">
        <f>IFERROR(__xludf.DUMMYFUNCTION("""COMPUTED_VALUE"""),"Beef Steak Broiled Or Baked Lean Only Eaten")</f>
        <v>Beef Steak Broiled Or Baked Lean Only Eaten</v>
      </c>
      <c r="C2858" t="str">
        <f>IFERROR(__xludf.DUMMYFUNCTION("""COMPUTED_VALUE"""),"Meats")</f>
        <v>Meats</v>
      </c>
      <c r="D2858">
        <f>IFERROR(__xludf.DUMMYFUNCTION("""COMPUTED_VALUE"""),184.0)</f>
        <v>184</v>
      </c>
      <c r="E2858">
        <f>IFERROR(__xludf.DUMMYFUNCTION("""COMPUTED_VALUE"""),6.75)</f>
        <v>6.75</v>
      </c>
      <c r="F2858">
        <f>IFERROR(__xludf.DUMMYFUNCTION("""COMPUTED_VALUE"""),29.23)</f>
        <v>29.23</v>
      </c>
      <c r="G2858">
        <f>IFERROR(__xludf.DUMMYFUNCTION("""COMPUTED_VALUE"""),0.0)</f>
        <v>0</v>
      </c>
    </row>
    <row r="2859">
      <c r="A2859">
        <f>IFERROR(__xludf.DUMMYFUNCTION("""COMPUTED_VALUE"""),781828.0)</f>
        <v>781828</v>
      </c>
      <c r="B2859" t="str">
        <f>IFERROR(__xludf.DUMMYFUNCTION("""COMPUTED_VALUE"""),"Beef Steak Fried Ns As To Fat Eaten")</f>
        <v>Beef Steak Fried Ns As To Fat Eaten</v>
      </c>
      <c r="C2859" t="str">
        <f>IFERROR(__xludf.DUMMYFUNCTION("""COMPUTED_VALUE"""),"Meats")</f>
        <v>Meats</v>
      </c>
      <c r="D2859">
        <f>IFERROR(__xludf.DUMMYFUNCTION("""COMPUTED_VALUE"""),184.0)</f>
        <v>184</v>
      </c>
      <c r="E2859">
        <f>IFERROR(__xludf.DUMMYFUNCTION("""COMPUTED_VALUE"""),6.75)</f>
        <v>6.75</v>
      </c>
      <c r="F2859">
        <f>IFERROR(__xludf.DUMMYFUNCTION("""COMPUTED_VALUE"""),29.23)</f>
        <v>29.23</v>
      </c>
      <c r="G2859">
        <f>IFERROR(__xludf.DUMMYFUNCTION("""COMPUTED_VALUE"""),0.0)</f>
        <v>0</v>
      </c>
    </row>
    <row r="2860">
      <c r="A2860">
        <f>IFERROR(__xludf.DUMMYFUNCTION("""COMPUTED_VALUE"""),781829.0)</f>
        <v>781829</v>
      </c>
      <c r="B2860" t="str">
        <f>IFERROR(__xludf.DUMMYFUNCTION("""COMPUTED_VALUE"""),"Beef Steak Fried Lean And Fat Eaten")</f>
        <v>Beef Steak Fried Lean And Fat Eaten</v>
      </c>
      <c r="C2860" t="str">
        <f>IFERROR(__xludf.DUMMYFUNCTION("""COMPUTED_VALUE"""),"Meats")</f>
        <v>Meats</v>
      </c>
      <c r="D2860">
        <f>IFERROR(__xludf.DUMMYFUNCTION("""COMPUTED_VALUE"""),235.0)</f>
        <v>235</v>
      </c>
      <c r="E2860">
        <f>IFERROR(__xludf.DUMMYFUNCTION("""COMPUTED_VALUE"""),13.44)</f>
        <v>13.44</v>
      </c>
      <c r="F2860">
        <f>IFERROR(__xludf.DUMMYFUNCTION("""COMPUTED_VALUE"""),27.06)</f>
        <v>27.06</v>
      </c>
      <c r="G2860">
        <f>IFERROR(__xludf.DUMMYFUNCTION("""COMPUTED_VALUE"""),0.0)</f>
        <v>0</v>
      </c>
    </row>
    <row r="2861">
      <c r="A2861">
        <f>IFERROR(__xludf.DUMMYFUNCTION("""COMPUTED_VALUE"""),781830.0)</f>
        <v>781830</v>
      </c>
      <c r="B2861" t="str">
        <f>IFERROR(__xludf.DUMMYFUNCTION("""COMPUTED_VALUE"""),"Beef Steak Fried Lean Only Eaten")</f>
        <v>Beef Steak Fried Lean Only Eaten</v>
      </c>
      <c r="C2861" t="str">
        <f>IFERROR(__xludf.DUMMYFUNCTION("""COMPUTED_VALUE"""),"Meats")</f>
        <v>Meats</v>
      </c>
      <c r="D2861">
        <f>IFERROR(__xludf.DUMMYFUNCTION("""COMPUTED_VALUE"""),184.0)</f>
        <v>184</v>
      </c>
      <c r="E2861">
        <f>IFERROR(__xludf.DUMMYFUNCTION("""COMPUTED_VALUE"""),6.75)</f>
        <v>6.75</v>
      </c>
      <c r="F2861">
        <f>IFERROR(__xludf.DUMMYFUNCTION("""COMPUTED_VALUE"""),29.23)</f>
        <v>29.23</v>
      </c>
      <c r="G2861">
        <f>IFERROR(__xludf.DUMMYFUNCTION("""COMPUTED_VALUE"""),0.0)</f>
        <v>0</v>
      </c>
    </row>
    <row r="2862">
      <c r="A2862">
        <f>IFERROR(__xludf.DUMMYFUNCTION("""COMPUTED_VALUE"""),781831.0)</f>
        <v>781831</v>
      </c>
      <c r="B2862" t="str">
        <f>IFERROR(__xludf.DUMMYFUNCTION("""COMPUTED_VALUE"""),"Beef Steak Breaded Or Floured Baked Or Fried Ns As To Fat Eaten")</f>
        <v>Beef Steak Breaded Or Floured Baked Or Fried Ns As To Fat Eaten</v>
      </c>
      <c r="C2862" t="str">
        <f>IFERROR(__xludf.DUMMYFUNCTION("""COMPUTED_VALUE"""),"Meats")</f>
        <v>Meats</v>
      </c>
      <c r="D2862">
        <f>IFERROR(__xludf.DUMMYFUNCTION("""COMPUTED_VALUE"""),247.0)</f>
        <v>247</v>
      </c>
      <c r="E2862">
        <f>IFERROR(__xludf.DUMMYFUNCTION("""COMPUTED_VALUE"""),10.91)</f>
        <v>10.91</v>
      </c>
      <c r="F2862">
        <f>IFERROR(__xludf.DUMMYFUNCTION("""COMPUTED_VALUE"""),25.04)</f>
        <v>25.04</v>
      </c>
      <c r="G2862">
        <f>IFERROR(__xludf.DUMMYFUNCTION("""COMPUTED_VALUE"""),12.18)</f>
        <v>12.18</v>
      </c>
    </row>
    <row r="2863">
      <c r="A2863">
        <f>IFERROR(__xludf.DUMMYFUNCTION("""COMPUTED_VALUE"""),781832.0)</f>
        <v>781832</v>
      </c>
      <c r="B2863" t="str">
        <f>IFERROR(__xludf.DUMMYFUNCTION("""COMPUTED_VALUE"""),"Beef Steak Breaded Or Floured Baked Or Fried Lean And Fat Eaten")</f>
        <v>Beef Steak Breaded Or Floured Baked Or Fried Lean And Fat Eaten</v>
      </c>
      <c r="C2863" t="str">
        <f>IFERROR(__xludf.DUMMYFUNCTION("""COMPUTED_VALUE"""),"Meats")</f>
        <v>Meats</v>
      </c>
      <c r="D2863">
        <f>IFERROR(__xludf.DUMMYFUNCTION("""COMPUTED_VALUE"""),267.0)</f>
        <v>267</v>
      </c>
      <c r="E2863">
        <f>IFERROR(__xludf.DUMMYFUNCTION("""COMPUTED_VALUE"""),13.37)</f>
        <v>13.37</v>
      </c>
      <c r="F2863">
        <f>IFERROR(__xludf.DUMMYFUNCTION("""COMPUTED_VALUE"""),24.42)</f>
        <v>24.42</v>
      </c>
      <c r="G2863">
        <f>IFERROR(__xludf.DUMMYFUNCTION("""COMPUTED_VALUE"""),12.18)</f>
        <v>12.18</v>
      </c>
    </row>
    <row r="2864">
      <c r="A2864">
        <f>IFERROR(__xludf.DUMMYFUNCTION("""COMPUTED_VALUE"""),781833.0)</f>
        <v>781833</v>
      </c>
      <c r="B2864" t="str">
        <f>IFERROR(__xludf.DUMMYFUNCTION("""COMPUTED_VALUE"""),"Beef Steak Breaded Or Floured Baked Or Fried Lean Only Eaten")</f>
        <v>Beef Steak Breaded Or Floured Baked Or Fried Lean Only Eaten</v>
      </c>
      <c r="C2864" t="str">
        <f>IFERROR(__xludf.DUMMYFUNCTION("""COMPUTED_VALUE"""),"Meats")</f>
        <v>Meats</v>
      </c>
      <c r="D2864">
        <f>IFERROR(__xludf.DUMMYFUNCTION("""COMPUTED_VALUE"""),247.0)</f>
        <v>247</v>
      </c>
      <c r="E2864">
        <f>IFERROR(__xludf.DUMMYFUNCTION("""COMPUTED_VALUE"""),10.91)</f>
        <v>10.91</v>
      </c>
      <c r="F2864">
        <f>IFERROR(__xludf.DUMMYFUNCTION("""COMPUTED_VALUE"""),25.04)</f>
        <v>25.04</v>
      </c>
      <c r="G2864">
        <f>IFERROR(__xludf.DUMMYFUNCTION("""COMPUTED_VALUE"""),12.18)</f>
        <v>12.18</v>
      </c>
    </row>
    <row r="2865">
      <c r="A2865">
        <f>IFERROR(__xludf.DUMMYFUNCTION("""COMPUTED_VALUE"""),781834.0)</f>
        <v>781834</v>
      </c>
      <c r="B2865" t="str">
        <f>IFERROR(__xludf.DUMMYFUNCTION("""COMPUTED_VALUE"""),"Beef Steak Battered Fried Ns As To Fat Eaten")</f>
        <v>Beef Steak Battered Fried Ns As To Fat Eaten</v>
      </c>
      <c r="C2865" t="str">
        <f>IFERROR(__xludf.DUMMYFUNCTION("""COMPUTED_VALUE"""),"Meats")</f>
        <v>Meats</v>
      </c>
      <c r="D2865">
        <f>IFERROR(__xludf.DUMMYFUNCTION("""COMPUTED_VALUE"""),231.0)</f>
        <v>231</v>
      </c>
      <c r="E2865">
        <f>IFERROR(__xludf.DUMMYFUNCTION("""COMPUTED_VALUE"""),11.79)</f>
        <v>11.79</v>
      </c>
      <c r="F2865">
        <f>IFERROR(__xludf.DUMMYFUNCTION("""COMPUTED_VALUE"""),21.2)</f>
        <v>21.2</v>
      </c>
      <c r="G2865">
        <f>IFERROR(__xludf.DUMMYFUNCTION("""COMPUTED_VALUE"""),9.96)</f>
        <v>9.96</v>
      </c>
    </row>
    <row r="2866">
      <c r="A2866">
        <f>IFERROR(__xludf.DUMMYFUNCTION("""COMPUTED_VALUE"""),781835.0)</f>
        <v>781835</v>
      </c>
      <c r="B2866" t="str">
        <f>IFERROR(__xludf.DUMMYFUNCTION("""COMPUTED_VALUE"""),"Beef Steak Battered Fried Lean And Fat Eaten")</f>
        <v>Beef Steak Battered Fried Lean And Fat Eaten</v>
      </c>
      <c r="C2866" t="str">
        <f>IFERROR(__xludf.DUMMYFUNCTION("""COMPUTED_VALUE"""),"Meats")</f>
        <v>Meats</v>
      </c>
      <c r="D2866">
        <f>IFERROR(__xludf.DUMMYFUNCTION("""COMPUTED_VALUE"""),252.0)</f>
        <v>252</v>
      </c>
      <c r="E2866">
        <f>IFERROR(__xludf.DUMMYFUNCTION("""COMPUTED_VALUE"""),14.2)</f>
        <v>14.2</v>
      </c>
      <c r="F2866">
        <f>IFERROR(__xludf.DUMMYFUNCTION("""COMPUTED_VALUE"""),19.86)</f>
        <v>19.86</v>
      </c>
      <c r="G2866">
        <f>IFERROR(__xludf.DUMMYFUNCTION("""COMPUTED_VALUE"""),11.02)</f>
        <v>11.02</v>
      </c>
    </row>
    <row r="2867">
      <c r="A2867">
        <f>IFERROR(__xludf.DUMMYFUNCTION("""COMPUTED_VALUE"""),781836.0)</f>
        <v>781836</v>
      </c>
      <c r="B2867" t="str">
        <f>IFERROR(__xludf.DUMMYFUNCTION("""COMPUTED_VALUE"""),"Beef Steak Battered Fried Lean Only Eaten")</f>
        <v>Beef Steak Battered Fried Lean Only Eaten</v>
      </c>
      <c r="C2867" t="str">
        <f>IFERROR(__xludf.DUMMYFUNCTION("""COMPUTED_VALUE"""),"Meats")</f>
        <v>Meats</v>
      </c>
      <c r="D2867">
        <f>IFERROR(__xludf.DUMMYFUNCTION("""COMPUTED_VALUE"""),236.0)</f>
        <v>236</v>
      </c>
      <c r="E2867">
        <f>IFERROR(__xludf.DUMMYFUNCTION("""COMPUTED_VALUE"""),12.28)</f>
        <v>12.28</v>
      </c>
      <c r="F2867">
        <f>IFERROR(__xludf.DUMMYFUNCTION("""COMPUTED_VALUE"""),20.34)</f>
        <v>20.34</v>
      </c>
      <c r="G2867">
        <f>IFERROR(__xludf.DUMMYFUNCTION("""COMPUTED_VALUE"""),11.02)</f>
        <v>11.02</v>
      </c>
    </row>
    <row r="2868">
      <c r="A2868">
        <f>IFERROR(__xludf.DUMMYFUNCTION("""COMPUTED_VALUE"""),781837.0)</f>
        <v>781837</v>
      </c>
      <c r="B2868" t="str">
        <f>IFERROR(__xludf.DUMMYFUNCTION("""COMPUTED_VALUE"""),"Beef Steak Braised Ns As To Fat Eaten")</f>
        <v>Beef Steak Braised Ns As To Fat Eaten</v>
      </c>
      <c r="C2868" t="str">
        <f>IFERROR(__xludf.DUMMYFUNCTION("""COMPUTED_VALUE"""),"Meats")</f>
        <v>Meats</v>
      </c>
      <c r="D2868">
        <f>IFERROR(__xludf.DUMMYFUNCTION("""COMPUTED_VALUE"""),251.0)</f>
        <v>251</v>
      </c>
      <c r="E2868">
        <f>IFERROR(__xludf.DUMMYFUNCTION("""COMPUTED_VALUE"""),13.19)</f>
        <v>13.19</v>
      </c>
      <c r="F2868">
        <f>IFERROR(__xludf.DUMMYFUNCTION("""COMPUTED_VALUE"""),30.8)</f>
        <v>30.8</v>
      </c>
      <c r="G2868">
        <f>IFERROR(__xludf.DUMMYFUNCTION("""COMPUTED_VALUE"""),0.0)</f>
        <v>0</v>
      </c>
    </row>
    <row r="2869">
      <c r="A2869">
        <f>IFERROR(__xludf.DUMMYFUNCTION("""COMPUTED_VALUE"""),781838.0)</f>
        <v>781838</v>
      </c>
      <c r="B2869" t="str">
        <f>IFERROR(__xludf.DUMMYFUNCTION("""COMPUTED_VALUE"""),"Beef Steak Braised Lean And Fat Eaten")</f>
        <v>Beef Steak Braised Lean And Fat Eaten</v>
      </c>
      <c r="C2869" t="str">
        <f>IFERROR(__xludf.DUMMYFUNCTION("""COMPUTED_VALUE"""),"Meats")</f>
        <v>Meats</v>
      </c>
      <c r="D2869">
        <f>IFERROR(__xludf.DUMMYFUNCTION("""COMPUTED_VALUE"""),251.0)</f>
        <v>251</v>
      </c>
      <c r="E2869">
        <f>IFERROR(__xludf.DUMMYFUNCTION("""COMPUTED_VALUE"""),13.19)</f>
        <v>13.19</v>
      </c>
      <c r="F2869">
        <f>IFERROR(__xludf.DUMMYFUNCTION("""COMPUTED_VALUE"""),30.8)</f>
        <v>30.8</v>
      </c>
      <c r="G2869">
        <f>IFERROR(__xludf.DUMMYFUNCTION("""COMPUTED_VALUE"""),0.0)</f>
        <v>0</v>
      </c>
    </row>
    <row r="2870">
      <c r="A2870">
        <f>IFERROR(__xludf.DUMMYFUNCTION("""COMPUTED_VALUE"""),781839.0)</f>
        <v>781839</v>
      </c>
      <c r="B2870" t="str">
        <f>IFERROR(__xludf.DUMMYFUNCTION("""COMPUTED_VALUE"""),"Beef Steak Braised Lean Only Eaten")</f>
        <v>Beef Steak Braised Lean Only Eaten</v>
      </c>
      <c r="C2870" t="str">
        <f>IFERROR(__xludf.DUMMYFUNCTION("""COMPUTED_VALUE"""),"Meats")</f>
        <v>Meats</v>
      </c>
      <c r="D2870">
        <f>IFERROR(__xludf.DUMMYFUNCTION("""COMPUTED_VALUE"""),164.0)</f>
        <v>164</v>
      </c>
      <c r="E2870">
        <f>IFERROR(__xludf.DUMMYFUNCTION("""COMPUTED_VALUE"""),5.34)</f>
        <v>5.34</v>
      </c>
      <c r="F2870">
        <f>IFERROR(__xludf.DUMMYFUNCTION("""COMPUTED_VALUE"""),28.94)</f>
        <v>28.94</v>
      </c>
      <c r="G2870">
        <f>IFERROR(__xludf.DUMMYFUNCTION("""COMPUTED_VALUE"""),0.0)</f>
        <v>0</v>
      </c>
    </row>
    <row r="2871">
      <c r="A2871">
        <f>IFERROR(__xludf.DUMMYFUNCTION("""COMPUTED_VALUE"""),781840.0)</f>
        <v>781840</v>
      </c>
      <c r="B2871" t="str">
        <f>IFERROR(__xludf.DUMMYFUNCTION("""COMPUTED_VALUE"""),"Beef Oxtails Cooked")</f>
        <v>Beef Oxtails Cooked</v>
      </c>
      <c r="C2871" t="str">
        <f>IFERROR(__xludf.DUMMYFUNCTION("""COMPUTED_VALUE"""),"Meats")</f>
        <v>Meats</v>
      </c>
      <c r="D2871">
        <f>IFERROR(__xludf.DUMMYFUNCTION("""COMPUTED_VALUE"""),251.0)</f>
        <v>251</v>
      </c>
      <c r="E2871">
        <f>IFERROR(__xludf.DUMMYFUNCTION("""COMPUTED_VALUE"""),13.19)</f>
        <v>13.19</v>
      </c>
      <c r="F2871">
        <f>IFERROR(__xludf.DUMMYFUNCTION("""COMPUTED_VALUE"""),30.8)</f>
        <v>30.8</v>
      </c>
      <c r="G2871">
        <f>IFERROR(__xludf.DUMMYFUNCTION("""COMPUTED_VALUE"""),0.0)</f>
        <v>0</v>
      </c>
    </row>
    <row r="2872">
      <c r="A2872">
        <f>IFERROR(__xludf.DUMMYFUNCTION("""COMPUTED_VALUE"""),781841.0)</f>
        <v>781841</v>
      </c>
      <c r="B2872" t="str">
        <f>IFERROR(__xludf.DUMMYFUNCTION("""COMPUTED_VALUE"""),"Beef Neck Bones Cooked")</f>
        <v>Beef Neck Bones Cooked</v>
      </c>
      <c r="C2872" t="str">
        <f>IFERROR(__xludf.DUMMYFUNCTION("""COMPUTED_VALUE"""),"Meats")</f>
        <v>Meats</v>
      </c>
      <c r="D2872">
        <f>IFERROR(__xludf.DUMMYFUNCTION("""COMPUTED_VALUE"""),299.0)</f>
        <v>299</v>
      </c>
      <c r="E2872">
        <f>IFERROR(__xludf.DUMMYFUNCTION("""COMPUTED_VALUE"""),19.06)</f>
        <v>19.06</v>
      </c>
      <c r="F2872">
        <f>IFERROR(__xludf.DUMMYFUNCTION("""COMPUTED_VALUE"""),29.87)</f>
        <v>29.87</v>
      </c>
      <c r="G2872">
        <f>IFERROR(__xludf.DUMMYFUNCTION("""COMPUTED_VALUE"""),0.0)</f>
        <v>0</v>
      </c>
    </row>
    <row r="2873">
      <c r="A2873">
        <f>IFERROR(__xludf.DUMMYFUNCTION("""COMPUTED_VALUE"""),781842.0)</f>
        <v>781842</v>
      </c>
      <c r="B2873" t="str">
        <f>IFERROR(__xludf.DUMMYFUNCTION("""COMPUTED_VALUE"""),"Beef Shortribs Cooked Ns As To Fat Eaten")</f>
        <v>Beef Shortribs Cooked Ns As To Fat Eaten</v>
      </c>
      <c r="C2873" t="str">
        <f>IFERROR(__xludf.DUMMYFUNCTION("""COMPUTED_VALUE"""),"Meats")</f>
        <v>Meats</v>
      </c>
      <c r="D2873">
        <f>IFERROR(__xludf.DUMMYFUNCTION("""COMPUTED_VALUE"""),293.0)</f>
        <v>293</v>
      </c>
      <c r="E2873">
        <f>IFERROR(__xludf.DUMMYFUNCTION("""COMPUTED_VALUE"""),17.98)</f>
        <v>17.98</v>
      </c>
      <c r="F2873">
        <f>IFERROR(__xludf.DUMMYFUNCTION("""COMPUTED_VALUE"""),30.5)</f>
        <v>30.5</v>
      </c>
      <c r="G2873">
        <f>IFERROR(__xludf.DUMMYFUNCTION("""COMPUTED_VALUE"""),0.0)</f>
        <v>0</v>
      </c>
    </row>
    <row r="2874">
      <c r="A2874">
        <f>IFERROR(__xludf.DUMMYFUNCTION("""COMPUTED_VALUE"""),781843.0)</f>
        <v>781843</v>
      </c>
      <c r="B2874" t="str">
        <f>IFERROR(__xludf.DUMMYFUNCTION("""COMPUTED_VALUE"""),"Beef Shortribs Cooked Lean And Fat Eaten")</f>
        <v>Beef Shortribs Cooked Lean And Fat Eaten</v>
      </c>
      <c r="C2874" t="str">
        <f>IFERROR(__xludf.DUMMYFUNCTION("""COMPUTED_VALUE"""),"Meats")</f>
        <v>Meats</v>
      </c>
      <c r="D2874">
        <f>IFERROR(__xludf.DUMMYFUNCTION("""COMPUTED_VALUE"""),467.0)</f>
        <v>467</v>
      </c>
      <c r="E2874">
        <f>IFERROR(__xludf.DUMMYFUNCTION("""COMPUTED_VALUE"""),41.63)</f>
        <v>41.63</v>
      </c>
      <c r="F2874">
        <f>IFERROR(__xludf.DUMMYFUNCTION("""COMPUTED_VALUE"""),21.39)</f>
        <v>21.39</v>
      </c>
      <c r="G2874">
        <f>IFERROR(__xludf.DUMMYFUNCTION("""COMPUTED_VALUE"""),0.0)</f>
        <v>0</v>
      </c>
    </row>
    <row r="2875">
      <c r="A2875">
        <f>IFERROR(__xludf.DUMMYFUNCTION("""COMPUTED_VALUE"""),781844.0)</f>
        <v>781844</v>
      </c>
      <c r="B2875" t="str">
        <f>IFERROR(__xludf.DUMMYFUNCTION("""COMPUTED_VALUE"""),"Beef Shortribs Cooked Lean Only Eaten")</f>
        <v>Beef Shortribs Cooked Lean Only Eaten</v>
      </c>
      <c r="C2875" t="str">
        <f>IFERROR(__xludf.DUMMYFUNCTION("""COMPUTED_VALUE"""),"Meats")</f>
        <v>Meats</v>
      </c>
      <c r="D2875">
        <f>IFERROR(__xludf.DUMMYFUNCTION("""COMPUTED_VALUE"""),293.0)</f>
        <v>293</v>
      </c>
      <c r="E2875">
        <f>IFERROR(__xludf.DUMMYFUNCTION("""COMPUTED_VALUE"""),17.98)</f>
        <v>17.98</v>
      </c>
      <c r="F2875">
        <f>IFERROR(__xludf.DUMMYFUNCTION("""COMPUTED_VALUE"""),30.5)</f>
        <v>30.5</v>
      </c>
      <c r="G2875">
        <f>IFERROR(__xludf.DUMMYFUNCTION("""COMPUTED_VALUE"""),0.0)</f>
        <v>0</v>
      </c>
    </row>
    <row r="2876">
      <c r="A2876">
        <f>IFERROR(__xludf.DUMMYFUNCTION("""COMPUTED_VALUE"""),781845.0)</f>
        <v>781845</v>
      </c>
      <c r="B2876" t="str">
        <f>IFERROR(__xludf.DUMMYFUNCTION("""COMPUTED_VALUE"""),"Beef Shortribs Barbecued With Sauce Ns As To Fat Eaten")</f>
        <v>Beef Shortribs Barbecued With Sauce Ns As To Fat Eaten</v>
      </c>
      <c r="C2876" t="str">
        <f>IFERROR(__xludf.DUMMYFUNCTION("""COMPUTED_VALUE"""),"Meats")</f>
        <v>Meats</v>
      </c>
      <c r="D2876">
        <f>IFERROR(__xludf.DUMMYFUNCTION("""COMPUTED_VALUE"""),397.0)</f>
        <v>397</v>
      </c>
      <c r="E2876">
        <f>IFERROR(__xludf.DUMMYFUNCTION("""COMPUTED_VALUE"""),30.81)</f>
        <v>30.81</v>
      </c>
      <c r="F2876">
        <f>IFERROR(__xludf.DUMMYFUNCTION("""COMPUTED_VALUE"""),15.98)</f>
        <v>15.98</v>
      </c>
      <c r="G2876">
        <f>IFERROR(__xludf.DUMMYFUNCTION("""COMPUTED_VALUE"""),12.74)</f>
        <v>12.74</v>
      </c>
    </row>
    <row r="2877">
      <c r="A2877">
        <f>IFERROR(__xludf.DUMMYFUNCTION("""COMPUTED_VALUE"""),781846.0)</f>
        <v>781846</v>
      </c>
      <c r="B2877" t="str">
        <f>IFERROR(__xludf.DUMMYFUNCTION("""COMPUTED_VALUE"""),"Beef Shortribs Barbecued With Sauce Lean And Fat Eaten")</f>
        <v>Beef Shortribs Barbecued With Sauce Lean And Fat Eaten</v>
      </c>
      <c r="C2877" t="str">
        <f>IFERROR(__xludf.DUMMYFUNCTION("""COMPUTED_VALUE"""),"Meats")</f>
        <v>Meats</v>
      </c>
      <c r="D2877">
        <f>IFERROR(__xludf.DUMMYFUNCTION("""COMPUTED_VALUE"""),397.0)</f>
        <v>397</v>
      </c>
      <c r="E2877">
        <f>IFERROR(__xludf.DUMMYFUNCTION("""COMPUTED_VALUE"""),30.81)</f>
        <v>30.81</v>
      </c>
      <c r="F2877">
        <f>IFERROR(__xludf.DUMMYFUNCTION("""COMPUTED_VALUE"""),15.98)</f>
        <v>15.98</v>
      </c>
      <c r="G2877">
        <f>IFERROR(__xludf.DUMMYFUNCTION("""COMPUTED_VALUE"""),12.74)</f>
        <v>12.74</v>
      </c>
    </row>
    <row r="2878">
      <c r="A2878">
        <f>IFERROR(__xludf.DUMMYFUNCTION("""COMPUTED_VALUE"""),781847.0)</f>
        <v>781847</v>
      </c>
      <c r="B2878" t="str">
        <f>IFERROR(__xludf.DUMMYFUNCTION("""COMPUTED_VALUE"""),"Beef Shortribs Barbecued With Sauce Lean Only Eaten")</f>
        <v>Beef Shortribs Barbecued With Sauce Lean Only Eaten</v>
      </c>
      <c r="C2878" t="str">
        <f>IFERROR(__xludf.DUMMYFUNCTION("""COMPUTED_VALUE"""),"Meats")</f>
        <v>Meats</v>
      </c>
      <c r="D2878">
        <f>IFERROR(__xludf.DUMMYFUNCTION("""COMPUTED_VALUE"""),269.0)</f>
        <v>269</v>
      </c>
      <c r="E2878">
        <f>IFERROR(__xludf.DUMMYFUNCTION("""COMPUTED_VALUE"""),13.42)</f>
        <v>13.42</v>
      </c>
      <c r="F2878">
        <f>IFERROR(__xludf.DUMMYFUNCTION("""COMPUTED_VALUE"""),22.68)</f>
        <v>22.68</v>
      </c>
      <c r="G2878">
        <f>IFERROR(__xludf.DUMMYFUNCTION("""COMPUTED_VALUE"""),12.74)</f>
        <v>12.74</v>
      </c>
    </row>
    <row r="2879">
      <c r="A2879">
        <f>IFERROR(__xludf.DUMMYFUNCTION("""COMPUTED_VALUE"""),781848.0)</f>
        <v>781848</v>
      </c>
      <c r="B2879" t="str">
        <f>IFERROR(__xludf.DUMMYFUNCTION("""COMPUTED_VALUE"""),"Beef Cow Head Cooked")</f>
        <v>Beef Cow Head Cooked</v>
      </c>
      <c r="C2879" t="str">
        <f>IFERROR(__xludf.DUMMYFUNCTION("""COMPUTED_VALUE"""),"Meats")</f>
        <v>Meats</v>
      </c>
      <c r="D2879">
        <f>IFERROR(__xludf.DUMMYFUNCTION("""COMPUTED_VALUE"""),257.0)</f>
        <v>257</v>
      </c>
      <c r="E2879">
        <f>IFERROR(__xludf.DUMMYFUNCTION("""COMPUTED_VALUE"""),16.45)</f>
        <v>16.45</v>
      </c>
      <c r="F2879">
        <f>IFERROR(__xludf.DUMMYFUNCTION("""COMPUTED_VALUE"""),25.89)</f>
        <v>25.89</v>
      </c>
      <c r="G2879">
        <f>IFERROR(__xludf.DUMMYFUNCTION("""COMPUTED_VALUE"""),0.0)</f>
        <v>0</v>
      </c>
    </row>
    <row r="2880">
      <c r="A2880">
        <f>IFERROR(__xludf.DUMMYFUNCTION("""COMPUTED_VALUE"""),781849.0)</f>
        <v>781849</v>
      </c>
      <c r="B2880" t="str">
        <f>IFERROR(__xludf.DUMMYFUNCTION("""COMPUTED_VALUE"""),"Beef Roast Roasted Ns As To Fat Eaten")</f>
        <v>Beef Roast Roasted Ns As To Fat Eaten</v>
      </c>
      <c r="C2880" t="str">
        <f>IFERROR(__xludf.DUMMYFUNCTION("""COMPUTED_VALUE"""),"Meats")</f>
        <v>Meats</v>
      </c>
      <c r="D2880">
        <f>IFERROR(__xludf.DUMMYFUNCTION("""COMPUTED_VALUE"""),167.0)</f>
        <v>167</v>
      </c>
      <c r="E2880">
        <f>IFERROR(__xludf.DUMMYFUNCTION("""COMPUTED_VALUE"""),4.94)</f>
        <v>4.94</v>
      </c>
      <c r="F2880">
        <f>IFERROR(__xludf.DUMMYFUNCTION("""COMPUTED_VALUE"""),28.57)</f>
        <v>28.57</v>
      </c>
      <c r="G2880">
        <f>IFERROR(__xludf.DUMMYFUNCTION("""COMPUTED_VALUE"""),0.0)</f>
        <v>0</v>
      </c>
    </row>
    <row r="2881">
      <c r="A2881">
        <f>IFERROR(__xludf.DUMMYFUNCTION("""COMPUTED_VALUE"""),781850.0)</f>
        <v>781850</v>
      </c>
      <c r="B2881" t="str">
        <f>IFERROR(__xludf.DUMMYFUNCTION("""COMPUTED_VALUE"""),"Beef Roast Roasted Lean And Fat Eaten")</f>
        <v>Beef Roast Roasted Lean And Fat Eaten</v>
      </c>
      <c r="C2881" t="str">
        <f>IFERROR(__xludf.DUMMYFUNCTION("""COMPUTED_VALUE"""),"Meats")</f>
        <v>Meats</v>
      </c>
      <c r="D2881">
        <f>IFERROR(__xludf.DUMMYFUNCTION("""COMPUTED_VALUE"""),159.0)</f>
        <v>159</v>
      </c>
      <c r="E2881">
        <f>IFERROR(__xludf.DUMMYFUNCTION("""COMPUTED_VALUE"""),4.45)</f>
        <v>4.45</v>
      </c>
      <c r="F2881">
        <f>IFERROR(__xludf.DUMMYFUNCTION("""COMPUTED_VALUE"""),29.65)</f>
        <v>29.65</v>
      </c>
      <c r="G2881">
        <f>IFERROR(__xludf.DUMMYFUNCTION("""COMPUTED_VALUE"""),0.0)</f>
        <v>0</v>
      </c>
    </row>
    <row r="2882">
      <c r="A2882">
        <f>IFERROR(__xludf.DUMMYFUNCTION("""COMPUTED_VALUE"""),781851.0)</f>
        <v>781851</v>
      </c>
      <c r="B2882" t="str">
        <f>IFERROR(__xludf.DUMMYFUNCTION("""COMPUTED_VALUE"""),"Beef Roast Roasted Lean Only Eaten")</f>
        <v>Beef Roast Roasted Lean Only Eaten</v>
      </c>
      <c r="C2882" t="str">
        <f>IFERROR(__xludf.DUMMYFUNCTION("""COMPUTED_VALUE"""),"Meats")</f>
        <v>Meats</v>
      </c>
      <c r="D2882">
        <f>IFERROR(__xludf.DUMMYFUNCTION("""COMPUTED_VALUE"""),150.0)</f>
        <v>150</v>
      </c>
      <c r="E2882">
        <f>IFERROR(__xludf.DUMMYFUNCTION("""COMPUTED_VALUE"""),3.71)</f>
        <v>3.71</v>
      </c>
      <c r="F2882">
        <f>IFERROR(__xludf.DUMMYFUNCTION("""COMPUTED_VALUE"""),29.13)</f>
        <v>29.13</v>
      </c>
      <c r="G2882">
        <f>IFERROR(__xludf.DUMMYFUNCTION("""COMPUTED_VALUE"""),0.0)</f>
        <v>0</v>
      </c>
    </row>
    <row r="2883">
      <c r="A2883">
        <f>IFERROR(__xludf.DUMMYFUNCTION("""COMPUTED_VALUE"""),781853.0)</f>
        <v>781853</v>
      </c>
      <c r="B2883" t="str">
        <f>IFERROR(__xludf.DUMMYFUNCTION("""COMPUTED_VALUE"""),"Beef Pot Roast Braised Or Boiled Ns As To Fat Eaten")</f>
        <v>Beef Pot Roast Braised Or Boiled Ns As To Fat Eaten</v>
      </c>
      <c r="C2883" t="str">
        <f>IFERROR(__xludf.DUMMYFUNCTION("""COMPUTED_VALUE"""),"Meats")</f>
        <v>Meats</v>
      </c>
      <c r="D2883">
        <f>IFERROR(__xludf.DUMMYFUNCTION("""COMPUTED_VALUE"""),251.0)</f>
        <v>251</v>
      </c>
      <c r="E2883">
        <f>IFERROR(__xludf.DUMMYFUNCTION("""COMPUTED_VALUE"""),13.19)</f>
        <v>13.19</v>
      </c>
      <c r="F2883">
        <f>IFERROR(__xludf.DUMMYFUNCTION("""COMPUTED_VALUE"""),30.8)</f>
        <v>30.8</v>
      </c>
      <c r="G2883">
        <f>IFERROR(__xludf.DUMMYFUNCTION("""COMPUTED_VALUE"""),0.0)</f>
        <v>0</v>
      </c>
    </row>
    <row r="2884">
      <c r="A2884">
        <f>IFERROR(__xludf.DUMMYFUNCTION("""COMPUTED_VALUE"""),781854.0)</f>
        <v>781854</v>
      </c>
      <c r="B2884" t="str">
        <f>IFERROR(__xludf.DUMMYFUNCTION("""COMPUTED_VALUE"""),"Beef Pot Roast Braised Or Boiled Lean And Fat Eaten")</f>
        <v>Beef Pot Roast Braised Or Boiled Lean And Fat Eaten</v>
      </c>
      <c r="C2884" t="str">
        <f>IFERROR(__xludf.DUMMYFUNCTION("""COMPUTED_VALUE"""),"Meats")</f>
        <v>Meats</v>
      </c>
      <c r="D2884">
        <f>IFERROR(__xludf.DUMMYFUNCTION("""COMPUTED_VALUE"""),155.0)</f>
        <v>155</v>
      </c>
      <c r="E2884">
        <f>IFERROR(__xludf.DUMMYFUNCTION("""COMPUTED_VALUE"""),4.34)</f>
        <v>4.34</v>
      </c>
      <c r="F2884">
        <f>IFERROR(__xludf.DUMMYFUNCTION("""COMPUTED_VALUE"""),29.09)</f>
        <v>29.09</v>
      </c>
      <c r="G2884">
        <f>IFERROR(__xludf.DUMMYFUNCTION("""COMPUTED_VALUE"""),0.0)</f>
        <v>0</v>
      </c>
    </row>
    <row r="2885">
      <c r="A2885">
        <f>IFERROR(__xludf.DUMMYFUNCTION("""COMPUTED_VALUE"""),781855.0)</f>
        <v>781855</v>
      </c>
      <c r="B2885" t="str">
        <f>IFERROR(__xludf.DUMMYFUNCTION("""COMPUTED_VALUE"""),"Beef Pot Roast Braised Or Boiled Lean Only Eaten")</f>
        <v>Beef Pot Roast Braised Or Boiled Lean Only Eaten</v>
      </c>
      <c r="C2885" t="str">
        <f>IFERROR(__xludf.DUMMYFUNCTION("""COMPUTED_VALUE"""),"Meats")</f>
        <v>Meats</v>
      </c>
      <c r="D2885">
        <f>IFERROR(__xludf.DUMMYFUNCTION("""COMPUTED_VALUE"""),251.0)</f>
        <v>251</v>
      </c>
      <c r="E2885">
        <f>IFERROR(__xludf.DUMMYFUNCTION("""COMPUTED_VALUE"""),13.19)</f>
        <v>13.19</v>
      </c>
      <c r="F2885">
        <f>IFERROR(__xludf.DUMMYFUNCTION("""COMPUTED_VALUE"""),30.8)</f>
        <v>30.8</v>
      </c>
      <c r="G2885">
        <f>IFERROR(__xludf.DUMMYFUNCTION("""COMPUTED_VALUE"""),0.0)</f>
        <v>0</v>
      </c>
    </row>
    <row r="2886">
      <c r="A2886">
        <f>IFERROR(__xludf.DUMMYFUNCTION("""COMPUTED_VALUE"""),781856.0)</f>
        <v>781856</v>
      </c>
      <c r="B2886" t="str">
        <f>IFERROR(__xludf.DUMMYFUNCTION("""COMPUTED_VALUE"""),"Beef Stew Meat Cooked Ns As To Fat Eaten")</f>
        <v>Beef Stew Meat Cooked Ns As To Fat Eaten</v>
      </c>
      <c r="C2886" t="str">
        <f>IFERROR(__xludf.DUMMYFUNCTION("""COMPUTED_VALUE"""),"Meats")</f>
        <v>Meats</v>
      </c>
      <c r="D2886">
        <f>IFERROR(__xludf.DUMMYFUNCTION("""COMPUTED_VALUE"""),251.0)</f>
        <v>251</v>
      </c>
      <c r="E2886">
        <f>IFERROR(__xludf.DUMMYFUNCTION("""COMPUTED_VALUE"""),13.19)</f>
        <v>13.19</v>
      </c>
      <c r="F2886">
        <f>IFERROR(__xludf.DUMMYFUNCTION("""COMPUTED_VALUE"""),30.8)</f>
        <v>30.8</v>
      </c>
      <c r="G2886">
        <f>IFERROR(__xludf.DUMMYFUNCTION("""COMPUTED_VALUE"""),0.0)</f>
        <v>0</v>
      </c>
    </row>
    <row r="2887">
      <c r="A2887">
        <f>IFERROR(__xludf.DUMMYFUNCTION("""COMPUTED_VALUE"""),781857.0)</f>
        <v>781857</v>
      </c>
      <c r="B2887" t="str">
        <f>IFERROR(__xludf.DUMMYFUNCTION("""COMPUTED_VALUE"""),"Beef Stew Meat Cooked Lean And Fat Eaten")</f>
        <v>Beef Stew Meat Cooked Lean And Fat Eaten</v>
      </c>
      <c r="C2887" t="str">
        <f>IFERROR(__xludf.DUMMYFUNCTION("""COMPUTED_VALUE"""),"Meats")</f>
        <v>Meats</v>
      </c>
      <c r="D2887">
        <f>IFERROR(__xludf.DUMMYFUNCTION("""COMPUTED_VALUE"""),236.0)</f>
        <v>236</v>
      </c>
      <c r="E2887">
        <f>IFERROR(__xludf.DUMMYFUNCTION("""COMPUTED_VALUE"""),10.05)</f>
        <v>10.05</v>
      </c>
      <c r="F2887">
        <f>IFERROR(__xludf.DUMMYFUNCTION("""COMPUTED_VALUE"""),34.05)</f>
        <v>34.05</v>
      </c>
      <c r="G2887">
        <f>IFERROR(__xludf.DUMMYFUNCTION("""COMPUTED_VALUE"""),0.0)</f>
        <v>0</v>
      </c>
    </row>
    <row r="2888">
      <c r="A2888">
        <f>IFERROR(__xludf.DUMMYFUNCTION("""COMPUTED_VALUE"""),781858.0)</f>
        <v>781858</v>
      </c>
      <c r="B2888" t="str">
        <f>IFERROR(__xludf.DUMMYFUNCTION("""COMPUTED_VALUE"""),"Beef Stew Meat Cooked Lean Only Eaten")</f>
        <v>Beef Stew Meat Cooked Lean Only Eaten</v>
      </c>
      <c r="C2888" t="str">
        <f>IFERROR(__xludf.DUMMYFUNCTION("""COMPUTED_VALUE"""),"Meats")</f>
        <v>Meats</v>
      </c>
      <c r="D2888">
        <f>IFERROR(__xludf.DUMMYFUNCTION("""COMPUTED_VALUE"""),251.0)</f>
        <v>251</v>
      </c>
      <c r="E2888">
        <f>IFERROR(__xludf.DUMMYFUNCTION("""COMPUTED_VALUE"""),13.19)</f>
        <v>13.19</v>
      </c>
      <c r="F2888">
        <f>IFERROR(__xludf.DUMMYFUNCTION("""COMPUTED_VALUE"""),30.8)</f>
        <v>30.8</v>
      </c>
      <c r="G2888">
        <f>IFERROR(__xludf.DUMMYFUNCTION("""COMPUTED_VALUE"""),0.0)</f>
        <v>0</v>
      </c>
    </row>
    <row r="2889">
      <c r="A2889">
        <f>IFERROR(__xludf.DUMMYFUNCTION("""COMPUTED_VALUE"""),781863.0)</f>
        <v>781863</v>
      </c>
      <c r="B2889" t="str">
        <f>IFERROR(__xludf.DUMMYFUNCTION("""COMPUTED_VALUE"""),"Beef Brisket Cooked Ns As To Fat Eaten")</f>
        <v>Beef Brisket Cooked Ns As To Fat Eaten</v>
      </c>
      <c r="C2889" t="str">
        <f>IFERROR(__xludf.DUMMYFUNCTION("""COMPUTED_VALUE"""),"Meats")</f>
        <v>Meats</v>
      </c>
      <c r="D2889">
        <f>IFERROR(__xludf.DUMMYFUNCTION("""COMPUTED_VALUE"""),216.0)</f>
        <v>216</v>
      </c>
      <c r="E2889">
        <f>IFERROR(__xludf.DUMMYFUNCTION("""COMPUTED_VALUE"""),10.0)</f>
        <v>10</v>
      </c>
      <c r="F2889">
        <f>IFERROR(__xludf.DUMMYFUNCTION("""COMPUTED_VALUE"""),29.5)</f>
        <v>29.5</v>
      </c>
      <c r="G2889">
        <f>IFERROR(__xludf.DUMMYFUNCTION("""COMPUTED_VALUE"""),0.0)</f>
        <v>0</v>
      </c>
    </row>
    <row r="2890">
      <c r="A2890">
        <f>IFERROR(__xludf.DUMMYFUNCTION("""COMPUTED_VALUE"""),781864.0)</f>
        <v>781864</v>
      </c>
      <c r="B2890" t="str">
        <f>IFERROR(__xludf.DUMMYFUNCTION("""COMPUTED_VALUE"""),"Beef Brisket Cooked Lean And Fat Eaten")</f>
        <v>Beef Brisket Cooked Lean And Fat Eaten</v>
      </c>
      <c r="C2890" t="str">
        <f>IFERROR(__xludf.DUMMYFUNCTION("""COMPUTED_VALUE"""),"Meats")</f>
        <v>Meats</v>
      </c>
      <c r="D2890">
        <f>IFERROR(__xludf.DUMMYFUNCTION("""COMPUTED_VALUE"""),289.0)</f>
        <v>289</v>
      </c>
      <c r="E2890">
        <f>IFERROR(__xludf.DUMMYFUNCTION("""COMPUTED_VALUE"""),19.36)</f>
        <v>19.36</v>
      </c>
      <c r="F2890">
        <f>IFERROR(__xludf.DUMMYFUNCTION("""COMPUTED_VALUE"""),26.57)</f>
        <v>26.57</v>
      </c>
      <c r="G2890">
        <f>IFERROR(__xludf.DUMMYFUNCTION("""COMPUTED_VALUE"""),0.0)</f>
        <v>0</v>
      </c>
    </row>
    <row r="2891">
      <c r="A2891">
        <f>IFERROR(__xludf.DUMMYFUNCTION("""COMPUTED_VALUE"""),781865.0)</f>
        <v>781865</v>
      </c>
      <c r="B2891" t="str">
        <f>IFERROR(__xludf.DUMMYFUNCTION("""COMPUTED_VALUE"""),"Beef Brisket Cooked Lean Only Eaten")</f>
        <v>Beef Brisket Cooked Lean Only Eaten</v>
      </c>
      <c r="C2891" t="str">
        <f>IFERROR(__xludf.DUMMYFUNCTION("""COMPUTED_VALUE"""),"Meats")</f>
        <v>Meats</v>
      </c>
      <c r="D2891">
        <f>IFERROR(__xludf.DUMMYFUNCTION("""COMPUTED_VALUE"""),216.0)</f>
        <v>216</v>
      </c>
      <c r="E2891">
        <f>IFERROR(__xludf.DUMMYFUNCTION("""COMPUTED_VALUE"""),10.0)</f>
        <v>10</v>
      </c>
      <c r="F2891">
        <f>IFERROR(__xludf.DUMMYFUNCTION("""COMPUTED_VALUE"""),29.5)</f>
        <v>29.5</v>
      </c>
      <c r="G2891">
        <f>IFERROR(__xludf.DUMMYFUNCTION("""COMPUTED_VALUE"""),0.0)</f>
        <v>0</v>
      </c>
    </row>
    <row r="2892">
      <c r="A2892">
        <f>IFERROR(__xludf.DUMMYFUNCTION("""COMPUTED_VALUE"""),781866.0)</f>
        <v>781866</v>
      </c>
      <c r="B2892" t="str">
        <f>IFERROR(__xludf.DUMMYFUNCTION("""COMPUTED_VALUE"""),"Beef Sandwich Steak Flaked Formed Thinly Sliced")</f>
        <v>Beef Sandwich Steak Flaked Formed Thinly Sliced</v>
      </c>
      <c r="C2892" t="str">
        <f>IFERROR(__xludf.DUMMYFUNCTION("""COMPUTED_VALUE"""),"Meats")</f>
        <v>Meats</v>
      </c>
      <c r="D2892">
        <f>IFERROR(__xludf.DUMMYFUNCTION("""COMPUTED_VALUE"""),329.0)</f>
        <v>329</v>
      </c>
      <c r="E2892">
        <f>IFERROR(__xludf.DUMMYFUNCTION("""COMPUTED_VALUE"""),27.81)</f>
        <v>27.81</v>
      </c>
      <c r="F2892">
        <f>IFERROR(__xludf.DUMMYFUNCTION("""COMPUTED_VALUE"""),18.41)</f>
        <v>18.41</v>
      </c>
      <c r="G2892">
        <f>IFERROR(__xludf.DUMMYFUNCTION("""COMPUTED_VALUE"""),0.0)</f>
        <v>0</v>
      </c>
    </row>
    <row r="2893">
      <c r="A2893">
        <f>IFERROR(__xludf.DUMMYFUNCTION("""COMPUTED_VALUE"""),781867.0)</f>
        <v>781867</v>
      </c>
      <c r="B2893" t="str">
        <f>IFERROR(__xludf.DUMMYFUNCTION("""COMPUTED_VALUE"""),"Ground Beef Raw")</f>
        <v>Ground Beef Raw</v>
      </c>
      <c r="C2893" t="str">
        <f>IFERROR(__xludf.DUMMYFUNCTION("""COMPUTED_VALUE"""),"Meats")</f>
        <v>Meats</v>
      </c>
      <c r="D2893">
        <f>IFERROR(__xludf.DUMMYFUNCTION("""COMPUTED_VALUE"""),247.0)</f>
        <v>247</v>
      </c>
      <c r="E2893">
        <f>IFERROR(__xludf.DUMMYFUNCTION("""COMPUTED_VALUE"""),19.07)</f>
        <v>19.07</v>
      </c>
      <c r="F2893">
        <f>IFERROR(__xludf.DUMMYFUNCTION("""COMPUTED_VALUE"""),17.44)</f>
        <v>17.44</v>
      </c>
      <c r="G2893">
        <f>IFERROR(__xludf.DUMMYFUNCTION("""COMPUTED_VALUE"""),0.0)</f>
        <v>0</v>
      </c>
    </row>
    <row r="2894">
      <c r="A2894">
        <f>IFERROR(__xludf.DUMMYFUNCTION("""COMPUTED_VALUE"""),781868.0)</f>
        <v>781868</v>
      </c>
      <c r="B2894" t="str">
        <f>IFERROR(__xludf.DUMMYFUNCTION("""COMPUTED_VALUE"""),"Ground Beef Cooked")</f>
        <v>Ground Beef Cooked</v>
      </c>
      <c r="C2894" t="str">
        <f>IFERROR(__xludf.DUMMYFUNCTION("""COMPUTED_VALUE"""),"Meats")</f>
        <v>Meats</v>
      </c>
      <c r="D2894">
        <f>IFERROR(__xludf.DUMMYFUNCTION("""COMPUTED_VALUE"""),260.0)</f>
        <v>260</v>
      </c>
      <c r="E2894">
        <f>IFERROR(__xludf.DUMMYFUNCTION("""COMPUTED_VALUE"""),16.82)</f>
        <v>16.82</v>
      </c>
      <c r="F2894">
        <f>IFERROR(__xludf.DUMMYFUNCTION("""COMPUTED_VALUE"""),25.54)</f>
        <v>25.54</v>
      </c>
      <c r="G2894">
        <f>IFERROR(__xludf.DUMMYFUNCTION("""COMPUTED_VALUE"""),0.0)</f>
        <v>0</v>
      </c>
    </row>
    <row r="2895">
      <c r="A2895">
        <f>IFERROR(__xludf.DUMMYFUNCTION("""COMPUTED_VALUE"""),781869.0)</f>
        <v>781869</v>
      </c>
      <c r="B2895" t="str">
        <f>IFERROR(__xludf.DUMMYFUNCTION("""COMPUTED_VALUE"""),"Ground Beef Patty Cooked")</f>
        <v>Ground Beef Patty Cooked</v>
      </c>
      <c r="C2895" t="str">
        <f>IFERROR(__xludf.DUMMYFUNCTION("""COMPUTED_VALUE"""),"Meats")</f>
        <v>Meats</v>
      </c>
      <c r="D2895">
        <f>IFERROR(__xludf.DUMMYFUNCTION("""COMPUTED_VALUE"""),272.0)</f>
        <v>272</v>
      </c>
      <c r="E2895">
        <f>IFERROR(__xludf.DUMMYFUNCTION("""COMPUTED_VALUE"""),18.18)</f>
        <v>18.18</v>
      </c>
      <c r="F2895">
        <f>IFERROR(__xludf.DUMMYFUNCTION("""COMPUTED_VALUE"""),25.45)</f>
        <v>25.45</v>
      </c>
      <c r="G2895">
        <f>IFERROR(__xludf.DUMMYFUNCTION("""COMPUTED_VALUE"""),0.0)</f>
        <v>0</v>
      </c>
    </row>
    <row r="2896">
      <c r="A2896">
        <f>IFERROR(__xludf.DUMMYFUNCTION("""COMPUTED_VALUE"""),781873.0)</f>
        <v>781873</v>
      </c>
      <c r="B2896" t="str">
        <f>IFERROR(__xludf.DUMMYFUNCTION("""COMPUTED_VALUE"""),"Beef Dried Chipped Cooked In Fat")</f>
        <v>Beef Dried Chipped Cooked In Fat</v>
      </c>
      <c r="C2896" t="str">
        <f>IFERROR(__xludf.DUMMYFUNCTION("""COMPUTED_VALUE"""),"Meats")</f>
        <v>Meats</v>
      </c>
      <c r="D2896">
        <f>IFERROR(__xludf.DUMMYFUNCTION("""COMPUTED_VALUE"""),229.0)</f>
        <v>229</v>
      </c>
      <c r="E2896">
        <f>IFERROR(__xludf.DUMMYFUNCTION("""COMPUTED_VALUE"""),11.9)</f>
        <v>11.9</v>
      </c>
      <c r="F2896">
        <f>IFERROR(__xludf.DUMMYFUNCTION("""COMPUTED_VALUE"""),27.94)</f>
        <v>27.94</v>
      </c>
      <c r="G2896">
        <f>IFERROR(__xludf.DUMMYFUNCTION("""COMPUTED_VALUE"""),2.48)</f>
        <v>2.48</v>
      </c>
    </row>
    <row r="2897">
      <c r="A2897">
        <f>IFERROR(__xludf.DUMMYFUNCTION("""COMPUTED_VALUE"""),781878.0)</f>
        <v>781878</v>
      </c>
      <c r="B2897" t="str">
        <f>IFERROR(__xludf.DUMMYFUNCTION("""COMPUTED_VALUE"""),"Pork Ns As To Cut Cooked Ns As To Fat Eaten")</f>
        <v>Pork Ns As To Cut Cooked Ns As To Fat Eaten</v>
      </c>
      <c r="C2897" t="str">
        <f>IFERROR(__xludf.DUMMYFUNCTION("""COMPUTED_VALUE"""),"Meats")</f>
        <v>Meats</v>
      </c>
      <c r="D2897">
        <f>IFERROR(__xludf.DUMMYFUNCTION("""COMPUTED_VALUE"""),211.0)</f>
        <v>211</v>
      </c>
      <c r="E2897">
        <f>IFERROR(__xludf.DUMMYFUNCTION("""COMPUTED_VALUE"""),10.5)</f>
        <v>10.5</v>
      </c>
      <c r="F2897">
        <f>IFERROR(__xludf.DUMMYFUNCTION("""COMPUTED_VALUE"""),27.69)</f>
        <v>27.69</v>
      </c>
      <c r="G2897">
        <f>IFERROR(__xludf.DUMMYFUNCTION("""COMPUTED_VALUE"""),0.0)</f>
        <v>0</v>
      </c>
    </row>
    <row r="2898">
      <c r="A2898">
        <f>IFERROR(__xludf.DUMMYFUNCTION("""COMPUTED_VALUE"""),781879.0)</f>
        <v>781879</v>
      </c>
      <c r="B2898" t="str">
        <f>IFERROR(__xludf.DUMMYFUNCTION("""COMPUTED_VALUE"""),"Pork Ns As To Cut Cooked Lean And Fat Eaten")</f>
        <v>Pork Ns As To Cut Cooked Lean And Fat Eaten</v>
      </c>
      <c r="C2898" t="str">
        <f>IFERROR(__xludf.DUMMYFUNCTION("""COMPUTED_VALUE"""),"Meats")</f>
        <v>Meats</v>
      </c>
      <c r="D2898">
        <f>IFERROR(__xludf.DUMMYFUNCTION("""COMPUTED_VALUE"""),211.0)</f>
        <v>211</v>
      </c>
      <c r="E2898">
        <f>IFERROR(__xludf.DUMMYFUNCTION("""COMPUTED_VALUE"""),10.5)</f>
        <v>10.5</v>
      </c>
      <c r="F2898">
        <f>IFERROR(__xludf.DUMMYFUNCTION("""COMPUTED_VALUE"""),27.69)</f>
        <v>27.69</v>
      </c>
      <c r="G2898">
        <f>IFERROR(__xludf.DUMMYFUNCTION("""COMPUTED_VALUE"""),0.0)</f>
        <v>0</v>
      </c>
    </row>
    <row r="2899">
      <c r="A2899">
        <f>IFERROR(__xludf.DUMMYFUNCTION("""COMPUTED_VALUE"""),781880.0)</f>
        <v>781880</v>
      </c>
      <c r="B2899" t="str">
        <f>IFERROR(__xludf.DUMMYFUNCTION("""COMPUTED_VALUE"""),"Pork Ns As To Cut Cooked Lean Only Eaten")</f>
        <v>Pork Ns As To Cut Cooked Lean Only Eaten</v>
      </c>
      <c r="C2899" t="str">
        <f>IFERROR(__xludf.DUMMYFUNCTION("""COMPUTED_VALUE"""),"Meats")</f>
        <v>Meats</v>
      </c>
      <c r="D2899">
        <f>IFERROR(__xludf.DUMMYFUNCTION("""COMPUTED_VALUE"""),164.0)</f>
        <v>164</v>
      </c>
      <c r="E2899">
        <f>IFERROR(__xludf.DUMMYFUNCTION("""COMPUTED_VALUE"""),4.55)</f>
        <v>4.55</v>
      </c>
      <c r="F2899">
        <f>IFERROR(__xludf.DUMMYFUNCTION("""COMPUTED_VALUE"""),29.13)</f>
        <v>29.13</v>
      </c>
      <c r="G2899">
        <f>IFERROR(__xludf.DUMMYFUNCTION("""COMPUTED_VALUE"""),0.09)</f>
        <v>0.09</v>
      </c>
    </row>
    <row r="2900">
      <c r="A2900">
        <f>IFERROR(__xludf.DUMMYFUNCTION("""COMPUTED_VALUE"""),781881.0)</f>
        <v>781881</v>
      </c>
      <c r="B2900" t="str">
        <f>IFERROR(__xludf.DUMMYFUNCTION("""COMPUTED_VALUE"""),"Pork Ns As To Cut Fried Ns As To Fat Eaten")</f>
        <v>Pork Ns As To Cut Fried Ns As To Fat Eaten</v>
      </c>
      <c r="C2900" t="str">
        <f>IFERROR(__xludf.DUMMYFUNCTION("""COMPUTED_VALUE"""),"Meats")</f>
        <v>Meats</v>
      </c>
      <c r="D2900">
        <f>IFERROR(__xludf.DUMMYFUNCTION("""COMPUTED_VALUE"""),211.0)</f>
        <v>211</v>
      </c>
      <c r="E2900">
        <f>IFERROR(__xludf.DUMMYFUNCTION("""COMPUTED_VALUE"""),10.5)</f>
        <v>10.5</v>
      </c>
      <c r="F2900">
        <f>IFERROR(__xludf.DUMMYFUNCTION("""COMPUTED_VALUE"""),27.69)</f>
        <v>27.69</v>
      </c>
      <c r="G2900">
        <f>IFERROR(__xludf.DUMMYFUNCTION("""COMPUTED_VALUE"""),0.0)</f>
        <v>0</v>
      </c>
    </row>
    <row r="2901">
      <c r="A2901">
        <f>IFERROR(__xludf.DUMMYFUNCTION("""COMPUTED_VALUE"""),781882.0)</f>
        <v>781882</v>
      </c>
      <c r="B2901" t="str">
        <f>IFERROR(__xludf.DUMMYFUNCTION("""COMPUTED_VALUE"""),"Pork Ns As To Cut Fried Lean And Fat Eaten")</f>
        <v>Pork Ns As To Cut Fried Lean And Fat Eaten</v>
      </c>
      <c r="C2901" t="str">
        <f>IFERROR(__xludf.DUMMYFUNCTION("""COMPUTED_VALUE"""),"Meats")</f>
        <v>Meats</v>
      </c>
      <c r="D2901">
        <f>IFERROR(__xludf.DUMMYFUNCTION("""COMPUTED_VALUE"""),211.0)</f>
        <v>211</v>
      </c>
      <c r="E2901">
        <f>IFERROR(__xludf.DUMMYFUNCTION("""COMPUTED_VALUE"""),10.5)</f>
        <v>10.5</v>
      </c>
      <c r="F2901">
        <f>IFERROR(__xludf.DUMMYFUNCTION("""COMPUTED_VALUE"""),27.69)</f>
        <v>27.69</v>
      </c>
      <c r="G2901">
        <f>IFERROR(__xludf.DUMMYFUNCTION("""COMPUTED_VALUE"""),0.0)</f>
        <v>0</v>
      </c>
    </row>
    <row r="2902">
      <c r="A2902">
        <f>IFERROR(__xludf.DUMMYFUNCTION("""COMPUTED_VALUE"""),781883.0)</f>
        <v>781883</v>
      </c>
      <c r="B2902" t="str">
        <f>IFERROR(__xludf.DUMMYFUNCTION("""COMPUTED_VALUE"""),"Pork Ns As To Cut Fried Lean Only Eaten")</f>
        <v>Pork Ns As To Cut Fried Lean Only Eaten</v>
      </c>
      <c r="C2902" t="str">
        <f>IFERROR(__xludf.DUMMYFUNCTION("""COMPUTED_VALUE"""),"Meats")</f>
        <v>Meats</v>
      </c>
      <c r="D2902">
        <f>IFERROR(__xludf.DUMMYFUNCTION("""COMPUTED_VALUE"""),164.0)</f>
        <v>164</v>
      </c>
      <c r="E2902">
        <f>IFERROR(__xludf.DUMMYFUNCTION("""COMPUTED_VALUE"""),4.55)</f>
        <v>4.55</v>
      </c>
      <c r="F2902">
        <f>IFERROR(__xludf.DUMMYFUNCTION("""COMPUTED_VALUE"""),29.13)</f>
        <v>29.13</v>
      </c>
      <c r="G2902">
        <f>IFERROR(__xludf.DUMMYFUNCTION("""COMPUTED_VALUE"""),0.09)</f>
        <v>0.09</v>
      </c>
    </row>
    <row r="2903">
      <c r="A2903">
        <f>IFERROR(__xludf.DUMMYFUNCTION("""COMPUTED_VALUE"""),781884.0)</f>
        <v>781884</v>
      </c>
      <c r="B2903" t="str">
        <f>IFERROR(__xludf.DUMMYFUNCTION("""COMPUTED_VALUE"""),"Pork Ns As To Cut Breaded Or Floured Fried Ns As To Fat Eaten")</f>
        <v>Pork Ns As To Cut Breaded Or Floured Fried Ns As To Fat Eaten</v>
      </c>
      <c r="C2903" t="str">
        <f>IFERROR(__xludf.DUMMYFUNCTION("""COMPUTED_VALUE"""),"Meats")</f>
        <v>Meats</v>
      </c>
      <c r="D2903">
        <f>IFERROR(__xludf.DUMMYFUNCTION("""COMPUTED_VALUE"""),270.0)</f>
        <v>270</v>
      </c>
      <c r="E2903">
        <f>IFERROR(__xludf.DUMMYFUNCTION("""COMPUTED_VALUE"""),11.07)</f>
        <v>11.07</v>
      </c>
      <c r="F2903">
        <f>IFERROR(__xludf.DUMMYFUNCTION("""COMPUTED_VALUE"""),25.03)</f>
        <v>25.03</v>
      </c>
      <c r="G2903">
        <f>IFERROR(__xludf.DUMMYFUNCTION("""COMPUTED_VALUE"""),16.28)</f>
        <v>16.28</v>
      </c>
    </row>
    <row r="2904">
      <c r="A2904">
        <f>IFERROR(__xludf.DUMMYFUNCTION("""COMPUTED_VALUE"""),781885.0)</f>
        <v>781885</v>
      </c>
      <c r="B2904" t="str">
        <f>IFERROR(__xludf.DUMMYFUNCTION("""COMPUTED_VALUE"""),"Pork Ns As To Cut Breaded Or Floured Fried Lean And Fat Eaten")</f>
        <v>Pork Ns As To Cut Breaded Or Floured Fried Lean And Fat Eaten</v>
      </c>
      <c r="C2904" t="str">
        <f>IFERROR(__xludf.DUMMYFUNCTION("""COMPUTED_VALUE"""),"Meats")</f>
        <v>Meats</v>
      </c>
      <c r="D2904">
        <f>IFERROR(__xludf.DUMMYFUNCTION("""COMPUTED_VALUE"""),304.0)</f>
        <v>304</v>
      </c>
      <c r="E2904">
        <f>IFERROR(__xludf.DUMMYFUNCTION("""COMPUTED_VALUE"""),15.31)</f>
        <v>15.31</v>
      </c>
      <c r="F2904">
        <f>IFERROR(__xludf.DUMMYFUNCTION("""COMPUTED_VALUE"""),24.0)</f>
        <v>24</v>
      </c>
      <c r="G2904">
        <f>IFERROR(__xludf.DUMMYFUNCTION("""COMPUTED_VALUE"""),16.21)</f>
        <v>16.21</v>
      </c>
    </row>
    <row r="2905">
      <c r="A2905">
        <f>IFERROR(__xludf.DUMMYFUNCTION("""COMPUTED_VALUE"""),781886.0)</f>
        <v>781886</v>
      </c>
      <c r="B2905" t="str">
        <f>IFERROR(__xludf.DUMMYFUNCTION("""COMPUTED_VALUE"""),"Pork Ns As To Cut Breaded Or Floured Fried Lean Only Eaten")</f>
        <v>Pork Ns As To Cut Breaded Or Floured Fried Lean Only Eaten</v>
      </c>
      <c r="C2905" t="str">
        <f>IFERROR(__xludf.DUMMYFUNCTION("""COMPUTED_VALUE"""),"Meats")</f>
        <v>Meats</v>
      </c>
      <c r="D2905">
        <f>IFERROR(__xludf.DUMMYFUNCTION("""COMPUTED_VALUE"""),270.0)</f>
        <v>270</v>
      </c>
      <c r="E2905">
        <f>IFERROR(__xludf.DUMMYFUNCTION("""COMPUTED_VALUE"""),11.07)</f>
        <v>11.07</v>
      </c>
      <c r="F2905">
        <f>IFERROR(__xludf.DUMMYFUNCTION("""COMPUTED_VALUE"""),25.03)</f>
        <v>25.03</v>
      </c>
      <c r="G2905">
        <f>IFERROR(__xludf.DUMMYFUNCTION("""COMPUTED_VALUE"""),16.28)</f>
        <v>16.28</v>
      </c>
    </row>
    <row r="2906">
      <c r="A2906">
        <f>IFERROR(__xludf.DUMMYFUNCTION("""COMPUTED_VALUE"""),781888.0)</f>
        <v>781888</v>
      </c>
      <c r="B2906" t="str">
        <f>IFERROR(__xludf.DUMMYFUNCTION("""COMPUTED_VALUE"""),"Pork Ground Or Patty Cooked")</f>
        <v>Pork Ground Or Patty Cooked</v>
      </c>
      <c r="C2906" t="str">
        <f>IFERROR(__xludf.DUMMYFUNCTION("""COMPUTED_VALUE"""),"Meats")</f>
        <v>Meats</v>
      </c>
      <c r="D2906">
        <f>IFERROR(__xludf.DUMMYFUNCTION("""COMPUTED_VALUE"""),295.0)</f>
        <v>295</v>
      </c>
      <c r="E2906">
        <f>IFERROR(__xludf.DUMMYFUNCTION("""COMPUTED_VALUE"""),20.6)</f>
        <v>20.6</v>
      </c>
      <c r="F2906">
        <f>IFERROR(__xludf.DUMMYFUNCTION("""COMPUTED_VALUE"""),25.48)</f>
        <v>25.48</v>
      </c>
      <c r="G2906">
        <f>IFERROR(__xludf.DUMMYFUNCTION("""COMPUTED_VALUE"""),0.0)</f>
        <v>0</v>
      </c>
    </row>
    <row r="2907">
      <c r="A2907">
        <f>IFERROR(__xludf.DUMMYFUNCTION("""COMPUTED_VALUE"""),781889.0)</f>
        <v>781889</v>
      </c>
      <c r="B2907" t="str">
        <f>IFERROR(__xludf.DUMMYFUNCTION("""COMPUTED_VALUE"""),"Pork Ground Or Patty Breaded Cooked")</f>
        <v>Pork Ground Or Patty Breaded Cooked</v>
      </c>
      <c r="C2907" t="str">
        <f>IFERROR(__xludf.DUMMYFUNCTION("""COMPUTED_VALUE"""),"Meats")</f>
        <v>Meats</v>
      </c>
      <c r="D2907">
        <f>IFERROR(__xludf.DUMMYFUNCTION("""COMPUTED_VALUE"""),333.0)</f>
        <v>333</v>
      </c>
      <c r="E2907">
        <f>IFERROR(__xludf.DUMMYFUNCTION("""COMPUTED_VALUE"""),22.72)</f>
        <v>22.72</v>
      </c>
      <c r="F2907">
        <f>IFERROR(__xludf.DUMMYFUNCTION("""COMPUTED_VALUE"""),20.3)</f>
        <v>20.3</v>
      </c>
      <c r="G2907">
        <f>IFERROR(__xludf.DUMMYFUNCTION("""COMPUTED_VALUE"""),10.54)</f>
        <v>10.54</v>
      </c>
    </row>
    <row r="2908">
      <c r="A2908">
        <f>IFERROR(__xludf.DUMMYFUNCTION("""COMPUTED_VALUE"""),781891.0)</f>
        <v>781891</v>
      </c>
      <c r="B2908" t="str">
        <f>IFERROR(__xludf.DUMMYFUNCTION("""COMPUTED_VALUE"""),"Pork Chop Ns As To Cooking Method Ns As To Fat Eaten")</f>
        <v>Pork Chop Ns As To Cooking Method Ns As To Fat Eaten</v>
      </c>
      <c r="C2908" t="str">
        <f>IFERROR(__xludf.DUMMYFUNCTION("""COMPUTED_VALUE"""),"Meats")</f>
        <v>Meats</v>
      </c>
      <c r="D2908">
        <f>IFERROR(__xludf.DUMMYFUNCTION("""COMPUTED_VALUE"""),211.0)</f>
        <v>211</v>
      </c>
      <c r="E2908">
        <f>IFERROR(__xludf.DUMMYFUNCTION("""COMPUTED_VALUE"""),10.5)</f>
        <v>10.5</v>
      </c>
      <c r="F2908">
        <f>IFERROR(__xludf.DUMMYFUNCTION("""COMPUTED_VALUE"""),27.69)</f>
        <v>27.69</v>
      </c>
      <c r="G2908">
        <f>IFERROR(__xludf.DUMMYFUNCTION("""COMPUTED_VALUE"""),0.0)</f>
        <v>0</v>
      </c>
    </row>
    <row r="2909">
      <c r="A2909">
        <f>IFERROR(__xludf.DUMMYFUNCTION("""COMPUTED_VALUE"""),781892.0)</f>
        <v>781892</v>
      </c>
      <c r="B2909" t="str">
        <f>IFERROR(__xludf.DUMMYFUNCTION("""COMPUTED_VALUE"""),"Pork Chop Ns As To Cooking Method Lean And Fat Eaten")</f>
        <v>Pork Chop Ns As To Cooking Method Lean And Fat Eaten</v>
      </c>
      <c r="C2909" t="str">
        <f>IFERROR(__xludf.DUMMYFUNCTION("""COMPUTED_VALUE"""),"Meats")</f>
        <v>Meats</v>
      </c>
      <c r="D2909">
        <f>IFERROR(__xludf.DUMMYFUNCTION("""COMPUTED_VALUE"""),211.0)</f>
        <v>211</v>
      </c>
      <c r="E2909">
        <f>IFERROR(__xludf.DUMMYFUNCTION("""COMPUTED_VALUE"""),10.5)</f>
        <v>10.5</v>
      </c>
      <c r="F2909">
        <f>IFERROR(__xludf.DUMMYFUNCTION("""COMPUTED_VALUE"""),27.69)</f>
        <v>27.69</v>
      </c>
      <c r="G2909">
        <f>IFERROR(__xludf.DUMMYFUNCTION("""COMPUTED_VALUE"""),0.0)</f>
        <v>0</v>
      </c>
    </row>
    <row r="2910">
      <c r="A2910">
        <f>IFERROR(__xludf.DUMMYFUNCTION("""COMPUTED_VALUE"""),781893.0)</f>
        <v>781893</v>
      </c>
      <c r="B2910" t="str">
        <f>IFERROR(__xludf.DUMMYFUNCTION("""COMPUTED_VALUE"""),"Pork Chop Ns As To Cooking Method Lean Only Eaten")</f>
        <v>Pork Chop Ns As To Cooking Method Lean Only Eaten</v>
      </c>
      <c r="C2910" t="str">
        <f>IFERROR(__xludf.DUMMYFUNCTION("""COMPUTED_VALUE"""),"Meats")</f>
        <v>Meats</v>
      </c>
      <c r="D2910">
        <f>IFERROR(__xludf.DUMMYFUNCTION("""COMPUTED_VALUE"""),164.0)</f>
        <v>164</v>
      </c>
      <c r="E2910">
        <f>IFERROR(__xludf.DUMMYFUNCTION("""COMPUTED_VALUE"""),4.55)</f>
        <v>4.55</v>
      </c>
      <c r="F2910">
        <f>IFERROR(__xludf.DUMMYFUNCTION("""COMPUTED_VALUE"""),29.13)</f>
        <v>29.13</v>
      </c>
      <c r="G2910">
        <f>IFERROR(__xludf.DUMMYFUNCTION("""COMPUTED_VALUE"""),0.09)</f>
        <v>0.09</v>
      </c>
    </row>
    <row r="2911">
      <c r="A2911">
        <f>IFERROR(__xludf.DUMMYFUNCTION("""COMPUTED_VALUE"""),781894.0)</f>
        <v>781894</v>
      </c>
      <c r="B2911" t="str">
        <f>IFERROR(__xludf.DUMMYFUNCTION("""COMPUTED_VALUE"""),"Pork Chop Broiled Or Baked Ns As To Fat Eaten")</f>
        <v>Pork Chop Broiled Or Baked Ns As To Fat Eaten</v>
      </c>
      <c r="C2911" t="str">
        <f>IFERROR(__xludf.DUMMYFUNCTION("""COMPUTED_VALUE"""),"Meats")</f>
        <v>Meats</v>
      </c>
      <c r="D2911">
        <f>IFERROR(__xludf.DUMMYFUNCTION("""COMPUTED_VALUE"""),211.0)</f>
        <v>211</v>
      </c>
      <c r="E2911">
        <f>IFERROR(__xludf.DUMMYFUNCTION("""COMPUTED_VALUE"""),10.5)</f>
        <v>10.5</v>
      </c>
      <c r="F2911">
        <f>IFERROR(__xludf.DUMMYFUNCTION("""COMPUTED_VALUE"""),27.69)</f>
        <v>27.69</v>
      </c>
      <c r="G2911">
        <f>IFERROR(__xludf.DUMMYFUNCTION("""COMPUTED_VALUE"""),0.0)</f>
        <v>0</v>
      </c>
    </row>
    <row r="2912">
      <c r="A2912">
        <f>IFERROR(__xludf.DUMMYFUNCTION("""COMPUTED_VALUE"""),781895.0)</f>
        <v>781895</v>
      </c>
      <c r="B2912" t="str">
        <f>IFERROR(__xludf.DUMMYFUNCTION("""COMPUTED_VALUE"""),"Pork Chop Broiled Or Baked Lean And Fat Eaten")</f>
        <v>Pork Chop Broiled Or Baked Lean And Fat Eaten</v>
      </c>
      <c r="C2912" t="str">
        <f>IFERROR(__xludf.DUMMYFUNCTION("""COMPUTED_VALUE"""),"Meats")</f>
        <v>Meats</v>
      </c>
      <c r="D2912">
        <f>IFERROR(__xludf.DUMMYFUNCTION("""COMPUTED_VALUE"""),211.0)</f>
        <v>211</v>
      </c>
      <c r="E2912">
        <f>IFERROR(__xludf.DUMMYFUNCTION("""COMPUTED_VALUE"""),10.5)</f>
        <v>10.5</v>
      </c>
      <c r="F2912">
        <f>IFERROR(__xludf.DUMMYFUNCTION("""COMPUTED_VALUE"""),27.69)</f>
        <v>27.69</v>
      </c>
      <c r="G2912">
        <f>IFERROR(__xludf.DUMMYFUNCTION("""COMPUTED_VALUE"""),0.0)</f>
        <v>0</v>
      </c>
    </row>
    <row r="2913">
      <c r="A2913">
        <f>IFERROR(__xludf.DUMMYFUNCTION("""COMPUTED_VALUE"""),781896.0)</f>
        <v>781896</v>
      </c>
      <c r="B2913" t="str">
        <f>IFERROR(__xludf.DUMMYFUNCTION("""COMPUTED_VALUE"""),"Pork Chop Broiled Or Baked Lean Only Eaten")</f>
        <v>Pork Chop Broiled Or Baked Lean Only Eaten</v>
      </c>
      <c r="C2913" t="str">
        <f>IFERROR(__xludf.DUMMYFUNCTION("""COMPUTED_VALUE"""),"Meats")</f>
        <v>Meats</v>
      </c>
      <c r="D2913">
        <f>IFERROR(__xludf.DUMMYFUNCTION("""COMPUTED_VALUE"""),164.0)</f>
        <v>164</v>
      </c>
      <c r="E2913">
        <f>IFERROR(__xludf.DUMMYFUNCTION("""COMPUTED_VALUE"""),4.55)</f>
        <v>4.55</v>
      </c>
      <c r="F2913">
        <f>IFERROR(__xludf.DUMMYFUNCTION("""COMPUTED_VALUE"""),29.13)</f>
        <v>29.13</v>
      </c>
      <c r="G2913">
        <f>IFERROR(__xludf.DUMMYFUNCTION("""COMPUTED_VALUE"""),0.09)</f>
        <v>0.09</v>
      </c>
    </row>
    <row r="2914">
      <c r="A2914">
        <f>IFERROR(__xludf.DUMMYFUNCTION("""COMPUTED_VALUE"""),781897.0)</f>
        <v>781897</v>
      </c>
      <c r="B2914" t="str">
        <f>IFERROR(__xludf.DUMMYFUNCTION("""COMPUTED_VALUE"""),"Pork Chop Breaded Or Floured Broiled Or Baked Ns As To Fat Eaten")</f>
        <v>Pork Chop Breaded Or Floured Broiled Or Baked Ns As To Fat Eaten</v>
      </c>
      <c r="C2914" t="str">
        <f>IFERROR(__xludf.DUMMYFUNCTION("""COMPUTED_VALUE"""),"Meats")</f>
        <v>Meats</v>
      </c>
      <c r="D2914">
        <f>IFERROR(__xludf.DUMMYFUNCTION("""COMPUTED_VALUE"""),239.0)</f>
        <v>239</v>
      </c>
      <c r="E2914">
        <f>IFERROR(__xludf.DUMMYFUNCTION("""COMPUTED_VALUE"""),10.21)</f>
        <v>10.21</v>
      </c>
      <c r="F2914">
        <f>IFERROR(__xludf.DUMMYFUNCTION("""COMPUTED_VALUE"""),26.87)</f>
        <v>26.87</v>
      </c>
      <c r="G2914">
        <f>IFERROR(__xludf.DUMMYFUNCTION("""COMPUTED_VALUE"""),8.4)</f>
        <v>8.4</v>
      </c>
    </row>
    <row r="2915">
      <c r="A2915">
        <f>IFERROR(__xludf.DUMMYFUNCTION("""COMPUTED_VALUE"""),781898.0)</f>
        <v>781898</v>
      </c>
      <c r="B2915" t="str">
        <f>IFERROR(__xludf.DUMMYFUNCTION("""COMPUTED_VALUE"""),"Pork Chop Breaded Or Floured Broiled Or Baked Lean And Fat Eaten")</f>
        <v>Pork Chop Breaded Or Floured Broiled Or Baked Lean And Fat Eaten</v>
      </c>
      <c r="C2915" t="str">
        <f>IFERROR(__xludf.DUMMYFUNCTION("""COMPUTED_VALUE"""),"Meats")</f>
        <v>Meats</v>
      </c>
      <c r="D2915">
        <f>IFERROR(__xludf.DUMMYFUNCTION("""COMPUTED_VALUE"""),239.0)</f>
        <v>239</v>
      </c>
      <c r="E2915">
        <f>IFERROR(__xludf.DUMMYFUNCTION("""COMPUTED_VALUE"""),10.21)</f>
        <v>10.21</v>
      </c>
      <c r="F2915">
        <f>IFERROR(__xludf.DUMMYFUNCTION("""COMPUTED_VALUE"""),26.87)</f>
        <v>26.87</v>
      </c>
      <c r="G2915">
        <f>IFERROR(__xludf.DUMMYFUNCTION("""COMPUTED_VALUE"""),8.4)</f>
        <v>8.4</v>
      </c>
    </row>
    <row r="2916">
      <c r="A2916">
        <f>IFERROR(__xludf.DUMMYFUNCTION("""COMPUTED_VALUE"""),781899.0)</f>
        <v>781899</v>
      </c>
      <c r="B2916" t="str">
        <f>IFERROR(__xludf.DUMMYFUNCTION("""COMPUTED_VALUE"""),"Pork Chop Breaded Or Floured Broiled Or Baked Lean Only Eaten")</f>
        <v>Pork Chop Breaded Or Floured Broiled Or Baked Lean Only Eaten</v>
      </c>
      <c r="C2916" t="str">
        <f>IFERROR(__xludf.DUMMYFUNCTION("""COMPUTED_VALUE"""),"Meats")</f>
        <v>Meats</v>
      </c>
      <c r="D2916">
        <f>IFERROR(__xludf.DUMMYFUNCTION("""COMPUTED_VALUE"""),196.0)</f>
        <v>196</v>
      </c>
      <c r="E2916">
        <f>IFERROR(__xludf.DUMMYFUNCTION("""COMPUTED_VALUE"""),4.8)</f>
        <v>4.8</v>
      </c>
      <c r="F2916">
        <f>IFERROR(__xludf.DUMMYFUNCTION("""COMPUTED_VALUE"""),28.19)</f>
        <v>28.19</v>
      </c>
      <c r="G2916">
        <f>IFERROR(__xludf.DUMMYFUNCTION("""COMPUTED_VALUE"""),8.48)</f>
        <v>8.48</v>
      </c>
    </row>
    <row r="2917">
      <c r="A2917">
        <f>IFERROR(__xludf.DUMMYFUNCTION("""COMPUTED_VALUE"""),781900.0)</f>
        <v>781900</v>
      </c>
      <c r="B2917" t="str">
        <f>IFERROR(__xludf.DUMMYFUNCTION("""COMPUTED_VALUE"""),"Pork Chop Fried Ns As To Fat Eaten")</f>
        <v>Pork Chop Fried Ns As To Fat Eaten</v>
      </c>
      <c r="C2917" t="str">
        <f>IFERROR(__xludf.DUMMYFUNCTION("""COMPUTED_VALUE"""),"Meats")</f>
        <v>Meats</v>
      </c>
      <c r="D2917">
        <f>IFERROR(__xludf.DUMMYFUNCTION("""COMPUTED_VALUE"""),211.0)</f>
        <v>211</v>
      </c>
      <c r="E2917">
        <f>IFERROR(__xludf.DUMMYFUNCTION("""COMPUTED_VALUE"""),10.5)</f>
        <v>10.5</v>
      </c>
      <c r="F2917">
        <f>IFERROR(__xludf.DUMMYFUNCTION("""COMPUTED_VALUE"""),27.69)</f>
        <v>27.69</v>
      </c>
      <c r="G2917">
        <f>IFERROR(__xludf.DUMMYFUNCTION("""COMPUTED_VALUE"""),0.0)</f>
        <v>0</v>
      </c>
    </row>
    <row r="2918">
      <c r="A2918">
        <f>IFERROR(__xludf.DUMMYFUNCTION("""COMPUTED_VALUE"""),781901.0)</f>
        <v>781901</v>
      </c>
      <c r="B2918" t="str">
        <f>IFERROR(__xludf.DUMMYFUNCTION("""COMPUTED_VALUE"""),"Pork Chop Fried Lean And Fat Eaten")</f>
        <v>Pork Chop Fried Lean And Fat Eaten</v>
      </c>
      <c r="C2918" t="str">
        <f>IFERROR(__xludf.DUMMYFUNCTION("""COMPUTED_VALUE"""),"Meats")</f>
        <v>Meats</v>
      </c>
      <c r="D2918">
        <f>IFERROR(__xludf.DUMMYFUNCTION("""COMPUTED_VALUE"""),211.0)</f>
        <v>211</v>
      </c>
      <c r="E2918">
        <f>IFERROR(__xludf.DUMMYFUNCTION("""COMPUTED_VALUE"""),10.5)</f>
        <v>10.5</v>
      </c>
      <c r="F2918">
        <f>IFERROR(__xludf.DUMMYFUNCTION("""COMPUTED_VALUE"""),27.69)</f>
        <v>27.69</v>
      </c>
      <c r="G2918">
        <f>IFERROR(__xludf.DUMMYFUNCTION("""COMPUTED_VALUE"""),0.0)</f>
        <v>0</v>
      </c>
    </row>
    <row r="2919">
      <c r="A2919">
        <f>IFERROR(__xludf.DUMMYFUNCTION("""COMPUTED_VALUE"""),781902.0)</f>
        <v>781902</v>
      </c>
      <c r="B2919" t="str">
        <f>IFERROR(__xludf.DUMMYFUNCTION("""COMPUTED_VALUE"""),"Pork Chop Fried Lean Only Eaten")</f>
        <v>Pork Chop Fried Lean Only Eaten</v>
      </c>
      <c r="C2919" t="str">
        <f>IFERROR(__xludf.DUMMYFUNCTION("""COMPUTED_VALUE"""),"Meats")</f>
        <v>Meats</v>
      </c>
      <c r="D2919">
        <f>IFERROR(__xludf.DUMMYFUNCTION("""COMPUTED_VALUE"""),164.0)</f>
        <v>164</v>
      </c>
      <c r="E2919">
        <f>IFERROR(__xludf.DUMMYFUNCTION("""COMPUTED_VALUE"""),4.55)</f>
        <v>4.55</v>
      </c>
      <c r="F2919">
        <f>IFERROR(__xludf.DUMMYFUNCTION("""COMPUTED_VALUE"""),29.13)</f>
        <v>29.13</v>
      </c>
      <c r="G2919">
        <f>IFERROR(__xludf.DUMMYFUNCTION("""COMPUTED_VALUE"""),0.09)</f>
        <v>0.09</v>
      </c>
    </row>
    <row r="2920">
      <c r="A2920">
        <f>IFERROR(__xludf.DUMMYFUNCTION("""COMPUTED_VALUE"""),781903.0)</f>
        <v>781903</v>
      </c>
      <c r="B2920" t="str">
        <f>IFERROR(__xludf.DUMMYFUNCTION("""COMPUTED_VALUE"""),"Pork Chop Breaded Or Floured Fried Ns As To Fat Eaten")</f>
        <v>Pork Chop Breaded Or Floured Fried Ns As To Fat Eaten</v>
      </c>
      <c r="C2920" t="str">
        <f>IFERROR(__xludf.DUMMYFUNCTION("""COMPUTED_VALUE"""),"Meats")</f>
        <v>Meats</v>
      </c>
      <c r="D2920">
        <f>IFERROR(__xludf.DUMMYFUNCTION("""COMPUTED_VALUE"""),304.0)</f>
        <v>304</v>
      </c>
      <c r="E2920">
        <f>IFERROR(__xludf.DUMMYFUNCTION("""COMPUTED_VALUE"""),15.31)</f>
        <v>15.31</v>
      </c>
      <c r="F2920">
        <f>IFERROR(__xludf.DUMMYFUNCTION("""COMPUTED_VALUE"""),24.0)</f>
        <v>24</v>
      </c>
      <c r="G2920">
        <f>IFERROR(__xludf.DUMMYFUNCTION("""COMPUTED_VALUE"""),16.21)</f>
        <v>16.21</v>
      </c>
    </row>
    <row r="2921">
      <c r="A2921">
        <f>IFERROR(__xludf.DUMMYFUNCTION("""COMPUTED_VALUE"""),781904.0)</f>
        <v>781904</v>
      </c>
      <c r="B2921" t="str">
        <f>IFERROR(__xludf.DUMMYFUNCTION("""COMPUTED_VALUE"""),"Pork Chop Breaded Or Floured Fried Lean And Fat Eaten")</f>
        <v>Pork Chop Breaded Or Floured Fried Lean And Fat Eaten</v>
      </c>
      <c r="C2921" t="str">
        <f>IFERROR(__xludf.DUMMYFUNCTION("""COMPUTED_VALUE"""),"Meats")</f>
        <v>Meats</v>
      </c>
      <c r="D2921">
        <f>IFERROR(__xludf.DUMMYFUNCTION("""COMPUTED_VALUE"""),304.0)</f>
        <v>304</v>
      </c>
      <c r="E2921">
        <f>IFERROR(__xludf.DUMMYFUNCTION("""COMPUTED_VALUE"""),15.31)</f>
        <v>15.31</v>
      </c>
      <c r="F2921">
        <f>IFERROR(__xludf.DUMMYFUNCTION("""COMPUTED_VALUE"""),24.0)</f>
        <v>24</v>
      </c>
      <c r="G2921">
        <f>IFERROR(__xludf.DUMMYFUNCTION("""COMPUTED_VALUE"""),16.21)</f>
        <v>16.21</v>
      </c>
    </row>
    <row r="2922">
      <c r="A2922">
        <f>IFERROR(__xludf.DUMMYFUNCTION("""COMPUTED_VALUE"""),781905.0)</f>
        <v>781905</v>
      </c>
      <c r="B2922" t="str">
        <f>IFERROR(__xludf.DUMMYFUNCTION("""COMPUTED_VALUE"""),"Pork Chop Breaded Or Floured Fried Lean Only Eaten")</f>
        <v>Pork Chop Breaded Or Floured Fried Lean Only Eaten</v>
      </c>
      <c r="C2922" t="str">
        <f>IFERROR(__xludf.DUMMYFUNCTION("""COMPUTED_VALUE"""),"Meats")</f>
        <v>Meats</v>
      </c>
      <c r="D2922">
        <f>IFERROR(__xludf.DUMMYFUNCTION("""COMPUTED_VALUE"""),270.0)</f>
        <v>270</v>
      </c>
      <c r="E2922">
        <f>IFERROR(__xludf.DUMMYFUNCTION("""COMPUTED_VALUE"""),11.07)</f>
        <v>11.07</v>
      </c>
      <c r="F2922">
        <f>IFERROR(__xludf.DUMMYFUNCTION("""COMPUTED_VALUE"""),25.03)</f>
        <v>25.03</v>
      </c>
      <c r="G2922">
        <f>IFERROR(__xludf.DUMMYFUNCTION("""COMPUTED_VALUE"""),16.28)</f>
        <v>16.28</v>
      </c>
    </row>
    <row r="2923">
      <c r="A2923">
        <f>IFERROR(__xludf.DUMMYFUNCTION("""COMPUTED_VALUE"""),781906.0)</f>
        <v>781906</v>
      </c>
      <c r="B2923" t="str">
        <f>IFERROR(__xludf.DUMMYFUNCTION("""COMPUTED_VALUE"""),"Pork Chop Battered Fried Ns As To Fat Eaten")</f>
        <v>Pork Chop Battered Fried Ns As To Fat Eaten</v>
      </c>
      <c r="C2923" t="str">
        <f>IFERROR(__xludf.DUMMYFUNCTION("""COMPUTED_VALUE"""),"Meats")</f>
        <v>Meats</v>
      </c>
      <c r="D2923">
        <f>IFERROR(__xludf.DUMMYFUNCTION("""COMPUTED_VALUE"""),281.0)</f>
        <v>281</v>
      </c>
      <c r="E2923">
        <f>IFERROR(__xludf.DUMMYFUNCTION("""COMPUTED_VALUE"""),14.97)</f>
        <v>14.97</v>
      </c>
      <c r="F2923">
        <f>IFERROR(__xludf.DUMMYFUNCTION("""COMPUTED_VALUE"""),22.6)</f>
        <v>22.6</v>
      </c>
      <c r="G2923">
        <f>IFERROR(__xludf.DUMMYFUNCTION("""COMPUTED_VALUE"""),12.78)</f>
        <v>12.78</v>
      </c>
    </row>
    <row r="2924">
      <c r="A2924">
        <f>IFERROR(__xludf.DUMMYFUNCTION("""COMPUTED_VALUE"""),781907.0)</f>
        <v>781907</v>
      </c>
      <c r="B2924" t="str">
        <f>IFERROR(__xludf.DUMMYFUNCTION("""COMPUTED_VALUE"""),"Pork Chop Battered Fried Lean And Fat Eaten")</f>
        <v>Pork Chop Battered Fried Lean And Fat Eaten</v>
      </c>
      <c r="C2924" t="str">
        <f>IFERROR(__xludf.DUMMYFUNCTION("""COMPUTED_VALUE"""),"Meats")</f>
        <v>Meats</v>
      </c>
      <c r="D2924">
        <f>IFERROR(__xludf.DUMMYFUNCTION("""COMPUTED_VALUE"""),281.0)</f>
        <v>281</v>
      </c>
      <c r="E2924">
        <f>IFERROR(__xludf.DUMMYFUNCTION("""COMPUTED_VALUE"""),14.97)</f>
        <v>14.97</v>
      </c>
      <c r="F2924">
        <f>IFERROR(__xludf.DUMMYFUNCTION("""COMPUTED_VALUE"""),22.6)</f>
        <v>22.6</v>
      </c>
      <c r="G2924">
        <f>IFERROR(__xludf.DUMMYFUNCTION("""COMPUTED_VALUE"""),12.78)</f>
        <v>12.78</v>
      </c>
    </row>
    <row r="2925">
      <c r="A2925">
        <f>IFERROR(__xludf.DUMMYFUNCTION("""COMPUTED_VALUE"""),781908.0)</f>
        <v>781908</v>
      </c>
      <c r="B2925" t="str">
        <f>IFERROR(__xludf.DUMMYFUNCTION("""COMPUTED_VALUE"""),"Pork Chop Battered Fried Lean Only Eaten")</f>
        <v>Pork Chop Battered Fried Lean Only Eaten</v>
      </c>
      <c r="C2925" t="str">
        <f>IFERROR(__xludf.DUMMYFUNCTION("""COMPUTED_VALUE"""),"Meats")</f>
        <v>Meats</v>
      </c>
      <c r="D2925">
        <f>IFERROR(__xludf.DUMMYFUNCTION("""COMPUTED_VALUE"""),246.0)</f>
        <v>246</v>
      </c>
      <c r="E2925">
        <f>IFERROR(__xludf.DUMMYFUNCTION("""COMPUTED_VALUE"""),10.57)</f>
        <v>10.57</v>
      </c>
      <c r="F2925">
        <f>IFERROR(__xludf.DUMMYFUNCTION("""COMPUTED_VALUE"""),23.67)</f>
        <v>23.67</v>
      </c>
      <c r="G2925">
        <f>IFERROR(__xludf.DUMMYFUNCTION("""COMPUTED_VALUE"""),12.84)</f>
        <v>12.84</v>
      </c>
    </row>
    <row r="2926">
      <c r="A2926">
        <f>IFERROR(__xludf.DUMMYFUNCTION("""COMPUTED_VALUE"""),781909.0)</f>
        <v>781909</v>
      </c>
      <c r="B2926" t="str">
        <f>IFERROR(__xludf.DUMMYFUNCTION("""COMPUTED_VALUE"""),"Pork Chop Stewed Ns As To Fat Eaten")</f>
        <v>Pork Chop Stewed Ns As To Fat Eaten</v>
      </c>
      <c r="C2926" t="str">
        <f>IFERROR(__xludf.DUMMYFUNCTION("""COMPUTED_VALUE"""),"Meats")</f>
        <v>Meats</v>
      </c>
      <c r="D2926">
        <f>IFERROR(__xludf.DUMMYFUNCTION("""COMPUTED_VALUE"""),211.0)</f>
        <v>211</v>
      </c>
      <c r="E2926">
        <f>IFERROR(__xludf.DUMMYFUNCTION("""COMPUTED_VALUE"""),10.5)</f>
        <v>10.5</v>
      </c>
      <c r="F2926">
        <f>IFERROR(__xludf.DUMMYFUNCTION("""COMPUTED_VALUE"""),27.69)</f>
        <v>27.69</v>
      </c>
      <c r="G2926">
        <f>IFERROR(__xludf.DUMMYFUNCTION("""COMPUTED_VALUE"""),0.0)</f>
        <v>0</v>
      </c>
    </row>
    <row r="2927">
      <c r="A2927">
        <f>IFERROR(__xludf.DUMMYFUNCTION("""COMPUTED_VALUE"""),781910.0)</f>
        <v>781910</v>
      </c>
      <c r="B2927" t="str">
        <f>IFERROR(__xludf.DUMMYFUNCTION("""COMPUTED_VALUE"""),"Pork Chop Stewed Lean And Fat Eaten")</f>
        <v>Pork Chop Stewed Lean And Fat Eaten</v>
      </c>
      <c r="C2927" t="str">
        <f>IFERROR(__xludf.DUMMYFUNCTION("""COMPUTED_VALUE"""),"Meats")</f>
        <v>Meats</v>
      </c>
      <c r="D2927">
        <f>IFERROR(__xludf.DUMMYFUNCTION("""COMPUTED_VALUE"""),211.0)</f>
        <v>211</v>
      </c>
      <c r="E2927">
        <f>IFERROR(__xludf.DUMMYFUNCTION("""COMPUTED_VALUE"""),10.5)</f>
        <v>10.5</v>
      </c>
      <c r="F2927">
        <f>IFERROR(__xludf.DUMMYFUNCTION("""COMPUTED_VALUE"""),27.69)</f>
        <v>27.69</v>
      </c>
      <c r="G2927">
        <f>IFERROR(__xludf.DUMMYFUNCTION("""COMPUTED_VALUE"""),0.0)</f>
        <v>0</v>
      </c>
    </row>
    <row r="2928">
      <c r="A2928">
        <f>IFERROR(__xludf.DUMMYFUNCTION("""COMPUTED_VALUE"""),781911.0)</f>
        <v>781911</v>
      </c>
      <c r="B2928" t="str">
        <f>IFERROR(__xludf.DUMMYFUNCTION("""COMPUTED_VALUE"""),"Pork Chop Stewed Lean Only Eaten")</f>
        <v>Pork Chop Stewed Lean Only Eaten</v>
      </c>
      <c r="C2928" t="str">
        <f>IFERROR(__xludf.DUMMYFUNCTION("""COMPUTED_VALUE"""),"Meats")</f>
        <v>Meats</v>
      </c>
      <c r="D2928">
        <f>IFERROR(__xludf.DUMMYFUNCTION("""COMPUTED_VALUE"""),164.0)</f>
        <v>164</v>
      </c>
      <c r="E2928">
        <f>IFERROR(__xludf.DUMMYFUNCTION("""COMPUTED_VALUE"""),4.55)</f>
        <v>4.55</v>
      </c>
      <c r="F2928">
        <f>IFERROR(__xludf.DUMMYFUNCTION("""COMPUTED_VALUE"""),29.13)</f>
        <v>29.13</v>
      </c>
      <c r="G2928">
        <f>IFERROR(__xludf.DUMMYFUNCTION("""COMPUTED_VALUE"""),0.09)</f>
        <v>0.09</v>
      </c>
    </row>
    <row r="2929">
      <c r="A2929">
        <f>IFERROR(__xludf.DUMMYFUNCTION("""COMPUTED_VALUE"""),781915.0)</f>
        <v>781915</v>
      </c>
      <c r="B2929" t="str">
        <f>IFERROR(__xludf.DUMMYFUNCTION("""COMPUTED_VALUE"""),"Pork Steak Or Cutlet Ns As To Cooking Method Ns As To Fat Eaten")</f>
        <v>Pork Steak Or Cutlet Ns As To Cooking Method Ns As To Fat Eaten</v>
      </c>
      <c r="C2929" t="str">
        <f>IFERROR(__xludf.DUMMYFUNCTION("""COMPUTED_VALUE"""),"Meats")</f>
        <v>Meats</v>
      </c>
      <c r="D2929">
        <f>IFERROR(__xludf.DUMMYFUNCTION("""COMPUTED_VALUE"""),239.0)</f>
        <v>239</v>
      </c>
      <c r="E2929">
        <f>IFERROR(__xludf.DUMMYFUNCTION("""COMPUTED_VALUE"""),15.86)</f>
        <v>15.86</v>
      </c>
      <c r="F2929">
        <f>IFERROR(__xludf.DUMMYFUNCTION("""COMPUTED_VALUE"""),22.96)</f>
        <v>22.96</v>
      </c>
      <c r="G2929">
        <f>IFERROR(__xludf.DUMMYFUNCTION("""COMPUTED_VALUE"""),0.06)</f>
        <v>0.06</v>
      </c>
    </row>
    <row r="2930">
      <c r="A2930">
        <f>IFERROR(__xludf.DUMMYFUNCTION("""COMPUTED_VALUE"""),781916.0)</f>
        <v>781916</v>
      </c>
      <c r="B2930" t="str">
        <f>IFERROR(__xludf.DUMMYFUNCTION("""COMPUTED_VALUE"""),"Pork Steak Or Cutlet Ns As To Cooking Method Lean And Fat Eaten")</f>
        <v>Pork Steak Or Cutlet Ns As To Cooking Method Lean And Fat Eaten</v>
      </c>
      <c r="C2930" t="str">
        <f>IFERROR(__xludf.DUMMYFUNCTION("""COMPUTED_VALUE"""),"Meats")</f>
        <v>Meats</v>
      </c>
      <c r="D2930">
        <f>IFERROR(__xludf.DUMMYFUNCTION("""COMPUTED_VALUE"""),239.0)</f>
        <v>239</v>
      </c>
      <c r="E2930">
        <f>IFERROR(__xludf.DUMMYFUNCTION("""COMPUTED_VALUE"""),15.86)</f>
        <v>15.86</v>
      </c>
      <c r="F2930">
        <f>IFERROR(__xludf.DUMMYFUNCTION("""COMPUTED_VALUE"""),22.96)</f>
        <v>22.96</v>
      </c>
      <c r="G2930">
        <f>IFERROR(__xludf.DUMMYFUNCTION("""COMPUTED_VALUE"""),0.06)</f>
        <v>0.06</v>
      </c>
    </row>
    <row r="2931">
      <c r="A2931">
        <f>IFERROR(__xludf.DUMMYFUNCTION("""COMPUTED_VALUE"""),781917.0)</f>
        <v>781917</v>
      </c>
      <c r="B2931" t="str">
        <f>IFERROR(__xludf.DUMMYFUNCTION("""COMPUTED_VALUE"""),"Pork Steak Or Cutlet Ns As To Cooking Method Lean Only Eaten")</f>
        <v>Pork Steak Or Cutlet Ns As To Cooking Method Lean Only Eaten</v>
      </c>
      <c r="C2931" t="str">
        <f>IFERROR(__xludf.DUMMYFUNCTION("""COMPUTED_VALUE"""),"Meats")</f>
        <v>Meats</v>
      </c>
      <c r="D2931">
        <f>IFERROR(__xludf.DUMMYFUNCTION("""COMPUTED_VALUE"""),171.0)</f>
        <v>171</v>
      </c>
      <c r="E2931">
        <f>IFERROR(__xludf.DUMMYFUNCTION("""COMPUTED_VALUE"""),7.42)</f>
        <v>7.42</v>
      </c>
      <c r="F2931">
        <f>IFERROR(__xludf.DUMMYFUNCTION("""COMPUTED_VALUE"""),24.61)</f>
        <v>24.61</v>
      </c>
      <c r="G2931">
        <f>IFERROR(__xludf.DUMMYFUNCTION("""COMPUTED_VALUE"""),0.07)</f>
        <v>0.07</v>
      </c>
    </row>
    <row r="2932">
      <c r="A2932">
        <f>IFERROR(__xludf.DUMMYFUNCTION("""COMPUTED_VALUE"""),781918.0)</f>
        <v>781918</v>
      </c>
      <c r="B2932" t="str">
        <f>IFERROR(__xludf.DUMMYFUNCTION("""COMPUTED_VALUE"""),"Pork Steak Or Cutlet Battered Fried Ns As To Fat Eaten")</f>
        <v>Pork Steak Or Cutlet Battered Fried Ns As To Fat Eaten</v>
      </c>
      <c r="C2932" t="str">
        <f>IFERROR(__xludf.DUMMYFUNCTION("""COMPUTED_VALUE"""),"Meats")</f>
        <v>Meats</v>
      </c>
      <c r="D2932">
        <f>IFERROR(__xludf.DUMMYFUNCTION("""COMPUTED_VALUE"""),271.0)</f>
        <v>271</v>
      </c>
      <c r="E2932">
        <f>IFERROR(__xludf.DUMMYFUNCTION("""COMPUTED_VALUE"""),17.53)</f>
        <v>17.53</v>
      </c>
      <c r="F2932">
        <f>IFERROR(__xludf.DUMMYFUNCTION("""COMPUTED_VALUE"""),19.87)</f>
        <v>19.87</v>
      </c>
      <c r="G2932">
        <f>IFERROR(__xludf.DUMMYFUNCTION("""COMPUTED_VALUE"""),7.62)</f>
        <v>7.62</v>
      </c>
    </row>
    <row r="2933">
      <c r="A2933">
        <f>IFERROR(__xludf.DUMMYFUNCTION("""COMPUTED_VALUE"""),781919.0)</f>
        <v>781919</v>
      </c>
      <c r="B2933" t="str">
        <f>IFERROR(__xludf.DUMMYFUNCTION("""COMPUTED_VALUE"""),"Pork Steak Or Cutlet Battered Fried Lean And Fat Eaten")</f>
        <v>Pork Steak Or Cutlet Battered Fried Lean And Fat Eaten</v>
      </c>
      <c r="C2933" t="str">
        <f>IFERROR(__xludf.DUMMYFUNCTION("""COMPUTED_VALUE"""),"Meats")</f>
        <v>Meats</v>
      </c>
      <c r="D2933">
        <f>IFERROR(__xludf.DUMMYFUNCTION("""COMPUTED_VALUE"""),271.0)</f>
        <v>271</v>
      </c>
      <c r="E2933">
        <f>IFERROR(__xludf.DUMMYFUNCTION("""COMPUTED_VALUE"""),17.53)</f>
        <v>17.53</v>
      </c>
      <c r="F2933">
        <f>IFERROR(__xludf.DUMMYFUNCTION("""COMPUTED_VALUE"""),19.87)</f>
        <v>19.87</v>
      </c>
      <c r="G2933">
        <f>IFERROR(__xludf.DUMMYFUNCTION("""COMPUTED_VALUE"""),7.62)</f>
        <v>7.62</v>
      </c>
    </row>
    <row r="2934">
      <c r="A2934">
        <f>IFERROR(__xludf.DUMMYFUNCTION("""COMPUTED_VALUE"""),781920.0)</f>
        <v>781920</v>
      </c>
      <c r="B2934" t="str">
        <f>IFERROR(__xludf.DUMMYFUNCTION("""COMPUTED_VALUE"""),"Pork Steak Or Cutlet Battered Fried Lean Only Eaten")</f>
        <v>Pork Steak Or Cutlet Battered Fried Lean Only Eaten</v>
      </c>
      <c r="C2934" t="str">
        <f>IFERROR(__xludf.DUMMYFUNCTION("""COMPUTED_VALUE"""),"Meats")</f>
        <v>Meats</v>
      </c>
      <c r="D2934">
        <f>IFERROR(__xludf.DUMMYFUNCTION("""COMPUTED_VALUE"""),216.0)</f>
        <v>216</v>
      </c>
      <c r="E2934">
        <f>IFERROR(__xludf.DUMMYFUNCTION("""COMPUTED_VALUE"""),10.76)</f>
        <v>10.76</v>
      </c>
      <c r="F2934">
        <f>IFERROR(__xludf.DUMMYFUNCTION("""COMPUTED_VALUE"""),21.19)</f>
        <v>21.19</v>
      </c>
      <c r="G2934">
        <f>IFERROR(__xludf.DUMMYFUNCTION("""COMPUTED_VALUE"""),7.63)</f>
        <v>7.63</v>
      </c>
    </row>
    <row r="2935">
      <c r="A2935">
        <f>IFERROR(__xludf.DUMMYFUNCTION("""COMPUTED_VALUE"""),781921.0)</f>
        <v>781921</v>
      </c>
      <c r="B2935" t="str">
        <f>IFERROR(__xludf.DUMMYFUNCTION("""COMPUTED_VALUE"""),"Pork Steak Or Cutlet Broiled Or Baked Ns As To Fat Eaten")</f>
        <v>Pork Steak Or Cutlet Broiled Or Baked Ns As To Fat Eaten</v>
      </c>
      <c r="C2935" t="str">
        <f>IFERROR(__xludf.DUMMYFUNCTION("""COMPUTED_VALUE"""),"Meats")</f>
        <v>Meats</v>
      </c>
      <c r="D2935">
        <f>IFERROR(__xludf.DUMMYFUNCTION("""COMPUTED_VALUE"""),239.0)</f>
        <v>239</v>
      </c>
      <c r="E2935">
        <f>IFERROR(__xludf.DUMMYFUNCTION("""COMPUTED_VALUE"""),15.86)</f>
        <v>15.86</v>
      </c>
      <c r="F2935">
        <f>IFERROR(__xludf.DUMMYFUNCTION("""COMPUTED_VALUE"""),22.96)</f>
        <v>22.96</v>
      </c>
      <c r="G2935">
        <f>IFERROR(__xludf.DUMMYFUNCTION("""COMPUTED_VALUE"""),0.06)</f>
        <v>0.06</v>
      </c>
    </row>
    <row r="2936">
      <c r="A2936">
        <f>IFERROR(__xludf.DUMMYFUNCTION("""COMPUTED_VALUE"""),781922.0)</f>
        <v>781922</v>
      </c>
      <c r="B2936" t="str">
        <f>IFERROR(__xludf.DUMMYFUNCTION("""COMPUTED_VALUE"""),"Pork Steak Or Cutlet Broiled Or Baked Lean And Fat Eaten")</f>
        <v>Pork Steak Or Cutlet Broiled Or Baked Lean And Fat Eaten</v>
      </c>
      <c r="C2936" t="str">
        <f>IFERROR(__xludf.DUMMYFUNCTION("""COMPUTED_VALUE"""),"Meats")</f>
        <v>Meats</v>
      </c>
      <c r="D2936">
        <f>IFERROR(__xludf.DUMMYFUNCTION("""COMPUTED_VALUE"""),239.0)</f>
        <v>239</v>
      </c>
      <c r="E2936">
        <f>IFERROR(__xludf.DUMMYFUNCTION("""COMPUTED_VALUE"""),15.86)</f>
        <v>15.86</v>
      </c>
      <c r="F2936">
        <f>IFERROR(__xludf.DUMMYFUNCTION("""COMPUTED_VALUE"""),22.96)</f>
        <v>22.96</v>
      </c>
      <c r="G2936">
        <f>IFERROR(__xludf.DUMMYFUNCTION("""COMPUTED_VALUE"""),0.06)</f>
        <v>0.06</v>
      </c>
    </row>
    <row r="2937">
      <c r="A2937">
        <f>IFERROR(__xludf.DUMMYFUNCTION("""COMPUTED_VALUE"""),781923.0)</f>
        <v>781923</v>
      </c>
      <c r="B2937" t="str">
        <f>IFERROR(__xludf.DUMMYFUNCTION("""COMPUTED_VALUE"""),"Pork Steak Or Cutlet Broiled Or Baked Lean Only Eaten")</f>
        <v>Pork Steak Or Cutlet Broiled Or Baked Lean Only Eaten</v>
      </c>
      <c r="C2937" t="str">
        <f>IFERROR(__xludf.DUMMYFUNCTION("""COMPUTED_VALUE"""),"Meats")</f>
        <v>Meats</v>
      </c>
      <c r="D2937">
        <f>IFERROR(__xludf.DUMMYFUNCTION("""COMPUTED_VALUE"""),171.0)</f>
        <v>171</v>
      </c>
      <c r="E2937">
        <f>IFERROR(__xludf.DUMMYFUNCTION("""COMPUTED_VALUE"""),7.42)</f>
        <v>7.42</v>
      </c>
      <c r="F2937">
        <f>IFERROR(__xludf.DUMMYFUNCTION("""COMPUTED_VALUE"""),24.61)</f>
        <v>24.61</v>
      </c>
      <c r="G2937">
        <f>IFERROR(__xludf.DUMMYFUNCTION("""COMPUTED_VALUE"""),0.07)</f>
        <v>0.07</v>
      </c>
    </row>
    <row r="2938">
      <c r="A2938">
        <f>IFERROR(__xludf.DUMMYFUNCTION("""COMPUTED_VALUE"""),781924.0)</f>
        <v>781924</v>
      </c>
      <c r="B2938" t="str">
        <f>IFERROR(__xludf.DUMMYFUNCTION("""COMPUTED_VALUE"""),"Pork Steak Or Cutlet Fried Ns As To Fat Eaten")</f>
        <v>Pork Steak Or Cutlet Fried Ns As To Fat Eaten</v>
      </c>
      <c r="C2938" t="str">
        <f>IFERROR(__xludf.DUMMYFUNCTION("""COMPUTED_VALUE"""),"Meats")</f>
        <v>Meats</v>
      </c>
      <c r="D2938">
        <f>IFERROR(__xludf.DUMMYFUNCTION("""COMPUTED_VALUE"""),239.0)</f>
        <v>239</v>
      </c>
      <c r="E2938">
        <f>IFERROR(__xludf.DUMMYFUNCTION("""COMPUTED_VALUE"""),15.86)</f>
        <v>15.86</v>
      </c>
      <c r="F2938">
        <f>IFERROR(__xludf.DUMMYFUNCTION("""COMPUTED_VALUE"""),22.96)</f>
        <v>22.96</v>
      </c>
      <c r="G2938">
        <f>IFERROR(__xludf.DUMMYFUNCTION("""COMPUTED_VALUE"""),0.06)</f>
        <v>0.06</v>
      </c>
    </row>
    <row r="2939">
      <c r="A2939">
        <f>IFERROR(__xludf.DUMMYFUNCTION("""COMPUTED_VALUE"""),781925.0)</f>
        <v>781925</v>
      </c>
      <c r="B2939" t="str">
        <f>IFERROR(__xludf.DUMMYFUNCTION("""COMPUTED_VALUE"""),"Pork Steak Or Cutlet Fried Lean And Fat Eaten")</f>
        <v>Pork Steak Or Cutlet Fried Lean And Fat Eaten</v>
      </c>
      <c r="C2939" t="str">
        <f>IFERROR(__xludf.DUMMYFUNCTION("""COMPUTED_VALUE"""),"Meats")</f>
        <v>Meats</v>
      </c>
      <c r="D2939">
        <f>IFERROR(__xludf.DUMMYFUNCTION("""COMPUTED_VALUE"""),239.0)</f>
        <v>239</v>
      </c>
      <c r="E2939">
        <f>IFERROR(__xludf.DUMMYFUNCTION("""COMPUTED_VALUE"""),15.86)</f>
        <v>15.86</v>
      </c>
      <c r="F2939">
        <f>IFERROR(__xludf.DUMMYFUNCTION("""COMPUTED_VALUE"""),22.96)</f>
        <v>22.96</v>
      </c>
      <c r="G2939">
        <f>IFERROR(__xludf.DUMMYFUNCTION("""COMPUTED_VALUE"""),0.06)</f>
        <v>0.06</v>
      </c>
    </row>
    <row r="2940">
      <c r="A2940">
        <f>IFERROR(__xludf.DUMMYFUNCTION("""COMPUTED_VALUE"""),781926.0)</f>
        <v>781926</v>
      </c>
      <c r="B2940" t="str">
        <f>IFERROR(__xludf.DUMMYFUNCTION("""COMPUTED_VALUE"""),"Pork Steak Or Cutlet Fried Lean Only Eaten")</f>
        <v>Pork Steak Or Cutlet Fried Lean Only Eaten</v>
      </c>
      <c r="C2940" t="str">
        <f>IFERROR(__xludf.DUMMYFUNCTION("""COMPUTED_VALUE"""),"Meats")</f>
        <v>Meats</v>
      </c>
      <c r="D2940">
        <f>IFERROR(__xludf.DUMMYFUNCTION("""COMPUTED_VALUE"""),171.0)</f>
        <v>171</v>
      </c>
      <c r="E2940">
        <f>IFERROR(__xludf.DUMMYFUNCTION("""COMPUTED_VALUE"""),7.42)</f>
        <v>7.42</v>
      </c>
      <c r="F2940">
        <f>IFERROR(__xludf.DUMMYFUNCTION("""COMPUTED_VALUE"""),24.61)</f>
        <v>24.61</v>
      </c>
      <c r="G2940">
        <f>IFERROR(__xludf.DUMMYFUNCTION("""COMPUTED_VALUE"""),0.07)</f>
        <v>0.07</v>
      </c>
    </row>
    <row r="2941">
      <c r="A2941">
        <f>IFERROR(__xludf.DUMMYFUNCTION("""COMPUTED_VALUE"""),781927.0)</f>
        <v>781927</v>
      </c>
      <c r="B2941" t="str">
        <f>IFERROR(__xludf.DUMMYFUNCTION("""COMPUTED_VALUE"""),"Pork Steak Or Cutlet Breaded Or Floured Broiled Or Baked Ns As To Fat Eaten")</f>
        <v>Pork Steak Or Cutlet Breaded Or Floured Broiled Or Baked Ns As To Fat Eaten</v>
      </c>
      <c r="C2941" t="str">
        <f>IFERROR(__xludf.DUMMYFUNCTION("""COMPUTED_VALUE"""),"Meats")</f>
        <v>Meats</v>
      </c>
      <c r="D2941">
        <f>IFERROR(__xludf.DUMMYFUNCTION("""COMPUTED_VALUE"""),264.0)</f>
        <v>264</v>
      </c>
      <c r="E2941">
        <f>IFERROR(__xludf.DUMMYFUNCTION("""COMPUTED_VALUE"""),14.79)</f>
        <v>14.79</v>
      </c>
      <c r="F2941">
        <f>IFERROR(__xludf.DUMMYFUNCTION("""COMPUTED_VALUE"""),22.3)</f>
        <v>22.3</v>
      </c>
      <c r="G2941">
        <f>IFERROR(__xludf.DUMMYFUNCTION("""COMPUTED_VALUE"""),9.15)</f>
        <v>9.15</v>
      </c>
    </row>
    <row r="2942">
      <c r="A2942">
        <f>IFERROR(__xludf.DUMMYFUNCTION("""COMPUTED_VALUE"""),781928.0)</f>
        <v>781928</v>
      </c>
      <c r="B2942" t="str">
        <f>IFERROR(__xludf.DUMMYFUNCTION("""COMPUTED_VALUE"""),"Pork Steak Or Cutlet Breaded Or Floured Broiled Or Baked Lean And Fat Eaten")</f>
        <v>Pork Steak Or Cutlet Breaded Or Floured Broiled Or Baked Lean And Fat Eaten</v>
      </c>
      <c r="C2942" t="str">
        <f>IFERROR(__xludf.DUMMYFUNCTION("""COMPUTED_VALUE"""),"Meats")</f>
        <v>Meats</v>
      </c>
      <c r="D2942">
        <f>IFERROR(__xludf.DUMMYFUNCTION("""COMPUTED_VALUE"""),264.0)</f>
        <v>264</v>
      </c>
      <c r="E2942">
        <f>IFERROR(__xludf.DUMMYFUNCTION("""COMPUTED_VALUE"""),14.79)</f>
        <v>14.79</v>
      </c>
      <c r="F2942">
        <f>IFERROR(__xludf.DUMMYFUNCTION("""COMPUTED_VALUE"""),22.3)</f>
        <v>22.3</v>
      </c>
      <c r="G2942">
        <f>IFERROR(__xludf.DUMMYFUNCTION("""COMPUTED_VALUE"""),9.15)</f>
        <v>9.15</v>
      </c>
    </row>
    <row r="2943">
      <c r="A2943">
        <f>IFERROR(__xludf.DUMMYFUNCTION("""COMPUTED_VALUE"""),781929.0)</f>
        <v>781929</v>
      </c>
      <c r="B2943" t="str">
        <f>IFERROR(__xludf.DUMMYFUNCTION("""COMPUTED_VALUE"""),"Pork Steak Or Cutlet Breaded Or Floured Broiled Or Baked Lean Only Eaten")</f>
        <v>Pork Steak Or Cutlet Breaded Or Floured Broiled Or Baked Lean Only Eaten</v>
      </c>
      <c r="C2943" t="str">
        <f>IFERROR(__xludf.DUMMYFUNCTION("""COMPUTED_VALUE"""),"Meats")</f>
        <v>Meats</v>
      </c>
      <c r="D2943">
        <f>IFERROR(__xludf.DUMMYFUNCTION("""COMPUTED_VALUE"""),202.0)</f>
        <v>202</v>
      </c>
      <c r="E2943">
        <f>IFERROR(__xludf.DUMMYFUNCTION("""COMPUTED_VALUE"""),7.12)</f>
        <v>7.12</v>
      </c>
      <c r="F2943">
        <f>IFERROR(__xludf.DUMMYFUNCTION("""COMPUTED_VALUE"""),23.8)</f>
        <v>23.8</v>
      </c>
      <c r="G2943">
        <f>IFERROR(__xludf.DUMMYFUNCTION("""COMPUTED_VALUE"""),9.15)</f>
        <v>9.15</v>
      </c>
    </row>
    <row r="2944">
      <c r="A2944">
        <f>IFERROR(__xludf.DUMMYFUNCTION("""COMPUTED_VALUE"""),781930.0)</f>
        <v>781930</v>
      </c>
      <c r="B2944" t="str">
        <f>IFERROR(__xludf.DUMMYFUNCTION("""COMPUTED_VALUE"""),"Pork Steak Or Cutlet Breaded Or Floured Fried Ns As To Fat Eaten")</f>
        <v>Pork Steak Or Cutlet Breaded Or Floured Fried Ns As To Fat Eaten</v>
      </c>
      <c r="C2944" t="str">
        <f>IFERROR(__xludf.DUMMYFUNCTION("""COMPUTED_VALUE"""),"Meats")</f>
        <v>Meats</v>
      </c>
      <c r="D2944">
        <f>IFERROR(__xludf.DUMMYFUNCTION("""COMPUTED_VALUE"""),305.0)</f>
        <v>305</v>
      </c>
      <c r="E2944">
        <f>IFERROR(__xludf.DUMMYFUNCTION("""COMPUTED_VALUE"""),16.65)</f>
        <v>16.65</v>
      </c>
      <c r="F2944">
        <f>IFERROR(__xludf.DUMMYFUNCTION("""COMPUTED_VALUE"""),21.08)</f>
        <v>21.08</v>
      </c>
      <c r="G2944">
        <f>IFERROR(__xludf.DUMMYFUNCTION("""COMPUTED_VALUE"""),16.61)</f>
        <v>16.61</v>
      </c>
    </row>
    <row r="2945">
      <c r="A2945">
        <f>IFERROR(__xludf.DUMMYFUNCTION("""COMPUTED_VALUE"""),781931.0)</f>
        <v>781931</v>
      </c>
      <c r="B2945" t="str">
        <f>IFERROR(__xludf.DUMMYFUNCTION("""COMPUTED_VALUE"""),"Pork Steak Or Cutlet Breaded Or Floured Fried Lean And Fat Eaten")</f>
        <v>Pork Steak Or Cutlet Breaded Or Floured Fried Lean And Fat Eaten</v>
      </c>
      <c r="C2945" t="str">
        <f>IFERROR(__xludf.DUMMYFUNCTION("""COMPUTED_VALUE"""),"Meats")</f>
        <v>Meats</v>
      </c>
      <c r="D2945">
        <f>IFERROR(__xludf.DUMMYFUNCTION("""COMPUTED_VALUE"""),324.0)</f>
        <v>324</v>
      </c>
      <c r="E2945">
        <f>IFERROR(__xludf.DUMMYFUNCTION("""COMPUTED_VALUE"""),19.12)</f>
        <v>19.12</v>
      </c>
      <c r="F2945">
        <f>IFERROR(__xludf.DUMMYFUNCTION("""COMPUTED_VALUE"""),20.64)</f>
        <v>20.64</v>
      </c>
      <c r="G2945">
        <f>IFERROR(__xludf.DUMMYFUNCTION("""COMPUTED_VALUE"""),16.26)</f>
        <v>16.26</v>
      </c>
    </row>
    <row r="2946">
      <c r="A2946">
        <f>IFERROR(__xludf.DUMMYFUNCTION("""COMPUTED_VALUE"""),781932.0)</f>
        <v>781932</v>
      </c>
      <c r="B2946" t="str">
        <f>IFERROR(__xludf.DUMMYFUNCTION("""COMPUTED_VALUE"""),"Pork Steak Or Cutlet Breaded Or Floured Fried Lean Only Eaten")</f>
        <v>Pork Steak Or Cutlet Breaded Or Floured Fried Lean Only Eaten</v>
      </c>
      <c r="C2946" t="str">
        <f>IFERROR(__xludf.DUMMYFUNCTION("""COMPUTED_VALUE"""),"Meats")</f>
        <v>Meats</v>
      </c>
      <c r="D2946">
        <f>IFERROR(__xludf.DUMMYFUNCTION("""COMPUTED_VALUE"""),275.0)</f>
        <v>275</v>
      </c>
      <c r="E2946">
        <f>IFERROR(__xludf.DUMMYFUNCTION("""COMPUTED_VALUE"""),13.11)</f>
        <v>13.11</v>
      </c>
      <c r="F2946">
        <f>IFERROR(__xludf.DUMMYFUNCTION("""COMPUTED_VALUE"""),21.81)</f>
        <v>21.81</v>
      </c>
      <c r="G2946">
        <f>IFERROR(__xludf.DUMMYFUNCTION("""COMPUTED_VALUE"""),16.26)</f>
        <v>16.26</v>
      </c>
    </row>
    <row r="2947">
      <c r="A2947">
        <f>IFERROR(__xludf.DUMMYFUNCTION("""COMPUTED_VALUE"""),781933.0)</f>
        <v>781933</v>
      </c>
      <c r="B2947" t="str">
        <f>IFERROR(__xludf.DUMMYFUNCTION("""COMPUTED_VALUE"""),"Pork Tenderloin Cooked Ns As To Cooking Method")</f>
        <v>Pork Tenderloin Cooked Ns As To Cooking Method</v>
      </c>
      <c r="C2947" t="str">
        <f>IFERROR(__xludf.DUMMYFUNCTION("""COMPUTED_VALUE"""),"Meats")</f>
        <v>Meats</v>
      </c>
      <c r="D2947">
        <f>IFERROR(__xludf.DUMMYFUNCTION("""COMPUTED_VALUE"""),154.0)</f>
        <v>154</v>
      </c>
      <c r="E2947">
        <f>IFERROR(__xludf.DUMMYFUNCTION("""COMPUTED_VALUE"""),4.33)</f>
        <v>4.33</v>
      </c>
      <c r="F2947">
        <f>IFERROR(__xludf.DUMMYFUNCTION("""COMPUTED_VALUE"""),26.9)</f>
        <v>26.9</v>
      </c>
      <c r="G2947">
        <f>IFERROR(__xludf.DUMMYFUNCTION("""COMPUTED_VALUE"""),0.0)</f>
        <v>0</v>
      </c>
    </row>
    <row r="2948">
      <c r="A2948">
        <f>IFERROR(__xludf.DUMMYFUNCTION("""COMPUTED_VALUE"""),781934.0)</f>
        <v>781934</v>
      </c>
      <c r="B2948" t="str">
        <f>IFERROR(__xludf.DUMMYFUNCTION("""COMPUTED_VALUE"""),"Pork Tenderloin Breaded Fried")</f>
        <v>Pork Tenderloin Breaded Fried</v>
      </c>
      <c r="C2948" t="str">
        <f>IFERROR(__xludf.DUMMYFUNCTION("""COMPUTED_VALUE"""),"Meats")</f>
        <v>Meats</v>
      </c>
      <c r="D2948">
        <f>IFERROR(__xludf.DUMMYFUNCTION("""COMPUTED_VALUE"""),294.0)</f>
        <v>294</v>
      </c>
      <c r="E2948">
        <f>IFERROR(__xludf.DUMMYFUNCTION("""COMPUTED_VALUE"""),15.55)</f>
        <v>15.55</v>
      </c>
      <c r="F2948">
        <f>IFERROR(__xludf.DUMMYFUNCTION("""COMPUTED_VALUE"""),22.0)</f>
        <v>22</v>
      </c>
      <c r="G2948">
        <f>IFERROR(__xludf.DUMMYFUNCTION("""COMPUTED_VALUE"""),15.22)</f>
        <v>15.22</v>
      </c>
    </row>
    <row r="2949">
      <c r="A2949">
        <f>IFERROR(__xludf.DUMMYFUNCTION("""COMPUTED_VALUE"""),781935.0)</f>
        <v>781935</v>
      </c>
      <c r="B2949" t="str">
        <f>IFERROR(__xludf.DUMMYFUNCTION("""COMPUTED_VALUE"""),"Pork Tenderloin Braised")</f>
        <v>Pork Tenderloin Braised</v>
      </c>
      <c r="C2949" t="str">
        <f>IFERROR(__xludf.DUMMYFUNCTION("""COMPUTED_VALUE"""),"Meats")</f>
        <v>Meats</v>
      </c>
      <c r="D2949">
        <f>IFERROR(__xludf.DUMMYFUNCTION("""COMPUTED_VALUE"""),142.0)</f>
        <v>142</v>
      </c>
      <c r="E2949">
        <f>IFERROR(__xludf.DUMMYFUNCTION("""COMPUTED_VALUE"""),2.8)</f>
        <v>2.8</v>
      </c>
      <c r="F2949">
        <f>IFERROR(__xludf.DUMMYFUNCTION("""COMPUTED_VALUE"""),27.24)</f>
        <v>27.24</v>
      </c>
      <c r="G2949">
        <f>IFERROR(__xludf.DUMMYFUNCTION("""COMPUTED_VALUE"""),0.0)</f>
        <v>0</v>
      </c>
    </row>
    <row r="2950">
      <c r="A2950">
        <f>IFERROR(__xludf.DUMMYFUNCTION("""COMPUTED_VALUE"""),781936.0)</f>
        <v>781936</v>
      </c>
      <c r="B2950" t="str">
        <f>IFERROR(__xludf.DUMMYFUNCTION("""COMPUTED_VALUE"""),"Pork Tenderloin Baked")</f>
        <v>Pork Tenderloin Baked</v>
      </c>
      <c r="C2950" t="str">
        <f>IFERROR(__xludf.DUMMYFUNCTION("""COMPUTED_VALUE"""),"Meats")</f>
        <v>Meats</v>
      </c>
      <c r="D2950">
        <f>IFERROR(__xludf.DUMMYFUNCTION("""COMPUTED_VALUE"""),154.0)</f>
        <v>154</v>
      </c>
      <c r="E2950">
        <f>IFERROR(__xludf.DUMMYFUNCTION("""COMPUTED_VALUE"""),4.33)</f>
        <v>4.33</v>
      </c>
      <c r="F2950">
        <f>IFERROR(__xludf.DUMMYFUNCTION("""COMPUTED_VALUE"""),26.9)</f>
        <v>26.9</v>
      </c>
      <c r="G2950">
        <f>IFERROR(__xludf.DUMMYFUNCTION("""COMPUTED_VALUE"""),0.0)</f>
        <v>0</v>
      </c>
    </row>
    <row r="2951">
      <c r="A2951">
        <f>IFERROR(__xludf.DUMMYFUNCTION("""COMPUTED_VALUE"""),781937.0)</f>
        <v>781937</v>
      </c>
      <c r="B2951" t="str">
        <f>IFERROR(__xludf.DUMMYFUNCTION("""COMPUTED_VALUE"""),"Pork Tenderloin Battered Fried")</f>
        <v>Pork Tenderloin Battered Fried</v>
      </c>
      <c r="C2951" t="str">
        <f>IFERROR(__xludf.DUMMYFUNCTION("""COMPUTED_VALUE"""),"Meats")</f>
        <v>Meats</v>
      </c>
      <c r="D2951">
        <f>IFERROR(__xludf.DUMMYFUNCTION("""COMPUTED_VALUE"""),193.0)</f>
        <v>193</v>
      </c>
      <c r="E2951">
        <f>IFERROR(__xludf.DUMMYFUNCTION("""COMPUTED_VALUE"""),7.07)</f>
        <v>7.07</v>
      </c>
      <c r="F2951">
        <f>IFERROR(__xludf.DUMMYFUNCTION("""COMPUTED_VALUE"""),23.29)</f>
        <v>23.29</v>
      </c>
      <c r="G2951">
        <f>IFERROR(__xludf.DUMMYFUNCTION("""COMPUTED_VALUE"""),7.57)</f>
        <v>7.57</v>
      </c>
    </row>
    <row r="2952">
      <c r="A2952">
        <f>IFERROR(__xludf.DUMMYFUNCTION("""COMPUTED_VALUE"""),781938.0)</f>
        <v>781938</v>
      </c>
      <c r="B2952" t="str">
        <f>IFERROR(__xludf.DUMMYFUNCTION("""COMPUTED_VALUE"""),"Ham Fried Ns As To Fat Eaten")</f>
        <v>Ham Fried Ns As To Fat Eaten</v>
      </c>
      <c r="C2952" t="str">
        <f>IFERROR(__xludf.DUMMYFUNCTION("""COMPUTED_VALUE"""),"Meats")</f>
        <v>Meats</v>
      </c>
      <c r="D2952">
        <f>IFERROR(__xludf.DUMMYFUNCTION("""COMPUTED_VALUE"""),187.0)</f>
        <v>187</v>
      </c>
      <c r="E2952">
        <f>IFERROR(__xludf.DUMMYFUNCTION("""COMPUTED_VALUE"""),11.41)</f>
        <v>11.41</v>
      </c>
      <c r="F2952">
        <f>IFERROR(__xludf.DUMMYFUNCTION("""COMPUTED_VALUE"""),19.16)</f>
        <v>19.16</v>
      </c>
      <c r="G2952">
        <f>IFERROR(__xludf.DUMMYFUNCTION("""COMPUTED_VALUE"""),1.28)</f>
        <v>1.28</v>
      </c>
    </row>
    <row r="2953">
      <c r="A2953">
        <f>IFERROR(__xludf.DUMMYFUNCTION("""COMPUTED_VALUE"""),781939.0)</f>
        <v>781939</v>
      </c>
      <c r="B2953" t="str">
        <f>IFERROR(__xludf.DUMMYFUNCTION("""COMPUTED_VALUE"""),"Ham Fried Lean And Fat Eaten")</f>
        <v>Ham Fried Lean And Fat Eaten</v>
      </c>
      <c r="C2953" t="str">
        <f>IFERROR(__xludf.DUMMYFUNCTION("""COMPUTED_VALUE"""),"Meats")</f>
        <v>Meats</v>
      </c>
      <c r="D2953">
        <f>IFERROR(__xludf.DUMMYFUNCTION("""COMPUTED_VALUE"""),187.0)</f>
        <v>187</v>
      </c>
      <c r="E2953">
        <f>IFERROR(__xludf.DUMMYFUNCTION("""COMPUTED_VALUE"""),11.41)</f>
        <v>11.41</v>
      </c>
      <c r="F2953">
        <f>IFERROR(__xludf.DUMMYFUNCTION("""COMPUTED_VALUE"""),19.16)</f>
        <v>19.16</v>
      </c>
      <c r="G2953">
        <f>IFERROR(__xludf.DUMMYFUNCTION("""COMPUTED_VALUE"""),1.28)</f>
        <v>1.28</v>
      </c>
    </row>
    <row r="2954">
      <c r="A2954">
        <f>IFERROR(__xludf.DUMMYFUNCTION("""COMPUTED_VALUE"""),781940.0)</f>
        <v>781940</v>
      </c>
      <c r="B2954" t="str">
        <f>IFERROR(__xludf.DUMMYFUNCTION("""COMPUTED_VALUE"""),"Ham Fried Lean Only Eaten")</f>
        <v>Ham Fried Lean Only Eaten</v>
      </c>
      <c r="C2954" t="str">
        <f>IFERROR(__xludf.DUMMYFUNCTION("""COMPUTED_VALUE"""),"Meats")</f>
        <v>Meats</v>
      </c>
      <c r="D2954">
        <f>IFERROR(__xludf.DUMMYFUNCTION("""COMPUTED_VALUE"""),177.0)</f>
        <v>177</v>
      </c>
      <c r="E2954">
        <f>IFERROR(__xludf.DUMMYFUNCTION("""COMPUTED_VALUE"""),9.77)</f>
        <v>9.77</v>
      </c>
      <c r="F2954">
        <f>IFERROR(__xludf.DUMMYFUNCTION("""COMPUTED_VALUE"""),20.55)</f>
        <v>20.55</v>
      </c>
      <c r="G2954">
        <f>IFERROR(__xludf.DUMMYFUNCTION("""COMPUTED_VALUE"""),1.0)</f>
        <v>1</v>
      </c>
    </row>
    <row r="2955">
      <c r="A2955">
        <f>IFERROR(__xludf.DUMMYFUNCTION("""COMPUTED_VALUE"""),781941.0)</f>
        <v>781941</v>
      </c>
      <c r="B2955" t="str">
        <f>IFERROR(__xludf.DUMMYFUNCTION("""COMPUTED_VALUE"""),"Ham Breaded Or Floured Fried Ns As To Fat Eaten")</f>
        <v>Ham Breaded Or Floured Fried Ns As To Fat Eaten</v>
      </c>
      <c r="C2955" t="str">
        <f>IFERROR(__xludf.DUMMYFUNCTION("""COMPUTED_VALUE"""),"Meats")</f>
        <v>Meats</v>
      </c>
      <c r="D2955">
        <f>IFERROR(__xludf.DUMMYFUNCTION("""COMPUTED_VALUE"""),200.0)</f>
        <v>200</v>
      </c>
      <c r="E2955">
        <f>IFERROR(__xludf.DUMMYFUNCTION("""COMPUTED_VALUE"""),10.42)</f>
        <v>10.42</v>
      </c>
      <c r="F2955">
        <f>IFERROR(__xludf.DUMMYFUNCTION("""COMPUTED_VALUE"""),18.36)</f>
        <v>18.36</v>
      </c>
      <c r="G2955">
        <f>IFERROR(__xludf.DUMMYFUNCTION("""COMPUTED_VALUE"""),7.34)</f>
        <v>7.34</v>
      </c>
    </row>
    <row r="2956">
      <c r="A2956">
        <f>IFERROR(__xludf.DUMMYFUNCTION("""COMPUTED_VALUE"""),781942.0)</f>
        <v>781942</v>
      </c>
      <c r="B2956" t="str">
        <f>IFERROR(__xludf.DUMMYFUNCTION("""COMPUTED_VALUE"""),"Ham Breaded Or Floured Fried Lean And Fat Eaten")</f>
        <v>Ham Breaded Or Floured Fried Lean And Fat Eaten</v>
      </c>
      <c r="C2956" t="str">
        <f>IFERROR(__xludf.DUMMYFUNCTION("""COMPUTED_VALUE"""),"Meats")</f>
        <v>Meats</v>
      </c>
      <c r="D2956">
        <f>IFERROR(__xludf.DUMMYFUNCTION("""COMPUTED_VALUE"""),200.0)</f>
        <v>200</v>
      </c>
      <c r="E2956">
        <f>IFERROR(__xludf.DUMMYFUNCTION("""COMPUTED_VALUE"""),10.42)</f>
        <v>10.42</v>
      </c>
      <c r="F2956">
        <f>IFERROR(__xludf.DUMMYFUNCTION("""COMPUTED_VALUE"""),18.36)</f>
        <v>18.36</v>
      </c>
      <c r="G2956">
        <f>IFERROR(__xludf.DUMMYFUNCTION("""COMPUTED_VALUE"""),7.34)</f>
        <v>7.34</v>
      </c>
    </row>
    <row r="2957">
      <c r="A2957">
        <f>IFERROR(__xludf.DUMMYFUNCTION("""COMPUTED_VALUE"""),781943.0)</f>
        <v>781943</v>
      </c>
      <c r="B2957" t="str">
        <f>IFERROR(__xludf.DUMMYFUNCTION("""COMPUTED_VALUE"""),"Ham Breaded Or Floured Fried Lean Only Eaten")</f>
        <v>Ham Breaded Or Floured Fried Lean Only Eaten</v>
      </c>
      <c r="C2957" t="str">
        <f>IFERROR(__xludf.DUMMYFUNCTION("""COMPUTED_VALUE"""),"Meats")</f>
        <v>Meats</v>
      </c>
      <c r="D2957">
        <f>IFERROR(__xludf.DUMMYFUNCTION("""COMPUTED_VALUE"""),191.0)</f>
        <v>191</v>
      </c>
      <c r="E2957">
        <f>IFERROR(__xludf.DUMMYFUNCTION("""COMPUTED_VALUE"""),9.11)</f>
        <v>9.11</v>
      </c>
      <c r="F2957">
        <f>IFERROR(__xludf.DUMMYFUNCTION("""COMPUTED_VALUE"""),19.66)</f>
        <v>19.66</v>
      </c>
      <c r="G2957">
        <f>IFERROR(__xludf.DUMMYFUNCTION("""COMPUTED_VALUE"""),6.79)</f>
        <v>6.79</v>
      </c>
    </row>
    <row r="2958">
      <c r="A2958">
        <f>IFERROR(__xludf.DUMMYFUNCTION("""COMPUTED_VALUE"""),781944.0)</f>
        <v>781944</v>
      </c>
      <c r="B2958" t="str">
        <f>IFERROR(__xludf.DUMMYFUNCTION("""COMPUTED_VALUE"""),"Ham Fresh Cooked Ns As To Fat Eaten")</f>
        <v>Ham Fresh Cooked Ns As To Fat Eaten</v>
      </c>
      <c r="C2958" t="str">
        <f>IFERROR(__xludf.DUMMYFUNCTION("""COMPUTED_VALUE"""),"Meats")</f>
        <v>Meats</v>
      </c>
      <c r="D2958">
        <f>IFERROR(__xludf.DUMMYFUNCTION("""COMPUTED_VALUE"""),271.0)</f>
        <v>271</v>
      </c>
      <c r="E2958">
        <f>IFERROR(__xludf.DUMMYFUNCTION("""COMPUTED_VALUE"""),17.46)</f>
        <v>17.46</v>
      </c>
      <c r="F2958">
        <f>IFERROR(__xludf.DUMMYFUNCTION("""COMPUTED_VALUE"""),26.61)</f>
        <v>26.61</v>
      </c>
      <c r="G2958">
        <f>IFERROR(__xludf.DUMMYFUNCTION("""COMPUTED_VALUE"""),0.0)</f>
        <v>0</v>
      </c>
    </row>
    <row r="2959">
      <c r="A2959">
        <f>IFERROR(__xludf.DUMMYFUNCTION("""COMPUTED_VALUE"""),781945.0)</f>
        <v>781945</v>
      </c>
      <c r="B2959" t="str">
        <f>IFERROR(__xludf.DUMMYFUNCTION("""COMPUTED_VALUE"""),"Ham Fresh Cooked Lean And Fat Eaten")</f>
        <v>Ham Fresh Cooked Lean And Fat Eaten</v>
      </c>
      <c r="C2959" t="str">
        <f>IFERROR(__xludf.DUMMYFUNCTION("""COMPUTED_VALUE"""),"Meats")</f>
        <v>Meats</v>
      </c>
      <c r="D2959">
        <f>IFERROR(__xludf.DUMMYFUNCTION("""COMPUTED_VALUE"""),271.0)</f>
        <v>271</v>
      </c>
      <c r="E2959">
        <f>IFERROR(__xludf.DUMMYFUNCTION("""COMPUTED_VALUE"""),17.46)</f>
        <v>17.46</v>
      </c>
      <c r="F2959">
        <f>IFERROR(__xludf.DUMMYFUNCTION("""COMPUTED_VALUE"""),26.61)</f>
        <v>26.61</v>
      </c>
      <c r="G2959">
        <f>IFERROR(__xludf.DUMMYFUNCTION("""COMPUTED_VALUE"""),0.0)</f>
        <v>0</v>
      </c>
    </row>
    <row r="2960">
      <c r="A2960">
        <f>IFERROR(__xludf.DUMMYFUNCTION("""COMPUTED_VALUE"""),781946.0)</f>
        <v>781946</v>
      </c>
      <c r="B2960" t="str">
        <f>IFERROR(__xludf.DUMMYFUNCTION("""COMPUTED_VALUE"""),"Ham Fresh Cooked Lean Only Eaten")</f>
        <v>Ham Fresh Cooked Lean Only Eaten</v>
      </c>
      <c r="C2960" t="str">
        <f>IFERROR(__xludf.DUMMYFUNCTION("""COMPUTED_VALUE"""),"Meats")</f>
        <v>Meats</v>
      </c>
      <c r="D2960">
        <f>IFERROR(__xludf.DUMMYFUNCTION("""COMPUTED_VALUE"""),209.0)</f>
        <v>209</v>
      </c>
      <c r="E2960">
        <f>IFERROR(__xludf.DUMMYFUNCTION("""COMPUTED_VALUE"""),9.36)</f>
        <v>9.36</v>
      </c>
      <c r="F2960">
        <f>IFERROR(__xludf.DUMMYFUNCTION("""COMPUTED_VALUE"""),29.16)</f>
        <v>29.16</v>
      </c>
      <c r="G2960">
        <f>IFERROR(__xludf.DUMMYFUNCTION("""COMPUTED_VALUE"""),0.0)</f>
        <v>0</v>
      </c>
    </row>
    <row r="2961">
      <c r="A2961">
        <f>IFERROR(__xludf.DUMMYFUNCTION("""COMPUTED_VALUE"""),781947.0)</f>
        <v>781947</v>
      </c>
      <c r="B2961" t="str">
        <f>IFERROR(__xludf.DUMMYFUNCTION("""COMPUTED_VALUE"""),"Ham Smoked Or Cured Cooked Ns As To Fat Eaten")</f>
        <v>Ham Smoked Or Cured Cooked Ns As To Fat Eaten</v>
      </c>
      <c r="C2961" t="str">
        <f>IFERROR(__xludf.DUMMYFUNCTION("""COMPUTED_VALUE"""),"Meats")</f>
        <v>Meats</v>
      </c>
      <c r="D2961">
        <f>IFERROR(__xludf.DUMMYFUNCTION("""COMPUTED_VALUE"""),149.0)</f>
        <v>149</v>
      </c>
      <c r="E2961">
        <f>IFERROR(__xludf.DUMMYFUNCTION("""COMPUTED_VALUE"""),6.7)</f>
        <v>6.7</v>
      </c>
      <c r="F2961">
        <f>IFERROR(__xludf.DUMMYFUNCTION("""COMPUTED_VALUE"""),20.09)</f>
        <v>20.09</v>
      </c>
      <c r="G2961">
        <f>IFERROR(__xludf.DUMMYFUNCTION("""COMPUTED_VALUE"""),1.19)</f>
        <v>1.19</v>
      </c>
    </row>
    <row r="2962">
      <c r="A2962">
        <f>IFERROR(__xludf.DUMMYFUNCTION("""COMPUTED_VALUE"""),781948.0)</f>
        <v>781948</v>
      </c>
      <c r="B2962" t="str">
        <f>IFERROR(__xludf.DUMMYFUNCTION("""COMPUTED_VALUE"""),"Ham Smoked Or Cured Cooked Lean And Fat Eaten")</f>
        <v>Ham Smoked Or Cured Cooked Lean And Fat Eaten</v>
      </c>
      <c r="C2962" t="str">
        <f>IFERROR(__xludf.DUMMYFUNCTION("""COMPUTED_VALUE"""),"Meats")</f>
        <v>Meats</v>
      </c>
      <c r="D2962">
        <f>IFERROR(__xludf.DUMMYFUNCTION("""COMPUTED_VALUE"""),149.0)</f>
        <v>149</v>
      </c>
      <c r="E2962">
        <f>IFERROR(__xludf.DUMMYFUNCTION("""COMPUTED_VALUE"""),6.7)</f>
        <v>6.7</v>
      </c>
      <c r="F2962">
        <f>IFERROR(__xludf.DUMMYFUNCTION("""COMPUTED_VALUE"""),20.09)</f>
        <v>20.09</v>
      </c>
      <c r="G2962">
        <f>IFERROR(__xludf.DUMMYFUNCTION("""COMPUTED_VALUE"""),1.19)</f>
        <v>1.19</v>
      </c>
    </row>
    <row r="2963">
      <c r="A2963">
        <f>IFERROR(__xludf.DUMMYFUNCTION("""COMPUTED_VALUE"""),781949.0)</f>
        <v>781949</v>
      </c>
      <c r="B2963" t="str">
        <f>IFERROR(__xludf.DUMMYFUNCTION("""COMPUTED_VALUE"""),"Ham Smoked Or Cured Cooked Lean Only Eaten")</f>
        <v>Ham Smoked Or Cured Cooked Lean Only Eaten</v>
      </c>
      <c r="C2963" t="str">
        <f>IFERROR(__xludf.DUMMYFUNCTION("""COMPUTED_VALUE"""),"Meats")</f>
        <v>Meats</v>
      </c>
      <c r="D2963">
        <f>IFERROR(__xludf.DUMMYFUNCTION("""COMPUTED_VALUE"""),139.0)</f>
        <v>139</v>
      </c>
      <c r="E2963">
        <f>IFERROR(__xludf.DUMMYFUNCTION("""COMPUTED_VALUE"""),4.95)</f>
        <v>4.95</v>
      </c>
      <c r="F2963">
        <f>IFERROR(__xludf.DUMMYFUNCTION("""COMPUTED_VALUE"""),21.64)</f>
        <v>21.64</v>
      </c>
      <c r="G2963">
        <f>IFERROR(__xludf.DUMMYFUNCTION("""COMPUTED_VALUE"""),1.05)</f>
        <v>1.05</v>
      </c>
    </row>
    <row r="2964">
      <c r="A2964">
        <f>IFERROR(__xludf.DUMMYFUNCTION("""COMPUTED_VALUE"""),781951.0)</f>
        <v>781951</v>
      </c>
      <c r="B2964" t="str">
        <f>IFERROR(__xludf.DUMMYFUNCTION("""COMPUTED_VALUE"""),"Ham Smoked Or Cured Canned Ns As To Fat Eaten")</f>
        <v>Ham Smoked Or Cured Canned Ns As To Fat Eaten</v>
      </c>
      <c r="C2964" t="str">
        <f>IFERROR(__xludf.DUMMYFUNCTION("""COMPUTED_VALUE"""),"Meats")</f>
        <v>Meats</v>
      </c>
      <c r="D2964">
        <f>IFERROR(__xludf.DUMMYFUNCTION("""COMPUTED_VALUE"""),132.0)</f>
        <v>132</v>
      </c>
      <c r="E2964">
        <f>IFERROR(__xludf.DUMMYFUNCTION("""COMPUTED_VALUE"""),6.17)</f>
        <v>6.17</v>
      </c>
      <c r="F2964">
        <f>IFERROR(__xludf.DUMMYFUNCTION("""COMPUTED_VALUE"""),17.46)</f>
        <v>17.46</v>
      </c>
      <c r="G2964">
        <f>IFERROR(__xludf.DUMMYFUNCTION("""COMPUTED_VALUE"""),1.0)</f>
        <v>1</v>
      </c>
    </row>
    <row r="2965">
      <c r="A2965">
        <f>IFERROR(__xludf.DUMMYFUNCTION("""COMPUTED_VALUE"""),781952.0)</f>
        <v>781952</v>
      </c>
      <c r="B2965" t="str">
        <f>IFERROR(__xludf.DUMMYFUNCTION("""COMPUTED_VALUE"""),"Ham Smoked Or Cured Canned Lean And Fat Eaten")</f>
        <v>Ham Smoked Or Cured Canned Lean And Fat Eaten</v>
      </c>
      <c r="C2965" t="str">
        <f>IFERROR(__xludf.DUMMYFUNCTION("""COMPUTED_VALUE"""),"Meats")</f>
        <v>Meats</v>
      </c>
      <c r="D2965">
        <f>IFERROR(__xludf.DUMMYFUNCTION("""COMPUTED_VALUE"""),132.0)</f>
        <v>132</v>
      </c>
      <c r="E2965">
        <f>IFERROR(__xludf.DUMMYFUNCTION("""COMPUTED_VALUE"""),6.17)</f>
        <v>6.17</v>
      </c>
      <c r="F2965">
        <f>IFERROR(__xludf.DUMMYFUNCTION("""COMPUTED_VALUE"""),17.46)</f>
        <v>17.46</v>
      </c>
      <c r="G2965">
        <f>IFERROR(__xludf.DUMMYFUNCTION("""COMPUTED_VALUE"""),1.0)</f>
        <v>1</v>
      </c>
    </row>
    <row r="2966">
      <c r="A2966">
        <f>IFERROR(__xludf.DUMMYFUNCTION("""COMPUTED_VALUE"""),781953.0)</f>
        <v>781953</v>
      </c>
      <c r="B2966" t="str">
        <f>IFERROR(__xludf.DUMMYFUNCTION("""COMPUTED_VALUE"""),"Ham Smoked Or Cured Canned Lean Only Eaten")</f>
        <v>Ham Smoked Or Cured Canned Lean Only Eaten</v>
      </c>
      <c r="C2966" t="str">
        <f>IFERROR(__xludf.DUMMYFUNCTION("""COMPUTED_VALUE"""),"Meats")</f>
        <v>Meats</v>
      </c>
      <c r="D2966">
        <f>IFERROR(__xludf.DUMMYFUNCTION("""COMPUTED_VALUE"""),117.0)</f>
        <v>117</v>
      </c>
      <c r="E2966">
        <f>IFERROR(__xludf.DUMMYFUNCTION("""COMPUTED_VALUE"""),4.31)</f>
        <v>4.31</v>
      </c>
      <c r="F2966">
        <f>IFERROR(__xludf.DUMMYFUNCTION("""COMPUTED_VALUE"""),17.8)</f>
        <v>17.8</v>
      </c>
      <c r="G2966">
        <f>IFERROR(__xludf.DUMMYFUNCTION("""COMPUTED_VALUE"""),1.0)</f>
        <v>1</v>
      </c>
    </row>
    <row r="2967">
      <c r="A2967">
        <f>IFERROR(__xludf.DUMMYFUNCTION("""COMPUTED_VALUE"""),781955.0)</f>
        <v>781955</v>
      </c>
      <c r="B2967" t="str">
        <f>IFERROR(__xludf.DUMMYFUNCTION("""COMPUTED_VALUE"""),"Pork Roast Ns As To Cut Cooked Ns As To Fat Eaten")</f>
        <v>Pork Roast Ns As To Cut Cooked Ns As To Fat Eaten</v>
      </c>
      <c r="C2967" t="str">
        <f>IFERROR(__xludf.DUMMYFUNCTION("""COMPUTED_VALUE"""),"Meats")</f>
        <v>Meats</v>
      </c>
      <c r="D2967">
        <f>IFERROR(__xludf.DUMMYFUNCTION("""COMPUTED_VALUE"""),246.0)</f>
        <v>246</v>
      </c>
      <c r="E2967">
        <f>IFERROR(__xludf.DUMMYFUNCTION("""COMPUTED_VALUE"""),14.53)</f>
        <v>14.53</v>
      </c>
      <c r="F2967">
        <f>IFERROR(__xludf.DUMMYFUNCTION("""COMPUTED_VALUE"""),26.86)</f>
        <v>26.86</v>
      </c>
      <c r="G2967">
        <f>IFERROR(__xludf.DUMMYFUNCTION("""COMPUTED_VALUE"""),0.0)</f>
        <v>0</v>
      </c>
    </row>
    <row r="2968">
      <c r="A2968">
        <f>IFERROR(__xludf.DUMMYFUNCTION("""COMPUTED_VALUE"""),781956.0)</f>
        <v>781956</v>
      </c>
      <c r="B2968" t="str">
        <f>IFERROR(__xludf.DUMMYFUNCTION("""COMPUTED_VALUE"""),"Pork Roast Ns As To Cut Cooked Lean And Fat Eaten")</f>
        <v>Pork Roast Ns As To Cut Cooked Lean And Fat Eaten</v>
      </c>
      <c r="C2968" t="str">
        <f>IFERROR(__xludf.DUMMYFUNCTION("""COMPUTED_VALUE"""),"Meats")</f>
        <v>Meats</v>
      </c>
      <c r="D2968">
        <f>IFERROR(__xludf.DUMMYFUNCTION("""COMPUTED_VALUE"""),246.0)</f>
        <v>246</v>
      </c>
      <c r="E2968">
        <f>IFERROR(__xludf.DUMMYFUNCTION("""COMPUTED_VALUE"""),14.53)</f>
        <v>14.53</v>
      </c>
      <c r="F2968">
        <f>IFERROR(__xludf.DUMMYFUNCTION("""COMPUTED_VALUE"""),26.86)</f>
        <v>26.86</v>
      </c>
      <c r="G2968">
        <f>IFERROR(__xludf.DUMMYFUNCTION("""COMPUTED_VALUE"""),0.0)</f>
        <v>0</v>
      </c>
    </row>
    <row r="2969">
      <c r="A2969">
        <f>IFERROR(__xludf.DUMMYFUNCTION("""COMPUTED_VALUE"""),781957.0)</f>
        <v>781957</v>
      </c>
      <c r="B2969" t="str">
        <f>IFERROR(__xludf.DUMMYFUNCTION("""COMPUTED_VALUE"""),"Pork Roast Ns As To Cut Cooked Lean Only Eaten")</f>
        <v>Pork Roast Ns As To Cut Cooked Lean Only Eaten</v>
      </c>
      <c r="C2969" t="str">
        <f>IFERROR(__xludf.DUMMYFUNCTION("""COMPUTED_VALUE"""),"Meats")</f>
        <v>Meats</v>
      </c>
      <c r="D2969">
        <f>IFERROR(__xludf.DUMMYFUNCTION("""COMPUTED_VALUE"""),207.0)</f>
        <v>207</v>
      </c>
      <c r="E2969">
        <f>IFERROR(__xludf.DUMMYFUNCTION("""COMPUTED_VALUE"""),9.55)</f>
        <v>9.55</v>
      </c>
      <c r="F2969">
        <f>IFERROR(__xludf.DUMMYFUNCTION("""COMPUTED_VALUE"""),28.38)</f>
        <v>28.38</v>
      </c>
      <c r="G2969">
        <f>IFERROR(__xludf.DUMMYFUNCTION("""COMPUTED_VALUE"""),0.0)</f>
        <v>0</v>
      </c>
    </row>
    <row r="2970">
      <c r="A2970">
        <f>IFERROR(__xludf.DUMMYFUNCTION("""COMPUTED_VALUE"""),781958.0)</f>
        <v>781958</v>
      </c>
      <c r="B2970" t="str">
        <f>IFERROR(__xludf.DUMMYFUNCTION("""COMPUTED_VALUE"""),"Pork Roast Loin Cooked Ns As To Fat Eaten")</f>
        <v>Pork Roast Loin Cooked Ns As To Fat Eaten</v>
      </c>
      <c r="C2970" t="str">
        <f>IFERROR(__xludf.DUMMYFUNCTION("""COMPUTED_VALUE"""),"Meats")</f>
        <v>Meats</v>
      </c>
      <c r="D2970">
        <f>IFERROR(__xludf.DUMMYFUNCTION("""COMPUTED_VALUE"""),246.0)</f>
        <v>246</v>
      </c>
      <c r="E2970">
        <f>IFERROR(__xludf.DUMMYFUNCTION("""COMPUTED_VALUE"""),14.53)</f>
        <v>14.53</v>
      </c>
      <c r="F2970">
        <f>IFERROR(__xludf.DUMMYFUNCTION("""COMPUTED_VALUE"""),26.86)</f>
        <v>26.86</v>
      </c>
      <c r="G2970">
        <f>IFERROR(__xludf.DUMMYFUNCTION("""COMPUTED_VALUE"""),0.0)</f>
        <v>0</v>
      </c>
    </row>
    <row r="2971">
      <c r="A2971">
        <f>IFERROR(__xludf.DUMMYFUNCTION("""COMPUTED_VALUE"""),781959.0)</f>
        <v>781959</v>
      </c>
      <c r="B2971" t="str">
        <f>IFERROR(__xludf.DUMMYFUNCTION("""COMPUTED_VALUE"""),"Pork Roast Loin Cooked Lean And Fat Eaten")</f>
        <v>Pork Roast Loin Cooked Lean And Fat Eaten</v>
      </c>
      <c r="C2971" t="str">
        <f>IFERROR(__xludf.DUMMYFUNCTION("""COMPUTED_VALUE"""),"Meats")</f>
        <v>Meats</v>
      </c>
      <c r="D2971">
        <f>IFERROR(__xludf.DUMMYFUNCTION("""COMPUTED_VALUE"""),246.0)</f>
        <v>246</v>
      </c>
      <c r="E2971">
        <f>IFERROR(__xludf.DUMMYFUNCTION("""COMPUTED_VALUE"""),14.53)</f>
        <v>14.53</v>
      </c>
      <c r="F2971">
        <f>IFERROR(__xludf.DUMMYFUNCTION("""COMPUTED_VALUE"""),26.86)</f>
        <v>26.86</v>
      </c>
      <c r="G2971">
        <f>IFERROR(__xludf.DUMMYFUNCTION("""COMPUTED_VALUE"""),0.0)</f>
        <v>0</v>
      </c>
    </row>
    <row r="2972">
      <c r="A2972">
        <f>IFERROR(__xludf.DUMMYFUNCTION("""COMPUTED_VALUE"""),781960.0)</f>
        <v>781960</v>
      </c>
      <c r="B2972" t="str">
        <f>IFERROR(__xludf.DUMMYFUNCTION("""COMPUTED_VALUE"""),"Pork Roast Loin Cooked Lean Only Eaten")</f>
        <v>Pork Roast Loin Cooked Lean Only Eaten</v>
      </c>
      <c r="C2972" t="str">
        <f>IFERROR(__xludf.DUMMYFUNCTION("""COMPUTED_VALUE"""),"Meats")</f>
        <v>Meats</v>
      </c>
      <c r="D2972">
        <f>IFERROR(__xludf.DUMMYFUNCTION("""COMPUTED_VALUE"""),207.0)</f>
        <v>207</v>
      </c>
      <c r="E2972">
        <f>IFERROR(__xludf.DUMMYFUNCTION("""COMPUTED_VALUE"""),9.55)</f>
        <v>9.55</v>
      </c>
      <c r="F2972">
        <f>IFERROR(__xludf.DUMMYFUNCTION("""COMPUTED_VALUE"""),28.38)</f>
        <v>28.38</v>
      </c>
      <c r="G2972">
        <f>IFERROR(__xludf.DUMMYFUNCTION("""COMPUTED_VALUE"""),0.0)</f>
        <v>0</v>
      </c>
    </row>
    <row r="2973">
      <c r="A2973">
        <f>IFERROR(__xludf.DUMMYFUNCTION("""COMPUTED_VALUE"""),781961.0)</f>
        <v>781961</v>
      </c>
      <c r="B2973" t="str">
        <f>IFERROR(__xludf.DUMMYFUNCTION("""COMPUTED_VALUE"""),"Fried Pork Chunks Puerto Rican Style")</f>
        <v>Fried Pork Chunks Puerto Rican Style</v>
      </c>
      <c r="C2973" t="str">
        <f>IFERROR(__xludf.DUMMYFUNCTION("""COMPUTED_VALUE"""),"Meats")</f>
        <v>Meats</v>
      </c>
      <c r="D2973">
        <f>IFERROR(__xludf.DUMMYFUNCTION("""COMPUTED_VALUE"""),257.0)</f>
        <v>257</v>
      </c>
      <c r="E2973">
        <f>IFERROR(__xludf.DUMMYFUNCTION("""COMPUTED_VALUE"""),11.35)</f>
        <v>11.35</v>
      </c>
      <c r="F2973">
        <f>IFERROR(__xludf.DUMMYFUNCTION("""COMPUTED_VALUE"""),35.33)</f>
        <v>35.33</v>
      </c>
      <c r="G2973">
        <f>IFERROR(__xludf.DUMMYFUNCTION("""COMPUTED_VALUE"""),0.86)</f>
        <v>0.86</v>
      </c>
    </row>
    <row r="2974">
      <c r="A2974">
        <f>IFERROR(__xludf.DUMMYFUNCTION("""COMPUTED_VALUE"""),781962.0)</f>
        <v>781962</v>
      </c>
      <c r="B2974" t="str">
        <f>IFERROR(__xludf.DUMMYFUNCTION("""COMPUTED_VALUE"""),"Pork Roast Shoulder Cooked Ns As To Fat Eaten")</f>
        <v>Pork Roast Shoulder Cooked Ns As To Fat Eaten</v>
      </c>
      <c r="C2974" t="str">
        <f>IFERROR(__xludf.DUMMYFUNCTION("""COMPUTED_VALUE"""),"Meats")</f>
        <v>Meats</v>
      </c>
      <c r="D2974">
        <f>IFERROR(__xludf.DUMMYFUNCTION("""COMPUTED_VALUE"""),290.0)</f>
        <v>290</v>
      </c>
      <c r="E2974">
        <f>IFERROR(__xludf.DUMMYFUNCTION("""COMPUTED_VALUE"""),21.21)</f>
        <v>21.21</v>
      </c>
      <c r="F2974">
        <f>IFERROR(__xludf.DUMMYFUNCTION("""COMPUTED_VALUE"""),23.09)</f>
        <v>23.09</v>
      </c>
      <c r="G2974">
        <f>IFERROR(__xludf.DUMMYFUNCTION("""COMPUTED_VALUE"""),0.0)</f>
        <v>0</v>
      </c>
    </row>
    <row r="2975">
      <c r="A2975">
        <f>IFERROR(__xludf.DUMMYFUNCTION("""COMPUTED_VALUE"""),781963.0)</f>
        <v>781963</v>
      </c>
      <c r="B2975" t="str">
        <f>IFERROR(__xludf.DUMMYFUNCTION("""COMPUTED_VALUE"""),"Pork Roast Shoulder Cooked Lean And Fat Eaten")</f>
        <v>Pork Roast Shoulder Cooked Lean And Fat Eaten</v>
      </c>
      <c r="C2975" t="str">
        <f>IFERROR(__xludf.DUMMYFUNCTION("""COMPUTED_VALUE"""),"Meats")</f>
        <v>Meats</v>
      </c>
      <c r="D2975">
        <f>IFERROR(__xludf.DUMMYFUNCTION("""COMPUTED_VALUE"""),290.0)</f>
        <v>290</v>
      </c>
      <c r="E2975">
        <f>IFERROR(__xludf.DUMMYFUNCTION("""COMPUTED_VALUE"""),21.21)</f>
        <v>21.21</v>
      </c>
      <c r="F2975">
        <f>IFERROR(__xludf.DUMMYFUNCTION("""COMPUTED_VALUE"""),23.09)</f>
        <v>23.09</v>
      </c>
      <c r="G2975">
        <f>IFERROR(__xludf.DUMMYFUNCTION("""COMPUTED_VALUE"""),0.0)</f>
        <v>0</v>
      </c>
    </row>
    <row r="2976">
      <c r="A2976">
        <f>IFERROR(__xludf.DUMMYFUNCTION("""COMPUTED_VALUE"""),781964.0)</f>
        <v>781964</v>
      </c>
      <c r="B2976" t="str">
        <f>IFERROR(__xludf.DUMMYFUNCTION("""COMPUTED_VALUE"""),"Pork Roast Shoulder Cooked Lean Only Eaten")</f>
        <v>Pork Roast Shoulder Cooked Lean Only Eaten</v>
      </c>
      <c r="C2976" t="str">
        <f>IFERROR(__xludf.DUMMYFUNCTION("""COMPUTED_VALUE"""),"Meats")</f>
        <v>Meats</v>
      </c>
      <c r="D2976">
        <f>IFERROR(__xludf.DUMMYFUNCTION("""COMPUTED_VALUE"""),228.0)</f>
        <v>228</v>
      </c>
      <c r="E2976">
        <f>IFERROR(__xludf.DUMMYFUNCTION("""COMPUTED_VALUE"""),13.43)</f>
        <v>13.43</v>
      </c>
      <c r="F2976">
        <f>IFERROR(__xludf.DUMMYFUNCTION("""COMPUTED_VALUE"""),25.12)</f>
        <v>25.12</v>
      </c>
      <c r="G2976">
        <f>IFERROR(__xludf.DUMMYFUNCTION("""COMPUTED_VALUE"""),0.0)</f>
        <v>0</v>
      </c>
    </row>
    <row r="2977">
      <c r="A2977">
        <f>IFERROR(__xludf.DUMMYFUNCTION("""COMPUTED_VALUE"""),781968.0)</f>
        <v>781968</v>
      </c>
      <c r="B2977" t="str">
        <f>IFERROR(__xludf.DUMMYFUNCTION("""COMPUTED_VALUE"""),"Pork Roll Cured Fried")</f>
        <v>Pork Roll Cured Fried</v>
      </c>
      <c r="C2977" t="str">
        <f>IFERROR(__xludf.DUMMYFUNCTION("""COMPUTED_VALUE"""),"Meats")</f>
        <v>Meats</v>
      </c>
      <c r="D2977">
        <f>IFERROR(__xludf.DUMMYFUNCTION("""COMPUTED_VALUE"""),329.0)</f>
        <v>329</v>
      </c>
      <c r="E2977">
        <f>IFERROR(__xludf.DUMMYFUNCTION("""COMPUTED_VALUE"""),28.39)</f>
        <v>28.39</v>
      </c>
      <c r="F2977">
        <f>IFERROR(__xludf.DUMMYFUNCTION("""COMPUTED_VALUE"""),13.07)</f>
        <v>13.07</v>
      </c>
      <c r="G2977">
        <f>IFERROR(__xludf.DUMMYFUNCTION("""COMPUTED_VALUE"""),4.49)</f>
        <v>4.49</v>
      </c>
    </row>
    <row r="2978">
      <c r="A2978">
        <f>IFERROR(__xludf.DUMMYFUNCTION("""COMPUTED_VALUE"""),781977.0)</f>
        <v>781977</v>
      </c>
      <c r="B2978" t="str">
        <f>IFERROR(__xludf.DUMMYFUNCTION("""COMPUTED_VALUE"""),"Salt Pork Cooked")</f>
        <v>Salt Pork Cooked</v>
      </c>
      <c r="C2978" t="str">
        <f>IFERROR(__xludf.DUMMYFUNCTION("""COMPUTED_VALUE"""),"Meats")</f>
        <v>Meats</v>
      </c>
      <c r="D2978">
        <f>IFERROR(__xludf.DUMMYFUNCTION("""COMPUTED_VALUE"""),750.0)</f>
        <v>750</v>
      </c>
      <c r="E2978">
        <f>IFERROR(__xludf.DUMMYFUNCTION("""COMPUTED_VALUE"""),81.93)</f>
        <v>81.93</v>
      </c>
      <c r="F2978">
        <f>IFERROR(__xludf.DUMMYFUNCTION("""COMPUTED_VALUE"""),2.68)</f>
        <v>2.68</v>
      </c>
      <c r="G2978">
        <f>IFERROR(__xludf.DUMMYFUNCTION("""COMPUTED_VALUE"""),0.0)</f>
        <v>0</v>
      </c>
    </row>
    <row r="2979">
      <c r="A2979">
        <f>IFERROR(__xludf.DUMMYFUNCTION("""COMPUTED_VALUE"""),781979.0)</f>
        <v>781979</v>
      </c>
      <c r="B2979" t="str">
        <f>IFERROR(__xludf.DUMMYFUNCTION("""COMPUTED_VALUE"""),"Pork Spareribs Cooked Ns As To Fat Eaten")</f>
        <v>Pork Spareribs Cooked Ns As To Fat Eaten</v>
      </c>
      <c r="C2979" t="str">
        <f>IFERROR(__xludf.DUMMYFUNCTION("""COMPUTED_VALUE"""),"Meats")</f>
        <v>Meats</v>
      </c>
      <c r="D2979">
        <f>IFERROR(__xludf.DUMMYFUNCTION("""COMPUTED_VALUE"""),394.0)</f>
        <v>394</v>
      </c>
      <c r="E2979">
        <f>IFERROR(__xludf.DUMMYFUNCTION("""COMPUTED_VALUE"""),30.05)</f>
        <v>30.05</v>
      </c>
      <c r="F2979">
        <f>IFERROR(__xludf.DUMMYFUNCTION("""COMPUTED_VALUE"""),28.82)</f>
        <v>28.82</v>
      </c>
      <c r="G2979">
        <f>IFERROR(__xludf.DUMMYFUNCTION("""COMPUTED_VALUE"""),0.0)</f>
        <v>0</v>
      </c>
    </row>
    <row r="2980">
      <c r="A2980">
        <f>IFERROR(__xludf.DUMMYFUNCTION("""COMPUTED_VALUE"""),781980.0)</f>
        <v>781980</v>
      </c>
      <c r="B2980" t="str">
        <f>IFERROR(__xludf.DUMMYFUNCTION("""COMPUTED_VALUE"""),"Pork Spareribs Cooked Lean And Fat Eaten")</f>
        <v>Pork Spareribs Cooked Lean And Fat Eaten</v>
      </c>
      <c r="C2980" t="str">
        <f>IFERROR(__xludf.DUMMYFUNCTION("""COMPUTED_VALUE"""),"Meats")</f>
        <v>Meats</v>
      </c>
      <c r="D2980">
        <f>IFERROR(__xludf.DUMMYFUNCTION("""COMPUTED_VALUE"""),394.0)</f>
        <v>394</v>
      </c>
      <c r="E2980">
        <f>IFERROR(__xludf.DUMMYFUNCTION("""COMPUTED_VALUE"""),30.05)</f>
        <v>30.05</v>
      </c>
      <c r="F2980">
        <f>IFERROR(__xludf.DUMMYFUNCTION("""COMPUTED_VALUE"""),28.82)</f>
        <v>28.82</v>
      </c>
      <c r="G2980">
        <f>IFERROR(__xludf.DUMMYFUNCTION("""COMPUTED_VALUE"""),0.0)</f>
        <v>0</v>
      </c>
    </row>
    <row r="2981">
      <c r="A2981">
        <f>IFERROR(__xludf.DUMMYFUNCTION("""COMPUTED_VALUE"""),781981.0)</f>
        <v>781981</v>
      </c>
      <c r="B2981" t="str">
        <f>IFERROR(__xludf.DUMMYFUNCTION("""COMPUTED_VALUE"""),"Pork Spareribs Cooked Lean Only Eaten")</f>
        <v>Pork Spareribs Cooked Lean Only Eaten</v>
      </c>
      <c r="C2981" t="str">
        <f>IFERROR(__xludf.DUMMYFUNCTION("""COMPUTED_VALUE"""),"Meats")</f>
        <v>Meats</v>
      </c>
      <c r="D2981">
        <f>IFERROR(__xludf.DUMMYFUNCTION("""COMPUTED_VALUE"""),206.0)</f>
        <v>206</v>
      </c>
      <c r="E2981">
        <f>IFERROR(__xludf.DUMMYFUNCTION("""COMPUTED_VALUE"""),9.24)</f>
        <v>9.24</v>
      </c>
      <c r="F2981">
        <f>IFERROR(__xludf.DUMMYFUNCTION("""COMPUTED_VALUE"""),28.79)</f>
        <v>28.79</v>
      </c>
      <c r="G2981">
        <f>IFERROR(__xludf.DUMMYFUNCTION("""COMPUTED_VALUE"""),0.0)</f>
        <v>0</v>
      </c>
    </row>
    <row r="2982">
      <c r="A2982">
        <f>IFERROR(__xludf.DUMMYFUNCTION("""COMPUTED_VALUE"""),781982.0)</f>
        <v>781982</v>
      </c>
      <c r="B2982" t="str">
        <f>IFERROR(__xludf.DUMMYFUNCTION("""COMPUTED_VALUE"""),"Pork Spareribs Barbecued With Sauce Ns As To Fat Eaten")</f>
        <v>Pork Spareribs Barbecued With Sauce Ns As To Fat Eaten</v>
      </c>
      <c r="C2982" t="str">
        <f>IFERROR(__xludf.DUMMYFUNCTION("""COMPUTED_VALUE"""),"Meats")</f>
        <v>Meats</v>
      </c>
      <c r="D2982">
        <f>IFERROR(__xludf.DUMMYFUNCTION("""COMPUTED_VALUE"""),343.0)</f>
        <v>343</v>
      </c>
      <c r="E2982">
        <f>IFERROR(__xludf.DUMMYFUNCTION("""COMPUTED_VALUE"""),22.29)</f>
        <v>22.29</v>
      </c>
      <c r="F2982">
        <f>IFERROR(__xludf.DUMMYFUNCTION("""COMPUTED_VALUE"""),21.45)</f>
        <v>21.45</v>
      </c>
      <c r="G2982">
        <f>IFERROR(__xludf.DUMMYFUNCTION("""COMPUTED_VALUE"""),12.74)</f>
        <v>12.74</v>
      </c>
    </row>
    <row r="2983">
      <c r="A2983">
        <f>IFERROR(__xludf.DUMMYFUNCTION("""COMPUTED_VALUE"""),781983.0)</f>
        <v>781983</v>
      </c>
      <c r="B2983" t="str">
        <f>IFERROR(__xludf.DUMMYFUNCTION("""COMPUTED_VALUE"""),"Pork Spareribs Barbecued With Sauce Lean And Fat Eaten")</f>
        <v>Pork Spareribs Barbecued With Sauce Lean And Fat Eaten</v>
      </c>
      <c r="C2983" t="str">
        <f>IFERROR(__xludf.DUMMYFUNCTION("""COMPUTED_VALUE"""),"Meats")</f>
        <v>Meats</v>
      </c>
      <c r="D2983">
        <f>IFERROR(__xludf.DUMMYFUNCTION("""COMPUTED_VALUE"""),343.0)</f>
        <v>343</v>
      </c>
      <c r="E2983">
        <f>IFERROR(__xludf.DUMMYFUNCTION("""COMPUTED_VALUE"""),22.29)</f>
        <v>22.29</v>
      </c>
      <c r="F2983">
        <f>IFERROR(__xludf.DUMMYFUNCTION("""COMPUTED_VALUE"""),21.45)</f>
        <v>21.45</v>
      </c>
      <c r="G2983">
        <f>IFERROR(__xludf.DUMMYFUNCTION("""COMPUTED_VALUE"""),12.74)</f>
        <v>12.74</v>
      </c>
    </row>
    <row r="2984">
      <c r="A2984">
        <f>IFERROR(__xludf.DUMMYFUNCTION("""COMPUTED_VALUE"""),781984.0)</f>
        <v>781984</v>
      </c>
      <c r="B2984" t="str">
        <f>IFERROR(__xludf.DUMMYFUNCTION("""COMPUTED_VALUE"""),"Pork Spareribs Barbecued With Sauce Lean Only Eaten")</f>
        <v>Pork Spareribs Barbecued With Sauce Lean Only Eaten</v>
      </c>
      <c r="C2984" t="str">
        <f>IFERROR(__xludf.DUMMYFUNCTION("""COMPUTED_VALUE"""),"Meats")</f>
        <v>Meats</v>
      </c>
      <c r="D2984">
        <f>IFERROR(__xludf.DUMMYFUNCTION("""COMPUTED_VALUE"""),224.0)</f>
        <v>224</v>
      </c>
      <c r="E2984">
        <f>IFERROR(__xludf.DUMMYFUNCTION("""COMPUTED_VALUE"""),9.82)</f>
        <v>9.82</v>
      </c>
      <c r="F2984">
        <f>IFERROR(__xludf.DUMMYFUNCTION("""COMPUTED_VALUE"""),19.63)</f>
        <v>19.63</v>
      </c>
      <c r="G2984">
        <f>IFERROR(__xludf.DUMMYFUNCTION("""COMPUTED_VALUE"""),12.74)</f>
        <v>12.74</v>
      </c>
    </row>
    <row r="2985">
      <c r="A2985">
        <f>IFERROR(__xludf.DUMMYFUNCTION("""COMPUTED_VALUE"""),781986.0)</f>
        <v>781986</v>
      </c>
      <c r="B2985" t="str">
        <f>IFERROR(__xludf.DUMMYFUNCTION("""COMPUTED_VALUE"""),"Pork Ears Tail Head Snout Miscellaneous Parts Cooked")</f>
        <v>Pork Ears Tail Head Snout Miscellaneous Parts Cooked</v>
      </c>
      <c r="C2985" t="str">
        <f>IFERROR(__xludf.DUMMYFUNCTION("""COMPUTED_VALUE"""),"Meats")</f>
        <v>Meats</v>
      </c>
      <c r="D2985">
        <f>IFERROR(__xludf.DUMMYFUNCTION("""COMPUTED_VALUE"""),236.0)</f>
        <v>236</v>
      </c>
      <c r="E2985">
        <f>IFERROR(__xludf.DUMMYFUNCTION("""COMPUTED_VALUE"""),13.77)</f>
        <v>13.77</v>
      </c>
      <c r="F2985">
        <f>IFERROR(__xludf.DUMMYFUNCTION("""COMPUTED_VALUE"""),26.14)</f>
        <v>26.14</v>
      </c>
      <c r="G2985">
        <f>IFERROR(__xludf.DUMMYFUNCTION("""COMPUTED_VALUE"""),0.0)</f>
        <v>0</v>
      </c>
    </row>
    <row r="2986">
      <c r="A2986">
        <f>IFERROR(__xludf.DUMMYFUNCTION("""COMPUTED_VALUE"""),781987.0)</f>
        <v>781987</v>
      </c>
      <c r="B2986" t="str">
        <f>IFERROR(__xludf.DUMMYFUNCTION("""COMPUTED_VALUE"""),"Pork Neck Bones Cooked")</f>
        <v>Pork Neck Bones Cooked</v>
      </c>
      <c r="C2986" t="str">
        <f>IFERROR(__xludf.DUMMYFUNCTION("""COMPUTED_VALUE"""),"Meats")</f>
        <v>Meats</v>
      </c>
      <c r="D2986">
        <f>IFERROR(__xludf.DUMMYFUNCTION("""COMPUTED_VALUE"""),182.0)</f>
        <v>182</v>
      </c>
      <c r="E2986">
        <f>IFERROR(__xludf.DUMMYFUNCTION("""COMPUTED_VALUE"""),7.96)</f>
        <v>7.96</v>
      </c>
      <c r="F2986">
        <f>IFERROR(__xludf.DUMMYFUNCTION("""COMPUTED_VALUE"""),25.85)</f>
        <v>25.85</v>
      </c>
      <c r="G2986">
        <f>IFERROR(__xludf.DUMMYFUNCTION("""COMPUTED_VALUE"""),0.0)</f>
        <v>0</v>
      </c>
    </row>
    <row r="2987">
      <c r="A2987">
        <f>IFERROR(__xludf.DUMMYFUNCTION("""COMPUTED_VALUE"""),781988.0)</f>
        <v>781988</v>
      </c>
      <c r="B2987" t="str">
        <f>IFERROR(__xludf.DUMMYFUNCTION("""COMPUTED_VALUE"""),"Pork Pig's Feet Cooked")</f>
        <v>Pork Pig's Feet Cooked</v>
      </c>
      <c r="C2987" t="str">
        <f>IFERROR(__xludf.DUMMYFUNCTION("""COMPUTED_VALUE"""),"Meats")</f>
        <v>Meats</v>
      </c>
      <c r="D2987">
        <f>IFERROR(__xludf.DUMMYFUNCTION("""COMPUTED_VALUE"""),236.0)</f>
        <v>236</v>
      </c>
      <c r="E2987">
        <f>IFERROR(__xludf.DUMMYFUNCTION("""COMPUTED_VALUE"""),15.92)</f>
        <v>15.92</v>
      </c>
      <c r="F2987">
        <f>IFERROR(__xludf.DUMMYFUNCTION("""COMPUTED_VALUE"""),21.76)</f>
        <v>21.76</v>
      </c>
      <c r="G2987">
        <f>IFERROR(__xludf.DUMMYFUNCTION("""COMPUTED_VALUE"""),0.0)</f>
        <v>0</v>
      </c>
    </row>
    <row r="2988">
      <c r="A2988">
        <f>IFERROR(__xludf.DUMMYFUNCTION("""COMPUTED_VALUE"""),781990.0)</f>
        <v>781990</v>
      </c>
      <c r="B2988" t="str">
        <f>IFERROR(__xludf.DUMMYFUNCTION("""COMPUTED_VALUE"""),"Pork Pig's Hocks Cooked")</f>
        <v>Pork Pig's Hocks Cooked</v>
      </c>
      <c r="C2988" t="str">
        <f>IFERROR(__xludf.DUMMYFUNCTION("""COMPUTED_VALUE"""),"Meats")</f>
        <v>Meats</v>
      </c>
      <c r="D2988">
        <f>IFERROR(__xludf.DUMMYFUNCTION("""COMPUTED_VALUE"""),233.0)</f>
        <v>233</v>
      </c>
      <c r="E2988">
        <f>IFERROR(__xludf.DUMMYFUNCTION("""COMPUTED_VALUE"""),14.21)</f>
        <v>14.21</v>
      </c>
      <c r="F2988">
        <f>IFERROR(__xludf.DUMMYFUNCTION("""COMPUTED_VALUE"""),24.67)</f>
        <v>24.67</v>
      </c>
      <c r="G2988">
        <f>IFERROR(__xludf.DUMMYFUNCTION("""COMPUTED_VALUE"""),0.0)</f>
        <v>0</v>
      </c>
    </row>
    <row r="2989">
      <c r="A2989">
        <f>IFERROR(__xludf.DUMMYFUNCTION("""COMPUTED_VALUE"""),781992.0)</f>
        <v>781992</v>
      </c>
      <c r="B2989" t="str">
        <f>IFERROR(__xludf.DUMMYFUNCTION("""COMPUTED_VALUE"""),"Pork Skin Boiled")</f>
        <v>Pork Skin Boiled</v>
      </c>
      <c r="C2989" t="str">
        <f>IFERROR(__xludf.DUMMYFUNCTION("""COMPUTED_VALUE"""),"Meats")</f>
        <v>Meats</v>
      </c>
      <c r="D2989">
        <f>IFERROR(__xludf.DUMMYFUNCTION("""COMPUTED_VALUE"""),621.0)</f>
        <v>621</v>
      </c>
      <c r="E2989">
        <f>IFERROR(__xludf.DUMMYFUNCTION("""COMPUTED_VALUE"""),65.55)</f>
        <v>65.55</v>
      </c>
      <c r="F2989">
        <f>IFERROR(__xludf.DUMMYFUNCTION("""COMPUTED_VALUE"""),7.0)</f>
        <v>7</v>
      </c>
      <c r="G2989">
        <f>IFERROR(__xludf.DUMMYFUNCTION("""COMPUTED_VALUE"""),0.0)</f>
        <v>0</v>
      </c>
    </row>
    <row r="2990">
      <c r="A2990">
        <f>IFERROR(__xludf.DUMMYFUNCTION("""COMPUTED_VALUE"""),781995.0)</f>
        <v>781995</v>
      </c>
      <c r="B2990" t="str">
        <f>IFERROR(__xludf.DUMMYFUNCTION("""COMPUTED_VALUE"""),"Lamb Ns As To Cut Cooked")</f>
        <v>Lamb Ns As To Cut Cooked</v>
      </c>
      <c r="C2990" t="str">
        <f>IFERROR(__xludf.DUMMYFUNCTION("""COMPUTED_VALUE"""),"Meats")</f>
        <v>Meats</v>
      </c>
      <c r="D2990">
        <f>IFERROR(__xludf.DUMMYFUNCTION("""COMPUTED_VALUE"""),292.0)</f>
        <v>292</v>
      </c>
      <c r="E2990">
        <f>IFERROR(__xludf.DUMMYFUNCTION("""COMPUTED_VALUE"""),20.77)</f>
        <v>20.77</v>
      </c>
      <c r="F2990">
        <f>IFERROR(__xludf.DUMMYFUNCTION("""COMPUTED_VALUE"""),24.32)</f>
        <v>24.32</v>
      </c>
      <c r="G2990">
        <f>IFERROR(__xludf.DUMMYFUNCTION("""COMPUTED_VALUE"""),0.0)</f>
        <v>0</v>
      </c>
    </row>
    <row r="2991">
      <c r="A2991">
        <f>IFERROR(__xludf.DUMMYFUNCTION("""COMPUTED_VALUE"""),781996.0)</f>
        <v>781996</v>
      </c>
      <c r="B2991" t="str">
        <f>IFERROR(__xludf.DUMMYFUNCTION("""COMPUTED_VALUE"""),"Lamb Chop Ns As To Cut Cooked Ns As To Fat Eaten")</f>
        <v>Lamb Chop Ns As To Cut Cooked Ns As To Fat Eaten</v>
      </c>
      <c r="C2991" t="str">
        <f>IFERROR(__xludf.DUMMYFUNCTION("""COMPUTED_VALUE"""),"Meats")</f>
        <v>Meats</v>
      </c>
      <c r="D2991">
        <f>IFERROR(__xludf.DUMMYFUNCTION("""COMPUTED_VALUE"""),313.0)</f>
        <v>313</v>
      </c>
      <c r="E2991">
        <f>IFERROR(__xludf.DUMMYFUNCTION("""COMPUTED_VALUE"""),22.89)</f>
        <v>22.89</v>
      </c>
      <c r="F2991">
        <f>IFERROR(__xludf.DUMMYFUNCTION("""COMPUTED_VALUE"""),24.96)</f>
        <v>24.96</v>
      </c>
      <c r="G2991">
        <f>IFERROR(__xludf.DUMMYFUNCTION("""COMPUTED_VALUE"""),0.0)</f>
        <v>0</v>
      </c>
    </row>
    <row r="2992">
      <c r="A2992">
        <f>IFERROR(__xludf.DUMMYFUNCTION("""COMPUTED_VALUE"""),781997.0)</f>
        <v>781997</v>
      </c>
      <c r="B2992" t="str">
        <f>IFERROR(__xludf.DUMMYFUNCTION("""COMPUTED_VALUE"""),"Lamb Chop Ns As To Cut Cooked Lean And Fat Eaten")</f>
        <v>Lamb Chop Ns As To Cut Cooked Lean And Fat Eaten</v>
      </c>
      <c r="C2992" t="str">
        <f>IFERROR(__xludf.DUMMYFUNCTION("""COMPUTED_VALUE"""),"Meats")</f>
        <v>Meats</v>
      </c>
      <c r="D2992">
        <f>IFERROR(__xludf.DUMMYFUNCTION("""COMPUTED_VALUE"""),313.0)</f>
        <v>313</v>
      </c>
      <c r="E2992">
        <f>IFERROR(__xludf.DUMMYFUNCTION("""COMPUTED_VALUE"""),22.89)</f>
        <v>22.89</v>
      </c>
      <c r="F2992">
        <f>IFERROR(__xludf.DUMMYFUNCTION("""COMPUTED_VALUE"""),24.96)</f>
        <v>24.96</v>
      </c>
      <c r="G2992">
        <f>IFERROR(__xludf.DUMMYFUNCTION("""COMPUTED_VALUE"""),0.0)</f>
        <v>0</v>
      </c>
    </row>
    <row r="2993">
      <c r="A2993">
        <f>IFERROR(__xludf.DUMMYFUNCTION("""COMPUTED_VALUE"""),781998.0)</f>
        <v>781998</v>
      </c>
      <c r="B2993" t="str">
        <f>IFERROR(__xludf.DUMMYFUNCTION("""COMPUTED_VALUE"""),"Lamb Chop Ns As To Cut Cooked Lean Only Eaten")</f>
        <v>Lamb Chop Ns As To Cut Cooked Lean Only Eaten</v>
      </c>
      <c r="C2993" t="str">
        <f>IFERROR(__xludf.DUMMYFUNCTION("""COMPUTED_VALUE"""),"Meats")</f>
        <v>Meats</v>
      </c>
      <c r="D2993">
        <f>IFERROR(__xludf.DUMMYFUNCTION("""COMPUTED_VALUE"""),214.0)</f>
        <v>214</v>
      </c>
      <c r="E2993">
        <f>IFERROR(__xludf.DUMMYFUNCTION("""COMPUTED_VALUE"""),9.65)</f>
        <v>9.65</v>
      </c>
      <c r="F2993">
        <f>IFERROR(__xludf.DUMMYFUNCTION("""COMPUTED_VALUE"""),29.74)</f>
        <v>29.74</v>
      </c>
      <c r="G2993">
        <f>IFERROR(__xludf.DUMMYFUNCTION("""COMPUTED_VALUE"""),0.0)</f>
        <v>0</v>
      </c>
    </row>
    <row r="2994">
      <c r="A2994">
        <f>IFERROR(__xludf.DUMMYFUNCTION("""COMPUTED_VALUE"""),781999.0)</f>
        <v>781999</v>
      </c>
      <c r="B2994" t="str">
        <f>IFERROR(__xludf.DUMMYFUNCTION("""COMPUTED_VALUE"""),"Lamb Loin Chop Cooked Ns As To Fat Eaten")</f>
        <v>Lamb Loin Chop Cooked Ns As To Fat Eaten</v>
      </c>
      <c r="C2994" t="str">
        <f>IFERROR(__xludf.DUMMYFUNCTION("""COMPUTED_VALUE"""),"Meats")</f>
        <v>Meats</v>
      </c>
      <c r="D2994">
        <f>IFERROR(__xludf.DUMMYFUNCTION("""COMPUTED_VALUE"""),313.0)</f>
        <v>313</v>
      </c>
      <c r="E2994">
        <f>IFERROR(__xludf.DUMMYFUNCTION("""COMPUTED_VALUE"""),22.89)</f>
        <v>22.89</v>
      </c>
      <c r="F2994">
        <f>IFERROR(__xludf.DUMMYFUNCTION("""COMPUTED_VALUE"""),24.96)</f>
        <v>24.96</v>
      </c>
      <c r="G2994">
        <f>IFERROR(__xludf.DUMMYFUNCTION("""COMPUTED_VALUE"""),0.0)</f>
        <v>0</v>
      </c>
    </row>
    <row r="2995">
      <c r="A2995">
        <f>IFERROR(__xludf.DUMMYFUNCTION("""COMPUTED_VALUE"""),782000.0)</f>
        <v>782000</v>
      </c>
      <c r="B2995" t="str">
        <f>IFERROR(__xludf.DUMMYFUNCTION("""COMPUTED_VALUE"""),"Lamb Loin Chop Cooked Lean And Fat Eaten")</f>
        <v>Lamb Loin Chop Cooked Lean And Fat Eaten</v>
      </c>
      <c r="C2995" t="str">
        <f>IFERROR(__xludf.DUMMYFUNCTION("""COMPUTED_VALUE"""),"Meats")</f>
        <v>Meats</v>
      </c>
      <c r="D2995">
        <f>IFERROR(__xludf.DUMMYFUNCTION("""COMPUTED_VALUE"""),313.0)</f>
        <v>313</v>
      </c>
      <c r="E2995">
        <f>IFERROR(__xludf.DUMMYFUNCTION("""COMPUTED_VALUE"""),22.89)</f>
        <v>22.89</v>
      </c>
      <c r="F2995">
        <f>IFERROR(__xludf.DUMMYFUNCTION("""COMPUTED_VALUE"""),24.96)</f>
        <v>24.96</v>
      </c>
      <c r="G2995">
        <f>IFERROR(__xludf.DUMMYFUNCTION("""COMPUTED_VALUE"""),0.0)</f>
        <v>0</v>
      </c>
    </row>
    <row r="2996">
      <c r="A2996">
        <f>IFERROR(__xludf.DUMMYFUNCTION("""COMPUTED_VALUE"""),782001.0)</f>
        <v>782001</v>
      </c>
      <c r="B2996" t="str">
        <f>IFERROR(__xludf.DUMMYFUNCTION("""COMPUTED_VALUE"""),"Lamb Loin Chop Cooked Lean Only Eaten")</f>
        <v>Lamb Loin Chop Cooked Lean Only Eaten</v>
      </c>
      <c r="C2996" t="str">
        <f>IFERROR(__xludf.DUMMYFUNCTION("""COMPUTED_VALUE"""),"Meats")</f>
        <v>Meats</v>
      </c>
      <c r="D2996">
        <f>IFERROR(__xludf.DUMMYFUNCTION("""COMPUTED_VALUE"""),214.0)</f>
        <v>214</v>
      </c>
      <c r="E2996">
        <f>IFERROR(__xludf.DUMMYFUNCTION("""COMPUTED_VALUE"""),9.65)</f>
        <v>9.65</v>
      </c>
      <c r="F2996">
        <f>IFERROR(__xludf.DUMMYFUNCTION("""COMPUTED_VALUE"""),29.74)</f>
        <v>29.74</v>
      </c>
      <c r="G2996">
        <f>IFERROR(__xludf.DUMMYFUNCTION("""COMPUTED_VALUE"""),0.0)</f>
        <v>0</v>
      </c>
    </row>
    <row r="2997">
      <c r="A2997">
        <f>IFERROR(__xludf.DUMMYFUNCTION("""COMPUTED_VALUE"""),782002.0)</f>
        <v>782002</v>
      </c>
      <c r="B2997" t="str">
        <f>IFERROR(__xludf.DUMMYFUNCTION("""COMPUTED_VALUE"""),"Lamb Shoulder Chop Cooked Ns As To Fat Eaten")</f>
        <v>Lamb Shoulder Chop Cooked Ns As To Fat Eaten</v>
      </c>
      <c r="C2997" t="str">
        <f>IFERROR(__xludf.DUMMYFUNCTION("""COMPUTED_VALUE"""),"Meats")</f>
        <v>Meats</v>
      </c>
      <c r="D2997">
        <f>IFERROR(__xludf.DUMMYFUNCTION("""COMPUTED_VALUE"""),274.0)</f>
        <v>274</v>
      </c>
      <c r="E2997">
        <f>IFERROR(__xludf.DUMMYFUNCTION("""COMPUTED_VALUE"""),19.8)</f>
        <v>19.8</v>
      </c>
      <c r="F2997">
        <f>IFERROR(__xludf.DUMMYFUNCTION("""COMPUTED_VALUE"""),22.32)</f>
        <v>22.32</v>
      </c>
      <c r="G2997">
        <f>IFERROR(__xludf.DUMMYFUNCTION("""COMPUTED_VALUE"""),0.0)</f>
        <v>0</v>
      </c>
    </row>
    <row r="2998">
      <c r="A2998">
        <f>IFERROR(__xludf.DUMMYFUNCTION("""COMPUTED_VALUE"""),782003.0)</f>
        <v>782003</v>
      </c>
      <c r="B2998" t="str">
        <f>IFERROR(__xludf.DUMMYFUNCTION("""COMPUTED_VALUE"""),"Lamb Shoulder Chop Cooked Lean And Fat Eaten")</f>
        <v>Lamb Shoulder Chop Cooked Lean And Fat Eaten</v>
      </c>
      <c r="C2998" t="str">
        <f>IFERROR(__xludf.DUMMYFUNCTION("""COMPUTED_VALUE"""),"Meats")</f>
        <v>Meats</v>
      </c>
      <c r="D2998">
        <f>IFERROR(__xludf.DUMMYFUNCTION("""COMPUTED_VALUE"""),274.0)</f>
        <v>274</v>
      </c>
      <c r="E2998">
        <f>IFERROR(__xludf.DUMMYFUNCTION("""COMPUTED_VALUE"""),19.8)</f>
        <v>19.8</v>
      </c>
      <c r="F2998">
        <f>IFERROR(__xludf.DUMMYFUNCTION("""COMPUTED_VALUE"""),22.32)</f>
        <v>22.32</v>
      </c>
      <c r="G2998">
        <f>IFERROR(__xludf.DUMMYFUNCTION("""COMPUTED_VALUE"""),0.0)</f>
        <v>0</v>
      </c>
    </row>
    <row r="2999">
      <c r="A2999">
        <f>IFERROR(__xludf.DUMMYFUNCTION("""COMPUTED_VALUE"""),782004.0)</f>
        <v>782004</v>
      </c>
      <c r="B2999" t="str">
        <f>IFERROR(__xludf.DUMMYFUNCTION("""COMPUTED_VALUE"""),"Lamb Shoulder Chop Cooked Lean Only Eaten")</f>
        <v>Lamb Shoulder Chop Cooked Lean Only Eaten</v>
      </c>
      <c r="C2999" t="str">
        <f>IFERROR(__xludf.DUMMYFUNCTION("""COMPUTED_VALUE"""),"Meats")</f>
        <v>Meats</v>
      </c>
      <c r="D2999">
        <f>IFERROR(__xludf.DUMMYFUNCTION("""COMPUTED_VALUE"""),202.0)</f>
        <v>202</v>
      </c>
      <c r="E2999">
        <f>IFERROR(__xludf.DUMMYFUNCTION("""COMPUTED_VALUE"""),10.68)</f>
        <v>10.68</v>
      </c>
      <c r="F2999">
        <f>IFERROR(__xludf.DUMMYFUNCTION("""COMPUTED_VALUE"""),24.73)</f>
        <v>24.73</v>
      </c>
      <c r="G2999">
        <f>IFERROR(__xludf.DUMMYFUNCTION("""COMPUTED_VALUE"""),0.0)</f>
        <v>0</v>
      </c>
    </row>
    <row r="3000">
      <c r="A3000">
        <f>IFERROR(__xludf.DUMMYFUNCTION("""COMPUTED_VALUE"""),782005.0)</f>
        <v>782005</v>
      </c>
      <c r="B3000" t="str">
        <f>IFERROR(__xludf.DUMMYFUNCTION("""COMPUTED_VALUE"""),"Lamb Ribs Cooked Lean Only Eaten")</f>
        <v>Lamb Ribs Cooked Lean Only Eaten</v>
      </c>
      <c r="C3000" t="str">
        <f>IFERROR(__xludf.DUMMYFUNCTION("""COMPUTED_VALUE"""),"Meats")</f>
        <v>Meats</v>
      </c>
      <c r="D3000">
        <f>IFERROR(__xludf.DUMMYFUNCTION("""COMPUTED_VALUE"""),233.0)</f>
        <v>233</v>
      </c>
      <c r="E3000">
        <f>IFERROR(__xludf.DUMMYFUNCTION("""COMPUTED_VALUE"""),12.84)</f>
        <v>12.84</v>
      </c>
      <c r="F3000">
        <f>IFERROR(__xludf.DUMMYFUNCTION("""COMPUTED_VALUE"""),27.51)</f>
        <v>27.51</v>
      </c>
      <c r="G3000">
        <f>IFERROR(__xludf.DUMMYFUNCTION("""COMPUTED_VALUE"""),0.0)</f>
        <v>0</v>
      </c>
    </row>
    <row r="3001">
      <c r="A3001">
        <f>IFERROR(__xludf.DUMMYFUNCTION("""COMPUTED_VALUE"""),782006.0)</f>
        <v>782006</v>
      </c>
      <c r="B3001" t="str">
        <f>IFERROR(__xludf.DUMMYFUNCTION("""COMPUTED_VALUE"""),"Lamb Ribs Cooked Ns As To Fat Eaten")</f>
        <v>Lamb Ribs Cooked Ns As To Fat Eaten</v>
      </c>
      <c r="C3001" t="str">
        <f>IFERROR(__xludf.DUMMYFUNCTION("""COMPUTED_VALUE"""),"Meats")</f>
        <v>Meats</v>
      </c>
      <c r="D3001">
        <f>IFERROR(__xludf.DUMMYFUNCTION("""COMPUTED_VALUE"""),358.0)</f>
        <v>358</v>
      </c>
      <c r="E3001">
        <f>IFERROR(__xludf.DUMMYFUNCTION("""COMPUTED_VALUE"""),29.34)</f>
        <v>29.34</v>
      </c>
      <c r="F3001">
        <f>IFERROR(__xludf.DUMMYFUNCTION("""COMPUTED_VALUE"""),21.95)</f>
        <v>21.95</v>
      </c>
      <c r="G3001">
        <f>IFERROR(__xludf.DUMMYFUNCTION("""COMPUTED_VALUE"""),0.0)</f>
        <v>0</v>
      </c>
    </row>
    <row r="3002">
      <c r="A3002">
        <f>IFERROR(__xludf.DUMMYFUNCTION("""COMPUTED_VALUE"""),782007.0)</f>
        <v>782007</v>
      </c>
      <c r="B3002" t="str">
        <f>IFERROR(__xludf.DUMMYFUNCTION("""COMPUTED_VALUE"""),"Lamb Ribs Cooked Lean And Fat Eaten")</f>
        <v>Lamb Ribs Cooked Lean And Fat Eaten</v>
      </c>
      <c r="C3002" t="str">
        <f>IFERROR(__xludf.DUMMYFUNCTION("""COMPUTED_VALUE"""),"Meats")</f>
        <v>Meats</v>
      </c>
      <c r="D3002">
        <f>IFERROR(__xludf.DUMMYFUNCTION("""COMPUTED_VALUE"""),358.0)</f>
        <v>358</v>
      </c>
      <c r="E3002">
        <f>IFERROR(__xludf.DUMMYFUNCTION("""COMPUTED_VALUE"""),29.34)</f>
        <v>29.34</v>
      </c>
      <c r="F3002">
        <f>IFERROR(__xludf.DUMMYFUNCTION("""COMPUTED_VALUE"""),21.95)</f>
        <v>21.95</v>
      </c>
      <c r="G3002">
        <f>IFERROR(__xludf.DUMMYFUNCTION("""COMPUTED_VALUE"""),0.0)</f>
        <v>0</v>
      </c>
    </row>
    <row r="3003">
      <c r="A3003">
        <f>IFERROR(__xludf.DUMMYFUNCTION("""COMPUTED_VALUE"""),782008.0)</f>
        <v>782008</v>
      </c>
      <c r="B3003" t="str">
        <f>IFERROR(__xludf.DUMMYFUNCTION("""COMPUTED_VALUE"""),"Lamb Hocks Cooked")</f>
        <v>Lamb Hocks Cooked</v>
      </c>
      <c r="C3003" t="str">
        <f>IFERROR(__xludf.DUMMYFUNCTION("""COMPUTED_VALUE"""),"Meats")</f>
        <v>Meats</v>
      </c>
      <c r="D3003">
        <f>IFERROR(__xludf.DUMMYFUNCTION("""COMPUTED_VALUE"""),241.0)</f>
        <v>241</v>
      </c>
      <c r="E3003">
        <f>IFERROR(__xludf.DUMMYFUNCTION("""COMPUTED_VALUE"""),13.35)</f>
        <v>13.35</v>
      </c>
      <c r="F3003">
        <f>IFERROR(__xludf.DUMMYFUNCTION("""COMPUTED_VALUE"""),28.13)</f>
        <v>28.13</v>
      </c>
      <c r="G3003">
        <f>IFERROR(__xludf.DUMMYFUNCTION("""COMPUTED_VALUE"""),0.0)</f>
        <v>0</v>
      </c>
    </row>
    <row r="3004">
      <c r="A3004">
        <f>IFERROR(__xludf.DUMMYFUNCTION("""COMPUTED_VALUE"""),782009.0)</f>
        <v>782009</v>
      </c>
      <c r="B3004" t="str">
        <f>IFERROR(__xludf.DUMMYFUNCTION("""COMPUTED_VALUE"""),"Lamb Roast Cooked Ns As To Fat Eaten")</f>
        <v>Lamb Roast Cooked Ns As To Fat Eaten</v>
      </c>
      <c r="C3004" t="str">
        <f>IFERROR(__xludf.DUMMYFUNCTION("""COMPUTED_VALUE"""),"Meats")</f>
        <v>Meats</v>
      </c>
      <c r="D3004">
        <f>IFERROR(__xludf.DUMMYFUNCTION("""COMPUTED_VALUE"""),265.0)</f>
        <v>265</v>
      </c>
      <c r="E3004">
        <f>IFERROR(__xludf.DUMMYFUNCTION("""COMPUTED_VALUE"""),18.07)</f>
        <v>18.07</v>
      </c>
      <c r="F3004">
        <f>IFERROR(__xludf.DUMMYFUNCTION("""COMPUTED_VALUE"""),23.83)</f>
        <v>23.83</v>
      </c>
      <c r="G3004">
        <f>IFERROR(__xludf.DUMMYFUNCTION("""COMPUTED_VALUE"""),0.0)</f>
        <v>0</v>
      </c>
    </row>
    <row r="3005">
      <c r="A3005">
        <f>IFERROR(__xludf.DUMMYFUNCTION("""COMPUTED_VALUE"""),782010.0)</f>
        <v>782010</v>
      </c>
      <c r="B3005" t="str">
        <f>IFERROR(__xludf.DUMMYFUNCTION("""COMPUTED_VALUE"""),"Lamb Roast Cooked Lean And Fat Eaten")</f>
        <v>Lamb Roast Cooked Lean And Fat Eaten</v>
      </c>
      <c r="C3005" t="str">
        <f>IFERROR(__xludf.DUMMYFUNCTION("""COMPUTED_VALUE"""),"Meats")</f>
        <v>Meats</v>
      </c>
      <c r="D3005">
        <f>IFERROR(__xludf.DUMMYFUNCTION("""COMPUTED_VALUE"""),265.0)</f>
        <v>265</v>
      </c>
      <c r="E3005">
        <f>IFERROR(__xludf.DUMMYFUNCTION("""COMPUTED_VALUE"""),18.07)</f>
        <v>18.07</v>
      </c>
      <c r="F3005">
        <f>IFERROR(__xludf.DUMMYFUNCTION("""COMPUTED_VALUE"""),23.83)</f>
        <v>23.83</v>
      </c>
      <c r="G3005">
        <f>IFERROR(__xludf.DUMMYFUNCTION("""COMPUTED_VALUE"""),0.0)</f>
        <v>0</v>
      </c>
    </row>
    <row r="3006">
      <c r="A3006">
        <f>IFERROR(__xludf.DUMMYFUNCTION("""COMPUTED_VALUE"""),782011.0)</f>
        <v>782011</v>
      </c>
      <c r="B3006" t="str">
        <f>IFERROR(__xludf.DUMMYFUNCTION("""COMPUTED_VALUE"""),"Lamb Roast Cooked Lean Only Eaten")</f>
        <v>Lamb Roast Cooked Lean Only Eaten</v>
      </c>
      <c r="C3006" t="str">
        <f>IFERROR(__xludf.DUMMYFUNCTION("""COMPUTED_VALUE"""),"Meats")</f>
        <v>Meats</v>
      </c>
      <c r="D3006">
        <f>IFERROR(__xludf.DUMMYFUNCTION("""COMPUTED_VALUE"""),196.0)</f>
        <v>196</v>
      </c>
      <c r="E3006">
        <f>IFERROR(__xludf.DUMMYFUNCTION("""COMPUTED_VALUE"""),9.18)</f>
        <v>9.18</v>
      </c>
      <c r="F3006">
        <f>IFERROR(__xludf.DUMMYFUNCTION("""COMPUTED_VALUE"""),26.4)</f>
        <v>26.4</v>
      </c>
      <c r="G3006">
        <f>IFERROR(__xludf.DUMMYFUNCTION("""COMPUTED_VALUE"""),0.0)</f>
        <v>0</v>
      </c>
    </row>
    <row r="3007">
      <c r="A3007">
        <f>IFERROR(__xludf.DUMMYFUNCTION("""COMPUTED_VALUE"""),782012.0)</f>
        <v>782012</v>
      </c>
      <c r="B3007" t="str">
        <f>IFERROR(__xludf.DUMMYFUNCTION("""COMPUTED_VALUE"""),"Lamb Ground Or Patty Cooked")</f>
        <v>Lamb Ground Or Patty Cooked</v>
      </c>
      <c r="C3007" t="str">
        <f>IFERROR(__xludf.DUMMYFUNCTION("""COMPUTED_VALUE"""),"Meats")</f>
        <v>Meats</v>
      </c>
      <c r="D3007">
        <f>IFERROR(__xludf.DUMMYFUNCTION("""COMPUTED_VALUE"""),281.0)</f>
        <v>281</v>
      </c>
      <c r="E3007">
        <f>IFERROR(__xludf.DUMMYFUNCTION("""COMPUTED_VALUE"""),19.49)</f>
        <v>19.49</v>
      </c>
      <c r="F3007">
        <f>IFERROR(__xludf.DUMMYFUNCTION("""COMPUTED_VALUE"""),24.54)</f>
        <v>24.54</v>
      </c>
      <c r="G3007">
        <f>IFERROR(__xludf.DUMMYFUNCTION("""COMPUTED_VALUE"""),0.0)</f>
        <v>0</v>
      </c>
    </row>
    <row r="3008">
      <c r="A3008">
        <f>IFERROR(__xludf.DUMMYFUNCTION("""COMPUTED_VALUE"""),782013.0)</f>
        <v>782013</v>
      </c>
      <c r="B3008" t="str">
        <f>IFERROR(__xludf.DUMMYFUNCTION("""COMPUTED_VALUE"""),"Goat Boiled")</f>
        <v>Goat Boiled</v>
      </c>
      <c r="C3008" t="str">
        <f>IFERROR(__xludf.DUMMYFUNCTION("""COMPUTED_VALUE"""),"Meats")</f>
        <v>Meats</v>
      </c>
      <c r="D3008">
        <f>IFERROR(__xludf.DUMMYFUNCTION("""COMPUTED_VALUE"""),142.0)</f>
        <v>142</v>
      </c>
      <c r="E3008">
        <f>IFERROR(__xludf.DUMMYFUNCTION("""COMPUTED_VALUE"""),3.0)</f>
        <v>3</v>
      </c>
      <c r="F3008">
        <f>IFERROR(__xludf.DUMMYFUNCTION("""COMPUTED_VALUE"""),26.87)</f>
        <v>26.87</v>
      </c>
      <c r="G3008">
        <f>IFERROR(__xludf.DUMMYFUNCTION("""COMPUTED_VALUE"""),0.0)</f>
        <v>0</v>
      </c>
    </row>
    <row r="3009">
      <c r="A3009">
        <f>IFERROR(__xludf.DUMMYFUNCTION("""COMPUTED_VALUE"""),782014.0)</f>
        <v>782014</v>
      </c>
      <c r="B3009" t="str">
        <f>IFERROR(__xludf.DUMMYFUNCTION("""COMPUTED_VALUE"""),"Goat Fried")</f>
        <v>Goat Fried</v>
      </c>
      <c r="C3009" t="str">
        <f>IFERROR(__xludf.DUMMYFUNCTION("""COMPUTED_VALUE"""),"Meats")</f>
        <v>Meats</v>
      </c>
      <c r="D3009">
        <f>IFERROR(__xludf.DUMMYFUNCTION("""COMPUTED_VALUE"""),153.0)</f>
        <v>153</v>
      </c>
      <c r="E3009">
        <f>IFERROR(__xludf.DUMMYFUNCTION("""COMPUTED_VALUE"""),4.52)</f>
        <v>4.52</v>
      </c>
      <c r="F3009">
        <f>IFERROR(__xludf.DUMMYFUNCTION("""COMPUTED_VALUE"""),26.46)</f>
        <v>26.46</v>
      </c>
      <c r="G3009">
        <f>IFERROR(__xludf.DUMMYFUNCTION("""COMPUTED_VALUE"""),0.0)</f>
        <v>0</v>
      </c>
    </row>
    <row r="3010">
      <c r="A3010">
        <f>IFERROR(__xludf.DUMMYFUNCTION("""COMPUTED_VALUE"""),782015.0)</f>
        <v>782015</v>
      </c>
      <c r="B3010" t="str">
        <f>IFERROR(__xludf.DUMMYFUNCTION("""COMPUTED_VALUE"""),"Goat Baked")</f>
        <v>Goat Baked</v>
      </c>
      <c r="C3010" t="str">
        <f>IFERROR(__xludf.DUMMYFUNCTION("""COMPUTED_VALUE"""),"Meats")</f>
        <v>Meats</v>
      </c>
      <c r="D3010">
        <f>IFERROR(__xludf.DUMMYFUNCTION("""COMPUTED_VALUE"""),142.0)</f>
        <v>142</v>
      </c>
      <c r="E3010">
        <f>IFERROR(__xludf.DUMMYFUNCTION("""COMPUTED_VALUE"""),3.0)</f>
        <v>3</v>
      </c>
      <c r="F3010">
        <f>IFERROR(__xludf.DUMMYFUNCTION("""COMPUTED_VALUE"""),26.87)</f>
        <v>26.87</v>
      </c>
      <c r="G3010">
        <f>IFERROR(__xludf.DUMMYFUNCTION("""COMPUTED_VALUE"""),0.0)</f>
        <v>0</v>
      </c>
    </row>
    <row r="3011">
      <c r="A3011">
        <f>IFERROR(__xludf.DUMMYFUNCTION("""COMPUTED_VALUE"""),782016.0)</f>
        <v>782016</v>
      </c>
      <c r="B3011" t="str">
        <f>IFERROR(__xludf.DUMMYFUNCTION("""COMPUTED_VALUE"""),"Goat Head Cooked")</f>
        <v>Goat Head Cooked</v>
      </c>
      <c r="C3011" t="str">
        <f>IFERROR(__xludf.DUMMYFUNCTION("""COMPUTED_VALUE"""),"Meats")</f>
        <v>Meats</v>
      </c>
      <c r="D3011">
        <f>IFERROR(__xludf.DUMMYFUNCTION("""COMPUTED_VALUE"""),144.0)</f>
        <v>144</v>
      </c>
      <c r="E3011">
        <f>IFERROR(__xludf.DUMMYFUNCTION("""COMPUTED_VALUE"""),5.46)</f>
        <v>5.46</v>
      </c>
      <c r="F3011">
        <f>IFERROR(__xludf.DUMMYFUNCTION("""COMPUTED_VALUE"""),21.82)</f>
        <v>21.82</v>
      </c>
      <c r="G3011">
        <f>IFERROR(__xludf.DUMMYFUNCTION("""COMPUTED_VALUE"""),0.48)</f>
        <v>0.48</v>
      </c>
    </row>
    <row r="3012">
      <c r="A3012">
        <f>IFERROR(__xludf.DUMMYFUNCTION("""COMPUTED_VALUE"""),782017.0)</f>
        <v>782017</v>
      </c>
      <c r="B3012" t="str">
        <f>IFERROR(__xludf.DUMMYFUNCTION("""COMPUTED_VALUE"""),"Goat Ribs Cooked")</f>
        <v>Goat Ribs Cooked</v>
      </c>
      <c r="C3012" t="str">
        <f>IFERROR(__xludf.DUMMYFUNCTION("""COMPUTED_VALUE"""),"Meats")</f>
        <v>Meats</v>
      </c>
      <c r="D3012">
        <f>IFERROR(__xludf.DUMMYFUNCTION("""COMPUTED_VALUE"""),142.0)</f>
        <v>142</v>
      </c>
      <c r="E3012">
        <f>IFERROR(__xludf.DUMMYFUNCTION("""COMPUTED_VALUE"""),3.0)</f>
        <v>3</v>
      </c>
      <c r="F3012">
        <f>IFERROR(__xludf.DUMMYFUNCTION("""COMPUTED_VALUE"""),26.87)</f>
        <v>26.87</v>
      </c>
      <c r="G3012">
        <f>IFERROR(__xludf.DUMMYFUNCTION("""COMPUTED_VALUE"""),0.0)</f>
        <v>0</v>
      </c>
    </row>
    <row r="3013">
      <c r="A3013">
        <f>IFERROR(__xludf.DUMMYFUNCTION("""COMPUTED_VALUE"""),782018.0)</f>
        <v>782018</v>
      </c>
      <c r="B3013" t="str">
        <f>IFERROR(__xludf.DUMMYFUNCTION("""COMPUTED_VALUE"""),"Veal Ns As To Cut Cooked Ns As To Fat Eaten")</f>
        <v>Veal Ns As To Cut Cooked Ns As To Fat Eaten</v>
      </c>
      <c r="C3013" t="str">
        <f>IFERROR(__xludf.DUMMYFUNCTION("""COMPUTED_VALUE"""),"Meats")</f>
        <v>Meats</v>
      </c>
      <c r="D3013">
        <f>IFERROR(__xludf.DUMMYFUNCTION("""COMPUTED_VALUE"""),229.0)</f>
        <v>229</v>
      </c>
      <c r="E3013">
        <f>IFERROR(__xludf.DUMMYFUNCTION("""COMPUTED_VALUE"""),11.3)</f>
        <v>11.3</v>
      </c>
      <c r="F3013">
        <f>IFERROR(__xludf.DUMMYFUNCTION("""COMPUTED_VALUE"""),29.85)</f>
        <v>29.85</v>
      </c>
      <c r="G3013">
        <f>IFERROR(__xludf.DUMMYFUNCTION("""COMPUTED_VALUE"""),0.0)</f>
        <v>0</v>
      </c>
    </row>
    <row r="3014">
      <c r="A3014">
        <f>IFERROR(__xludf.DUMMYFUNCTION("""COMPUTED_VALUE"""),782019.0)</f>
        <v>782019</v>
      </c>
      <c r="B3014" t="str">
        <f>IFERROR(__xludf.DUMMYFUNCTION("""COMPUTED_VALUE"""),"Veal Ns As To Cut Cooked Lean And Fat Eaten")</f>
        <v>Veal Ns As To Cut Cooked Lean And Fat Eaten</v>
      </c>
      <c r="C3014" t="str">
        <f>IFERROR(__xludf.DUMMYFUNCTION("""COMPUTED_VALUE"""),"Meats")</f>
        <v>Meats</v>
      </c>
      <c r="D3014">
        <f>IFERROR(__xludf.DUMMYFUNCTION("""COMPUTED_VALUE"""),229.0)</f>
        <v>229</v>
      </c>
      <c r="E3014">
        <f>IFERROR(__xludf.DUMMYFUNCTION("""COMPUTED_VALUE"""),11.3)</f>
        <v>11.3</v>
      </c>
      <c r="F3014">
        <f>IFERROR(__xludf.DUMMYFUNCTION("""COMPUTED_VALUE"""),29.85)</f>
        <v>29.85</v>
      </c>
      <c r="G3014">
        <f>IFERROR(__xludf.DUMMYFUNCTION("""COMPUTED_VALUE"""),0.0)</f>
        <v>0</v>
      </c>
    </row>
    <row r="3015">
      <c r="A3015">
        <f>IFERROR(__xludf.DUMMYFUNCTION("""COMPUTED_VALUE"""),782020.0)</f>
        <v>782020</v>
      </c>
      <c r="B3015" t="str">
        <f>IFERROR(__xludf.DUMMYFUNCTION("""COMPUTED_VALUE"""),"Veal Ns As To Cut Cooked Lean Only Eaten")</f>
        <v>Veal Ns As To Cut Cooked Lean Only Eaten</v>
      </c>
      <c r="C3015" t="str">
        <f>IFERROR(__xludf.DUMMYFUNCTION("""COMPUTED_VALUE"""),"Meats")</f>
        <v>Meats</v>
      </c>
      <c r="D3015">
        <f>IFERROR(__xludf.DUMMYFUNCTION("""COMPUTED_VALUE"""),194.0)</f>
        <v>194</v>
      </c>
      <c r="E3015">
        <f>IFERROR(__xludf.DUMMYFUNCTION("""COMPUTED_VALUE"""),6.52)</f>
        <v>6.52</v>
      </c>
      <c r="F3015">
        <f>IFERROR(__xludf.DUMMYFUNCTION("""COMPUTED_VALUE"""),31.63)</f>
        <v>31.63</v>
      </c>
      <c r="G3015">
        <f>IFERROR(__xludf.DUMMYFUNCTION("""COMPUTED_VALUE"""),0.0)</f>
        <v>0</v>
      </c>
    </row>
    <row r="3016">
      <c r="A3016">
        <f>IFERROR(__xludf.DUMMYFUNCTION("""COMPUTED_VALUE"""),782021.0)</f>
        <v>782021</v>
      </c>
      <c r="B3016" t="str">
        <f>IFERROR(__xludf.DUMMYFUNCTION("""COMPUTED_VALUE"""),"Veal Chop Ns As To Cooking Method Ns As To Fat Eaten")</f>
        <v>Veal Chop Ns As To Cooking Method Ns As To Fat Eaten</v>
      </c>
      <c r="C3016" t="str">
        <f>IFERROR(__xludf.DUMMYFUNCTION("""COMPUTED_VALUE"""),"Meats")</f>
        <v>Meats</v>
      </c>
      <c r="D3016">
        <f>IFERROR(__xludf.DUMMYFUNCTION("""COMPUTED_VALUE"""),215.0)</f>
        <v>215</v>
      </c>
      <c r="E3016">
        <f>IFERROR(__xludf.DUMMYFUNCTION("""COMPUTED_VALUE"""),12.22)</f>
        <v>12.22</v>
      </c>
      <c r="F3016">
        <f>IFERROR(__xludf.DUMMYFUNCTION("""COMPUTED_VALUE"""),24.59)</f>
        <v>24.59</v>
      </c>
      <c r="G3016">
        <f>IFERROR(__xludf.DUMMYFUNCTION("""COMPUTED_VALUE"""),0.0)</f>
        <v>0</v>
      </c>
    </row>
    <row r="3017">
      <c r="A3017">
        <f>IFERROR(__xludf.DUMMYFUNCTION("""COMPUTED_VALUE"""),782022.0)</f>
        <v>782022</v>
      </c>
      <c r="B3017" t="str">
        <f>IFERROR(__xludf.DUMMYFUNCTION("""COMPUTED_VALUE"""),"Veal Chop Ns As To Cooking Method Lean And Fat Eaten")</f>
        <v>Veal Chop Ns As To Cooking Method Lean And Fat Eaten</v>
      </c>
      <c r="C3017" t="str">
        <f>IFERROR(__xludf.DUMMYFUNCTION("""COMPUTED_VALUE"""),"Meats")</f>
        <v>Meats</v>
      </c>
      <c r="D3017">
        <f>IFERROR(__xludf.DUMMYFUNCTION("""COMPUTED_VALUE"""),215.0)</f>
        <v>215</v>
      </c>
      <c r="E3017">
        <f>IFERROR(__xludf.DUMMYFUNCTION("""COMPUTED_VALUE"""),12.22)</f>
        <v>12.22</v>
      </c>
      <c r="F3017">
        <f>IFERROR(__xludf.DUMMYFUNCTION("""COMPUTED_VALUE"""),24.59)</f>
        <v>24.59</v>
      </c>
      <c r="G3017">
        <f>IFERROR(__xludf.DUMMYFUNCTION("""COMPUTED_VALUE"""),0.0)</f>
        <v>0</v>
      </c>
    </row>
    <row r="3018">
      <c r="A3018">
        <f>IFERROR(__xludf.DUMMYFUNCTION("""COMPUTED_VALUE"""),782023.0)</f>
        <v>782023</v>
      </c>
      <c r="B3018" t="str">
        <f>IFERROR(__xludf.DUMMYFUNCTION("""COMPUTED_VALUE"""),"Veal Chop Ns As To Cooking Method Lean Only Eaten")</f>
        <v>Veal Chop Ns As To Cooking Method Lean Only Eaten</v>
      </c>
      <c r="C3018" t="str">
        <f>IFERROR(__xludf.DUMMYFUNCTION("""COMPUTED_VALUE"""),"Meats")</f>
        <v>Meats</v>
      </c>
      <c r="D3018">
        <f>IFERROR(__xludf.DUMMYFUNCTION("""COMPUTED_VALUE"""),174.0)</f>
        <v>174</v>
      </c>
      <c r="E3018">
        <f>IFERROR(__xludf.DUMMYFUNCTION("""COMPUTED_VALUE"""),6.88)</f>
        <v>6.88</v>
      </c>
      <c r="F3018">
        <f>IFERROR(__xludf.DUMMYFUNCTION("""COMPUTED_VALUE"""),26.1)</f>
        <v>26.1</v>
      </c>
      <c r="G3018">
        <f>IFERROR(__xludf.DUMMYFUNCTION("""COMPUTED_VALUE"""),0.0)</f>
        <v>0</v>
      </c>
    </row>
    <row r="3019">
      <c r="A3019">
        <f>IFERROR(__xludf.DUMMYFUNCTION("""COMPUTED_VALUE"""),782027.0)</f>
        <v>782027</v>
      </c>
      <c r="B3019" t="str">
        <f>IFERROR(__xludf.DUMMYFUNCTION("""COMPUTED_VALUE"""),"Veal Chop Broiled Ns As To Fat Eaten")</f>
        <v>Veal Chop Broiled Ns As To Fat Eaten</v>
      </c>
      <c r="C3019" t="str">
        <f>IFERROR(__xludf.DUMMYFUNCTION("""COMPUTED_VALUE"""),"Meats")</f>
        <v>Meats</v>
      </c>
      <c r="D3019">
        <f>IFERROR(__xludf.DUMMYFUNCTION("""COMPUTED_VALUE"""),215.0)</f>
        <v>215</v>
      </c>
      <c r="E3019">
        <f>IFERROR(__xludf.DUMMYFUNCTION("""COMPUTED_VALUE"""),12.22)</f>
        <v>12.22</v>
      </c>
      <c r="F3019">
        <f>IFERROR(__xludf.DUMMYFUNCTION("""COMPUTED_VALUE"""),24.59)</f>
        <v>24.59</v>
      </c>
      <c r="G3019">
        <f>IFERROR(__xludf.DUMMYFUNCTION("""COMPUTED_VALUE"""),0.0)</f>
        <v>0</v>
      </c>
    </row>
    <row r="3020">
      <c r="A3020">
        <f>IFERROR(__xludf.DUMMYFUNCTION("""COMPUTED_VALUE"""),782028.0)</f>
        <v>782028</v>
      </c>
      <c r="B3020" t="str">
        <f>IFERROR(__xludf.DUMMYFUNCTION("""COMPUTED_VALUE"""),"Veal Chop Broiled Lean And Fat Eaten")</f>
        <v>Veal Chop Broiled Lean And Fat Eaten</v>
      </c>
      <c r="C3020" t="str">
        <f>IFERROR(__xludf.DUMMYFUNCTION("""COMPUTED_VALUE"""),"Meats")</f>
        <v>Meats</v>
      </c>
      <c r="D3020">
        <f>IFERROR(__xludf.DUMMYFUNCTION("""COMPUTED_VALUE"""),215.0)</f>
        <v>215</v>
      </c>
      <c r="E3020">
        <f>IFERROR(__xludf.DUMMYFUNCTION("""COMPUTED_VALUE"""),12.22)</f>
        <v>12.22</v>
      </c>
      <c r="F3020">
        <f>IFERROR(__xludf.DUMMYFUNCTION("""COMPUTED_VALUE"""),24.59)</f>
        <v>24.59</v>
      </c>
      <c r="G3020">
        <f>IFERROR(__xludf.DUMMYFUNCTION("""COMPUTED_VALUE"""),0.0)</f>
        <v>0</v>
      </c>
    </row>
    <row r="3021">
      <c r="A3021">
        <f>IFERROR(__xludf.DUMMYFUNCTION("""COMPUTED_VALUE"""),782029.0)</f>
        <v>782029</v>
      </c>
      <c r="B3021" t="str">
        <f>IFERROR(__xludf.DUMMYFUNCTION("""COMPUTED_VALUE"""),"Veal Chop Broiled Lean Only Eaten")</f>
        <v>Veal Chop Broiled Lean Only Eaten</v>
      </c>
      <c r="C3021" t="str">
        <f>IFERROR(__xludf.DUMMYFUNCTION("""COMPUTED_VALUE"""),"Meats")</f>
        <v>Meats</v>
      </c>
      <c r="D3021">
        <f>IFERROR(__xludf.DUMMYFUNCTION("""COMPUTED_VALUE"""),174.0)</f>
        <v>174</v>
      </c>
      <c r="E3021">
        <f>IFERROR(__xludf.DUMMYFUNCTION("""COMPUTED_VALUE"""),6.88)</f>
        <v>6.88</v>
      </c>
      <c r="F3021">
        <f>IFERROR(__xludf.DUMMYFUNCTION("""COMPUTED_VALUE"""),26.1)</f>
        <v>26.1</v>
      </c>
      <c r="G3021">
        <f>IFERROR(__xludf.DUMMYFUNCTION("""COMPUTED_VALUE"""),0.0)</f>
        <v>0</v>
      </c>
    </row>
    <row r="3022">
      <c r="A3022">
        <f>IFERROR(__xludf.DUMMYFUNCTION("""COMPUTED_VALUE"""),782030.0)</f>
        <v>782030</v>
      </c>
      <c r="B3022" t="str">
        <f>IFERROR(__xludf.DUMMYFUNCTION("""COMPUTED_VALUE"""),"Veal Cutlet Or Steak Ns As To Cooking Method Ns As To Fat Eaten")</f>
        <v>Veal Cutlet Or Steak Ns As To Cooking Method Ns As To Fat Eaten</v>
      </c>
      <c r="C3022" t="str">
        <f>IFERROR(__xludf.DUMMYFUNCTION("""COMPUTED_VALUE"""),"Meats")</f>
        <v>Meats</v>
      </c>
      <c r="D3022">
        <f>IFERROR(__xludf.DUMMYFUNCTION("""COMPUTED_VALUE"""),209.0)</f>
        <v>209</v>
      </c>
      <c r="E3022">
        <f>IFERROR(__xludf.DUMMYFUNCTION("""COMPUTED_VALUE"""),7.28)</f>
        <v>7.28</v>
      </c>
      <c r="F3022">
        <f>IFERROR(__xludf.DUMMYFUNCTION("""COMPUTED_VALUE"""),33.67)</f>
        <v>33.67</v>
      </c>
      <c r="G3022">
        <f>IFERROR(__xludf.DUMMYFUNCTION("""COMPUTED_VALUE"""),0.0)</f>
        <v>0</v>
      </c>
    </row>
    <row r="3023">
      <c r="A3023">
        <f>IFERROR(__xludf.DUMMYFUNCTION("""COMPUTED_VALUE"""),782031.0)</f>
        <v>782031</v>
      </c>
      <c r="B3023" t="str">
        <f>IFERROR(__xludf.DUMMYFUNCTION("""COMPUTED_VALUE"""),"Veal Cutlet Or Steak Ns As To Cooking Method Lean And Fat Eaten")</f>
        <v>Veal Cutlet Or Steak Ns As To Cooking Method Lean And Fat Eaten</v>
      </c>
      <c r="C3023" t="str">
        <f>IFERROR(__xludf.DUMMYFUNCTION("""COMPUTED_VALUE"""),"Meats")</f>
        <v>Meats</v>
      </c>
      <c r="D3023">
        <f>IFERROR(__xludf.DUMMYFUNCTION("""COMPUTED_VALUE"""),209.0)</f>
        <v>209</v>
      </c>
      <c r="E3023">
        <f>IFERROR(__xludf.DUMMYFUNCTION("""COMPUTED_VALUE"""),6.28)</f>
        <v>6.28</v>
      </c>
      <c r="F3023">
        <f>IFERROR(__xludf.DUMMYFUNCTION("""COMPUTED_VALUE"""),35.86)</f>
        <v>35.86</v>
      </c>
      <c r="G3023">
        <f>IFERROR(__xludf.DUMMYFUNCTION("""COMPUTED_VALUE"""),0.0)</f>
        <v>0</v>
      </c>
    </row>
    <row r="3024">
      <c r="A3024">
        <f>IFERROR(__xludf.DUMMYFUNCTION("""COMPUTED_VALUE"""),782032.0)</f>
        <v>782032</v>
      </c>
      <c r="B3024" t="str">
        <f>IFERROR(__xludf.DUMMYFUNCTION("""COMPUTED_VALUE"""),"Veal Cutlet Or Steak Ns As To Cooking Method Lean Only Eaten")</f>
        <v>Veal Cutlet Or Steak Ns As To Cooking Method Lean Only Eaten</v>
      </c>
      <c r="C3024" t="str">
        <f>IFERROR(__xludf.DUMMYFUNCTION("""COMPUTED_VALUE"""),"Meats")</f>
        <v>Meats</v>
      </c>
      <c r="D3024">
        <f>IFERROR(__xludf.DUMMYFUNCTION("""COMPUTED_VALUE"""),181.0)</f>
        <v>181</v>
      </c>
      <c r="E3024">
        <f>IFERROR(__xludf.DUMMYFUNCTION("""COMPUTED_VALUE"""),4.58)</f>
        <v>4.58</v>
      </c>
      <c r="F3024">
        <f>IFERROR(__xludf.DUMMYFUNCTION("""COMPUTED_VALUE"""),32.89)</f>
        <v>32.89</v>
      </c>
      <c r="G3024">
        <f>IFERROR(__xludf.DUMMYFUNCTION("""COMPUTED_VALUE"""),0.0)</f>
        <v>0</v>
      </c>
    </row>
    <row r="3025">
      <c r="A3025">
        <f>IFERROR(__xludf.DUMMYFUNCTION("""COMPUTED_VALUE"""),782033.0)</f>
        <v>782033</v>
      </c>
      <c r="B3025" t="str">
        <f>IFERROR(__xludf.DUMMYFUNCTION("""COMPUTED_VALUE"""),"Veal Cutlet Or Steak Broiled Ns As To Fat Eaten")</f>
        <v>Veal Cutlet Or Steak Broiled Ns As To Fat Eaten</v>
      </c>
      <c r="C3025" t="str">
        <f>IFERROR(__xludf.DUMMYFUNCTION("""COMPUTED_VALUE"""),"Meats")</f>
        <v>Meats</v>
      </c>
      <c r="D3025">
        <f>IFERROR(__xludf.DUMMYFUNCTION("""COMPUTED_VALUE"""),159.0)</f>
        <v>159</v>
      </c>
      <c r="E3025">
        <f>IFERROR(__xludf.DUMMYFUNCTION("""COMPUTED_VALUE"""),4.61)</f>
        <v>4.61</v>
      </c>
      <c r="F3025">
        <f>IFERROR(__xludf.DUMMYFUNCTION("""COMPUTED_VALUE"""),27.47)</f>
        <v>27.47</v>
      </c>
      <c r="G3025">
        <f>IFERROR(__xludf.DUMMYFUNCTION("""COMPUTED_VALUE"""),0.0)</f>
        <v>0</v>
      </c>
    </row>
    <row r="3026">
      <c r="A3026">
        <f>IFERROR(__xludf.DUMMYFUNCTION("""COMPUTED_VALUE"""),782034.0)</f>
        <v>782034</v>
      </c>
      <c r="B3026" t="str">
        <f>IFERROR(__xludf.DUMMYFUNCTION("""COMPUTED_VALUE"""),"Veal Cutlet Or Steak Broiled Lean And Fat Eaten")</f>
        <v>Veal Cutlet Or Steak Broiled Lean And Fat Eaten</v>
      </c>
      <c r="C3026" t="str">
        <f>IFERROR(__xludf.DUMMYFUNCTION("""COMPUTED_VALUE"""),"Meats")</f>
        <v>Meats</v>
      </c>
      <c r="D3026">
        <f>IFERROR(__xludf.DUMMYFUNCTION("""COMPUTED_VALUE"""),159.0)</f>
        <v>159</v>
      </c>
      <c r="E3026">
        <f>IFERROR(__xludf.DUMMYFUNCTION("""COMPUTED_VALUE"""),4.61)</f>
        <v>4.61</v>
      </c>
      <c r="F3026">
        <f>IFERROR(__xludf.DUMMYFUNCTION("""COMPUTED_VALUE"""),27.47)</f>
        <v>27.47</v>
      </c>
      <c r="G3026">
        <f>IFERROR(__xludf.DUMMYFUNCTION("""COMPUTED_VALUE"""),0.0)</f>
        <v>0</v>
      </c>
    </row>
    <row r="3027">
      <c r="A3027">
        <f>IFERROR(__xludf.DUMMYFUNCTION("""COMPUTED_VALUE"""),782035.0)</f>
        <v>782035</v>
      </c>
      <c r="B3027" t="str">
        <f>IFERROR(__xludf.DUMMYFUNCTION("""COMPUTED_VALUE"""),"Veal Cutlet Or Steak Broiled Lean Only Eaten")</f>
        <v>Veal Cutlet Or Steak Broiled Lean Only Eaten</v>
      </c>
      <c r="C3027" t="str">
        <f>IFERROR(__xludf.DUMMYFUNCTION("""COMPUTED_VALUE"""),"Meats")</f>
        <v>Meats</v>
      </c>
      <c r="D3027">
        <f>IFERROR(__xludf.DUMMYFUNCTION("""COMPUTED_VALUE"""),181.0)</f>
        <v>181</v>
      </c>
      <c r="E3027">
        <f>IFERROR(__xludf.DUMMYFUNCTION("""COMPUTED_VALUE"""),4.58)</f>
        <v>4.58</v>
      </c>
      <c r="F3027">
        <f>IFERROR(__xludf.DUMMYFUNCTION("""COMPUTED_VALUE"""),32.89)</f>
        <v>32.89</v>
      </c>
      <c r="G3027">
        <f>IFERROR(__xludf.DUMMYFUNCTION("""COMPUTED_VALUE"""),0.0)</f>
        <v>0</v>
      </c>
    </row>
    <row r="3028">
      <c r="A3028">
        <f>IFERROR(__xludf.DUMMYFUNCTION("""COMPUTED_VALUE"""),782038.0)</f>
        <v>782038</v>
      </c>
      <c r="B3028" t="str">
        <f>IFERROR(__xludf.DUMMYFUNCTION("""COMPUTED_VALUE"""),"Veal Cutlet Or Steak Fried Lean Only Eaten")</f>
        <v>Veal Cutlet Or Steak Fried Lean Only Eaten</v>
      </c>
      <c r="C3028" t="str">
        <f>IFERROR(__xludf.DUMMYFUNCTION("""COMPUTED_VALUE"""),"Meats")</f>
        <v>Meats</v>
      </c>
      <c r="D3028">
        <f>IFERROR(__xludf.DUMMYFUNCTION("""COMPUTED_VALUE"""),181.0)</f>
        <v>181</v>
      </c>
      <c r="E3028">
        <f>IFERROR(__xludf.DUMMYFUNCTION("""COMPUTED_VALUE"""),4.58)</f>
        <v>4.58</v>
      </c>
      <c r="F3028">
        <f>IFERROR(__xludf.DUMMYFUNCTION("""COMPUTED_VALUE"""),32.89)</f>
        <v>32.89</v>
      </c>
      <c r="G3028">
        <f>IFERROR(__xludf.DUMMYFUNCTION("""COMPUTED_VALUE"""),0.0)</f>
        <v>0</v>
      </c>
    </row>
    <row r="3029">
      <c r="A3029">
        <f>IFERROR(__xludf.DUMMYFUNCTION("""COMPUTED_VALUE"""),782039.0)</f>
        <v>782039</v>
      </c>
      <c r="B3029" t="str">
        <f>IFERROR(__xludf.DUMMYFUNCTION("""COMPUTED_VALUE"""),"Veal Roasted Ns As To Fat Eaten")</f>
        <v>Veal Roasted Ns As To Fat Eaten</v>
      </c>
      <c r="C3029" t="str">
        <f>IFERROR(__xludf.DUMMYFUNCTION("""COMPUTED_VALUE"""),"Meats")</f>
        <v>Meats</v>
      </c>
      <c r="D3029">
        <f>IFERROR(__xludf.DUMMYFUNCTION("""COMPUTED_VALUE"""),229.0)</f>
        <v>229</v>
      </c>
      <c r="E3029">
        <f>IFERROR(__xludf.DUMMYFUNCTION("""COMPUTED_VALUE"""),11.3)</f>
        <v>11.3</v>
      </c>
      <c r="F3029">
        <f>IFERROR(__xludf.DUMMYFUNCTION("""COMPUTED_VALUE"""),29.85)</f>
        <v>29.85</v>
      </c>
      <c r="G3029">
        <f>IFERROR(__xludf.DUMMYFUNCTION("""COMPUTED_VALUE"""),0.0)</f>
        <v>0</v>
      </c>
    </row>
    <row r="3030">
      <c r="A3030">
        <f>IFERROR(__xludf.DUMMYFUNCTION("""COMPUTED_VALUE"""),782040.0)</f>
        <v>782040</v>
      </c>
      <c r="B3030" t="str">
        <f>IFERROR(__xludf.DUMMYFUNCTION("""COMPUTED_VALUE"""),"Veal Roasted Lean And Fat Eaten")</f>
        <v>Veal Roasted Lean And Fat Eaten</v>
      </c>
      <c r="C3030" t="str">
        <f>IFERROR(__xludf.DUMMYFUNCTION("""COMPUTED_VALUE"""),"Meats")</f>
        <v>Meats</v>
      </c>
      <c r="D3030">
        <f>IFERROR(__xludf.DUMMYFUNCTION("""COMPUTED_VALUE"""),229.0)</f>
        <v>229</v>
      </c>
      <c r="E3030">
        <f>IFERROR(__xludf.DUMMYFUNCTION("""COMPUTED_VALUE"""),11.3)</f>
        <v>11.3</v>
      </c>
      <c r="F3030">
        <f>IFERROR(__xludf.DUMMYFUNCTION("""COMPUTED_VALUE"""),29.85)</f>
        <v>29.85</v>
      </c>
      <c r="G3030">
        <f>IFERROR(__xludf.DUMMYFUNCTION("""COMPUTED_VALUE"""),0.0)</f>
        <v>0</v>
      </c>
    </row>
    <row r="3031">
      <c r="A3031">
        <f>IFERROR(__xludf.DUMMYFUNCTION("""COMPUTED_VALUE"""),782041.0)</f>
        <v>782041</v>
      </c>
      <c r="B3031" t="str">
        <f>IFERROR(__xludf.DUMMYFUNCTION("""COMPUTED_VALUE"""),"Veal Roasted Lean Only Eaten")</f>
        <v>Veal Roasted Lean Only Eaten</v>
      </c>
      <c r="C3031" t="str">
        <f>IFERROR(__xludf.DUMMYFUNCTION("""COMPUTED_VALUE"""),"Meats")</f>
        <v>Meats</v>
      </c>
      <c r="D3031">
        <f>IFERROR(__xludf.DUMMYFUNCTION("""COMPUTED_VALUE"""),174.0)</f>
        <v>174</v>
      </c>
      <c r="E3031">
        <f>IFERROR(__xludf.DUMMYFUNCTION("""COMPUTED_VALUE"""),6.88)</f>
        <v>6.88</v>
      </c>
      <c r="F3031">
        <f>IFERROR(__xludf.DUMMYFUNCTION("""COMPUTED_VALUE"""),26.1)</f>
        <v>26.1</v>
      </c>
      <c r="G3031">
        <f>IFERROR(__xludf.DUMMYFUNCTION("""COMPUTED_VALUE"""),0.0)</f>
        <v>0</v>
      </c>
    </row>
    <row r="3032">
      <c r="A3032">
        <f>IFERROR(__xludf.DUMMYFUNCTION("""COMPUTED_VALUE"""),782042.0)</f>
        <v>782042</v>
      </c>
      <c r="B3032" t="str">
        <f>IFERROR(__xludf.DUMMYFUNCTION("""COMPUTED_VALUE"""),"Veal Ground Or Patty Cooked")</f>
        <v>Veal Ground Or Patty Cooked</v>
      </c>
      <c r="C3032" t="str">
        <f>IFERROR(__xludf.DUMMYFUNCTION("""COMPUTED_VALUE"""),"Meats")</f>
        <v>Meats</v>
      </c>
      <c r="D3032">
        <f>IFERROR(__xludf.DUMMYFUNCTION("""COMPUTED_VALUE"""),171.0)</f>
        <v>171</v>
      </c>
      <c r="E3032">
        <f>IFERROR(__xludf.DUMMYFUNCTION("""COMPUTED_VALUE"""),7.5)</f>
        <v>7.5</v>
      </c>
      <c r="F3032">
        <f>IFERROR(__xludf.DUMMYFUNCTION("""COMPUTED_VALUE"""),24.18)</f>
        <v>24.18</v>
      </c>
      <c r="G3032">
        <f>IFERROR(__xludf.DUMMYFUNCTION("""COMPUTED_VALUE"""),0.0)</f>
        <v>0</v>
      </c>
    </row>
    <row r="3033">
      <c r="A3033">
        <f>IFERROR(__xludf.DUMMYFUNCTION("""COMPUTED_VALUE"""),782043.0)</f>
        <v>782043</v>
      </c>
      <c r="B3033" t="str">
        <f>IFERROR(__xludf.DUMMYFUNCTION("""COMPUTED_VALUE"""),"Mock Chicken Legs Cooked")</f>
        <v>Mock Chicken Legs Cooked</v>
      </c>
      <c r="C3033" t="str">
        <f>IFERROR(__xludf.DUMMYFUNCTION("""COMPUTED_VALUE"""),"Meats")</f>
        <v>Meats</v>
      </c>
      <c r="D3033">
        <f>IFERROR(__xludf.DUMMYFUNCTION("""COMPUTED_VALUE"""),234.0)</f>
        <v>234</v>
      </c>
      <c r="E3033">
        <f>IFERROR(__xludf.DUMMYFUNCTION("""COMPUTED_VALUE"""),13.79)</f>
        <v>13.79</v>
      </c>
      <c r="F3033">
        <f>IFERROR(__xludf.DUMMYFUNCTION("""COMPUTED_VALUE"""),20.75)</f>
        <v>20.75</v>
      </c>
      <c r="G3033">
        <f>IFERROR(__xludf.DUMMYFUNCTION("""COMPUTED_VALUE"""),5.27)</f>
        <v>5.27</v>
      </c>
    </row>
    <row r="3034">
      <c r="A3034">
        <f>IFERROR(__xludf.DUMMYFUNCTION("""COMPUTED_VALUE"""),782044.0)</f>
        <v>782044</v>
      </c>
      <c r="B3034" t="str">
        <f>IFERROR(__xludf.DUMMYFUNCTION("""COMPUTED_VALUE"""),"Veal Patty Breaded Cooked")</f>
        <v>Veal Patty Breaded Cooked</v>
      </c>
      <c r="C3034" t="str">
        <f>IFERROR(__xludf.DUMMYFUNCTION("""COMPUTED_VALUE"""),"Meats")</f>
        <v>Meats</v>
      </c>
      <c r="D3034">
        <f>IFERROR(__xludf.DUMMYFUNCTION("""COMPUTED_VALUE"""),283.0)</f>
        <v>283</v>
      </c>
      <c r="E3034">
        <f>IFERROR(__xludf.DUMMYFUNCTION("""COMPUTED_VALUE"""),17.11)</f>
        <v>17.11</v>
      </c>
      <c r="F3034">
        <f>IFERROR(__xludf.DUMMYFUNCTION("""COMPUTED_VALUE"""),22.23)</f>
        <v>22.23</v>
      </c>
      <c r="G3034">
        <f>IFERROR(__xludf.DUMMYFUNCTION("""COMPUTED_VALUE"""),8.63)</f>
        <v>8.63</v>
      </c>
    </row>
    <row r="3035">
      <c r="A3035">
        <f>IFERROR(__xludf.DUMMYFUNCTION("""COMPUTED_VALUE"""),782045.0)</f>
        <v>782045</v>
      </c>
      <c r="B3035" t="str">
        <f>IFERROR(__xludf.DUMMYFUNCTION("""COMPUTED_VALUE"""),"Rabbit Ns As To Domestic Or Wild Cooked")</f>
        <v>Rabbit Ns As To Domestic Or Wild Cooked</v>
      </c>
      <c r="C3035" t="str">
        <f>IFERROR(__xludf.DUMMYFUNCTION("""COMPUTED_VALUE"""),"Meats")</f>
        <v>Meats</v>
      </c>
      <c r="D3035">
        <f>IFERROR(__xludf.DUMMYFUNCTION("""COMPUTED_VALUE"""),205.0)</f>
        <v>205</v>
      </c>
      <c r="E3035">
        <f>IFERROR(__xludf.DUMMYFUNCTION("""COMPUTED_VALUE"""),8.38)</f>
        <v>8.38</v>
      </c>
      <c r="F3035">
        <f>IFERROR(__xludf.DUMMYFUNCTION("""COMPUTED_VALUE"""),30.25)</f>
        <v>30.25</v>
      </c>
      <c r="G3035">
        <f>IFERROR(__xludf.DUMMYFUNCTION("""COMPUTED_VALUE"""),0.0)</f>
        <v>0</v>
      </c>
    </row>
    <row r="3036">
      <c r="A3036">
        <f>IFERROR(__xludf.DUMMYFUNCTION("""COMPUTED_VALUE"""),782046.0)</f>
        <v>782046</v>
      </c>
      <c r="B3036" t="str">
        <f>IFERROR(__xludf.DUMMYFUNCTION("""COMPUTED_VALUE"""),"Rabbit Domestic Ns As To Cooking Method")</f>
        <v>Rabbit Domestic Ns As To Cooking Method</v>
      </c>
      <c r="C3036" t="str">
        <f>IFERROR(__xludf.DUMMYFUNCTION("""COMPUTED_VALUE"""),"Meats")</f>
        <v>Meats</v>
      </c>
      <c r="D3036">
        <f>IFERROR(__xludf.DUMMYFUNCTION("""COMPUTED_VALUE"""),205.0)</f>
        <v>205</v>
      </c>
      <c r="E3036">
        <f>IFERROR(__xludf.DUMMYFUNCTION("""COMPUTED_VALUE"""),8.38)</f>
        <v>8.38</v>
      </c>
      <c r="F3036">
        <f>IFERROR(__xludf.DUMMYFUNCTION("""COMPUTED_VALUE"""),30.25)</f>
        <v>30.25</v>
      </c>
      <c r="G3036">
        <f>IFERROR(__xludf.DUMMYFUNCTION("""COMPUTED_VALUE"""),0.0)</f>
        <v>0</v>
      </c>
    </row>
    <row r="3037">
      <c r="A3037">
        <f>IFERROR(__xludf.DUMMYFUNCTION("""COMPUTED_VALUE"""),782047.0)</f>
        <v>782047</v>
      </c>
      <c r="B3037" t="str">
        <f>IFERROR(__xludf.DUMMYFUNCTION("""COMPUTED_VALUE"""),"Rabbit Ns As To Domestic Or Wild Breaded Fried")</f>
        <v>Rabbit Ns As To Domestic Or Wild Breaded Fried</v>
      </c>
      <c r="C3037" t="str">
        <f>IFERROR(__xludf.DUMMYFUNCTION("""COMPUTED_VALUE"""),"Meats")</f>
        <v>Meats</v>
      </c>
      <c r="D3037">
        <f>IFERROR(__xludf.DUMMYFUNCTION("""COMPUTED_VALUE"""),248.0)</f>
        <v>248</v>
      </c>
      <c r="E3037">
        <f>IFERROR(__xludf.DUMMYFUNCTION("""COMPUTED_VALUE"""),12.16)</f>
        <v>12.16</v>
      </c>
      <c r="F3037">
        <f>IFERROR(__xludf.DUMMYFUNCTION("""COMPUTED_VALUE"""),27.65)</f>
        <v>27.65</v>
      </c>
      <c r="G3037">
        <f>IFERROR(__xludf.DUMMYFUNCTION("""COMPUTED_VALUE"""),5.06)</f>
        <v>5.06</v>
      </c>
    </row>
    <row r="3038">
      <c r="A3038">
        <f>IFERROR(__xludf.DUMMYFUNCTION("""COMPUTED_VALUE"""),782048.0)</f>
        <v>782048</v>
      </c>
      <c r="B3038" t="str">
        <f>IFERROR(__xludf.DUMMYFUNCTION("""COMPUTED_VALUE"""),"Rabbit Wild Cooked")</f>
        <v>Rabbit Wild Cooked</v>
      </c>
      <c r="C3038" t="str">
        <f>IFERROR(__xludf.DUMMYFUNCTION("""COMPUTED_VALUE"""),"Meats")</f>
        <v>Meats</v>
      </c>
      <c r="D3038">
        <f>IFERROR(__xludf.DUMMYFUNCTION("""COMPUTED_VALUE"""),172.0)</f>
        <v>172</v>
      </c>
      <c r="E3038">
        <f>IFERROR(__xludf.DUMMYFUNCTION("""COMPUTED_VALUE"""),3.5)</f>
        <v>3.5</v>
      </c>
      <c r="F3038">
        <f>IFERROR(__xludf.DUMMYFUNCTION("""COMPUTED_VALUE"""),32.88)</f>
        <v>32.88</v>
      </c>
      <c r="G3038">
        <f>IFERROR(__xludf.DUMMYFUNCTION("""COMPUTED_VALUE"""),0.0)</f>
        <v>0</v>
      </c>
    </row>
    <row r="3039">
      <c r="A3039">
        <f>IFERROR(__xludf.DUMMYFUNCTION("""COMPUTED_VALUE"""),782049.0)</f>
        <v>782049</v>
      </c>
      <c r="B3039" t="str">
        <f>IFERROR(__xludf.DUMMYFUNCTION("""COMPUTED_VALUE"""),"Venison/deer Nfs")</f>
        <v>Venison/deer Nfs</v>
      </c>
      <c r="C3039" t="str">
        <f>IFERROR(__xludf.DUMMYFUNCTION("""COMPUTED_VALUE"""),"Meats")</f>
        <v>Meats</v>
      </c>
      <c r="D3039">
        <f>IFERROR(__xludf.DUMMYFUNCTION("""COMPUTED_VALUE"""),190.0)</f>
        <v>190</v>
      </c>
      <c r="E3039">
        <f>IFERROR(__xludf.DUMMYFUNCTION("""COMPUTED_VALUE"""),3.93)</f>
        <v>3.93</v>
      </c>
      <c r="F3039">
        <f>IFERROR(__xludf.DUMMYFUNCTION("""COMPUTED_VALUE"""),36.08)</f>
        <v>36.08</v>
      </c>
      <c r="G3039">
        <f>IFERROR(__xludf.DUMMYFUNCTION("""COMPUTED_VALUE"""),0.0)</f>
        <v>0</v>
      </c>
    </row>
    <row r="3040">
      <c r="A3040">
        <f>IFERROR(__xludf.DUMMYFUNCTION("""COMPUTED_VALUE"""),782050.0)</f>
        <v>782050</v>
      </c>
      <c r="B3040" t="str">
        <f>IFERROR(__xludf.DUMMYFUNCTION("""COMPUTED_VALUE"""),"Venison/deer Cured")</f>
        <v>Venison/deer Cured</v>
      </c>
      <c r="C3040" t="str">
        <f>IFERROR(__xludf.DUMMYFUNCTION("""COMPUTED_VALUE"""),"Meats")</f>
        <v>Meats</v>
      </c>
      <c r="D3040">
        <f>IFERROR(__xludf.DUMMYFUNCTION("""COMPUTED_VALUE"""),187.0)</f>
        <v>187</v>
      </c>
      <c r="E3040">
        <f>IFERROR(__xludf.DUMMYFUNCTION("""COMPUTED_VALUE"""),4.08)</f>
        <v>4.08</v>
      </c>
      <c r="F3040">
        <f>IFERROR(__xludf.DUMMYFUNCTION("""COMPUTED_VALUE"""),35.11)</f>
        <v>35.11</v>
      </c>
      <c r="G3040">
        <f>IFERROR(__xludf.DUMMYFUNCTION("""COMPUTED_VALUE"""),0.0)</f>
        <v>0</v>
      </c>
    </row>
    <row r="3041">
      <c r="A3041">
        <f>IFERROR(__xludf.DUMMYFUNCTION("""COMPUTED_VALUE"""),782051.0)</f>
        <v>782051</v>
      </c>
      <c r="B3041" t="str">
        <f>IFERROR(__xludf.DUMMYFUNCTION("""COMPUTED_VALUE"""),"Venison/deer Roasted")</f>
        <v>Venison/deer Roasted</v>
      </c>
      <c r="C3041" t="str">
        <f>IFERROR(__xludf.DUMMYFUNCTION("""COMPUTED_VALUE"""),"Meats")</f>
        <v>Meats</v>
      </c>
      <c r="D3041">
        <f>IFERROR(__xludf.DUMMYFUNCTION("""COMPUTED_VALUE"""),190.0)</f>
        <v>190</v>
      </c>
      <c r="E3041">
        <f>IFERROR(__xludf.DUMMYFUNCTION("""COMPUTED_VALUE"""),3.93)</f>
        <v>3.93</v>
      </c>
      <c r="F3041">
        <f>IFERROR(__xludf.DUMMYFUNCTION("""COMPUTED_VALUE"""),36.08)</f>
        <v>36.08</v>
      </c>
      <c r="G3041">
        <f>IFERROR(__xludf.DUMMYFUNCTION("""COMPUTED_VALUE"""),0.0)</f>
        <v>0</v>
      </c>
    </row>
    <row r="3042">
      <c r="A3042">
        <f>IFERROR(__xludf.DUMMYFUNCTION("""COMPUTED_VALUE"""),782052.0)</f>
        <v>782052</v>
      </c>
      <c r="B3042" t="str">
        <f>IFERROR(__xludf.DUMMYFUNCTION("""COMPUTED_VALUE"""),"Venison/deer Steak Cooked Ns As To Cooking Method")</f>
        <v>Venison/deer Steak Cooked Ns As To Cooking Method</v>
      </c>
      <c r="C3042" t="str">
        <f>IFERROR(__xludf.DUMMYFUNCTION("""COMPUTED_VALUE"""),"Meats")</f>
        <v>Meats</v>
      </c>
      <c r="D3042">
        <f>IFERROR(__xludf.DUMMYFUNCTION("""COMPUTED_VALUE"""),150.0)</f>
        <v>150</v>
      </c>
      <c r="E3042">
        <f>IFERROR(__xludf.DUMMYFUNCTION("""COMPUTED_VALUE"""),2.61)</f>
        <v>2.61</v>
      </c>
      <c r="F3042">
        <f>IFERROR(__xludf.DUMMYFUNCTION("""COMPUTED_VALUE"""),29.8)</f>
        <v>29.8</v>
      </c>
      <c r="G3042">
        <f>IFERROR(__xludf.DUMMYFUNCTION("""COMPUTED_VALUE"""),0.0)</f>
        <v>0</v>
      </c>
    </row>
    <row r="3043">
      <c r="A3043">
        <f>IFERROR(__xludf.DUMMYFUNCTION("""COMPUTED_VALUE"""),782053.0)</f>
        <v>782053</v>
      </c>
      <c r="B3043" t="str">
        <f>IFERROR(__xludf.DUMMYFUNCTION("""COMPUTED_VALUE"""),"Venison/deer Steak Breaded Or Floured Cooked Ns As To Cooking Method")</f>
        <v>Venison/deer Steak Breaded Or Floured Cooked Ns As To Cooking Method</v>
      </c>
      <c r="C3043" t="str">
        <f>IFERROR(__xludf.DUMMYFUNCTION("""COMPUTED_VALUE"""),"Meats")</f>
        <v>Meats</v>
      </c>
      <c r="D3043">
        <f>IFERROR(__xludf.DUMMYFUNCTION("""COMPUTED_VALUE"""),224.0)</f>
        <v>224</v>
      </c>
      <c r="E3043">
        <f>IFERROR(__xludf.DUMMYFUNCTION("""COMPUTED_VALUE"""),7.68)</f>
        <v>7.68</v>
      </c>
      <c r="F3043">
        <f>IFERROR(__xludf.DUMMYFUNCTION("""COMPUTED_VALUE"""),24.88)</f>
        <v>24.88</v>
      </c>
      <c r="G3043">
        <f>IFERROR(__xludf.DUMMYFUNCTION("""COMPUTED_VALUE"""),12.38)</f>
        <v>12.38</v>
      </c>
    </row>
    <row r="3044">
      <c r="A3044">
        <f>IFERROR(__xludf.DUMMYFUNCTION("""COMPUTED_VALUE"""),782054.0)</f>
        <v>782054</v>
      </c>
      <c r="B3044" t="str">
        <f>IFERROR(__xludf.DUMMYFUNCTION("""COMPUTED_VALUE"""),"Venison/deer Jerky")</f>
        <v>Venison/deer Jerky</v>
      </c>
      <c r="C3044" t="str">
        <f>IFERROR(__xludf.DUMMYFUNCTION("""COMPUTED_VALUE"""),"Meats")</f>
        <v>Meats</v>
      </c>
      <c r="D3044">
        <f>IFERROR(__xludf.DUMMYFUNCTION("""COMPUTED_VALUE"""),396.0)</f>
        <v>396</v>
      </c>
      <c r="E3044">
        <f>IFERROR(__xludf.DUMMYFUNCTION("""COMPUTED_VALUE"""),22.36)</f>
        <v>22.36</v>
      </c>
      <c r="F3044">
        <f>IFERROR(__xludf.DUMMYFUNCTION("""COMPUTED_VALUE"""),32.2)</f>
        <v>32.2</v>
      </c>
      <c r="G3044">
        <f>IFERROR(__xludf.DUMMYFUNCTION("""COMPUTED_VALUE"""),14.78)</f>
        <v>14.78</v>
      </c>
    </row>
    <row r="3045">
      <c r="A3045">
        <f>IFERROR(__xludf.DUMMYFUNCTION("""COMPUTED_VALUE"""),782056.0)</f>
        <v>782056</v>
      </c>
      <c r="B3045" t="str">
        <f>IFERROR(__xludf.DUMMYFUNCTION("""COMPUTED_VALUE"""),"Deer Chop Cooked")</f>
        <v>Deer Chop Cooked</v>
      </c>
      <c r="C3045" t="str">
        <f>IFERROR(__xludf.DUMMYFUNCTION("""COMPUTED_VALUE"""),"Meats")</f>
        <v>Meats</v>
      </c>
      <c r="D3045">
        <f>IFERROR(__xludf.DUMMYFUNCTION("""COMPUTED_VALUE"""),193.0)</f>
        <v>193</v>
      </c>
      <c r="E3045">
        <f>IFERROR(__xludf.DUMMYFUNCTION("""COMPUTED_VALUE"""),8.28)</f>
        <v>8.28</v>
      </c>
      <c r="F3045">
        <f>IFERROR(__xludf.DUMMYFUNCTION("""COMPUTED_VALUE"""),28.06)</f>
        <v>28.06</v>
      </c>
      <c r="G3045">
        <f>IFERROR(__xludf.DUMMYFUNCTION("""COMPUTED_VALUE"""),0.0)</f>
        <v>0</v>
      </c>
    </row>
    <row r="3046">
      <c r="A3046">
        <f>IFERROR(__xludf.DUMMYFUNCTION("""COMPUTED_VALUE"""),782057.0)</f>
        <v>782057</v>
      </c>
      <c r="B3046" t="str">
        <f>IFERROR(__xludf.DUMMYFUNCTION("""COMPUTED_VALUE"""),"Venison/deer Ribs Cooked")</f>
        <v>Venison/deer Ribs Cooked</v>
      </c>
      <c r="C3046" t="str">
        <f>IFERROR(__xludf.DUMMYFUNCTION("""COMPUTED_VALUE"""),"Meats")</f>
        <v>Meats</v>
      </c>
      <c r="D3046">
        <f>IFERROR(__xludf.DUMMYFUNCTION("""COMPUTED_VALUE"""),190.0)</f>
        <v>190</v>
      </c>
      <c r="E3046">
        <f>IFERROR(__xludf.DUMMYFUNCTION("""COMPUTED_VALUE"""),3.93)</f>
        <v>3.93</v>
      </c>
      <c r="F3046">
        <f>IFERROR(__xludf.DUMMYFUNCTION("""COMPUTED_VALUE"""),36.08)</f>
        <v>36.08</v>
      </c>
      <c r="G3046">
        <f>IFERROR(__xludf.DUMMYFUNCTION("""COMPUTED_VALUE"""),0.0)</f>
        <v>0</v>
      </c>
    </row>
    <row r="3047">
      <c r="A3047">
        <f>IFERROR(__xludf.DUMMYFUNCTION("""COMPUTED_VALUE"""),782058.0)</f>
        <v>782058</v>
      </c>
      <c r="B3047" t="str">
        <f>IFERROR(__xludf.DUMMYFUNCTION("""COMPUTED_VALUE"""),"Venison/deer Stewed")</f>
        <v>Venison/deer Stewed</v>
      </c>
      <c r="C3047" t="str">
        <f>IFERROR(__xludf.DUMMYFUNCTION("""COMPUTED_VALUE"""),"Meats")</f>
        <v>Meats</v>
      </c>
      <c r="D3047">
        <f>IFERROR(__xludf.DUMMYFUNCTION("""COMPUTED_VALUE"""),190.0)</f>
        <v>190</v>
      </c>
      <c r="E3047">
        <f>IFERROR(__xludf.DUMMYFUNCTION("""COMPUTED_VALUE"""),3.93)</f>
        <v>3.93</v>
      </c>
      <c r="F3047">
        <f>IFERROR(__xludf.DUMMYFUNCTION("""COMPUTED_VALUE"""),36.08)</f>
        <v>36.08</v>
      </c>
      <c r="G3047">
        <f>IFERROR(__xludf.DUMMYFUNCTION("""COMPUTED_VALUE"""),0.0)</f>
        <v>0</v>
      </c>
    </row>
    <row r="3048">
      <c r="A3048">
        <f>IFERROR(__xludf.DUMMYFUNCTION("""COMPUTED_VALUE"""),782059.0)</f>
        <v>782059</v>
      </c>
      <c r="B3048" t="str">
        <f>IFERROR(__xludf.DUMMYFUNCTION("""COMPUTED_VALUE"""),"Moose Cooked")</f>
        <v>Moose Cooked</v>
      </c>
      <c r="C3048" t="str">
        <f>IFERROR(__xludf.DUMMYFUNCTION("""COMPUTED_VALUE"""),"Meats")</f>
        <v>Meats</v>
      </c>
      <c r="D3048">
        <f>IFERROR(__xludf.DUMMYFUNCTION("""COMPUTED_VALUE"""),133.0)</f>
        <v>133</v>
      </c>
      <c r="E3048">
        <f>IFERROR(__xludf.DUMMYFUNCTION("""COMPUTED_VALUE"""),0.97)</f>
        <v>0.97</v>
      </c>
      <c r="F3048">
        <f>IFERROR(__xludf.DUMMYFUNCTION("""COMPUTED_VALUE"""),29.15)</f>
        <v>29.15</v>
      </c>
      <c r="G3048">
        <f>IFERROR(__xludf.DUMMYFUNCTION("""COMPUTED_VALUE"""),0.0)</f>
        <v>0</v>
      </c>
    </row>
    <row r="3049">
      <c r="A3049">
        <f>IFERROR(__xludf.DUMMYFUNCTION("""COMPUTED_VALUE"""),782060.0)</f>
        <v>782060</v>
      </c>
      <c r="B3049" t="str">
        <f>IFERROR(__xludf.DUMMYFUNCTION("""COMPUTED_VALUE"""),"Bear Cooked")</f>
        <v>Bear Cooked</v>
      </c>
      <c r="C3049" t="str">
        <f>IFERROR(__xludf.DUMMYFUNCTION("""COMPUTED_VALUE"""),"Meats")</f>
        <v>Meats</v>
      </c>
      <c r="D3049">
        <f>IFERROR(__xludf.DUMMYFUNCTION("""COMPUTED_VALUE"""),258.0)</f>
        <v>258</v>
      </c>
      <c r="E3049">
        <f>IFERROR(__xludf.DUMMYFUNCTION("""COMPUTED_VALUE"""),13.33)</f>
        <v>13.33</v>
      </c>
      <c r="F3049">
        <f>IFERROR(__xludf.DUMMYFUNCTION("""COMPUTED_VALUE"""),32.28)</f>
        <v>32.28</v>
      </c>
      <c r="G3049">
        <f>IFERROR(__xludf.DUMMYFUNCTION("""COMPUTED_VALUE"""),0.0)</f>
        <v>0</v>
      </c>
    </row>
    <row r="3050">
      <c r="A3050">
        <f>IFERROR(__xludf.DUMMYFUNCTION("""COMPUTED_VALUE"""),782061.0)</f>
        <v>782061</v>
      </c>
      <c r="B3050" t="str">
        <f>IFERROR(__xludf.DUMMYFUNCTION("""COMPUTED_VALUE"""),"Caribou Cooked")</f>
        <v>Caribou Cooked</v>
      </c>
      <c r="C3050" t="str">
        <f>IFERROR(__xludf.DUMMYFUNCTION("""COMPUTED_VALUE"""),"Meats")</f>
        <v>Meats</v>
      </c>
      <c r="D3050">
        <f>IFERROR(__xludf.DUMMYFUNCTION("""COMPUTED_VALUE"""),166.0)</f>
        <v>166</v>
      </c>
      <c r="E3050">
        <f>IFERROR(__xludf.DUMMYFUNCTION("""COMPUTED_VALUE"""),4.4)</f>
        <v>4.4</v>
      </c>
      <c r="F3050">
        <f>IFERROR(__xludf.DUMMYFUNCTION("""COMPUTED_VALUE"""),29.64)</f>
        <v>29.64</v>
      </c>
      <c r="G3050">
        <f>IFERROR(__xludf.DUMMYFUNCTION("""COMPUTED_VALUE"""),0.0)</f>
        <v>0</v>
      </c>
    </row>
    <row r="3051">
      <c r="A3051">
        <f>IFERROR(__xludf.DUMMYFUNCTION("""COMPUTED_VALUE"""),782062.0)</f>
        <v>782062</v>
      </c>
      <c r="B3051" t="str">
        <f>IFERROR(__xludf.DUMMYFUNCTION("""COMPUTED_VALUE"""),"Bison Cooked")</f>
        <v>Bison Cooked</v>
      </c>
      <c r="C3051" t="str">
        <f>IFERROR(__xludf.DUMMYFUNCTION("""COMPUTED_VALUE"""),"Meats")</f>
        <v>Meats</v>
      </c>
      <c r="D3051">
        <f>IFERROR(__xludf.DUMMYFUNCTION("""COMPUTED_VALUE"""),142.0)</f>
        <v>142</v>
      </c>
      <c r="E3051">
        <f>IFERROR(__xludf.DUMMYFUNCTION("""COMPUTED_VALUE"""),2.41)</f>
        <v>2.41</v>
      </c>
      <c r="F3051">
        <f>IFERROR(__xludf.DUMMYFUNCTION("""COMPUTED_VALUE"""),28.32)</f>
        <v>28.32</v>
      </c>
      <c r="G3051">
        <f>IFERROR(__xludf.DUMMYFUNCTION("""COMPUTED_VALUE"""),0.0)</f>
        <v>0</v>
      </c>
    </row>
    <row r="3052">
      <c r="A3052">
        <f>IFERROR(__xludf.DUMMYFUNCTION("""COMPUTED_VALUE"""),782063.0)</f>
        <v>782063</v>
      </c>
      <c r="B3052" t="str">
        <f>IFERROR(__xludf.DUMMYFUNCTION("""COMPUTED_VALUE"""),"Ground Hog Cooked")</f>
        <v>Ground Hog Cooked</v>
      </c>
      <c r="C3052" t="str">
        <f>IFERROR(__xludf.DUMMYFUNCTION("""COMPUTED_VALUE"""),"Meats")</f>
        <v>Meats</v>
      </c>
      <c r="D3052">
        <f>IFERROR(__xludf.DUMMYFUNCTION("""COMPUTED_VALUE"""),234.0)</f>
        <v>234</v>
      </c>
      <c r="E3052">
        <f>IFERROR(__xludf.DUMMYFUNCTION("""COMPUTED_VALUE"""),13.6)</f>
        <v>13.6</v>
      </c>
      <c r="F3052">
        <f>IFERROR(__xludf.DUMMYFUNCTION("""COMPUTED_VALUE"""),25.96)</f>
        <v>25.96</v>
      </c>
      <c r="G3052">
        <f>IFERROR(__xludf.DUMMYFUNCTION("""COMPUTED_VALUE"""),0.0)</f>
        <v>0</v>
      </c>
    </row>
    <row r="3053">
      <c r="A3053">
        <f>IFERROR(__xludf.DUMMYFUNCTION("""COMPUTED_VALUE"""),782064.0)</f>
        <v>782064</v>
      </c>
      <c r="B3053" t="str">
        <f>IFERROR(__xludf.DUMMYFUNCTION("""COMPUTED_VALUE"""),"Opossum Cooked")</f>
        <v>Opossum Cooked</v>
      </c>
      <c r="C3053" t="str">
        <f>IFERROR(__xludf.DUMMYFUNCTION("""COMPUTED_VALUE"""),"Meats")</f>
        <v>Meats</v>
      </c>
      <c r="D3053">
        <f>IFERROR(__xludf.DUMMYFUNCTION("""COMPUTED_VALUE"""),220.0)</f>
        <v>220</v>
      </c>
      <c r="E3053">
        <f>IFERROR(__xludf.DUMMYFUNCTION("""COMPUTED_VALUE"""),10.16)</f>
        <v>10.16</v>
      </c>
      <c r="F3053">
        <f>IFERROR(__xludf.DUMMYFUNCTION("""COMPUTED_VALUE"""),30.07)</f>
        <v>30.07</v>
      </c>
      <c r="G3053">
        <f>IFERROR(__xludf.DUMMYFUNCTION("""COMPUTED_VALUE"""),0.0)</f>
        <v>0</v>
      </c>
    </row>
    <row r="3054">
      <c r="A3054">
        <f>IFERROR(__xludf.DUMMYFUNCTION("""COMPUTED_VALUE"""),782065.0)</f>
        <v>782065</v>
      </c>
      <c r="B3054" t="str">
        <f>IFERROR(__xludf.DUMMYFUNCTION("""COMPUTED_VALUE"""),"Squirrel Cooked")</f>
        <v>Squirrel Cooked</v>
      </c>
      <c r="C3054" t="str">
        <f>IFERROR(__xludf.DUMMYFUNCTION("""COMPUTED_VALUE"""),"Meats")</f>
        <v>Meats</v>
      </c>
      <c r="D3054">
        <f>IFERROR(__xludf.DUMMYFUNCTION("""COMPUTED_VALUE"""),172.0)</f>
        <v>172</v>
      </c>
      <c r="E3054">
        <f>IFERROR(__xludf.DUMMYFUNCTION("""COMPUTED_VALUE"""),4.67)</f>
        <v>4.67</v>
      </c>
      <c r="F3054">
        <f>IFERROR(__xludf.DUMMYFUNCTION("""COMPUTED_VALUE"""),30.64)</f>
        <v>30.64</v>
      </c>
      <c r="G3054">
        <f>IFERROR(__xludf.DUMMYFUNCTION("""COMPUTED_VALUE"""),0.0)</f>
        <v>0</v>
      </c>
    </row>
    <row r="3055">
      <c r="A3055">
        <f>IFERROR(__xludf.DUMMYFUNCTION("""COMPUTED_VALUE"""),782066.0)</f>
        <v>782066</v>
      </c>
      <c r="B3055" t="str">
        <f>IFERROR(__xludf.DUMMYFUNCTION("""COMPUTED_VALUE"""),"Beaver Cooked")</f>
        <v>Beaver Cooked</v>
      </c>
      <c r="C3055" t="str">
        <f>IFERROR(__xludf.DUMMYFUNCTION("""COMPUTED_VALUE"""),"Meats")</f>
        <v>Meats</v>
      </c>
      <c r="D3055">
        <f>IFERROR(__xludf.DUMMYFUNCTION("""COMPUTED_VALUE"""),211.0)</f>
        <v>211</v>
      </c>
      <c r="E3055">
        <f>IFERROR(__xludf.DUMMYFUNCTION("""COMPUTED_VALUE"""),6.93)</f>
        <v>6.93</v>
      </c>
      <c r="F3055">
        <f>IFERROR(__xludf.DUMMYFUNCTION("""COMPUTED_VALUE"""),34.7)</f>
        <v>34.7</v>
      </c>
      <c r="G3055">
        <f>IFERROR(__xludf.DUMMYFUNCTION("""COMPUTED_VALUE"""),0.0)</f>
        <v>0</v>
      </c>
    </row>
    <row r="3056">
      <c r="A3056">
        <f>IFERROR(__xludf.DUMMYFUNCTION("""COMPUTED_VALUE"""),782067.0)</f>
        <v>782067</v>
      </c>
      <c r="B3056" t="str">
        <f>IFERROR(__xludf.DUMMYFUNCTION("""COMPUTED_VALUE"""),"Raccoon Cooked")</f>
        <v>Raccoon Cooked</v>
      </c>
      <c r="C3056" t="str">
        <f>IFERROR(__xludf.DUMMYFUNCTION("""COMPUTED_VALUE"""),"Meats")</f>
        <v>Meats</v>
      </c>
      <c r="D3056">
        <f>IFERROR(__xludf.DUMMYFUNCTION("""COMPUTED_VALUE"""),254.0)</f>
        <v>254</v>
      </c>
      <c r="E3056">
        <f>IFERROR(__xludf.DUMMYFUNCTION("""COMPUTED_VALUE"""),14.44)</f>
        <v>14.44</v>
      </c>
      <c r="F3056">
        <f>IFERROR(__xludf.DUMMYFUNCTION("""COMPUTED_VALUE"""),29.08)</f>
        <v>29.08</v>
      </c>
      <c r="G3056">
        <f>IFERROR(__xludf.DUMMYFUNCTION("""COMPUTED_VALUE"""),0.0)</f>
        <v>0</v>
      </c>
    </row>
    <row r="3057">
      <c r="A3057">
        <f>IFERROR(__xludf.DUMMYFUNCTION("""COMPUTED_VALUE"""),782068.0)</f>
        <v>782068</v>
      </c>
      <c r="B3057" t="str">
        <f>IFERROR(__xludf.DUMMYFUNCTION("""COMPUTED_VALUE"""),"Armadillo Cooked")</f>
        <v>Armadillo Cooked</v>
      </c>
      <c r="C3057" t="str">
        <f>IFERROR(__xludf.DUMMYFUNCTION("""COMPUTED_VALUE"""),"Meats")</f>
        <v>Meats</v>
      </c>
      <c r="D3057">
        <f>IFERROR(__xludf.DUMMYFUNCTION("""COMPUTED_VALUE"""),159.0)</f>
        <v>159</v>
      </c>
      <c r="E3057">
        <f>IFERROR(__xludf.DUMMYFUNCTION("""COMPUTED_VALUE"""),4.36)</f>
        <v>4.36</v>
      </c>
      <c r="F3057">
        <f>IFERROR(__xludf.DUMMYFUNCTION("""COMPUTED_VALUE"""),28.18)</f>
        <v>28.18</v>
      </c>
      <c r="G3057">
        <f>IFERROR(__xludf.DUMMYFUNCTION("""COMPUTED_VALUE"""),0.0)</f>
        <v>0</v>
      </c>
    </row>
    <row r="3058">
      <c r="A3058">
        <f>IFERROR(__xludf.DUMMYFUNCTION("""COMPUTED_VALUE"""),782069.0)</f>
        <v>782069</v>
      </c>
      <c r="B3058" t="str">
        <f>IFERROR(__xludf.DUMMYFUNCTION("""COMPUTED_VALUE"""),"Wild Pig Smoked")</f>
        <v>Wild Pig Smoked</v>
      </c>
      <c r="C3058" t="str">
        <f>IFERROR(__xludf.DUMMYFUNCTION("""COMPUTED_VALUE"""),"Meats")</f>
        <v>Meats</v>
      </c>
      <c r="D3058">
        <f>IFERROR(__xludf.DUMMYFUNCTION("""COMPUTED_VALUE"""),157.0)</f>
        <v>157</v>
      </c>
      <c r="E3058">
        <f>IFERROR(__xludf.DUMMYFUNCTION("""COMPUTED_VALUE"""),4.3)</f>
        <v>4.3</v>
      </c>
      <c r="F3058">
        <f>IFERROR(__xludf.DUMMYFUNCTION("""COMPUTED_VALUE"""),27.8)</f>
        <v>27.8</v>
      </c>
      <c r="G3058">
        <f>IFERROR(__xludf.DUMMYFUNCTION("""COMPUTED_VALUE"""),0.0)</f>
        <v>0</v>
      </c>
    </row>
    <row r="3059">
      <c r="A3059">
        <f>IFERROR(__xludf.DUMMYFUNCTION("""COMPUTED_VALUE"""),782070.0)</f>
        <v>782070</v>
      </c>
      <c r="B3059" t="str">
        <f>IFERROR(__xludf.DUMMYFUNCTION("""COMPUTED_VALUE"""),"Ostrich Cooked")</f>
        <v>Ostrich Cooked</v>
      </c>
      <c r="C3059" t="str">
        <f>IFERROR(__xludf.DUMMYFUNCTION("""COMPUTED_VALUE"""),"Meats")</f>
        <v>Meats</v>
      </c>
      <c r="D3059">
        <f>IFERROR(__xludf.DUMMYFUNCTION("""COMPUTED_VALUE"""),174.0)</f>
        <v>174</v>
      </c>
      <c r="E3059">
        <f>IFERROR(__xludf.DUMMYFUNCTION("""COMPUTED_VALUE"""),7.01)</f>
        <v>7.01</v>
      </c>
      <c r="F3059">
        <f>IFERROR(__xludf.DUMMYFUNCTION("""COMPUTED_VALUE"""),25.93)</f>
        <v>25.93</v>
      </c>
      <c r="G3059">
        <f>IFERROR(__xludf.DUMMYFUNCTION("""COMPUTED_VALUE"""),0.0)</f>
        <v>0</v>
      </c>
    </row>
    <row r="3060">
      <c r="A3060">
        <f>IFERROR(__xludf.DUMMYFUNCTION("""COMPUTED_VALUE"""),782073.0)</f>
        <v>782073</v>
      </c>
      <c r="B3060" t="str">
        <f>IFERROR(__xludf.DUMMYFUNCTION("""COMPUTED_VALUE"""),"Chicken Ns As To Part And Cooking Method Ns As To Skin Eaten")</f>
        <v>Chicken Ns As To Part And Cooking Method Ns As To Skin Eaten</v>
      </c>
      <c r="C3060" t="str">
        <f>IFERROR(__xludf.DUMMYFUNCTION("""COMPUTED_VALUE"""),"Meats")</f>
        <v>Meats</v>
      </c>
      <c r="D3060">
        <f>IFERROR(__xludf.DUMMYFUNCTION("""COMPUTED_VALUE"""),164.0)</f>
        <v>164</v>
      </c>
      <c r="E3060">
        <f>IFERROR(__xludf.DUMMYFUNCTION("""COMPUTED_VALUE"""),6.36)</f>
        <v>6.36</v>
      </c>
      <c r="F3060">
        <f>IFERROR(__xludf.DUMMYFUNCTION("""COMPUTED_VALUE"""),26.79)</f>
        <v>26.79</v>
      </c>
      <c r="G3060">
        <f>IFERROR(__xludf.DUMMYFUNCTION("""COMPUTED_VALUE"""),0.0)</f>
        <v>0</v>
      </c>
    </row>
    <row r="3061">
      <c r="A3061">
        <f>IFERROR(__xludf.DUMMYFUNCTION("""COMPUTED_VALUE"""),782074.0)</f>
        <v>782074</v>
      </c>
      <c r="B3061" t="str">
        <f>IFERROR(__xludf.DUMMYFUNCTION("""COMPUTED_VALUE"""),"Chicken Ns As To Part And Cooking Method Skin Eaten")</f>
        <v>Chicken Ns As To Part And Cooking Method Skin Eaten</v>
      </c>
      <c r="C3061" t="str">
        <f>IFERROR(__xludf.DUMMYFUNCTION("""COMPUTED_VALUE"""),"Meats")</f>
        <v>Meats</v>
      </c>
      <c r="D3061">
        <f>IFERROR(__xludf.DUMMYFUNCTION("""COMPUTED_VALUE"""),196.0)</f>
        <v>196</v>
      </c>
      <c r="E3061">
        <f>IFERROR(__xludf.DUMMYFUNCTION("""COMPUTED_VALUE"""),10.65)</f>
        <v>10.65</v>
      </c>
      <c r="F3061">
        <f>IFERROR(__xludf.DUMMYFUNCTION("""COMPUTED_VALUE"""),25.07)</f>
        <v>25.07</v>
      </c>
      <c r="G3061">
        <f>IFERROR(__xludf.DUMMYFUNCTION("""COMPUTED_VALUE"""),0.1)</f>
        <v>0.1</v>
      </c>
    </row>
    <row r="3062">
      <c r="A3062">
        <f>IFERROR(__xludf.DUMMYFUNCTION("""COMPUTED_VALUE"""),782075.0)</f>
        <v>782075</v>
      </c>
      <c r="B3062" t="str">
        <f>IFERROR(__xludf.DUMMYFUNCTION("""COMPUTED_VALUE"""),"Chicken Ns As To Part And Cooking Method Skin Not Eaten")</f>
        <v>Chicken Ns As To Part And Cooking Method Skin Not Eaten</v>
      </c>
      <c r="C3062" t="str">
        <f>IFERROR(__xludf.DUMMYFUNCTION("""COMPUTED_VALUE"""),"Meats")</f>
        <v>Meats</v>
      </c>
      <c r="D3062">
        <f>IFERROR(__xludf.DUMMYFUNCTION("""COMPUTED_VALUE"""),164.0)</f>
        <v>164</v>
      </c>
      <c r="E3062">
        <f>IFERROR(__xludf.DUMMYFUNCTION("""COMPUTED_VALUE"""),6.36)</f>
        <v>6.36</v>
      </c>
      <c r="F3062">
        <f>IFERROR(__xludf.DUMMYFUNCTION("""COMPUTED_VALUE"""),26.79)</f>
        <v>26.79</v>
      </c>
      <c r="G3062">
        <f>IFERROR(__xludf.DUMMYFUNCTION("""COMPUTED_VALUE"""),0.0)</f>
        <v>0</v>
      </c>
    </row>
    <row r="3063">
      <c r="A3063">
        <f>IFERROR(__xludf.DUMMYFUNCTION("""COMPUTED_VALUE"""),782076.0)</f>
        <v>782076</v>
      </c>
      <c r="B3063" t="str">
        <f>IFERROR(__xludf.DUMMYFUNCTION("""COMPUTED_VALUE"""),"Chicken Ns As To Part Baked Broiled Or Roasted Ns As To Skin Eaten")</f>
        <v>Chicken Ns As To Part Baked Broiled Or Roasted Ns As To Skin Eaten</v>
      </c>
      <c r="C3063" t="str">
        <f>IFERROR(__xludf.DUMMYFUNCTION("""COMPUTED_VALUE"""),"Meats")</f>
        <v>Meats</v>
      </c>
      <c r="D3063">
        <f>IFERROR(__xludf.DUMMYFUNCTION("""COMPUTED_VALUE"""),165.0)</f>
        <v>165</v>
      </c>
      <c r="E3063">
        <f>IFERROR(__xludf.DUMMYFUNCTION("""COMPUTED_VALUE"""),5.32)</f>
        <v>5.32</v>
      </c>
      <c r="F3063">
        <f>IFERROR(__xludf.DUMMYFUNCTION("""COMPUTED_VALUE"""),27.32)</f>
        <v>27.32</v>
      </c>
      <c r="G3063">
        <f>IFERROR(__xludf.DUMMYFUNCTION("""COMPUTED_VALUE"""),0.0)</f>
        <v>0</v>
      </c>
    </row>
    <row r="3064">
      <c r="A3064">
        <f>IFERROR(__xludf.DUMMYFUNCTION("""COMPUTED_VALUE"""),782077.0)</f>
        <v>782077</v>
      </c>
      <c r="B3064" t="str">
        <f>IFERROR(__xludf.DUMMYFUNCTION("""COMPUTED_VALUE"""),"Chicken Ns As To Part Baked Broiled Or Roasted Skin Eaten")</f>
        <v>Chicken Ns As To Part Baked Broiled Or Roasted Skin Eaten</v>
      </c>
      <c r="C3064" t="str">
        <f>IFERROR(__xludf.DUMMYFUNCTION("""COMPUTED_VALUE"""),"Meats")</f>
        <v>Meats</v>
      </c>
      <c r="D3064">
        <f>IFERROR(__xludf.DUMMYFUNCTION("""COMPUTED_VALUE"""),203.0)</f>
        <v>203</v>
      </c>
      <c r="E3064">
        <f>IFERROR(__xludf.DUMMYFUNCTION("""COMPUTED_VALUE"""),10.8)</f>
        <v>10.8</v>
      </c>
      <c r="F3064">
        <f>IFERROR(__xludf.DUMMYFUNCTION("""COMPUTED_VALUE"""),24.7)</f>
        <v>24.7</v>
      </c>
      <c r="G3064">
        <f>IFERROR(__xludf.DUMMYFUNCTION("""COMPUTED_VALUE"""),0.0)</f>
        <v>0</v>
      </c>
    </row>
    <row r="3065">
      <c r="A3065">
        <f>IFERROR(__xludf.DUMMYFUNCTION("""COMPUTED_VALUE"""),782078.0)</f>
        <v>782078</v>
      </c>
      <c r="B3065" t="str">
        <f>IFERROR(__xludf.DUMMYFUNCTION("""COMPUTED_VALUE"""),"Chicken Ns As To Part Baked Broiled Or Roasted Skin Not Eaten")</f>
        <v>Chicken Ns As To Part Baked Broiled Or Roasted Skin Not Eaten</v>
      </c>
      <c r="C3065" t="str">
        <f>IFERROR(__xludf.DUMMYFUNCTION("""COMPUTED_VALUE"""),"Meats")</f>
        <v>Meats</v>
      </c>
      <c r="D3065">
        <f>IFERROR(__xludf.DUMMYFUNCTION("""COMPUTED_VALUE"""),165.0)</f>
        <v>165</v>
      </c>
      <c r="E3065">
        <f>IFERROR(__xludf.DUMMYFUNCTION("""COMPUTED_VALUE"""),5.32)</f>
        <v>5.32</v>
      </c>
      <c r="F3065">
        <f>IFERROR(__xludf.DUMMYFUNCTION("""COMPUTED_VALUE"""),27.32)</f>
        <v>27.32</v>
      </c>
      <c r="G3065">
        <f>IFERROR(__xludf.DUMMYFUNCTION("""COMPUTED_VALUE"""),0.0)</f>
        <v>0</v>
      </c>
    </row>
    <row r="3066">
      <c r="A3066">
        <f>IFERROR(__xludf.DUMMYFUNCTION("""COMPUTED_VALUE"""),782079.0)</f>
        <v>782079</v>
      </c>
      <c r="B3066" t="str">
        <f>IFERROR(__xludf.DUMMYFUNCTION("""COMPUTED_VALUE"""),"Chicken Ns As To Part Rotisserie Ns As To Skin Eaten")</f>
        <v>Chicken Ns As To Part Rotisserie Ns As To Skin Eaten</v>
      </c>
      <c r="C3066" t="str">
        <f>IFERROR(__xludf.DUMMYFUNCTION("""COMPUTED_VALUE"""),"Meats")</f>
        <v>Meats</v>
      </c>
      <c r="D3066">
        <f>IFERROR(__xludf.DUMMYFUNCTION("""COMPUTED_VALUE"""),164.0)</f>
        <v>164</v>
      </c>
      <c r="E3066">
        <f>IFERROR(__xludf.DUMMYFUNCTION("""COMPUTED_VALUE"""),6.36)</f>
        <v>6.36</v>
      </c>
      <c r="F3066">
        <f>IFERROR(__xludf.DUMMYFUNCTION("""COMPUTED_VALUE"""),26.79)</f>
        <v>26.79</v>
      </c>
      <c r="G3066">
        <f>IFERROR(__xludf.DUMMYFUNCTION("""COMPUTED_VALUE"""),0.0)</f>
        <v>0</v>
      </c>
    </row>
    <row r="3067">
      <c r="A3067">
        <f>IFERROR(__xludf.DUMMYFUNCTION("""COMPUTED_VALUE"""),782080.0)</f>
        <v>782080</v>
      </c>
      <c r="B3067" t="str">
        <f>IFERROR(__xludf.DUMMYFUNCTION("""COMPUTED_VALUE"""),"Chicken Ns As To Part Rotisserie Skin Eaten")</f>
        <v>Chicken Ns As To Part Rotisserie Skin Eaten</v>
      </c>
      <c r="C3067" t="str">
        <f>IFERROR(__xludf.DUMMYFUNCTION("""COMPUTED_VALUE"""),"Meats")</f>
        <v>Meats</v>
      </c>
      <c r="D3067">
        <f>IFERROR(__xludf.DUMMYFUNCTION("""COMPUTED_VALUE"""),196.0)</f>
        <v>196</v>
      </c>
      <c r="E3067">
        <f>IFERROR(__xludf.DUMMYFUNCTION("""COMPUTED_VALUE"""),10.65)</f>
        <v>10.65</v>
      </c>
      <c r="F3067">
        <f>IFERROR(__xludf.DUMMYFUNCTION("""COMPUTED_VALUE"""),25.07)</f>
        <v>25.07</v>
      </c>
      <c r="G3067">
        <f>IFERROR(__xludf.DUMMYFUNCTION("""COMPUTED_VALUE"""),0.1)</f>
        <v>0.1</v>
      </c>
    </row>
    <row r="3068">
      <c r="A3068">
        <f>IFERROR(__xludf.DUMMYFUNCTION("""COMPUTED_VALUE"""),782081.0)</f>
        <v>782081</v>
      </c>
      <c r="B3068" t="str">
        <f>IFERROR(__xludf.DUMMYFUNCTION("""COMPUTED_VALUE"""),"Chicken Ns As To Part Rotisserie Skin Not Eaten")</f>
        <v>Chicken Ns As To Part Rotisserie Skin Not Eaten</v>
      </c>
      <c r="C3068" t="str">
        <f>IFERROR(__xludf.DUMMYFUNCTION("""COMPUTED_VALUE"""),"Meats")</f>
        <v>Meats</v>
      </c>
      <c r="D3068">
        <f>IFERROR(__xludf.DUMMYFUNCTION("""COMPUTED_VALUE"""),164.0)</f>
        <v>164</v>
      </c>
      <c r="E3068">
        <f>IFERROR(__xludf.DUMMYFUNCTION("""COMPUTED_VALUE"""),6.36)</f>
        <v>6.36</v>
      </c>
      <c r="F3068">
        <f>IFERROR(__xludf.DUMMYFUNCTION("""COMPUTED_VALUE"""),26.79)</f>
        <v>26.79</v>
      </c>
      <c r="G3068">
        <f>IFERROR(__xludf.DUMMYFUNCTION("""COMPUTED_VALUE"""),0.0)</f>
        <v>0</v>
      </c>
    </row>
    <row r="3069">
      <c r="A3069">
        <f>IFERROR(__xludf.DUMMYFUNCTION("""COMPUTED_VALUE"""),782082.0)</f>
        <v>782082</v>
      </c>
      <c r="B3069" t="str">
        <f>IFERROR(__xludf.DUMMYFUNCTION("""COMPUTED_VALUE"""),"Chicken Ns As To Part Stewed Ns As To Skin Eaten")</f>
        <v>Chicken Ns As To Part Stewed Ns As To Skin Eaten</v>
      </c>
      <c r="C3069" t="str">
        <f>IFERROR(__xludf.DUMMYFUNCTION("""COMPUTED_VALUE"""),"Meats")</f>
        <v>Meats</v>
      </c>
      <c r="D3069">
        <f>IFERROR(__xludf.DUMMYFUNCTION("""COMPUTED_VALUE"""),156.0)</f>
        <v>156</v>
      </c>
      <c r="E3069">
        <f>IFERROR(__xludf.DUMMYFUNCTION("""COMPUTED_VALUE"""),5.38)</f>
        <v>5.38</v>
      </c>
      <c r="F3069">
        <f>IFERROR(__xludf.DUMMYFUNCTION("""COMPUTED_VALUE"""),26.03)</f>
        <v>26.03</v>
      </c>
      <c r="G3069">
        <f>IFERROR(__xludf.DUMMYFUNCTION("""COMPUTED_VALUE"""),0.0)</f>
        <v>0</v>
      </c>
    </row>
    <row r="3070">
      <c r="A3070">
        <f>IFERROR(__xludf.DUMMYFUNCTION("""COMPUTED_VALUE"""),782083.0)</f>
        <v>782083</v>
      </c>
      <c r="B3070" t="str">
        <f>IFERROR(__xludf.DUMMYFUNCTION("""COMPUTED_VALUE"""),"Chicken Ns As To Part Stewed Skin Eaten")</f>
        <v>Chicken Ns As To Part Stewed Skin Eaten</v>
      </c>
      <c r="C3070" t="str">
        <f>IFERROR(__xludf.DUMMYFUNCTION("""COMPUTED_VALUE"""),"Meats")</f>
        <v>Meats</v>
      </c>
      <c r="D3070">
        <f>IFERROR(__xludf.DUMMYFUNCTION("""COMPUTED_VALUE"""),196.0)</f>
        <v>196</v>
      </c>
      <c r="E3070">
        <f>IFERROR(__xludf.DUMMYFUNCTION("""COMPUTED_VALUE"""),10.86)</f>
        <v>10.86</v>
      </c>
      <c r="F3070">
        <f>IFERROR(__xludf.DUMMYFUNCTION("""COMPUTED_VALUE"""),23.58)</f>
        <v>23.58</v>
      </c>
      <c r="G3070">
        <f>IFERROR(__xludf.DUMMYFUNCTION("""COMPUTED_VALUE"""),0.0)</f>
        <v>0</v>
      </c>
    </row>
    <row r="3071">
      <c r="A3071">
        <f>IFERROR(__xludf.DUMMYFUNCTION("""COMPUTED_VALUE"""),782084.0)</f>
        <v>782084</v>
      </c>
      <c r="B3071" t="str">
        <f>IFERROR(__xludf.DUMMYFUNCTION("""COMPUTED_VALUE"""),"Chicken Ns As To Part Stewed Skin Not Eaten")</f>
        <v>Chicken Ns As To Part Stewed Skin Not Eaten</v>
      </c>
      <c r="C3071" t="str">
        <f>IFERROR(__xludf.DUMMYFUNCTION("""COMPUTED_VALUE"""),"Meats")</f>
        <v>Meats</v>
      </c>
      <c r="D3071">
        <f>IFERROR(__xludf.DUMMYFUNCTION("""COMPUTED_VALUE"""),156.0)</f>
        <v>156</v>
      </c>
      <c r="E3071">
        <f>IFERROR(__xludf.DUMMYFUNCTION("""COMPUTED_VALUE"""),5.38)</f>
        <v>5.38</v>
      </c>
      <c r="F3071">
        <f>IFERROR(__xludf.DUMMYFUNCTION("""COMPUTED_VALUE"""),26.03)</f>
        <v>26.03</v>
      </c>
      <c r="G3071">
        <f>IFERROR(__xludf.DUMMYFUNCTION("""COMPUTED_VALUE"""),0.0)</f>
        <v>0</v>
      </c>
    </row>
    <row r="3072">
      <c r="A3072">
        <f>IFERROR(__xludf.DUMMYFUNCTION("""COMPUTED_VALUE"""),782085.0)</f>
        <v>782085</v>
      </c>
      <c r="B3072" t="str">
        <f>IFERROR(__xludf.DUMMYFUNCTION("""COMPUTED_VALUE"""),"Chicken Ns As To Part Grilled Without Sauce Ns As To Skin Eaten")</f>
        <v>Chicken Ns As To Part Grilled Without Sauce Ns As To Skin Eaten</v>
      </c>
      <c r="C3072" t="str">
        <f>IFERROR(__xludf.DUMMYFUNCTION("""COMPUTED_VALUE"""),"Meats")</f>
        <v>Meats</v>
      </c>
      <c r="D3072">
        <f>IFERROR(__xludf.DUMMYFUNCTION("""COMPUTED_VALUE"""),179.0)</f>
        <v>179</v>
      </c>
      <c r="E3072">
        <f>IFERROR(__xludf.DUMMYFUNCTION("""COMPUTED_VALUE"""),7.2)</f>
        <v>7.2</v>
      </c>
      <c r="F3072">
        <f>IFERROR(__xludf.DUMMYFUNCTION("""COMPUTED_VALUE"""),26.74)</f>
        <v>26.74</v>
      </c>
      <c r="G3072">
        <f>IFERROR(__xludf.DUMMYFUNCTION("""COMPUTED_VALUE"""),0.0)</f>
        <v>0</v>
      </c>
    </row>
    <row r="3073">
      <c r="A3073">
        <f>IFERROR(__xludf.DUMMYFUNCTION("""COMPUTED_VALUE"""),782086.0)</f>
        <v>782086</v>
      </c>
      <c r="B3073" t="str">
        <f>IFERROR(__xludf.DUMMYFUNCTION("""COMPUTED_VALUE"""),"Chicken Ns As To Part Grilled Without Sauce Skin Eaten")</f>
        <v>Chicken Ns As To Part Grilled Without Sauce Skin Eaten</v>
      </c>
      <c r="C3073" t="str">
        <f>IFERROR(__xludf.DUMMYFUNCTION("""COMPUTED_VALUE"""),"Meats")</f>
        <v>Meats</v>
      </c>
      <c r="D3073">
        <f>IFERROR(__xludf.DUMMYFUNCTION("""COMPUTED_VALUE"""),216.0)</f>
        <v>216</v>
      </c>
      <c r="E3073">
        <f>IFERROR(__xludf.DUMMYFUNCTION("""COMPUTED_VALUE"""),12.57)</f>
        <v>12.57</v>
      </c>
      <c r="F3073">
        <f>IFERROR(__xludf.DUMMYFUNCTION("""COMPUTED_VALUE"""),24.19)</f>
        <v>24.19</v>
      </c>
      <c r="G3073">
        <f>IFERROR(__xludf.DUMMYFUNCTION("""COMPUTED_VALUE"""),0.0)</f>
        <v>0</v>
      </c>
    </row>
    <row r="3074">
      <c r="A3074">
        <f>IFERROR(__xludf.DUMMYFUNCTION("""COMPUTED_VALUE"""),782087.0)</f>
        <v>782087</v>
      </c>
      <c r="B3074" t="str">
        <f>IFERROR(__xludf.DUMMYFUNCTION("""COMPUTED_VALUE"""),"Chicken Ns As To Part Grilled Without Sauce Skin Not Eaten")</f>
        <v>Chicken Ns As To Part Grilled Without Sauce Skin Not Eaten</v>
      </c>
      <c r="C3074" t="str">
        <f>IFERROR(__xludf.DUMMYFUNCTION("""COMPUTED_VALUE"""),"Meats")</f>
        <v>Meats</v>
      </c>
      <c r="D3074">
        <f>IFERROR(__xludf.DUMMYFUNCTION("""COMPUTED_VALUE"""),179.0)</f>
        <v>179</v>
      </c>
      <c r="E3074">
        <f>IFERROR(__xludf.DUMMYFUNCTION("""COMPUTED_VALUE"""),7.2)</f>
        <v>7.2</v>
      </c>
      <c r="F3074">
        <f>IFERROR(__xludf.DUMMYFUNCTION("""COMPUTED_VALUE"""),26.74)</f>
        <v>26.74</v>
      </c>
      <c r="G3074">
        <f>IFERROR(__xludf.DUMMYFUNCTION("""COMPUTED_VALUE"""),0.0)</f>
        <v>0</v>
      </c>
    </row>
    <row r="3075">
      <c r="A3075">
        <f>IFERROR(__xludf.DUMMYFUNCTION("""COMPUTED_VALUE"""),782088.0)</f>
        <v>782088</v>
      </c>
      <c r="B3075" t="str">
        <f>IFERROR(__xludf.DUMMYFUNCTION("""COMPUTED_VALUE"""),"Chicken Ns As To Part Grilled With Sauce Ns As To Skin Eaten")</f>
        <v>Chicken Ns As To Part Grilled With Sauce Ns As To Skin Eaten</v>
      </c>
      <c r="C3075" t="str">
        <f>IFERROR(__xludf.DUMMYFUNCTION("""COMPUTED_VALUE"""),"Meats")</f>
        <v>Meats</v>
      </c>
      <c r="D3075">
        <f>IFERROR(__xludf.DUMMYFUNCTION("""COMPUTED_VALUE"""),180.0)</f>
        <v>180</v>
      </c>
      <c r="E3075">
        <f>IFERROR(__xludf.DUMMYFUNCTION("""COMPUTED_VALUE"""),6.36)</f>
        <v>6.36</v>
      </c>
      <c r="F3075">
        <f>IFERROR(__xludf.DUMMYFUNCTION("""COMPUTED_VALUE"""),21.98)</f>
        <v>21.98</v>
      </c>
      <c r="G3075">
        <f>IFERROR(__xludf.DUMMYFUNCTION("""COMPUTED_VALUE"""),7.31)</f>
        <v>7.31</v>
      </c>
    </row>
    <row r="3076">
      <c r="A3076">
        <f>IFERROR(__xludf.DUMMYFUNCTION("""COMPUTED_VALUE"""),782089.0)</f>
        <v>782089</v>
      </c>
      <c r="B3076" t="str">
        <f>IFERROR(__xludf.DUMMYFUNCTION("""COMPUTED_VALUE"""),"Chicken Ns As To Part Grilled With Sauce Skin Eaten")</f>
        <v>Chicken Ns As To Part Grilled With Sauce Skin Eaten</v>
      </c>
      <c r="C3076" t="str">
        <f>IFERROR(__xludf.DUMMYFUNCTION("""COMPUTED_VALUE"""),"Meats")</f>
        <v>Meats</v>
      </c>
      <c r="D3076">
        <f>IFERROR(__xludf.DUMMYFUNCTION("""COMPUTED_VALUE"""),211.0)</f>
        <v>211</v>
      </c>
      <c r="E3076">
        <f>IFERROR(__xludf.DUMMYFUNCTION("""COMPUTED_VALUE"""),10.74)</f>
        <v>10.74</v>
      </c>
      <c r="F3076">
        <f>IFERROR(__xludf.DUMMYFUNCTION("""COMPUTED_VALUE"""),19.89)</f>
        <v>19.89</v>
      </c>
      <c r="G3076">
        <f>IFERROR(__xludf.DUMMYFUNCTION("""COMPUTED_VALUE"""),7.31)</f>
        <v>7.31</v>
      </c>
    </row>
    <row r="3077">
      <c r="A3077">
        <f>IFERROR(__xludf.DUMMYFUNCTION("""COMPUTED_VALUE"""),782090.0)</f>
        <v>782090</v>
      </c>
      <c r="B3077" t="str">
        <f>IFERROR(__xludf.DUMMYFUNCTION("""COMPUTED_VALUE"""),"Chicken Ns As To Part Grilled With Sauce Skin Not Eaten")</f>
        <v>Chicken Ns As To Part Grilled With Sauce Skin Not Eaten</v>
      </c>
      <c r="C3077" t="str">
        <f>IFERROR(__xludf.DUMMYFUNCTION("""COMPUTED_VALUE"""),"Meats")</f>
        <v>Meats</v>
      </c>
      <c r="D3077">
        <f>IFERROR(__xludf.DUMMYFUNCTION("""COMPUTED_VALUE"""),180.0)</f>
        <v>180</v>
      </c>
      <c r="E3077">
        <f>IFERROR(__xludf.DUMMYFUNCTION("""COMPUTED_VALUE"""),6.36)</f>
        <v>6.36</v>
      </c>
      <c r="F3077">
        <f>IFERROR(__xludf.DUMMYFUNCTION("""COMPUTED_VALUE"""),21.98)</f>
        <v>21.98</v>
      </c>
      <c r="G3077">
        <f>IFERROR(__xludf.DUMMYFUNCTION("""COMPUTED_VALUE"""),7.31)</f>
        <v>7.31</v>
      </c>
    </row>
    <row r="3078">
      <c r="A3078">
        <f>IFERROR(__xludf.DUMMYFUNCTION("""COMPUTED_VALUE"""),782091.0)</f>
        <v>782091</v>
      </c>
      <c r="B3078" t="str">
        <f>IFERROR(__xludf.DUMMYFUNCTION("""COMPUTED_VALUE"""),"Chicken Ns As To Part Sauteed Skin Eaten")</f>
        <v>Chicken Ns As To Part Sauteed Skin Eaten</v>
      </c>
      <c r="C3078" t="str">
        <f>IFERROR(__xludf.DUMMYFUNCTION("""COMPUTED_VALUE"""),"Meats")</f>
        <v>Meats</v>
      </c>
      <c r="D3078">
        <f>IFERROR(__xludf.DUMMYFUNCTION("""COMPUTED_VALUE"""),216.0)</f>
        <v>216</v>
      </c>
      <c r="E3078">
        <f>IFERROR(__xludf.DUMMYFUNCTION("""COMPUTED_VALUE"""),12.57)</f>
        <v>12.57</v>
      </c>
      <c r="F3078">
        <f>IFERROR(__xludf.DUMMYFUNCTION("""COMPUTED_VALUE"""),24.19)</f>
        <v>24.19</v>
      </c>
      <c r="G3078">
        <f>IFERROR(__xludf.DUMMYFUNCTION("""COMPUTED_VALUE"""),0.0)</f>
        <v>0</v>
      </c>
    </row>
    <row r="3079">
      <c r="A3079">
        <f>IFERROR(__xludf.DUMMYFUNCTION("""COMPUTED_VALUE"""),782092.0)</f>
        <v>782092</v>
      </c>
      <c r="B3079" t="str">
        <f>IFERROR(__xludf.DUMMYFUNCTION("""COMPUTED_VALUE"""),"Chicken Ns As To Part Sauteed Skin Not Eaten")</f>
        <v>Chicken Ns As To Part Sauteed Skin Not Eaten</v>
      </c>
      <c r="C3079" t="str">
        <f>IFERROR(__xludf.DUMMYFUNCTION("""COMPUTED_VALUE"""),"Meats")</f>
        <v>Meats</v>
      </c>
      <c r="D3079">
        <f>IFERROR(__xludf.DUMMYFUNCTION("""COMPUTED_VALUE"""),179.0)</f>
        <v>179</v>
      </c>
      <c r="E3079">
        <f>IFERROR(__xludf.DUMMYFUNCTION("""COMPUTED_VALUE"""),7.2)</f>
        <v>7.2</v>
      </c>
      <c r="F3079">
        <f>IFERROR(__xludf.DUMMYFUNCTION("""COMPUTED_VALUE"""),26.74)</f>
        <v>26.74</v>
      </c>
      <c r="G3079">
        <f>IFERROR(__xludf.DUMMYFUNCTION("""COMPUTED_VALUE"""),0.0)</f>
        <v>0</v>
      </c>
    </row>
    <row r="3080">
      <c r="A3080">
        <f>IFERROR(__xludf.DUMMYFUNCTION("""COMPUTED_VALUE"""),782093.0)</f>
        <v>782093</v>
      </c>
      <c r="B3080" t="str">
        <f>IFERROR(__xludf.DUMMYFUNCTION("""COMPUTED_VALUE"""),"Chicken Ns As To Part Fried Coated Skin / Coating Eaten")</f>
        <v>Chicken Ns As To Part Fried Coated Skin / Coating Eaten</v>
      </c>
      <c r="C3080" t="str">
        <f>IFERROR(__xludf.DUMMYFUNCTION("""COMPUTED_VALUE"""),"Meats")</f>
        <v>Meats</v>
      </c>
      <c r="D3080">
        <f>IFERROR(__xludf.DUMMYFUNCTION("""COMPUTED_VALUE"""),251.0)</f>
        <v>251</v>
      </c>
      <c r="E3080">
        <f>IFERROR(__xludf.DUMMYFUNCTION("""COMPUTED_VALUE"""),15.02)</f>
        <v>15.02</v>
      </c>
      <c r="F3080">
        <f>IFERROR(__xludf.DUMMYFUNCTION("""COMPUTED_VALUE"""),21.75)</f>
        <v>21.75</v>
      </c>
      <c r="G3080">
        <f>IFERROR(__xludf.DUMMYFUNCTION("""COMPUTED_VALUE"""),7.14)</f>
        <v>7.14</v>
      </c>
    </row>
    <row r="3081">
      <c r="A3081">
        <f>IFERROR(__xludf.DUMMYFUNCTION("""COMPUTED_VALUE"""),782094.0)</f>
        <v>782094</v>
      </c>
      <c r="B3081" t="str">
        <f>IFERROR(__xludf.DUMMYFUNCTION("""COMPUTED_VALUE"""),"Chicken Ns As To Part Fried Coated Skin / Coating Not Eaten")</f>
        <v>Chicken Ns As To Part Fried Coated Skin / Coating Not Eaten</v>
      </c>
      <c r="C3081" t="str">
        <f>IFERROR(__xludf.DUMMYFUNCTION("""COMPUTED_VALUE"""),"Meats")</f>
        <v>Meats</v>
      </c>
      <c r="D3081">
        <f>IFERROR(__xludf.DUMMYFUNCTION("""COMPUTED_VALUE"""),164.0)</f>
        <v>164</v>
      </c>
      <c r="E3081">
        <f>IFERROR(__xludf.DUMMYFUNCTION("""COMPUTED_VALUE"""),6.58)</f>
        <v>6.58</v>
      </c>
      <c r="F3081">
        <f>IFERROR(__xludf.DUMMYFUNCTION("""COMPUTED_VALUE"""),26.18)</f>
        <v>26.18</v>
      </c>
      <c r="G3081">
        <f>IFERROR(__xludf.DUMMYFUNCTION("""COMPUTED_VALUE"""),0.07)</f>
        <v>0.07</v>
      </c>
    </row>
    <row r="3082">
      <c r="A3082">
        <f>IFERROR(__xludf.DUMMYFUNCTION("""COMPUTED_VALUE"""),782095.0)</f>
        <v>782095</v>
      </c>
      <c r="B3082" t="str">
        <f>IFERROR(__xludf.DUMMYFUNCTION("""COMPUTED_VALUE"""),"Chicken Ns As To Part Baked Coated Skin / Coating Eaten")</f>
        <v>Chicken Ns As To Part Baked Coated Skin / Coating Eaten</v>
      </c>
      <c r="C3082" t="str">
        <f>IFERROR(__xludf.DUMMYFUNCTION("""COMPUTED_VALUE"""),"Meats")</f>
        <v>Meats</v>
      </c>
      <c r="D3082">
        <f>IFERROR(__xludf.DUMMYFUNCTION("""COMPUTED_VALUE"""),251.0)</f>
        <v>251</v>
      </c>
      <c r="E3082">
        <f>IFERROR(__xludf.DUMMYFUNCTION("""COMPUTED_VALUE"""),15.02)</f>
        <v>15.02</v>
      </c>
      <c r="F3082">
        <f>IFERROR(__xludf.DUMMYFUNCTION("""COMPUTED_VALUE"""),21.75)</f>
        <v>21.75</v>
      </c>
      <c r="G3082">
        <f>IFERROR(__xludf.DUMMYFUNCTION("""COMPUTED_VALUE"""),7.14)</f>
        <v>7.14</v>
      </c>
    </row>
    <row r="3083">
      <c r="A3083">
        <f>IFERROR(__xludf.DUMMYFUNCTION("""COMPUTED_VALUE"""),782096.0)</f>
        <v>782096</v>
      </c>
      <c r="B3083" t="str">
        <f>IFERROR(__xludf.DUMMYFUNCTION("""COMPUTED_VALUE"""),"Chicken Ns As To Part Baked Coated Skin / Coating Not Eaten")</f>
        <v>Chicken Ns As To Part Baked Coated Skin / Coating Not Eaten</v>
      </c>
      <c r="C3083" t="str">
        <f>IFERROR(__xludf.DUMMYFUNCTION("""COMPUTED_VALUE"""),"Meats")</f>
        <v>Meats</v>
      </c>
      <c r="D3083">
        <f>IFERROR(__xludf.DUMMYFUNCTION("""COMPUTED_VALUE"""),164.0)</f>
        <v>164</v>
      </c>
      <c r="E3083">
        <f>IFERROR(__xludf.DUMMYFUNCTION("""COMPUTED_VALUE"""),6.58)</f>
        <v>6.58</v>
      </c>
      <c r="F3083">
        <f>IFERROR(__xludf.DUMMYFUNCTION("""COMPUTED_VALUE"""),26.18)</f>
        <v>26.18</v>
      </c>
      <c r="G3083">
        <f>IFERROR(__xludf.DUMMYFUNCTION("""COMPUTED_VALUE"""),0.07)</f>
        <v>0.07</v>
      </c>
    </row>
    <row r="3084">
      <c r="A3084">
        <f>IFERROR(__xludf.DUMMYFUNCTION("""COMPUTED_VALUE"""),782099.0)</f>
        <v>782099</v>
      </c>
      <c r="B3084" t="str">
        <f>IFERROR(__xludf.DUMMYFUNCTION("""COMPUTED_VALUE"""),"Chicken Breast Baked Broiled Or Roasted Skin Eaten From Raw")</f>
        <v>Chicken Breast Baked Broiled Or Roasted Skin Eaten From Raw</v>
      </c>
      <c r="C3084" t="str">
        <f>IFERROR(__xludf.DUMMYFUNCTION("""COMPUTED_VALUE"""),"Meats")</f>
        <v>Meats</v>
      </c>
      <c r="D3084">
        <f>IFERROR(__xludf.DUMMYFUNCTION("""COMPUTED_VALUE"""),192.0)</f>
        <v>192</v>
      </c>
      <c r="E3084">
        <f>IFERROR(__xludf.DUMMYFUNCTION("""COMPUTED_VALUE"""),8.8)</f>
        <v>8.8</v>
      </c>
      <c r="F3084">
        <f>IFERROR(__xludf.DUMMYFUNCTION("""COMPUTED_VALUE"""),26.25)</f>
        <v>26.25</v>
      </c>
      <c r="G3084">
        <f>IFERROR(__xludf.DUMMYFUNCTION("""COMPUTED_VALUE"""),0.0)</f>
        <v>0</v>
      </c>
    </row>
    <row r="3085">
      <c r="A3085">
        <f>IFERROR(__xludf.DUMMYFUNCTION("""COMPUTED_VALUE"""),782100.0)</f>
        <v>782100</v>
      </c>
      <c r="B3085" t="str">
        <f>IFERROR(__xludf.DUMMYFUNCTION("""COMPUTED_VALUE"""),"Chicken Breast Baked Broiled Or Roasted Skin Not Eaten From Raw")</f>
        <v>Chicken Breast Baked Broiled Or Roasted Skin Not Eaten From Raw</v>
      </c>
      <c r="C3085" t="str">
        <f>IFERROR(__xludf.DUMMYFUNCTION("""COMPUTED_VALUE"""),"Meats")</f>
        <v>Meats</v>
      </c>
      <c r="D3085">
        <f>IFERROR(__xludf.DUMMYFUNCTION("""COMPUTED_VALUE"""),161.0)</f>
        <v>161</v>
      </c>
      <c r="E3085">
        <f>IFERROR(__xludf.DUMMYFUNCTION("""COMPUTED_VALUE"""),3.52)</f>
        <v>3.52</v>
      </c>
      <c r="F3085">
        <f>IFERROR(__xludf.DUMMYFUNCTION("""COMPUTED_VALUE"""),30.22)</f>
        <v>30.22</v>
      </c>
      <c r="G3085">
        <f>IFERROR(__xludf.DUMMYFUNCTION("""COMPUTED_VALUE"""),0.0)</f>
        <v>0</v>
      </c>
    </row>
    <row r="3086">
      <c r="A3086">
        <f>IFERROR(__xludf.DUMMYFUNCTION("""COMPUTED_VALUE"""),782103.0)</f>
        <v>782103</v>
      </c>
      <c r="B3086" t="str">
        <f>IFERROR(__xludf.DUMMYFUNCTION("""COMPUTED_VALUE"""),"Chicken Breast Baked Or Broiled Skin Eaten From Fast Food / Restaurant")</f>
        <v>Chicken Breast Baked Or Broiled Skin Eaten From Fast Food / Restaurant</v>
      </c>
      <c r="C3086" t="str">
        <f>IFERROR(__xludf.DUMMYFUNCTION("""COMPUTED_VALUE"""),"Meats")</f>
        <v>Meats</v>
      </c>
      <c r="D3086">
        <f>IFERROR(__xludf.DUMMYFUNCTION("""COMPUTED_VALUE"""),205.0)</f>
        <v>205</v>
      </c>
      <c r="E3086">
        <f>IFERROR(__xludf.DUMMYFUNCTION("""COMPUTED_VALUE"""),10.6)</f>
        <v>10.6</v>
      </c>
      <c r="F3086">
        <f>IFERROR(__xludf.DUMMYFUNCTION("""COMPUTED_VALUE"""),25.67)</f>
        <v>25.67</v>
      </c>
      <c r="G3086">
        <f>IFERROR(__xludf.DUMMYFUNCTION("""COMPUTED_VALUE"""),0.0)</f>
        <v>0</v>
      </c>
    </row>
    <row r="3087">
      <c r="A3087">
        <f>IFERROR(__xludf.DUMMYFUNCTION("""COMPUTED_VALUE"""),782104.0)</f>
        <v>782104</v>
      </c>
      <c r="B3087" t="str">
        <f>IFERROR(__xludf.DUMMYFUNCTION("""COMPUTED_VALUE"""),"Chicken Breast Baked Or Broiled Skin Not Eaten From Fast Food / Restaurant")</f>
        <v>Chicken Breast Baked Or Broiled Skin Not Eaten From Fast Food / Restaurant</v>
      </c>
      <c r="C3087" t="str">
        <f>IFERROR(__xludf.DUMMYFUNCTION("""COMPUTED_VALUE"""),"Meats")</f>
        <v>Meats</v>
      </c>
      <c r="D3087">
        <f>IFERROR(__xludf.DUMMYFUNCTION("""COMPUTED_VALUE"""),175.0)</f>
        <v>175</v>
      </c>
      <c r="E3087">
        <f>IFERROR(__xludf.DUMMYFUNCTION("""COMPUTED_VALUE"""),5.44)</f>
        <v>5.44</v>
      </c>
      <c r="F3087">
        <f>IFERROR(__xludf.DUMMYFUNCTION("""COMPUTED_VALUE"""),29.56)</f>
        <v>29.56</v>
      </c>
      <c r="G3087">
        <f>IFERROR(__xludf.DUMMYFUNCTION("""COMPUTED_VALUE"""),0.0)</f>
        <v>0</v>
      </c>
    </row>
    <row r="3088">
      <c r="A3088">
        <f>IFERROR(__xludf.DUMMYFUNCTION("""COMPUTED_VALUE"""),782105.0)</f>
        <v>782105</v>
      </c>
      <c r="B3088" t="str">
        <f>IFERROR(__xludf.DUMMYFUNCTION("""COMPUTED_VALUE"""),"Chicken Breast Baked Broiled Or Roasted With Marinade Skin Eaten From Raw")</f>
        <v>Chicken Breast Baked Broiled Or Roasted With Marinade Skin Eaten From Raw</v>
      </c>
      <c r="C3088" t="str">
        <f>IFERROR(__xludf.DUMMYFUNCTION("""COMPUTED_VALUE"""),"Meats")</f>
        <v>Meats</v>
      </c>
      <c r="D3088">
        <f>IFERROR(__xludf.DUMMYFUNCTION("""COMPUTED_VALUE"""),204.0)</f>
        <v>204</v>
      </c>
      <c r="E3088">
        <f>IFERROR(__xludf.DUMMYFUNCTION("""COMPUTED_VALUE"""),10.45)</f>
        <v>10.45</v>
      </c>
      <c r="F3088">
        <f>IFERROR(__xludf.DUMMYFUNCTION("""COMPUTED_VALUE"""),25.32)</f>
        <v>25.32</v>
      </c>
      <c r="G3088">
        <f>IFERROR(__xludf.DUMMYFUNCTION("""COMPUTED_VALUE"""),0.31)</f>
        <v>0.31</v>
      </c>
    </row>
    <row r="3089">
      <c r="A3089">
        <f>IFERROR(__xludf.DUMMYFUNCTION("""COMPUTED_VALUE"""),782106.0)</f>
        <v>782106</v>
      </c>
      <c r="B3089" t="str">
        <f>IFERROR(__xludf.DUMMYFUNCTION("""COMPUTED_VALUE"""),"Chicken Breast Baked Broiled Or Roasted With Marinade Skin Not Eaten From Raw")</f>
        <v>Chicken Breast Baked Broiled Or Roasted With Marinade Skin Not Eaten From Raw</v>
      </c>
      <c r="C3089" t="str">
        <f>IFERROR(__xludf.DUMMYFUNCTION("""COMPUTED_VALUE"""),"Meats")</f>
        <v>Meats</v>
      </c>
      <c r="D3089">
        <f>IFERROR(__xludf.DUMMYFUNCTION("""COMPUTED_VALUE"""),174.0)</f>
        <v>174</v>
      </c>
      <c r="E3089">
        <f>IFERROR(__xludf.DUMMYFUNCTION("""COMPUTED_VALUE"""),5.38)</f>
        <v>5.38</v>
      </c>
      <c r="F3089">
        <f>IFERROR(__xludf.DUMMYFUNCTION("""COMPUTED_VALUE"""),29.13)</f>
        <v>29.13</v>
      </c>
      <c r="G3089">
        <f>IFERROR(__xludf.DUMMYFUNCTION("""COMPUTED_VALUE"""),0.31)</f>
        <v>0.31</v>
      </c>
    </row>
    <row r="3090">
      <c r="A3090">
        <f>IFERROR(__xludf.DUMMYFUNCTION("""COMPUTED_VALUE"""),782109.0)</f>
        <v>782109</v>
      </c>
      <c r="B3090" t="str">
        <f>IFERROR(__xludf.DUMMYFUNCTION("""COMPUTED_VALUE"""),"Chicken Breast Stewed Skin Eaten")</f>
        <v>Chicken Breast Stewed Skin Eaten</v>
      </c>
      <c r="C3090" t="str">
        <f>IFERROR(__xludf.DUMMYFUNCTION("""COMPUTED_VALUE"""),"Meats")</f>
        <v>Meats</v>
      </c>
      <c r="D3090">
        <f>IFERROR(__xludf.DUMMYFUNCTION("""COMPUTED_VALUE"""),181.0)</f>
        <v>181</v>
      </c>
      <c r="E3090">
        <f>IFERROR(__xludf.DUMMYFUNCTION("""COMPUTED_VALUE"""),8.28)</f>
        <v>8.28</v>
      </c>
      <c r="F3090">
        <f>IFERROR(__xludf.DUMMYFUNCTION("""COMPUTED_VALUE"""),24.7)</f>
        <v>24.7</v>
      </c>
      <c r="G3090">
        <f>IFERROR(__xludf.DUMMYFUNCTION("""COMPUTED_VALUE"""),0.0)</f>
        <v>0</v>
      </c>
    </row>
    <row r="3091">
      <c r="A3091">
        <f>IFERROR(__xludf.DUMMYFUNCTION("""COMPUTED_VALUE"""),782110.0)</f>
        <v>782110</v>
      </c>
      <c r="B3091" t="str">
        <f>IFERROR(__xludf.DUMMYFUNCTION("""COMPUTED_VALUE"""),"Chicken Breast Stewed Skin Not Eaten")</f>
        <v>Chicken Breast Stewed Skin Not Eaten</v>
      </c>
      <c r="C3091" t="str">
        <f>IFERROR(__xludf.DUMMYFUNCTION("""COMPUTED_VALUE"""),"Meats")</f>
        <v>Meats</v>
      </c>
      <c r="D3091">
        <f>IFERROR(__xludf.DUMMYFUNCTION("""COMPUTED_VALUE"""),149.0)</f>
        <v>149</v>
      </c>
      <c r="E3091">
        <f>IFERROR(__xludf.DUMMYFUNCTION("""COMPUTED_VALUE"""),3.26)</f>
        <v>3.26</v>
      </c>
      <c r="F3091">
        <f>IFERROR(__xludf.DUMMYFUNCTION("""COMPUTED_VALUE"""),27.96)</f>
        <v>27.96</v>
      </c>
      <c r="G3091">
        <f>IFERROR(__xludf.DUMMYFUNCTION("""COMPUTED_VALUE"""),0.0)</f>
        <v>0</v>
      </c>
    </row>
    <row r="3092">
      <c r="A3092">
        <f>IFERROR(__xludf.DUMMYFUNCTION("""COMPUTED_VALUE"""),782111.0)</f>
        <v>782111</v>
      </c>
      <c r="B3092" t="str">
        <f>IFERROR(__xludf.DUMMYFUNCTION("""COMPUTED_VALUE"""),"Chicken Breast Grilled Without Sauce Skin Eaten")</f>
        <v>Chicken Breast Grilled Without Sauce Skin Eaten</v>
      </c>
      <c r="C3092" t="str">
        <f>IFERROR(__xludf.DUMMYFUNCTION("""COMPUTED_VALUE"""),"Meats")</f>
        <v>Meats</v>
      </c>
      <c r="D3092">
        <f>IFERROR(__xludf.DUMMYFUNCTION("""COMPUTED_VALUE"""),206.0)</f>
        <v>206</v>
      </c>
      <c r="E3092">
        <f>IFERROR(__xludf.DUMMYFUNCTION("""COMPUTED_VALUE"""),10.62)</f>
        <v>10.62</v>
      </c>
      <c r="F3092">
        <f>IFERROR(__xludf.DUMMYFUNCTION("""COMPUTED_VALUE"""),25.72)</f>
        <v>25.72</v>
      </c>
      <c r="G3092">
        <f>IFERROR(__xludf.DUMMYFUNCTION("""COMPUTED_VALUE"""),0.0)</f>
        <v>0</v>
      </c>
    </row>
    <row r="3093">
      <c r="A3093">
        <f>IFERROR(__xludf.DUMMYFUNCTION("""COMPUTED_VALUE"""),782112.0)</f>
        <v>782112</v>
      </c>
      <c r="B3093" t="str">
        <f>IFERROR(__xludf.DUMMYFUNCTION("""COMPUTED_VALUE"""),"Chicken Breast Grilled Without Sauce Skin Not Eaten")</f>
        <v>Chicken Breast Grilled Without Sauce Skin Not Eaten</v>
      </c>
      <c r="C3093" t="str">
        <f>IFERROR(__xludf.DUMMYFUNCTION("""COMPUTED_VALUE"""),"Meats")</f>
        <v>Meats</v>
      </c>
      <c r="D3093">
        <f>IFERROR(__xludf.DUMMYFUNCTION("""COMPUTED_VALUE"""),176.0)</f>
        <v>176</v>
      </c>
      <c r="E3093">
        <f>IFERROR(__xludf.DUMMYFUNCTION("""COMPUTED_VALUE"""),5.45)</f>
        <v>5.45</v>
      </c>
      <c r="F3093">
        <f>IFERROR(__xludf.DUMMYFUNCTION("""COMPUTED_VALUE"""),29.62)</f>
        <v>29.62</v>
      </c>
      <c r="G3093">
        <f>IFERROR(__xludf.DUMMYFUNCTION("""COMPUTED_VALUE"""),0.0)</f>
        <v>0</v>
      </c>
    </row>
    <row r="3094">
      <c r="A3094">
        <f>IFERROR(__xludf.DUMMYFUNCTION("""COMPUTED_VALUE"""),782113.0)</f>
        <v>782113</v>
      </c>
      <c r="B3094" t="str">
        <f>IFERROR(__xludf.DUMMYFUNCTION("""COMPUTED_VALUE"""),"Chicken Breast Grilled With Sauce Skin Eaten")</f>
        <v>Chicken Breast Grilled With Sauce Skin Eaten</v>
      </c>
      <c r="C3094" t="str">
        <f>IFERROR(__xludf.DUMMYFUNCTION("""COMPUTED_VALUE"""),"Meats")</f>
        <v>Meats</v>
      </c>
      <c r="D3094">
        <f>IFERROR(__xludf.DUMMYFUNCTION("""COMPUTED_VALUE"""),202.0)</f>
        <v>202</v>
      </c>
      <c r="E3094">
        <f>IFERROR(__xludf.DUMMYFUNCTION("""COMPUTED_VALUE"""),9.15)</f>
        <v>9.15</v>
      </c>
      <c r="F3094">
        <f>IFERROR(__xludf.DUMMYFUNCTION("""COMPUTED_VALUE"""),21.15)</f>
        <v>21.15</v>
      </c>
      <c r="G3094">
        <f>IFERROR(__xludf.DUMMYFUNCTION("""COMPUTED_VALUE"""),7.34)</f>
        <v>7.34</v>
      </c>
    </row>
    <row r="3095">
      <c r="A3095">
        <f>IFERROR(__xludf.DUMMYFUNCTION("""COMPUTED_VALUE"""),782114.0)</f>
        <v>782114</v>
      </c>
      <c r="B3095" t="str">
        <f>IFERROR(__xludf.DUMMYFUNCTION("""COMPUTED_VALUE"""),"Chicken Breast Grilled With Sauce Skin Not Eaten")</f>
        <v>Chicken Breast Grilled With Sauce Skin Not Eaten</v>
      </c>
      <c r="C3095" t="str">
        <f>IFERROR(__xludf.DUMMYFUNCTION("""COMPUTED_VALUE"""),"Meats")</f>
        <v>Meats</v>
      </c>
      <c r="D3095">
        <f>IFERROR(__xludf.DUMMYFUNCTION("""COMPUTED_VALUE"""),178.0)</f>
        <v>178</v>
      </c>
      <c r="E3095">
        <f>IFERROR(__xludf.DUMMYFUNCTION("""COMPUTED_VALUE"""),4.93)</f>
        <v>4.93</v>
      </c>
      <c r="F3095">
        <f>IFERROR(__xludf.DUMMYFUNCTION("""COMPUTED_VALUE"""),24.33)</f>
        <v>24.33</v>
      </c>
      <c r="G3095">
        <f>IFERROR(__xludf.DUMMYFUNCTION("""COMPUTED_VALUE"""),7.34)</f>
        <v>7.34</v>
      </c>
    </row>
    <row r="3096">
      <c r="A3096">
        <f>IFERROR(__xludf.DUMMYFUNCTION("""COMPUTED_VALUE"""),782115.0)</f>
        <v>782115</v>
      </c>
      <c r="B3096" t="str">
        <f>IFERROR(__xludf.DUMMYFUNCTION("""COMPUTED_VALUE"""),"Chicken Breast Sauteed Skin Eaten")</f>
        <v>Chicken Breast Sauteed Skin Eaten</v>
      </c>
      <c r="C3096" t="str">
        <f>IFERROR(__xludf.DUMMYFUNCTION("""COMPUTED_VALUE"""),"Meats")</f>
        <v>Meats</v>
      </c>
      <c r="D3096">
        <f>IFERROR(__xludf.DUMMYFUNCTION("""COMPUTED_VALUE"""),206.0)</f>
        <v>206</v>
      </c>
      <c r="E3096">
        <f>IFERROR(__xludf.DUMMYFUNCTION("""COMPUTED_VALUE"""),10.62)</f>
        <v>10.62</v>
      </c>
      <c r="F3096">
        <f>IFERROR(__xludf.DUMMYFUNCTION("""COMPUTED_VALUE"""),25.72)</f>
        <v>25.72</v>
      </c>
      <c r="G3096">
        <f>IFERROR(__xludf.DUMMYFUNCTION("""COMPUTED_VALUE"""),0.0)</f>
        <v>0</v>
      </c>
    </row>
    <row r="3097">
      <c r="A3097">
        <f>IFERROR(__xludf.DUMMYFUNCTION("""COMPUTED_VALUE"""),782116.0)</f>
        <v>782116</v>
      </c>
      <c r="B3097" t="str">
        <f>IFERROR(__xludf.DUMMYFUNCTION("""COMPUTED_VALUE"""),"Chicken Breast Sauteed Skin Not Eaten")</f>
        <v>Chicken Breast Sauteed Skin Not Eaten</v>
      </c>
      <c r="C3097" t="str">
        <f>IFERROR(__xludf.DUMMYFUNCTION("""COMPUTED_VALUE"""),"Meats")</f>
        <v>Meats</v>
      </c>
      <c r="D3097">
        <f>IFERROR(__xludf.DUMMYFUNCTION("""COMPUTED_VALUE"""),176.0)</f>
        <v>176</v>
      </c>
      <c r="E3097">
        <f>IFERROR(__xludf.DUMMYFUNCTION("""COMPUTED_VALUE"""),5.45)</f>
        <v>5.45</v>
      </c>
      <c r="F3097">
        <f>IFERROR(__xludf.DUMMYFUNCTION("""COMPUTED_VALUE"""),29.62)</f>
        <v>29.62</v>
      </c>
      <c r="G3097">
        <f>IFERROR(__xludf.DUMMYFUNCTION("""COMPUTED_VALUE"""),0.0)</f>
        <v>0</v>
      </c>
    </row>
    <row r="3098">
      <c r="A3098">
        <f>IFERROR(__xludf.DUMMYFUNCTION("""COMPUTED_VALUE"""),782117.0)</f>
        <v>782117</v>
      </c>
      <c r="B3098" t="str">
        <f>IFERROR(__xludf.DUMMYFUNCTION("""COMPUTED_VALUE"""),"Chicken Breast Fried Coated Skin / Coating Eaten From Raw")</f>
        <v>Chicken Breast Fried Coated Skin / Coating Eaten From Raw</v>
      </c>
      <c r="C3098" t="str">
        <f>IFERROR(__xludf.DUMMYFUNCTION("""COMPUTED_VALUE"""),"Meats")</f>
        <v>Meats</v>
      </c>
      <c r="D3098">
        <f>IFERROR(__xludf.DUMMYFUNCTION("""COMPUTED_VALUE"""),242.0)</f>
        <v>242</v>
      </c>
      <c r="E3098">
        <f>IFERROR(__xludf.DUMMYFUNCTION("""COMPUTED_VALUE"""),14.07)</f>
        <v>14.07</v>
      </c>
      <c r="F3098">
        <f>IFERROR(__xludf.DUMMYFUNCTION("""COMPUTED_VALUE"""),21.42)</f>
        <v>21.42</v>
      </c>
      <c r="G3098">
        <f>IFERROR(__xludf.DUMMYFUNCTION("""COMPUTED_VALUE"""),5.95)</f>
        <v>5.95</v>
      </c>
    </row>
    <row r="3099">
      <c r="A3099">
        <f>IFERROR(__xludf.DUMMYFUNCTION("""COMPUTED_VALUE"""),782118.0)</f>
        <v>782118</v>
      </c>
      <c r="B3099" t="str">
        <f>IFERROR(__xludf.DUMMYFUNCTION("""COMPUTED_VALUE"""),"Chicken Breast Fried Coated Skin / Coating Not Eaten From Raw")</f>
        <v>Chicken Breast Fried Coated Skin / Coating Not Eaten From Raw</v>
      </c>
      <c r="C3099" t="str">
        <f>IFERROR(__xludf.DUMMYFUNCTION("""COMPUTED_VALUE"""),"Meats")</f>
        <v>Meats</v>
      </c>
      <c r="D3099">
        <f>IFERROR(__xludf.DUMMYFUNCTION("""COMPUTED_VALUE"""),176.0)</f>
        <v>176</v>
      </c>
      <c r="E3099">
        <f>IFERROR(__xludf.DUMMYFUNCTION("""COMPUTED_VALUE"""),5.45)</f>
        <v>5.45</v>
      </c>
      <c r="F3099">
        <f>IFERROR(__xludf.DUMMYFUNCTION("""COMPUTED_VALUE"""),29.62)</f>
        <v>29.62</v>
      </c>
      <c r="G3099">
        <f>IFERROR(__xludf.DUMMYFUNCTION("""COMPUTED_VALUE"""),0.0)</f>
        <v>0</v>
      </c>
    </row>
    <row r="3100">
      <c r="A3100">
        <f>IFERROR(__xludf.DUMMYFUNCTION("""COMPUTED_VALUE"""),782119.0)</f>
        <v>782119</v>
      </c>
      <c r="B3100" t="str">
        <f>IFERROR(__xludf.DUMMYFUNCTION("""COMPUTED_VALUE"""),"Chicken Breast Fried Coated Prepared Skinless Coating Eaten From Raw")</f>
        <v>Chicken Breast Fried Coated Prepared Skinless Coating Eaten From Raw</v>
      </c>
      <c r="C3100" t="str">
        <f>IFERROR(__xludf.DUMMYFUNCTION("""COMPUTED_VALUE"""),"Meats")</f>
        <v>Meats</v>
      </c>
      <c r="D3100">
        <f>IFERROR(__xludf.DUMMYFUNCTION("""COMPUTED_VALUE"""),218.0)</f>
        <v>218</v>
      </c>
      <c r="E3100">
        <f>IFERROR(__xludf.DUMMYFUNCTION("""COMPUTED_VALUE"""),9.95)</f>
        <v>9.95</v>
      </c>
      <c r="F3100">
        <f>IFERROR(__xludf.DUMMYFUNCTION("""COMPUTED_VALUE"""),24.52)</f>
        <v>24.52</v>
      </c>
      <c r="G3100">
        <f>IFERROR(__xludf.DUMMYFUNCTION("""COMPUTED_VALUE"""),5.95)</f>
        <v>5.95</v>
      </c>
    </row>
    <row r="3101">
      <c r="A3101">
        <f>IFERROR(__xludf.DUMMYFUNCTION("""COMPUTED_VALUE"""),782120.0)</f>
        <v>782120</v>
      </c>
      <c r="B3101" t="str">
        <f>IFERROR(__xludf.DUMMYFUNCTION("""COMPUTED_VALUE"""),"Chicken Breast Fried Coated Skin / Coating Eaten From Pre-Cooked")</f>
        <v>Chicken Breast Fried Coated Skin / Coating Eaten From Pre-Cooked</v>
      </c>
      <c r="C3101" t="str">
        <f>IFERROR(__xludf.DUMMYFUNCTION("""COMPUTED_VALUE"""),"Meats")</f>
        <v>Meats</v>
      </c>
      <c r="D3101">
        <f>IFERROR(__xludf.DUMMYFUNCTION("""COMPUTED_VALUE"""),249.0)</f>
        <v>249</v>
      </c>
      <c r="E3101">
        <f>IFERROR(__xludf.DUMMYFUNCTION("""COMPUTED_VALUE"""),14.74)</f>
        <v>14.74</v>
      </c>
      <c r="F3101">
        <f>IFERROR(__xludf.DUMMYFUNCTION("""COMPUTED_VALUE"""),20.54)</f>
        <v>20.54</v>
      </c>
      <c r="G3101">
        <f>IFERROR(__xludf.DUMMYFUNCTION("""COMPUTED_VALUE"""),7.13)</f>
        <v>7.13</v>
      </c>
    </row>
    <row r="3102">
      <c r="A3102">
        <f>IFERROR(__xludf.DUMMYFUNCTION("""COMPUTED_VALUE"""),782121.0)</f>
        <v>782121</v>
      </c>
      <c r="B3102" t="str">
        <f>IFERROR(__xludf.DUMMYFUNCTION("""COMPUTED_VALUE"""),"Chicken Breast Fried Coated Skin / Coating Not Eaten From Pre-Cooked")</f>
        <v>Chicken Breast Fried Coated Skin / Coating Not Eaten From Pre-Cooked</v>
      </c>
      <c r="C3102" t="str">
        <f>IFERROR(__xludf.DUMMYFUNCTION("""COMPUTED_VALUE"""),"Meats")</f>
        <v>Meats</v>
      </c>
      <c r="D3102">
        <f>IFERROR(__xludf.DUMMYFUNCTION("""COMPUTED_VALUE"""),176.0)</f>
        <v>176</v>
      </c>
      <c r="E3102">
        <f>IFERROR(__xludf.DUMMYFUNCTION("""COMPUTED_VALUE"""),5.45)</f>
        <v>5.45</v>
      </c>
      <c r="F3102">
        <f>IFERROR(__xludf.DUMMYFUNCTION("""COMPUTED_VALUE"""),29.62)</f>
        <v>29.62</v>
      </c>
      <c r="G3102">
        <f>IFERROR(__xludf.DUMMYFUNCTION("""COMPUTED_VALUE"""),0.0)</f>
        <v>0</v>
      </c>
    </row>
    <row r="3103">
      <c r="A3103">
        <f>IFERROR(__xludf.DUMMYFUNCTION("""COMPUTED_VALUE"""),782122.0)</f>
        <v>782122</v>
      </c>
      <c r="B3103" t="str">
        <f>IFERROR(__xludf.DUMMYFUNCTION("""COMPUTED_VALUE"""),"Chicken Breast Fried Coated Skin / Coating Eaten From Fast Food / Restaurant")</f>
        <v>Chicken Breast Fried Coated Skin / Coating Eaten From Fast Food / Restaurant</v>
      </c>
      <c r="C3103" t="str">
        <f>IFERROR(__xludf.DUMMYFUNCTION("""COMPUTED_VALUE"""),"Meats")</f>
        <v>Meats</v>
      </c>
      <c r="D3103">
        <f>IFERROR(__xludf.DUMMYFUNCTION("""COMPUTED_VALUE"""),271.0)</f>
        <v>271</v>
      </c>
      <c r="E3103">
        <f>IFERROR(__xludf.DUMMYFUNCTION("""COMPUTED_VALUE"""),16.91)</f>
        <v>16.91</v>
      </c>
      <c r="F3103">
        <f>IFERROR(__xludf.DUMMYFUNCTION("""COMPUTED_VALUE"""),19.29)</f>
        <v>19.29</v>
      </c>
      <c r="G3103">
        <f>IFERROR(__xludf.DUMMYFUNCTION("""COMPUTED_VALUE"""),10.65)</f>
        <v>10.65</v>
      </c>
    </row>
    <row r="3104">
      <c r="A3104">
        <f>IFERROR(__xludf.DUMMYFUNCTION("""COMPUTED_VALUE"""),782123.0)</f>
        <v>782123</v>
      </c>
      <c r="B3104" t="str">
        <f>IFERROR(__xludf.DUMMYFUNCTION("""COMPUTED_VALUE"""),"Chicken Breast Fried Coated Skin / Coating Not Eaten From Fast Food / Restaurant")</f>
        <v>Chicken Breast Fried Coated Skin / Coating Not Eaten From Fast Food / Restaurant</v>
      </c>
      <c r="C3104" t="str">
        <f>IFERROR(__xludf.DUMMYFUNCTION("""COMPUTED_VALUE"""),"Meats")</f>
        <v>Meats</v>
      </c>
      <c r="D3104">
        <f>IFERROR(__xludf.DUMMYFUNCTION("""COMPUTED_VALUE"""),211.0)</f>
        <v>211</v>
      </c>
      <c r="E3104">
        <f>IFERROR(__xludf.DUMMYFUNCTION("""COMPUTED_VALUE"""),10.75)</f>
        <v>10.75</v>
      </c>
      <c r="F3104">
        <f>IFERROR(__xludf.DUMMYFUNCTION("""COMPUTED_VALUE"""),22.73)</f>
        <v>22.73</v>
      </c>
      <c r="G3104">
        <f>IFERROR(__xludf.DUMMYFUNCTION("""COMPUTED_VALUE"""),5.95)</f>
        <v>5.95</v>
      </c>
    </row>
    <row r="3105">
      <c r="A3105">
        <f>IFERROR(__xludf.DUMMYFUNCTION("""COMPUTED_VALUE"""),782124.0)</f>
        <v>782124</v>
      </c>
      <c r="B3105" t="str">
        <f>IFERROR(__xludf.DUMMYFUNCTION("""COMPUTED_VALUE"""),"Chicken Breast Baked Coated Skin / Coating Eaten")</f>
        <v>Chicken Breast Baked Coated Skin / Coating Eaten</v>
      </c>
      <c r="C3105" t="str">
        <f>IFERROR(__xludf.DUMMYFUNCTION("""COMPUTED_VALUE"""),"Meats")</f>
        <v>Meats</v>
      </c>
      <c r="D3105">
        <f>IFERROR(__xludf.DUMMYFUNCTION("""COMPUTED_VALUE"""),207.0)</f>
        <v>207</v>
      </c>
      <c r="E3105">
        <f>IFERROR(__xludf.DUMMYFUNCTION("""COMPUTED_VALUE"""),9.88)</f>
        <v>9.88</v>
      </c>
      <c r="F3105">
        <f>IFERROR(__xludf.DUMMYFUNCTION("""COMPUTED_VALUE"""),23.73)</f>
        <v>23.73</v>
      </c>
      <c r="G3105">
        <f>IFERROR(__xludf.DUMMYFUNCTION("""COMPUTED_VALUE"""),3.96)</f>
        <v>3.96</v>
      </c>
    </row>
    <row r="3106">
      <c r="A3106">
        <f>IFERROR(__xludf.DUMMYFUNCTION("""COMPUTED_VALUE"""),782125.0)</f>
        <v>782125</v>
      </c>
      <c r="B3106" t="str">
        <f>IFERROR(__xludf.DUMMYFUNCTION("""COMPUTED_VALUE"""),"Chicken Breast Baked Coated Skin / Coating Not Eaten")</f>
        <v>Chicken Breast Baked Coated Skin / Coating Not Eaten</v>
      </c>
      <c r="C3106" t="str">
        <f>IFERROR(__xludf.DUMMYFUNCTION("""COMPUTED_VALUE"""),"Meats")</f>
        <v>Meats</v>
      </c>
      <c r="D3106">
        <f>IFERROR(__xludf.DUMMYFUNCTION("""COMPUTED_VALUE"""),176.0)</f>
        <v>176</v>
      </c>
      <c r="E3106">
        <f>IFERROR(__xludf.DUMMYFUNCTION("""COMPUTED_VALUE"""),5.45)</f>
        <v>5.45</v>
      </c>
      <c r="F3106">
        <f>IFERROR(__xludf.DUMMYFUNCTION("""COMPUTED_VALUE"""),29.62)</f>
        <v>29.62</v>
      </c>
      <c r="G3106">
        <f>IFERROR(__xludf.DUMMYFUNCTION("""COMPUTED_VALUE"""),0.0)</f>
        <v>0</v>
      </c>
    </row>
    <row r="3107">
      <c r="A3107">
        <f>IFERROR(__xludf.DUMMYFUNCTION("""COMPUTED_VALUE"""),782126.0)</f>
        <v>782126</v>
      </c>
      <c r="B3107" t="str">
        <f>IFERROR(__xludf.DUMMYFUNCTION("""COMPUTED_VALUE"""),"Chicken Leg Drumstick And Thigh Ns As To Cooking Method Skin Eaten")</f>
        <v>Chicken Leg Drumstick And Thigh Ns As To Cooking Method Skin Eaten</v>
      </c>
      <c r="C3107" t="str">
        <f>IFERROR(__xludf.DUMMYFUNCTION("""COMPUTED_VALUE"""),"Meats")</f>
        <v>Meats</v>
      </c>
      <c r="D3107">
        <f>IFERROR(__xludf.DUMMYFUNCTION("""COMPUTED_VALUE"""),218.0)</f>
        <v>218</v>
      </c>
      <c r="E3107">
        <f>IFERROR(__xludf.DUMMYFUNCTION("""COMPUTED_VALUE"""),13.63)</f>
        <v>13.63</v>
      </c>
      <c r="F3107">
        <f>IFERROR(__xludf.DUMMYFUNCTION("""COMPUTED_VALUE"""),23.77)</f>
        <v>23.77</v>
      </c>
      <c r="G3107">
        <f>IFERROR(__xludf.DUMMYFUNCTION("""COMPUTED_VALUE"""),0.12)</f>
        <v>0.12</v>
      </c>
    </row>
    <row r="3108">
      <c r="A3108">
        <f>IFERROR(__xludf.DUMMYFUNCTION("""COMPUTED_VALUE"""),782127.0)</f>
        <v>782127</v>
      </c>
      <c r="B3108" t="str">
        <f>IFERROR(__xludf.DUMMYFUNCTION("""COMPUTED_VALUE"""),"Chicken Leg Drumstick And Thigh Ns As To Cooking Method Skin Not Eaten")</f>
        <v>Chicken Leg Drumstick And Thigh Ns As To Cooking Method Skin Not Eaten</v>
      </c>
      <c r="C3108" t="str">
        <f>IFERROR(__xludf.DUMMYFUNCTION("""COMPUTED_VALUE"""),"Meats")</f>
        <v>Meats</v>
      </c>
      <c r="D3108">
        <f>IFERROR(__xludf.DUMMYFUNCTION("""COMPUTED_VALUE"""),185.0)</f>
        <v>185</v>
      </c>
      <c r="E3108">
        <f>IFERROR(__xludf.DUMMYFUNCTION("""COMPUTED_VALUE"""),9.15)</f>
        <v>9.15</v>
      </c>
      <c r="F3108">
        <f>IFERROR(__xludf.DUMMYFUNCTION("""COMPUTED_VALUE"""),25.54)</f>
        <v>25.54</v>
      </c>
      <c r="G3108">
        <f>IFERROR(__xludf.DUMMYFUNCTION("""COMPUTED_VALUE"""),0.0)</f>
        <v>0</v>
      </c>
    </row>
    <row r="3109">
      <c r="A3109">
        <f>IFERROR(__xludf.DUMMYFUNCTION("""COMPUTED_VALUE"""),782128.0)</f>
        <v>782128</v>
      </c>
      <c r="B3109" t="str">
        <f>IFERROR(__xludf.DUMMYFUNCTION("""COMPUTED_VALUE"""),"Chicken Leg Drumstick And Thigh Baked Or Broiled Skin Eaten")</f>
        <v>Chicken Leg Drumstick And Thigh Baked Or Broiled Skin Eaten</v>
      </c>
      <c r="C3109" t="str">
        <f>IFERROR(__xludf.DUMMYFUNCTION("""COMPUTED_VALUE"""),"Meats")</f>
        <v>Meats</v>
      </c>
      <c r="D3109">
        <f>IFERROR(__xludf.DUMMYFUNCTION("""COMPUTED_VALUE"""),214.0)</f>
        <v>214</v>
      </c>
      <c r="E3109">
        <f>IFERROR(__xludf.DUMMYFUNCTION("""COMPUTED_VALUE"""),12.81)</f>
        <v>12.81</v>
      </c>
      <c r="F3109">
        <f>IFERROR(__xludf.DUMMYFUNCTION("""COMPUTED_VALUE"""),23.16)</f>
        <v>23.16</v>
      </c>
      <c r="G3109">
        <f>IFERROR(__xludf.DUMMYFUNCTION("""COMPUTED_VALUE"""),0.0)</f>
        <v>0</v>
      </c>
    </row>
    <row r="3110">
      <c r="A3110">
        <f>IFERROR(__xludf.DUMMYFUNCTION("""COMPUTED_VALUE"""),782129.0)</f>
        <v>782129</v>
      </c>
      <c r="B3110" t="str">
        <f>IFERROR(__xludf.DUMMYFUNCTION("""COMPUTED_VALUE"""),"Chicken Leg Drumstick And Thigh Baked Or Broiled Skin Not Eaten")</f>
        <v>Chicken Leg Drumstick And Thigh Baked Or Broiled Skin Not Eaten</v>
      </c>
      <c r="C3110" t="str">
        <f>IFERROR(__xludf.DUMMYFUNCTION("""COMPUTED_VALUE"""),"Meats")</f>
        <v>Meats</v>
      </c>
      <c r="D3110">
        <f>IFERROR(__xludf.DUMMYFUNCTION("""COMPUTED_VALUE"""),168.0)</f>
        <v>168</v>
      </c>
      <c r="E3110">
        <f>IFERROR(__xludf.DUMMYFUNCTION("""COMPUTED_VALUE"""),7.13)</f>
        <v>7.13</v>
      </c>
      <c r="F3110">
        <f>IFERROR(__xludf.DUMMYFUNCTION("""COMPUTED_VALUE"""),24.41)</f>
        <v>24.41</v>
      </c>
      <c r="G3110">
        <f>IFERROR(__xludf.DUMMYFUNCTION("""COMPUTED_VALUE"""),0.0)</f>
        <v>0</v>
      </c>
    </row>
    <row r="3111">
      <c r="A3111">
        <f>IFERROR(__xludf.DUMMYFUNCTION("""COMPUTED_VALUE"""),782130.0)</f>
        <v>782130</v>
      </c>
      <c r="B3111" t="str">
        <f>IFERROR(__xludf.DUMMYFUNCTION("""COMPUTED_VALUE"""),"Chicken Leg Drumstick And Thigh Rotisserie Skin Eaten")</f>
        <v>Chicken Leg Drumstick And Thigh Rotisserie Skin Eaten</v>
      </c>
      <c r="C3111" t="str">
        <f>IFERROR(__xludf.DUMMYFUNCTION("""COMPUTED_VALUE"""),"Meats")</f>
        <v>Meats</v>
      </c>
      <c r="D3111">
        <f>IFERROR(__xludf.DUMMYFUNCTION("""COMPUTED_VALUE"""),218.0)</f>
        <v>218</v>
      </c>
      <c r="E3111">
        <f>IFERROR(__xludf.DUMMYFUNCTION("""COMPUTED_VALUE"""),13.63)</f>
        <v>13.63</v>
      </c>
      <c r="F3111">
        <f>IFERROR(__xludf.DUMMYFUNCTION("""COMPUTED_VALUE"""),23.77)</f>
        <v>23.77</v>
      </c>
      <c r="G3111">
        <f>IFERROR(__xludf.DUMMYFUNCTION("""COMPUTED_VALUE"""),0.12)</f>
        <v>0.12</v>
      </c>
    </row>
    <row r="3112">
      <c r="A3112">
        <f>IFERROR(__xludf.DUMMYFUNCTION("""COMPUTED_VALUE"""),782131.0)</f>
        <v>782131</v>
      </c>
      <c r="B3112" t="str">
        <f>IFERROR(__xludf.DUMMYFUNCTION("""COMPUTED_VALUE"""),"Chicken Leg Drumstick And Thigh Rotisserie Skin Not Eaten")</f>
        <v>Chicken Leg Drumstick And Thigh Rotisserie Skin Not Eaten</v>
      </c>
      <c r="C3112" t="str">
        <f>IFERROR(__xludf.DUMMYFUNCTION("""COMPUTED_VALUE"""),"Meats")</f>
        <v>Meats</v>
      </c>
      <c r="D3112">
        <f>IFERROR(__xludf.DUMMYFUNCTION("""COMPUTED_VALUE"""),185.0)</f>
        <v>185</v>
      </c>
      <c r="E3112">
        <f>IFERROR(__xludf.DUMMYFUNCTION("""COMPUTED_VALUE"""),9.15)</f>
        <v>9.15</v>
      </c>
      <c r="F3112">
        <f>IFERROR(__xludf.DUMMYFUNCTION("""COMPUTED_VALUE"""),25.54)</f>
        <v>25.54</v>
      </c>
      <c r="G3112">
        <f>IFERROR(__xludf.DUMMYFUNCTION("""COMPUTED_VALUE"""),0.0)</f>
        <v>0</v>
      </c>
    </row>
    <row r="3113">
      <c r="A3113">
        <f>IFERROR(__xludf.DUMMYFUNCTION("""COMPUTED_VALUE"""),782132.0)</f>
        <v>782132</v>
      </c>
      <c r="B3113" t="str">
        <f>IFERROR(__xludf.DUMMYFUNCTION("""COMPUTED_VALUE"""),"Chicken Leg Drumstick And Thigh Stewed Skin Eaten")</f>
        <v>Chicken Leg Drumstick And Thigh Stewed Skin Eaten</v>
      </c>
      <c r="C3113" t="str">
        <f>IFERROR(__xludf.DUMMYFUNCTION("""COMPUTED_VALUE"""),"Meats")</f>
        <v>Meats</v>
      </c>
      <c r="D3113">
        <f>IFERROR(__xludf.DUMMYFUNCTION("""COMPUTED_VALUE"""),211.0)</f>
        <v>211</v>
      </c>
      <c r="E3113">
        <f>IFERROR(__xludf.DUMMYFUNCTION("""COMPUTED_VALUE"""),13.44)</f>
        <v>13.44</v>
      </c>
      <c r="F3113">
        <f>IFERROR(__xludf.DUMMYFUNCTION("""COMPUTED_VALUE"""),22.45)</f>
        <v>22.45</v>
      </c>
      <c r="G3113">
        <f>IFERROR(__xludf.DUMMYFUNCTION("""COMPUTED_VALUE"""),0.0)</f>
        <v>0</v>
      </c>
    </row>
    <row r="3114">
      <c r="A3114">
        <f>IFERROR(__xludf.DUMMYFUNCTION("""COMPUTED_VALUE"""),782133.0)</f>
        <v>782133</v>
      </c>
      <c r="B3114" t="str">
        <f>IFERROR(__xludf.DUMMYFUNCTION("""COMPUTED_VALUE"""),"Chicken Leg Drumstick And Thigh Stewed Skin Not Eaten")</f>
        <v>Chicken Leg Drumstick And Thigh Stewed Skin Not Eaten</v>
      </c>
      <c r="C3114" t="str">
        <f>IFERROR(__xludf.DUMMYFUNCTION("""COMPUTED_VALUE"""),"Meats")</f>
        <v>Meats</v>
      </c>
      <c r="D3114">
        <f>IFERROR(__xludf.DUMMYFUNCTION("""COMPUTED_VALUE"""),164.0)</f>
        <v>164</v>
      </c>
      <c r="E3114">
        <f>IFERROR(__xludf.DUMMYFUNCTION("""COMPUTED_VALUE"""),7.5)</f>
        <v>7.5</v>
      </c>
      <c r="F3114">
        <f>IFERROR(__xludf.DUMMYFUNCTION("""COMPUTED_VALUE"""),24.11)</f>
        <v>24.11</v>
      </c>
      <c r="G3114">
        <f>IFERROR(__xludf.DUMMYFUNCTION("""COMPUTED_VALUE"""),0.0)</f>
        <v>0</v>
      </c>
    </row>
    <row r="3115">
      <c r="A3115">
        <f>IFERROR(__xludf.DUMMYFUNCTION("""COMPUTED_VALUE"""),782134.0)</f>
        <v>782134</v>
      </c>
      <c r="B3115" t="str">
        <f>IFERROR(__xludf.DUMMYFUNCTION("""COMPUTED_VALUE"""),"Chicken Leg Drumstick And Thigh Grilled Without Sauce Skin Eaten")</f>
        <v>Chicken Leg Drumstick And Thigh Grilled Without Sauce Skin Eaten</v>
      </c>
      <c r="C3115" t="str">
        <f>IFERROR(__xludf.DUMMYFUNCTION("""COMPUTED_VALUE"""),"Meats")</f>
        <v>Meats</v>
      </c>
      <c r="D3115">
        <f>IFERROR(__xludf.DUMMYFUNCTION("""COMPUTED_VALUE"""),227.0)</f>
        <v>227</v>
      </c>
      <c r="E3115">
        <f>IFERROR(__xludf.DUMMYFUNCTION("""COMPUTED_VALUE"""),14.52)</f>
        <v>14.52</v>
      </c>
      <c r="F3115">
        <f>IFERROR(__xludf.DUMMYFUNCTION("""COMPUTED_VALUE"""),22.65)</f>
        <v>22.65</v>
      </c>
      <c r="G3115">
        <f>IFERROR(__xludf.DUMMYFUNCTION("""COMPUTED_VALUE"""),0.0)</f>
        <v>0</v>
      </c>
    </row>
    <row r="3116">
      <c r="A3116">
        <f>IFERROR(__xludf.DUMMYFUNCTION("""COMPUTED_VALUE"""),782135.0)</f>
        <v>782135</v>
      </c>
      <c r="B3116" t="str">
        <f>IFERROR(__xludf.DUMMYFUNCTION("""COMPUTED_VALUE"""),"Chicken Leg Drumstick And Thigh Grilled Without Sauce Skin Not Eaten")</f>
        <v>Chicken Leg Drumstick And Thigh Grilled Without Sauce Skin Not Eaten</v>
      </c>
      <c r="C3116" t="str">
        <f>IFERROR(__xludf.DUMMYFUNCTION("""COMPUTED_VALUE"""),"Meats")</f>
        <v>Meats</v>
      </c>
      <c r="D3116">
        <f>IFERROR(__xludf.DUMMYFUNCTION("""COMPUTED_VALUE"""),182.0)</f>
        <v>182</v>
      </c>
      <c r="E3116">
        <f>IFERROR(__xludf.DUMMYFUNCTION("""COMPUTED_VALUE"""),8.96)</f>
        <v>8.96</v>
      </c>
      <c r="F3116">
        <f>IFERROR(__xludf.DUMMYFUNCTION("""COMPUTED_VALUE"""),23.87)</f>
        <v>23.87</v>
      </c>
      <c r="G3116">
        <f>IFERROR(__xludf.DUMMYFUNCTION("""COMPUTED_VALUE"""),0.0)</f>
        <v>0</v>
      </c>
    </row>
    <row r="3117">
      <c r="A3117">
        <f>IFERROR(__xludf.DUMMYFUNCTION("""COMPUTED_VALUE"""),782136.0)</f>
        <v>782136</v>
      </c>
      <c r="B3117" t="str">
        <f>IFERROR(__xludf.DUMMYFUNCTION("""COMPUTED_VALUE"""),"Chicken Leg Drumstick And Thigh Grilled With Sauce Skin Eaten")</f>
        <v>Chicken Leg Drumstick And Thigh Grilled With Sauce Skin Eaten</v>
      </c>
      <c r="C3117" t="str">
        <f>IFERROR(__xludf.DUMMYFUNCTION("""COMPUTED_VALUE"""),"Meats")</f>
        <v>Meats</v>
      </c>
      <c r="D3117">
        <f>IFERROR(__xludf.DUMMYFUNCTION("""COMPUTED_VALUE"""),219.0)</f>
        <v>219</v>
      </c>
      <c r="E3117">
        <f>IFERROR(__xludf.DUMMYFUNCTION("""COMPUTED_VALUE"""),12.32)</f>
        <v>12.32</v>
      </c>
      <c r="F3117">
        <f>IFERROR(__xludf.DUMMYFUNCTION("""COMPUTED_VALUE"""),18.64)</f>
        <v>18.64</v>
      </c>
      <c r="G3117">
        <f>IFERROR(__xludf.DUMMYFUNCTION("""COMPUTED_VALUE"""),7.28)</f>
        <v>7.28</v>
      </c>
    </row>
    <row r="3118">
      <c r="A3118">
        <f>IFERROR(__xludf.DUMMYFUNCTION("""COMPUTED_VALUE"""),782137.0)</f>
        <v>782137</v>
      </c>
      <c r="B3118" t="str">
        <f>IFERROR(__xludf.DUMMYFUNCTION("""COMPUTED_VALUE"""),"Chicken Leg Drumstick And Thigh Grilled With Sauce Skin Not Eaten")</f>
        <v>Chicken Leg Drumstick And Thigh Grilled With Sauce Skin Not Eaten</v>
      </c>
      <c r="C3118" t="str">
        <f>IFERROR(__xludf.DUMMYFUNCTION("""COMPUTED_VALUE"""),"Meats")</f>
        <v>Meats</v>
      </c>
      <c r="D3118">
        <f>IFERROR(__xludf.DUMMYFUNCTION("""COMPUTED_VALUE"""),183.0)</f>
        <v>183</v>
      </c>
      <c r="E3118">
        <f>IFERROR(__xludf.DUMMYFUNCTION("""COMPUTED_VALUE"""),7.79)</f>
        <v>7.79</v>
      </c>
      <c r="F3118">
        <f>IFERROR(__xludf.DUMMYFUNCTION("""COMPUTED_VALUE"""),19.63)</f>
        <v>19.63</v>
      </c>
      <c r="G3118">
        <f>IFERROR(__xludf.DUMMYFUNCTION("""COMPUTED_VALUE"""),7.28)</f>
        <v>7.28</v>
      </c>
    </row>
    <row r="3119">
      <c r="A3119">
        <f>IFERROR(__xludf.DUMMYFUNCTION("""COMPUTED_VALUE"""),782138.0)</f>
        <v>782138</v>
      </c>
      <c r="B3119" t="str">
        <f>IFERROR(__xludf.DUMMYFUNCTION("""COMPUTED_VALUE"""),"Chicken Leg Drumstick And Thigh Sauteed Skin Eaten")</f>
        <v>Chicken Leg Drumstick And Thigh Sauteed Skin Eaten</v>
      </c>
      <c r="C3119" t="str">
        <f>IFERROR(__xludf.DUMMYFUNCTION("""COMPUTED_VALUE"""),"Meats")</f>
        <v>Meats</v>
      </c>
      <c r="D3119">
        <f>IFERROR(__xludf.DUMMYFUNCTION("""COMPUTED_VALUE"""),227.0)</f>
        <v>227</v>
      </c>
      <c r="E3119">
        <f>IFERROR(__xludf.DUMMYFUNCTION("""COMPUTED_VALUE"""),14.52)</f>
        <v>14.52</v>
      </c>
      <c r="F3119">
        <f>IFERROR(__xludf.DUMMYFUNCTION("""COMPUTED_VALUE"""),22.65)</f>
        <v>22.65</v>
      </c>
      <c r="G3119">
        <f>IFERROR(__xludf.DUMMYFUNCTION("""COMPUTED_VALUE"""),0.0)</f>
        <v>0</v>
      </c>
    </row>
    <row r="3120">
      <c r="A3120">
        <f>IFERROR(__xludf.DUMMYFUNCTION("""COMPUTED_VALUE"""),782139.0)</f>
        <v>782139</v>
      </c>
      <c r="B3120" t="str">
        <f>IFERROR(__xludf.DUMMYFUNCTION("""COMPUTED_VALUE"""),"Chicken Leg Drumstick And Thigh Sauteed Skin Not Eaten")</f>
        <v>Chicken Leg Drumstick And Thigh Sauteed Skin Not Eaten</v>
      </c>
      <c r="C3120" t="str">
        <f>IFERROR(__xludf.DUMMYFUNCTION("""COMPUTED_VALUE"""),"Meats")</f>
        <v>Meats</v>
      </c>
      <c r="D3120">
        <f>IFERROR(__xludf.DUMMYFUNCTION("""COMPUTED_VALUE"""),182.0)</f>
        <v>182</v>
      </c>
      <c r="E3120">
        <f>IFERROR(__xludf.DUMMYFUNCTION("""COMPUTED_VALUE"""),8.96)</f>
        <v>8.96</v>
      </c>
      <c r="F3120">
        <f>IFERROR(__xludf.DUMMYFUNCTION("""COMPUTED_VALUE"""),23.87)</f>
        <v>23.87</v>
      </c>
      <c r="G3120">
        <f>IFERROR(__xludf.DUMMYFUNCTION("""COMPUTED_VALUE"""),0.0)</f>
        <v>0</v>
      </c>
    </row>
    <row r="3121">
      <c r="A3121">
        <f>IFERROR(__xludf.DUMMYFUNCTION("""COMPUTED_VALUE"""),782140.0)</f>
        <v>782140</v>
      </c>
      <c r="B3121" t="str">
        <f>IFERROR(__xludf.DUMMYFUNCTION("""COMPUTED_VALUE"""),"Chicken Leg Drumstick And Thigh Fried Coated Skin / Coating Eaten")</f>
        <v>Chicken Leg Drumstick And Thigh Fried Coated Skin / Coating Eaten</v>
      </c>
      <c r="C3121" t="str">
        <f>IFERROR(__xludf.DUMMYFUNCTION("""COMPUTED_VALUE"""),"Meats")</f>
        <v>Meats</v>
      </c>
      <c r="D3121">
        <f>IFERROR(__xludf.DUMMYFUNCTION("""COMPUTED_VALUE"""),259.0)</f>
        <v>259</v>
      </c>
      <c r="E3121">
        <f>IFERROR(__xludf.DUMMYFUNCTION("""COMPUTED_VALUE"""),17.16)</f>
        <v>17.16</v>
      </c>
      <c r="F3121">
        <f>IFERROR(__xludf.DUMMYFUNCTION("""COMPUTED_VALUE"""),19.0)</f>
        <v>19</v>
      </c>
      <c r="G3121">
        <f>IFERROR(__xludf.DUMMYFUNCTION("""COMPUTED_VALUE"""),5.91)</f>
        <v>5.91</v>
      </c>
    </row>
    <row r="3122">
      <c r="A3122">
        <f>IFERROR(__xludf.DUMMYFUNCTION("""COMPUTED_VALUE"""),782141.0)</f>
        <v>782141</v>
      </c>
      <c r="B3122" t="str">
        <f>IFERROR(__xludf.DUMMYFUNCTION("""COMPUTED_VALUE"""),"Chicken Leg Drumstick And Thigh Fried Coated Skin / Coating Not Eaten")</f>
        <v>Chicken Leg Drumstick And Thigh Fried Coated Skin / Coating Not Eaten</v>
      </c>
      <c r="C3122" t="str">
        <f>IFERROR(__xludf.DUMMYFUNCTION("""COMPUTED_VALUE"""),"Meats")</f>
        <v>Meats</v>
      </c>
      <c r="D3122">
        <f>IFERROR(__xludf.DUMMYFUNCTION("""COMPUTED_VALUE"""),183.0)</f>
        <v>183</v>
      </c>
      <c r="E3122">
        <f>IFERROR(__xludf.DUMMYFUNCTION("""COMPUTED_VALUE"""),8.98)</f>
        <v>8.98</v>
      </c>
      <c r="F3122">
        <f>IFERROR(__xludf.DUMMYFUNCTION("""COMPUTED_VALUE"""),23.92)</f>
        <v>23.92</v>
      </c>
      <c r="G3122">
        <f>IFERROR(__xludf.DUMMYFUNCTION("""COMPUTED_VALUE"""),0.0)</f>
        <v>0</v>
      </c>
    </row>
    <row r="3123">
      <c r="A3123">
        <f>IFERROR(__xludf.DUMMYFUNCTION("""COMPUTED_VALUE"""),782142.0)</f>
        <v>782142</v>
      </c>
      <c r="B3123" t="str">
        <f>IFERROR(__xludf.DUMMYFUNCTION("""COMPUTED_VALUE"""),"Chicken Leg Drumstick And Thigh Baked Coated Skin / Coating Eaten")</f>
        <v>Chicken Leg Drumstick And Thigh Baked Coated Skin / Coating Eaten</v>
      </c>
      <c r="C3123" t="str">
        <f>IFERROR(__xludf.DUMMYFUNCTION("""COMPUTED_VALUE"""),"Meats")</f>
        <v>Meats</v>
      </c>
      <c r="D3123">
        <f>IFERROR(__xludf.DUMMYFUNCTION("""COMPUTED_VALUE"""),226.0)</f>
        <v>226</v>
      </c>
      <c r="E3123">
        <f>IFERROR(__xludf.DUMMYFUNCTION("""COMPUTED_VALUE"""),13.38)</f>
        <v>13.38</v>
      </c>
      <c r="F3123">
        <f>IFERROR(__xludf.DUMMYFUNCTION("""COMPUTED_VALUE"""),20.96)</f>
        <v>20.96</v>
      </c>
      <c r="G3123">
        <f>IFERROR(__xludf.DUMMYFUNCTION("""COMPUTED_VALUE"""),3.93)</f>
        <v>3.93</v>
      </c>
    </row>
    <row r="3124">
      <c r="A3124">
        <f>IFERROR(__xludf.DUMMYFUNCTION("""COMPUTED_VALUE"""),782143.0)</f>
        <v>782143</v>
      </c>
      <c r="B3124" t="str">
        <f>IFERROR(__xludf.DUMMYFUNCTION("""COMPUTED_VALUE"""),"Chicken Leg Drumstick And Thigh Baked Coated Skin / Coating Not Eaten")</f>
        <v>Chicken Leg Drumstick And Thigh Baked Coated Skin / Coating Not Eaten</v>
      </c>
      <c r="C3124" t="str">
        <f>IFERROR(__xludf.DUMMYFUNCTION("""COMPUTED_VALUE"""),"Meats")</f>
        <v>Meats</v>
      </c>
      <c r="D3124">
        <f>IFERROR(__xludf.DUMMYFUNCTION("""COMPUTED_VALUE"""),182.0)</f>
        <v>182</v>
      </c>
      <c r="E3124">
        <f>IFERROR(__xludf.DUMMYFUNCTION("""COMPUTED_VALUE"""),8.96)</f>
        <v>8.96</v>
      </c>
      <c r="F3124">
        <f>IFERROR(__xludf.DUMMYFUNCTION("""COMPUTED_VALUE"""),23.87)</f>
        <v>23.87</v>
      </c>
      <c r="G3124">
        <f>IFERROR(__xludf.DUMMYFUNCTION("""COMPUTED_VALUE"""),0.0)</f>
        <v>0</v>
      </c>
    </row>
    <row r="3125">
      <c r="A3125">
        <f>IFERROR(__xludf.DUMMYFUNCTION("""COMPUTED_VALUE"""),782146.0)</f>
        <v>782146</v>
      </c>
      <c r="B3125" t="str">
        <f>IFERROR(__xludf.DUMMYFUNCTION("""COMPUTED_VALUE"""),"Chicken Drumstick Baked Broiled Or Roasted Skin Eaten From Raw")</f>
        <v>Chicken Drumstick Baked Broiled Or Roasted Skin Eaten From Raw</v>
      </c>
      <c r="C3125" t="str">
        <f>IFERROR(__xludf.DUMMYFUNCTION("""COMPUTED_VALUE"""),"Meats")</f>
        <v>Meats</v>
      </c>
      <c r="D3125">
        <f>IFERROR(__xludf.DUMMYFUNCTION("""COMPUTED_VALUE"""),190.0)</f>
        <v>190</v>
      </c>
      <c r="E3125">
        <f>IFERROR(__xludf.DUMMYFUNCTION("""COMPUTED_VALUE"""),10.09)</f>
        <v>10.09</v>
      </c>
      <c r="F3125">
        <f>IFERROR(__xludf.DUMMYFUNCTION("""COMPUTED_VALUE"""),23.21)</f>
        <v>23.21</v>
      </c>
      <c r="G3125">
        <f>IFERROR(__xludf.DUMMYFUNCTION("""COMPUTED_VALUE"""),0.0)</f>
        <v>0</v>
      </c>
    </row>
    <row r="3126">
      <c r="A3126">
        <f>IFERROR(__xludf.DUMMYFUNCTION("""COMPUTED_VALUE"""),782147.0)</f>
        <v>782147</v>
      </c>
      <c r="B3126" t="str">
        <f>IFERROR(__xludf.DUMMYFUNCTION("""COMPUTED_VALUE"""),"Chicken Drumstick Baked Broiled Or Roasted Skin Not Eaten From Raw")</f>
        <v>Chicken Drumstick Baked Broiled Or Roasted Skin Not Eaten From Raw</v>
      </c>
      <c r="C3126" t="str">
        <f>IFERROR(__xludf.DUMMYFUNCTION("""COMPUTED_VALUE"""),"Meats")</f>
        <v>Meats</v>
      </c>
      <c r="D3126">
        <f>IFERROR(__xludf.DUMMYFUNCTION("""COMPUTED_VALUE"""),154.0)</f>
        <v>154</v>
      </c>
      <c r="E3126">
        <f>IFERROR(__xludf.DUMMYFUNCTION("""COMPUTED_VALUE"""),5.67)</f>
        <v>5.67</v>
      </c>
      <c r="F3126">
        <f>IFERROR(__xludf.DUMMYFUNCTION("""COMPUTED_VALUE"""),24.1)</f>
        <v>24.1</v>
      </c>
      <c r="G3126">
        <f>IFERROR(__xludf.DUMMYFUNCTION("""COMPUTED_VALUE"""),0.0)</f>
        <v>0</v>
      </c>
    </row>
    <row r="3127">
      <c r="A3127">
        <f>IFERROR(__xludf.DUMMYFUNCTION("""COMPUTED_VALUE"""),782150.0)</f>
        <v>782150</v>
      </c>
      <c r="B3127" t="str">
        <f>IFERROR(__xludf.DUMMYFUNCTION("""COMPUTED_VALUE"""),"Chicken Drumstick Baked Or Broiled Skin Eaten From Fast Food / Restaurant")</f>
        <v>Chicken Drumstick Baked Or Broiled Skin Eaten From Fast Food / Restaurant</v>
      </c>
      <c r="C3127" t="str">
        <f>IFERROR(__xludf.DUMMYFUNCTION("""COMPUTED_VALUE"""),"Meats")</f>
        <v>Meats</v>
      </c>
      <c r="D3127">
        <f>IFERROR(__xludf.DUMMYFUNCTION("""COMPUTED_VALUE"""),203.0)</f>
        <v>203</v>
      </c>
      <c r="E3127">
        <f>IFERROR(__xludf.DUMMYFUNCTION("""COMPUTED_VALUE"""),11.83)</f>
        <v>11.83</v>
      </c>
      <c r="F3127">
        <f>IFERROR(__xludf.DUMMYFUNCTION("""COMPUTED_VALUE"""),22.66)</f>
        <v>22.66</v>
      </c>
      <c r="G3127">
        <f>IFERROR(__xludf.DUMMYFUNCTION("""COMPUTED_VALUE"""),0.0)</f>
        <v>0</v>
      </c>
    </row>
    <row r="3128">
      <c r="A3128">
        <f>IFERROR(__xludf.DUMMYFUNCTION("""COMPUTED_VALUE"""),782151.0)</f>
        <v>782151</v>
      </c>
      <c r="B3128" t="str">
        <f>IFERROR(__xludf.DUMMYFUNCTION("""COMPUTED_VALUE"""),"Chicken Drumstick Baked Or Broiled Skin Not Eaten From Fast Food / Restaurant")</f>
        <v>Chicken Drumstick Baked Or Broiled Skin Not Eaten From Fast Food / Restaurant</v>
      </c>
      <c r="C3128" t="str">
        <f>IFERROR(__xludf.DUMMYFUNCTION("""COMPUTED_VALUE"""),"Meats")</f>
        <v>Meats</v>
      </c>
      <c r="D3128">
        <f>IFERROR(__xludf.DUMMYFUNCTION("""COMPUTED_VALUE"""),168.0)</f>
        <v>168</v>
      </c>
      <c r="E3128">
        <f>IFERROR(__xludf.DUMMYFUNCTION("""COMPUTED_VALUE"""),7.51)</f>
        <v>7.51</v>
      </c>
      <c r="F3128">
        <f>IFERROR(__xludf.DUMMYFUNCTION("""COMPUTED_VALUE"""),23.52)</f>
        <v>23.52</v>
      </c>
      <c r="G3128">
        <f>IFERROR(__xludf.DUMMYFUNCTION("""COMPUTED_VALUE"""),0.0)</f>
        <v>0</v>
      </c>
    </row>
    <row r="3129">
      <c r="A3129">
        <f>IFERROR(__xludf.DUMMYFUNCTION("""COMPUTED_VALUE"""),782154.0)</f>
        <v>782154</v>
      </c>
      <c r="B3129" t="str">
        <f>IFERROR(__xludf.DUMMYFUNCTION("""COMPUTED_VALUE"""),"Chicken Drumstick Grilled Without Sauce Skin Eaten")</f>
        <v>Chicken Drumstick Grilled Without Sauce Skin Eaten</v>
      </c>
      <c r="C3129" t="str">
        <f>IFERROR(__xludf.DUMMYFUNCTION("""COMPUTED_VALUE"""),"Meats")</f>
        <v>Meats</v>
      </c>
      <c r="D3129">
        <f>IFERROR(__xludf.DUMMYFUNCTION("""COMPUTED_VALUE"""),203.0)</f>
        <v>203</v>
      </c>
      <c r="E3129">
        <f>IFERROR(__xludf.DUMMYFUNCTION("""COMPUTED_VALUE"""),11.85)</f>
        <v>11.85</v>
      </c>
      <c r="F3129">
        <f>IFERROR(__xludf.DUMMYFUNCTION("""COMPUTED_VALUE"""),22.7)</f>
        <v>22.7</v>
      </c>
      <c r="G3129">
        <f>IFERROR(__xludf.DUMMYFUNCTION("""COMPUTED_VALUE"""),0.0)</f>
        <v>0</v>
      </c>
    </row>
    <row r="3130">
      <c r="A3130">
        <f>IFERROR(__xludf.DUMMYFUNCTION("""COMPUTED_VALUE"""),782155.0)</f>
        <v>782155</v>
      </c>
      <c r="B3130" t="str">
        <f>IFERROR(__xludf.DUMMYFUNCTION("""COMPUTED_VALUE"""),"Chicken Drumstick Grilled Without Sauce Skin Not Eaten")</f>
        <v>Chicken Drumstick Grilled Without Sauce Skin Not Eaten</v>
      </c>
      <c r="C3130" t="str">
        <f>IFERROR(__xludf.DUMMYFUNCTION("""COMPUTED_VALUE"""),"Meats")</f>
        <v>Meats</v>
      </c>
      <c r="D3130">
        <f>IFERROR(__xludf.DUMMYFUNCTION("""COMPUTED_VALUE"""),168.0)</f>
        <v>168</v>
      </c>
      <c r="E3130">
        <f>IFERROR(__xludf.DUMMYFUNCTION("""COMPUTED_VALUE"""),7.53)</f>
        <v>7.53</v>
      </c>
      <c r="F3130">
        <f>IFERROR(__xludf.DUMMYFUNCTION("""COMPUTED_VALUE"""),23.57)</f>
        <v>23.57</v>
      </c>
      <c r="G3130">
        <f>IFERROR(__xludf.DUMMYFUNCTION("""COMPUTED_VALUE"""),0.0)</f>
        <v>0</v>
      </c>
    </row>
    <row r="3131">
      <c r="A3131">
        <f>IFERROR(__xludf.DUMMYFUNCTION("""COMPUTED_VALUE"""),782156.0)</f>
        <v>782156</v>
      </c>
      <c r="B3131" t="str">
        <f>IFERROR(__xludf.DUMMYFUNCTION("""COMPUTED_VALUE"""),"Chicken Drumstick Grilled With Sauce Skin Eaten")</f>
        <v>Chicken Drumstick Grilled With Sauce Skin Eaten</v>
      </c>
      <c r="C3131" t="str">
        <f>IFERROR(__xludf.DUMMYFUNCTION("""COMPUTED_VALUE"""),"Meats")</f>
        <v>Meats</v>
      </c>
      <c r="D3131">
        <f>IFERROR(__xludf.DUMMYFUNCTION("""COMPUTED_VALUE"""),200.0)</f>
        <v>200</v>
      </c>
      <c r="E3131">
        <f>IFERROR(__xludf.DUMMYFUNCTION("""COMPUTED_VALUE"""),10.15)</f>
        <v>10.15</v>
      </c>
      <c r="F3131">
        <f>IFERROR(__xludf.DUMMYFUNCTION("""COMPUTED_VALUE"""),18.68)</f>
        <v>18.68</v>
      </c>
      <c r="G3131">
        <f>IFERROR(__xludf.DUMMYFUNCTION("""COMPUTED_VALUE"""),7.28)</f>
        <v>7.28</v>
      </c>
    </row>
    <row r="3132">
      <c r="A3132">
        <f>IFERROR(__xludf.DUMMYFUNCTION("""COMPUTED_VALUE"""),782157.0)</f>
        <v>782157</v>
      </c>
      <c r="B3132" t="str">
        <f>IFERROR(__xludf.DUMMYFUNCTION("""COMPUTED_VALUE"""),"Chicken Drumstick Grilled With Sauce Skin Not Eaten")</f>
        <v>Chicken Drumstick Grilled With Sauce Skin Not Eaten</v>
      </c>
      <c r="C3132" t="str">
        <f>IFERROR(__xludf.DUMMYFUNCTION("""COMPUTED_VALUE"""),"Meats")</f>
        <v>Meats</v>
      </c>
      <c r="D3132">
        <f>IFERROR(__xludf.DUMMYFUNCTION("""COMPUTED_VALUE"""),171.0)</f>
        <v>171</v>
      </c>
      <c r="E3132">
        <f>IFERROR(__xludf.DUMMYFUNCTION("""COMPUTED_VALUE"""),6.62)</f>
        <v>6.62</v>
      </c>
      <c r="F3132">
        <f>IFERROR(__xludf.DUMMYFUNCTION("""COMPUTED_VALUE"""),19.39)</f>
        <v>19.39</v>
      </c>
      <c r="G3132">
        <f>IFERROR(__xludf.DUMMYFUNCTION("""COMPUTED_VALUE"""),7.28)</f>
        <v>7.28</v>
      </c>
    </row>
    <row r="3133">
      <c r="A3133">
        <f>IFERROR(__xludf.DUMMYFUNCTION("""COMPUTED_VALUE"""),782158.0)</f>
        <v>782158</v>
      </c>
      <c r="B3133" t="str">
        <f>IFERROR(__xludf.DUMMYFUNCTION("""COMPUTED_VALUE"""),"Chicken Drumstick Stewed Skin Eaten")</f>
        <v>Chicken Drumstick Stewed Skin Eaten</v>
      </c>
      <c r="C3133" t="str">
        <f>IFERROR(__xludf.DUMMYFUNCTION("""COMPUTED_VALUE"""),"Meats")</f>
        <v>Meats</v>
      </c>
      <c r="D3133">
        <f>IFERROR(__xludf.DUMMYFUNCTION("""COMPUTED_VALUE"""),186.0)</f>
        <v>186</v>
      </c>
      <c r="E3133">
        <f>IFERROR(__xludf.DUMMYFUNCTION("""COMPUTED_VALUE"""),10.64)</f>
        <v>10.64</v>
      </c>
      <c r="F3133">
        <f>IFERROR(__xludf.DUMMYFUNCTION("""COMPUTED_VALUE"""),22.54)</f>
        <v>22.54</v>
      </c>
      <c r="G3133">
        <f>IFERROR(__xludf.DUMMYFUNCTION("""COMPUTED_VALUE"""),0.0)</f>
        <v>0</v>
      </c>
    </row>
    <row r="3134">
      <c r="A3134">
        <f>IFERROR(__xludf.DUMMYFUNCTION("""COMPUTED_VALUE"""),782159.0)</f>
        <v>782159</v>
      </c>
      <c r="B3134" t="str">
        <f>IFERROR(__xludf.DUMMYFUNCTION("""COMPUTED_VALUE"""),"Chicken Drumstick Stewed Skin Not Eaten")</f>
        <v>Chicken Drumstick Stewed Skin Not Eaten</v>
      </c>
      <c r="C3134" t="str">
        <f>IFERROR(__xludf.DUMMYFUNCTION("""COMPUTED_VALUE"""),"Meats")</f>
        <v>Meats</v>
      </c>
      <c r="D3134">
        <f>IFERROR(__xludf.DUMMYFUNCTION("""COMPUTED_VALUE"""),148.0)</f>
        <v>148</v>
      </c>
      <c r="E3134">
        <f>IFERROR(__xludf.DUMMYFUNCTION("""COMPUTED_VALUE"""),5.9)</f>
        <v>5.9</v>
      </c>
      <c r="F3134">
        <f>IFERROR(__xludf.DUMMYFUNCTION("""COMPUTED_VALUE"""),23.74)</f>
        <v>23.74</v>
      </c>
      <c r="G3134">
        <f>IFERROR(__xludf.DUMMYFUNCTION("""COMPUTED_VALUE"""),0.0)</f>
        <v>0</v>
      </c>
    </row>
    <row r="3135">
      <c r="A3135">
        <f>IFERROR(__xludf.DUMMYFUNCTION("""COMPUTED_VALUE"""),782160.0)</f>
        <v>782160</v>
      </c>
      <c r="B3135" t="str">
        <f>IFERROR(__xludf.DUMMYFUNCTION("""COMPUTED_VALUE"""),"Chicken Drumstick Sauteed Skin Eaten")</f>
        <v>Chicken Drumstick Sauteed Skin Eaten</v>
      </c>
      <c r="C3135" t="str">
        <f>IFERROR(__xludf.DUMMYFUNCTION("""COMPUTED_VALUE"""),"Meats")</f>
        <v>Meats</v>
      </c>
      <c r="D3135">
        <f>IFERROR(__xludf.DUMMYFUNCTION("""COMPUTED_VALUE"""),203.0)</f>
        <v>203</v>
      </c>
      <c r="E3135">
        <f>IFERROR(__xludf.DUMMYFUNCTION("""COMPUTED_VALUE"""),11.85)</f>
        <v>11.85</v>
      </c>
      <c r="F3135">
        <f>IFERROR(__xludf.DUMMYFUNCTION("""COMPUTED_VALUE"""),22.7)</f>
        <v>22.7</v>
      </c>
      <c r="G3135">
        <f>IFERROR(__xludf.DUMMYFUNCTION("""COMPUTED_VALUE"""),0.0)</f>
        <v>0</v>
      </c>
    </row>
    <row r="3136">
      <c r="A3136">
        <f>IFERROR(__xludf.DUMMYFUNCTION("""COMPUTED_VALUE"""),782161.0)</f>
        <v>782161</v>
      </c>
      <c r="B3136" t="str">
        <f>IFERROR(__xludf.DUMMYFUNCTION("""COMPUTED_VALUE"""),"Chicken Drumstick Sauteed Skin Not Eaten")</f>
        <v>Chicken Drumstick Sauteed Skin Not Eaten</v>
      </c>
      <c r="C3136" t="str">
        <f>IFERROR(__xludf.DUMMYFUNCTION("""COMPUTED_VALUE"""),"Meats")</f>
        <v>Meats</v>
      </c>
      <c r="D3136">
        <f>IFERROR(__xludf.DUMMYFUNCTION("""COMPUTED_VALUE"""),168.0)</f>
        <v>168</v>
      </c>
      <c r="E3136">
        <f>IFERROR(__xludf.DUMMYFUNCTION("""COMPUTED_VALUE"""),7.53)</f>
        <v>7.53</v>
      </c>
      <c r="F3136">
        <f>IFERROR(__xludf.DUMMYFUNCTION("""COMPUTED_VALUE"""),23.57)</f>
        <v>23.57</v>
      </c>
      <c r="G3136">
        <f>IFERROR(__xludf.DUMMYFUNCTION("""COMPUTED_VALUE"""),0.0)</f>
        <v>0</v>
      </c>
    </row>
    <row r="3137">
      <c r="A3137">
        <f>IFERROR(__xludf.DUMMYFUNCTION("""COMPUTED_VALUE"""),782162.0)</f>
        <v>782162</v>
      </c>
      <c r="B3137" t="str">
        <f>IFERROR(__xludf.DUMMYFUNCTION("""COMPUTED_VALUE"""),"Chicken Drumstick Fried Coated Skin / Coating Eaten From Raw")</f>
        <v>Chicken Drumstick Fried Coated Skin / Coating Eaten From Raw</v>
      </c>
      <c r="C3137" t="str">
        <f>IFERROR(__xludf.DUMMYFUNCTION("""COMPUTED_VALUE"""),"Meats")</f>
        <v>Meats</v>
      </c>
      <c r="D3137">
        <f>IFERROR(__xludf.DUMMYFUNCTION("""COMPUTED_VALUE"""),240.0)</f>
        <v>240</v>
      </c>
      <c r="E3137">
        <f>IFERROR(__xludf.DUMMYFUNCTION("""COMPUTED_VALUE"""),15.04)</f>
        <v>15.04</v>
      </c>
      <c r="F3137">
        <f>IFERROR(__xludf.DUMMYFUNCTION("""COMPUTED_VALUE"""),19.05)</f>
        <v>19.05</v>
      </c>
      <c r="G3137">
        <f>IFERROR(__xludf.DUMMYFUNCTION("""COMPUTED_VALUE"""),5.91)</f>
        <v>5.91</v>
      </c>
    </row>
    <row r="3138">
      <c r="A3138">
        <f>IFERROR(__xludf.DUMMYFUNCTION("""COMPUTED_VALUE"""),782163.0)</f>
        <v>782163</v>
      </c>
      <c r="B3138" t="str">
        <f>IFERROR(__xludf.DUMMYFUNCTION("""COMPUTED_VALUE"""),"Chicken Drumstick Fried Coated Skin / Coating Not Eaten From Raw")</f>
        <v>Chicken Drumstick Fried Coated Skin / Coating Not Eaten From Raw</v>
      </c>
      <c r="C3138" t="str">
        <f>IFERROR(__xludf.DUMMYFUNCTION("""COMPUTED_VALUE"""),"Meats")</f>
        <v>Meats</v>
      </c>
      <c r="D3138">
        <f>IFERROR(__xludf.DUMMYFUNCTION("""COMPUTED_VALUE"""),169.0)</f>
        <v>169</v>
      </c>
      <c r="E3138">
        <f>IFERROR(__xludf.DUMMYFUNCTION("""COMPUTED_VALUE"""),7.54)</f>
        <v>7.54</v>
      </c>
      <c r="F3138">
        <f>IFERROR(__xludf.DUMMYFUNCTION("""COMPUTED_VALUE"""),23.61)</f>
        <v>23.61</v>
      </c>
      <c r="G3138">
        <f>IFERROR(__xludf.DUMMYFUNCTION("""COMPUTED_VALUE"""),0.0)</f>
        <v>0</v>
      </c>
    </row>
    <row r="3139">
      <c r="A3139">
        <f>IFERROR(__xludf.DUMMYFUNCTION("""COMPUTED_VALUE"""),782164.0)</f>
        <v>782164</v>
      </c>
      <c r="B3139" t="str">
        <f>IFERROR(__xludf.DUMMYFUNCTION("""COMPUTED_VALUE"""),"Chicken Drumstick Fried Coated Prepared Skinless Coating Eaten From Raw")</f>
        <v>Chicken Drumstick Fried Coated Prepared Skinless Coating Eaten From Raw</v>
      </c>
      <c r="C3139" t="str">
        <f>IFERROR(__xludf.DUMMYFUNCTION("""COMPUTED_VALUE"""),"Meats")</f>
        <v>Meats</v>
      </c>
      <c r="D3139">
        <f>IFERROR(__xludf.DUMMYFUNCTION("""COMPUTED_VALUE"""),211.0)</f>
        <v>211</v>
      </c>
      <c r="E3139">
        <f>IFERROR(__xludf.DUMMYFUNCTION("""COMPUTED_VALUE"""),11.56)</f>
        <v>11.56</v>
      </c>
      <c r="F3139">
        <f>IFERROR(__xludf.DUMMYFUNCTION("""COMPUTED_VALUE"""),19.7)</f>
        <v>19.7</v>
      </c>
      <c r="G3139">
        <f>IFERROR(__xludf.DUMMYFUNCTION("""COMPUTED_VALUE"""),5.9)</f>
        <v>5.9</v>
      </c>
    </row>
    <row r="3140">
      <c r="A3140">
        <f>IFERROR(__xludf.DUMMYFUNCTION("""COMPUTED_VALUE"""),782165.0)</f>
        <v>782165</v>
      </c>
      <c r="B3140" t="str">
        <f>IFERROR(__xludf.DUMMYFUNCTION("""COMPUTED_VALUE"""),"Chicken Drumstick Fried Coated Skin / Coating Eaten From Pre-Cooked")</f>
        <v>Chicken Drumstick Fried Coated Skin / Coating Eaten From Pre-Cooked</v>
      </c>
      <c r="C3140" t="str">
        <f>IFERROR(__xludf.DUMMYFUNCTION("""COMPUTED_VALUE"""),"Meats")</f>
        <v>Meats</v>
      </c>
      <c r="D3140">
        <f>IFERROR(__xludf.DUMMYFUNCTION("""COMPUTED_VALUE"""),246.0)</f>
        <v>246</v>
      </c>
      <c r="E3140">
        <f>IFERROR(__xludf.DUMMYFUNCTION("""COMPUTED_VALUE"""),15.62)</f>
        <v>15.62</v>
      </c>
      <c r="F3140">
        <f>IFERROR(__xludf.DUMMYFUNCTION("""COMPUTED_VALUE"""),18.25)</f>
        <v>18.25</v>
      </c>
      <c r="G3140">
        <f>IFERROR(__xludf.DUMMYFUNCTION("""COMPUTED_VALUE"""),7.07)</f>
        <v>7.07</v>
      </c>
    </row>
    <row r="3141">
      <c r="A3141">
        <f>IFERROR(__xludf.DUMMYFUNCTION("""COMPUTED_VALUE"""),782166.0)</f>
        <v>782166</v>
      </c>
      <c r="B3141" t="str">
        <f>IFERROR(__xludf.DUMMYFUNCTION("""COMPUTED_VALUE"""),"Chicken Drumstick Fried Coated Skin / Coating Not Eaten From Pre-Cooked")</f>
        <v>Chicken Drumstick Fried Coated Skin / Coating Not Eaten From Pre-Cooked</v>
      </c>
      <c r="C3141" t="str">
        <f>IFERROR(__xludf.DUMMYFUNCTION("""COMPUTED_VALUE"""),"Meats")</f>
        <v>Meats</v>
      </c>
      <c r="D3141">
        <f>IFERROR(__xludf.DUMMYFUNCTION("""COMPUTED_VALUE"""),168.0)</f>
        <v>168</v>
      </c>
      <c r="E3141">
        <f>IFERROR(__xludf.DUMMYFUNCTION("""COMPUTED_VALUE"""),7.53)</f>
        <v>7.53</v>
      </c>
      <c r="F3141">
        <f>IFERROR(__xludf.DUMMYFUNCTION("""COMPUTED_VALUE"""),23.57)</f>
        <v>23.57</v>
      </c>
      <c r="G3141">
        <f>IFERROR(__xludf.DUMMYFUNCTION("""COMPUTED_VALUE"""),0.0)</f>
        <v>0</v>
      </c>
    </row>
    <row r="3142">
      <c r="A3142">
        <f>IFERROR(__xludf.DUMMYFUNCTION("""COMPUTED_VALUE"""),782167.0)</f>
        <v>782167</v>
      </c>
      <c r="B3142" t="str">
        <f>IFERROR(__xludf.DUMMYFUNCTION("""COMPUTED_VALUE"""),"Chicken Drumstick Fried Coated Skin / Coating Eaten From Fast Food / Restaurant")</f>
        <v>Chicken Drumstick Fried Coated Skin / Coating Eaten From Fast Food / Restaurant</v>
      </c>
      <c r="C3142" t="str">
        <f>IFERROR(__xludf.DUMMYFUNCTION("""COMPUTED_VALUE"""),"Meats")</f>
        <v>Meats</v>
      </c>
      <c r="D3142">
        <f>IFERROR(__xludf.DUMMYFUNCTION("""COMPUTED_VALUE"""),288.0)</f>
        <v>288</v>
      </c>
      <c r="E3142">
        <f>IFERROR(__xludf.DUMMYFUNCTION("""COMPUTED_VALUE"""),18.72)</f>
        <v>18.72</v>
      </c>
      <c r="F3142">
        <f>IFERROR(__xludf.DUMMYFUNCTION("""COMPUTED_VALUE"""),17.73)</f>
        <v>17.73</v>
      </c>
      <c r="G3142">
        <f>IFERROR(__xludf.DUMMYFUNCTION("""COMPUTED_VALUE"""),12.07)</f>
        <v>12.07</v>
      </c>
    </row>
    <row r="3143">
      <c r="A3143">
        <f>IFERROR(__xludf.DUMMYFUNCTION("""COMPUTED_VALUE"""),782168.0)</f>
        <v>782168</v>
      </c>
      <c r="B3143" t="str">
        <f>IFERROR(__xludf.DUMMYFUNCTION("""COMPUTED_VALUE"""),"Chicken Drumstick Fried Coated Skin / Coating Not Eaten From Fast Food / Restaurant")</f>
        <v>Chicken Drumstick Fried Coated Skin / Coating Not Eaten From Fast Food / Restaurant</v>
      </c>
      <c r="C3143" t="str">
        <f>IFERROR(__xludf.DUMMYFUNCTION("""COMPUTED_VALUE"""),"Meats")</f>
        <v>Meats</v>
      </c>
      <c r="D3143">
        <f>IFERROR(__xludf.DUMMYFUNCTION("""COMPUTED_VALUE"""),212.0)</f>
        <v>212</v>
      </c>
      <c r="E3143">
        <f>IFERROR(__xludf.DUMMYFUNCTION("""COMPUTED_VALUE"""),11.18)</f>
        <v>11.18</v>
      </c>
      <c r="F3143">
        <f>IFERROR(__xludf.DUMMYFUNCTION("""COMPUTED_VALUE"""),21.78)</f>
        <v>21.78</v>
      </c>
      <c r="G3143">
        <f>IFERROR(__xludf.DUMMYFUNCTION("""COMPUTED_VALUE"""),6.05)</f>
        <v>6.05</v>
      </c>
    </row>
    <row r="3144">
      <c r="A3144">
        <f>IFERROR(__xludf.DUMMYFUNCTION("""COMPUTED_VALUE"""),782169.0)</f>
        <v>782169</v>
      </c>
      <c r="B3144" t="str">
        <f>IFERROR(__xludf.DUMMYFUNCTION("""COMPUTED_VALUE"""),"Chicken Drumstick Baked Coated Skin / Coating Eaten")</f>
        <v>Chicken Drumstick Baked Coated Skin / Coating Eaten</v>
      </c>
      <c r="C3144" t="str">
        <f>IFERROR(__xludf.DUMMYFUNCTION("""COMPUTED_VALUE"""),"Meats")</f>
        <v>Meats</v>
      </c>
      <c r="D3144">
        <f>IFERROR(__xludf.DUMMYFUNCTION("""COMPUTED_VALUE"""),204.0)</f>
        <v>204</v>
      </c>
      <c r="E3144">
        <f>IFERROR(__xludf.DUMMYFUNCTION("""COMPUTED_VALUE"""),10.98)</f>
        <v>10.98</v>
      </c>
      <c r="F3144">
        <f>IFERROR(__xludf.DUMMYFUNCTION("""COMPUTED_VALUE"""),21.01)</f>
        <v>21.01</v>
      </c>
      <c r="G3144">
        <f>IFERROR(__xludf.DUMMYFUNCTION("""COMPUTED_VALUE"""),3.93)</f>
        <v>3.93</v>
      </c>
    </row>
    <row r="3145">
      <c r="A3145">
        <f>IFERROR(__xludf.DUMMYFUNCTION("""COMPUTED_VALUE"""),782170.0)</f>
        <v>782170</v>
      </c>
      <c r="B3145" t="str">
        <f>IFERROR(__xludf.DUMMYFUNCTION("""COMPUTED_VALUE"""),"Chicken Drumstick Baked Coated Skin / Coating Not Eaten")</f>
        <v>Chicken Drumstick Baked Coated Skin / Coating Not Eaten</v>
      </c>
      <c r="C3145" t="str">
        <f>IFERROR(__xludf.DUMMYFUNCTION("""COMPUTED_VALUE"""),"Meats")</f>
        <v>Meats</v>
      </c>
      <c r="D3145">
        <f>IFERROR(__xludf.DUMMYFUNCTION("""COMPUTED_VALUE"""),168.0)</f>
        <v>168</v>
      </c>
      <c r="E3145">
        <f>IFERROR(__xludf.DUMMYFUNCTION("""COMPUTED_VALUE"""),7.53)</f>
        <v>7.53</v>
      </c>
      <c r="F3145">
        <f>IFERROR(__xludf.DUMMYFUNCTION("""COMPUTED_VALUE"""),23.57)</f>
        <v>23.57</v>
      </c>
      <c r="G3145">
        <f>IFERROR(__xludf.DUMMYFUNCTION("""COMPUTED_VALUE"""),0.0)</f>
        <v>0</v>
      </c>
    </row>
    <row r="3146">
      <c r="A3146">
        <f>IFERROR(__xludf.DUMMYFUNCTION("""COMPUTED_VALUE"""),782173.0)</f>
        <v>782173</v>
      </c>
      <c r="B3146" t="str">
        <f>IFERROR(__xludf.DUMMYFUNCTION("""COMPUTED_VALUE"""),"Chicken Thigh Baked Broiled Or Roasted Skin Eaten From Raw")</f>
        <v>Chicken Thigh Baked Broiled Or Roasted Skin Eaten From Raw</v>
      </c>
      <c r="C3146" t="str">
        <f>IFERROR(__xludf.DUMMYFUNCTION("""COMPUTED_VALUE"""),"Meats")</f>
        <v>Meats</v>
      </c>
      <c r="D3146">
        <f>IFERROR(__xludf.DUMMYFUNCTION("""COMPUTED_VALUE"""),231.0)</f>
        <v>231</v>
      </c>
      <c r="E3146">
        <f>IFERROR(__xludf.DUMMYFUNCTION("""COMPUTED_VALUE"""),14.62)</f>
        <v>14.62</v>
      </c>
      <c r="F3146">
        <f>IFERROR(__xludf.DUMMYFUNCTION("""COMPUTED_VALUE"""),23.12)</f>
        <v>23.12</v>
      </c>
      <c r="G3146">
        <f>IFERROR(__xludf.DUMMYFUNCTION("""COMPUTED_VALUE"""),0.0)</f>
        <v>0</v>
      </c>
    </row>
    <row r="3147">
      <c r="A3147">
        <f>IFERROR(__xludf.DUMMYFUNCTION("""COMPUTED_VALUE"""),782174.0)</f>
        <v>782174</v>
      </c>
      <c r="B3147" t="str">
        <f>IFERROR(__xludf.DUMMYFUNCTION("""COMPUTED_VALUE"""),"Chicken Thigh Baked Broiled Or Roasted Skin Not Eaten From Raw")</f>
        <v>Chicken Thigh Baked Broiled Or Roasted Skin Not Eaten From Raw</v>
      </c>
      <c r="C3147" t="str">
        <f>IFERROR(__xludf.DUMMYFUNCTION("""COMPUTED_VALUE"""),"Meats")</f>
        <v>Meats</v>
      </c>
      <c r="D3147">
        <f>IFERROR(__xludf.DUMMYFUNCTION("""COMPUTED_VALUE"""),178.0)</f>
        <v>178</v>
      </c>
      <c r="E3147">
        <f>IFERROR(__xludf.DUMMYFUNCTION("""COMPUTED_VALUE"""),8.1)</f>
        <v>8.1</v>
      </c>
      <c r="F3147">
        <f>IFERROR(__xludf.DUMMYFUNCTION("""COMPUTED_VALUE"""),24.61)</f>
        <v>24.61</v>
      </c>
      <c r="G3147">
        <f>IFERROR(__xludf.DUMMYFUNCTION("""COMPUTED_VALUE"""),0.0)</f>
        <v>0</v>
      </c>
    </row>
    <row r="3148">
      <c r="A3148">
        <f>IFERROR(__xludf.DUMMYFUNCTION("""COMPUTED_VALUE"""),782177.0)</f>
        <v>782177</v>
      </c>
      <c r="B3148" t="str">
        <f>IFERROR(__xludf.DUMMYFUNCTION("""COMPUTED_VALUE"""),"Chicken Thigh Baked Or Broiled Skin Eaten From Fast Food / Restaurant")</f>
        <v>Chicken Thigh Baked Or Broiled Skin Eaten From Fast Food / Restaurant</v>
      </c>
      <c r="C3148" t="str">
        <f>IFERROR(__xludf.DUMMYFUNCTION("""COMPUTED_VALUE"""),"Meats")</f>
        <v>Meats</v>
      </c>
      <c r="D3148">
        <f>IFERROR(__xludf.DUMMYFUNCTION("""COMPUTED_VALUE"""),243.0)</f>
        <v>243</v>
      </c>
      <c r="E3148">
        <f>IFERROR(__xludf.DUMMYFUNCTION("""COMPUTED_VALUE"""),16.25)</f>
        <v>16.25</v>
      </c>
      <c r="F3148">
        <f>IFERROR(__xludf.DUMMYFUNCTION("""COMPUTED_VALUE"""),22.57)</f>
        <v>22.57</v>
      </c>
      <c r="G3148">
        <f>IFERROR(__xludf.DUMMYFUNCTION("""COMPUTED_VALUE"""),0.0)</f>
        <v>0</v>
      </c>
    </row>
    <row r="3149">
      <c r="A3149">
        <f>IFERROR(__xludf.DUMMYFUNCTION("""COMPUTED_VALUE"""),782178.0)</f>
        <v>782178</v>
      </c>
      <c r="B3149" t="str">
        <f>IFERROR(__xludf.DUMMYFUNCTION("""COMPUTED_VALUE"""),"Chicken Thigh Baked Or Broiled Skin Not Eaten From Fast Food / Restaurant")</f>
        <v>Chicken Thigh Baked Or Broiled Skin Not Eaten From Fast Food / Restaurant</v>
      </c>
      <c r="C3149" t="str">
        <f>IFERROR(__xludf.DUMMYFUNCTION("""COMPUTED_VALUE"""),"Meats")</f>
        <v>Meats</v>
      </c>
      <c r="D3149">
        <f>IFERROR(__xludf.DUMMYFUNCTION("""COMPUTED_VALUE"""),191.0)</f>
        <v>191</v>
      </c>
      <c r="E3149">
        <f>IFERROR(__xludf.DUMMYFUNCTION("""COMPUTED_VALUE"""),9.89)</f>
        <v>9.89</v>
      </c>
      <c r="F3149">
        <f>IFERROR(__xludf.DUMMYFUNCTION("""COMPUTED_VALUE"""),24.02)</f>
        <v>24.02</v>
      </c>
      <c r="G3149">
        <f>IFERROR(__xludf.DUMMYFUNCTION("""COMPUTED_VALUE"""),0.0)</f>
        <v>0</v>
      </c>
    </row>
    <row r="3150">
      <c r="A3150">
        <f>IFERROR(__xludf.DUMMYFUNCTION("""COMPUTED_VALUE"""),782181.0)</f>
        <v>782181</v>
      </c>
      <c r="B3150" t="str">
        <f>IFERROR(__xludf.DUMMYFUNCTION("""COMPUTED_VALUE"""),"Chicken Thigh Stewed Skin Eaten")</f>
        <v>Chicken Thigh Stewed Skin Eaten</v>
      </c>
      <c r="C3150" t="str">
        <f>IFERROR(__xludf.DUMMYFUNCTION("""COMPUTED_VALUE"""),"Meats")</f>
        <v>Meats</v>
      </c>
      <c r="D3150">
        <f>IFERROR(__xludf.DUMMYFUNCTION("""COMPUTED_VALUE"""),227.0)</f>
        <v>227</v>
      </c>
      <c r="E3150">
        <f>IFERROR(__xludf.DUMMYFUNCTION("""COMPUTED_VALUE"""),15.31)</f>
        <v>15.31</v>
      </c>
      <c r="F3150">
        <f>IFERROR(__xludf.DUMMYFUNCTION("""COMPUTED_VALUE"""),22.39)</f>
        <v>22.39</v>
      </c>
      <c r="G3150">
        <f>IFERROR(__xludf.DUMMYFUNCTION("""COMPUTED_VALUE"""),0.0)</f>
        <v>0</v>
      </c>
    </row>
    <row r="3151">
      <c r="A3151">
        <f>IFERROR(__xludf.DUMMYFUNCTION("""COMPUTED_VALUE"""),782182.0)</f>
        <v>782182</v>
      </c>
      <c r="B3151" t="str">
        <f>IFERROR(__xludf.DUMMYFUNCTION("""COMPUTED_VALUE"""),"Chicken Thigh Stewed Skin Not Eaten")</f>
        <v>Chicken Thigh Stewed Skin Not Eaten</v>
      </c>
      <c r="C3151" t="str">
        <f>IFERROR(__xludf.DUMMYFUNCTION("""COMPUTED_VALUE"""),"Meats")</f>
        <v>Meats</v>
      </c>
      <c r="D3151">
        <f>IFERROR(__xludf.DUMMYFUNCTION("""COMPUTED_VALUE"""),175.0)</f>
        <v>175</v>
      </c>
      <c r="E3151">
        <f>IFERROR(__xludf.DUMMYFUNCTION("""COMPUTED_VALUE"""),8.56)</f>
        <v>8.56</v>
      </c>
      <c r="F3151">
        <f>IFERROR(__xludf.DUMMYFUNCTION("""COMPUTED_VALUE"""),24.36)</f>
        <v>24.36</v>
      </c>
      <c r="G3151">
        <f>IFERROR(__xludf.DUMMYFUNCTION("""COMPUTED_VALUE"""),0.0)</f>
        <v>0</v>
      </c>
    </row>
    <row r="3152">
      <c r="A3152">
        <f>IFERROR(__xludf.DUMMYFUNCTION("""COMPUTED_VALUE"""),782183.0)</f>
        <v>782183</v>
      </c>
      <c r="B3152" t="str">
        <f>IFERROR(__xludf.DUMMYFUNCTION("""COMPUTED_VALUE"""),"Chicken Thigh Grilled Without Sauce Skin Eaten")</f>
        <v>Chicken Thigh Grilled Without Sauce Skin Eaten</v>
      </c>
      <c r="C3152" t="str">
        <f>IFERROR(__xludf.DUMMYFUNCTION("""COMPUTED_VALUE"""),"Meats")</f>
        <v>Meats</v>
      </c>
      <c r="D3152">
        <f>IFERROR(__xludf.DUMMYFUNCTION("""COMPUTED_VALUE"""),243.0)</f>
        <v>243</v>
      </c>
      <c r="E3152">
        <f>IFERROR(__xludf.DUMMYFUNCTION("""COMPUTED_VALUE"""),16.29)</f>
        <v>16.29</v>
      </c>
      <c r="F3152">
        <f>IFERROR(__xludf.DUMMYFUNCTION("""COMPUTED_VALUE"""),22.61)</f>
        <v>22.61</v>
      </c>
      <c r="G3152">
        <f>IFERROR(__xludf.DUMMYFUNCTION("""COMPUTED_VALUE"""),0.0)</f>
        <v>0</v>
      </c>
    </row>
    <row r="3153">
      <c r="A3153">
        <f>IFERROR(__xludf.DUMMYFUNCTION("""COMPUTED_VALUE"""),782184.0)</f>
        <v>782184</v>
      </c>
      <c r="B3153" t="str">
        <f>IFERROR(__xludf.DUMMYFUNCTION("""COMPUTED_VALUE"""),"Chicken Thigh Grilled Without Sauce Skin Not Eaten")</f>
        <v>Chicken Thigh Grilled Without Sauce Skin Not Eaten</v>
      </c>
      <c r="C3153" t="str">
        <f>IFERROR(__xludf.DUMMYFUNCTION("""COMPUTED_VALUE"""),"Meats")</f>
        <v>Meats</v>
      </c>
      <c r="D3153">
        <f>IFERROR(__xludf.DUMMYFUNCTION("""COMPUTED_VALUE"""),192.0)</f>
        <v>192</v>
      </c>
      <c r="E3153">
        <f>IFERROR(__xludf.DUMMYFUNCTION("""COMPUTED_VALUE"""),9.91)</f>
        <v>9.91</v>
      </c>
      <c r="F3153">
        <f>IFERROR(__xludf.DUMMYFUNCTION("""COMPUTED_VALUE"""),24.07)</f>
        <v>24.07</v>
      </c>
      <c r="G3153">
        <f>IFERROR(__xludf.DUMMYFUNCTION("""COMPUTED_VALUE"""),0.0)</f>
        <v>0</v>
      </c>
    </row>
    <row r="3154">
      <c r="A3154">
        <f>IFERROR(__xludf.DUMMYFUNCTION("""COMPUTED_VALUE"""),782185.0)</f>
        <v>782185</v>
      </c>
      <c r="B3154" t="str">
        <f>IFERROR(__xludf.DUMMYFUNCTION("""COMPUTED_VALUE"""),"Chicken Thigh Grilled With Sauce Skin Eaten")</f>
        <v>Chicken Thigh Grilled With Sauce Skin Eaten</v>
      </c>
      <c r="C3154" t="str">
        <f>IFERROR(__xludf.DUMMYFUNCTION("""COMPUTED_VALUE"""),"Meats")</f>
        <v>Meats</v>
      </c>
      <c r="D3154">
        <f>IFERROR(__xludf.DUMMYFUNCTION("""COMPUTED_VALUE"""),232.0)</f>
        <v>232</v>
      </c>
      <c r="E3154">
        <f>IFERROR(__xludf.DUMMYFUNCTION("""COMPUTED_VALUE"""),13.77)</f>
        <v>13.77</v>
      </c>
      <c r="F3154">
        <f>IFERROR(__xludf.DUMMYFUNCTION("""COMPUTED_VALUE"""),18.61)</f>
        <v>18.61</v>
      </c>
      <c r="G3154">
        <f>IFERROR(__xludf.DUMMYFUNCTION("""COMPUTED_VALUE"""),7.28)</f>
        <v>7.28</v>
      </c>
    </row>
    <row r="3155">
      <c r="A3155">
        <f>IFERROR(__xludf.DUMMYFUNCTION("""COMPUTED_VALUE"""),782186.0)</f>
        <v>782186</v>
      </c>
      <c r="B3155" t="str">
        <f>IFERROR(__xludf.DUMMYFUNCTION("""COMPUTED_VALUE"""),"Chicken Thigh Grilled With Sauce Skin Not Eaten")</f>
        <v>Chicken Thigh Grilled With Sauce Skin Not Eaten</v>
      </c>
      <c r="C3155" t="str">
        <f>IFERROR(__xludf.DUMMYFUNCTION("""COMPUTED_VALUE"""),"Meats")</f>
        <v>Meats</v>
      </c>
      <c r="D3155">
        <f>IFERROR(__xludf.DUMMYFUNCTION("""COMPUTED_VALUE"""),190.0)</f>
        <v>190</v>
      </c>
      <c r="E3155">
        <f>IFERROR(__xludf.DUMMYFUNCTION("""COMPUTED_VALUE"""),8.56)</f>
        <v>8.56</v>
      </c>
      <c r="F3155">
        <f>IFERROR(__xludf.DUMMYFUNCTION("""COMPUTED_VALUE"""),19.8)</f>
        <v>19.8</v>
      </c>
      <c r="G3155">
        <f>IFERROR(__xludf.DUMMYFUNCTION("""COMPUTED_VALUE"""),7.28)</f>
        <v>7.28</v>
      </c>
    </row>
    <row r="3156">
      <c r="A3156">
        <f>IFERROR(__xludf.DUMMYFUNCTION("""COMPUTED_VALUE"""),782187.0)</f>
        <v>782187</v>
      </c>
      <c r="B3156" t="str">
        <f>IFERROR(__xludf.DUMMYFUNCTION("""COMPUTED_VALUE"""),"Chicken Thigh Sauteed Skin Eaten")</f>
        <v>Chicken Thigh Sauteed Skin Eaten</v>
      </c>
      <c r="C3156" t="str">
        <f>IFERROR(__xludf.DUMMYFUNCTION("""COMPUTED_VALUE"""),"Meats")</f>
        <v>Meats</v>
      </c>
      <c r="D3156">
        <f>IFERROR(__xludf.DUMMYFUNCTION("""COMPUTED_VALUE"""),243.0)</f>
        <v>243</v>
      </c>
      <c r="E3156">
        <f>IFERROR(__xludf.DUMMYFUNCTION("""COMPUTED_VALUE"""),16.29)</f>
        <v>16.29</v>
      </c>
      <c r="F3156">
        <f>IFERROR(__xludf.DUMMYFUNCTION("""COMPUTED_VALUE"""),22.61)</f>
        <v>22.61</v>
      </c>
      <c r="G3156">
        <f>IFERROR(__xludf.DUMMYFUNCTION("""COMPUTED_VALUE"""),0.0)</f>
        <v>0</v>
      </c>
    </row>
    <row r="3157">
      <c r="A3157">
        <f>IFERROR(__xludf.DUMMYFUNCTION("""COMPUTED_VALUE"""),782188.0)</f>
        <v>782188</v>
      </c>
      <c r="B3157" t="str">
        <f>IFERROR(__xludf.DUMMYFUNCTION("""COMPUTED_VALUE"""),"Chicken Thigh Sauteed Skin Not Eaten")</f>
        <v>Chicken Thigh Sauteed Skin Not Eaten</v>
      </c>
      <c r="C3157" t="str">
        <f>IFERROR(__xludf.DUMMYFUNCTION("""COMPUTED_VALUE"""),"Meats")</f>
        <v>Meats</v>
      </c>
      <c r="D3157">
        <f>IFERROR(__xludf.DUMMYFUNCTION("""COMPUTED_VALUE"""),192.0)</f>
        <v>192</v>
      </c>
      <c r="E3157">
        <f>IFERROR(__xludf.DUMMYFUNCTION("""COMPUTED_VALUE"""),9.91)</f>
        <v>9.91</v>
      </c>
      <c r="F3157">
        <f>IFERROR(__xludf.DUMMYFUNCTION("""COMPUTED_VALUE"""),24.07)</f>
        <v>24.07</v>
      </c>
      <c r="G3157">
        <f>IFERROR(__xludf.DUMMYFUNCTION("""COMPUTED_VALUE"""),0.0)</f>
        <v>0</v>
      </c>
    </row>
    <row r="3158">
      <c r="A3158">
        <f>IFERROR(__xludf.DUMMYFUNCTION("""COMPUTED_VALUE"""),782189.0)</f>
        <v>782189</v>
      </c>
      <c r="B3158" t="str">
        <f>IFERROR(__xludf.DUMMYFUNCTION("""COMPUTED_VALUE"""),"Chicken Thigh Fried Coated Skin / Coating Eaten From Raw")</f>
        <v>Chicken Thigh Fried Coated Skin / Coating Eaten From Raw</v>
      </c>
      <c r="C3158" t="str">
        <f>IFERROR(__xludf.DUMMYFUNCTION("""COMPUTED_VALUE"""),"Meats")</f>
        <v>Meats</v>
      </c>
      <c r="D3158">
        <f>IFERROR(__xludf.DUMMYFUNCTION("""COMPUTED_VALUE"""),271.0)</f>
        <v>271</v>
      </c>
      <c r="E3158">
        <f>IFERROR(__xludf.DUMMYFUNCTION("""COMPUTED_VALUE"""),18.57)</f>
        <v>18.57</v>
      </c>
      <c r="F3158">
        <f>IFERROR(__xludf.DUMMYFUNCTION("""COMPUTED_VALUE"""),18.98)</f>
        <v>18.98</v>
      </c>
      <c r="G3158">
        <f>IFERROR(__xludf.DUMMYFUNCTION("""COMPUTED_VALUE"""),5.91)</f>
        <v>5.91</v>
      </c>
    </row>
    <row r="3159">
      <c r="A3159">
        <f>IFERROR(__xludf.DUMMYFUNCTION("""COMPUTED_VALUE"""),782190.0)</f>
        <v>782190</v>
      </c>
      <c r="B3159" t="str">
        <f>IFERROR(__xludf.DUMMYFUNCTION("""COMPUTED_VALUE"""),"Chicken Thigh Fried Coated Skin / Coating Not Eaten From Raw")</f>
        <v>Chicken Thigh Fried Coated Skin / Coating Not Eaten From Raw</v>
      </c>
      <c r="C3159" t="str">
        <f>IFERROR(__xludf.DUMMYFUNCTION("""COMPUTED_VALUE"""),"Meats")</f>
        <v>Meats</v>
      </c>
      <c r="D3159">
        <f>IFERROR(__xludf.DUMMYFUNCTION("""COMPUTED_VALUE"""),192.0)</f>
        <v>192</v>
      </c>
      <c r="E3159">
        <f>IFERROR(__xludf.DUMMYFUNCTION("""COMPUTED_VALUE"""),9.93)</f>
        <v>9.93</v>
      </c>
      <c r="F3159">
        <f>IFERROR(__xludf.DUMMYFUNCTION("""COMPUTED_VALUE"""),24.12)</f>
        <v>24.12</v>
      </c>
      <c r="G3159">
        <f>IFERROR(__xludf.DUMMYFUNCTION("""COMPUTED_VALUE"""),0.0)</f>
        <v>0</v>
      </c>
    </row>
    <row r="3160">
      <c r="A3160">
        <f>IFERROR(__xludf.DUMMYFUNCTION("""COMPUTED_VALUE"""),782191.0)</f>
        <v>782191</v>
      </c>
      <c r="B3160" t="str">
        <f>IFERROR(__xludf.DUMMYFUNCTION("""COMPUTED_VALUE"""),"Chicken Thigh Fried Coated Prepared Skinless Coating Eaten From Raw")</f>
        <v>Chicken Thigh Fried Coated Prepared Skinless Coating Eaten From Raw</v>
      </c>
      <c r="C3160" t="str">
        <f>IFERROR(__xludf.DUMMYFUNCTION("""COMPUTED_VALUE"""),"Meats")</f>
        <v>Meats</v>
      </c>
      <c r="D3160">
        <f>IFERROR(__xludf.DUMMYFUNCTION("""COMPUTED_VALUE"""),230.0)</f>
        <v>230</v>
      </c>
      <c r="E3160">
        <f>IFERROR(__xludf.DUMMYFUNCTION("""COMPUTED_VALUE"""),13.46)</f>
        <v>13.46</v>
      </c>
      <c r="F3160">
        <f>IFERROR(__xludf.DUMMYFUNCTION("""COMPUTED_VALUE"""),20.1)</f>
        <v>20.1</v>
      </c>
      <c r="G3160">
        <f>IFERROR(__xludf.DUMMYFUNCTION("""COMPUTED_VALUE"""),5.9)</f>
        <v>5.9</v>
      </c>
    </row>
    <row r="3161">
      <c r="A3161">
        <f>IFERROR(__xludf.DUMMYFUNCTION("""COMPUTED_VALUE"""),782192.0)</f>
        <v>782192</v>
      </c>
      <c r="B3161" t="str">
        <f>IFERROR(__xludf.DUMMYFUNCTION("""COMPUTED_VALUE"""),"Chicken Thigh Fried Coated Skin / Coating Eaten From Pre-Cooked")</f>
        <v>Chicken Thigh Fried Coated Skin / Coating Eaten From Pre-Cooked</v>
      </c>
      <c r="C3161" t="str">
        <f>IFERROR(__xludf.DUMMYFUNCTION("""COMPUTED_VALUE"""),"Meats")</f>
        <v>Meats</v>
      </c>
      <c r="D3161">
        <f>IFERROR(__xludf.DUMMYFUNCTION("""COMPUTED_VALUE"""),276.0)</f>
        <v>276</v>
      </c>
      <c r="E3161">
        <f>IFERROR(__xludf.DUMMYFUNCTION("""COMPUTED_VALUE"""),18.96)</f>
        <v>18.96</v>
      </c>
      <c r="F3161">
        <f>IFERROR(__xludf.DUMMYFUNCTION("""COMPUTED_VALUE"""),18.19)</f>
        <v>18.19</v>
      </c>
      <c r="G3161">
        <f>IFERROR(__xludf.DUMMYFUNCTION("""COMPUTED_VALUE"""),7.07)</f>
        <v>7.07</v>
      </c>
    </row>
    <row r="3162">
      <c r="A3162">
        <f>IFERROR(__xludf.DUMMYFUNCTION("""COMPUTED_VALUE"""),782193.0)</f>
        <v>782193</v>
      </c>
      <c r="B3162" t="str">
        <f>IFERROR(__xludf.DUMMYFUNCTION("""COMPUTED_VALUE"""),"Chicken Thigh Fried Coated Skin / Coating Not Eaten From Pre-Cooked")</f>
        <v>Chicken Thigh Fried Coated Skin / Coating Not Eaten From Pre-Cooked</v>
      </c>
      <c r="C3162" t="str">
        <f>IFERROR(__xludf.DUMMYFUNCTION("""COMPUTED_VALUE"""),"Meats")</f>
        <v>Meats</v>
      </c>
      <c r="D3162">
        <f>IFERROR(__xludf.DUMMYFUNCTION("""COMPUTED_VALUE"""),192.0)</f>
        <v>192</v>
      </c>
      <c r="E3162">
        <f>IFERROR(__xludf.DUMMYFUNCTION("""COMPUTED_VALUE"""),9.91)</f>
        <v>9.91</v>
      </c>
      <c r="F3162">
        <f>IFERROR(__xludf.DUMMYFUNCTION("""COMPUTED_VALUE"""),24.07)</f>
        <v>24.07</v>
      </c>
      <c r="G3162">
        <f>IFERROR(__xludf.DUMMYFUNCTION("""COMPUTED_VALUE"""),0.0)</f>
        <v>0</v>
      </c>
    </row>
    <row r="3163">
      <c r="A3163">
        <f>IFERROR(__xludf.DUMMYFUNCTION("""COMPUTED_VALUE"""),782194.0)</f>
        <v>782194</v>
      </c>
      <c r="B3163" t="str">
        <f>IFERROR(__xludf.DUMMYFUNCTION("""COMPUTED_VALUE"""),"Chicken Thigh Fried Coated Skin / Coating Eaten From Fast Food")</f>
        <v>Chicken Thigh Fried Coated Skin / Coating Eaten From Fast Food</v>
      </c>
      <c r="C3163" t="str">
        <f>IFERROR(__xludf.DUMMYFUNCTION("""COMPUTED_VALUE"""),"Meats")</f>
        <v>Meats</v>
      </c>
      <c r="D3163">
        <f>IFERROR(__xludf.DUMMYFUNCTION("""COMPUTED_VALUE"""),293.0)</f>
        <v>293</v>
      </c>
      <c r="E3163">
        <f>IFERROR(__xludf.DUMMYFUNCTION("""COMPUTED_VALUE"""),19.64)</f>
        <v>19.64</v>
      </c>
      <c r="F3163">
        <f>IFERROR(__xludf.DUMMYFUNCTION("""COMPUTED_VALUE"""),16.22)</f>
        <v>16.22</v>
      </c>
      <c r="G3163">
        <f>IFERROR(__xludf.DUMMYFUNCTION("""COMPUTED_VALUE"""),12.94)</f>
        <v>12.94</v>
      </c>
    </row>
    <row r="3164">
      <c r="A3164">
        <f>IFERROR(__xludf.DUMMYFUNCTION("""COMPUTED_VALUE"""),782195.0)</f>
        <v>782195</v>
      </c>
      <c r="B3164" t="str">
        <f>IFERROR(__xludf.DUMMYFUNCTION("""COMPUTED_VALUE"""),"Chicken Thigh Fried Coated Skin / Coating Not Eaten From Fast Food")</f>
        <v>Chicken Thigh Fried Coated Skin / Coating Not Eaten From Fast Food</v>
      </c>
      <c r="C3164" t="str">
        <f>IFERROR(__xludf.DUMMYFUNCTION("""COMPUTED_VALUE"""),"Meats")</f>
        <v>Meats</v>
      </c>
      <c r="D3164">
        <f>IFERROR(__xludf.DUMMYFUNCTION("""COMPUTED_VALUE"""),217.0)</f>
        <v>217</v>
      </c>
      <c r="E3164">
        <f>IFERROR(__xludf.DUMMYFUNCTION("""COMPUTED_VALUE"""),12.76)</f>
        <v>12.76</v>
      </c>
      <c r="F3164">
        <f>IFERROR(__xludf.DUMMYFUNCTION("""COMPUTED_VALUE"""),19.38)</f>
        <v>19.38</v>
      </c>
      <c r="G3164">
        <f>IFERROR(__xludf.DUMMYFUNCTION("""COMPUTED_VALUE"""),6.24)</f>
        <v>6.24</v>
      </c>
    </row>
    <row r="3165">
      <c r="A3165">
        <f>IFERROR(__xludf.DUMMYFUNCTION("""COMPUTED_VALUE"""),782196.0)</f>
        <v>782196</v>
      </c>
      <c r="B3165" t="str">
        <f>IFERROR(__xludf.DUMMYFUNCTION("""COMPUTED_VALUE"""),"Chicken Thigh Fried Coated Skin / Coating Eaten From Restaurant")</f>
        <v>Chicken Thigh Fried Coated Skin / Coating Eaten From Restaurant</v>
      </c>
      <c r="C3165" t="str">
        <f>IFERROR(__xludf.DUMMYFUNCTION("""COMPUTED_VALUE"""),"Meats")</f>
        <v>Meats</v>
      </c>
      <c r="D3165">
        <f>IFERROR(__xludf.DUMMYFUNCTION("""COMPUTED_VALUE"""),293.0)</f>
        <v>293</v>
      </c>
      <c r="E3165">
        <f>IFERROR(__xludf.DUMMYFUNCTION("""COMPUTED_VALUE"""),19.64)</f>
        <v>19.64</v>
      </c>
      <c r="F3165">
        <f>IFERROR(__xludf.DUMMYFUNCTION("""COMPUTED_VALUE"""),16.22)</f>
        <v>16.22</v>
      </c>
      <c r="G3165">
        <f>IFERROR(__xludf.DUMMYFUNCTION("""COMPUTED_VALUE"""),12.94)</f>
        <v>12.94</v>
      </c>
    </row>
    <row r="3166">
      <c r="A3166">
        <f>IFERROR(__xludf.DUMMYFUNCTION("""COMPUTED_VALUE"""),782197.0)</f>
        <v>782197</v>
      </c>
      <c r="B3166" t="str">
        <f>IFERROR(__xludf.DUMMYFUNCTION("""COMPUTED_VALUE"""),"Chicken Thigh Fried Coated Skin / Coating Not Eaten From Restaurant")</f>
        <v>Chicken Thigh Fried Coated Skin / Coating Not Eaten From Restaurant</v>
      </c>
      <c r="C3166" t="str">
        <f>IFERROR(__xludf.DUMMYFUNCTION("""COMPUTED_VALUE"""),"Meats")</f>
        <v>Meats</v>
      </c>
      <c r="D3166">
        <f>IFERROR(__xludf.DUMMYFUNCTION("""COMPUTED_VALUE"""),217.0)</f>
        <v>217</v>
      </c>
      <c r="E3166">
        <f>IFERROR(__xludf.DUMMYFUNCTION("""COMPUTED_VALUE"""),12.76)</f>
        <v>12.76</v>
      </c>
      <c r="F3166">
        <f>IFERROR(__xludf.DUMMYFUNCTION("""COMPUTED_VALUE"""),19.38)</f>
        <v>19.38</v>
      </c>
      <c r="G3166">
        <f>IFERROR(__xludf.DUMMYFUNCTION("""COMPUTED_VALUE"""),6.24)</f>
        <v>6.24</v>
      </c>
    </row>
    <row r="3167">
      <c r="A3167">
        <f>IFERROR(__xludf.DUMMYFUNCTION("""COMPUTED_VALUE"""),782198.0)</f>
        <v>782198</v>
      </c>
      <c r="B3167" t="str">
        <f>IFERROR(__xludf.DUMMYFUNCTION("""COMPUTED_VALUE"""),"Chicken Thigh Baked Coated Skin / Coating Eaten")</f>
        <v>Chicken Thigh Baked Coated Skin / Coating Eaten</v>
      </c>
      <c r="C3167" t="str">
        <f>IFERROR(__xludf.DUMMYFUNCTION("""COMPUTED_VALUE"""),"Meats")</f>
        <v>Meats</v>
      </c>
      <c r="D3167">
        <f>IFERROR(__xludf.DUMMYFUNCTION("""COMPUTED_VALUE"""),240.0)</f>
        <v>240</v>
      </c>
      <c r="E3167">
        <f>IFERROR(__xludf.DUMMYFUNCTION("""COMPUTED_VALUE"""),14.96)</f>
        <v>14.96</v>
      </c>
      <c r="F3167">
        <f>IFERROR(__xludf.DUMMYFUNCTION("""COMPUTED_VALUE"""),20.93)</f>
        <v>20.93</v>
      </c>
      <c r="G3167">
        <f>IFERROR(__xludf.DUMMYFUNCTION("""COMPUTED_VALUE"""),3.93)</f>
        <v>3.93</v>
      </c>
    </row>
    <row r="3168">
      <c r="A3168">
        <f>IFERROR(__xludf.DUMMYFUNCTION("""COMPUTED_VALUE"""),782199.0)</f>
        <v>782199</v>
      </c>
      <c r="B3168" t="str">
        <f>IFERROR(__xludf.DUMMYFUNCTION("""COMPUTED_VALUE"""),"Chicken Thigh Baked Coated Skin / Coating Not Eaten")</f>
        <v>Chicken Thigh Baked Coated Skin / Coating Not Eaten</v>
      </c>
      <c r="C3168" t="str">
        <f>IFERROR(__xludf.DUMMYFUNCTION("""COMPUTED_VALUE"""),"Meats")</f>
        <v>Meats</v>
      </c>
      <c r="D3168">
        <f>IFERROR(__xludf.DUMMYFUNCTION("""COMPUTED_VALUE"""),192.0)</f>
        <v>192</v>
      </c>
      <c r="E3168">
        <f>IFERROR(__xludf.DUMMYFUNCTION("""COMPUTED_VALUE"""),9.91)</f>
        <v>9.91</v>
      </c>
      <c r="F3168">
        <f>IFERROR(__xludf.DUMMYFUNCTION("""COMPUTED_VALUE"""),24.07)</f>
        <v>24.07</v>
      </c>
      <c r="G3168">
        <f>IFERROR(__xludf.DUMMYFUNCTION("""COMPUTED_VALUE"""),0.0)</f>
        <v>0</v>
      </c>
    </row>
    <row r="3169">
      <c r="A3169">
        <f>IFERROR(__xludf.DUMMYFUNCTION("""COMPUTED_VALUE"""),782201.0)</f>
        <v>782201</v>
      </c>
      <c r="B3169" t="str">
        <f>IFERROR(__xludf.DUMMYFUNCTION("""COMPUTED_VALUE"""),"Chicken Wing Baked Broiled Or Roasted From Raw")</f>
        <v>Chicken Wing Baked Broiled Or Roasted From Raw</v>
      </c>
      <c r="C3169" t="str">
        <f>IFERROR(__xludf.DUMMYFUNCTION("""COMPUTED_VALUE"""),"Meats")</f>
        <v>Meats</v>
      </c>
      <c r="D3169">
        <f>IFERROR(__xludf.DUMMYFUNCTION("""COMPUTED_VALUE"""),252.0)</f>
        <v>252</v>
      </c>
      <c r="E3169">
        <f>IFERROR(__xludf.DUMMYFUNCTION("""COMPUTED_VALUE"""),16.74)</f>
        <v>16.74</v>
      </c>
      <c r="F3169">
        <f>IFERROR(__xludf.DUMMYFUNCTION("""COMPUTED_VALUE"""),23.6)</f>
        <v>23.6</v>
      </c>
      <c r="G3169">
        <f>IFERROR(__xludf.DUMMYFUNCTION("""COMPUTED_VALUE"""),0.0)</f>
        <v>0</v>
      </c>
    </row>
    <row r="3170">
      <c r="A3170">
        <f>IFERROR(__xludf.DUMMYFUNCTION("""COMPUTED_VALUE"""),782203.0)</f>
        <v>782203</v>
      </c>
      <c r="B3170" t="str">
        <f>IFERROR(__xludf.DUMMYFUNCTION("""COMPUTED_VALUE"""),"Chicken Wing Baked Or Broiled From Fast Food / Restaurant")</f>
        <v>Chicken Wing Baked Or Broiled From Fast Food / Restaurant</v>
      </c>
      <c r="C3170" t="str">
        <f>IFERROR(__xludf.DUMMYFUNCTION("""COMPUTED_VALUE"""),"Meats")</f>
        <v>Meats</v>
      </c>
      <c r="D3170">
        <f>IFERROR(__xludf.DUMMYFUNCTION("""COMPUTED_VALUE"""),264.0)</f>
        <v>264</v>
      </c>
      <c r="E3170">
        <f>IFERROR(__xludf.DUMMYFUNCTION("""COMPUTED_VALUE"""),18.35)</f>
        <v>18.35</v>
      </c>
      <c r="F3170">
        <f>IFERROR(__xludf.DUMMYFUNCTION("""COMPUTED_VALUE"""),23.08)</f>
        <v>23.08</v>
      </c>
      <c r="G3170">
        <f>IFERROR(__xludf.DUMMYFUNCTION("""COMPUTED_VALUE"""),0.0)</f>
        <v>0</v>
      </c>
    </row>
    <row r="3171">
      <c r="A3171">
        <f>IFERROR(__xludf.DUMMYFUNCTION("""COMPUTED_VALUE"""),782205.0)</f>
        <v>782205</v>
      </c>
      <c r="B3171" t="str">
        <f>IFERROR(__xludf.DUMMYFUNCTION("""COMPUTED_VALUE"""),"Chicken Wing Stewed")</f>
        <v>Chicken Wing Stewed</v>
      </c>
      <c r="C3171" t="str">
        <f>IFERROR(__xludf.DUMMYFUNCTION("""COMPUTED_VALUE"""),"Meats")</f>
        <v>Meats</v>
      </c>
      <c r="D3171">
        <f>IFERROR(__xludf.DUMMYFUNCTION("""COMPUTED_VALUE"""),247.0)</f>
        <v>247</v>
      </c>
      <c r="E3171">
        <f>IFERROR(__xludf.DUMMYFUNCTION("""COMPUTED_VALUE"""),16.69)</f>
        <v>16.69</v>
      </c>
      <c r="F3171">
        <f>IFERROR(__xludf.DUMMYFUNCTION("""COMPUTED_VALUE"""),22.6)</f>
        <v>22.6</v>
      </c>
      <c r="G3171">
        <f>IFERROR(__xludf.DUMMYFUNCTION("""COMPUTED_VALUE"""),0.0)</f>
        <v>0</v>
      </c>
    </row>
    <row r="3172">
      <c r="A3172">
        <f>IFERROR(__xludf.DUMMYFUNCTION("""COMPUTED_VALUE"""),782206.0)</f>
        <v>782206</v>
      </c>
      <c r="B3172" t="str">
        <f>IFERROR(__xludf.DUMMYFUNCTION("""COMPUTED_VALUE"""),"Chicken Wing Grilled Without Sauce")</f>
        <v>Chicken Wing Grilled Without Sauce</v>
      </c>
      <c r="C3172" t="str">
        <f>IFERROR(__xludf.DUMMYFUNCTION("""COMPUTED_VALUE"""),"Meats")</f>
        <v>Meats</v>
      </c>
      <c r="D3172">
        <f>IFERROR(__xludf.DUMMYFUNCTION("""COMPUTED_VALUE"""),265.0)</f>
        <v>265</v>
      </c>
      <c r="E3172">
        <f>IFERROR(__xludf.DUMMYFUNCTION("""COMPUTED_VALUE"""),18.39)</f>
        <v>18.39</v>
      </c>
      <c r="F3172">
        <f>IFERROR(__xludf.DUMMYFUNCTION("""COMPUTED_VALUE"""),23.13)</f>
        <v>23.13</v>
      </c>
      <c r="G3172">
        <f>IFERROR(__xludf.DUMMYFUNCTION("""COMPUTED_VALUE"""),0.0)</f>
        <v>0</v>
      </c>
    </row>
    <row r="3173">
      <c r="A3173">
        <f>IFERROR(__xludf.DUMMYFUNCTION("""COMPUTED_VALUE"""),782207.0)</f>
        <v>782207</v>
      </c>
      <c r="B3173" t="str">
        <f>IFERROR(__xludf.DUMMYFUNCTION("""COMPUTED_VALUE"""),"Chicken Wing Grilled With Sauce")</f>
        <v>Chicken Wing Grilled With Sauce</v>
      </c>
      <c r="C3173" t="str">
        <f>IFERROR(__xludf.DUMMYFUNCTION("""COMPUTED_VALUE"""),"Meats")</f>
        <v>Meats</v>
      </c>
      <c r="D3173">
        <f>IFERROR(__xludf.DUMMYFUNCTION("""COMPUTED_VALUE"""),250.0)</f>
        <v>250</v>
      </c>
      <c r="E3173">
        <f>IFERROR(__xludf.DUMMYFUNCTION("""COMPUTED_VALUE"""),15.49)</f>
        <v>15.49</v>
      </c>
      <c r="F3173">
        <f>IFERROR(__xludf.DUMMYFUNCTION("""COMPUTED_VALUE"""),19.03)</f>
        <v>19.03</v>
      </c>
      <c r="G3173">
        <f>IFERROR(__xludf.DUMMYFUNCTION("""COMPUTED_VALUE"""),7.28)</f>
        <v>7.28</v>
      </c>
    </row>
    <row r="3174">
      <c r="A3174">
        <f>IFERROR(__xludf.DUMMYFUNCTION("""COMPUTED_VALUE"""),782208.0)</f>
        <v>782208</v>
      </c>
      <c r="B3174" t="str">
        <f>IFERROR(__xludf.DUMMYFUNCTION("""COMPUTED_VALUE"""),"Chicken Wing Sauteed")</f>
        <v>Chicken Wing Sauteed</v>
      </c>
      <c r="C3174" t="str">
        <f>IFERROR(__xludf.DUMMYFUNCTION("""COMPUTED_VALUE"""),"Meats")</f>
        <v>Meats</v>
      </c>
      <c r="D3174">
        <f>IFERROR(__xludf.DUMMYFUNCTION("""COMPUTED_VALUE"""),265.0)</f>
        <v>265</v>
      </c>
      <c r="E3174">
        <f>IFERROR(__xludf.DUMMYFUNCTION("""COMPUTED_VALUE"""),18.39)</f>
        <v>18.39</v>
      </c>
      <c r="F3174">
        <f>IFERROR(__xludf.DUMMYFUNCTION("""COMPUTED_VALUE"""),23.13)</f>
        <v>23.13</v>
      </c>
      <c r="G3174">
        <f>IFERROR(__xludf.DUMMYFUNCTION("""COMPUTED_VALUE"""),0.0)</f>
        <v>0</v>
      </c>
    </row>
    <row r="3175">
      <c r="A3175">
        <f>IFERROR(__xludf.DUMMYFUNCTION("""COMPUTED_VALUE"""),782209.0)</f>
        <v>782209</v>
      </c>
      <c r="B3175" t="str">
        <f>IFERROR(__xludf.DUMMYFUNCTION("""COMPUTED_VALUE"""),"Chicken Wing Fried Coated From Raw")</f>
        <v>Chicken Wing Fried Coated From Raw</v>
      </c>
      <c r="C3175" t="str">
        <f>IFERROR(__xludf.DUMMYFUNCTION("""COMPUTED_VALUE"""),"Meats")</f>
        <v>Meats</v>
      </c>
      <c r="D3175">
        <f>IFERROR(__xludf.DUMMYFUNCTION("""COMPUTED_VALUE"""),288.0)</f>
        <v>288</v>
      </c>
      <c r="E3175">
        <f>IFERROR(__xludf.DUMMYFUNCTION("""COMPUTED_VALUE"""),20.2)</f>
        <v>20.2</v>
      </c>
      <c r="F3175">
        <f>IFERROR(__xludf.DUMMYFUNCTION("""COMPUTED_VALUE"""),19.35)</f>
        <v>19.35</v>
      </c>
      <c r="G3175">
        <f>IFERROR(__xludf.DUMMYFUNCTION("""COMPUTED_VALUE"""),5.9)</f>
        <v>5.9</v>
      </c>
    </row>
    <row r="3176">
      <c r="A3176">
        <f>IFERROR(__xludf.DUMMYFUNCTION("""COMPUTED_VALUE"""),782210.0)</f>
        <v>782210</v>
      </c>
      <c r="B3176" t="str">
        <f>IFERROR(__xludf.DUMMYFUNCTION("""COMPUTED_VALUE"""),"Chicken Wing Fried Coated From Pre-Cooked")</f>
        <v>Chicken Wing Fried Coated From Pre-Cooked</v>
      </c>
      <c r="C3176" t="str">
        <f>IFERROR(__xludf.DUMMYFUNCTION("""COMPUTED_VALUE"""),"Meats")</f>
        <v>Meats</v>
      </c>
      <c r="D3176">
        <f>IFERROR(__xludf.DUMMYFUNCTION("""COMPUTED_VALUE"""),292.0)</f>
        <v>292</v>
      </c>
      <c r="E3176">
        <f>IFERROR(__xludf.DUMMYFUNCTION("""COMPUTED_VALUE"""),20.55)</f>
        <v>20.55</v>
      </c>
      <c r="F3176">
        <f>IFERROR(__xludf.DUMMYFUNCTION("""COMPUTED_VALUE"""),18.58)</f>
        <v>18.58</v>
      </c>
      <c r="G3176">
        <f>IFERROR(__xludf.DUMMYFUNCTION("""COMPUTED_VALUE"""),7.07)</f>
        <v>7.07</v>
      </c>
    </row>
    <row r="3177">
      <c r="A3177">
        <f>IFERROR(__xludf.DUMMYFUNCTION("""COMPUTED_VALUE"""),782211.0)</f>
        <v>782211</v>
      </c>
      <c r="B3177" t="str">
        <f>IFERROR(__xludf.DUMMYFUNCTION("""COMPUTED_VALUE"""),"Chicken Wing Fried Coated From Fast Food")</f>
        <v>Chicken Wing Fried Coated From Fast Food</v>
      </c>
      <c r="C3177" t="str">
        <f>IFERROR(__xludf.DUMMYFUNCTION("""COMPUTED_VALUE"""),"Meats")</f>
        <v>Meats</v>
      </c>
      <c r="D3177">
        <f>IFERROR(__xludf.DUMMYFUNCTION("""COMPUTED_VALUE"""),322.0)</f>
        <v>322</v>
      </c>
      <c r="E3177">
        <f>IFERROR(__xludf.DUMMYFUNCTION("""COMPUTED_VALUE"""),21.24)</f>
        <v>21.24</v>
      </c>
      <c r="F3177">
        <f>IFERROR(__xludf.DUMMYFUNCTION("""COMPUTED_VALUE"""),17.74)</f>
        <v>17.74</v>
      </c>
      <c r="G3177">
        <f>IFERROR(__xludf.DUMMYFUNCTION("""COMPUTED_VALUE"""),14.93)</f>
        <v>14.93</v>
      </c>
    </row>
    <row r="3178">
      <c r="A3178">
        <f>IFERROR(__xludf.DUMMYFUNCTION("""COMPUTED_VALUE"""),782212.0)</f>
        <v>782212</v>
      </c>
      <c r="B3178" t="str">
        <f>IFERROR(__xludf.DUMMYFUNCTION("""COMPUTED_VALUE"""),"Chicken Wing Fried Coated From Restaurant")</f>
        <v>Chicken Wing Fried Coated From Restaurant</v>
      </c>
      <c r="C3178" t="str">
        <f>IFERROR(__xludf.DUMMYFUNCTION("""COMPUTED_VALUE"""),"Meats")</f>
        <v>Meats</v>
      </c>
      <c r="D3178">
        <f>IFERROR(__xludf.DUMMYFUNCTION("""COMPUTED_VALUE"""),322.0)</f>
        <v>322</v>
      </c>
      <c r="E3178">
        <f>IFERROR(__xludf.DUMMYFUNCTION("""COMPUTED_VALUE"""),21.24)</f>
        <v>21.24</v>
      </c>
      <c r="F3178">
        <f>IFERROR(__xludf.DUMMYFUNCTION("""COMPUTED_VALUE"""),17.74)</f>
        <v>17.74</v>
      </c>
      <c r="G3178">
        <f>IFERROR(__xludf.DUMMYFUNCTION("""COMPUTED_VALUE"""),14.93)</f>
        <v>14.93</v>
      </c>
    </row>
    <row r="3179">
      <c r="A3179">
        <f>IFERROR(__xludf.DUMMYFUNCTION("""COMPUTED_VALUE"""),782213.0)</f>
        <v>782213</v>
      </c>
      <c r="B3179" t="str">
        <f>IFERROR(__xludf.DUMMYFUNCTION("""COMPUTED_VALUE"""),"Chicken Wing Baked Coated")</f>
        <v>Chicken Wing Baked Coated</v>
      </c>
      <c r="C3179" t="str">
        <f>IFERROR(__xludf.DUMMYFUNCTION("""COMPUTED_VALUE"""),"Meats")</f>
        <v>Meats</v>
      </c>
      <c r="D3179">
        <f>IFERROR(__xludf.DUMMYFUNCTION("""COMPUTED_VALUE"""),259.0)</f>
        <v>259</v>
      </c>
      <c r="E3179">
        <f>IFERROR(__xludf.DUMMYFUNCTION("""COMPUTED_VALUE"""),16.85)</f>
        <v>16.85</v>
      </c>
      <c r="F3179">
        <f>IFERROR(__xludf.DUMMYFUNCTION("""COMPUTED_VALUE"""),21.4)</f>
        <v>21.4</v>
      </c>
      <c r="G3179">
        <f>IFERROR(__xludf.DUMMYFUNCTION("""COMPUTED_VALUE"""),3.93)</f>
        <v>3.93</v>
      </c>
    </row>
    <row r="3180">
      <c r="A3180">
        <f>IFERROR(__xludf.DUMMYFUNCTION("""COMPUTED_VALUE"""),782214.0)</f>
        <v>782214</v>
      </c>
      <c r="B3180" t="str">
        <f>IFERROR(__xludf.DUMMYFUNCTION("""COMPUTED_VALUE"""),"Chicken ""wings"" With Hot Sauce From Fast Food / Restaurant")</f>
        <v>Chicken "wings" With Hot Sauce From Fast Food / Restaurant</v>
      </c>
      <c r="C3180" t="str">
        <f>IFERROR(__xludf.DUMMYFUNCTION("""COMPUTED_VALUE"""),"Meats")</f>
        <v>Meats</v>
      </c>
      <c r="D3180">
        <f>IFERROR(__xludf.DUMMYFUNCTION("""COMPUTED_VALUE"""),269.0)</f>
        <v>269</v>
      </c>
      <c r="E3180">
        <f>IFERROR(__xludf.DUMMYFUNCTION("""COMPUTED_VALUE"""),19.97)</f>
        <v>19.97</v>
      </c>
      <c r="F3180">
        <f>IFERROR(__xludf.DUMMYFUNCTION("""COMPUTED_VALUE"""),16.78)</f>
        <v>16.78</v>
      </c>
      <c r="G3180">
        <f>IFERROR(__xludf.DUMMYFUNCTION("""COMPUTED_VALUE"""),6.19)</f>
        <v>6.19</v>
      </c>
    </row>
    <row r="3181">
      <c r="A3181">
        <f>IFERROR(__xludf.DUMMYFUNCTION("""COMPUTED_VALUE"""),782215.0)</f>
        <v>782215</v>
      </c>
      <c r="B3181" t="str">
        <f>IFERROR(__xludf.DUMMYFUNCTION("""COMPUTED_VALUE"""),"Chicken ""wings"" With Other Sauces Or Seasoning From Fast Food / Restaurant")</f>
        <v>Chicken "wings" With Other Sauces Or Seasoning From Fast Food / Restaurant</v>
      </c>
      <c r="C3181" t="str">
        <f>IFERROR(__xludf.DUMMYFUNCTION("""COMPUTED_VALUE"""),"Meats")</f>
        <v>Meats</v>
      </c>
      <c r="D3181">
        <f>IFERROR(__xludf.DUMMYFUNCTION("""COMPUTED_VALUE"""),276.0)</f>
        <v>276</v>
      </c>
      <c r="E3181">
        <f>IFERROR(__xludf.DUMMYFUNCTION("""COMPUTED_VALUE"""),17.39)</f>
        <v>17.39</v>
      </c>
      <c r="F3181">
        <f>IFERROR(__xludf.DUMMYFUNCTION("""COMPUTED_VALUE"""),16.95)</f>
        <v>16.95</v>
      </c>
      <c r="G3181">
        <f>IFERROR(__xludf.DUMMYFUNCTION("""COMPUTED_VALUE"""),13.13)</f>
        <v>13.13</v>
      </c>
    </row>
    <row r="3182">
      <c r="A3182">
        <f>IFERROR(__xludf.DUMMYFUNCTION("""COMPUTED_VALUE"""),782216.0)</f>
        <v>782216</v>
      </c>
      <c r="B3182" t="str">
        <f>IFERROR(__xludf.DUMMYFUNCTION("""COMPUTED_VALUE"""),"Chicken ""wings"" Plain From Fast Food / Restaurant")</f>
        <v>Chicken "wings" Plain From Fast Food / Restaurant</v>
      </c>
      <c r="C3182" t="str">
        <f>IFERROR(__xludf.DUMMYFUNCTION("""COMPUTED_VALUE"""),"Meats")</f>
        <v>Meats</v>
      </c>
      <c r="D3182">
        <f>IFERROR(__xludf.DUMMYFUNCTION("""COMPUTED_VALUE"""),322.0)</f>
        <v>322</v>
      </c>
      <c r="E3182">
        <f>IFERROR(__xludf.DUMMYFUNCTION("""COMPUTED_VALUE"""),21.24)</f>
        <v>21.24</v>
      </c>
      <c r="F3182">
        <f>IFERROR(__xludf.DUMMYFUNCTION("""COMPUTED_VALUE"""),17.74)</f>
        <v>17.74</v>
      </c>
      <c r="G3182">
        <f>IFERROR(__xludf.DUMMYFUNCTION("""COMPUTED_VALUE"""),14.93)</f>
        <v>14.93</v>
      </c>
    </row>
    <row r="3183">
      <c r="A3183">
        <f>IFERROR(__xludf.DUMMYFUNCTION("""COMPUTED_VALUE"""),782217.0)</f>
        <v>782217</v>
      </c>
      <c r="B3183" t="str">
        <f>IFERROR(__xludf.DUMMYFUNCTION("""COMPUTED_VALUE"""),"Chicken ""wings"" With Hot Sauce From Precooked")</f>
        <v>Chicken "wings" With Hot Sauce From Precooked</v>
      </c>
      <c r="C3183" t="str">
        <f>IFERROR(__xludf.DUMMYFUNCTION("""COMPUTED_VALUE"""),"Meats")</f>
        <v>Meats</v>
      </c>
      <c r="D3183">
        <f>IFERROR(__xludf.DUMMYFUNCTION("""COMPUTED_VALUE"""),251.0)</f>
        <v>251</v>
      </c>
      <c r="E3183">
        <f>IFERROR(__xludf.DUMMYFUNCTION("""COMPUTED_VALUE"""),19.26)</f>
        <v>19.26</v>
      </c>
      <c r="F3183">
        <f>IFERROR(__xludf.DUMMYFUNCTION("""COMPUTED_VALUE"""),17.57)</f>
        <v>17.57</v>
      </c>
      <c r="G3183">
        <f>IFERROR(__xludf.DUMMYFUNCTION("""COMPUTED_VALUE"""),2.5)</f>
        <v>2.5</v>
      </c>
    </row>
    <row r="3184">
      <c r="A3184">
        <f>IFERROR(__xludf.DUMMYFUNCTION("""COMPUTED_VALUE"""),782218.0)</f>
        <v>782218</v>
      </c>
      <c r="B3184" t="str">
        <f>IFERROR(__xludf.DUMMYFUNCTION("""COMPUTED_VALUE"""),"Chicken ""wings"" With Other Sauces Or Seasoning From Precooked")</f>
        <v>Chicken "wings" With Other Sauces Or Seasoning From Precooked</v>
      </c>
      <c r="C3184" t="str">
        <f>IFERROR(__xludf.DUMMYFUNCTION("""COMPUTED_VALUE"""),"Meats")</f>
        <v>Meats</v>
      </c>
      <c r="D3184">
        <f>IFERROR(__xludf.DUMMYFUNCTION("""COMPUTED_VALUE"""),257.0)</f>
        <v>257</v>
      </c>
      <c r="E3184">
        <f>IFERROR(__xludf.DUMMYFUNCTION("""COMPUTED_VALUE"""),16.67)</f>
        <v>16.67</v>
      </c>
      <c r="F3184">
        <f>IFERROR(__xludf.DUMMYFUNCTION("""COMPUTED_VALUE"""),17.74)</f>
        <v>17.74</v>
      </c>
      <c r="G3184">
        <f>IFERROR(__xludf.DUMMYFUNCTION("""COMPUTED_VALUE"""),9.42)</f>
        <v>9.42</v>
      </c>
    </row>
    <row r="3185">
      <c r="A3185">
        <f>IFERROR(__xludf.DUMMYFUNCTION("""COMPUTED_VALUE"""),782219.0)</f>
        <v>782219</v>
      </c>
      <c r="B3185" t="str">
        <f>IFERROR(__xludf.DUMMYFUNCTION("""COMPUTED_VALUE"""),"Chicken ""wings"" Plain From Precooked")</f>
        <v>Chicken "wings" Plain From Precooked</v>
      </c>
      <c r="C3185" t="str">
        <f>IFERROR(__xludf.DUMMYFUNCTION("""COMPUTED_VALUE"""),"Meats")</f>
        <v>Meats</v>
      </c>
      <c r="D3185">
        <f>IFERROR(__xludf.DUMMYFUNCTION("""COMPUTED_VALUE"""),292.0)</f>
        <v>292</v>
      </c>
      <c r="E3185">
        <f>IFERROR(__xludf.DUMMYFUNCTION("""COMPUTED_VALUE"""),20.55)</f>
        <v>20.55</v>
      </c>
      <c r="F3185">
        <f>IFERROR(__xludf.DUMMYFUNCTION("""COMPUTED_VALUE"""),18.58)</f>
        <v>18.58</v>
      </c>
      <c r="G3185">
        <f>IFERROR(__xludf.DUMMYFUNCTION("""COMPUTED_VALUE"""),7.07)</f>
        <v>7.07</v>
      </c>
    </row>
    <row r="3186">
      <c r="A3186">
        <f>IFERROR(__xludf.DUMMYFUNCTION("""COMPUTED_VALUE"""),782220.0)</f>
        <v>782220</v>
      </c>
      <c r="B3186" t="str">
        <f>IFERROR(__xludf.DUMMYFUNCTION("""COMPUTED_VALUE"""),"Chicken ""wings"" With Hot Sauce From Other Sources")</f>
        <v>Chicken "wings" With Hot Sauce From Other Sources</v>
      </c>
      <c r="C3186" t="str">
        <f>IFERROR(__xludf.DUMMYFUNCTION("""COMPUTED_VALUE"""),"Meats")</f>
        <v>Meats</v>
      </c>
      <c r="D3186">
        <f>IFERROR(__xludf.DUMMYFUNCTION("""COMPUTED_VALUE"""),264.0)</f>
        <v>264</v>
      </c>
      <c r="E3186">
        <f>IFERROR(__xludf.DUMMYFUNCTION("""COMPUTED_VALUE"""),19.76)</f>
        <v>19.76</v>
      </c>
      <c r="F3186">
        <f>IFERROR(__xludf.DUMMYFUNCTION("""COMPUTED_VALUE"""),17.02)</f>
        <v>17.02</v>
      </c>
      <c r="G3186">
        <f>IFERROR(__xludf.DUMMYFUNCTION("""COMPUTED_VALUE"""),5.08)</f>
        <v>5.08</v>
      </c>
    </row>
    <row r="3187">
      <c r="A3187">
        <f>IFERROR(__xludf.DUMMYFUNCTION("""COMPUTED_VALUE"""),782221.0)</f>
        <v>782221</v>
      </c>
      <c r="B3187" t="str">
        <f>IFERROR(__xludf.DUMMYFUNCTION("""COMPUTED_VALUE"""),"Chicken ""wings"" With Other Sauces Or Seasoning From Other Sources")</f>
        <v>Chicken "wings" With Other Sauces Or Seasoning From Other Sources</v>
      </c>
      <c r="C3187" t="str">
        <f>IFERROR(__xludf.DUMMYFUNCTION("""COMPUTED_VALUE"""),"Meats")</f>
        <v>Meats</v>
      </c>
      <c r="D3187">
        <f>IFERROR(__xludf.DUMMYFUNCTION("""COMPUTED_VALUE"""),270.0)</f>
        <v>270</v>
      </c>
      <c r="E3187">
        <f>IFERROR(__xludf.DUMMYFUNCTION("""COMPUTED_VALUE"""),17.17)</f>
        <v>17.17</v>
      </c>
      <c r="F3187">
        <f>IFERROR(__xludf.DUMMYFUNCTION("""COMPUTED_VALUE"""),17.19)</f>
        <v>17.19</v>
      </c>
      <c r="G3187">
        <f>IFERROR(__xludf.DUMMYFUNCTION("""COMPUTED_VALUE"""),12.01)</f>
        <v>12.01</v>
      </c>
    </row>
    <row r="3188">
      <c r="A3188">
        <f>IFERROR(__xludf.DUMMYFUNCTION("""COMPUTED_VALUE"""),782222.0)</f>
        <v>782222</v>
      </c>
      <c r="B3188" t="str">
        <f>IFERROR(__xludf.DUMMYFUNCTION("""COMPUTED_VALUE"""),"Chicken ""wings"" Plain From Other Sources")</f>
        <v>Chicken "wings" Plain From Other Sources</v>
      </c>
      <c r="C3188" t="str">
        <f>IFERROR(__xludf.DUMMYFUNCTION("""COMPUTED_VALUE"""),"Meats")</f>
        <v>Meats</v>
      </c>
      <c r="D3188">
        <f>IFERROR(__xludf.DUMMYFUNCTION("""COMPUTED_VALUE"""),313.0)</f>
        <v>313</v>
      </c>
      <c r="E3188">
        <f>IFERROR(__xludf.DUMMYFUNCTION("""COMPUTED_VALUE"""),21.03)</f>
        <v>21.03</v>
      </c>
      <c r="F3188">
        <f>IFERROR(__xludf.DUMMYFUNCTION("""COMPUTED_VALUE"""),17.99)</f>
        <v>17.99</v>
      </c>
      <c r="G3188">
        <f>IFERROR(__xludf.DUMMYFUNCTION("""COMPUTED_VALUE"""),12.57)</f>
        <v>12.57</v>
      </c>
    </row>
    <row r="3189">
      <c r="A3189">
        <f>IFERROR(__xludf.DUMMYFUNCTION("""COMPUTED_VALUE"""),782223.0)</f>
        <v>782223</v>
      </c>
      <c r="B3189" t="str">
        <f>IFERROR(__xludf.DUMMYFUNCTION("""COMPUTED_VALUE"""),"Chicken ""wings"" Boneless With Hot Sauce From Fast Food / Restaurant")</f>
        <v>Chicken "wings" Boneless With Hot Sauce From Fast Food / Restaurant</v>
      </c>
      <c r="C3189" t="str">
        <f>IFERROR(__xludf.DUMMYFUNCTION("""COMPUTED_VALUE"""),"Meats")</f>
        <v>Meats</v>
      </c>
      <c r="D3189">
        <f>IFERROR(__xludf.DUMMYFUNCTION("""COMPUTED_VALUE"""),281.0)</f>
        <v>281</v>
      </c>
      <c r="E3189">
        <f>IFERROR(__xludf.DUMMYFUNCTION("""COMPUTED_VALUE"""),16.8)</f>
        <v>16.8</v>
      </c>
      <c r="F3189">
        <f>IFERROR(__xludf.DUMMYFUNCTION("""COMPUTED_VALUE"""),12.35)</f>
        <v>12.35</v>
      </c>
      <c r="G3189">
        <f>IFERROR(__xludf.DUMMYFUNCTION("""COMPUTED_VALUE"""),20.01)</f>
        <v>20.01</v>
      </c>
    </row>
    <row r="3190">
      <c r="A3190">
        <f>IFERROR(__xludf.DUMMYFUNCTION("""COMPUTED_VALUE"""),782224.0)</f>
        <v>782224</v>
      </c>
      <c r="B3190" t="str">
        <f>IFERROR(__xludf.DUMMYFUNCTION("""COMPUTED_VALUE"""),"Chicken ""wings"" Boneless With Hot Sauce From Other Sources")</f>
        <v>Chicken "wings" Boneless With Hot Sauce From Other Sources</v>
      </c>
      <c r="C3190" t="str">
        <f>IFERROR(__xludf.DUMMYFUNCTION("""COMPUTED_VALUE"""),"Meats")</f>
        <v>Meats</v>
      </c>
      <c r="D3190">
        <f>IFERROR(__xludf.DUMMYFUNCTION("""COMPUTED_VALUE"""),231.0)</f>
        <v>231</v>
      </c>
      <c r="E3190">
        <f>IFERROR(__xludf.DUMMYFUNCTION("""COMPUTED_VALUE"""),11.75)</f>
        <v>11.75</v>
      </c>
      <c r="F3190">
        <f>IFERROR(__xludf.DUMMYFUNCTION("""COMPUTED_VALUE"""),11.38)</f>
        <v>11.38</v>
      </c>
      <c r="G3190">
        <f>IFERROR(__xludf.DUMMYFUNCTION("""COMPUTED_VALUE"""),19.95)</f>
        <v>19.95</v>
      </c>
    </row>
    <row r="3191">
      <c r="A3191">
        <f>IFERROR(__xludf.DUMMYFUNCTION("""COMPUTED_VALUE"""),782225.0)</f>
        <v>782225</v>
      </c>
      <c r="B3191" t="str">
        <f>IFERROR(__xludf.DUMMYFUNCTION("""COMPUTED_VALUE"""),"Chicken Back")</f>
        <v>Chicken Back</v>
      </c>
      <c r="C3191" t="str">
        <f>IFERROR(__xludf.DUMMYFUNCTION("""COMPUTED_VALUE"""),"Meats")</f>
        <v>Meats</v>
      </c>
      <c r="D3191">
        <f>IFERROR(__xludf.DUMMYFUNCTION("""COMPUTED_VALUE"""),298.0)</f>
        <v>298</v>
      </c>
      <c r="E3191">
        <f>IFERROR(__xludf.DUMMYFUNCTION("""COMPUTED_VALUE"""),20.8)</f>
        <v>20.8</v>
      </c>
      <c r="F3191">
        <f>IFERROR(__xludf.DUMMYFUNCTION("""COMPUTED_VALUE"""),25.73)</f>
        <v>25.73</v>
      </c>
      <c r="G3191">
        <f>IFERROR(__xludf.DUMMYFUNCTION("""COMPUTED_VALUE"""),0.0)</f>
        <v>0</v>
      </c>
    </row>
    <row r="3192">
      <c r="A3192">
        <f>IFERROR(__xludf.DUMMYFUNCTION("""COMPUTED_VALUE"""),782226.0)</f>
        <v>782226</v>
      </c>
      <c r="B3192" t="str">
        <f>IFERROR(__xludf.DUMMYFUNCTION("""COMPUTED_VALUE"""),"Chicken Neck Or Ribs")</f>
        <v>Chicken Neck Or Ribs</v>
      </c>
      <c r="C3192" t="str">
        <f>IFERROR(__xludf.DUMMYFUNCTION("""COMPUTED_VALUE"""),"Meats")</f>
        <v>Meats</v>
      </c>
      <c r="D3192">
        <f>IFERROR(__xludf.DUMMYFUNCTION("""COMPUTED_VALUE"""),245.0)</f>
        <v>245</v>
      </c>
      <c r="E3192">
        <f>IFERROR(__xludf.DUMMYFUNCTION("""COMPUTED_VALUE"""),17.95)</f>
        <v>17.95</v>
      </c>
      <c r="F3192">
        <f>IFERROR(__xludf.DUMMYFUNCTION("""COMPUTED_VALUE"""),19.45)</f>
        <v>19.45</v>
      </c>
      <c r="G3192">
        <f>IFERROR(__xludf.DUMMYFUNCTION("""COMPUTED_VALUE"""),0.0)</f>
        <v>0</v>
      </c>
    </row>
    <row r="3193">
      <c r="A3193">
        <f>IFERROR(__xludf.DUMMYFUNCTION("""COMPUTED_VALUE"""),782228.0)</f>
        <v>782228</v>
      </c>
      <c r="B3193" t="str">
        <f>IFERROR(__xludf.DUMMYFUNCTION("""COMPUTED_VALUE"""),"Chicken Skin")</f>
        <v>Chicken Skin</v>
      </c>
      <c r="C3193" t="str">
        <f>IFERROR(__xludf.DUMMYFUNCTION("""COMPUTED_VALUE"""),"Meats")</f>
        <v>Meats</v>
      </c>
      <c r="D3193">
        <f>IFERROR(__xludf.DUMMYFUNCTION("""COMPUTED_VALUE"""),450.0)</f>
        <v>450</v>
      </c>
      <c r="E3193">
        <f>IFERROR(__xludf.DUMMYFUNCTION("""COMPUTED_VALUE"""),40.34)</f>
        <v>40.34</v>
      </c>
      <c r="F3193">
        <f>IFERROR(__xludf.DUMMYFUNCTION("""COMPUTED_VALUE"""),20.19)</f>
        <v>20.19</v>
      </c>
      <c r="G3193">
        <f>IFERROR(__xludf.DUMMYFUNCTION("""COMPUTED_VALUE"""),0.0)</f>
        <v>0</v>
      </c>
    </row>
    <row r="3194">
      <c r="A3194">
        <f>IFERROR(__xludf.DUMMYFUNCTION("""COMPUTED_VALUE"""),782231.0)</f>
        <v>782231</v>
      </c>
      <c r="B3194" t="str">
        <f>IFERROR(__xludf.DUMMYFUNCTION("""COMPUTED_VALUE"""),"Chicken Chicken Roll Roasted")</f>
        <v>Chicken Chicken Roll Roasted</v>
      </c>
      <c r="C3194" t="str">
        <f>IFERROR(__xludf.DUMMYFUNCTION("""COMPUTED_VALUE"""),"Meats")</f>
        <v>Meats</v>
      </c>
      <c r="D3194">
        <f>IFERROR(__xludf.DUMMYFUNCTION("""COMPUTED_VALUE"""),189.0)</f>
        <v>189</v>
      </c>
      <c r="E3194">
        <f>IFERROR(__xludf.DUMMYFUNCTION("""COMPUTED_VALUE"""),7.38)</f>
        <v>7.38</v>
      </c>
      <c r="F3194">
        <f>IFERROR(__xludf.DUMMYFUNCTION("""COMPUTED_VALUE"""),28.81)</f>
        <v>28.81</v>
      </c>
      <c r="G3194">
        <f>IFERROR(__xludf.DUMMYFUNCTION("""COMPUTED_VALUE"""),0.0)</f>
        <v>0</v>
      </c>
    </row>
    <row r="3195">
      <c r="A3195">
        <f>IFERROR(__xludf.DUMMYFUNCTION("""COMPUTED_VALUE"""),782234.0)</f>
        <v>782234</v>
      </c>
      <c r="B3195" t="str">
        <f>IFERROR(__xludf.DUMMYFUNCTION("""COMPUTED_VALUE"""),"Chicken Fillet Grilled")</f>
        <v>Chicken Fillet Grilled</v>
      </c>
      <c r="C3195" t="str">
        <f>IFERROR(__xludf.DUMMYFUNCTION("""COMPUTED_VALUE"""),"Meats")</f>
        <v>Meats</v>
      </c>
      <c r="D3195">
        <f>IFERROR(__xludf.DUMMYFUNCTION("""COMPUTED_VALUE"""),145.0)</f>
        <v>145</v>
      </c>
      <c r="E3195">
        <f>IFERROR(__xludf.DUMMYFUNCTION("""COMPUTED_VALUE"""),5.2)</f>
        <v>5.2</v>
      </c>
      <c r="F3195">
        <f>IFERROR(__xludf.DUMMYFUNCTION("""COMPUTED_VALUE"""),22.24)</f>
        <v>22.24</v>
      </c>
      <c r="G3195">
        <f>IFERROR(__xludf.DUMMYFUNCTION("""COMPUTED_VALUE"""),2.37)</f>
        <v>2.37</v>
      </c>
    </row>
    <row r="3196">
      <c r="A3196">
        <f>IFERROR(__xludf.DUMMYFUNCTION("""COMPUTED_VALUE"""),782235.0)</f>
        <v>782235</v>
      </c>
      <c r="B3196" t="str">
        <f>IFERROR(__xludf.DUMMYFUNCTION("""COMPUTED_VALUE"""),"Chicken Ground")</f>
        <v>Chicken Ground</v>
      </c>
      <c r="C3196" t="str">
        <f>IFERROR(__xludf.DUMMYFUNCTION("""COMPUTED_VALUE"""),"Meats")</f>
        <v>Meats</v>
      </c>
      <c r="D3196">
        <f>IFERROR(__xludf.DUMMYFUNCTION("""COMPUTED_VALUE"""),201.0)</f>
        <v>201</v>
      </c>
      <c r="E3196">
        <f>IFERROR(__xludf.DUMMYFUNCTION("""COMPUTED_VALUE"""),10.31)</f>
        <v>10.31</v>
      </c>
      <c r="F3196">
        <f>IFERROR(__xludf.DUMMYFUNCTION("""COMPUTED_VALUE"""),27.14)</f>
        <v>27.14</v>
      </c>
      <c r="G3196">
        <f>IFERROR(__xludf.DUMMYFUNCTION("""COMPUTED_VALUE"""),0.0)</f>
        <v>0</v>
      </c>
    </row>
    <row r="3197">
      <c r="A3197">
        <f>IFERROR(__xludf.DUMMYFUNCTION("""COMPUTED_VALUE"""),782240.0)</f>
        <v>782240</v>
      </c>
      <c r="B3197" t="str">
        <f>IFERROR(__xludf.DUMMYFUNCTION("""COMPUTED_VALUE"""),"Chicken Nuggets From Frozen")</f>
        <v>Chicken Nuggets From Frozen</v>
      </c>
      <c r="C3197" t="str">
        <f>IFERROR(__xludf.DUMMYFUNCTION("""COMPUTED_VALUE"""),"Meats")</f>
        <v>Meats</v>
      </c>
      <c r="D3197">
        <f>IFERROR(__xludf.DUMMYFUNCTION("""COMPUTED_VALUE"""),298.0)</f>
        <v>298</v>
      </c>
      <c r="E3197">
        <f>IFERROR(__xludf.DUMMYFUNCTION("""COMPUTED_VALUE"""),19.23)</f>
        <v>19.23</v>
      </c>
      <c r="F3197">
        <f>IFERROR(__xludf.DUMMYFUNCTION("""COMPUTED_VALUE"""),13.36)</f>
        <v>13.36</v>
      </c>
      <c r="G3197">
        <f>IFERROR(__xludf.DUMMYFUNCTION("""COMPUTED_VALUE"""),17.88)</f>
        <v>17.88</v>
      </c>
    </row>
    <row r="3198">
      <c r="A3198">
        <f>IFERROR(__xludf.DUMMYFUNCTION("""COMPUTED_VALUE"""),782241.0)</f>
        <v>782241</v>
      </c>
      <c r="B3198" t="str">
        <f>IFERROR(__xludf.DUMMYFUNCTION("""COMPUTED_VALUE"""),"Chicken Nuggets From Other Sources")</f>
        <v>Chicken Nuggets From Other Sources</v>
      </c>
      <c r="C3198" t="str">
        <f>IFERROR(__xludf.DUMMYFUNCTION("""COMPUTED_VALUE"""),"Meats")</f>
        <v>Meats</v>
      </c>
      <c r="D3198">
        <f>IFERROR(__xludf.DUMMYFUNCTION("""COMPUTED_VALUE"""),304.0)</f>
        <v>304</v>
      </c>
      <c r="E3198">
        <f>IFERROR(__xludf.DUMMYFUNCTION("""COMPUTED_VALUE"""),20.02)</f>
        <v>20.02</v>
      </c>
      <c r="F3198">
        <f>IFERROR(__xludf.DUMMYFUNCTION("""COMPUTED_VALUE"""),15.15)</f>
        <v>15.15</v>
      </c>
      <c r="G3198">
        <f>IFERROR(__xludf.DUMMYFUNCTION("""COMPUTED_VALUE"""),15.81)</f>
        <v>15.81</v>
      </c>
    </row>
    <row r="3199">
      <c r="A3199">
        <f>IFERROR(__xludf.DUMMYFUNCTION("""COMPUTED_VALUE"""),782244.0)</f>
        <v>782244</v>
      </c>
      <c r="B3199" t="str">
        <f>IFERROR(__xludf.DUMMYFUNCTION("""COMPUTED_VALUE"""),"Chicken Tenders Or Strips Breaded From Restaurant")</f>
        <v>Chicken Tenders Or Strips Breaded From Restaurant</v>
      </c>
      <c r="C3199" t="str">
        <f>IFERROR(__xludf.DUMMYFUNCTION("""COMPUTED_VALUE"""),"Meats")</f>
        <v>Meats</v>
      </c>
      <c r="D3199">
        <f>IFERROR(__xludf.DUMMYFUNCTION("""COMPUTED_VALUE"""),283.0)</f>
        <v>283</v>
      </c>
      <c r="E3199">
        <f>IFERROR(__xludf.DUMMYFUNCTION("""COMPUTED_VALUE"""),15.62)</f>
        <v>15.62</v>
      </c>
      <c r="F3199">
        <f>IFERROR(__xludf.DUMMYFUNCTION("""COMPUTED_VALUE"""),18.82)</f>
        <v>18.82</v>
      </c>
      <c r="G3199">
        <f>IFERROR(__xludf.DUMMYFUNCTION("""COMPUTED_VALUE"""),16.9)</f>
        <v>16.9</v>
      </c>
    </row>
    <row r="3200">
      <c r="A3200">
        <f>IFERROR(__xludf.DUMMYFUNCTION("""COMPUTED_VALUE"""),782247.0)</f>
        <v>782247</v>
      </c>
      <c r="B3200" t="str">
        <f>IFERROR(__xludf.DUMMYFUNCTION("""COMPUTED_VALUE"""),"Chicken Tenders Or Strips Breaded From Other Sources")</f>
        <v>Chicken Tenders Or Strips Breaded From Other Sources</v>
      </c>
      <c r="C3200" t="str">
        <f>IFERROR(__xludf.DUMMYFUNCTION("""COMPUTED_VALUE"""),"Meats")</f>
        <v>Meats</v>
      </c>
      <c r="D3200">
        <f>IFERROR(__xludf.DUMMYFUNCTION("""COMPUTED_VALUE"""),262.0)</f>
        <v>262</v>
      </c>
      <c r="E3200">
        <f>IFERROR(__xludf.DUMMYFUNCTION("""COMPUTED_VALUE"""),13.84)</f>
        <v>13.84</v>
      </c>
      <c r="F3200">
        <f>IFERROR(__xludf.DUMMYFUNCTION("""COMPUTED_VALUE"""),17.84)</f>
        <v>17.84</v>
      </c>
      <c r="G3200">
        <f>IFERROR(__xludf.DUMMYFUNCTION("""COMPUTED_VALUE"""),16.53)</f>
        <v>16.53</v>
      </c>
    </row>
    <row r="3201">
      <c r="A3201">
        <f>IFERROR(__xludf.DUMMYFUNCTION("""COMPUTED_VALUE"""),782248.0)</f>
        <v>782248</v>
      </c>
      <c r="B3201" t="str">
        <f>IFERROR(__xludf.DUMMYFUNCTION("""COMPUTED_VALUE"""),"Fried Chicken Chunks Puerto Rican Style")</f>
        <v>Fried Chicken Chunks Puerto Rican Style</v>
      </c>
      <c r="C3201" t="str">
        <f>IFERROR(__xludf.DUMMYFUNCTION("""COMPUTED_VALUE"""),"Meats")</f>
        <v>Meats</v>
      </c>
      <c r="D3201">
        <f>IFERROR(__xludf.DUMMYFUNCTION("""COMPUTED_VALUE"""),349.0)</f>
        <v>349</v>
      </c>
      <c r="E3201">
        <f>IFERROR(__xludf.DUMMYFUNCTION("""COMPUTED_VALUE"""),19.75)</f>
        <v>19.75</v>
      </c>
      <c r="F3201">
        <f>IFERROR(__xludf.DUMMYFUNCTION("""COMPUTED_VALUE"""),20.98)</f>
        <v>20.98</v>
      </c>
      <c r="G3201">
        <f>IFERROR(__xludf.DUMMYFUNCTION("""COMPUTED_VALUE"""),20.6)</f>
        <v>20.6</v>
      </c>
    </row>
    <row r="3202">
      <c r="A3202">
        <f>IFERROR(__xludf.DUMMYFUNCTION("""COMPUTED_VALUE"""),782249.0)</f>
        <v>782249</v>
      </c>
      <c r="B3202" t="str">
        <f>IFERROR(__xludf.DUMMYFUNCTION("""COMPUTED_VALUE"""),"Turkey Nfs")</f>
        <v>Turkey Nfs</v>
      </c>
      <c r="C3202" t="str">
        <f>IFERROR(__xludf.DUMMYFUNCTION("""COMPUTED_VALUE"""),"Meats")</f>
        <v>Meats</v>
      </c>
      <c r="D3202">
        <f>IFERROR(__xludf.DUMMYFUNCTION("""COMPUTED_VALUE"""),139.0)</f>
        <v>139</v>
      </c>
      <c r="E3202">
        <f>IFERROR(__xludf.DUMMYFUNCTION("""COMPUTED_VALUE"""),2.06)</f>
        <v>2.06</v>
      </c>
      <c r="F3202">
        <f>IFERROR(__xludf.DUMMYFUNCTION("""COMPUTED_VALUE"""),28.81)</f>
        <v>28.81</v>
      </c>
      <c r="G3202">
        <f>IFERROR(__xludf.DUMMYFUNCTION("""COMPUTED_VALUE"""),0.0)</f>
        <v>0</v>
      </c>
    </row>
    <row r="3203">
      <c r="A3203">
        <f>IFERROR(__xludf.DUMMYFUNCTION("""COMPUTED_VALUE"""),782250.0)</f>
        <v>782250</v>
      </c>
      <c r="B3203" t="str">
        <f>IFERROR(__xludf.DUMMYFUNCTION("""COMPUTED_VALUE"""),"Turkey Light Meat Skin Not Eaten")</f>
        <v>Turkey Light Meat Skin Not Eaten</v>
      </c>
      <c r="C3203" t="str">
        <f>IFERROR(__xludf.DUMMYFUNCTION("""COMPUTED_VALUE"""),"Meats")</f>
        <v>Meats</v>
      </c>
      <c r="D3203">
        <f>IFERROR(__xludf.DUMMYFUNCTION("""COMPUTED_VALUE"""),139.0)</f>
        <v>139</v>
      </c>
      <c r="E3203">
        <f>IFERROR(__xludf.DUMMYFUNCTION("""COMPUTED_VALUE"""),2.06)</f>
        <v>2.06</v>
      </c>
      <c r="F3203">
        <f>IFERROR(__xludf.DUMMYFUNCTION("""COMPUTED_VALUE"""),28.81)</f>
        <v>28.81</v>
      </c>
      <c r="G3203">
        <f>IFERROR(__xludf.DUMMYFUNCTION("""COMPUTED_VALUE"""),0.0)</f>
        <v>0</v>
      </c>
    </row>
    <row r="3204">
      <c r="A3204">
        <f>IFERROR(__xludf.DUMMYFUNCTION("""COMPUTED_VALUE"""),782251.0)</f>
        <v>782251</v>
      </c>
      <c r="B3204" t="str">
        <f>IFERROR(__xludf.DUMMYFUNCTION("""COMPUTED_VALUE"""),"Turkey Light Meat Skin Eaten")</f>
        <v>Turkey Light Meat Skin Eaten</v>
      </c>
      <c r="C3204" t="str">
        <f>IFERROR(__xludf.DUMMYFUNCTION("""COMPUTED_VALUE"""),"Meats")</f>
        <v>Meats</v>
      </c>
      <c r="D3204">
        <f>IFERROR(__xludf.DUMMYFUNCTION("""COMPUTED_VALUE"""),169.0)</f>
        <v>169</v>
      </c>
      <c r="E3204">
        <f>IFERROR(__xludf.DUMMYFUNCTION("""COMPUTED_VALUE"""),5.55)</f>
        <v>5.55</v>
      </c>
      <c r="F3204">
        <f>IFERROR(__xludf.DUMMYFUNCTION("""COMPUTED_VALUE"""),28.28)</f>
        <v>28.28</v>
      </c>
      <c r="G3204">
        <f>IFERROR(__xludf.DUMMYFUNCTION("""COMPUTED_VALUE"""),0.03)</f>
        <v>0.03</v>
      </c>
    </row>
    <row r="3205">
      <c r="A3205">
        <f>IFERROR(__xludf.DUMMYFUNCTION("""COMPUTED_VALUE"""),782252.0)</f>
        <v>782252</v>
      </c>
      <c r="B3205" t="str">
        <f>IFERROR(__xludf.DUMMYFUNCTION("""COMPUTED_VALUE"""),"Turkey Light Meat Breaded Baked Or Fried Skin Not Eaten")</f>
        <v>Turkey Light Meat Breaded Baked Or Fried Skin Not Eaten</v>
      </c>
      <c r="C3205" t="str">
        <f>IFERROR(__xludf.DUMMYFUNCTION("""COMPUTED_VALUE"""),"Meats")</f>
        <v>Meats</v>
      </c>
      <c r="D3205">
        <f>IFERROR(__xludf.DUMMYFUNCTION("""COMPUTED_VALUE"""),172.0)</f>
        <v>172</v>
      </c>
      <c r="E3205">
        <f>IFERROR(__xludf.DUMMYFUNCTION("""COMPUTED_VALUE"""),3.7)</f>
        <v>3.7</v>
      </c>
      <c r="F3205">
        <f>IFERROR(__xludf.DUMMYFUNCTION("""COMPUTED_VALUE"""),27.33)</f>
        <v>27.33</v>
      </c>
      <c r="G3205">
        <f>IFERROR(__xludf.DUMMYFUNCTION("""COMPUTED_VALUE"""),6.14)</f>
        <v>6.14</v>
      </c>
    </row>
    <row r="3206">
      <c r="A3206">
        <f>IFERROR(__xludf.DUMMYFUNCTION("""COMPUTED_VALUE"""),782253.0)</f>
        <v>782253</v>
      </c>
      <c r="B3206" t="str">
        <f>IFERROR(__xludf.DUMMYFUNCTION("""COMPUTED_VALUE"""),"Turkey Light Meat Breaded Baked Or Fried Skin Eaten")</f>
        <v>Turkey Light Meat Breaded Baked Or Fried Skin Eaten</v>
      </c>
      <c r="C3206" t="str">
        <f>IFERROR(__xludf.DUMMYFUNCTION("""COMPUTED_VALUE"""),"Meats")</f>
        <v>Meats</v>
      </c>
      <c r="D3206">
        <f>IFERROR(__xludf.DUMMYFUNCTION("""COMPUTED_VALUE"""),199.0)</f>
        <v>199</v>
      </c>
      <c r="E3206">
        <f>IFERROR(__xludf.DUMMYFUNCTION("""COMPUTED_VALUE"""),6.85)</f>
        <v>6.85</v>
      </c>
      <c r="F3206">
        <f>IFERROR(__xludf.DUMMYFUNCTION("""COMPUTED_VALUE"""),26.85)</f>
        <v>26.85</v>
      </c>
      <c r="G3206">
        <f>IFERROR(__xludf.DUMMYFUNCTION("""COMPUTED_VALUE"""),6.17)</f>
        <v>6.17</v>
      </c>
    </row>
    <row r="3207">
      <c r="A3207">
        <f>IFERROR(__xludf.DUMMYFUNCTION("""COMPUTED_VALUE"""),782254.0)</f>
        <v>782254</v>
      </c>
      <c r="B3207" t="str">
        <f>IFERROR(__xludf.DUMMYFUNCTION("""COMPUTED_VALUE"""),"Turkey Light Meat Roasted Skin Not Eaten")</f>
        <v>Turkey Light Meat Roasted Skin Not Eaten</v>
      </c>
      <c r="C3207" t="str">
        <f>IFERROR(__xludf.DUMMYFUNCTION("""COMPUTED_VALUE"""),"Meats")</f>
        <v>Meats</v>
      </c>
      <c r="D3207">
        <f>IFERROR(__xludf.DUMMYFUNCTION("""COMPUTED_VALUE"""),139.0)</f>
        <v>139</v>
      </c>
      <c r="E3207">
        <f>IFERROR(__xludf.DUMMYFUNCTION("""COMPUTED_VALUE"""),2.06)</f>
        <v>2.06</v>
      </c>
      <c r="F3207">
        <f>IFERROR(__xludf.DUMMYFUNCTION("""COMPUTED_VALUE"""),28.81)</f>
        <v>28.81</v>
      </c>
      <c r="G3207">
        <f>IFERROR(__xludf.DUMMYFUNCTION("""COMPUTED_VALUE"""),0.0)</f>
        <v>0</v>
      </c>
    </row>
    <row r="3208">
      <c r="A3208">
        <f>IFERROR(__xludf.DUMMYFUNCTION("""COMPUTED_VALUE"""),782255.0)</f>
        <v>782255</v>
      </c>
      <c r="B3208" t="str">
        <f>IFERROR(__xludf.DUMMYFUNCTION("""COMPUTED_VALUE"""),"Turkey Light Meat Roasted Skin Eaten")</f>
        <v>Turkey Light Meat Roasted Skin Eaten</v>
      </c>
      <c r="C3208" t="str">
        <f>IFERROR(__xludf.DUMMYFUNCTION("""COMPUTED_VALUE"""),"Meats")</f>
        <v>Meats</v>
      </c>
      <c r="D3208">
        <f>IFERROR(__xludf.DUMMYFUNCTION("""COMPUTED_VALUE"""),169.0)</f>
        <v>169</v>
      </c>
      <c r="E3208">
        <f>IFERROR(__xludf.DUMMYFUNCTION("""COMPUTED_VALUE"""),5.55)</f>
        <v>5.55</v>
      </c>
      <c r="F3208">
        <f>IFERROR(__xludf.DUMMYFUNCTION("""COMPUTED_VALUE"""),28.28)</f>
        <v>28.28</v>
      </c>
      <c r="G3208">
        <f>IFERROR(__xludf.DUMMYFUNCTION("""COMPUTED_VALUE"""),0.03)</f>
        <v>0.03</v>
      </c>
    </row>
    <row r="3209">
      <c r="A3209">
        <f>IFERROR(__xludf.DUMMYFUNCTION("""COMPUTED_VALUE"""),782256.0)</f>
        <v>782256</v>
      </c>
      <c r="B3209" t="str">
        <f>IFERROR(__xludf.DUMMYFUNCTION("""COMPUTED_VALUE"""),"Turkey Dark Meat Roasted Skin Not Eaten")</f>
        <v>Turkey Dark Meat Roasted Skin Not Eaten</v>
      </c>
      <c r="C3209" t="str">
        <f>IFERROR(__xludf.DUMMYFUNCTION("""COMPUTED_VALUE"""),"Meats")</f>
        <v>Meats</v>
      </c>
      <c r="D3209">
        <f>IFERROR(__xludf.DUMMYFUNCTION("""COMPUTED_VALUE"""),167.0)</f>
        <v>167</v>
      </c>
      <c r="E3209">
        <f>IFERROR(__xludf.DUMMYFUNCTION("""COMPUTED_VALUE"""),5.98)</f>
        <v>5.98</v>
      </c>
      <c r="F3209">
        <f>IFERROR(__xludf.DUMMYFUNCTION("""COMPUTED_VALUE"""),26.94)</f>
        <v>26.94</v>
      </c>
      <c r="G3209">
        <f>IFERROR(__xludf.DUMMYFUNCTION("""COMPUTED_VALUE"""),0.0)</f>
        <v>0</v>
      </c>
    </row>
    <row r="3210">
      <c r="A3210">
        <f>IFERROR(__xludf.DUMMYFUNCTION("""COMPUTED_VALUE"""),782257.0)</f>
        <v>782257</v>
      </c>
      <c r="B3210" t="str">
        <f>IFERROR(__xludf.DUMMYFUNCTION("""COMPUTED_VALUE"""),"Turkey Dark Meat Roasted Skin Eaten")</f>
        <v>Turkey Dark Meat Roasted Skin Eaten</v>
      </c>
      <c r="C3210" t="str">
        <f>IFERROR(__xludf.DUMMYFUNCTION("""COMPUTED_VALUE"""),"Meats")</f>
        <v>Meats</v>
      </c>
      <c r="D3210">
        <f>IFERROR(__xludf.DUMMYFUNCTION("""COMPUTED_VALUE"""),202.0)</f>
        <v>202</v>
      </c>
      <c r="E3210">
        <f>IFERROR(__xludf.DUMMYFUNCTION("""COMPUTED_VALUE"""),10.16)</f>
        <v>10.16</v>
      </c>
      <c r="F3210">
        <f>IFERROR(__xludf.DUMMYFUNCTION("""COMPUTED_VALUE"""),26.46)</f>
        <v>26.46</v>
      </c>
      <c r="G3210">
        <f>IFERROR(__xludf.DUMMYFUNCTION("""COMPUTED_VALUE"""),0.05)</f>
        <v>0.05</v>
      </c>
    </row>
    <row r="3211">
      <c r="A3211">
        <f>IFERROR(__xludf.DUMMYFUNCTION("""COMPUTED_VALUE"""),782258.0)</f>
        <v>782258</v>
      </c>
      <c r="B3211" t="str">
        <f>IFERROR(__xludf.DUMMYFUNCTION("""COMPUTED_VALUE"""),"Turkey Light And Dark Meat Roasted Skin Not Eaten")</f>
        <v>Turkey Light And Dark Meat Roasted Skin Not Eaten</v>
      </c>
      <c r="C3211" t="str">
        <f>IFERROR(__xludf.DUMMYFUNCTION("""COMPUTED_VALUE"""),"Meats")</f>
        <v>Meats</v>
      </c>
      <c r="D3211">
        <f>IFERROR(__xludf.DUMMYFUNCTION("""COMPUTED_VALUE"""),151.0)</f>
        <v>151</v>
      </c>
      <c r="E3211">
        <f>IFERROR(__xludf.DUMMYFUNCTION("""COMPUTED_VALUE"""),3.76)</f>
        <v>3.76</v>
      </c>
      <c r="F3211">
        <f>IFERROR(__xludf.DUMMYFUNCTION("""COMPUTED_VALUE"""),27.99)</f>
        <v>27.99</v>
      </c>
      <c r="G3211">
        <f>IFERROR(__xludf.DUMMYFUNCTION("""COMPUTED_VALUE"""),0.0)</f>
        <v>0</v>
      </c>
    </row>
    <row r="3212">
      <c r="A3212">
        <f>IFERROR(__xludf.DUMMYFUNCTION("""COMPUTED_VALUE"""),782259.0)</f>
        <v>782259</v>
      </c>
      <c r="B3212" t="str">
        <f>IFERROR(__xludf.DUMMYFUNCTION("""COMPUTED_VALUE"""),"Turkey Light And Dark Meat Roasted Skin Eaten")</f>
        <v>Turkey Light And Dark Meat Roasted Skin Eaten</v>
      </c>
      <c r="C3212" t="str">
        <f>IFERROR(__xludf.DUMMYFUNCTION("""COMPUTED_VALUE"""),"Meats")</f>
        <v>Meats</v>
      </c>
      <c r="D3212">
        <f>IFERROR(__xludf.DUMMYFUNCTION("""COMPUTED_VALUE"""),183.0)</f>
        <v>183</v>
      </c>
      <c r="E3212">
        <f>IFERROR(__xludf.DUMMYFUNCTION("""COMPUTED_VALUE"""),7.54)</f>
        <v>7.54</v>
      </c>
      <c r="F3212">
        <f>IFERROR(__xludf.DUMMYFUNCTION("""COMPUTED_VALUE"""),27.48)</f>
        <v>27.48</v>
      </c>
      <c r="G3212">
        <f>IFERROR(__xludf.DUMMYFUNCTION("""COMPUTED_VALUE"""),0.04)</f>
        <v>0.04</v>
      </c>
    </row>
    <row r="3213">
      <c r="A3213">
        <f>IFERROR(__xludf.DUMMYFUNCTION("""COMPUTED_VALUE"""),782260.0)</f>
        <v>782260</v>
      </c>
      <c r="B3213" t="str">
        <f>IFERROR(__xludf.DUMMYFUNCTION("""COMPUTED_VALUE"""),"Turkey Light Or Dark Meat Fried Coated Skin Not Eaten")</f>
        <v>Turkey Light Or Dark Meat Fried Coated Skin Not Eaten</v>
      </c>
      <c r="C3213" t="str">
        <f>IFERROR(__xludf.DUMMYFUNCTION("""COMPUTED_VALUE"""),"Meats")</f>
        <v>Meats</v>
      </c>
      <c r="D3213">
        <f>IFERROR(__xludf.DUMMYFUNCTION("""COMPUTED_VALUE"""),165.0)</f>
        <v>165</v>
      </c>
      <c r="E3213">
        <f>IFERROR(__xludf.DUMMYFUNCTION("""COMPUTED_VALUE"""),5.05)</f>
        <v>5.05</v>
      </c>
      <c r="F3213">
        <f>IFERROR(__xludf.DUMMYFUNCTION("""COMPUTED_VALUE"""),27.22)</f>
        <v>27.22</v>
      </c>
      <c r="G3213">
        <f>IFERROR(__xludf.DUMMYFUNCTION("""COMPUTED_VALUE"""),1.4)</f>
        <v>1.4</v>
      </c>
    </row>
    <row r="3214">
      <c r="A3214">
        <f>IFERROR(__xludf.DUMMYFUNCTION("""COMPUTED_VALUE"""),782261.0)</f>
        <v>782261</v>
      </c>
      <c r="B3214" t="str">
        <f>IFERROR(__xludf.DUMMYFUNCTION("""COMPUTED_VALUE"""),"Turkey Light Or Dark Meat Fried Coated Skin Eaten")</f>
        <v>Turkey Light Or Dark Meat Fried Coated Skin Eaten</v>
      </c>
      <c r="C3214" t="str">
        <f>IFERROR(__xludf.DUMMYFUNCTION("""COMPUTED_VALUE"""),"Meats")</f>
        <v>Meats</v>
      </c>
      <c r="D3214">
        <f>IFERROR(__xludf.DUMMYFUNCTION("""COMPUTED_VALUE"""),192.0)</f>
        <v>192</v>
      </c>
      <c r="E3214">
        <f>IFERROR(__xludf.DUMMYFUNCTION("""COMPUTED_VALUE"""),8.5)</f>
        <v>8.5</v>
      </c>
      <c r="F3214">
        <f>IFERROR(__xludf.DUMMYFUNCTION("""COMPUTED_VALUE"""),26.19)</f>
        <v>26.19</v>
      </c>
      <c r="G3214">
        <f>IFERROR(__xludf.DUMMYFUNCTION("""COMPUTED_VALUE"""),1.4)</f>
        <v>1.4</v>
      </c>
    </row>
    <row r="3215">
      <c r="A3215">
        <f>IFERROR(__xludf.DUMMYFUNCTION("""COMPUTED_VALUE"""),782262.0)</f>
        <v>782262</v>
      </c>
      <c r="B3215" t="str">
        <f>IFERROR(__xludf.DUMMYFUNCTION("""COMPUTED_VALUE"""),"Turkey Light Or Dark Meat Stewed Skin Not Eaten")</f>
        <v>Turkey Light Or Dark Meat Stewed Skin Not Eaten</v>
      </c>
      <c r="C3215" t="str">
        <f>IFERROR(__xludf.DUMMYFUNCTION("""COMPUTED_VALUE"""),"Meats")</f>
        <v>Meats</v>
      </c>
      <c r="D3215">
        <f>IFERROR(__xludf.DUMMYFUNCTION("""COMPUTED_VALUE"""),154.0)</f>
        <v>154</v>
      </c>
      <c r="E3215">
        <f>IFERROR(__xludf.DUMMYFUNCTION("""COMPUTED_VALUE"""),2.94)</f>
        <v>2.94</v>
      </c>
      <c r="F3215">
        <f>IFERROR(__xludf.DUMMYFUNCTION("""COMPUTED_VALUE"""),30.88)</f>
        <v>30.88</v>
      </c>
      <c r="G3215">
        <f>IFERROR(__xludf.DUMMYFUNCTION("""COMPUTED_VALUE"""),0.13)</f>
        <v>0.13</v>
      </c>
    </row>
    <row r="3216">
      <c r="A3216">
        <f>IFERROR(__xludf.DUMMYFUNCTION("""COMPUTED_VALUE"""),782263.0)</f>
        <v>782263</v>
      </c>
      <c r="B3216" t="str">
        <f>IFERROR(__xludf.DUMMYFUNCTION("""COMPUTED_VALUE"""),"Turkey Light Or Dark Meat Stewed Skin Eaten")</f>
        <v>Turkey Light Or Dark Meat Stewed Skin Eaten</v>
      </c>
      <c r="C3216" t="str">
        <f>IFERROR(__xludf.DUMMYFUNCTION("""COMPUTED_VALUE"""),"Meats")</f>
        <v>Meats</v>
      </c>
      <c r="D3216">
        <f>IFERROR(__xludf.DUMMYFUNCTION("""COMPUTED_VALUE"""),203.0)</f>
        <v>203</v>
      </c>
      <c r="E3216">
        <f>IFERROR(__xludf.DUMMYFUNCTION("""COMPUTED_VALUE"""),8.52)</f>
        <v>8.52</v>
      </c>
      <c r="F3216">
        <f>IFERROR(__xludf.DUMMYFUNCTION("""COMPUTED_VALUE"""),30.25)</f>
        <v>30.25</v>
      </c>
      <c r="G3216">
        <f>IFERROR(__xludf.DUMMYFUNCTION("""COMPUTED_VALUE"""),0.14)</f>
        <v>0.14</v>
      </c>
    </row>
    <row r="3217">
      <c r="A3217">
        <f>IFERROR(__xludf.DUMMYFUNCTION("""COMPUTED_VALUE"""),782265.0)</f>
        <v>782265</v>
      </c>
      <c r="B3217" t="str">
        <f>IFERROR(__xludf.DUMMYFUNCTION("""COMPUTED_VALUE"""),"Turkey Light Or Dark Meat Smoked Skin Not Eaten")</f>
        <v>Turkey Light Or Dark Meat Smoked Skin Not Eaten</v>
      </c>
      <c r="C3217" t="str">
        <f>IFERROR(__xludf.DUMMYFUNCTION("""COMPUTED_VALUE"""),"Meats")</f>
        <v>Meats</v>
      </c>
      <c r="D3217">
        <f>IFERROR(__xludf.DUMMYFUNCTION("""COMPUTED_VALUE"""),170.0)</f>
        <v>170</v>
      </c>
      <c r="E3217">
        <f>IFERROR(__xludf.DUMMYFUNCTION("""COMPUTED_VALUE"""),5.0)</f>
        <v>5</v>
      </c>
      <c r="F3217">
        <f>IFERROR(__xludf.DUMMYFUNCTION("""COMPUTED_VALUE"""),29.3)</f>
        <v>29.3</v>
      </c>
      <c r="G3217">
        <f>IFERROR(__xludf.DUMMYFUNCTION("""COMPUTED_VALUE"""),0.0)</f>
        <v>0</v>
      </c>
    </row>
    <row r="3218">
      <c r="A3218">
        <f>IFERROR(__xludf.DUMMYFUNCTION("""COMPUTED_VALUE"""),782266.0)</f>
        <v>782266</v>
      </c>
      <c r="B3218" t="str">
        <f>IFERROR(__xludf.DUMMYFUNCTION("""COMPUTED_VALUE"""),"Turkey Drumstick Cooked Skin Not Eaten")</f>
        <v>Turkey Drumstick Cooked Skin Not Eaten</v>
      </c>
      <c r="C3218" t="str">
        <f>IFERROR(__xludf.DUMMYFUNCTION("""COMPUTED_VALUE"""),"Meats")</f>
        <v>Meats</v>
      </c>
      <c r="D3218">
        <f>IFERROR(__xludf.DUMMYFUNCTION("""COMPUTED_VALUE"""),144.0)</f>
        <v>144</v>
      </c>
      <c r="E3218">
        <f>IFERROR(__xludf.DUMMYFUNCTION("""COMPUTED_VALUE"""),3.38)</f>
        <v>3.38</v>
      </c>
      <c r="F3218">
        <f>IFERROR(__xludf.DUMMYFUNCTION("""COMPUTED_VALUE"""),28.52)</f>
        <v>28.52</v>
      </c>
      <c r="G3218">
        <f>IFERROR(__xludf.DUMMYFUNCTION("""COMPUTED_VALUE"""),0.0)</f>
        <v>0</v>
      </c>
    </row>
    <row r="3219">
      <c r="A3219">
        <f>IFERROR(__xludf.DUMMYFUNCTION("""COMPUTED_VALUE"""),782267.0)</f>
        <v>782267</v>
      </c>
      <c r="B3219" t="str">
        <f>IFERROR(__xludf.DUMMYFUNCTION("""COMPUTED_VALUE"""),"Turkey Drumstick Cooked Skin Eaten")</f>
        <v>Turkey Drumstick Cooked Skin Eaten</v>
      </c>
      <c r="C3219" t="str">
        <f>IFERROR(__xludf.DUMMYFUNCTION("""COMPUTED_VALUE"""),"Meats")</f>
        <v>Meats</v>
      </c>
      <c r="D3219">
        <f>IFERROR(__xludf.DUMMYFUNCTION("""COMPUTED_VALUE"""),206.0)</f>
        <v>206</v>
      </c>
      <c r="E3219">
        <f>IFERROR(__xludf.DUMMYFUNCTION("""COMPUTED_VALUE"""),9.74)</f>
        <v>9.74</v>
      </c>
      <c r="F3219">
        <f>IFERROR(__xludf.DUMMYFUNCTION("""COMPUTED_VALUE"""),27.64)</f>
        <v>27.64</v>
      </c>
      <c r="G3219">
        <f>IFERROR(__xludf.DUMMYFUNCTION("""COMPUTED_VALUE"""),0.0)</f>
        <v>0</v>
      </c>
    </row>
    <row r="3220">
      <c r="A3220">
        <f>IFERROR(__xludf.DUMMYFUNCTION("""COMPUTED_VALUE"""),782268.0)</f>
        <v>782268</v>
      </c>
      <c r="B3220" t="str">
        <f>IFERROR(__xludf.DUMMYFUNCTION("""COMPUTED_VALUE"""),"Turkey Drumstick Roasted Skin Not Eaten")</f>
        <v>Turkey Drumstick Roasted Skin Not Eaten</v>
      </c>
      <c r="C3220" t="str">
        <f>IFERROR(__xludf.DUMMYFUNCTION("""COMPUTED_VALUE"""),"Meats")</f>
        <v>Meats</v>
      </c>
      <c r="D3220">
        <f>IFERROR(__xludf.DUMMYFUNCTION("""COMPUTED_VALUE"""),144.0)</f>
        <v>144</v>
      </c>
      <c r="E3220">
        <f>IFERROR(__xludf.DUMMYFUNCTION("""COMPUTED_VALUE"""),3.38)</f>
        <v>3.38</v>
      </c>
      <c r="F3220">
        <f>IFERROR(__xludf.DUMMYFUNCTION("""COMPUTED_VALUE"""),28.52)</f>
        <v>28.52</v>
      </c>
      <c r="G3220">
        <f>IFERROR(__xludf.DUMMYFUNCTION("""COMPUTED_VALUE"""),0.0)</f>
        <v>0</v>
      </c>
    </row>
    <row r="3221">
      <c r="A3221">
        <f>IFERROR(__xludf.DUMMYFUNCTION("""COMPUTED_VALUE"""),782269.0)</f>
        <v>782269</v>
      </c>
      <c r="B3221" t="str">
        <f>IFERROR(__xludf.DUMMYFUNCTION("""COMPUTED_VALUE"""),"Turkey Drumstick Roasted Skin Eaten")</f>
        <v>Turkey Drumstick Roasted Skin Eaten</v>
      </c>
      <c r="C3221" t="str">
        <f>IFERROR(__xludf.DUMMYFUNCTION("""COMPUTED_VALUE"""),"Meats")</f>
        <v>Meats</v>
      </c>
      <c r="D3221">
        <f>IFERROR(__xludf.DUMMYFUNCTION("""COMPUTED_VALUE"""),203.0)</f>
        <v>203</v>
      </c>
      <c r="E3221">
        <f>IFERROR(__xludf.DUMMYFUNCTION("""COMPUTED_VALUE"""),10.07)</f>
        <v>10.07</v>
      </c>
      <c r="F3221">
        <f>IFERROR(__xludf.DUMMYFUNCTION("""COMPUTED_VALUE"""),26.86)</f>
        <v>26.86</v>
      </c>
      <c r="G3221">
        <f>IFERROR(__xludf.DUMMYFUNCTION("""COMPUTED_VALUE"""),0.0)</f>
        <v>0</v>
      </c>
    </row>
    <row r="3222">
      <c r="A3222">
        <f>IFERROR(__xludf.DUMMYFUNCTION("""COMPUTED_VALUE"""),782270.0)</f>
        <v>782270</v>
      </c>
      <c r="B3222" t="str">
        <f>IFERROR(__xludf.DUMMYFUNCTION("""COMPUTED_VALUE"""),"Turkey Drumstick Smoked Skin Eaten")</f>
        <v>Turkey Drumstick Smoked Skin Eaten</v>
      </c>
      <c r="C3222" t="str">
        <f>IFERROR(__xludf.DUMMYFUNCTION("""COMPUTED_VALUE"""),"Meats")</f>
        <v>Meats</v>
      </c>
      <c r="D3222">
        <f>IFERROR(__xludf.DUMMYFUNCTION("""COMPUTED_VALUE"""),208.0)</f>
        <v>208</v>
      </c>
      <c r="E3222">
        <f>IFERROR(__xludf.DUMMYFUNCTION("""COMPUTED_VALUE"""),9.8)</f>
        <v>9.8</v>
      </c>
      <c r="F3222">
        <f>IFERROR(__xludf.DUMMYFUNCTION("""COMPUTED_VALUE"""),27.9)</f>
        <v>27.9</v>
      </c>
      <c r="G3222">
        <f>IFERROR(__xludf.DUMMYFUNCTION("""COMPUTED_VALUE"""),0.0)</f>
        <v>0</v>
      </c>
    </row>
    <row r="3223">
      <c r="A3223">
        <f>IFERROR(__xludf.DUMMYFUNCTION("""COMPUTED_VALUE"""),782271.0)</f>
        <v>782271</v>
      </c>
      <c r="B3223" t="str">
        <f>IFERROR(__xludf.DUMMYFUNCTION("""COMPUTED_VALUE"""),"Turkey Thigh Cooked Skin Eaten")</f>
        <v>Turkey Thigh Cooked Skin Eaten</v>
      </c>
      <c r="C3223" t="str">
        <f>IFERROR(__xludf.DUMMYFUNCTION("""COMPUTED_VALUE"""),"Meats")</f>
        <v>Meats</v>
      </c>
      <c r="D3223">
        <f>IFERROR(__xludf.DUMMYFUNCTION("""COMPUTED_VALUE"""),182.0)</f>
        <v>182</v>
      </c>
      <c r="E3223">
        <f>IFERROR(__xludf.DUMMYFUNCTION("""COMPUTED_VALUE"""),9.26)</f>
        <v>9.26</v>
      </c>
      <c r="F3223">
        <f>IFERROR(__xludf.DUMMYFUNCTION("""COMPUTED_VALUE"""),24.36)</f>
        <v>24.36</v>
      </c>
      <c r="G3223">
        <f>IFERROR(__xludf.DUMMYFUNCTION("""COMPUTED_VALUE"""),0.27)</f>
        <v>0.27</v>
      </c>
    </row>
    <row r="3224">
      <c r="A3224">
        <f>IFERROR(__xludf.DUMMYFUNCTION("""COMPUTED_VALUE"""),782272.0)</f>
        <v>782272</v>
      </c>
      <c r="B3224" t="str">
        <f>IFERROR(__xludf.DUMMYFUNCTION("""COMPUTED_VALUE"""),"Turkey Thigh Cooked Skin Not Eaten")</f>
        <v>Turkey Thigh Cooked Skin Not Eaten</v>
      </c>
      <c r="C3224" t="str">
        <f>IFERROR(__xludf.DUMMYFUNCTION("""COMPUTED_VALUE"""),"Meats")</f>
        <v>Meats</v>
      </c>
      <c r="D3224">
        <f>IFERROR(__xludf.DUMMYFUNCTION("""COMPUTED_VALUE"""),161.0)</f>
        <v>161</v>
      </c>
      <c r="E3224">
        <f>IFERROR(__xludf.DUMMYFUNCTION("""COMPUTED_VALUE"""),5.98)</f>
        <v>5.98</v>
      </c>
      <c r="F3224">
        <f>IFERROR(__xludf.DUMMYFUNCTION("""COMPUTED_VALUE"""),26.94)</f>
        <v>26.94</v>
      </c>
      <c r="G3224">
        <f>IFERROR(__xludf.DUMMYFUNCTION("""COMPUTED_VALUE"""),0.0)</f>
        <v>0</v>
      </c>
    </row>
    <row r="3225">
      <c r="A3225">
        <f>IFERROR(__xludf.DUMMYFUNCTION("""COMPUTED_VALUE"""),782273.0)</f>
        <v>782273</v>
      </c>
      <c r="B3225" t="str">
        <f>IFERROR(__xludf.DUMMYFUNCTION("""COMPUTED_VALUE"""),"Turkey Neck")</f>
        <v>Turkey Neck</v>
      </c>
      <c r="C3225" t="str">
        <f>IFERROR(__xludf.DUMMYFUNCTION("""COMPUTED_VALUE"""),"Meats")</f>
        <v>Meats</v>
      </c>
      <c r="D3225">
        <f>IFERROR(__xludf.DUMMYFUNCTION("""COMPUTED_VALUE"""),161.0)</f>
        <v>161</v>
      </c>
      <c r="E3225">
        <f>IFERROR(__xludf.DUMMYFUNCTION("""COMPUTED_VALUE"""),7.3)</f>
        <v>7.3</v>
      </c>
      <c r="F3225">
        <f>IFERROR(__xludf.DUMMYFUNCTION("""COMPUTED_VALUE"""),22.29)</f>
        <v>22.29</v>
      </c>
      <c r="G3225">
        <f>IFERROR(__xludf.DUMMYFUNCTION("""COMPUTED_VALUE"""),0.0)</f>
        <v>0</v>
      </c>
    </row>
    <row r="3226">
      <c r="A3226">
        <f>IFERROR(__xludf.DUMMYFUNCTION("""COMPUTED_VALUE"""),782274.0)</f>
        <v>782274</v>
      </c>
      <c r="B3226" t="str">
        <f>IFERROR(__xludf.DUMMYFUNCTION("""COMPUTED_VALUE"""),"Turkey Wing Cooked Skin Not Eaten")</f>
        <v>Turkey Wing Cooked Skin Not Eaten</v>
      </c>
      <c r="C3226" t="str">
        <f>IFERROR(__xludf.DUMMYFUNCTION("""COMPUTED_VALUE"""),"Meats")</f>
        <v>Meats</v>
      </c>
      <c r="D3226">
        <f>IFERROR(__xludf.DUMMYFUNCTION("""COMPUTED_VALUE"""),139.0)</f>
        <v>139</v>
      </c>
      <c r="E3226">
        <f>IFERROR(__xludf.DUMMYFUNCTION("""COMPUTED_VALUE"""),2.06)</f>
        <v>2.06</v>
      </c>
      <c r="F3226">
        <f>IFERROR(__xludf.DUMMYFUNCTION("""COMPUTED_VALUE"""),28.81)</f>
        <v>28.81</v>
      </c>
      <c r="G3226">
        <f>IFERROR(__xludf.DUMMYFUNCTION("""COMPUTED_VALUE"""),0.0)</f>
        <v>0</v>
      </c>
    </row>
    <row r="3227">
      <c r="A3227">
        <f>IFERROR(__xludf.DUMMYFUNCTION("""COMPUTED_VALUE"""),782275.0)</f>
        <v>782275</v>
      </c>
      <c r="B3227" t="str">
        <f>IFERROR(__xludf.DUMMYFUNCTION("""COMPUTED_VALUE"""),"Turkey Wing Cooked Skin Eaten")</f>
        <v>Turkey Wing Cooked Skin Eaten</v>
      </c>
      <c r="C3227" t="str">
        <f>IFERROR(__xludf.DUMMYFUNCTION("""COMPUTED_VALUE"""),"Meats")</f>
        <v>Meats</v>
      </c>
      <c r="D3227">
        <f>IFERROR(__xludf.DUMMYFUNCTION("""COMPUTED_VALUE"""),202.0)</f>
        <v>202</v>
      </c>
      <c r="E3227">
        <f>IFERROR(__xludf.DUMMYFUNCTION("""COMPUTED_VALUE"""),9.97)</f>
        <v>9.97</v>
      </c>
      <c r="F3227">
        <f>IFERROR(__xludf.DUMMYFUNCTION("""COMPUTED_VALUE"""),26.87)</f>
        <v>26.87</v>
      </c>
      <c r="G3227">
        <f>IFERROR(__xludf.DUMMYFUNCTION("""COMPUTED_VALUE"""),0.0)</f>
        <v>0</v>
      </c>
    </row>
    <row r="3228">
      <c r="A3228">
        <f>IFERROR(__xludf.DUMMYFUNCTION("""COMPUTED_VALUE"""),782277.0)</f>
        <v>782277</v>
      </c>
      <c r="B3228" t="str">
        <f>IFERROR(__xludf.DUMMYFUNCTION("""COMPUTED_VALUE"""),"Turkey Tail")</f>
        <v>Turkey Tail</v>
      </c>
      <c r="C3228" t="str">
        <f>IFERROR(__xludf.DUMMYFUNCTION("""COMPUTED_VALUE"""),"Meats")</f>
        <v>Meats</v>
      </c>
      <c r="D3228">
        <f>IFERROR(__xludf.DUMMYFUNCTION("""COMPUTED_VALUE"""),294.0)</f>
        <v>294</v>
      </c>
      <c r="E3228">
        <f>IFERROR(__xludf.DUMMYFUNCTION("""COMPUTED_VALUE"""),22.8)</f>
        <v>22.8</v>
      </c>
      <c r="F3228">
        <f>IFERROR(__xludf.DUMMYFUNCTION("""COMPUTED_VALUE"""),22.25)</f>
        <v>22.25</v>
      </c>
      <c r="G3228">
        <f>IFERROR(__xludf.DUMMYFUNCTION("""COMPUTED_VALUE"""),0.0)</f>
        <v>0</v>
      </c>
    </row>
    <row r="3229">
      <c r="A3229">
        <f>IFERROR(__xludf.DUMMYFUNCTION("""COMPUTED_VALUE"""),782278.0)</f>
        <v>782278</v>
      </c>
      <c r="B3229" t="str">
        <f>IFERROR(__xludf.DUMMYFUNCTION("""COMPUTED_VALUE"""),"Turkey Back")</f>
        <v>Turkey Back</v>
      </c>
      <c r="C3229" t="str">
        <f>IFERROR(__xludf.DUMMYFUNCTION("""COMPUTED_VALUE"""),"Meats")</f>
        <v>Meats</v>
      </c>
      <c r="D3229">
        <f>IFERROR(__xludf.DUMMYFUNCTION("""COMPUTED_VALUE"""),203.0)</f>
        <v>203</v>
      </c>
      <c r="E3229">
        <f>IFERROR(__xludf.DUMMYFUNCTION("""COMPUTED_VALUE"""),11.26)</f>
        <v>11.26</v>
      </c>
      <c r="F3229">
        <f>IFERROR(__xludf.DUMMYFUNCTION("""COMPUTED_VALUE"""),25.58)</f>
        <v>25.58</v>
      </c>
      <c r="G3229">
        <f>IFERROR(__xludf.DUMMYFUNCTION("""COMPUTED_VALUE"""),0.0)</f>
        <v>0</v>
      </c>
    </row>
    <row r="3230">
      <c r="A3230">
        <f>IFERROR(__xludf.DUMMYFUNCTION("""COMPUTED_VALUE"""),782280.0)</f>
        <v>782280</v>
      </c>
      <c r="B3230" t="str">
        <f>IFERROR(__xludf.DUMMYFUNCTION("""COMPUTED_VALUE"""),"Turkey Ground")</f>
        <v>Turkey Ground</v>
      </c>
      <c r="C3230" t="str">
        <f>IFERROR(__xludf.DUMMYFUNCTION("""COMPUTED_VALUE"""),"Meats")</f>
        <v>Meats</v>
      </c>
      <c r="D3230">
        <f>IFERROR(__xludf.DUMMYFUNCTION("""COMPUTED_VALUE"""),201.0)</f>
        <v>201</v>
      </c>
      <c r="E3230">
        <f>IFERROR(__xludf.DUMMYFUNCTION("""COMPUTED_VALUE"""),10.31)</f>
        <v>10.31</v>
      </c>
      <c r="F3230">
        <f>IFERROR(__xludf.DUMMYFUNCTION("""COMPUTED_VALUE"""),27.14)</f>
        <v>27.14</v>
      </c>
      <c r="G3230">
        <f>IFERROR(__xludf.DUMMYFUNCTION("""COMPUTED_VALUE"""),0.0)</f>
        <v>0</v>
      </c>
    </row>
    <row r="3231">
      <c r="A3231">
        <f>IFERROR(__xludf.DUMMYFUNCTION("""COMPUTED_VALUE"""),782281.0)</f>
        <v>782281</v>
      </c>
      <c r="B3231" t="str">
        <f>IFERROR(__xludf.DUMMYFUNCTION("""COMPUTED_VALUE"""),"Turkey Nuggets")</f>
        <v>Turkey Nuggets</v>
      </c>
      <c r="C3231" t="str">
        <f>IFERROR(__xludf.DUMMYFUNCTION("""COMPUTED_VALUE"""),"Meats")</f>
        <v>Meats</v>
      </c>
      <c r="D3231">
        <f>IFERROR(__xludf.DUMMYFUNCTION("""COMPUTED_VALUE"""),233.0)</f>
        <v>233</v>
      </c>
      <c r="E3231">
        <f>IFERROR(__xludf.DUMMYFUNCTION("""COMPUTED_VALUE"""),8.71)</f>
        <v>8.71</v>
      </c>
      <c r="F3231">
        <f>IFERROR(__xludf.DUMMYFUNCTION("""COMPUTED_VALUE"""),22.37)</f>
        <v>22.37</v>
      </c>
      <c r="G3231">
        <f>IFERROR(__xludf.DUMMYFUNCTION("""COMPUTED_VALUE"""),16.31)</f>
        <v>16.31</v>
      </c>
    </row>
    <row r="3232">
      <c r="A3232">
        <f>IFERROR(__xludf.DUMMYFUNCTION("""COMPUTED_VALUE"""),782284.0)</f>
        <v>782284</v>
      </c>
      <c r="B3232" t="str">
        <f>IFERROR(__xludf.DUMMYFUNCTION("""COMPUTED_VALUE"""),"Turkey With Barbecue Sauce Skin Eaten")</f>
        <v>Turkey With Barbecue Sauce Skin Eaten</v>
      </c>
      <c r="C3232" t="str">
        <f>IFERROR(__xludf.DUMMYFUNCTION("""COMPUTED_VALUE"""),"Meats")</f>
        <v>Meats</v>
      </c>
      <c r="D3232">
        <f>IFERROR(__xludf.DUMMYFUNCTION("""COMPUTED_VALUE"""),195.0)</f>
        <v>195</v>
      </c>
      <c r="E3232">
        <f>IFERROR(__xludf.DUMMYFUNCTION("""COMPUTED_VALUE"""),8.16)</f>
        <v>8.16</v>
      </c>
      <c r="F3232">
        <f>IFERROR(__xludf.DUMMYFUNCTION("""COMPUTED_VALUE"""),18.23)</f>
        <v>18.23</v>
      </c>
      <c r="G3232">
        <f>IFERROR(__xludf.DUMMYFUNCTION("""COMPUTED_VALUE"""),12.23)</f>
        <v>12.23</v>
      </c>
    </row>
    <row r="3233">
      <c r="A3233">
        <f>IFERROR(__xludf.DUMMYFUNCTION("""COMPUTED_VALUE"""),782285.0)</f>
        <v>782285</v>
      </c>
      <c r="B3233" t="str">
        <f>IFERROR(__xludf.DUMMYFUNCTION("""COMPUTED_VALUE"""),"Turkey With Barbecue Sauce Skin Not Eaten")</f>
        <v>Turkey With Barbecue Sauce Skin Not Eaten</v>
      </c>
      <c r="C3233" t="str">
        <f>IFERROR(__xludf.DUMMYFUNCTION("""COMPUTED_VALUE"""),"Meats")</f>
        <v>Meats</v>
      </c>
      <c r="D3233">
        <f>IFERROR(__xludf.DUMMYFUNCTION("""COMPUTED_VALUE"""),150.0)</f>
        <v>150</v>
      </c>
      <c r="E3233">
        <f>IFERROR(__xludf.DUMMYFUNCTION("""COMPUTED_VALUE"""),2.82)</f>
        <v>2.82</v>
      </c>
      <c r="F3233">
        <f>IFERROR(__xludf.DUMMYFUNCTION("""COMPUTED_VALUE"""),18.86)</f>
        <v>18.86</v>
      </c>
      <c r="G3233">
        <f>IFERROR(__xludf.DUMMYFUNCTION("""COMPUTED_VALUE"""),12.23)</f>
        <v>12.23</v>
      </c>
    </row>
    <row r="3234">
      <c r="A3234">
        <f>IFERROR(__xludf.DUMMYFUNCTION("""COMPUTED_VALUE"""),782286.0)</f>
        <v>782286</v>
      </c>
      <c r="B3234" t="str">
        <f>IFERROR(__xludf.DUMMYFUNCTION("""COMPUTED_VALUE"""),"Duck Cooked Skin Eaten")</f>
        <v>Duck Cooked Skin Eaten</v>
      </c>
      <c r="C3234" t="str">
        <f>IFERROR(__xludf.DUMMYFUNCTION("""COMPUTED_VALUE"""),"Meats")</f>
        <v>Meats</v>
      </c>
      <c r="D3234">
        <f>IFERROR(__xludf.DUMMYFUNCTION("""COMPUTED_VALUE"""),336.0)</f>
        <v>336</v>
      </c>
      <c r="E3234">
        <f>IFERROR(__xludf.DUMMYFUNCTION("""COMPUTED_VALUE"""),28.23)</f>
        <v>28.23</v>
      </c>
      <c r="F3234">
        <f>IFERROR(__xludf.DUMMYFUNCTION("""COMPUTED_VALUE"""),18.91)</f>
        <v>18.91</v>
      </c>
      <c r="G3234">
        <f>IFERROR(__xludf.DUMMYFUNCTION("""COMPUTED_VALUE"""),0.0)</f>
        <v>0</v>
      </c>
    </row>
    <row r="3235">
      <c r="A3235">
        <f>IFERROR(__xludf.DUMMYFUNCTION("""COMPUTED_VALUE"""),782287.0)</f>
        <v>782287</v>
      </c>
      <c r="B3235" t="str">
        <f>IFERROR(__xludf.DUMMYFUNCTION("""COMPUTED_VALUE"""),"Duck Cooked Skin Not Eaten")</f>
        <v>Duck Cooked Skin Not Eaten</v>
      </c>
      <c r="C3235" t="str">
        <f>IFERROR(__xludf.DUMMYFUNCTION("""COMPUTED_VALUE"""),"Meats")</f>
        <v>Meats</v>
      </c>
      <c r="D3235">
        <f>IFERROR(__xludf.DUMMYFUNCTION("""COMPUTED_VALUE"""),200.0)</f>
        <v>200</v>
      </c>
      <c r="E3235">
        <f>IFERROR(__xludf.DUMMYFUNCTION("""COMPUTED_VALUE"""),11.15)</f>
        <v>11.15</v>
      </c>
      <c r="F3235">
        <f>IFERROR(__xludf.DUMMYFUNCTION("""COMPUTED_VALUE"""),23.38)</f>
        <v>23.38</v>
      </c>
      <c r="G3235">
        <f>IFERROR(__xludf.DUMMYFUNCTION("""COMPUTED_VALUE"""),0.0)</f>
        <v>0</v>
      </c>
    </row>
    <row r="3236">
      <c r="A3236">
        <f>IFERROR(__xludf.DUMMYFUNCTION("""COMPUTED_VALUE"""),782288.0)</f>
        <v>782288</v>
      </c>
      <c r="B3236" t="str">
        <f>IFERROR(__xludf.DUMMYFUNCTION("""COMPUTED_VALUE"""),"Duck Roasted Skin Eaten")</f>
        <v>Duck Roasted Skin Eaten</v>
      </c>
      <c r="C3236" t="str">
        <f>IFERROR(__xludf.DUMMYFUNCTION("""COMPUTED_VALUE"""),"Meats")</f>
        <v>Meats</v>
      </c>
      <c r="D3236">
        <f>IFERROR(__xludf.DUMMYFUNCTION("""COMPUTED_VALUE"""),336.0)</f>
        <v>336</v>
      </c>
      <c r="E3236">
        <f>IFERROR(__xludf.DUMMYFUNCTION("""COMPUTED_VALUE"""),28.23)</f>
        <v>28.23</v>
      </c>
      <c r="F3236">
        <f>IFERROR(__xludf.DUMMYFUNCTION("""COMPUTED_VALUE"""),18.91)</f>
        <v>18.91</v>
      </c>
      <c r="G3236">
        <f>IFERROR(__xludf.DUMMYFUNCTION("""COMPUTED_VALUE"""),0.0)</f>
        <v>0</v>
      </c>
    </row>
    <row r="3237">
      <c r="A3237">
        <f>IFERROR(__xludf.DUMMYFUNCTION("""COMPUTED_VALUE"""),782289.0)</f>
        <v>782289</v>
      </c>
      <c r="B3237" t="str">
        <f>IFERROR(__xludf.DUMMYFUNCTION("""COMPUTED_VALUE"""),"Duck Roasted Skin Not Eaten")</f>
        <v>Duck Roasted Skin Not Eaten</v>
      </c>
      <c r="C3237" t="str">
        <f>IFERROR(__xludf.DUMMYFUNCTION("""COMPUTED_VALUE"""),"Meats")</f>
        <v>Meats</v>
      </c>
      <c r="D3237">
        <f>IFERROR(__xludf.DUMMYFUNCTION("""COMPUTED_VALUE"""),200.0)</f>
        <v>200</v>
      </c>
      <c r="E3237">
        <f>IFERROR(__xludf.DUMMYFUNCTION("""COMPUTED_VALUE"""),11.15)</f>
        <v>11.15</v>
      </c>
      <c r="F3237">
        <f>IFERROR(__xludf.DUMMYFUNCTION("""COMPUTED_VALUE"""),23.38)</f>
        <v>23.38</v>
      </c>
      <c r="G3237">
        <f>IFERROR(__xludf.DUMMYFUNCTION("""COMPUTED_VALUE"""),0.0)</f>
        <v>0</v>
      </c>
    </row>
    <row r="3238">
      <c r="A3238">
        <f>IFERROR(__xludf.DUMMYFUNCTION("""COMPUTED_VALUE"""),782290.0)</f>
        <v>782290</v>
      </c>
      <c r="B3238" t="str">
        <f>IFERROR(__xludf.DUMMYFUNCTION("""COMPUTED_VALUE"""),"Duck Coated Fried")</f>
        <v>Duck Coated Fried</v>
      </c>
      <c r="C3238" t="str">
        <f>IFERROR(__xludf.DUMMYFUNCTION("""COMPUTED_VALUE"""),"Meats")</f>
        <v>Meats</v>
      </c>
      <c r="D3238">
        <f>IFERROR(__xludf.DUMMYFUNCTION("""COMPUTED_VALUE"""),225.0)</f>
        <v>225</v>
      </c>
      <c r="E3238">
        <f>IFERROR(__xludf.DUMMYFUNCTION("""COMPUTED_VALUE"""),10.92)</f>
        <v>10.92</v>
      </c>
      <c r="F3238">
        <f>IFERROR(__xludf.DUMMYFUNCTION("""COMPUTED_VALUE"""),22.3)</f>
        <v>22.3</v>
      </c>
      <c r="G3238">
        <f>IFERROR(__xludf.DUMMYFUNCTION("""COMPUTED_VALUE"""),7.95)</f>
        <v>7.95</v>
      </c>
    </row>
    <row r="3239">
      <c r="A3239">
        <f>IFERROR(__xludf.DUMMYFUNCTION("""COMPUTED_VALUE"""),782291.0)</f>
        <v>782291</v>
      </c>
      <c r="B3239" t="str">
        <f>IFERROR(__xludf.DUMMYFUNCTION("""COMPUTED_VALUE"""),"Duck Pressed Chinese")</f>
        <v>Duck Pressed Chinese</v>
      </c>
      <c r="C3239" t="str">
        <f>IFERROR(__xludf.DUMMYFUNCTION("""COMPUTED_VALUE"""),"Meats")</f>
        <v>Meats</v>
      </c>
      <c r="D3239">
        <f>IFERROR(__xludf.DUMMYFUNCTION("""COMPUTED_VALUE"""),153.0)</f>
        <v>153</v>
      </c>
      <c r="E3239">
        <f>IFERROR(__xludf.DUMMYFUNCTION("""COMPUTED_VALUE"""),11.63)</f>
        <v>11.63</v>
      </c>
      <c r="F3239">
        <f>IFERROR(__xludf.DUMMYFUNCTION("""COMPUTED_VALUE"""),5.34)</f>
        <v>5.34</v>
      </c>
      <c r="G3239">
        <f>IFERROR(__xludf.DUMMYFUNCTION("""COMPUTED_VALUE"""),6.83)</f>
        <v>6.83</v>
      </c>
    </row>
    <row r="3240">
      <c r="A3240">
        <f>IFERROR(__xludf.DUMMYFUNCTION("""COMPUTED_VALUE"""),782292.0)</f>
        <v>782292</v>
      </c>
      <c r="B3240" t="str">
        <f>IFERROR(__xludf.DUMMYFUNCTION("""COMPUTED_VALUE"""),"Goose Wild Roasted")</f>
        <v>Goose Wild Roasted</v>
      </c>
      <c r="C3240" t="str">
        <f>IFERROR(__xludf.DUMMYFUNCTION("""COMPUTED_VALUE"""),"Meats")</f>
        <v>Meats</v>
      </c>
      <c r="D3240">
        <f>IFERROR(__xludf.DUMMYFUNCTION("""COMPUTED_VALUE"""),304.0)</f>
        <v>304</v>
      </c>
      <c r="E3240">
        <f>IFERROR(__xludf.DUMMYFUNCTION("""COMPUTED_VALUE"""),21.83)</f>
        <v>21.83</v>
      </c>
      <c r="F3240">
        <f>IFERROR(__xludf.DUMMYFUNCTION("""COMPUTED_VALUE"""),25.06)</f>
        <v>25.06</v>
      </c>
      <c r="G3240">
        <f>IFERROR(__xludf.DUMMYFUNCTION("""COMPUTED_VALUE"""),0.0)</f>
        <v>0</v>
      </c>
    </row>
    <row r="3241">
      <c r="A3241">
        <f>IFERROR(__xludf.DUMMYFUNCTION("""COMPUTED_VALUE"""),782293.0)</f>
        <v>782293</v>
      </c>
      <c r="B3241" t="str">
        <f>IFERROR(__xludf.DUMMYFUNCTION("""COMPUTED_VALUE"""),"Cornish Game Hen Cooked Skin Eaten")</f>
        <v>Cornish Game Hen Cooked Skin Eaten</v>
      </c>
      <c r="C3241" t="str">
        <f>IFERROR(__xludf.DUMMYFUNCTION("""COMPUTED_VALUE"""),"Meats")</f>
        <v>Meats</v>
      </c>
      <c r="D3241">
        <f>IFERROR(__xludf.DUMMYFUNCTION("""COMPUTED_VALUE"""),257.0)</f>
        <v>257</v>
      </c>
      <c r="E3241">
        <f>IFERROR(__xludf.DUMMYFUNCTION("""COMPUTED_VALUE"""),18.06)</f>
        <v>18.06</v>
      </c>
      <c r="F3241">
        <f>IFERROR(__xludf.DUMMYFUNCTION("""COMPUTED_VALUE"""),22.08)</f>
        <v>22.08</v>
      </c>
      <c r="G3241">
        <f>IFERROR(__xludf.DUMMYFUNCTION("""COMPUTED_VALUE"""),0.0)</f>
        <v>0</v>
      </c>
    </row>
    <row r="3242">
      <c r="A3242">
        <f>IFERROR(__xludf.DUMMYFUNCTION("""COMPUTED_VALUE"""),782294.0)</f>
        <v>782294</v>
      </c>
      <c r="B3242" t="str">
        <f>IFERROR(__xludf.DUMMYFUNCTION("""COMPUTED_VALUE"""),"Cornish Game Hen Cooked Skin Not Eaten")</f>
        <v>Cornish Game Hen Cooked Skin Not Eaten</v>
      </c>
      <c r="C3242" t="str">
        <f>IFERROR(__xludf.DUMMYFUNCTION("""COMPUTED_VALUE"""),"Meats")</f>
        <v>Meats</v>
      </c>
      <c r="D3242">
        <f>IFERROR(__xludf.DUMMYFUNCTION("""COMPUTED_VALUE"""),133.0)</f>
        <v>133</v>
      </c>
      <c r="E3242">
        <f>IFERROR(__xludf.DUMMYFUNCTION("""COMPUTED_VALUE"""),3.84)</f>
        <v>3.84</v>
      </c>
      <c r="F3242">
        <f>IFERROR(__xludf.DUMMYFUNCTION("""COMPUTED_VALUE"""),23.11)</f>
        <v>23.11</v>
      </c>
      <c r="G3242">
        <f>IFERROR(__xludf.DUMMYFUNCTION("""COMPUTED_VALUE"""),0.0)</f>
        <v>0</v>
      </c>
    </row>
    <row r="3243">
      <c r="A3243">
        <f>IFERROR(__xludf.DUMMYFUNCTION("""COMPUTED_VALUE"""),782295.0)</f>
        <v>782295</v>
      </c>
      <c r="B3243" t="str">
        <f>IFERROR(__xludf.DUMMYFUNCTION("""COMPUTED_VALUE"""),"Cornish Game Hen Roasted Skin Eaten")</f>
        <v>Cornish Game Hen Roasted Skin Eaten</v>
      </c>
      <c r="C3243" t="str">
        <f>IFERROR(__xludf.DUMMYFUNCTION("""COMPUTED_VALUE"""),"Meats")</f>
        <v>Meats</v>
      </c>
      <c r="D3243">
        <f>IFERROR(__xludf.DUMMYFUNCTION("""COMPUTED_VALUE"""),257.0)</f>
        <v>257</v>
      </c>
      <c r="E3243">
        <f>IFERROR(__xludf.DUMMYFUNCTION("""COMPUTED_VALUE"""),18.06)</f>
        <v>18.06</v>
      </c>
      <c r="F3243">
        <f>IFERROR(__xludf.DUMMYFUNCTION("""COMPUTED_VALUE"""),22.08)</f>
        <v>22.08</v>
      </c>
      <c r="G3243">
        <f>IFERROR(__xludf.DUMMYFUNCTION("""COMPUTED_VALUE"""),0.0)</f>
        <v>0</v>
      </c>
    </row>
    <row r="3244">
      <c r="A3244">
        <f>IFERROR(__xludf.DUMMYFUNCTION("""COMPUTED_VALUE"""),782296.0)</f>
        <v>782296</v>
      </c>
      <c r="B3244" t="str">
        <f>IFERROR(__xludf.DUMMYFUNCTION("""COMPUTED_VALUE"""),"Cornish Game Hen Roasted Skin Not Eaten")</f>
        <v>Cornish Game Hen Roasted Skin Not Eaten</v>
      </c>
      <c r="C3244" t="str">
        <f>IFERROR(__xludf.DUMMYFUNCTION("""COMPUTED_VALUE"""),"Meats")</f>
        <v>Meats</v>
      </c>
      <c r="D3244">
        <f>IFERROR(__xludf.DUMMYFUNCTION("""COMPUTED_VALUE"""),133.0)</f>
        <v>133</v>
      </c>
      <c r="E3244">
        <f>IFERROR(__xludf.DUMMYFUNCTION("""COMPUTED_VALUE"""),3.84)</f>
        <v>3.84</v>
      </c>
      <c r="F3244">
        <f>IFERROR(__xludf.DUMMYFUNCTION("""COMPUTED_VALUE"""),23.11)</f>
        <v>23.11</v>
      </c>
      <c r="G3244">
        <f>IFERROR(__xludf.DUMMYFUNCTION("""COMPUTED_VALUE"""),0.0)</f>
        <v>0</v>
      </c>
    </row>
    <row r="3245">
      <c r="A3245">
        <f>IFERROR(__xludf.DUMMYFUNCTION("""COMPUTED_VALUE"""),782297.0)</f>
        <v>782297</v>
      </c>
      <c r="B3245" t="str">
        <f>IFERROR(__xludf.DUMMYFUNCTION("""COMPUTED_VALUE"""),"Dove Cooked Ns As To Cooking Method")</f>
        <v>Dove Cooked Ns As To Cooking Method</v>
      </c>
      <c r="C3245" t="str">
        <f>IFERROR(__xludf.DUMMYFUNCTION("""COMPUTED_VALUE"""),"Meats")</f>
        <v>Meats</v>
      </c>
      <c r="D3245">
        <f>IFERROR(__xludf.DUMMYFUNCTION("""COMPUTED_VALUE"""),212.0)</f>
        <v>212</v>
      </c>
      <c r="E3245">
        <f>IFERROR(__xludf.DUMMYFUNCTION("""COMPUTED_VALUE"""),12.95)</f>
        <v>12.95</v>
      </c>
      <c r="F3245">
        <f>IFERROR(__xludf.DUMMYFUNCTION("""COMPUTED_VALUE"""),23.8)</f>
        <v>23.8</v>
      </c>
      <c r="G3245">
        <f>IFERROR(__xludf.DUMMYFUNCTION("""COMPUTED_VALUE"""),0.0)</f>
        <v>0</v>
      </c>
    </row>
    <row r="3246">
      <c r="A3246">
        <f>IFERROR(__xludf.DUMMYFUNCTION("""COMPUTED_VALUE"""),782298.0)</f>
        <v>782298</v>
      </c>
      <c r="B3246" t="str">
        <f>IFERROR(__xludf.DUMMYFUNCTION("""COMPUTED_VALUE"""),"Dove Fried")</f>
        <v>Dove Fried</v>
      </c>
      <c r="C3246" t="str">
        <f>IFERROR(__xludf.DUMMYFUNCTION("""COMPUTED_VALUE"""),"Meats")</f>
        <v>Meats</v>
      </c>
      <c r="D3246">
        <f>IFERROR(__xludf.DUMMYFUNCTION("""COMPUTED_VALUE"""),223.0)</f>
        <v>223</v>
      </c>
      <c r="E3246">
        <f>IFERROR(__xludf.DUMMYFUNCTION("""COMPUTED_VALUE"""),13.82)</f>
        <v>13.82</v>
      </c>
      <c r="F3246">
        <f>IFERROR(__xludf.DUMMYFUNCTION("""COMPUTED_VALUE"""),23.06)</f>
        <v>23.06</v>
      </c>
      <c r="G3246">
        <f>IFERROR(__xludf.DUMMYFUNCTION("""COMPUTED_VALUE"""),1.44)</f>
        <v>1.44</v>
      </c>
    </row>
    <row r="3247">
      <c r="A3247">
        <f>IFERROR(__xludf.DUMMYFUNCTION("""COMPUTED_VALUE"""),782299.0)</f>
        <v>782299</v>
      </c>
      <c r="B3247" t="str">
        <f>IFERROR(__xludf.DUMMYFUNCTION("""COMPUTED_VALUE"""),"Quail Cooked")</f>
        <v>Quail Cooked</v>
      </c>
      <c r="C3247" t="str">
        <f>IFERROR(__xludf.DUMMYFUNCTION("""COMPUTED_VALUE"""),"Meats")</f>
        <v>Meats</v>
      </c>
      <c r="D3247">
        <f>IFERROR(__xludf.DUMMYFUNCTION("""COMPUTED_VALUE"""),226.0)</f>
        <v>226</v>
      </c>
      <c r="E3247">
        <f>IFERROR(__xludf.DUMMYFUNCTION("""COMPUTED_VALUE"""),14.04)</f>
        <v>14.04</v>
      </c>
      <c r="F3247">
        <f>IFERROR(__xludf.DUMMYFUNCTION("""COMPUTED_VALUE"""),25.0)</f>
        <v>25</v>
      </c>
      <c r="G3247">
        <f>IFERROR(__xludf.DUMMYFUNCTION("""COMPUTED_VALUE"""),0.0)</f>
        <v>0</v>
      </c>
    </row>
    <row r="3248">
      <c r="A3248">
        <f>IFERROR(__xludf.DUMMYFUNCTION("""COMPUTED_VALUE"""),782300.0)</f>
        <v>782300</v>
      </c>
      <c r="B3248" t="str">
        <f>IFERROR(__xludf.DUMMYFUNCTION("""COMPUTED_VALUE"""),"Pheasant Cooked")</f>
        <v>Pheasant Cooked</v>
      </c>
      <c r="C3248" t="str">
        <f>IFERROR(__xludf.DUMMYFUNCTION("""COMPUTED_VALUE"""),"Meats")</f>
        <v>Meats</v>
      </c>
      <c r="D3248">
        <f>IFERROR(__xludf.DUMMYFUNCTION("""COMPUTED_VALUE"""),238.0)</f>
        <v>238</v>
      </c>
      <c r="E3248">
        <f>IFERROR(__xludf.DUMMYFUNCTION("""COMPUTED_VALUE"""),12.05)</f>
        <v>12.05</v>
      </c>
      <c r="F3248">
        <f>IFERROR(__xludf.DUMMYFUNCTION("""COMPUTED_VALUE"""),32.26)</f>
        <v>32.26</v>
      </c>
      <c r="G3248">
        <f>IFERROR(__xludf.DUMMYFUNCTION("""COMPUTED_VALUE"""),0.0)</f>
        <v>0</v>
      </c>
    </row>
    <row r="3249">
      <c r="A3249">
        <f>IFERROR(__xludf.DUMMYFUNCTION("""COMPUTED_VALUE"""),782309.0)</f>
        <v>782309</v>
      </c>
      <c r="B3249" t="str">
        <f>IFERROR(__xludf.DUMMYFUNCTION("""COMPUTED_VALUE"""),"Beef Liver Braised")</f>
        <v>Beef Liver Braised</v>
      </c>
      <c r="C3249" t="str">
        <f>IFERROR(__xludf.DUMMYFUNCTION("""COMPUTED_VALUE"""),"Meats")</f>
        <v>Meats</v>
      </c>
      <c r="D3249">
        <f>IFERROR(__xludf.DUMMYFUNCTION("""COMPUTED_VALUE"""),189.0)</f>
        <v>189</v>
      </c>
      <c r="E3249">
        <f>IFERROR(__xludf.DUMMYFUNCTION("""COMPUTED_VALUE"""),5.22)</f>
        <v>5.22</v>
      </c>
      <c r="F3249">
        <f>IFERROR(__xludf.DUMMYFUNCTION("""COMPUTED_VALUE"""),28.84)</f>
        <v>28.84</v>
      </c>
      <c r="G3249">
        <f>IFERROR(__xludf.DUMMYFUNCTION("""COMPUTED_VALUE"""),5.09)</f>
        <v>5.09</v>
      </c>
    </row>
    <row r="3250">
      <c r="A3250">
        <f>IFERROR(__xludf.DUMMYFUNCTION("""COMPUTED_VALUE"""),782310.0)</f>
        <v>782310</v>
      </c>
      <c r="B3250" t="str">
        <f>IFERROR(__xludf.DUMMYFUNCTION("""COMPUTED_VALUE"""),"Beef Liver Fried")</f>
        <v>Beef Liver Fried</v>
      </c>
      <c r="C3250" t="str">
        <f>IFERROR(__xludf.DUMMYFUNCTION("""COMPUTED_VALUE"""),"Meats")</f>
        <v>Meats</v>
      </c>
      <c r="D3250">
        <f>IFERROR(__xludf.DUMMYFUNCTION("""COMPUTED_VALUE"""),174.0)</f>
        <v>174</v>
      </c>
      <c r="E3250">
        <f>IFERROR(__xludf.DUMMYFUNCTION("""COMPUTED_VALUE"""),4.64)</f>
        <v>4.64</v>
      </c>
      <c r="F3250">
        <f>IFERROR(__xludf.DUMMYFUNCTION("""COMPUTED_VALUE"""),26.3)</f>
        <v>26.3</v>
      </c>
      <c r="G3250">
        <f>IFERROR(__xludf.DUMMYFUNCTION("""COMPUTED_VALUE"""),5.12)</f>
        <v>5.12</v>
      </c>
    </row>
    <row r="3251">
      <c r="A3251">
        <f>IFERROR(__xludf.DUMMYFUNCTION("""COMPUTED_VALUE"""),782311.0)</f>
        <v>782311</v>
      </c>
      <c r="B3251" t="str">
        <f>IFERROR(__xludf.DUMMYFUNCTION("""COMPUTED_VALUE"""),"Chicken Liver Braised")</f>
        <v>Chicken Liver Braised</v>
      </c>
      <c r="C3251" t="str">
        <f>IFERROR(__xludf.DUMMYFUNCTION("""COMPUTED_VALUE"""),"Meats")</f>
        <v>Meats</v>
      </c>
      <c r="D3251">
        <f>IFERROR(__xludf.DUMMYFUNCTION("""COMPUTED_VALUE"""),166.0)</f>
        <v>166</v>
      </c>
      <c r="E3251">
        <f>IFERROR(__xludf.DUMMYFUNCTION("""COMPUTED_VALUE"""),6.46)</f>
        <v>6.46</v>
      </c>
      <c r="F3251">
        <f>IFERROR(__xludf.DUMMYFUNCTION("""COMPUTED_VALUE"""),24.26)</f>
        <v>24.26</v>
      </c>
      <c r="G3251">
        <f>IFERROR(__xludf.DUMMYFUNCTION("""COMPUTED_VALUE"""),0.86)</f>
        <v>0.86</v>
      </c>
    </row>
    <row r="3252">
      <c r="A3252">
        <f>IFERROR(__xludf.DUMMYFUNCTION("""COMPUTED_VALUE"""),782312.0)</f>
        <v>782312</v>
      </c>
      <c r="B3252" t="str">
        <f>IFERROR(__xludf.DUMMYFUNCTION("""COMPUTED_VALUE"""),"Chicken Liver Fried")</f>
        <v>Chicken Liver Fried</v>
      </c>
      <c r="C3252" t="str">
        <f>IFERROR(__xludf.DUMMYFUNCTION("""COMPUTED_VALUE"""),"Meats")</f>
        <v>Meats</v>
      </c>
      <c r="D3252">
        <f>IFERROR(__xludf.DUMMYFUNCTION("""COMPUTED_VALUE"""),189.0)</f>
        <v>189</v>
      </c>
      <c r="E3252">
        <f>IFERROR(__xludf.DUMMYFUNCTION("""COMPUTED_VALUE"""),8.66)</f>
        <v>8.66</v>
      </c>
      <c r="F3252">
        <f>IFERROR(__xludf.DUMMYFUNCTION("""COMPUTED_VALUE"""),19.98)</f>
        <v>19.98</v>
      </c>
      <c r="G3252">
        <f>IFERROR(__xludf.DUMMYFUNCTION("""COMPUTED_VALUE"""),6.41)</f>
        <v>6.41</v>
      </c>
    </row>
    <row r="3253">
      <c r="A3253">
        <f>IFERROR(__xludf.DUMMYFUNCTION("""COMPUTED_VALUE"""),782314.0)</f>
        <v>782314</v>
      </c>
      <c r="B3253" t="str">
        <f>IFERROR(__xludf.DUMMYFUNCTION("""COMPUTED_VALUE"""),"Heart Cooked")</f>
        <v>Heart Cooked</v>
      </c>
      <c r="C3253" t="str">
        <f>IFERROR(__xludf.DUMMYFUNCTION("""COMPUTED_VALUE"""),"Meats")</f>
        <v>Meats</v>
      </c>
      <c r="D3253">
        <f>IFERROR(__xludf.DUMMYFUNCTION("""COMPUTED_VALUE"""),164.0)</f>
        <v>164</v>
      </c>
      <c r="E3253">
        <f>IFERROR(__xludf.DUMMYFUNCTION("""COMPUTED_VALUE"""),4.69)</f>
        <v>4.69</v>
      </c>
      <c r="F3253">
        <f>IFERROR(__xludf.DUMMYFUNCTION("""COMPUTED_VALUE"""),28.24)</f>
        <v>28.24</v>
      </c>
      <c r="G3253">
        <f>IFERROR(__xludf.DUMMYFUNCTION("""COMPUTED_VALUE"""),0.15)</f>
        <v>0.15</v>
      </c>
    </row>
    <row r="3254">
      <c r="A3254">
        <f>IFERROR(__xludf.DUMMYFUNCTION("""COMPUTED_VALUE"""),782315.0)</f>
        <v>782315</v>
      </c>
      <c r="B3254" t="str">
        <f>IFERROR(__xludf.DUMMYFUNCTION("""COMPUTED_VALUE"""),"Kidney Cooked")</f>
        <v>Kidney Cooked</v>
      </c>
      <c r="C3254" t="str">
        <f>IFERROR(__xludf.DUMMYFUNCTION("""COMPUTED_VALUE"""),"Meats")</f>
        <v>Meats</v>
      </c>
      <c r="D3254">
        <f>IFERROR(__xludf.DUMMYFUNCTION("""COMPUTED_VALUE"""),157.0)</f>
        <v>157</v>
      </c>
      <c r="E3254">
        <f>IFERROR(__xludf.DUMMYFUNCTION("""COMPUTED_VALUE"""),4.61)</f>
        <v>4.61</v>
      </c>
      <c r="F3254">
        <f>IFERROR(__xludf.DUMMYFUNCTION("""COMPUTED_VALUE"""),27.04)</f>
        <v>27.04</v>
      </c>
      <c r="G3254">
        <f>IFERROR(__xludf.DUMMYFUNCTION("""COMPUTED_VALUE"""),0.0)</f>
        <v>0</v>
      </c>
    </row>
    <row r="3255">
      <c r="A3255">
        <f>IFERROR(__xludf.DUMMYFUNCTION("""COMPUTED_VALUE"""),782316.0)</f>
        <v>782316</v>
      </c>
      <c r="B3255" t="str">
        <f>IFERROR(__xludf.DUMMYFUNCTION("""COMPUTED_VALUE"""),"Sweetbreads Cooked")</f>
        <v>Sweetbreads Cooked</v>
      </c>
      <c r="C3255" t="str">
        <f>IFERROR(__xludf.DUMMYFUNCTION("""COMPUTED_VALUE"""),"Meats")</f>
        <v>Meats</v>
      </c>
      <c r="D3255">
        <f>IFERROR(__xludf.DUMMYFUNCTION("""COMPUTED_VALUE"""),124.0)</f>
        <v>124</v>
      </c>
      <c r="E3255">
        <f>IFERROR(__xludf.DUMMYFUNCTION("""COMPUTED_VALUE"""),3.08)</f>
        <v>3.08</v>
      </c>
      <c r="F3255">
        <f>IFERROR(__xludf.DUMMYFUNCTION("""COMPUTED_VALUE"""),22.48)</f>
        <v>22.48</v>
      </c>
      <c r="G3255">
        <f>IFERROR(__xludf.DUMMYFUNCTION("""COMPUTED_VALUE"""),0.0)</f>
        <v>0</v>
      </c>
    </row>
    <row r="3256">
      <c r="A3256">
        <f>IFERROR(__xludf.DUMMYFUNCTION("""COMPUTED_VALUE"""),782317.0)</f>
        <v>782317</v>
      </c>
      <c r="B3256" t="str">
        <f>IFERROR(__xludf.DUMMYFUNCTION("""COMPUTED_VALUE"""),"Brains Cooked")</f>
        <v>Brains Cooked</v>
      </c>
      <c r="C3256" t="str">
        <f>IFERROR(__xludf.DUMMYFUNCTION("""COMPUTED_VALUE"""),"Meats")</f>
        <v>Meats</v>
      </c>
      <c r="D3256">
        <f>IFERROR(__xludf.DUMMYFUNCTION("""COMPUTED_VALUE"""),150.0)</f>
        <v>150</v>
      </c>
      <c r="E3256">
        <f>IFERROR(__xludf.DUMMYFUNCTION("""COMPUTED_VALUE"""),10.44)</f>
        <v>10.44</v>
      </c>
      <c r="F3256">
        <f>IFERROR(__xludf.DUMMYFUNCTION("""COMPUTED_VALUE"""),11.57)</f>
        <v>11.57</v>
      </c>
      <c r="G3256">
        <f>IFERROR(__xludf.DUMMYFUNCTION("""COMPUTED_VALUE"""),1.47)</f>
        <v>1.47</v>
      </c>
    </row>
    <row r="3257">
      <c r="A3257">
        <f>IFERROR(__xludf.DUMMYFUNCTION("""COMPUTED_VALUE"""),782318.0)</f>
        <v>782318</v>
      </c>
      <c r="B3257" t="str">
        <f>IFERROR(__xludf.DUMMYFUNCTION("""COMPUTED_VALUE"""),"Tongue Cooked")</f>
        <v>Tongue Cooked</v>
      </c>
      <c r="C3257" t="str">
        <f>IFERROR(__xludf.DUMMYFUNCTION("""COMPUTED_VALUE"""),"Meats")</f>
        <v>Meats</v>
      </c>
      <c r="D3257">
        <f>IFERROR(__xludf.DUMMYFUNCTION("""COMPUTED_VALUE"""),282.0)</f>
        <v>282</v>
      </c>
      <c r="E3257">
        <f>IFERROR(__xludf.DUMMYFUNCTION("""COMPUTED_VALUE"""),22.11)</f>
        <v>22.11</v>
      </c>
      <c r="F3257">
        <f>IFERROR(__xludf.DUMMYFUNCTION("""COMPUTED_VALUE"""),19.13)</f>
        <v>19.13</v>
      </c>
      <c r="G3257">
        <f>IFERROR(__xludf.DUMMYFUNCTION("""COMPUTED_VALUE"""),0.0)</f>
        <v>0</v>
      </c>
    </row>
    <row r="3258">
      <c r="A3258">
        <f>IFERROR(__xludf.DUMMYFUNCTION("""COMPUTED_VALUE"""),782319.0)</f>
        <v>782319</v>
      </c>
      <c r="B3258" t="str">
        <f>IFERROR(__xludf.DUMMYFUNCTION("""COMPUTED_VALUE"""),"Tongue Smoked Cured Or Pickled Cooked")</f>
        <v>Tongue Smoked Cured Or Pickled Cooked</v>
      </c>
      <c r="C3258" t="str">
        <f>IFERROR(__xludf.DUMMYFUNCTION("""COMPUTED_VALUE"""),"Meats")</f>
        <v>Meats</v>
      </c>
      <c r="D3258">
        <f>IFERROR(__xludf.DUMMYFUNCTION("""COMPUTED_VALUE"""),277.0)</f>
        <v>277</v>
      </c>
      <c r="E3258">
        <f>IFERROR(__xludf.DUMMYFUNCTION("""COMPUTED_VALUE"""),21.74)</f>
        <v>21.74</v>
      </c>
      <c r="F3258">
        <f>IFERROR(__xludf.DUMMYFUNCTION("""COMPUTED_VALUE"""),18.8)</f>
        <v>18.8</v>
      </c>
      <c r="G3258">
        <f>IFERROR(__xludf.DUMMYFUNCTION("""COMPUTED_VALUE"""),0.0)</f>
        <v>0</v>
      </c>
    </row>
    <row r="3259">
      <c r="A3259">
        <f>IFERROR(__xludf.DUMMYFUNCTION("""COMPUTED_VALUE"""),782320.0)</f>
        <v>782320</v>
      </c>
      <c r="B3259" t="str">
        <f>IFERROR(__xludf.DUMMYFUNCTION("""COMPUTED_VALUE"""),"Tongue Pot Roast Puerto Rican Style")</f>
        <v>Tongue Pot Roast Puerto Rican Style</v>
      </c>
      <c r="C3259" t="str">
        <f>IFERROR(__xludf.DUMMYFUNCTION("""COMPUTED_VALUE"""),"Meats")</f>
        <v>Meats</v>
      </c>
      <c r="D3259">
        <f>IFERROR(__xludf.DUMMYFUNCTION("""COMPUTED_VALUE"""),317.0)</f>
        <v>317</v>
      </c>
      <c r="E3259">
        <f>IFERROR(__xludf.DUMMYFUNCTION("""COMPUTED_VALUE"""),25.02)</f>
        <v>25.02</v>
      </c>
      <c r="F3259">
        <f>IFERROR(__xludf.DUMMYFUNCTION("""COMPUTED_VALUE"""),21.03)</f>
        <v>21.03</v>
      </c>
      <c r="G3259">
        <f>IFERROR(__xludf.DUMMYFUNCTION("""COMPUTED_VALUE"""),0.34)</f>
        <v>0.34</v>
      </c>
    </row>
    <row r="3260">
      <c r="A3260">
        <f>IFERROR(__xludf.DUMMYFUNCTION("""COMPUTED_VALUE"""),782321.0)</f>
        <v>782321</v>
      </c>
      <c r="B3260" t="str">
        <f>IFERROR(__xludf.DUMMYFUNCTION("""COMPUTED_VALUE"""),"Tripe Cooked")</f>
        <v>Tripe Cooked</v>
      </c>
      <c r="C3260" t="str">
        <f>IFERROR(__xludf.DUMMYFUNCTION("""COMPUTED_VALUE"""),"Meats")</f>
        <v>Meats</v>
      </c>
      <c r="D3260">
        <f>IFERROR(__xludf.DUMMYFUNCTION("""COMPUTED_VALUE"""),89.0)</f>
        <v>89</v>
      </c>
      <c r="E3260">
        <f>IFERROR(__xludf.DUMMYFUNCTION("""COMPUTED_VALUE"""),3.85)</f>
        <v>3.85</v>
      </c>
      <c r="F3260">
        <f>IFERROR(__xludf.DUMMYFUNCTION("""COMPUTED_VALUE"""),12.6)</f>
        <v>12.6</v>
      </c>
      <c r="G3260">
        <f>IFERROR(__xludf.DUMMYFUNCTION("""COMPUTED_VALUE"""),0.0)</f>
        <v>0</v>
      </c>
    </row>
    <row r="3261">
      <c r="A3261">
        <f>IFERROR(__xludf.DUMMYFUNCTION("""COMPUTED_VALUE"""),782322.0)</f>
        <v>782322</v>
      </c>
      <c r="B3261" t="str">
        <f>IFERROR(__xludf.DUMMYFUNCTION("""COMPUTED_VALUE"""),"Chitterlings Cooked")</f>
        <v>Chitterlings Cooked</v>
      </c>
      <c r="C3261" t="str">
        <f>IFERROR(__xludf.DUMMYFUNCTION("""COMPUTED_VALUE"""),"Meats")</f>
        <v>Meats</v>
      </c>
      <c r="D3261">
        <f>IFERROR(__xludf.DUMMYFUNCTION("""COMPUTED_VALUE"""),231.0)</f>
        <v>231</v>
      </c>
      <c r="E3261">
        <f>IFERROR(__xludf.DUMMYFUNCTION("""COMPUTED_VALUE"""),20.15)</f>
        <v>20.15</v>
      </c>
      <c r="F3261">
        <f>IFERROR(__xludf.DUMMYFUNCTION("""COMPUTED_VALUE"""),12.39)</f>
        <v>12.39</v>
      </c>
      <c r="G3261">
        <f>IFERROR(__xludf.DUMMYFUNCTION("""COMPUTED_VALUE"""),0.0)</f>
        <v>0</v>
      </c>
    </row>
    <row r="3262">
      <c r="A3262">
        <f>IFERROR(__xludf.DUMMYFUNCTION("""COMPUTED_VALUE"""),782323.0)</f>
        <v>782323</v>
      </c>
      <c r="B3262" t="str">
        <f>IFERROR(__xludf.DUMMYFUNCTION("""COMPUTED_VALUE"""),"Hog Maws Cooked")</f>
        <v>Hog Maws Cooked</v>
      </c>
      <c r="C3262" t="str">
        <f>IFERROR(__xludf.DUMMYFUNCTION("""COMPUTED_VALUE"""),"Meats")</f>
        <v>Meats</v>
      </c>
      <c r="D3262">
        <f>IFERROR(__xludf.DUMMYFUNCTION("""COMPUTED_VALUE"""),250.0)</f>
        <v>250</v>
      </c>
      <c r="E3262">
        <f>IFERROR(__xludf.DUMMYFUNCTION("""COMPUTED_VALUE"""),15.96)</f>
        <v>15.96</v>
      </c>
      <c r="F3262">
        <f>IFERROR(__xludf.DUMMYFUNCTION("""COMPUTED_VALUE"""),26.52)</f>
        <v>26.52</v>
      </c>
      <c r="G3262">
        <f>IFERROR(__xludf.DUMMYFUNCTION("""COMPUTED_VALUE"""),0.0)</f>
        <v>0</v>
      </c>
    </row>
    <row r="3263">
      <c r="A3263">
        <f>IFERROR(__xludf.DUMMYFUNCTION("""COMPUTED_VALUE"""),782324.0)</f>
        <v>782324</v>
      </c>
      <c r="B3263" t="str">
        <f>IFERROR(__xludf.DUMMYFUNCTION("""COMPUTED_VALUE"""),"Gizzard Cooked")</f>
        <v>Gizzard Cooked</v>
      </c>
      <c r="C3263" t="str">
        <f>IFERROR(__xludf.DUMMYFUNCTION("""COMPUTED_VALUE"""),"Meats")</f>
        <v>Meats</v>
      </c>
      <c r="D3263">
        <f>IFERROR(__xludf.DUMMYFUNCTION("""COMPUTED_VALUE"""),153.0)</f>
        <v>153</v>
      </c>
      <c r="E3263">
        <f>IFERROR(__xludf.DUMMYFUNCTION("""COMPUTED_VALUE"""),2.66)</f>
        <v>2.66</v>
      </c>
      <c r="F3263">
        <f>IFERROR(__xludf.DUMMYFUNCTION("""COMPUTED_VALUE"""),30.14)</f>
        <v>30.14</v>
      </c>
      <c r="G3263">
        <f>IFERROR(__xludf.DUMMYFUNCTION("""COMPUTED_VALUE"""),0.0)</f>
        <v>0</v>
      </c>
    </row>
    <row r="3264">
      <c r="A3264">
        <f>IFERROR(__xludf.DUMMYFUNCTION("""COMPUTED_VALUE"""),782325.0)</f>
        <v>782325</v>
      </c>
      <c r="B3264" t="str">
        <f>IFERROR(__xludf.DUMMYFUNCTION("""COMPUTED_VALUE"""),"Frankfurter Wiener Or Hot Dog Nfs")</f>
        <v>Frankfurter Wiener Or Hot Dog Nfs</v>
      </c>
      <c r="C3264" t="str">
        <f>IFERROR(__xludf.DUMMYFUNCTION("""COMPUTED_VALUE"""),"Meats")</f>
        <v>Meats</v>
      </c>
      <c r="D3264">
        <f>IFERROR(__xludf.DUMMYFUNCTION("""COMPUTED_VALUE"""),332.0)</f>
        <v>332</v>
      </c>
      <c r="E3264">
        <f>IFERROR(__xludf.DUMMYFUNCTION("""COMPUTED_VALUE"""),29.58)</f>
        <v>29.58</v>
      </c>
      <c r="F3264">
        <f>IFERROR(__xludf.DUMMYFUNCTION("""COMPUTED_VALUE"""),12.3)</f>
        <v>12.3</v>
      </c>
      <c r="G3264">
        <f>IFERROR(__xludf.DUMMYFUNCTION("""COMPUTED_VALUE"""),3.13)</f>
        <v>3.13</v>
      </c>
    </row>
    <row r="3265">
      <c r="A3265">
        <f>IFERROR(__xludf.DUMMYFUNCTION("""COMPUTED_VALUE"""),782326.0)</f>
        <v>782326</v>
      </c>
      <c r="B3265" t="str">
        <f>IFERROR(__xludf.DUMMYFUNCTION("""COMPUTED_VALUE"""),"Frankfurter Or Hot Dog Cheese-Filled")</f>
        <v>Frankfurter Or Hot Dog Cheese-Filled</v>
      </c>
      <c r="C3265" t="str">
        <f>IFERROR(__xludf.DUMMYFUNCTION("""COMPUTED_VALUE"""),"Meats")</f>
        <v>Meats</v>
      </c>
      <c r="D3265">
        <f>IFERROR(__xludf.DUMMYFUNCTION("""COMPUTED_VALUE"""),345.0)</f>
        <v>345</v>
      </c>
      <c r="E3265">
        <f>IFERROR(__xludf.DUMMYFUNCTION("""COMPUTED_VALUE"""),30.53)</f>
        <v>30.53</v>
      </c>
      <c r="F3265">
        <f>IFERROR(__xludf.DUMMYFUNCTION("""COMPUTED_VALUE"""),14.84)</f>
        <v>14.84</v>
      </c>
      <c r="G3265">
        <f>IFERROR(__xludf.DUMMYFUNCTION("""COMPUTED_VALUE"""),1.59)</f>
        <v>1.59</v>
      </c>
    </row>
    <row r="3266">
      <c r="A3266">
        <f>IFERROR(__xludf.DUMMYFUNCTION("""COMPUTED_VALUE"""),782327.0)</f>
        <v>782327</v>
      </c>
      <c r="B3266" t="str">
        <f>IFERROR(__xludf.DUMMYFUNCTION("""COMPUTED_VALUE"""),"Frankfurter Or Hot Dog Beef")</f>
        <v>Frankfurter Or Hot Dog Beef</v>
      </c>
      <c r="C3266" t="str">
        <f>IFERROR(__xludf.DUMMYFUNCTION("""COMPUTED_VALUE"""),"Meats")</f>
        <v>Meats</v>
      </c>
      <c r="D3266">
        <f>IFERROR(__xludf.DUMMYFUNCTION("""COMPUTED_VALUE"""),332.0)</f>
        <v>332</v>
      </c>
      <c r="E3266">
        <f>IFERROR(__xludf.DUMMYFUNCTION("""COMPUTED_VALUE"""),29.58)</f>
        <v>29.58</v>
      </c>
      <c r="F3266">
        <f>IFERROR(__xludf.DUMMYFUNCTION("""COMPUTED_VALUE"""),12.3)</f>
        <v>12.3</v>
      </c>
      <c r="G3266">
        <f>IFERROR(__xludf.DUMMYFUNCTION("""COMPUTED_VALUE"""),3.13)</f>
        <v>3.13</v>
      </c>
    </row>
    <row r="3267">
      <c r="A3267">
        <f>IFERROR(__xludf.DUMMYFUNCTION("""COMPUTED_VALUE"""),782328.0)</f>
        <v>782328</v>
      </c>
      <c r="B3267" t="str">
        <f>IFERROR(__xludf.DUMMYFUNCTION("""COMPUTED_VALUE"""),"Frankfurter Or Hot Dog Beef And Pork")</f>
        <v>Frankfurter Or Hot Dog Beef And Pork</v>
      </c>
      <c r="C3267" t="str">
        <f>IFERROR(__xludf.DUMMYFUNCTION("""COMPUTED_VALUE"""),"Meats")</f>
        <v>Meats</v>
      </c>
      <c r="D3267">
        <f>IFERROR(__xludf.DUMMYFUNCTION("""COMPUTED_VALUE"""),292.0)</f>
        <v>292</v>
      </c>
      <c r="E3267">
        <f>IFERROR(__xludf.DUMMYFUNCTION("""COMPUTED_VALUE"""),25.45)</f>
        <v>25.45</v>
      </c>
      <c r="F3267">
        <f>IFERROR(__xludf.DUMMYFUNCTION("""COMPUTED_VALUE"""),10.23)</f>
        <v>10.23</v>
      </c>
      <c r="G3267">
        <f>IFERROR(__xludf.DUMMYFUNCTION("""COMPUTED_VALUE"""),5.28)</f>
        <v>5.28</v>
      </c>
    </row>
    <row r="3268">
      <c r="A3268">
        <f>IFERROR(__xludf.DUMMYFUNCTION("""COMPUTED_VALUE"""),782329.0)</f>
        <v>782329</v>
      </c>
      <c r="B3268" t="str">
        <f>IFERROR(__xludf.DUMMYFUNCTION("""COMPUTED_VALUE"""),"Frankfurter Or Hot Dog Beef And Pork Reduced Fat Or Light")</f>
        <v>Frankfurter Or Hot Dog Beef And Pork Reduced Fat Or Light</v>
      </c>
      <c r="C3268" t="str">
        <f>IFERROR(__xludf.DUMMYFUNCTION("""COMPUTED_VALUE"""),"Meats")</f>
        <v>Meats</v>
      </c>
      <c r="D3268">
        <f>IFERROR(__xludf.DUMMYFUNCTION("""COMPUTED_VALUE"""),292.0)</f>
        <v>292</v>
      </c>
      <c r="E3268">
        <f>IFERROR(__xludf.DUMMYFUNCTION("""COMPUTED_VALUE"""),25.45)</f>
        <v>25.45</v>
      </c>
      <c r="F3268">
        <f>IFERROR(__xludf.DUMMYFUNCTION("""COMPUTED_VALUE"""),10.23)</f>
        <v>10.23</v>
      </c>
      <c r="G3268">
        <f>IFERROR(__xludf.DUMMYFUNCTION("""COMPUTED_VALUE"""),5.28)</f>
        <v>5.28</v>
      </c>
    </row>
    <row r="3269">
      <c r="A3269">
        <f>IFERROR(__xludf.DUMMYFUNCTION("""COMPUTED_VALUE"""),782330.0)</f>
        <v>782330</v>
      </c>
      <c r="B3269" t="str">
        <f>IFERROR(__xludf.DUMMYFUNCTION("""COMPUTED_VALUE"""),"Frankfurter Or Hot Dog Meat And Poultry Fat Free")</f>
        <v>Frankfurter Or Hot Dog Meat And Poultry Fat Free</v>
      </c>
      <c r="C3269" t="str">
        <f>IFERROR(__xludf.DUMMYFUNCTION("""COMPUTED_VALUE"""),"Meats")</f>
        <v>Meats</v>
      </c>
      <c r="D3269">
        <f>IFERROR(__xludf.DUMMYFUNCTION("""COMPUTED_VALUE"""),115.0)</f>
        <v>115</v>
      </c>
      <c r="E3269">
        <f>IFERROR(__xludf.DUMMYFUNCTION("""COMPUTED_VALUE"""),1.67)</f>
        <v>1.67</v>
      </c>
      <c r="F3269">
        <f>IFERROR(__xludf.DUMMYFUNCTION("""COMPUTED_VALUE"""),13.16)</f>
        <v>13.16</v>
      </c>
      <c r="G3269">
        <f>IFERROR(__xludf.DUMMYFUNCTION("""COMPUTED_VALUE"""),11.8)</f>
        <v>11.8</v>
      </c>
    </row>
    <row r="3270">
      <c r="A3270">
        <f>IFERROR(__xludf.DUMMYFUNCTION("""COMPUTED_VALUE"""),782331.0)</f>
        <v>782331</v>
      </c>
      <c r="B3270" t="str">
        <f>IFERROR(__xludf.DUMMYFUNCTION("""COMPUTED_VALUE"""),"Frankfurter Or Hot Dog Meat And Poultry")</f>
        <v>Frankfurter Or Hot Dog Meat And Poultry</v>
      </c>
      <c r="C3270" t="str">
        <f>IFERROR(__xludf.DUMMYFUNCTION("""COMPUTED_VALUE"""),"Meats")</f>
        <v>Meats</v>
      </c>
      <c r="D3270">
        <f>IFERROR(__xludf.DUMMYFUNCTION("""COMPUTED_VALUE"""),292.0)</f>
        <v>292</v>
      </c>
      <c r="E3270">
        <f>IFERROR(__xludf.DUMMYFUNCTION("""COMPUTED_VALUE"""),25.45)</f>
        <v>25.45</v>
      </c>
      <c r="F3270">
        <f>IFERROR(__xludf.DUMMYFUNCTION("""COMPUTED_VALUE"""),10.23)</f>
        <v>10.23</v>
      </c>
      <c r="G3270">
        <f>IFERROR(__xludf.DUMMYFUNCTION("""COMPUTED_VALUE"""),5.28)</f>
        <v>5.28</v>
      </c>
    </row>
    <row r="3271">
      <c r="A3271">
        <f>IFERROR(__xludf.DUMMYFUNCTION("""COMPUTED_VALUE"""),782332.0)</f>
        <v>782332</v>
      </c>
      <c r="B3271" t="str">
        <f>IFERROR(__xludf.DUMMYFUNCTION("""COMPUTED_VALUE"""),"Frankfurter Or Hot Dog Meat And Poultry Reduced Fat Or Light")</f>
        <v>Frankfurter Or Hot Dog Meat And Poultry Reduced Fat Or Light</v>
      </c>
      <c r="C3271" t="str">
        <f>IFERROR(__xludf.DUMMYFUNCTION("""COMPUTED_VALUE"""),"Meats")</f>
        <v>Meats</v>
      </c>
      <c r="D3271">
        <f>IFERROR(__xludf.DUMMYFUNCTION("""COMPUTED_VALUE"""),127.0)</f>
        <v>127</v>
      </c>
      <c r="E3271">
        <f>IFERROR(__xludf.DUMMYFUNCTION("""COMPUTED_VALUE"""),2.95)</f>
        <v>2.95</v>
      </c>
      <c r="F3271">
        <f>IFERROR(__xludf.DUMMYFUNCTION("""COMPUTED_VALUE"""),16.32)</f>
        <v>16.32</v>
      </c>
      <c r="G3271">
        <f>IFERROR(__xludf.DUMMYFUNCTION("""COMPUTED_VALUE"""),8.84)</f>
        <v>8.84</v>
      </c>
    </row>
    <row r="3272">
      <c r="A3272">
        <f>IFERROR(__xludf.DUMMYFUNCTION("""COMPUTED_VALUE"""),782333.0)</f>
        <v>782333</v>
      </c>
      <c r="B3272" t="str">
        <f>IFERROR(__xludf.DUMMYFUNCTION("""COMPUTED_VALUE"""),"Frankfurter Or Hot Dog Chicken")</f>
        <v>Frankfurter Or Hot Dog Chicken</v>
      </c>
      <c r="C3272" t="str">
        <f>IFERROR(__xludf.DUMMYFUNCTION("""COMPUTED_VALUE"""),"Meats")</f>
        <v>Meats</v>
      </c>
      <c r="D3272">
        <f>IFERROR(__xludf.DUMMYFUNCTION("""COMPUTED_VALUE"""),235.0)</f>
        <v>235</v>
      </c>
      <c r="E3272">
        <f>IFERROR(__xludf.DUMMYFUNCTION("""COMPUTED_VALUE"""),17.04)</f>
        <v>17.04</v>
      </c>
      <c r="F3272">
        <f>IFERROR(__xludf.DUMMYFUNCTION("""COMPUTED_VALUE"""),16.33)</f>
        <v>16.33</v>
      </c>
      <c r="G3272">
        <f>IFERROR(__xludf.DUMMYFUNCTION("""COMPUTED_VALUE"""),2.88)</f>
        <v>2.88</v>
      </c>
    </row>
    <row r="3273">
      <c r="A3273">
        <f>IFERROR(__xludf.DUMMYFUNCTION("""COMPUTED_VALUE"""),782334.0)</f>
        <v>782334</v>
      </c>
      <c r="B3273" t="str">
        <f>IFERROR(__xludf.DUMMYFUNCTION("""COMPUTED_VALUE"""),"Frankfurter Or Hot Dog Turkey")</f>
        <v>Frankfurter Or Hot Dog Turkey</v>
      </c>
      <c r="C3273" t="str">
        <f>IFERROR(__xludf.DUMMYFUNCTION("""COMPUTED_VALUE"""),"Meats")</f>
        <v>Meats</v>
      </c>
      <c r="D3273">
        <f>IFERROR(__xludf.DUMMYFUNCTION("""COMPUTED_VALUE"""),235.0)</f>
        <v>235</v>
      </c>
      <c r="E3273">
        <f>IFERROR(__xludf.DUMMYFUNCTION("""COMPUTED_VALUE"""),18.2)</f>
        <v>18.2</v>
      </c>
      <c r="F3273">
        <f>IFERROR(__xludf.DUMMYFUNCTION("""COMPUTED_VALUE"""),12.87)</f>
        <v>12.87</v>
      </c>
      <c r="G3273">
        <f>IFERROR(__xludf.DUMMYFUNCTION("""COMPUTED_VALUE"""),4.01)</f>
        <v>4.01</v>
      </c>
    </row>
    <row r="3274">
      <c r="A3274">
        <f>IFERROR(__xludf.DUMMYFUNCTION("""COMPUTED_VALUE"""),782335.0)</f>
        <v>782335</v>
      </c>
      <c r="B3274" t="str">
        <f>IFERROR(__xludf.DUMMYFUNCTION("""COMPUTED_VALUE"""),"Frankfurter Or Hot Dog Beef Reduced Fat Or Light")</f>
        <v>Frankfurter Or Hot Dog Beef Reduced Fat Or Light</v>
      </c>
      <c r="C3274" t="str">
        <f>IFERROR(__xludf.DUMMYFUNCTION("""COMPUTED_VALUE"""),"Meats")</f>
        <v>Meats</v>
      </c>
      <c r="D3274">
        <f>IFERROR(__xludf.DUMMYFUNCTION("""COMPUTED_VALUE"""),127.0)</f>
        <v>127</v>
      </c>
      <c r="E3274">
        <f>IFERROR(__xludf.DUMMYFUNCTION("""COMPUTED_VALUE"""),2.95)</f>
        <v>2.95</v>
      </c>
      <c r="F3274">
        <f>IFERROR(__xludf.DUMMYFUNCTION("""COMPUTED_VALUE"""),16.32)</f>
        <v>16.32</v>
      </c>
      <c r="G3274">
        <f>IFERROR(__xludf.DUMMYFUNCTION("""COMPUTED_VALUE"""),8.84)</f>
        <v>8.84</v>
      </c>
    </row>
    <row r="3275">
      <c r="A3275">
        <f>IFERROR(__xludf.DUMMYFUNCTION("""COMPUTED_VALUE"""),782336.0)</f>
        <v>782336</v>
      </c>
      <c r="B3275" t="str">
        <f>IFERROR(__xludf.DUMMYFUNCTION("""COMPUTED_VALUE"""),"Frankfurter Or Hot Dog Reduced Fat Or Light Nfs")</f>
        <v>Frankfurter Or Hot Dog Reduced Fat Or Light Nfs</v>
      </c>
      <c r="C3275" t="str">
        <f>IFERROR(__xludf.DUMMYFUNCTION("""COMPUTED_VALUE"""),"Meats")</f>
        <v>Meats</v>
      </c>
      <c r="D3275">
        <f>IFERROR(__xludf.DUMMYFUNCTION("""COMPUTED_VALUE"""),127.0)</f>
        <v>127</v>
      </c>
      <c r="E3275">
        <f>IFERROR(__xludf.DUMMYFUNCTION("""COMPUTED_VALUE"""),2.95)</f>
        <v>2.95</v>
      </c>
      <c r="F3275">
        <f>IFERROR(__xludf.DUMMYFUNCTION("""COMPUTED_VALUE"""),16.32)</f>
        <v>16.32</v>
      </c>
      <c r="G3275">
        <f>IFERROR(__xludf.DUMMYFUNCTION("""COMPUTED_VALUE"""),8.84)</f>
        <v>8.84</v>
      </c>
    </row>
    <row r="3276">
      <c r="A3276">
        <f>IFERROR(__xludf.DUMMYFUNCTION("""COMPUTED_VALUE"""),782337.0)</f>
        <v>782337</v>
      </c>
      <c r="B3276" t="str">
        <f>IFERROR(__xludf.DUMMYFUNCTION("""COMPUTED_VALUE"""),"Beef Sausage")</f>
        <v>Beef Sausage</v>
      </c>
      <c r="C3276" t="str">
        <f>IFERROR(__xludf.DUMMYFUNCTION("""COMPUTED_VALUE"""),"Meats")</f>
        <v>Meats</v>
      </c>
      <c r="D3276">
        <f>IFERROR(__xludf.DUMMYFUNCTION("""COMPUTED_VALUE"""),405.0)</f>
        <v>405</v>
      </c>
      <c r="E3276">
        <f>IFERROR(__xludf.DUMMYFUNCTION("""COMPUTED_VALUE"""),37.57)</f>
        <v>37.57</v>
      </c>
      <c r="F3276">
        <f>IFERROR(__xludf.DUMMYFUNCTION("""COMPUTED_VALUE"""),15.5)</f>
        <v>15.5</v>
      </c>
      <c r="G3276">
        <f>IFERROR(__xludf.DUMMYFUNCTION("""COMPUTED_VALUE"""),0.03)</f>
        <v>0.03</v>
      </c>
    </row>
    <row r="3277">
      <c r="A3277">
        <f>IFERROR(__xludf.DUMMYFUNCTION("""COMPUTED_VALUE"""),782340.0)</f>
        <v>782340</v>
      </c>
      <c r="B3277" t="str">
        <f>IFERROR(__xludf.DUMMYFUNCTION("""COMPUTED_VALUE"""),"Beef Sausage With Cheese")</f>
        <v>Beef Sausage With Cheese</v>
      </c>
      <c r="C3277" t="str">
        <f>IFERROR(__xludf.DUMMYFUNCTION("""COMPUTED_VALUE"""),"Meats")</f>
        <v>Meats</v>
      </c>
      <c r="D3277">
        <f>IFERROR(__xludf.DUMMYFUNCTION("""COMPUTED_VALUE"""),402.0)</f>
        <v>402</v>
      </c>
      <c r="E3277">
        <f>IFERROR(__xludf.DUMMYFUNCTION("""COMPUTED_VALUE"""),36.99)</f>
        <v>36.99</v>
      </c>
      <c r="F3277">
        <f>IFERROR(__xludf.DUMMYFUNCTION("""COMPUTED_VALUE"""),15.76)</f>
        <v>15.76</v>
      </c>
      <c r="G3277">
        <f>IFERROR(__xludf.DUMMYFUNCTION("""COMPUTED_VALUE"""),0.4)</f>
        <v>0.4</v>
      </c>
    </row>
    <row r="3278">
      <c r="A3278">
        <f>IFERROR(__xludf.DUMMYFUNCTION("""COMPUTED_VALUE"""),782343.0)</f>
        <v>782343</v>
      </c>
      <c r="B3278" t="str">
        <f>IFERROR(__xludf.DUMMYFUNCTION("""COMPUTED_VALUE"""),"Bratwurst With Cheese")</f>
        <v>Bratwurst With Cheese</v>
      </c>
      <c r="C3278" t="str">
        <f>IFERROR(__xludf.DUMMYFUNCTION("""COMPUTED_VALUE"""),"Meats")</f>
        <v>Meats</v>
      </c>
      <c r="D3278">
        <f>IFERROR(__xludf.DUMMYFUNCTION("""COMPUTED_VALUE"""),337.0)</f>
        <v>337</v>
      </c>
      <c r="E3278">
        <f>IFERROR(__xludf.DUMMYFUNCTION("""COMPUTED_VALUE"""),29.44)</f>
        <v>29.44</v>
      </c>
      <c r="F3278">
        <f>IFERROR(__xludf.DUMMYFUNCTION("""COMPUTED_VALUE"""),14.16)</f>
        <v>14.16</v>
      </c>
      <c r="G3278">
        <f>IFERROR(__xludf.DUMMYFUNCTION("""COMPUTED_VALUE"""),2.94)</f>
        <v>2.94</v>
      </c>
    </row>
    <row r="3279">
      <c r="A3279">
        <f>IFERROR(__xludf.DUMMYFUNCTION("""COMPUTED_VALUE"""),782348.0)</f>
        <v>782348</v>
      </c>
      <c r="B3279" t="str">
        <f>IFERROR(__xludf.DUMMYFUNCTION("""COMPUTED_VALUE"""),"Turkey Or Chicken And Beef Sausage")</f>
        <v>Turkey Or Chicken And Beef Sausage</v>
      </c>
      <c r="C3279" t="str">
        <f>IFERROR(__xludf.DUMMYFUNCTION("""COMPUTED_VALUE"""),"Meats")</f>
        <v>Meats</v>
      </c>
      <c r="D3279">
        <f>IFERROR(__xludf.DUMMYFUNCTION("""COMPUTED_VALUE"""),268.0)</f>
        <v>268</v>
      </c>
      <c r="E3279">
        <f>IFERROR(__xludf.DUMMYFUNCTION("""COMPUTED_VALUE"""),19.14)</f>
        <v>19.14</v>
      </c>
      <c r="F3279">
        <f>IFERROR(__xludf.DUMMYFUNCTION("""COMPUTED_VALUE"""),17.6)</f>
        <v>17.6</v>
      </c>
      <c r="G3279">
        <f>IFERROR(__xludf.DUMMYFUNCTION("""COMPUTED_VALUE"""),5.64)</f>
        <v>5.64</v>
      </c>
    </row>
    <row r="3280">
      <c r="A3280">
        <f>IFERROR(__xludf.DUMMYFUNCTION("""COMPUTED_VALUE"""),782359.0)</f>
        <v>782359</v>
      </c>
      <c r="B3280" t="str">
        <f>IFERROR(__xludf.DUMMYFUNCTION("""COMPUTED_VALUE"""),"Italian Sausage")</f>
        <v>Italian Sausage</v>
      </c>
      <c r="C3280" t="str">
        <f>IFERROR(__xludf.DUMMYFUNCTION("""COMPUTED_VALUE"""),"Meats")</f>
        <v>Meats</v>
      </c>
      <c r="D3280">
        <f>IFERROR(__xludf.DUMMYFUNCTION("""COMPUTED_VALUE"""),344.0)</f>
        <v>344</v>
      </c>
      <c r="E3280">
        <f>IFERROR(__xludf.DUMMYFUNCTION("""COMPUTED_VALUE"""),27.31)</f>
        <v>27.31</v>
      </c>
      <c r="F3280">
        <f>IFERROR(__xludf.DUMMYFUNCTION("""COMPUTED_VALUE"""),19.12)</f>
        <v>19.12</v>
      </c>
      <c r="G3280">
        <f>IFERROR(__xludf.DUMMYFUNCTION("""COMPUTED_VALUE"""),4.27)</f>
        <v>4.27</v>
      </c>
    </row>
    <row r="3281">
      <c r="A3281">
        <f>IFERROR(__xludf.DUMMYFUNCTION("""COMPUTED_VALUE"""),782369.0)</f>
        <v>782369</v>
      </c>
      <c r="B3281" t="str">
        <f>IFERROR(__xludf.DUMMYFUNCTION("""COMPUTED_VALUE"""),"Scrapple Cooked")</f>
        <v>Scrapple Cooked</v>
      </c>
      <c r="C3281" t="str">
        <f>IFERROR(__xludf.DUMMYFUNCTION("""COMPUTED_VALUE"""),"Meats")</f>
        <v>Meats</v>
      </c>
      <c r="D3281">
        <f>IFERROR(__xludf.DUMMYFUNCTION("""COMPUTED_VALUE"""),227.0)</f>
        <v>227</v>
      </c>
      <c r="E3281">
        <f>IFERROR(__xludf.DUMMYFUNCTION("""COMPUTED_VALUE"""),14.76)</f>
        <v>14.76</v>
      </c>
      <c r="F3281">
        <f>IFERROR(__xludf.DUMMYFUNCTION("""COMPUTED_VALUE"""),8.57)</f>
        <v>8.57</v>
      </c>
      <c r="G3281">
        <f>IFERROR(__xludf.DUMMYFUNCTION("""COMPUTED_VALUE"""),14.96)</f>
        <v>14.96</v>
      </c>
    </row>
    <row r="3282">
      <c r="A3282">
        <f>IFERROR(__xludf.DUMMYFUNCTION("""COMPUTED_VALUE"""),782377.0)</f>
        <v>782377</v>
      </c>
      <c r="B3282" t="str">
        <f>IFERROR(__xludf.DUMMYFUNCTION("""COMPUTED_VALUE"""),"Pickled Sausage")</f>
        <v>Pickled Sausage</v>
      </c>
      <c r="C3282" t="str">
        <f>IFERROR(__xludf.DUMMYFUNCTION("""COMPUTED_VALUE"""),"Meats")</f>
        <v>Meats</v>
      </c>
      <c r="D3282">
        <f>IFERROR(__xludf.DUMMYFUNCTION("""COMPUTED_VALUE"""),393.0)</f>
        <v>393</v>
      </c>
      <c r="E3282">
        <f>IFERROR(__xludf.DUMMYFUNCTION("""COMPUTED_VALUE"""),35.96)</f>
        <v>35.96</v>
      </c>
      <c r="F3282">
        <f>IFERROR(__xludf.DUMMYFUNCTION("""COMPUTED_VALUE"""),13.69)</f>
        <v>13.69</v>
      </c>
      <c r="G3282">
        <f>IFERROR(__xludf.DUMMYFUNCTION("""COMPUTED_VALUE"""),2.68)</f>
        <v>2.68</v>
      </c>
    </row>
    <row r="3283">
      <c r="A3283">
        <f>IFERROR(__xludf.DUMMYFUNCTION("""COMPUTED_VALUE"""),782383.0)</f>
        <v>782383</v>
      </c>
      <c r="B3283" t="str">
        <f>IFERROR(__xludf.DUMMYFUNCTION("""COMPUTED_VALUE"""),"Ham Luncheon Meat Loaf Type")</f>
        <v>Ham Luncheon Meat Loaf Type</v>
      </c>
      <c r="C3283" t="str">
        <f>IFERROR(__xludf.DUMMYFUNCTION("""COMPUTED_VALUE"""),"Meats")</f>
        <v>Meats</v>
      </c>
      <c r="D3283">
        <f>IFERROR(__xludf.DUMMYFUNCTION("""COMPUTED_VALUE"""),180.0)</f>
        <v>180</v>
      </c>
      <c r="E3283">
        <f>IFERROR(__xludf.DUMMYFUNCTION("""COMPUTED_VALUE"""),10.3)</f>
        <v>10.3</v>
      </c>
      <c r="F3283">
        <f>IFERROR(__xludf.DUMMYFUNCTION("""COMPUTED_VALUE"""),16.5)</f>
        <v>16.5</v>
      </c>
      <c r="G3283">
        <f>IFERROR(__xludf.DUMMYFUNCTION("""COMPUTED_VALUE"""),4.2)</f>
        <v>4.2</v>
      </c>
    </row>
    <row r="3284">
      <c r="A3284">
        <f>IFERROR(__xludf.DUMMYFUNCTION("""COMPUTED_VALUE"""),782391.0)</f>
        <v>782391</v>
      </c>
      <c r="B3284" t="str">
        <f>IFERROR(__xludf.DUMMYFUNCTION("""COMPUTED_VALUE"""),"Turkey Ham Prepackaged Or Deli Luncheon Meat")</f>
        <v>Turkey Ham Prepackaged Or Deli Luncheon Meat</v>
      </c>
      <c r="C3284" t="str">
        <f>IFERROR(__xludf.DUMMYFUNCTION("""COMPUTED_VALUE"""),"Meats")</f>
        <v>Meats</v>
      </c>
      <c r="D3284">
        <f>IFERROR(__xludf.DUMMYFUNCTION("""COMPUTED_VALUE"""),124.0)</f>
        <v>124</v>
      </c>
      <c r="E3284">
        <f>IFERROR(__xludf.DUMMYFUNCTION("""COMPUTED_VALUE"""),3.8)</f>
        <v>3.8</v>
      </c>
      <c r="F3284">
        <f>IFERROR(__xludf.DUMMYFUNCTION("""COMPUTED_VALUE"""),19.6)</f>
        <v>19.6</v>
      </c>
      <c r="G3284">
        <f>IFERROR(__xludf.DUMMYFUNCTION("""COMPUTED_VALUE"""),2.93)</f>
        <v>2.93</v>
      </c>
    </row>
    <row r="3285">
      <c r="A3285">
        <f>IFERROR(__xludf.DUMMYFUNCTION("""COMPUTED_VALUE"""),782397.0)</f>
        <v>782397</v>
      </c>
      <c r="B3285" t="str">
        <f>IFERROR(__xludf.DUMMYFUNCTION("""COMPUTED_VALUE"""),"Fish Ns As To Type Raw")</f>
        <v>Fish Ns As To Type Raw</v>
      </c>
      <c r="C3285" t="str">
        <f>IFERROR(__xludf.DUMMYFUNCTION("""COMPUTED_VALUE"""),"Fish")</f>
        <v>Fish</v>
      </c>
      <c r="D3285">
        <f>IFERROR(__xludf.DUMMYFUNCTION("""COMPUTED_VALUE"""),109.0)</f>
        <v>109</v>
      </c>
      <c r="E3285">
        <f>IFERROR(__xludf.DUMMYFUNCTION("""COMPUTED_VALUE"""),3.57)</f>
        <v>3.57</v>
      </c>
      <c r="F3285">
        <f>IFERROR(__xludf.DUMMYFUNCTION("""COMPUTED_VALUE"""),18.12)</f>
        <v>18.12</v>
      </c>
      <c r="G3285">
        <f>IFERROR(__xludf.DUMMYFUNCTION("""COMPUTED_VALUE"""),0.0)</f>
        <v>0</v>
      </c>
    </row>
    <row r="3286">
      <c r="A3286">
        <f>IFERROR(__xludf.DUMMYFUNCTION("""COMPUTED_VALUE"""),782398.0)</f>
        <v>782398</v>
      </c>
      <c r="B3286" t="str">
        <f>IFERROR(__xludf.DUMMYFUNCTION("""COMPUTED_VALUE"""),"Fish Ns As To Type Cooked Ns As To Cooking Method")</f>
        <v>Fish Ns As To Type Cooked Ns As To Cooking Method</v>
      </c>
      <c r="C3286" t="str">
        <f>IFERROR(__xludf.DUMMYFUNCTION("""COMPUTED_VALUE"""),"Fish")</f>
        <v>Fish</v>
      </c>
      <c r="D3286">
        <f>IFERROR(__xludf.DUMMYFUNCTION("""COMPUTED_VALUE"""),166.0)</f>
        <v>166</v>
      </c>
      <c r="E3286">
        <f>IFERROR(__xludf.DUMMYFUNCTION("""COMPUTED_VALUE"""),8.04)</f>
        <v>8.04</v>
      </c>
      <c r="F3286">
        <f>IFERROR(__xludf.DUMMYFUNCTION("""COMPUTED_VALUE"""),22.16)</f>
        <v>22.16</v>
      </c>
      <c r="G3286">
        <f>IFERROR(__xludf.DUMMYFUNCTION("""COMPUTED_VALUE"""),0.1)</f>
        <v>0.1</v>
      </c>
    </row>
    <row r="3287">
      <c r="A3287">
        <f>IFERROR(__xludf.DUMMYFUNCTION("""COMPUTED_VALUE"""),782399.0)</f>
        <v>782399</v>
      </c>
      <c r="B3287" t="str">
        <f>IFERROR(__xludf.DUMMYFUNCTION("""COMPUTED_VALUE"""),"Fish Ns As To Type Baked Or Broiled Made With Oil")</f>
        <v>Fish Ns As To Type Baked Or Broiled Made With Oil</v>
      </c>
      <c r="C3287" t="str">
        <f>IFERROR(__xludf.DUMMYFUNCTION("""COMPUTED_VALUE"""),"Fish")</f>
        <v>Fish</v>
      </c>
      <c r="D3287">
        <f>IFERROR(__xludf.DUMMYFUNCTION("""COMPUTED_VALUE"""),166.0)</f>
        <v>166</v>
      </c>
      <c r="E3287">
        <f>IFERROR(__xludf.DUMMYFUNCTION("""COMPUTED_VALUE"""),8.04)</f>
        <v>8.04</v>
      </c>
      <c r="F3287">
        <f>IFERROR(__xludf.DUMMYFUNCTION("""COMPUTED_VALUE"""),22.16)</f>
        <v>22.16</v>
      </c>
      <c r="G3287">
        <f>IFERROR(__xludf.DUMMYFUNCTION("""COMPUTED_VALUE"""),0.1)</f>
        <v>0.1</v>
      </c>
    </row>
    <row r="3288">
      <c r="A3288">
        <f>IFERROR(__xludf.DUMMYFUNCTION("""COMPUTED_VALUE"""),782400.0)</f>
        <v>782400</v>
      </c>
      <c r="B3288" t="str">
        <f>IFERROR(__xludf.DUMMYFUNCTION("""COMPUTED_VALUE"""),"Fish Ns As To Type Baked Or Broiled Made With Butter")</f>
        <v>Fish Ns As To Type Baked Or Broiled Made With Butter</v>
      </c>
      <c r="C3288" t="str">
        <f>IFERROR(__xludf.DUMMYFUNCTION("""COMPUTED_VALUE"""),"Fish")</f>
        <v>Fish</v>
      </c>
      <c r="D3288">
        <f>IFERROR(__xludf.DUMMYFUNCTION("""COMPUTED_VALUE"""),160.0)</f>
        <v>160</v>
      </c>
      <c r="E3288">
        <f>IFERROR(__xludf.DUMMYFUNCTION("""COMPUTED_VALUE"""),7.46)</f>
        <v>7.46</v>
      </c>
      <c r="F3288">
        <f>IFERROR(__xludf.DUMMYFUNCTION("""COMPUTED_VALUE"""),22.17)</f>
        <v>22.17</v>
      </c>
      <c r="G3288">
        <f>IFERROR(__xludf.DUMMYFUNCTION("""COMPUTED_VALUE"""),0.1)</f>
        <v>0.1</v>
      </c>
    </row>
    <row r="3289">
      <c r="A3289">
        <f>IFERROR(__xludf.DUMMYFUNCTION("""COMPUTED_VALUE"""),782401.0)</f>
        <v>782401</v>
      </c>
      <c r="B3289" t="str">
        <f>IFERROR(__xludf.DUMMYFUNCTION("""COMPUTED_VALUE"""),"Fish Ns As To Type Baked Or Broiled Made With Margarine")</f>
        <v>Fish Ns As To Type Baked Or Broiled Made With Margarine</v>
      </c>
      <c r="C3289" t="str">
        <f>IFERROR(__xludf.DUMMYFUNCTION("""COMPUTED_VALUE"""),"Fish")</f>
        <v>Fish</v>
      </c>
      <c r="D3289">
        <f>IFERROR(__xludf.DUMMYFUNCTION("""COMPUTED_VALUE"""),153.0)</f>
        <v>153</v>
      </c>
      <c r="E3289">
        <f>IFERROR(__xludf.DUMMYFUNCTION("""COMPUTED_VALUE"""),6.67)</f>
        <v>6.67</v>
      </c>
      <c r="F3289">
        <f>IFERROR(__xludf.DUMMYFUNCTION("""COMPUTED_VALUE"""),22.14)</f>
        <v>22.14</v>
      </c>
      <c r="G3289">
        <f>IFERROR(__xludf.DUMMYFUNCTION("""COMPUTED_VALUE"""),0.13)</f>
        <v>0.13</v>
      </c>
    </row>
    <row r="3290">
      <c r="A3290">
        <f>IFERROR(__xludf.DUMMYFUNCTION("""COMPUTED_VALUE"""),782402.0)</f>
        <v>782402</v>
      </c>
      <c r="B3290" t="str">
        <f>IFERROR(__xludf.DUMMYFUNCTION("""COMPUTED_VALUE"""),"Fish Ns As To Type Baked Or Broiled Made Without Fat")</f>
        <v>Fish Ns As To Type Baked Or Broiled Made Without Fat</v>
      </c>
      <c r="C3290" t="str">
        <f>IFERROR(__xludf.DUMMYFUNCTION("""COMPUTED_VALUE"""),"Fish")</f>
        <v>Fish</v>
      </c>
      <c r="D3290">
        <f>IFERROR(__xludf.DUMMYFUNCTION("""COMPUTED_VALUE"""),137.0)</f>
        <v>137</v>
      </c>
      <c r="E3290">
        <f>IFERROR(__xludf.DUMMYFUNCTION("""COMPUTED_VALUE"""),4.5)</f>
        <v>4.5</v>
      </c>
      <c r="F3290">
        <f>IFERROR(__xludf.DUMMYFUNCTION("""COMPUTED_VALUE"""),22.82)</f>
        <v>22.82</v>
      </c>
      <c r="G3290">
        <f>IFERROR(__xludf.DUMMYFUNCTION("""COMPUTED_VALUE"""),0.1)</f>
        <v>0.1</v>
      </c>
    </row>
    <row r="3291">
      <c r="A3291">
        <f>IFERROR(__xludf.DUMMYFUNCTION("""COMPUTED_VALUE"""),782403.0)</f>
        <v>782403</v>
      </c>
      <c r="B3291" t="str">
        <f>IFERROR(__xludf.DUMMYFUNCTION("""COMPUTED_VALUE"""),"Fish Ns As To Type Baked Or Broiled Made With Cooking Spray")</f>
        <v>Fish Ns As To Type Baked Or Broiled Made With Cooking Spray</v>
      </c>
      <c r="C3291" t="str">
        <f>IFERROR(__xludf.DUMMYFUNCTION("""COMPUTED_VALUE"""),"Fish")</f>
        <v>Fish</v>
      </c>
      <c r="D3291">
        <f>IFERROR(__xludf.DUMMYFUNCTION("""COMPUTED_VALUE"""),140.0)</f>
        <v>140</v>
      </c>
      <c r="E3291">
        <f>IFERROR(__xludf.DUMMYFUNCTION("""COMPUTED_VALUE"""),4.87)</f>
        <v>4.87</v>
      </c>
      <c r="F3291">
        <f>IFERROR(__xludf.DUMMYFUNCTION("""COMPUTED_VALUE"""),22.73)</f>
        <v>22.73</v>
      </c>
      <c r="G3291">
        <f>IFERROR(__xludf.DUMMYFUNCTION("""COMPUTED_VALUE"""),0.2)</f>
        <v>0.2</v>
      </c>
    </row>
    <row r="3292">
      <c r="A3292">
        <f>IFERROR(__xludf.DUMMYFUNCTION("""COMPUTED_VALUE"""),782404.0)</f>
        <v>782404</v>
      </c>
      <c r="B3292" t="str">
        <f>IFERROR(__xludf.DUMMYFUNCTION("""COMPUTED_VALUE"""),"Fish Ns As To Type Coated Baked Or Broiled Made With Oil")</f>
        <v>Fish Ns As To Type Coated Baked Or Broiled Made With Oil</v>
      </c>
      <c r="C3292" t="str">
        <f>IFERROR(__xludf.DUMMYFUNCTION("""COMPUTED_VALUE"""),"Fish")</f>
        <v>Fish</v>
      </c>
      <c r="D3292">
        <f>IFERROR(__xludf.DUMMYFUNCTION("""COMPUTED_VALUE"""),218.0)</f>
        <v>218</v>
      </c>
      <c r="E3292">
        <f>IFERROR(__xludf.DUMMYFUNCTION("""COMPUTED_VALUE"""),9.68)</f>
        <v>9.68</v>
      </c>
      <c r="F3292">
        <f>IFERROR(__xludf.DUMMYFUNCTION("""COMPUTED_VALUE"""),19.21)</f>
        <v>19.21</v>
      </c>
      <c r="G3292">
        <f>IFERROR(__xludf.DUMMYFUNCTION("""COMPUTED_VALUE"""),12.52)</f>
        <v>12.52</v>
      </c>
    </row>
    <row r="3293">
      <c r="A3293">
        <f>IFERROR(__xludf.DUMMYFUNCTION("""COMPUTED_VALUE"""),782405.0)</f>
        <v>782405</v>
      </c>
      <c r="B3293" t="str">
        <f>IFERROR(__xludf.DUMMYFUNCTION("""COMPUTED_VALUE"""),"Fish Ns As To Type Coated Baked Or Broiled Made With Butter")</f>
        <v>Fish Ns As To Type Coated Baked Or Broiled Made With Butter</v>
      </c>
      <c r="C3293" t="str">
        <f>IFERROR(__xludf.DUMMYFUNCTION("""COMPUTED_VALUE"""),"Fish")</f>
        <v>Fish</v>
      </c>
      <c r="D3293">
        <f>IFERROR(__xludf.DUMMYFUNCTION("""COMPUTED_VALUE"""),210.0)</f>
        <v>210</v>
      </c>
      <c r="E3293">
        <f>IFERROR(__xludf.DUMMYFUNCTION("""COMPUTED_VALUE"""),8.79)</f>
        <v>8.79</v>
      </c>
      <c r="F3293">
        <f>IFERROR(__xludf.DUMMYFUNCTION("""COMPUTED_VALUE"""),19.22)</f>
        <v>19.22</v>
      </c>
      <c r="G3293">
        <f>IFERROR(__xludf.DUMMYFUNCTION("""COMPUTED_VALUE"""),12.5)</f>
        <v>12.5</v>
      </c>
    </row>
    <row r="3294">
      <c r="A3294">
        <f>IFERROR(__xludf.DUMMYFUNCTION("""COMPUTED_VALUE"""),782406.0)</f>
        <v>782406</v>
      </c>
      <c r="B3294" t="str">
        <f>IFERROR(__xludf.DUMMYFUNCTION("""COMPUTED_VALUE"""),"Fish Ns As To Type Coated Baked Or Broiled Made With Margarine")</f>
        <v>Fish Ns As To Type Coated Baked Or Broiled Made With Margarine</v>
      </c>
      <c r="C3294" t="str">
        <f>IFERROR(__xludf.DUMMYFUNCTION("""COMPUTED_VALUE"""),"Fish")</f>
        <v>Fish</v>
      </c>
      <c r="D3294">
        <f>IFERROR(__xludf.DUMMYFUNCTION("""COMPUTED_VALUE"""),199.0)</f>
        <v>199</v>
      </c>
      <c r="E3294">
        <f>IFERROR(__xludf.DUMMYFUNCTION("""COMPUTED_VALUE"""),7.58)</f>
        <v>7.58</v>
      </c>
      <c r="F3294">
        <f>IFERROR(__xludf.DUMMYFUNCTION("""COMPUTED_VALUE"""),19.18)</f>
        <v>19.18</v>
      </c>
      <c r="G3294">
        <f>IFERROR(__xludf.DUMMYFUNCTION("""COMPUTED_VALUE"""),12.55)</f>
        <v>12.55</v>
      </c>
    </row>
    <row r="3295">
      <c r="A3295">
        <f>IFERROR(__xludf.DUMMYFUNCTION("""COMPUTED_VALUE"""),782407.0)</f>
        <v>782407</v>
      </c>
      <c r="B3295" t="str">
        <f>IFERROR(__xludf.DUMMYFUNCTION("""COMPUTED_VALUE"""),"Fish Ns As To Type Coated Baked Or Broiled Made Without Fat")</f>
        <v>Fish Ns As To Type Coated Baked Or Broiled Made Without Fat</v>
      </c>
      <c r="C3295" t="str">
        <f>IFERROR(__xludf.DUMMYFUNCTION("""COMPUTED_VALUE"""),"Fish")</f>
        <v>Fish</v>
      </c>
      <c r="D3295">
        <f>IFERROR(__xludf.DUMMYFUNCTION("""COMPUTED_VALUE"""),176.0)</f>
        <v>176</v>
      </c>
      <c r="E3295">
        <f>IFERROR(__xludf.DUMMYFUNCTION("""COMPUTED_VALUE"""),4.26)</f>
        <v>4.26</v>
      </c>
      <c r="F3295">
        <f>IFERROR(__xludf.DUMMYFUNCTION("""COMPUTED_VALUE"""),20.09)</f>
        <v>20.09</v>
      </c>
      <c r="G3295">
        <f>IFERROR(__xludf.DUMMYFUNCTION("""COMPUTED_VALUE"""),13.1)</f>
        <v>13.1</v>
      </c>
    </row>
    <row r="3296">
      <c r="A3296">
        <f>IFERROR(__xludf.DUMMYFUNCTION("""COMPUTED_VALUE"""),782408.0)</f>
        <v>782408</v>
      </c>
      <c r="B3296" t="str">
        <f>IFERROR(__xludf.DUMMYFUNCTION("""COMPUTED_VALUE"""),"Fish Ns As To Type Coated Baked Or Broiled Made With Cooking Spray")</f>
        <v>Fish Ns As To Type Coated Baked Or Broiled Made With Cooking Spray</v>
      </c>
      <c r="C3296" t="str">
        <f>IFERROR(__xludf.DUMMYFUNCTION("""COMPUTED_VALUE"""),"Fish")</f>
        <v>Fish</v>
      </c>
      <c r="D3296">
        <f>IFERROR(__xludf.DUMMYFUNCTION("""COMPUTED_VALUE"""),179.0)</f>
        <v>179</v>
      </c>
      <c r="E3296">
        <f>IFERROR(__xludf.DUMMYFUNCTION("""COMPUTED_VALUE"""),4.55)</f>
        <v>4.55</v>
      </c>
      <c r="F3296">
        <f>IFERROR(__xludf.DUMMYFUNCTION("""COMPUTED_VALUE"""),20.03)</f>
        <v>20.03</v>
      </c>
      <c r="G3296">
        <f>IFERROR(__xludf.DUMMYFUNCTION("""COMPUTED_VALUE"""),13.14)</f>
        <v>13.14</v>
      </c>
    </row>
    <row r="3297">
      <c r="A3297">
        <f>IFERROR(__xludf.DUMMYFUNCTION("""COMPUTED_VALUE"""),782409.0)</f>
        <v>782409</v>
      </c>
      <c r="B3297" t="str">
        <f>IFERROR(__xludf.DUMMYFUNCTION("""COMPUTED_VALUE"""),"Fish Ns As To Type Coated Fried Made With Oil")</f>
        <v>Fish Ns As To Type Coated Fried Made With Oil</v>
      </c>
      <c r="C3297" t="str">
        <f>IFERROR(__xludf.DUMMYFUNCTION("""COMPUTED_VALUE"""),"Fish")</f>
        <v>Fish</v>
      </c>
      <c r="D3297">
        <f>IFERROR(__xludf.DUMMYFUNCTION("""COMPUTED_VALUE"""),237.0)</f>
        <v>237</v>
      </c>
      <c r="E3297">
        <f>IFERROR(__xludf.DUMMYFUNCTION("""COMPUTED_VALUE"""),13.37)</f>
        <v>13.37</v>
      </c>
      <c r="F3297">
        <f>IFERROR(__xludf.DUMMYFUNCTION("""COMPUTED_VALUE"""),18.46)</f>
        <v>18.46</v>
      </c>
      <c r="G3297">
        <f>IFERROR(__xludf.DUMMYFUNCTION("""COMPUTED_VALUE"""),9.85)</f>
        <v>9.85</v>
      </c>
    </row>
    <row r="3298">
      <c r="A3298">
        <f>IFERROR(__xludf.DUMMYFUNCTION("""COMPUTED_VALUE"""),782410.0)</f>
        <v>782410</v>
      </c>
      <c r="B3298" t="str">
        <f>IFERROR(__xludf.DUMMYFUNCTION("""COMPUTED_VALUE"""),"Fish Ns As To Type Coated Fried Made With Butter")</f>
        <v>Fish Ns As To Type Coated Fried Made With Butter</v>
      </c>
      <c r="C3298" t="str">
        <f>IFERROR(__xludf.DUMMYFUNCTION("""COMPUTED_VALUE"""),"Fish")</f>
        <v>Fish</v>
      </c>
      <c r="D3298">
        <f>IFERROR(__xludf.DUMMYFUNCTION("""COMPUTED_VALUE"""),222.0)</f>
        <v>222</v>
      </c>
      <c r="E3298">
        <f>IFERROR(__xludf.DUMMYFUNCTION("""COMPUTED_VALUE"""),11.73)</f>
        <v>11.73</v>
      </c>
      <c r="F3298">
        <f>IFERROR(__xludf.DUMMYFUNCTION("""COMPUTED_VALUE"""),18.53)</f>
        <v>18.53</v>
      </c>
      <c r="G3298">
        <f>IFERROR(__xludf.DUMMYFUNCTION("""COMPUTED_VALUE"""),9.86)</f>
        <v>9.86</v>
      </c>
    </row>
    <row r="3299">
      <c r="A3299">
        <f>IFERROR(__xludf.DUMMYFUNCTION("""COMPUTED_VALUE"""),782411.0)</f>
        <v>782411</v>
      </c>
      <c r="B3299" t="str">
        <f>IFERROR(__xludf.DUMMYFUNCTION("""COMPUTED_VALUE"""),"Fish Ns As To Type Coated Fried Made With Margarine")</f>
        <v>Fish Ns As To Type Coated Fried Made With Margarine</v>
      </c>
      <c r="C3299" t="str">
        <f>IFERROR(__xludf.DUMMYFUNCTION("""COMPUTED_VALUE"""),"Fish")</f>
        <v>Fish</v>
      </c>
      <c r="D3299">
        <f>IFERROR(__xludf.DUMMYFUNCTION("""COMPUTED_VALUE"""),206.0)</f>
        <v>206</v>
      </c>
      <c r="E3299">
        <f>IFERROR(__xludf.DUMMYFUNCTION("""COMPUTED_VALUE"""),9.87)</f>
        <v>9.87</v>
      </c>
      <c r="F3299">
        <f>IFERROR(__xludf.DUMMYFUNCTION("""COMPUTED_VALUE"""),18.47)</f>
        <v>18.47</v>
      </c>
      <c r="G3299">
        <f>IFERROR(__xludf.DUMMYFUNCTION("""COMPUTED_VALUE"""),9.93)</f>
        <v>9.93</v>
      </c>
    </row>
    <row r="3300">
      <c r="A3300">
        <f>IFERROR(__xludf.DUMMYFUNCTION("""COMPUTED_VALUE"""),782412.0)</f>
        <v>782412</v>
      </c>
      <c r="B3300" t="str">
        <f>IFERROR(__xludf.DUMMYFUNCTION("""COMPUTED_VALUE"""),"Fish Ns As To Type Coated Fried Made Without Fat")</f>
        <v>Fish Ns As To Type Coated Fried Made Without Fat</v>
      </c>
      <c r="C3300" t="str">
        <f>IFERROR(__xludf.DUMMYFUNCTION("""COMPUTED_VALUE"""),"Fish")</f>
        <v>Fish</v>
      </c>
      <c r="D3300">
        <f>IFERROR(__xludf.DUMMYFUNCTION("""COMPUTED_VALUE"""),188.0)</f>
        <v>188</v>
      </c>
      <c r="E3300">
        <f>IFERROR(__xludf.DUMMYFUNCTION("""COMPUTED_VALUE"""),5.49)</f>
        <v>5.49</v>
      </c>
      <c r="F3300">
        <f>IFERROR(__xludf.DUMMYFUNCTION("""COMPUTED_VALUE"""),21.72)</f>
        <v>21.72</v>
      </c>
      <c r="G3300">
        <f>IFERROR(__xludf.DUMMYFUNCTION("""COMPUTED_VALUE"""),11.6)</f>
        <v>11.6</v>
      </c>
    </row>
    <row r="3301">
      <c r="A3301">
        <f>IFERROR(__xludf.DUMMYFUNCTION("""COMPUTED_VALUE"""),782413.0)</f>
        <v>782413</v>
      </c>
      <c r="B3301" t="str">
        <f>IFERROR(__xludf.DUMMYFUNCTION("""COMPUTED_VALUE"""),"Fish Ns As To Type Coated Fried Made With Cooking Spray")</f>
        <v>Fish Ns As To Type Coated Fried Made With Cooking Spray</v>
      </c>
      <c r="C3301" t="str">
        <f>IFERROR(__xludf.DUMMYFUNCTION("""COMPUTED_VALUE"""),"Fish")</f>
        <v>Fish</v>
      </c>
      <c r="D3301">
        <f>IFERROR(__xludf.DUMMYFUNCTION("""COMPUTED_VALUE"""),191.0)</f>
        <v>191</v>
      </c>
      <c r="E3301">
        <f>IFERROR(__xludf.DUMMYFUNCTION("""COMPUTED_VALUE"""),5.78)</f>
        <v>5.78</v>
      </c>
      <c r="F3301">
        <f>IFERROR(__xludf.DUMMYFUNCTION("""COMPUTED_VALUE"""),21.66)</f>
        <v>21.66</v>
      </c>
      <c r="G3301">
        <f>IFERROR(__xludf.DUMMYFUNCTION("""COMPUTED_VALUE"""),11.64)</f>
        <v>11.64</v>
      </c>
    </row>
    <row r="3302">
      <c r="A3302">
        <f>IFERROR(__xludf.DUMMYFUNCTION("""COMPUTED_VALUE"""),782414.0)</f>
        <v>782414</v>
      </c>
      <c r="B3302" t="str">
        <f>IFERROR(__xludf.DUMMYFUNCTION("""COMPUTED_VALUE"""),"Fish Ns As To Type Steamed")</f>
        <v>Fish Ns As To Type Steamed</v>
      </c>
      <c r="C3302" t="str">
        <f>IFERROR(__xludf.DUMMYFUNCTION("""COMPUTED_VALUE"""),"Fish")</f>
        <v>Fish</v>
      </c>
      <c r="D3302">
        <f>IFERROR(__xludf.DUMMYFUNCTION("""COMPUTED_VALUE"""),160.0)</f>
        <v>160</v>
      </c>
      <c r="E3302">
        <f>IFERROR(__xludf.DUMMYFUNCTION("""COMPUTED_VALUE"""),5.53)</f>
        <v>5.53</v>
      </c>
      <c r="F3302">
        <f>IFERROR(__xludf.DUMMYFUNCTION("""COMPUTED_VALUE"""),25.78)</f>
        <v>25.78</v>
      </c>
      <c r="G3302">
        <f>IFERROR(__xludf.DUMMYFUNCTION("""COMPUTED_VALUE"""),0.0)</f>
        <v>0</v>
      </c>
    </row>
    <row r="3303">
      <c r="A3303">
        <f>IFERROR(__xludf.DUMMYFUNCTION("""COMPUTED_VALUE"""),782423.0)</f>
        <v>782423</v>
      </c>
      <c r="B3303" t="str">
        <f>IFERROR(__xludf.DUMMYFUNCTION("""COMPUTED_VALUE"""),"Barracuda Cooked Ns As To Cooking Method")</f>
        <v>Barracuda Cooked Ns As To Cooking Method</v>
      </c>
      <c r="C3303" t="str">
        <f>IFERROR(__xludf.DUMMYFUNCTION("""COMPUTED_VALUE"""),"Fish")</f>
        <v>Fish</v>
      </c>
      <c r="D3303">
        <f>IFERROR(__xludf.DUMMYFUNCTION("""COMPUTED_VALUE"""),226.0)</f>
        <v>226</v>
      </c>
      <c r="E3303">
        <f>IFERROR(__xludf.DUMMYFUNCTION("""COMPUTED_VALUE"""),13.33)</f>
        <v>13.33</v>
      </c>
      <c r="F3303">
        <f>IFERROR(__xludf.DUMMYFUNCTION("""COMPUTED_VALUE"""),24.56)</f>
        <v>24.56</v>
      </c>
      <c r="G3303">
        <f>IFERROR(__xludf.DUMMYFUNCTION("""COMPUTED_VALUE"""),0.1)</f>
        <v>0.1</v>
      </c>
    </row>
    <row r="3304">
      <c r="A3304">
        <f>IFERROR(__xludf.DUMMYFUNCTION("""COMPUTED_VALUE"""),782424.0)</f>
        <v>782424</v>
      </c>
      <c r="B3304" t="str">
        <f>IFERROR(__xludf.DUMMYFUNCTION("""COMPUTED_VALUE"""),"Barracuda Baked Or Broiled Fat Added In Cooking")</f>
        <v>Barracuda Baked Or Broiled Fat Added In Cooking</v>
      </c>
      <c r="C3304" t="str">
        <f>IFERROR(__xludf.DUMMYFUNCTION("""COMPUTED_VALUE"""),"Fish")</f>
        <v>Fish</v>
      </c>
      <c r="D3304">
        <f>IFERROR(__xludf.DUMMYFUNCTION("""COMPUTED_VALUE"""),226.0)</f>
        <v>226</v>
      </c>
      <c r="E3304">
        <f>IFERROR(__xludf.DUMMYFUNCTION("""COMPUTED_VALUE"""),13.33)</f>
        <v>13.33</v>
      </c>
      <c r="F3304">
        <f>IFERROR(__xludf.DUMMYFUNCTION("""COMPUTED_VALUE"""),24.56)</f>
        <v>24.56</v>
      </c>
      <c r="G3304">
        <f>IFERROR(__xludf.DUMMYFUNCTION("""COMPUTED_VALUE"""),0.1)</f>
        <v>0.1</v>
      </c>
    </row>
    <row r="3305">
      <c r="A3305">
        <f>IFERROR(__xludf.DUMMYFUNCTION("""COMPUTED_VALUE"""),782425.0)</f>
        <v>782425</v>
      </c>
      <c r="B3305" t="str">
        <f>IFERROR(__xludf.DUMMYFUNCTION("""COMPUTED_VALUE"""),"Barracuda Baked Or Broiled Fat Not Added In Cooking")</f>
        <v>Barracuda Baked Or Broiled Fat Not Added In Cooking</v>
      </c>
      <c r="C3305" t="str">
        <f>IFERROR(__xludf.DUMMYFUNCTION("""COMPUTED_VALUE"""),"Fish")</f>
        <v>Fish</v>
      </c>
      <c r="D3305">
        <f>IFERROR(__xludf.DUMMYFUNCTION("""COMPUTED_VALUE"""),199.0)</f>
        <v>199</v>
      </c>
      <c r="E3305">
        <f>IFERROR(__xludf.DUMMYFUNCTION("""COMPUTED_VALUE"""),9.94)</f>
        <v>9.94</v>
      </c>
      <c r="F3305">
        <f>IFERROR(__xludf.DUMMYFUNCTION("""COMPUTED_VALUE"""),25.28)</f>
        <v>25.28</v>
      </c>
      <c r="G3305">
        <f>IFERROR(__xludf.DUMMYFUNCTION("""COMPUTED_VALUE"""),0.1)</f>
        <v>0.1</v>
      </c>
    </row>
    <row r="3306">
      <c r="A3306">
        <f>IFERROR(__xludf.DUMMYFUNCTION("""COMPUTED_VALUE"""),782426.0)</f>
        <v>782426</v>
      </c>
      <c r="B3306" t="str">
        <f>IFERROR(__xludf.DUMMYFUNCTION("""COMPUTED_VALUE"""),"Barracuda Coated Baked Or Broiled Fat Added In Cooking")</f>
        <v>Barracuda Coated Baked Or Broiled Fat Added In Cooking</v>
      </c>
      <c r="C3306" t="str">
        <f>IFERROR(__xludf.DUMMYFUNCTION("""COMPUTED_VALUE"""),"Fish")</f>
        <v>Fish</v>
      </c>
      <c r="D3306">
        <f>IFERROR(__xludf.DUMMYFUNCTION("""COMPUTED_VALUE"""),264.0)</f>
        <v>264</v>
      </c>
      <c r="E3306">
        <f>IFERROR(__xludf.DUMMYFUNCTION("""COMPUTED_VALUE"""),13.71)</f>
        <v>13.71</v>
      </c>
      <c r="F3306">
        <f>IFERROR(__xludf.DUMMYFUNCTION("""COMPUTED_VALUE"""),21.03)</f>
        <v>21.03</v>
      </c>
      <c r="G3306">
        <f>IFERROR(__xludf.DUMMYFUNCTION("""COMPUTED_VALUE"""),12.52)</f>
        <v>12.52</v>
      </c>
    </row>
    <row r="3307">
      <c r="A3307">
        <f>IFERROR(__xludf.DUMMYFUNCTION("""COMPUTED_VALUE"""),782427.0)</f>
        <v>782427</v>
      </c>
      <c r="B3307" t="str">
        <f>IFERROR(__xludf.DUMMYFUNCTION("""COMPUTED_VALUE"""),"Barracuda Coated Baked Or Broiled Fat Not Added In Cooking")</f>
        <v>Barracuda Coated Baked Or Broiled Fat Not Added In Cooking</v>
      </c>
      <c r="C3307" t="str">
        <f>IFERROR(__xludf.DUMMYFUNCTION("""COMPUTED_VALUE"""),"Fish")</f>
        <v>Fish</v>
      </c>
      <c r="D3307">
        <f>IFERROR(__xludf.DUMMYFUNCTION("""COMPUTED_VALUE"""),224.0)</f>
        <v>224</v>
      </c>
      <c r="E3307">
        <f>IFERROR(__xludf.DUMMYFUNCTION("""COMPUTED_VALUE"""),8.47)</f>
        <v>8.47</v>
      </c>
      <c r="F3307">
        <f>IFERROR(__xludf.DUMMYFUNCTION("""COMPUTED_VALUE"""),22.0)</f>
        <v>22</v>
      </c>
      <c r="G3307">
        <f>IFERROR(__xludf.DUMMYFUNCTION("""COMPUTED_VALUE"""),13.1)</f>
        <v>13.1</v>
      </c>
    </row>
    <row r="3308">
      <c r="A3308">
        <f>IFERROR(__xludf.DUMMYFUNCTION("""COMPUTED_VALUE"""),782428.0)</f>
        <v>782428</v>
      </c>
      <c r="B3308" t="str">
        <f>IFERROR(__xludf.DUMMYFUNCTION("""COMPUTED_VALUE"""),"Barracuda Coated Fried")</f>
        <v>Barracuda Coated Fried</v>
      </c>
      <c r="C3308" t="str">
        <f>IFERROR(__xludf.DUMMYFUNCTION("""COMPUTED_VALUE"""),"Fish")</f>
        <v>Fish</v>
      </c>
      <c r="D3308">
        <f>IFERROR(__xludf.DUMMYFUNCTION("""COMPUTED_VALUE"""),279.0)</f>
        <v>279</v>
      </c>
      <c r="E3308">
        <f>IFERROR(__xludf.DUMMYFUNCTION("""COMPUTED_VALUE"""),17.06)</f>
        <v>17.06</v>
      </c>
      <c r="F3308">
        <f>IFERROR(__xludf.DUMMYFUNCTION("""COMPUTED_VALUE"""),20.13)</f>
        <v>20.13</v>
      </c>
      <c r="G3308">
        <f>IFERROR(__xludf.DUMMYFUNCTION("""COMPUTED_VALUE"""),9.85)</f>
        <v>9.85</v>
      </c>
    </row>
    <row r="3309">
      <c r="A3309">
        <f>IFERROR(__xludf.DUMMYFUNCTION("""COMPUTED_VALUE"""),782429.0)</f>
        <v>782429</v>
      </c>
      <c r="B3309" t="str">
        <f>IFERROR(__xludf.DUMMYFUNCTION("""COMPUTED_VALUE"""),"Barracuda Steamed Or Poached")</f>
        <v>Barracuda Steamed Or Poached</v>
      </c>
      <c r="C3309" t="str">
        <f>IFERROR(__xludf.DUMMYFUNCTION("""COMPUTED_VALUE"""),"Fish")</f>
        <v>Fish</v>
      </c>
      <c r="D3309">
        <f>IFERROR(__xludf.DUMMYFUNCTION("""COMPUTED_VALUE"""),199.0)</f>
        <v>199</v>
      </c>
      <c r="E3309">
        <f>IFERROR(__xludf.DUMMYFUNCTION("""COMPUTED_VALUE"""),9.92)</f>
        <v>9.92</v>
      </c>
      <c r="F3309">
        <f>IFERROR(__xludf.DUMMYFUNCTION("""COMPUTED_VALUE"""),25.24)</f>
        <v>25.24</v>
      </c>
      <c r="G3309">
        <f>IFERROR(__xludf.DUMMYFUNCTION("""COMPUTED_VALUE"""),0.0)</f>
        <v>0</v>
      </c>
    </row>
    <row r="3310">
      <c r="A3310">
        <f>IFERROR(__xludf.DUMMYFUNCTION("""COMPUTED_VALUE"""),782430.0)</f>
        <v>782430</v>
      </c>
      <c r="B3310" t="str">
        <f>IFERROR(__xludf.DUMMYFUNCTION("""COMPUTED_VALUE"""),"Carp Cooked Ns As To Cooking Method")</f>
        <v>Carp Cooked Ns As To Cooking Method</v>
      </c>
      <c r="C3310" t="str">
        <f>IFERROR(__xludf.DUMMYFUNCTION("""COMPUTED_VALUE"""),"Fish")</f>
        <v>Fish</v>
      </c>
      <c r="D3310">
        <f>IFERROR(__xludf.DUMMYFUNCTION("""COMPUTED_VALUE"""),253.0)</f>
        <v>253</v>
      </c>
      <c r="E3310">
        <f>IFERROR(__xludf.DUMMYFUNCTION("""COMPUTED_VALUE"""),15.11)</f>
        <v>15.11</v>
      </c>
      <c r="F3310">
        <f>IFERROR(__xludf.DUMMYFUNCTION("""COMPUTED_VALUE"""),18.22)</f>
        <v>18.22</v>
      </c>
      <c r="G3310">
        <f>IFERROR(__xludf.DUMMYFUNCTION("""COMPUTED_VALUE"""),9.85)</f>
        <v>9.85</v>
      </c>
    </row>
    <row r="3311">
      <c r="A3311">
        <f>IFERROR(__xludf.DUMMYFUNCTION("""COMPUTED_VALUE"""),782431.0)</f>
        <v>782431</v>
      </c>
      <c r="B3311" t="str">
        <f>IFERROR(__xludf.DUMMYFUNCTION("""COMPUTED_VALUE"""),"Carp Baked Or Broiled Fat Added In Cooking")</f>
        <v>Carp Baked Or Broiled Fat Added In Cooking</v>
      </c>
      <c r="C3311" t="str">
        <f>IFERROR(__xludf.DUMMYFUNCTION("""COMPUTED_VALUE"""),"Fish")</f>
        <v>Fish</v>
      </c>
      <c r="D3311">
        <f>IFERROR(__xludf.DUMMYFUNCTION("""COMPUTED_VALUE"""),188.0)</f>
        <v>188</v>
      </c>
      <c r="E3311">
        <f>IFERROR(__xludf.DUMMYFUNCTION("""COMPUTED_VALUE"""),10.53)</f>
        <v>10.53</v>
      </c>
      <c r="F3311">
        <f>IFERROR(__xludf.DUMMYFUNCTION("""COMPUTED_VALUE"""),21.82)</f>
        <v>21.82</v>
      </c>
      <c r="G3311">
        <f>IFERROR(__xludf.DUMMYFUNCTION("""COMPUTED_VALUE"""),0.1)</f>
        <v>0.1</v>
      </c>
    </row>
    <row r="3312">
      <c r="A3312">
        <f>IFERROR(__xludf.DUMMYFUNCTION("""COMPUTED_VALUE"""),782432.0)</f>
        <v>782432</v>
      </c>
      <c r="B3312" t="str">
        <f>IFERROR(__xludf.DUMMYFUNCTION("""COMPUTED_VALUE"""),"Carp Baked Or Broiled Fat Not Added In Cooking")</f>
        <v>Carp Baked Or Broiled Fat Not Added In Cooking</v>
      </c>
      <c r="C3312" t="str">
        <f>IFERROR(__xludf.DUMMYFUNCTION("""COMPUTED_VALUE"""),"Fish")</f>
        <v>Fish</v>
      </c>
      <c r="D3312">
        <f>IFERROR(__xludf.DUMMYFUNCTION("""COMPUTED_VALUE"""),160.0)</f>
        <v>160</v>
      </c>
      <c r="E3312">
        <f>IFERROR(__xludf.DUMMYFUNCTION("""COMPUTED_VALUE"""),7.06)</f>
        <v>7.06</v>
      </c>
      <c r="F3312">
        <f>IFERROR(__xludf.DUMMYFUNCTION("""COMPUTED_VALUE"""),22.46)</f>
        <v>22.46</v>
      </c>
      <c r="G3312">
        <f>IFERROR(__xludf.DUMMYFUNCTION("""COMPUTED_VALUE"""),0.1)</f>
        <v>0.1</v>
      </c>
    </row>
    <row r="3313">
      <c r="A3313">
        <f>IFERROR(__xludf.DUMMYFUNCTION("""COMPUTED_VALUE"""),782433.0)</f>
        <v>782433</v>
      </c>
      <c r="B3313" t="str">
        <f>IFERROR(__xludf.DUMMYFUNCTION("""COMPUTED_VALUE"""),"Carp Coated Baked Or Broiled Fat Added In Cooking")</f>
        <v>Carp Coated Baked Or Broiled Fat Added In Cooking</v>
      </c>
      <c r="C3313" t="str">
        <f>IFERROR(__xludf.DUMMYFUNCTION("""COMPUTED_VALUE"""),"Fish")</f>
        <v>Fish</v>
      </c>
      <c r="D3313">
        <f>IFERROR(__xludf.DUMMYFUNCTION("""COMPUTED_VALUE"""),235.0)</f>
        <v>235</v>
      </c>
      <c r="E3313">
        <f>IFERROR(__xludf.DUMMYFUNCTION("""COMPUTED_VALUE"""),11.57)</f>
        <v>11.57</v>
      </c>
      <c r="F3313">
        <f>IFERROR(__xludf.DUMMYFUNCTION("""COMPUTED_VALUE"""),18.94)</f>
        <v>18.94</v>
      </c>
      <c r="G3313">
        <f>IFERROR(__xludf.DUMMYFUNCTION("""COMPUTED_VALUE"""),12.52)</f>
        <v>12.52</v>
      </c>
    </row>
    <row r="3314">
      <c r="A3314">
        <f>IFERROR(__xludf.DUMMYFUNCTION("""COMPUTED_VALUE"""),782434.0)</f>
        <v>782434</v>
      </c>
      <c r="B3314" t="str">
        <f>IFERROR(__xludf.DUMMYFUNCTION("""COMPUTED_VALUE"""),"Carp Coated Baked Or Broiled Fat Not Added In Cooking")</f>
        <v>Carp Coated Baked Or Broiled Fat Not Added In Cooking</v>
      </c>
      <c r="C3314" t="str">
        <f>IFERROR(__xludf.DUMMYFUNCTION("""COMPUTED_VALUE"""),"Fish")</f>
        <v>Fish</v>
      </c>
      <c r="D3314">
        <f>IFERROR(__xludf.DUMMYFUNCTION("""COMPUTED_VALUE"""),194.0)</f>
        <v>194</v>
      </c>
      <c r="E3314">
        <f>IFERROR(__xludf.DUMMYFUNCTION("""COMPUTED_VALUE"""),6.24)</f>
        <v>6.24</v>
      </c>
      <c r="F3314">
        <f>IFERROR(__xludf.DUMMYFUNCTION("""COMPUTED_VALUE"""),19.81)</f>
        <v>19.81</v>
      </c>
      <c r="G3314">
        <f>IFERROR(__xludf.DUMMYFUNCTION("""COMPUTED_VALUE"""),13.1)</f>
        <v>13.1</v>
      </c>
    </row>
    <row r="3315">
      <c r="A3315">
        <f>IFERROR(__xludf.DUMMYFUNCTION("""COMPUTED_VALUE"""),782435.0)</f>
        <v>782435</v>
      </c>
      <c r="B3315" t="str">
        <f>IFERROR(__xludf.DUMMYFUNCTION("""COMPUTED_VALUE"""),"Carp Coated Fried")</f>
        <v>Carp Coated Fried</v>
      </c>
      <c r="C3315" t="str">
        <f>IFERROR(__xludf.DUMMYFUNCTION("""COMPUTED_VALUE"""),"Fish")</f>
        <v>Fish</v>
      </c>
      <c r="D3315">
        <f>IFERROR(__xludf.DUMMYFUNCTION("""COMPUTED_VALUE"""),253.0)</f>
        <v>253</v>
      </c>
      <c r="E3315">
        <f>IFERROR(__xludf.DUMMYFUNCTION("""COMPUTED_VALUE"""),15.11)</f>
        <v>15.11</v>
      </c>
      <c r="F3315">
        <f>IFERROR(__xludf.DUMMYFUNCTION("""COMPUTED_VALUE"""),18.22)</f>
        <v>18.22</v>
      </c>
      <c r="G3315">
        <f>IFERROR(__xludf.DUMMYFUNCTION("""COMPUTED_VALUE"""),9.85)</f>
        <v>9.85</v>
      </c>
    </row>
    <row r="3316">
      <c r="A3316">
        <f>IFERROR(__xludf.DUMMYFUNCTION("""COMPUTED_VALUE"""),782436.0)</f>
        <v>782436</v>
      </c>
      <c r="B3316" t="str">
        <f>IFERROR(__xludf.DUMMYFUNCTION("""COMPUTED_VALUE"""),"Carp Steamed Or Poached")</f>
        <v>Carp Steamed Or Poached</v>
      </c>
      <c r="C3316" t="str">
        <f>IFERROR(__xludf.DUMMYFUNCTION("""COMPUTED_VALUE"""),"Fish")</f>
        <v>Fish</v>
      </c>
      <c r="D3316">
        <f>IFERROR(__xludf.DUMMYFUNCTION("""COMPUTED_VALUE"""),160.0)</f>
        <v>160</v>
      </c>
      <c r="E3316">
        <f>IFERROR(__xludf.DUMMYFUNCTION("""COMPUTED_VALUE"""),7.04)</f>
        <v>7.04</v>
      </c>
      <c r="F3316">
        <f>IFERROR(__xludf.DUMMYFUNCTION("""COMPUTED_VALUE"""),22.42)</f>
        <v>22.42</v>
      </c>
      <c r="G3316">
        <f>IFERROR(__xludf.DUMMYFUNCTION("""COMPUTED_VALUE"""),0.0)</f>
        <v>0</v>
      </c>
    </row>
    <row r="3317">
      <c r="A3317">
        <f>IFERROR(__xludf.DUMMYFUNCTION("""COMPUTED_VALUE"""),782437.0)</f>
        <v>782437</v>
      </c>
      <c r="B3317" t="str">
        <f>IFERROR(__xludf.DUMMYFUNCTION("""COMPUTED_VALUE"""),"Carp Smoked")</f>
        <v>Carp Smoked</v>
      </c>
      <c r="C3317" t="str">
        <f>IFERROR(__xludf.DUMMYFUNCTION("""COMPUTED_VALUE"""),"Fish")</f>
        <v>Fish</v>
      </c>
      <c r="D3317">
        <f>IFERROR(__xludf.DUMMYFUNCTION("""COMPUTED_VALUE"""),198.0)</f>
        <v>198</v>
      </c>
      <c r="E3317">
        <f>IFERROR(__xludf.DUMMYFUNCTION("""COMPUTED_VALUE"""),8.74)</f>
        <v>8.74</v>
      </c>
      <c r="F3317">
        <f>IFERROR(__xludf.DUMMYFUNCTION("""COMPUTED_VALUE"""),27.84)</f>
        <v>27.84</v>
      </c>
      <c r="G3317">
        <f>IFERROR(__xludf.DUMMYFUNCTION("""COMPUTED_VALUE"""),0.0)</f>
        <v>0</v>
      </c>
    </row>
    <row r="3318">
      <c r="A3318">
        <f>IFERROR(__xludf.DUMMYFUNCTION("""COMPUTED_VALUE"""),782438.0)</f>
        <v>782438</v>
      </c>
      <c r="B3318" t="str">
        <f>IFERROR(__xludf.DUMMYFUNCTION("""COMPUTED_VALUE"""),"Catfish Cooked Ns As To Cooking Method")</f>
        <v>Catfish Cooked Ns As To Cooking Method</v>
      </c>
      <c r="C3318" t="str">
        <f>IFERROR(__xludf.DUMMYFUNCTION("""COMPUTED_VALUE"""),"Fish")</f>
        <v>Fish</v>
      </c>
      <c r="D3318">
        <f>IFERROR(__xludf.DUMMYFUNCTION("""COMPUTED_VALUE"""),246.0)</f>
        <v>246</v>
      </c>
      <c r="E3318">
        <f>IFERROR(__xludf.DUMMYFUNCTION("""COMPUTED_VALUE"""),15.4)</f>
        <v>15.4</v>
      </c>
      <c r="F3318">
        <f>IFERROR(__xludf.DUMMYFUNCTION("""COMPUTED_VALUE"""),16.0)</f>
        <v>16</v>
      </c>
      <c r="G3318">
        <f>IFERROR(__xludf.DUMMYFUNCTION("""COMPUTED_VALUE"""),9.86)</f>
        <v>9.86</v>
      </c>
    </row>
    <row r="3319">
      <c r="A3319">
        <f>IFERROR(__xludf.DUMMYFUNCTION("""COMPUTED_VALUE"""),782439.0)</f>
        <v>782439</v>
      </c>
      <c r="B3319" t="str">
        <f>IFERROR(__xludf.DUMMYFUNCTION("""COMPUTED_VALUE"""),"Catfish Baked Or Broiled Made With Oil")</f>
        <v>Catfish Baked Or Broiled Made With Oil</v>
      </c>
      <c r="C3319" t="str">
        <f>IFERROR(__xludf.DUMMYFUNCTION("""COMPUTED_VALUE"""),"Fish")</f>
        <v>Fish</v>
      </c>
      <c r="D3319">
        <f>IFERROR(__xludf.DUMMYFUNCTION("""COMPUTED_VALUE"""),178.0)</f>
        <v>178</v>
      </c>
      <c r="E3319">
        <f>IFERROR(__xludf.DUMMYFUNCTION("""COMPUTED_VALUE"""),10.94)</f>
        <v>10.94</v>
      </c>
      <c r="F3319">
        <f>IFERROR(__xludf.DUMMYFUNCTION("""COMPUTED_VALUE"""),18.64)</f>
        <v>18.64</v>
      </c>
      <c r="G3319">
        <f>IFERROR(__xludf.DUMMYFUNCTION("""COMPUTED_VALUE"""),0.1)</f>
        <v>0.1</v>
      </c>
    </row>
    <row r="3320">
      <c r="A3320">
        <f>IFERROR(__xludf.DUMMYFUNCTION("""COMPUTED_VALUE"""),782440.0)</f>
        <v>782440</v>
      </c>
      <c r="B3320" t="str">
        <f>IFERROR(__xludf.DUMMYFUNCTION("""COMPUTED_VALUE"""),"Catfish Baked Or Broiled Made With Butter")</f>
        <v>Catfish Baked Or Broiled Made With Butter</v>
      </c>
      <c r="C3320" t="str">
        <f>IFERROR(__xludf.DUMMYFUNCTION("""COMPUTED_VALUE"""),"Fish")</f>
        <v>Fish</v>
      </c>
      <c r="D3320">
        <f>IFERROR(__xludf.DUMMYFUNCTION("""COMPUTED_VALUE"""),173.0)</f>
        <v>173</v>
      </c>
      <c r="E3320">
        <f>IFERROR(__xludf.DUMMYFUNCTION("""COMPUTED_VALUE"""),10.36)</f>
        <v>10.36</v>
      </c>
      <c r="F3320">
        <f>IFERROR(__xludf.DUMMYFUNCTION("""COMPUTED_VALUE"""),18.65)</f>
        <v>18.65</v>
      </c>
      <c r="G3320">
        <f>IFERROR(__xludf.DUMMYFUNCTION("""COMPUTED_VALUE"""),0.1)</f>
        <v>0.1</v>
      </c>
    </row>
    <row r="3321">
      <c r="A3321">
        <f>IFERROR(__xludf.DUMMYFUNCTION("""COMPUTED_VALUE"""),782441.0)</f>
        <v>782441</v>
      </c>
      <c r="B3321" t="str">
        <f>IFERROR(__xludf.DUMMYFUNCTION("""COMPUTED_VALUE"""),"Catfish Baked Or Broiled Made With Margarine")</f>
        <v>Catfish Baked Or Broiled Made With Margarine</v>
      </c>
      <c r="C3321" t="str">
        <f>IFERROR(__xludf.DUMMYFUNCTION("""COMPUTED_VALUE"""),"Fish")</f>
        <v>Fish</v>
      </c>
      <c r="D3321">
        <f>IFERROR(__xludf.DUMMYFUNCTION("""COMPUTED_VALUE"""),166.0)</f>
        <v>166</v>
      </c>
      <c r="E3321">
        <f>IFERROR(__xludf.DUMMYFUNCTION("""COMPUTED_VALUE"""),9.56)</f>
        <v>9.56</v>
      </c>
      <c r="F3321">
        <f>IFERROR(__xludf.DUMMYFUNCTION("""COMPUTED_VALUE"""),18.61)</f>
        <v>18.61</v>
      </c>
      <c r="G3321">
        <f>IFERROR(__xludf.DUMMYFUNCTION("""COMPUTED_VALUE"""),0.13)</f>
        <v>0.13</v>
      </c>
    </row>
    <row r="3322">
      <c r="A3322">
        <f>IFERROR(__xludf.DUMMYFUNCTION("""COMPUTED_VALUE"""),782442.0)</f>
        <v>782442</v>
      </c>
      <c r="B3322" t="str">
        <f>IFERROR(__xludf.DUMMYFUNCTION("""COMPUTED_VALUE"""),"Catfish Baked Or Broiled Made Without Fat")</f>
        <v>Catfish Baked Or Broiled Made Without Fat</v>
      </c>
      <c r="C3322" t="str">
        <f>IFERROR(__xludf.DUMMYFUNCTION("""COMPUTED_VALUE"""),"Fish")</f>
        <v>Fish</v>
      </c>
      <c r="D3322">
        <f>IFERROR(__xludf.DUMMYFUNCTION("""COMPUTED_VALUE"""),150.0)</f>
        <v>150</v>
      </c>
      <c r="E3322">
        <f>IFERROR(__xludf.DUMMYFUNCTION("""COMPUTED_VALUE"""),7.48)</f>
        <v>7.48</v>
      </c>
      <c r="F3322">
        <f>IFERROR(__xludf.DUMMYFUNCTION("""COMPUTED_VALUE"""),19.18)</f>
        <v>19.18</v>
      </c>
      <c r="G3322">
        <f>IFERROR(__xludf.DUMMYFUNCTION("""COMPUTED_VALUE"""),0.1)</f>
        <v>0.1</v>
      </c>
    </row>
    <row r="3323">
      <c r="A3323">
        <f>IFERROR(__xludf.DUMMYFUNCTION("""COMPUTED_VALUE"""),782443.0)</f>
        <v>782443</v>
      </c>
      <c r="B3323" t="str">
        <f>IFERROR(__xludf.DUMMYFUNCTION("""COMPUTED_VALUE"""),"Catfish Baked Or Broiled Made With Cooking Spray")</f>
        <v>Catfish Baked Or Broiled Made With Cooking Spray</v>
      </c>
      <c r="C3323" t="str">
        <f>IFERROR(__xludf.DUMMYFUNCTION("""COMPUTED_VALUE"""),"Fish")</f>
        <v>Fish</v>
      </c>
      <c r="D3323">
        <f>IFERROR(__xludf.DUMMYFUNCTION("""COMPUTED_VALUE"""),154.0)</f>
        <v>154</v>
      </c>
      <c r="E3323">
        <f>IFERROR(__xludf.DUMMYFUNCTION("""COMPUTED_VALUE"""),7.85)</f>
        <v>7.85</v>
      </c>
      <c r="F3323">
        <f>IFERROR(__xludf.DUMMYFUNCTION("""COMPUTED_VALUE"""),19.11)</f>
        <v>19.11</v>
      </c>
      <c r="G3323">
        <f>IFERROR(__xludf.DUMMYFUNCTION("""COMPUTED_VALUE"""),0.2)</f>
        <v>0.2</v>
      </c>
    </row>
    <row r="3324">
      <c r="A3324">
        <f>IFERROR(__xludf.DUMMYFUNCTION("""COMPUTED_VALUE"""),782444.0)</f>
        <v>782444</v>
      </c>
      <c r="B3324" t="str">
        <f>IFERROR(__xludf.DUMMYFUNCTION("""COMPUTED_VALUE"""),"Catfish Coated Baked Or Broiled Made With Oil")</f>
        <v>Catfish Coated Baked Or Broiled Made With Oil</v>
      </c>
      <c r="C3324" t="str">
        <f>IFERROR(__xludf.DUMMYFUNCTION("""COMPUTED_VALUE"""),"Fish")</f>
        <v>Fish</v>
      </c>
      <c r="D3324">
        <f>IFERROR(__xludf.DUMMYFUNCTION("""COMPUTED_VALUE"""),228.0)</f>
        <v>228</v>
      </c>
      <c r="E3324">
        <f>IFERROR(__xludf.DUMMYFUNCTION("""COMPUTED_VALUE"""),11.89)</f>
        <v>11.89</v>
      </c>
      <c r="F3324">
        <f>IFERROR(__xludf.DUMMYFUNCTION("""COMPUTED_VALUE"""),16.51)</f>
        <v>16.51</v>
      </c>
      <c r="G3324">
        <f>IFERROR(__xludf.DUMMYFUNCTION("""COMPUTED_VALUE"""),12.52)</f>
        <v>12.52</v>
      </c>
    </row>
    <row r="3325">
      <c r="A3325">
        <f>IFERROR(__xludf.DUMMYFUNCTION("""COMPUTED_VALUE"""),782445.0)</f>
        <v>782445</v>
      </c>
      <c r="B3325" t="str">
        <f>IFERROR(__xludf.DUMMYFUNCTION("""COMPUTED_VALUE"""),"Catfish Coated Baked Or Broiled Made With Butter")</f>
        <v>Catfish Coated Baked Or Broiled Made With Butter</v>
      </c>
      <c r="C3325" t="str">
        <f>IFERROR(__xludf.DUMMYFUNCTION("""COMPUTED_VALUE"""),"Fish")</f>
        <v>Fish</v>
      </c>
      <c r="D3325">
        <f>IFERROR(__xludf.DUMMYFUNCTION("""COMPUTED_VALUE"""),220.0)</f>
        <v>220</v>
      </c>
      <c r="E3325">
        <f>IFERROR(__xludf.DUMMYFUNCTION("""COMPUTED_VALUE"""),11.0)</f>
        <v>11</v>
      </c>
      <c r="F3325">
        <f>IFERROR(__xludf.DUMMYFUNCTION("""COMPUTED_VALUE"""),16.53)</f>
        <v>16.53</v>
      </c>
      <c r="G3325">
        <f>IFERROR(__xludf.DUMMYFUNCTION("""COMPUTED_VALUE"""),12.5)</f>
        <v>12.5</v>
      </c>
    </row>
    <row r="3326">
      <c r="A3326">
        <f>IFERROR(__xludf.DUMMYFUNCTION("""COMPUTED_VALUE"""),782446.0)</f>
        <v>782446</v>
      </c>
      <c r="B3326" t="str">
        <f>IFERROR(__xludf.DUMMYFUNCTION("""COMPUTED_VALUE"""),"Catfish Coated Baked Or Broiled Made With Margarine")</f>
        <v>Catfish Coated Baked Or Broiled Made With Margarine</v>
      </c>
      <c r="C3326" t="str">
        <f>IFERROR(__xludf.DUMMYFUNCTION("""COMPUTED_VALUE"""),"Fish")</f>
        <v>Fish</v>
      </c>
      <c r="D3326">
        <f>IFERROR(__xludf.DUMMYFUNCTION("""COMPUTED_VALUE"""),209.0)</f>
        <v>209</v>
      </c>
      <c r="E3326">
        <f>IFERROR(__xludf.DUMMYFUNCTION("""COMPUTED_VALUE"""),9.78)</f>
        <v>9.78</v>
      </c>
      <c r="F3326">
        <f>IFERROR(__xludf.DUMMYFUNCTION("""COMPUTED_VALUE"""),16.49)</f>
        <v>16.49</v>
      </c>
      <c r="G3326">
        <f>IFERROR(__xludf.DUMMYFUNCTION("""COMPUTED_VALUE"""),12.55)</f>
        <v>12.55</v>
      </c>
    </row>
    <row r="3327">
      <c r="A3327">
        <f>IFERROR(__xludf.DUMMYFUNCTION("""COMPUTED_VALUE"""),782447.0)</f>
        <v>782447</v>
      </c>
      <c r="B3327" t="str">
        <f>IFERROR(__xludf.DUMMYFUNCTION("""COMPUTED_VALUE"""),"Catfish Coated Baked Or Broiled Made Without Fat")</f>
        <v>Catfish Coated Baked Or Broiled Made Without Fat</v>
      </c>
      <c r="C3327" t="str">
        <f>IFERROR(__xludf.DUMMYFUNCTION("""COMPUTED_VALUE"""),"Fish")</f>
        <v>Fish</v>
      </c>
      <c r="D3327">
        <f>IFERROR(__xludf.DUMMYFUNCTION("""COMPUTED_VALUE"""),186.0)</f>
        <v>186</v>
      </c>
      <c r="E3327">
        <f>IFERROR(__xludf.DUMMYFUNCTION("""COMPUTED_VALUE"""),6.57)</f>
        <v>6.57</v>
      </c>
      <c r="F3327">
        <f>IFERROR(__xludf.DUMMYFUNCTION("""COMPUTED_VALUE"""),17.27)</f>
        <v>17.27</v>
      </c>
      <c r="G3327">
        <f>IFERROR(__xludf.DUMMYFUNCTION("""COMPUTED_VALUE"""),13.1)</f>
        <v>13.1</v>
      </c>
    </row>
    <row r="3328">
      <c r="A3328">
        <f>IFERROR(__xludf.DUMMYFUNCTION("""COMPUTED_VALUE"""),782448.0)</f>
        <v>782448</v>
      </c>
      <c r="B3328" t="str">
        <f>IFERROR(__xludf.DUMMYFUNCTION("""COMPUTED_VALUE"""),"Catfish Coated Baked Or Broiled Made With Cooking Spray")</f>
        <v>Catfish Coated Baked Or Broiled Made With Cooking Spray</v>
      </c>
      <c r="C3328" t="str">
        <f>IFERROR(__xludf.DUMMYFUNCTION("""COMPUTED_VALUE"""),"Fish")</f>
        <v>Fish</v>
      </c>
      <c r="D3328">
        <f>IFERROR(__xludf.DUMMYFUNCTION("""COMPUTED_VALUE"""),189.0)</f>
        <v>189</v>
      </c>
      <c r="E3328">
        <f>IFERROR(__xludf.DUMMYFUNCTION("""COMPUTED_VALUE"""),6.85)</f>
        <v>6.85</v>
      </c>
      <c r="F3328">
        <f>IFERROR(__xludf.DUMMYFUNCTION("""COMPUTED_VALUE"""),17.22)</f>
        <v>17.22</v>
      </c>
      <c r="G3328">
        <f>IFERROR(__xludf.DUMMYFUNCTION("""COMPUTED_VALUE"""),13.14)</f>
        <v>13.14</v>
      </c>
    </row>
    <row r="3329">
      <c r="A3329">
        <f>IFERROR(__xludf.DUMMYFUNCTION("""COMPUTED_VALUE"""),782449.0)</f>
        <v>782449</v>
      </c>
      <c r="B3329" t="str">
        <f>IFERROR(__xludf.DUMMYFUNCTION("""COMPUTED_VALUE"""),"Catfish Coated Fried Made With Oil")</f>
        <v>Catfish Coated Fried Made With Oil</v>
      </c>
      <c r="C3329" t="str">
        <f>IFERROR(__xludf.DUMMYFUNCTION("""COMPUTED_VALUE"""),"Fish")</f>
        <v>Fish</v>
      </c>
      <c r="D3329">
        <f>IFERROR(__xludf.DUMMYFUNCTION("""COMPUTED_VALUE"""),246.0)</f>
        <v>246</v>
      </c>
      <c r="E3329">
        <f>IFERROR(__xludf.DUMMYFUNCTION("""COMPUTED_VALUE"""),15.4)</f>
        <v>15.4</v>
      </c>
      <c r="F3329">
        <f>IFERROR(__xludf.DUMMYFUNCTION("""COMPUTED_VALUE"""),16.0)</f>
        <v>16</v>
      </c>
      <c r="G3329">
        <f>IFERROR(__xludf.DUMMYFUNCTION("""COMPUTED_VALUE"""),9.85)</f>
        <v>9.85</v>
      </c>
    </row>
    <row r="3330">
      <c r="A3330">
        <f>IFERROR(__xludf.DUMMYFUNCTION("""COMPUTED_VALUE"""),782450.0)</f>
        <v>782450</v>
      </c>
      <c r="B3330" t="str">
        <f>IFERROR(__xludf.DUMMYFUNCTION("""COMPUTED_VALUE"""),"Catfish Coated Fried Made With Butter")</f>
        <v>Catfish Coated Fried Made With Butter</v>
      </c>
      <c r="C3330" t="str">
        <f>IFERROR(__xludf.DUMMYFUNCTION("""COMPUTED_VALUE"""),"Fish")</f>
        <v>Fish</v>
      </c>
      <c r="D3330">
        <f>IFERROR(__xludf.DUMMYFUNCTION("""COMPUTED_VALUE"""),231.0)</f>
        <v>231</v>
      </c>
      <c r="E3330">
        <f>IFERROR(__xludf.DUMMYFUNCTION("""COMPUTED_VALUE"""),13.75)</f>
        <v>13.75</v>
      </c>
      <c r="F3330">
        <f>IFERROR(__xludf.DUMMYFUNCTION("""COMPUTED_VALUE"""),16.07)</f>
        <v>16.07</v>
      </c>
      <c r="G3330">
        <f>IFERROR(__xludf.DUMMYFUNCTION("""COMPUTED_VALUE"""),9.86)</f>
        <v>9.86</v>
      </c>
    </row>
    <row r="3331">
      <c r="A3331">
        <f>IFERROR(__xludf.DUMMYFUNCTION("""COMPUTED_VALUE"""),782451.0)</f>
        <v>782451</v>
      </c>
      <c r="B3331" t="str">
        <f>IFERROR(__xludf.DUMMYFUNCTION("""COMPUTED_VALUE"""),"Catfish Coated Fried Made With Margarine")</f>
        <v>Catfish Coated Fried Made With Margarine</v>
      </c>
      <c r="C3331" t="str">
        <f>IFERROR(__xludf.DUMMYFUNCTION("""COMPUTED_VALUE"""),"Fish")</f>
        <v>Fish</v>
      </c>
      <c r="D3331">
        <f>IFERROR(__xludf.DUMMYFUNCTION("""COMPUTED_VALUE"""),215.0)</f>
        <v>215</v>
      </c>
      <c r="E3331">
        <f>IFERROR(__xludf.DUMMYFUNCTION("""COMPUTED_VALUE"""),11.9)</f>
        <v>11.9</v>
      </c>
      <c r="F3331">
        <f>IFERROR(__xludf.DUMMYFUNCTION("""COMPUTED_VALUE"""),16.01)</f>
        <v>16.01</v>
      </c>
      <c r="G3331">
        <f>IFERROR(__xludf.DUMMYFUNCTION("""COMPUTED_VALUE"""),9.93)</f>
        <v>9.93</v>
      </c>
    </row>
    <row r="3332">
      <c r="A3332">
        <f>IFERROR(__xludf.DUMMYFUNCTION("""COMPUTED_VALUE"""),782452.0)</f>
        <v>782452</v>
      </c>
      <c r="B3332" t="str">
        <f>IFERROR(__xludf.DUMMYFUNCTION("""COMPUTED_VALUE"""),"Catfish Coated Fried Made Without Fat")</f>
        <v>Catfish Coated Fried Made Without Fat</v>
      </c>
      <c r="C3332" t="str">
        <f>IFERROR(__xludf.DUMMYFUNCTION("""COMPUTED_VALUE"""),"Fish")</f>
        <v>Fish</v>
      </c>
      <c r="D3332">
        <f>IFERROR(__xludf.DUMMYFUNCTION("""COMPUTED_VALUE"""),199.0)</f>
        <v>199</v>
      </c>
      <c r="E3332">
        <f>IFERROR(__xludf.DUMMYFUNCTION("""COMPUTED_VALUE"""),7.87)</f>
        <v>7.87</v>
      </c>
      <c r="F3332">
        <f>IFERROR(__xludf.DUMMYFUNCTION("""COMPUTED_VALUE"""),18.83)</f>
        <v>18.83</v>
      </c>
      <c r="G3332">
        <f>IFERROR(__xludf.DUMMYFUNCTION("""COMPUTED_VALUE"""),11.6)</f>
        <v>11.6</v>
      </c>
    </row>
    <row r="3333">
      <c r="A3333">
        <f>IFERROR(__xludf.DUMMYFUNCTION("""COMPUTED_VALUE"""),782453.0)</f>
        <v>782453</v>
      </c>
      <c r="B3333" t="str">
        <f>IFERROR(__xludf.DUMMYFUNCTION("""COMPUTED_VALUE"""),"Catfish Coated Fried Made With Cooking Spray")</f>
        <v>Catfish Coated Fried Made With Cooking Spray</v>
      </c>
      <c r="C3333" t="str">
        <f>IFERROR(__xludf.DUMMYFUNCTION("""COMPUTED_VALUE"""),"Fish")</f>
        <v>Fish</v>
      </c>
      <c r="D3333">
        <f>IFERROR(__xludf.DUMMYFUNCTION("""COMPUTED_VALUE"""),201.0)</f>
        <v>201</v>
      </c>
      <c r="E3333">
        <f>IFERROR(__xludf.DUMMYFUNCTION("""COMPUTED_VALUE"""),8.16)</f>
        <v>8.16</v>
      </c>
      <c r="F3333">
        <f>IFERROR(__xludf.DUMMYFUNCTION("""COMPUTED_VALUE"""),18.77)</f>
        <v>18.77</v>
      </c>
      <c r="G3333">
        <f>IFERROR(__xludf.DUMMYFUNCTION("""COMPUTED_VALUE"""),11.64)</f>
        <v>11.64</v>
      </c>
    </row>
    <row r="3334">
      <c r="A3334">
        <f>IFERROR(__xludf.DUMMYFUNCTION("""COMPUTED_VALUE"""),782454.0)</f>
        <v>782454</v>
      </c>
      <c r="B3334" t="str">
        <f>IFERROR(__xludf.DUMMYFUNCTION("""COMPUTED_VALUE"""),"Catfish Steamed Or Poached")</f>
        <v>Catfish Steamed Or Poached</v>
      </c>
      <c r="C3334" t="str">
        <f>IFERROR(__xludf.DUMMYFUNCTION("""COMPUTED_VALUE"""),"Fish")</f>
        <v>Fish</v>
      </c>
      <c r="D3334">
        <f>IFERROR(__xludf.DUMMYFUNCTION("""COMPUTED_VALUE"""),150.0)</f>
        <v>150</v>
      </c>
      <c r="E3334">
        <f>IFERROR(__xludf.DUMMYFUNCTION("""COMPUTED_VALUE"""),7.47)</f>
        <v>7.47</v>
      </c>
      <c r="F3334">
        <f>IFERROR(__xludf.DUMMYFUNCTION("""COMPUTED_VALUE"""),19.15)</f>
        <v>19.15</v>
      </c>
      <c r="G3334">
        <f>IFERROR(__xludf.DUMMYFUNCTION("""COMPUTED_VALUE"""),0.0)</f>
        <v>0</v>
      </c>
    </row>
    <row r="3335">
      <c r="A3335">
        <f>IFERROR(__xludf.DUMMYFUNCTION("""COMPUTED_VALUE"""),782455.0)</f>
        <v>782455</v>
      </c>
      <c r="B3335" t="str">
        <f>IFERROR(__xludf.DUMMYFUNCTION("""COMPUTED_VALUE"""),"Cod Cooked Ns As To Cooking Method")</f>
        <v>Cod Cooked Ns As To Cooking Method</v>
      </c>
      <c r="C3335" t="str">
        <f>IFERROR(__xludf.DUMMYFUNCTION("""COMPUTED_VALUE"""),"Fish")</f>
        <v>Fish</v>
      </c>
      <c r="D3335">
        <f>IFERROR(__xludf.DUMMYFUNCTION("""COMPUTED_VALUE"""),117.0)</f>
        <v>117</v>
      </c>
      <c r="E3335">
        <f>IFERROR(__xludf.DUMMYFUNCTION("""COMPUTED_VALUE"""),4.18)</f>
        <v>4.18</v>
      </c>
      <c r="F3335">
        <f>IFERROR(__xludf.DUMMYFUNCTION("""COMPUTED_VALUE"""),18.68)</f>
        <v>18.68</v>
      </c>
      <c r="G3335">
        <f>IFERROR(__xludf.DUMMYFUNCTION("""COMPUTED_VALUE"""),0.1)</f>
        <v>0.1</v>
      </c>
    </row>
    <row r="3336">
      <c r="A3336">
        <f>IFERROR(__xludf.DUMMYFUNCTION("""COMPUTED_VALUE"""),782456.0)</f>
        <v>782456</v>
      </c>
      <c r="B3336" t="str">
        <f>IFERROR(__xludf.DUMMYFUNCTION("""COMPUTED_VALUE"""),"Cod Baked Or Broiled Made With Oil")</f>
        <v>Cod Baked Or Broiled Made With Oil</v>
      </c>
      <c r="C3336" t="str">
        <f>IFERROR(__xludf.DUMMYFUNCTION("""COMPUTED_VALUE"""),"Fish")</f>
        <v>Fish</v>
      </c>
      <c r="D3336">
        <f>IFERROR(__xludf.DUMMYFUNCTION("""COMPUTED_VALUE"""),117.0)</f>
        <v>117</v>
      </c>
      <c r="E3336">
        <f>IFERROR(__xludf.DUMMYFUNCTION("""COMPUTED_VALUE"""),4.18)</f>
        <v>4.18</v>
      </c>
      <c r="F3336">
        <f>IFERROR(__xludf.DUMMYFUNCTION("""COMPUTED_VALUE"""),18.68)</f>
        <v>18.68</v>
      </c>
      <c r="G3336">
        <f>IFERROR(__xludf.DUMMYFUNCTION("""COMPUTED_VALUE"""),0.1)</f>
        <v>0.1</v>
      </c>
    </row>
    <row r="3337">
      <c r="A3337">
        <f>IFERROR(__xludf.DUMMYFUNCTION("""COMPUTED_VALUE"""),782457.0)</f>
        <v>782457</v>
      </c>
      <c r="B3337" t="str">
        <f>IFERROR(__xludf.DUMMYFUNCTION("""COMPUTED_VALUE"""),"Cod Baked Or Broiled Made With Butter")</f>
        <v>Cod Baked Or Broiled Made With Butter</v>
      </c>
      <c r="C3337" t="str">
        <f>IFERROR(__xludf.DUMMYFUNCTION("""COMPUTED_VALUE"""),"Fish")</f>
        <v>Fish</v>
      </c>
      <c r="D3337">
        <f>IFERROR(__xludf.DUMMYFUNCTION("""COMPUTED_VALUE"""),112.0)</f>
        <v>112</v>
      </c>
      <c r="E3337">
        <f>IFERROR(__xludf.DUMMYFUNCTION("""COMPUTED_VALUE"""),3.6)</f>
        <v>3.6</v>
      </c>
      <c r="F3337">
        <f>IFERROR(__xludf.DUMMYFUNCTION("""COMPUTED_VALUE"""),18.7)</f>
        <v>18.7</v>
      </c>
      <c r="G3337">
        <f>IFERROR(__xludf.DUMMYFUNCTION("""COMPUTED_VALUE"""),0.1)</f>
        <v>0.1</v>
      </c>
    </row>
    <row r="3338">
      <c r="A3338">
        <f>IFERROR(__xludf.DUMMYFUNCTION("""COMPUTED_VALUE"""),782458.0)</f>
        <v>782458</v>
      </c>
      <c r="B3338" t="str">
        <f>IFERROR(__xludf.DUMMYFUNCTION("""COMPUTED_VALUE"""),"Cod Baked Or Broiled Made With Margarine")</f>
        <v>Cod Baked Or Broiled Made With Margarine</v>
      </c>
      <c r="C3338" t="str">
        <f>IFERROR(__xludf.DUMMYFUNCTION("""COMPUTED_VALUE"""),"Fish")</f>
        <v>Fish</v>
      </c>
      <c r="D3338">
        <f>IFERROR(__xludf.DUMMYFUNCTION("""COMPUTED_VALUE"""),105.0)</f>
        <v>105</v>
      </c>
      <c r="E3338">
        <f>IFERROR(__xludf.DUMMYFUNCTION("""COMPUTED_VALUE"""),2.81)</f>
        <v>2.81</v>
      </c>
      <c r="F3338">
        <f>IFERROR(__xludf.DUMMYFUNCTION("""COMPUTED_VALUE"""),18.66)</f>
        <v>18.66</v>
      </c>
      <c r="G3338">
        <f>IFERROR(__xludf.DUMMYFUNCTION("""COMPUTED_VALUE"""),0.13)</f>
        <v>0.13</v>
      </c>
    </row>
    <row r="3339">
      <c r="A3339">
        <f>IFERROR(__xludf.DUMMYFUNCTION("""COMPUTED_VALUE"""),782459.0)</f>
        <v>782459</v>
      </c>
      <c r="B3339" t="str">
        <f>IFERROR(__xludf.DUMMYFUNCTION("""COMPUTED_VALUE"""),"Cod Baked Or Broiled Made Without Fat")</f>
        <v>Cod Baked Or Broiled Made Without Fat</v>
      </c>
      <c r="C3339" t="str">
        <f>IFERROR(__xludf.DUMMYFUNCTION("""COMPUTED_VALUE"""),"Fish")</f>
        <v>Fish</v>
      </c>
      <c r="D3339">
        <f>IFERROR(__xludf.DUMMYFUNCTION("""COMPUTED_VALUE"""),87.0)</f>
        <v>87</v>
      </c>
      <c r="E3339">
        <f>IFERROR(__xludf.DUMMYFUNCTION("""COMPUTED_VALUE"""),0.52)</f>
        <v>0.52</v>
      </c>
      <c r="F3339">
        <f>IFERROR(__xludf.DUMMYFUNCTION("""COMPUTED_VALUE"""),19.24)</f>
        <v>19.24</v>
      </c>
      <c r="G3339">
        <f>IFERROR(__xludf.DUMMYFUNCTION("""COMPUTED_VALUE"""),0.1)</f>
        <v>0.1</v>
      </c>
    </row>
    <row r="3340">
      <c r="A3340">
        <f>IFERROR(__xludf.DUMMYFUNCTION("""COMPUTED_VALUE"""),782460.0)</f>
        <v>782460</v>
      </c>
      <c r="B3340" t="str">
        <f>IFERROR(__xludf.DUMMYFUNCTION("""COMPUTED_VALUE"""),"Cod Baked Or Broiled Made With Cooking Spray")</f>
        <v>Cod Baked Or Broiled Made With Cooking Spray</v>
      </c>
      <c r="C3340" t="str">
        <f>IFERROR(__xludf.DUMMYFUNCTION("""COMPUTED_VALUE"""),"Fish")</f>
        <v>Fish</v>
      </c>
      <c r="D3340">
        <f>IFERROR(__xludf.DUMMYFUNCTION("""COMPUTED_VALUE"""),91.0)</f>
        <v>91</v>
      </c>
      <c r="E3340">
        <f>IFERROR(__xludf.DUMMYFUNCTION("""COMPUTED_VALUE"""),0.91)</f>
        <v>0.91</v>
      </c>
      <c r="F3340">
        <f>IFERROR(__xludf.DUMMYFUNCTION("""COMPUTED_VALUE"""),19.16)</f>
        <v>19.16</v>
      </c>
      <c r="G3340">
        <f>IFERROR(__xludf.DUMMYFUNCTION("""COMPUTED_VALUE"""),0.2)</f>
        <v>0.2</v>
      </c>
    </row>
    <row r="3341">
      <c r="A3341">
        <f>IFERROR(__xludf.DUMMYFUNCTION("""COMPUTED_VALUE"""),782461.0)</f>
        <v>782461</v>
      </c>
      <c r="B3341" t="str">
        <f>IFERROR(__xludf.DUMMYFUNCTION("""COMPUTED_VALUE"""),"Cod Coated Baked Or Broiled Made With Oil")</f>
        <v>Cod Coated Baked Or Broiled Made With Oil</v>
      </c>
      <c r="C3341" t="str">
        <f>IFERROR(__xludf.DUMMYFUNCTION("""COMPUTED_VALUE"""),"Fish")</f>
        <v>Fish</v>
      </c>
      <c r="D3341">
        <f>IFERROR(__xludf.DUMMYFUNCTION("""COMPUTED_VALUE"""),181.0)</f>
        <v>181</v>
      </c>
      <c r="E3341">
        <f>IFERROR(__xludf.DUMMYFUNCTION("""COMPUTED_VALUE"""),6.73)</f>
        <v>6.73</v>
      </c>
      <c r="F3341">
        <f>IFERROR(__xludf.DUMMYFUNCTION("""COMPUTED_VALUE"""),16.55)</f>
        <v>16.55</v>
      </c>
      <c r="G3341">
        <f>IFERROR(__xludf.DUMMYFUNCTION("""COMPUTED_VALUE"""),12.52)</f>
        <v>12.52</v>
      </c>
    </row>
    <row r="3342">
      <c r="A3342">
        <f>IFERROR(__xludf.DUMMYFUNCTION("""COMPUTED_VALUE"""),782462.0)</f>
        <v>782462</v>
      </c>
      <c r="B3342" t="str">
        <f>IFERROR(__xludf.DUMMYFUNCTION("""COMPUTED_VALUE"""),"Cod Coated Baked Or Broiled Made With Butter")</f>
        <v>Cod Coated Baked Or Broiled Made With Butter</v>
      </c>
      <c r="C3342" t="str">
        <f>IFERROR(__xludf.DUMMYFUNCTION("""COMPUTED_VALUE"""),"Fish")</f>
        <v>Fish</v>
      </c>
      <c r="D3342">
        <f>IFERROR(__xludf.DUMMYFUNCTION("""COMPUTED_VALUE"""),173.0)</f>
        <v>173</v>
      </c>
      <c r="E3342">
        <f>IFERROR(__xludf.DUMMYFUNCTION("""COMPUTED_VALUE"""),5.84)</f>
        <v>5.84</v>
      </c>
      <c r="F3342">
        <f>IFERROR(__xludf.DUMMYFUNCTION("""COMPUTED_VALUE"""),16.57)</f>
        <v>16.57</v>
      </c>
      <c r="G3342">
        <f>IFERROR(__xludf.DUMMYFUNCTION("""COMPUTED_VALUE"""),12.5)</f>
        <v>12.5</v>
      </c>
    </row>
    <row r="3343">
      <c r="A3343">
        <f>IFERROR(__xludf.DUMMYFUNCTION("""COMPUTED_VALUE"""),782463.0)</f>
        <v>782463</v>
      </c>
      <c r="B3343" t="str">
        <f>IFERROR(__xludf.DUMMYFUNCTION("""COMPUTED_VALUE"""),"Cod Coated Baked Or Broiled Made With Margarine")</f>
        <v>Cod Coated Baked Or Broiled Made With Margarine</v>
      </c>
      <c r="C3343" t="str">
        <f>IFERROR(__xludf.DUMMYFUNCTION("""COMPUTED_VALUE"""),"Fish")</f>
        <v>Fish</v>
      </c>
      <c r="D3343">
        <f>IFERROR(__xludf.DUMMYFUNCTION("""COMPUTED_VALUE"""),162.0)</f>
        <v>162</v>
      </c>
      <c r="E3343">
        <f>IFERROR(__xludf.DUMMYFUNCTION("""COMPUTED_VALUE"""),4.63)</f>
        <v>4.63</v>
      </c>
      <c r="F3343">
        <f>IFERROR(__xludf.DUMMYFUNCTION("""COMPUTED_VALUE"""),16.52)</f>
        <v>16.52</v>
      </c>
      <c r="G3343">
        <f>IFERROR(__xludf.DUMMYFUNCTION("""COMPUTED_VALUE"""),12.55)</f>
        <v>12.55</v>
      </c>
    </row>
    <row r="3344">
      <c r="A3344">
        <f>IFERROR(__xludf.DUMMYFUNCTION("""COMPUTED_VALUE"""),782464.0)</f>
        <v>782464</v>
      </c>
      <c r="B3344" t="str">
        <f>IFERROR(__xludf.DUMMYFUNCTION("""COMPUTED_VALUE"""),"Cod Coated Baked Or Broiled Made Without Fat")</f>
        <v>Cod Coated Baked Or Broiled Made Without Fat</v>
      </c>
      <c r="C3344" t="str">
        <f>IFERROR(__xludf.DUMMYFUNCTION("""COMPUTED_VALUE"""),"Fish")</f>
        <v>Fish</v>
      </c>
      <c r="D3344">
        <f>IFERROR(__xludf.DUMMYFUNCTION("""COMPUTED_VALUE"""),137.0)</f>
        <v>137</v>
      </c>
      <c r="E3344">
        <f>IFERROR(__xludf.DUMMYFUNCTION("""COMPUTED_VALUE"""),1.17)</f>
        <v>1.17</v>
      </c>
      <c r="F3344">
        <f>IFERROR(__xludf.DUMMYFUNCTION("""COMPUTED_VALUE"""),17.31)</f>
        <v>17.31</v>
      </c>
      <c r="G3344">
        <f>IFERROR(__xludf.DUMMYFUNCTION("""COMPUTED_VALUE"""),13.1)</f>
        <v>13.1</v>
      </c>
    </row>
    <row r="3345">
      <c r="A3345">
        <f>IFERROR(__xludf.DUMMYFUNCTION("""COMPUTED_VALUE"""),782465.0)</f>
        <v>782465</v>
      </c>
      <c r="B3345" t="str">
        <f>IFERROR(__xludf.DUMMYFUNCTION("""COMPUTED_VALUE"""),"Cod Coated Baked Or Broiled Made With Cooking Spray")</f>
        <v>Cod Coated Baked Or Broiled Made With Cooking Spray</v>
      </c>
      <c r="C3345" t="str">
        <f>IFERROR(__xludf.DUMMYFUNCTION("""COMPUTED_VALUE"""),"Fish")</f>
        <v>Fish</v>
      </c>
      <c r="D3345">
        <f>IFERROR(__xludf.DUMMYFUNCTION("""COMPUTED_VALUE"""),140.0)</f>
        <v>140</v>
      </c>
      <c r="E3345">
        <f>IFERROR(__xludf.DUMMYFUNCTION("""COMPUTED_VALUE"""),1.47)</f>
        <v>1.47</v>
      </c>
      <c r="F3345">
        <f>IFERROR(__xludf.DUMMYFUNCTION("""COMPUTED_VALUE"""),17.26)</f>
        <v>17.26</v>
      </c>
      <c r="G3345">
        <f>IFERROR(__xludf.DUMMYFUNCTION("""COMPUTED_VALUE"""),13.14)</f>
        <v>13.14</v>
      </c>
    </row>
    <row r="3346">
      <c r="A3346">
        <f>IFERROR(__xludf.DUMMYFUNCTION("""COMPUTED_VALUE"""),782466.0)</f>
        <v>782466</v>
      </c>
      <c r="B3346" t="str">
        <f>IFERROR(__xludf.DUMMYFUNCTION("""COMPUTED_VALUE"""),"Cod Coated Fried Made With Oil")</f>
        <v>Cod Coated Fried Made With Oil</v>
      </c>
      <c r="C3346" t="str">
        <f>IFERROR(__xludf.DUMMYFUNCTION("""COMPUTED_VALUE"""),"Fish")</f>
        <v>Fish</v>
      </c>
      <c r="D3346">
        <f>IFERROR(__xludf.DUMMYFUNCTION("""COMPUTED_VALUE"""),203.0)</f>
        <v>203</v>
      </c>
      <c r="E3346">
        <f>IFERROR(__xludf.DUMMYFUNCTION("""COMPUTED_VALUE"""),10.68)</f>
        <v>10.68</v>
      </c>
      <c r="F3346">
        <f>IFERROR(__xludf.DUMMYFUNCTION("""COMPUTED_VALUE"""),16.03)</f>
        <v>16.03</v>
      </c>
      <c r="G3346">
        <f>IFERROR(__xludf.DUMMYFUNCTION("""COMPUTED_VALUE"""),9.85)</f>
        <v>9.85</v>
      </c>
    </row>
    <row r="3347">
      <c r="A3347">
        <f>IFERROR(__xludf.DUMMYFUNCTION("""COMPUTED_VALUE"""),782467.0)</f>
        <v>782467</v>
      </c>
      <c r="B3347" t="str">
        <f>IFERROR(__xludf.DUMMYFUNCTION("""COMPUTED_VALUE"""),"Cod Coated Fried Made With Butter")</f>
        <v>Cod Coated Fried Made With Butter</v>
      </c>
      <c r="C3347" t="str">
        <f>IFERROR(__xludf.DUMMYFUNCTION("""COMPUTED_VALUE"""),"Fish")</f>
        <v>Fish</v>
      </c>
      <c r="D3347">
        <f>IFERROR(__xludf.DUMMYFUNCTION("""COMPUTED_VALUE"""),188.0)</f>
        <v>188</v>
      </c>
      <c r="E3347">
        <f>IFERROR(__xludf.DUMMYFUNCTION("""COMPUTED_VALUE"""),9.03)</f>
        <v>9.03</v>
      </c>
      <c r="F3347">
        <f>IFERROR(__xludf.DUMMYFUNCTION("""COMPUTED_VALUE"""),16.1)</f>
        <v>16.1</v>
      </c>
      <c r="G3347">
        <f>IFERROR(__xludf.DUMMYFUNCTION("""COMPUTED_VALUE"""),9.86)</f>
        <v>9.86</v>
      </c>
    </row>
    <row r="3348">
      <c r="A3348">
        <f>IFERROR(__xludf.DUMMYFUNCTION("""COMPUTED_VALUE"""),782468.0)</f>
        <v>782468</v>
      </c>
      <c r="B3348" t="str">
        <f>IFERROR(__xludf.DUMMYFUNCTION("""COMPUTED_VALUE"""),"Cod Coated Fried Made With Margarine")</f>
        <v>Cod Coated Fried Made With Margarine</v>
      </c>
      <c r="C3348" t="str">
        <f>IFERROR(__xludf.DUMMYFUNCTION("""COMPUTED_VALUE"""),"Fish")</f>
        <v>Fish</v>
      </c>
      <c r="D3348">
        <f>IFERROR(__xludf.DUMMYFUNCTION("""COMPUTED_VALUE"""),172.0)</f>
        <v>172</v>
      </c>
      <c r="E3348">
        <f>IFERROR(__xludf.DUMMYFUNCTION("""COMPUTED_VALUE"""),7.18)</f>
        <v>7.18</v>
      </c>
      <c r="F3348">
        <f>IFERROR(__xludf.DUMMYFUNCTION("""COMPUTED_VALUE"""),16.05)</f>
        <v>16.05</v>
      </c>
      <c r="G3348">
        <f>IFERROR(__xludf.DUMMYFUNCTION("""COMPUTED_VALUE"""),9.93)</f>
        <v>9.93</v>
      </c>
    </row>
    <row r="3349">
      <c r="A3349">
        <f>IFERROR(__xludf.DUMMYFUNCTION("""COMPUTED_VALUE"""),782469.0)</f>
        <v>782469</v>
      </c>
      <c r="B3349" t="str">
        <f>IFERROR(__xludf.DUMMYFUNCTION("""COMPUTED_VALUE"""),"Cod Coated Fried Made Without Fat")</f>
        <v>Cod Coated Fried Made Without Fat</v>
      </c>
      <c r="C3349" t="str">
        <f>IFERROR(__xludf.DUMMYFUNCTION("""COMPUTED_VALUE"""),"Fish")</f>
        <v>Fish</v>
      </c>
      <c r="D3349">
        <f>IFERROR(__xludf.DUMMYFUNCTION("""COMPUTED_VALUE"""),148.0)</f>
        <v>148</v>
      </c>
      <c r="E3349">
        <f>IFERROR(__xludf.DUMMYFUNCTION("""COMPUTED_VALUE"""),2.31)</f>
        <v>2.31</v>
      </c>
      <c r="F3349">
        <f>IFERROR(__xludf.DUMMYFUNCTION("""COMPUTED_VALUE"""),18.87)</f>
        <v>18.87</v>
      </c>
      <c r="G3349">
        <f>IFERROR(__xludf.DUMMYFUNCTION("""COMPUTED_VALUE"""),11.6)</f>
        <v>11.6</v>
      </c>
    </row>
    <row r="3350">
      <c r="A3350">
        <f>IFERROR(__xludf.DUMMYFUNCTION("""COMPUTED_VALUE"""),782470.0)</f>
        <v>782470</v>
      </c>
      <c r="B3350" t="str">
        <f>IFERROR(__xludf.DUMMYFUNCTION("""COMPUTED_VALUE"""),"Cod Coated Fried Made With Cooking Spray")</f>
        <v>Cod Coated Fried Made With Cooking Spray</v>
      </c>
      <c r="C3350" t="str">
        <f>IFERROR(__xludf.DUMMYFUNCTION("""COMPUTED_VALUE"""),"Fish")</f>
        <v>Fish</v>
      </c>
      <c r="D3350">
        <f>IFERROR(__xludf.DUMMYFUNCTION("""COMPUTED_VALUE"""),151.0)</f>
        <v>151</v>
      </c>
      <c r="E3350">
        <f>IFERROR(__xludf.DUMMYFUNCTION("""COMPUTED_VALUE"""),2.62)</f>
        <v>2.62</v>
      </c>
      <c r="F3350">
        <f>IFERROR(__xludf.DUMMYFUNCTION("""COMPUTED_VALUE"""),18.81)</f>
        <v>18.81</v>
      </c>
      <c r="G3350">
        <f>IFERROR(__xludf.DUMMYFUNCTION("""COMPUTED_VALUE"""),11.64)</f>
        <v>11.64</v>
      </c>
    </row>
    <row r="3351">
      <c r="A3351">
        <f>IFERROR(__xludf.DUMMYFUNCTION("""COMPUTED_VALUE"""),782471.0)</f>
        <v>782471</v>
      </c>
      <c r="B3351" t="str">
        <f>IFERROR(__xludf.DUMMYFUNCTION("""COMPUTED_VALUE"""),"Cod Steamed Or Poached")</f>
        <v>Cod Steamed Or Poached</v>
      </c>
      <c r="C3351" t="str">
        <f>IFERROR(__xludf.DUMMYFUNCTION("""COMPUTED_VALUE"""),"Fish")</f>
        <v>Fish</v>
      </c>
      <c r="D3351">
        <f>IFERROR(__xludf.DUMMYFUNCTION("""COMPUTED_VALUE"""),87.0)</f>
        <v>87</v>
      </c>
      <c r="E3351">
        <f>IFERROR(__xludf.DUMMYFUNCTION("""COMPUTED_VALUE"""),0.52)</f>
        <v>0.52</v>
      </c>
      <c r="F3351">
        <f>IFERROR(__xludf.DUMMYFUNCTION("""COMPUTED_VALUE"""),19.2)</f>
        <v>19.2</v>
      </c>
      <c r="G3351">
        <f>IFERROR(__xludf.DUMMYFUNCTION("""COMPUTED_VALUE"""),0.0)</f>
        <v>0</v>
      </c>
    </row>
    <row r="3352">
      <c r="A3352">
        <f>IFERROR(__xludf.DUMMYFUNCTION("""COMPUTED_VALUE"""),782474.0)</f>
        <v>782474</v>
      </c>
      <c r="B3352" t="str">
        <f>IFERROR(__xludf.DUMMYFUNCTION("""COMPUTED_VALUE"""),"Cod Smoked")</f>
        <v>Cod Smoked</v>
      </c>
      <c r="C3352" t="str">
        <f>IFERROR(__xludf.DUMMYFUNCTION("""COMPUTED_VALUE"""),"Fish")</f>
        <v>Fish</v>
      </c>
      <c r="D3352">
        <f>IFERROR(__xludf.DUMMYFUNCTION("""COMPUTED_VALUE"""),108.0)</f>
        <v>108</v>
      </c>
      <c r="E3352">
        <f>IFERROR(__xludf.DUMMYFUNCTION("""COMPUTED_VALUE"""),0.64)</f>
        <v>0.64</v>
      </c>
      <c r="F3352">
        <f>IFERROR(__xludf.DUMMYFUNCTION("""COMPUTED_VALUE"""),23.91)</f>
        <v>23.91</v>
      </c>
      <c r="G3352">
        <f>IFERROR(__xludf.DUMMYFUNCTION("""COMPUTED_VALUE"""),0.0)</f>
        <v>0</v>
      </c>
    </row>
    <row r="3353">
      <c r="A3353">
        <f>IFERROR(__xludf.DUMMYFUNCTION("""COMPUTED_VALUE"""),782475.0)</f>
        <v>782475</v>
      </c>
      <c r="B3353" t="str">
        <f>IFERROR(__xludf.DUMMYFUNCTION("""COMPUTED_VALUE"""),"Croaker Cooked Ns As To Cooking Method")</f>
        <v>Croaker Cooked Ns As To Cooking Method</v>
      </c>
      <c r="C3353" t="str">
        <f>IFERROR(__xludf.DUMMYFUNCTION("""COMPUTED_VALUE"""),"Fish")</f>
        <v>Fish</v>
      </c>
      <c r="D3353">
        <f>IFERROR(__xludf.DUMMYFUNCTION("""COMPUTED_VALUE"""),160.0)</f>
        <v>160</v>
      </c>
      <c r="E3353">
        <f>IFERROR(__xludf.DUMMYFUNCTION("""COMPUTED_VALUE"""),7.56)</f>
        <v>7.56</v>
      </c>
      <c r="F3353">
        <f>IFERROR(__xludf.DUMMYFUNCTION("""COMPUTED_VALUE"""),21.76)</f>
        <v>21.76</v>
      </c>
      <c r="G3353">
        <f>IFERROR(__xludf.DUMMYFUNCTION("""COMPUTED_VALUE"""),0.1)</f>
        <v>0.1</v>
      </c>
    </row>
    <row r="3354">
      <c r="A3354">
        <f>IFERROR(__xludf.DUMMYFUNCTION("""COMPUTED_VALUE"""),782476.0)</f>
        <v>782476</v>
      </c>
      <c r="B3354" t="str">
        <f>IFERROR(__xludf.DUMMYFUNCTION("""COMPUTED_VALUE"""),"Croaker Baked Or Broiled Fat Added In Cooking")</f>
        <v>Croaker Baked Or Broiled Fat Added In Cooking</v>
      </c>
      <c r="C3354" t="str">
        <f>IFERROR(__xludf.DUMMYFUNCTION("""COMPUTED_VALUE"""),"Fish")</f>
        <v>Fish</v>
      </c>
      <c r="D3354">
        <f>IFERROR(__xludf.DUMMYFUNCTION("""COMPUTED_VALUE"""),160.0)</f>
        <v>160</v>
      </c>
      <c r="E3354">
        <f>IFERROR(__xludf.DUMMYFUNCTION("""COMPUTED_VALUE"""),7.56)</f>
        <v>7.56</v>
      </c>
      <c r="F3354">
        <f>IFERROR(__xludf.DUMMYFUNCTION("""COMPUTED_VALUE"""),21.76)</f>
        <v>21.76</v>
      </c>
      <c r="G3354">
        <f>IFERROR(__xludf.DUMMYFUNCTION("""COMPUTED_VALUE"""),0.1)</f>
        <v>0.1</v>
      </c>
    </row>
    <row r="3355">
      <c r="A3355">
        <f>IFERROR(__xludf.DUMMYFUNCTION("""COMPUTED_VALUE"""),782477.0)</f>
        <v>782477</v>
      </c>
      <c r="B3355" t="str">
        <f>IFERROR(__xludf.DUMMYFUNCTION("""COMPUTED_VALUE"""),"Croaker Baked Or Broiled Fat Not Added In Cooking")</f>
        <v>Croaker Baked Or Broiled Fat Not Added In Cooking</v>
      </c>
      <c r="C3355" t="str">
        <f>IFERROR(__xludf.DUMMYFUNCTION("""COMPUTED_VALUE"""),"Fish")</f>
        <v>Fish</v>
      </c>
      <c r="D3355">
        <f>IFERROR(__xludf.DUMMYFUNCTION("""COMPUTED_VALUE"""),131.0)</f>
        <v>131</v>
      </c>
      <c r="E3355">
        <f>IFERROR(__xludf.DUMMYFUNCTION("""COMPUTED_VALUE"""),4.0)</f>
        <v>4</v>
      </c>
      <c r="F3355">
        <f>IFERROR(__xludf.DUMMYFUNCTION("""COMPUTED_VALUE"""),22.4)</f>
        <v>22.4</v>
      </c>
      <c r="G3355">
        <f>IFERROR(__xludf.DUMMYFUNCTION("""COMPUTED_VALUE"""),0.1)</f>
        <v>0.1</v>
      </c>
    </row>
    <row r="3356">
      <c r="A3356">
        <f>IFERROR(__xludf.DUMMYFUNCTION("""COMPUTED_VALUE"""),782478.0)</f>
        <v>782478</v>
      </c>
      <c r="B3356" t="str">
        <f>IFERROR(__xludf.DUMMYFUNCTION("""COMPUTED_VALUE"""),"Croaker Coated Baked Or Broiled Fat Added In Cooking")</f>
        <v>Croaker Coated Baked Or Broiled Fat Added In Cooking</v>
      </c>
      <c r="C3356" t="str">
        <f>IFERROR(__xludf.DUMMYFUNCTION("""COMPUTED_VALUE"""),"Fish")</f>
        <v>Fish</v>
      </c>
      <c r="D3356">
        <f>IFERROR(__xludf.DUMMYFUNCTION("""COMPUTED_VALUE"""),214.0)</f>
        <v>214</v>
      </c>
      <c r="E3356">
        <f>IFERROR(__xludf.DUMMYFUNCTION("""COMPUTED_VALUE"""),9.3)</f>
        <v>9.3</v>
      </c>
      <c r="F3356">
        <f>IFERROR(__xludf.DUMMYFUNCTION("""COMPUTED_VALUE"""),18.89)</f>
        <v>18.89</v>
      </c>
      <c r="G3356">
        <f>IFERROR(__xludf.DUMMYFUNCTION("""COMPUTED_VALUE"""),12.52)</f>
        <v>12.52</v>
      </c>
    </row>
    <row r="3357">
      <c r="A3357">
        <f>IFERROR(__xludf.DUMMYFUNCTION("""COMPUTED_VALUE"""),782479.0)</f>
        <v>782479</v>
      </c>
      <c r="B3357" t="str">
        <f>IFERROR(__xludf.DUMMYFUNCTION("""COMPUTED_VALUE"""),"Croaker Coated Baked Or Broiled Fat Not Added In Cooking")</f>
        <v>Croaker Coated Baked Or Broiled Fat Not Added In Cooking</v>
      </c>
      <c r="C3357" t="str">
        <f>IFERROR(__xludf.DUMMYFUNCTION("""COMPUTED_VALUE"""),"Fish")</f>
        <v>Fish</v>
      </c>
      <c r="D3357">
        <f>IFERROR(__xludf.DUMMYFUNCTION("""COMPUTED_VALUE"""),172.0)</f>
        <v>172</v>
      </c>
      <c r="E3357">
        <f>IFERROR(__xludf.DUMMYFUNCTION("""COMPUTED_VALUE"""),3.86)</f>
        <v>3.86</v>
      </c>
      <c r="F3357">
        <f>IFERROR(__xludf.DUMMYFUNCTION("""COMPUTED_VALUE"""),19.76)</f>
        <v>19.76</v>
      </c>
      <c r="G3357">
        <f>IFERROR(__xludf.DUMMYFUNCTION("""COMPUTED_VALUE"""),13.1)</f>
        <v>13.1</v>
      </c>
    </row>
    <row r="3358">
      <c r="A3358">
        <f>IFERROR(__xludf.DUMMYFUNCTION("""COMPUTED_VALUE"""),782480.0)</f>
        <v>782480</v>
      </c>
      <c r="B3358" t="str">
        <f>IFERROR(__xludf.DUMMYFUNCTION("""COMPUTED_VALUE"""),"Croaker Coated Fried")</f>
        <v>Croaker Coated Fried</v>
      </c>
      <c r="C3358" t="str">
        <f>IFERROR(__xludf.DUMMYFUNCTION("""COMPUTED_VALUE"""),"Fish")</f>
        <v>Fish</v>
      </c>
      <c r="D3358">
        <f>IFERROR(__xludf.DUMMYFUNCTION("""COMPUTED_VALUE"""),233.0)</f>
        <v>233</v>
      </c>
      <c r="E3358">
        <f>IFERROR(__xludf.DUMMYFUNCTION("""COMPUTED_VALUE"""),13.03)</f>
        <v>13.03</v>
      </c>
      <c r="F3358">
        <f>IFERROR(__xludf.DUMMYFUNCTION("""COMPUTED_VALUE"""),18.17)</f>
        <v>18.17</v>
      </c>
      <c r="G3358">
        <f>IFERROR(__xludf.DUMMYFUNCTION("""COMPUTED_VALUE"""),9.85)</f>
        <v>9.85</v>
      </c>
    </row>
    <row r="3359">
      <c r="A3359">
        <f>IFERROR(__xludf.DUMMYFUNCTION("""COMPUTED_VALUE"""),782481.0)</f>
        <v>782481</v>
      </c>
      <c r="B3359" t="str">
        <f>IFERROR(__xludf.DUMMYFUNCTION("""COMPUTED_VALUE"""),"Croaker Steamed Or Poached")</f>
        <v>Croaker Steamed Or Poached</v>
      </c>
      <c r="C3359" t="str">
        <f>IFERROR(__xludf.DUMMYFUNCTION("""COMPUTED_VALUE"""),"Fish")</f>
        <v>Fish</v>
      </c>
      <c r="D3359">
        <f>IFERROR(__xludf.DUMMYFUNCTION("""COMPUTED_VALUE"""),131.0)</f>
        <v>131</v>
      </c>
      <c r="E3359">
        <f>IFERROR(__xludf.DUMMYFUNCTION("""COMPUTED_VALUE"""),3.99)</f>
        <v>3.99</v>
      </c>
      <c r="F3359">
        <f>IFERROR(__xludf.DUMMYFUNCTION("""COMPUTED_VALUE"""),22.36)</f>
        <v>22.36</v>
      </c>
      <c r="G3359">
        <f>IFERROR(__xludf.DUMMYFUNCTION("""COMPUTED_VALUE"""),0.0)</f>
        <v>0</v>
      </c>
    </row>
    <row r="3360">
      <c r="A3360">
        <f>IFERROR(__xludf.DUMMYFUNCTION("""COMPUTED_VALUE"""),782482.0)</f>
        <v>782482</v>
      </c>
      <c r="B3360" t="str">
        <f>IFERROR(__xludf.DUMMYFUNCTION("""COMPUTED_VALUE"""),"Eel Cooked Ns As To Cooking Method")</f>
        <v>Eel Cooked Ns As To Cooking Method</v>
      </c>
      <c r="C3360" t="str">
        <f>IFERROR(__xludf.DUMMYFUNCTION("""COMPUTED_VALUE"""),"Fish")</f>
        <v>Fish</v>
      </c>
      <c r="D3360">
        <f>IFERROR(__xludf.DUMMYFUNCTION("""COMPUTED_VALUE"""),298.0)</f>
        <v>298</v>
      </c>
      <c r="E3360">
        <f>IFERROR(__xludf.DUMMYFUNCTION("""COMPUTED_VALUE"""),20.09)</f>
        <v>20.09</v>
      </c>
      <c r="F3360">
        <f>IFERROR(__xludf.DUMMYFUNCTION("""COMPUTED_VALUE"""),18.67)</f>
        <v>18.67</v>
      </c>
      <c r="G3360">
        <f>IFERROR(__xludf.DUMMYFUNCTION("""COMPUTED_VALUE"""),9.34)</f>
        <v>9.34</v>
      </c>
    </row>
    <row r="3361">
      <c r="A3361">
        <f>IFERROR(__xludf.DUMMYFUNCTION("""COMPUTED_VALUE"""),782483.0)</f>
        <v>782483</v>
      </c>
      <c r="B3361" t="str">
        <f>IFERROR(__xludf.DUMMYFUNCTION("""COMPUTED_VALUE"""),"Eel Steamed Or Poached")</f>
        <v>Eel Steamed Or Poached</v>
      </c>
      <c r="C3361" t="str">
        <f>IFERROR(__xludf.DUMMYFUNCTION("""COMPUTED_VALUE"""),"Fish")</f>
        <v>Fish</v>
      </c>
      <c r="D3361">
        <f>IFERROR(__xludf.DUMMYFUNCTION("""COMPUTED_VALUE"""),231.0)</f>
        <v>231</v>
      </c>
      <c r="E3361">
        <f>IFERROR(__xludf.DUMMYFUNCTION("""COMPUTED_VALUE"""),14.66)</f>
        <v>14.66</v>
      </c>
      <c r="F3361">
        <f>IFERROR(__xludf.DUMMYFUNCTION("""COMPUTED_VALUE"""),23.19)</f>
        <v>23.19</v>
      </c>
      <c r="G3361">
        <f>IFERROR(__xludf.DUMMYFUNCTION("""COMPUTED_VALUE"""),0.0)</f>
        <v>0</v>
      </c>
    </row>
    <row r="3362">
      <c r="A3362">
        <f>IFERROR(__xludf.DUMMYFUNCTION("""COMPUTED_VALUE"""),782484.0)</f>
        <v>782484</v>
      </c>
      <c r="B3362" t="str">
        <f>IFERROR(__xludf.DUMMYFUNCTION("""COMPUTED_VALUE"""),"Eel Smoked")</f>
        <v>Eel Smoked</v>
      </c>
      <c r="C3362" t="str">
        <f>IFERROR(__xludf.DUMMYFUNCTION("""COMPUTED_VALUE"""),"Fish")</f>
        <v>Fish</v>
      </c>
      <c r="D3362">
        <f>IFERROR(__xludf.DUMMYFUNCTION("""COMPUTED_VALUE"""),287.0)</f>
        <v>287</v>
      </c>
      <c r="E3362">
        <f>IFERROR(__xludf.DUMMYFUNCTION("""COMPUTED_VALUE"""),18.17)</f>
        <v>18.17</v>
      </c>
      <c r="F3362">
        <f>IFERROR(__xludf.DUMMYFUNCTION("""COMPUTED_VALUE"""),28.73)</f>
        <v>28.73</v>
      </c>
      <c r="G3362">
        <f>IFERROR(__xludf.DUMMYFUNCTION("""COMPUTED_VALUE"""),0.0)</f>
        <v>0</v>
      </c>
    </row>
    <row r="3363">
      <c r="A3363">
        <f>IFERROR(__xludf.DUMMYFUNCTION("""COMPUTED_VALUE"""),782486.0)</f>
        <v>782486</v>
      </c>
      <c r="B3363" t="str">
        <f>IFERROR(__xludf.DUMMYFUNCTION("""COMPUTED_VALUE"""),"Flounder Cooked Ns As To Cooking Method")</f>
        <v>Flounder Cooked Ns As To Cooking Method</v>
      </c>
      <c r="C3363" t="str">
        <f>IFERROR(__xludf.DUMMYFUNCTION("""COMPUTED_VALUE"""),"Fish")</f>
        <v>Fish</v>
      </c>
      <c r="D3363">
        <f>IFERROR(__xludf.DUMMYFUNCTION("""COMPUTED_VALUE"""),204.0)</f>
        <v>204</v>
      </c>
      <c r="E3363">
        <f>IFERROR(__xludf.DUMMYFUNCTION("""COMPUTED_VALUE"""),11.98)</f>
        <v>11.98</v>
      </c>
      <c r="F3363">
        <f>IFERROR(__xludf.DUMMYFUNCTION("""COMPUTED_VALUE"""),13.59)</f>
        <v>13.59</v>
      </c>
      <c r="G3363">
        <f>IFERROR(__xludf.DUMMYFUNCTION("""COMPUTED_VALUE"""),9.86)</f>
        <v>9.86</v>
      </c>
    </row>
    <row r="3364">
      <c r="A3364">
        <f>IFERROR(__xludf.DUMMYFUNCTION("""COMPUTED_VALUE"""),782487.0)</f>
        <v>782487</v>
      </c>
      <c r="B3364" t="str">
        <f>IFERROR(__xludf.DUMMYFUNCTION("""COMPUTED_VALUE"""),"Flounder Baked Or Broiled Made With Oil")</f>
        <v>Flounder Baked Or Broiled Made With Oil</v>
      </c>
      <c r="C3364" t="str">
        <f>IFERROR(__xludf.DUMMYFUNCTION("""COMPUTED_VALUE"""),"Fish")</f>
        <v>Fish</v>
      </c>
      <c r="D3364">
        <f>IFERROR(__xludf.DUMMYFUNCTION("""COMPUTED_VALUE"""),118.0)</f>
        <v>118</v>
      </c>
      <c r="E3364">
        <f>IFERROR(__xludf.DUMMYFUNCTION("""COMPUTED_VALUE"""),6.04)</f>
        <v>6.04</v>
      </c>
      <c r="F3364">
        <f>IFERROR(__xludf.DUMMYFUNCTION("""COMPUTED_VALUE"""),15.19)</f>
        <v>15.19</v>
      </c>
      <c r="G3364">
        <f>IFERROR(__xludf.DUMMYFUNCTION("""COMPUTED_VALUE"""),0.1)</f>
        <v>0.1</v>
      </c>
    </row>
    <row r="3365">
      <c r="A3365">
        <f>IFERROR(__xludf.DUMMYFUNCTION("""COMPUTED_VALUE"""),782488.0)</f>
        <v>782488</v>
      </c>
      <c r="B3365" t="str">
        <f>IFERROR(__xludf.DUMMYFUNCTION("""COMPUTED_VALUE"""),"Flounder Baked Or Broiled Made With Butter")</f>
        <v>Flounder Baked Or Broiled Made With Butter</v>
      </c>
      <c r="C3365" t="str">
        <f>IFERROR(__xludf.DUMMYFUNCTION("""COMPUTED_VALUE"""),"Fish")</f>
        <v>Fish</v>
      </c>
      <c r="D3365">
        <f>IFERROR(__xludf.DUMMYFUNCTION("""COMPUTED_VALUE"""),113.0)</f>
        <v>113</v>
      </c>
      <c r="E3365">
        <f>IFERROR(__xludf.DUMMYFUNCTION("""COMPUTED_VALUE"""),5.46)</f>
        <v>5.46</v>
      </c>
      <c r="F3365">
        <f>IFERROR(__xludf.DUMMYFUNCTION("""COMPUTED_VALUE"""),15.2)</f>
        <v>15.2</v>
      </c>
      <c r="G3365">
        <f>IFERROR(__xludf.DUMMYFUNCTION("""COMPUTED_VALUE"""),0.1)</f>
        <v>0.1</v>
      </c>
    </row>
    <row r="3366">
      <c r="A3366">
        <f>IFERROR(__xludf.DUMMYFUNCTION("""COMPUTED_VALUE"""),782489.0)</f>
        <v>782489</v>
      </c>
      <c r="B3366" t="str">
        <f>IFERROR(__xludf.DUMMYFUNCTION("""COMPUTED_VALUE"""),"Flounder Baked Or Broiled Made With Margarine")</f>
        <v>Flounder Baked Or Broiled Made With Margarine</v>
      </c>
      <c r="C3366" t="str">
        <f>IFERROR(__xludf.DUMMYFUNCTION("""COMPUTED_VALUE"""),"Fish")</f>
        <v>Fish</v>
      </c>
      <c r="D3366">
        <f>IFERROR(__xludf.DUMMYFUNCTION("""COMPUTED_VALUE"""),106.0)</f>
        <v>106</v>
      </c>
      <c r="E3366">
        <f>IFERROR(__xludf.DUMMYFUNCTION("""COMPUTED_VALUE"""),4.67)</f>
        <v>4.67</v>
      </c>
      <c r="F3366">
        <f>IFERROR(__xludf.DUMMYFUNCTION("""COMPUTED_VALUE"""),15.17)</f>
        <v>15.17</v>
      </c>
      <c r="G3366">
        <f>IFERROR(__xludf.DUMMYFUNCTION("""COMPUTED_VALUE"""),0.13)</f>
        <v>0.13</v>
      </c>
    </row>
    <row r="3367">
      <c r="A3367">
        <f>IFERROR(__xludf.DUMMYFUNCTION("""COMPUTED_VALUE"""),782490.0)</f>
        <v>782490</v>
      </c>
      <c r="B3367" t="str">
        <f>IFERROR(__xludf.DUMMYFUNCTION("""COMPUTED_VALUE"""),"Flounder Baked Or Broiled Made Without Fat")</f>
        <v>Flounder Baked Or Broiled Made Without Fat</v>
      </c>
      <c r="C3367" t="str">
        <f>IFERROR(__xludf.DUMMYFUNCTION("""COMPUTED_VALUE"""),"Fish")</f>
        <v>Fish</v>
      </c>
      <c r="D3367">
        <f>IFERROR(__xludf.DUMMYFUNCTION("""COMPUTED_VALUE"""),88.0)</f>
        <v>88</v>
      </c>
      <c r="E3367">
        <f>IFERROR(__xludf.DUMMYFUNCTION("""COMPUTED_VALUE"""),2.43)</f>
        <v>2.43</v>
      </c>
      <c r="F3367">
        <f>IFERROR(__xludf.DUMMYFUNCTION("""COMPUTED_VALUE"""),15.63)</f>
        <v>15.63</v>
      </c>
      <c r="G3367">
        <f>IFERROR(__xludf.DUMMYFUNCTION("""COMPUTED_VALUE"""),0.1)</f>
        <v>0.1</v>
      </c>
    </row>
    <row r="3368">
      <c r="A3368">
        <f>IFERROR(__xludf.DUMMYFUNCTION("""COMPUTED_VALUE"""),782491.0)</f>
        <v>782491</v>
      </c>
      <c r="B3368" t="str">
        <f>IFERROR(__xludf.DUMMYFUNCTION("""COMPUTED_VALUE"""),"Flounder Baked Or Broiled Made With Cooking Spray")</f>
        <v>Flounder Baked Or Broiled Made With Cooking Spray</v>
      </c>
      <c r="C3368" t="str">
        <f>IFERROR(__xludf.DUMMYFUNCTION("""COMPUTED_VALUE"""),"Fish")</f>
        <v>Fish</v>
      </c>
      <c r="D3368">
        <f>IFERROR(__xludf.DUMMYFUNCTION("""COMPUTED_VALUE"""),92.0)</f>
        <v>92</v>
      </c>
      <c r="E3368">
        <f>IFERROR(__xludf.DUMMYFUNCTION("""COMPUTED_VALUE"""),2.82)</f>
        <v>2.82</v>
      </c>
      <c r="F3368">
        <f>IFERROR(__xludf.DUMMYFUNCTION("""COMPUTED_VALUE"""),15.57)</f>
        <v>15.57</v>
      </c>
      <c r="G3368">
        <f>IFERROR(__xludf.DUMMYFUNCTION("""COMPUTED_VALUE"""),0.2)</f>
        <v>0.2</v>
      </c>
    </row>
    <row r="3369">
      <c r="A3369">
        <f>IFERROR(__xludf.DUMMYFUNCTION("""COMPUTED_VALUE"""),782492.0)</f>
        <v>782492</v>
      </c>
      <c r="B3369" t="str">
        <f>IFERROR(__xludf.DUMMYFUNCTION("""COMPUTED_VALUE"""),"Flounder Coated Baked Or Broiled Made With Oil")</f>
        <v>Flounder Coated Baked Or Broiled Made With Oil</v>
      </c>
      <c r="C3369" t="str">
        <f>IFERROR(__xludf.DUMMYFUNCTION("""COMPUTED_VALUE"""),"Fish")</f>
        <v>Fish</v>
      </c>
      <c r="D3369">
        <f>IFERROR(__xludf.DUMMYFUNCTION("""COMPUTED_VALUE"""),182.0)</f>
        <v>182</v>
      </c>
      <c r="E3369">
        <f>IFERROR(__xludf.DUMMYFUNCTION("""COMPUTED_VALUE"""),8.15)</f>
        <v>8.15</v>
      </c>
      <c r="F3369">
        <f>IFERROR(__xludf.DUMMYFUNCTION("""COMPUTED_VALUE"""),13.88)</f>
        <v>13.88</v>
      </c>
      <c r="G3369">
        <f>IFERROR(__xludf.DUMMYFUNCTION("""COMPUTED_VALUE"""),12.52)</f>
        <v>12.52</v>
      </c>
    </row>
    <row r="3370">
      <c r="A3370">
        <f>IFERROR(__xludf.DUMMYFUNCTION("""COMPUTED_VALUE"""),782493.0)</f>
        <v>782493</v>
      </c>
      <c r="B3370" t="str">
        <f>IFERROR(__xludf.DUMMYFUNCTION("""COMPUTED_VALUE"""),"Flounder Coated Baked Or Broiled Made With Butter")</f>
        <v>Flounder Coated Baked Or Broiled Made With Butter</v>
      </c>
      <c r="C3370" t="str">
        <f>IFERROR(__xludf.DUMMYFUNCTION("""COMPUTED_VALUE"""),"Fish")</f>
        <v>Fish</v>
      </c>
      <c r="D3370">
        <f>IFERROR(__xludf.DUMMYFUNCTION("""COMPUTED_VALUE"""),174.0)</f>
        <v>174</v>
      </c>
      <c r="E3370">
        <f>IFERROR(__xludf.DUMMYFUNCTION("""COMPUTED_VALUE"""),7.26)</f>
        <v>7.26</v>
      </c>
      <c r="F3370">
        <f>IFERROR(__xludf.DUMMYFUNCTION("""COMPUTED_VALUE"""),13.9)</f>
        <v>13.9</v>
      </c>
      <c r="G3370">
        <f>IFERROR(__xludf.DUMMYFUNCTION("""COMPUTED_VALUE"""),12.5)</f>
        <v>12.5</v>
      </c>
    </row>
    <row r="3371">
      <c r="A3371">
        <f>IFERROR(__xludf.DUMMYFUNCTION("""COMPUTED_VALUE"""),782494.0)</f>
        <v>782494</v>
      </c>
      <c r="B3371" t="str">
        <f>IFERROR(__xludf.DUMMYFUNCTION("""COMPUTED_VALUE"""),"Flounder Coated Baked Or Broiled Made With Margarine")</f>
        <v>Flounder Coated Baked Or Broiled Made With Margarine</v>
      </c>
      <c r="C3371" t="str">
        <f>IFERROR(__xludf.DUMMYFUNCTION("""COMPUTED_VALUE"""),"Fish")</f>
        <v>Fish</v>
      </c>
      <c r="D3371">
        <f>IFERROR(__xludf.DUMMYFUNCTION("""COMPUTED_VALUE"""),163.0)</f>
        <v>163</v>
      </c>
      <c r="E3371">
        <f>IFERROR(__xludf.DUMMYFUNCTION("""COMPUTED_VALUE"""),6.05)</f>
        <v>6.05</v>
      </c>
      <c r="F3371">
        <f>IFERROR(__xludf.DUMMYFUNCTION("""COMPUTED_VALUE"""),13.86)</f>
        <v>13.86</v>
      </c>
      <c r="G3371">
        <f>IFERROR(__xludf.DUMMYFUNCTION("""COMPUTED_VALUE"""),12.55)</f>
        <v>12.55</v>
      </c>
    </row>
    <row r="3372">
      <c r="A3372">
        <f>IFERROR(__xludf.DUMMYFUNCTION("""COMPUTED_VALUE"""),782495.0)</f>
        <v>782495</v>
      </c>
      <c r="B3372" t="str">
        <f>IFERROR(__xludf.DUMMYFUNCTION("""COMPUTED_VALUE"""),"Flounder Coated Baked Or Broiled Made Without Fat")</f>
        <v>Flounder Coated Baked Or Broiled Made Without Fat</v>
      </c>
      <c r="C3372" t="str">
        <f>IFERROR(__xludf.DUMMYFUNCTION("""COMPUTED_VALUE"""),"Fish")</f>
        <v>Fish</v>
      </c>
      <c r="D3372">
        <f>IFERROR(__xludf.DUMMYFUNCTION("""COMPUTED_VALUE"""),138.0)</f>
        <v>138</v>
      </c>
      <c r="E3372">
        <f>IFERROR(__xludf.DUMMYFUNCTION("""COMPUTED_VALUE"""),2.65)</f>
        <v>2.65</v>
      </c>
      <c r="F3372">
        <f>IFERROR(__xludf.DUMMYFUNCTION("""COMPUTED_VALUE"""),14.52)</f>
        <v>14.52</v>
      </c>
      <c r="G3372">
        <f>IFERROR(__xludf.DUMMYFUNCTION("""COMPUTED_VALUE"""),13.1)</f>
        <v>13.1</v>
      </c>
    </row>
    <row r="3373">
      <c r="A3373">
        <f>IFERROR(__xludf.DUMMYFUNCTION("""COMPUTED_VALUE"""),782496.0)</f>
        <v>782496</v>
      </c>
      <c r="B3373" t="str">
        <f>IFERROR(__xludf.DUMMYFUNCTION("""COMPUTED_VALUE"""),"Flounder Coated Baked Or Broiled Made With Cooking Spray")</f>
        <v>Flounder Coated Baked Or Broiled Made With Cooking Spray</v>
      </c>
      <c r="C3373" t="str">
        <f>IFERROR(__xludf.DUMMYFUNCTION("""COMPUTED_VALUE"""),"Fish")</f>
        <v>Fish</v>
      </c>
      <c r="D3373">
        <f>IFERROR(__xludf.DUMMYFUNCTION("""COMPUTED_VALUE"""),141.0)</f>
        <v>141</v>
      </c>
      <c r="E3373">
        <f>IFERROR(__xludf.DUMMYFUNCTION("""COMPUTED_VALUE"""),2.95)</f>
        <v>2.95</v>
      </c>
      <c r="F3373">
        <f>IFERROR(__xludf.DUMMYFUNCTION("""COMPUTED_VALUE"""),14.47)</f>
        <v>14.47</v>
      </c>
      <c r="G3373">
        <f>IFERROR(__xludf.DUMMYFUNCTION("""COMPUTED_VALUE"""),13.14)</f>
        <v>13.14</v>
      </c>
    </row>
    <row r="3374">
      <c r="A3374">
        <f>IFERROR(__xludf.DUMMYFUNCTION("""COMPUTED_VALUE"""),782497.0)</f>
        <v>782497</v>
      </c>
      <c r="B3374" t="str">
        <f>IFERROR(__xludf.DUMMYFUNCTION("""COMPUTED_VALUE"""),"Flounder Coated Fried Made With Oil")</f>
        <v>Flounder Coated Fried Made With Oil</v>
      </c>
      <c r="C3374" t="str">
        <f>IFERROR(__xludf.DUMMYFUNCTION("""COMPUTED_VALUE"""),"Fish")</f>
        <v>Fish</v>
      </c>
      <c r="D3374">
        <f>IFERROR(__xludf.DUMMYFUNCTION("""COMPUTED_VALUE"""),204.0)</f>
        <v>204</v>
      </c>
      <c r="E3374">
        <f>IFERROR(__xludf.DUMMYFUNCTION("""COMPUTED_VALUE"""),11.98)</f>
        <v>11.98</v>
      </c>
      <c r="F3374">
        <f>IFERROR(__xludf.DUMMYFUNCTION("""COMPUTED_VALUE"""),13.59)</f>
        <v>13.59</v>
      </c>
      <c r="G3374">
        <f>IFERROR(__xludf.DUMMYFUNCTION("""COMPUTED_VALUE"""),9.85)</f>
        <v>9.85</v>
      </c>
    </row>
    <row r="3375">
      <c r="A3375">
        <f>IFERROR(__xludf.DUMMYFUNCTION("""COMPUTED_VALUE"""),782498.0)</f>
        <v>782498</v>
      </c>
      <c r="B3375" t="str">
        <f>IFERROR(__xludf.DUMMYFUNCTION("""COMPUTED_VALUE"""),"Flounder Coated Fried Made With Butter")</f>
        <v>Flounder Coated Fried Made With Butter</v>
      </c>
      <c r="C3375" t="str">
        <f>IFERROR(__xludf.DUMMYFUNCTION("""COMPUTED_VALUE"""),"Fish")</f>
        <v>Fish</v>
      </c>
      <c r="D3375">
        <f>IFERROR(__xludf.DUMMYFUNCTION("""COMPUTED_VALUE"""),189.0)</f>
        <v>189</v>
      </c>
      <c r="E3375">
        <f>IFERROR(__xludf.DUMMYFUNCTION("""COMPUTED_VALUE"""),10.33)</f>
        <v>10.33</v>
      </c>
      <c r="F3375">
        <f>IFERROR(__xludf.DUMMYFUNCTION("""COMPUTED_VALUE"""),13.66)</f>
        <v>13.66</v>
      </c>
      <c r="G3375">
        <f>IFERROR(__xludf.DUMMYFUNCTION("""COMPUTED_VALUE"""),9.86)</f>
        <v>9.86</v>
      </c>
    </row>
    <row r="3376">
      <c r="A3376">
        <f>IFERROR(__xludf.DUMMYFUNCTION("""COMPUTED_VALUE"""),782499.0)</f>
        <v>782499</v>
      </c>
      <c r="B3376" t="str">
        <f>IFERROR(__xludf.DUMMYFUNCTION("""COMPUTED_VALUE"""),"Flounder Coated Fried Made With Margarine")</f>
        <v>Flounder Coated Fried Made With Margarine</v>
      </c>
      <c r="C3376" t="str">
        <f>IFERROR(__xludf.DUMMYFUNCTION("""COMPUTED_VALUE"""),"Fish")</f>
        <v>Fish</v>
      </c>
      <c r="D3376">
        <f>IFERROR(__xludf.DUMMYFUNCTION("""COMPUTED_VALUE"""),173.0)</f>
        <v>173</v>
      </c>
      <c r="E3376">
        <f>IFERROR(__xludf.DUMMYFUNCTION("""COMPUTED_VALUE"""),8.47)</f>
        <v>8.47</v>
      </c>
      <c r="F3376">
        <f>IFERROR(__xludf.DUMMYFUNCTION("""COMPUTED_VALUE"""),13.6)</f>
        <v>13.6</v>
      </c>
      <c r="G3376">
        <f>IFERROR(__xludf.DUMMYFUNCTION("""COMPUTED_VALUE"""),9.93)</f>
        <v>9.93</v>
      </c>
    </row>
    <row r="3377">
      <c r="A3377">
        <f>IFERROR(__xludf.DUMMYFUNCTION("""COMPUTED_VALUE"""),782500.0)</f>
        <v>782500</v>
      </c>
      <c r="B3377" t="str">
        <f>IFERROR(__xludf.DUMMYFUNCTION("""COMPUTED_VALUE"""),"Flounder Coated Fried Made Without Fat")</f>
        <v>Flounder Coated Fried Made Without Fat</v>
      </c>
      <c r="C3377" t="str">
        <f>IFERROR(__xludf.DUMMYFUNCTION("""COMPUTED_VALUE"""),"Fish")</f>
        <v>Fish</v>
      </c>
      <c r="D3377">
        <f>IFERROR(__xludf.DUMMYFUNCTION("""COMPUTED_VALUE"""),149.0)</f>
        <v>149</v>
      </c>
      <c r="E3377">
        <f>IFERROR(__xludf.DUMMYFUNCTION("""COMPUTED_VALUE"""),3.84)</f>
        <v>3.84</v>
      </c>
      <c r="F3377">
        <f>IFERROR(__xludf.DUMMYFUNCTION("""COMPUTED_VALUE"""),15.99)</f>
        <v>15.99</v>
      </c>
      <c r="G3377">
        <f>IFERROR(__xludf.DUMMYFUNCTION("""COMPUTED_VALUE"""),11.6)</f>
        <v>11.6</v>
      </c>
    </row>
    <row r="3378">
      <c r="A3378">
        <f>IFERROR(__xludf.DUMMYFUNCTION("""COMPUTED_VALUE"""),782501.0)</f>
        <v>782501</v>
      </c>
      <c r="B3378" t="str">
        <f>IFERROR(__xludf.DUMMYFUNCTION("""COMPUTED_VALUE"""),"Flounder Coated Fried Made With Cooking Spray")</f>
        <v>Flounder Coated Fried Made With Cooking Spray</v>
      </c>
      <c r="C3378" t="str">
        <f>IFERROR(__xludf.DUMMYFUNCTION("""COMPUTED_VALUE"""),"Fish")</f>
        <v>Fish</v>
      </c>
      <c r="D3378">
        <f>IFERROR(__xludf.DUMMYFUNCTION("""COMPUTED_VALUE"""),152.0)</f>
        <v>152</v>
      </c>
      <c r="E3378">
        <f>IFERROR(__xludf.DUMMYFUNCTION("""COMPUTED_VALUE"""),4.14)</f>
        <v>4.14</v>
      </c>
      <c r="F3378">
        <f>IFERROR(__xludf.DUMMYFUNCTION("""COMPUTED_VALUE"""),15.94)</f>
        <v>15.94</v>
      </c>
      <c r="G3378">
        <f>IFERROR(__xludf.DUMMYFUNCTION("""COMPUTED_VALUE"""),11.64)</f>
        <v>11.64</v>
      </c>
    </row>
    <row r="3379">
      <c r="A3379">
        <f>IFERROR(__xludf.DUMMYFUNCTION("""COMPUTED_VALUE"""),782502.0)</f>
        <v>782502</v>
      </c>
      <c r="B3379" t="str">
        <f>IFERROR(__xludf.DUMMYFUNCTION("""COMPUTED_VALUE"""),"Flounder Steamed Or Poached")</f>
        <v>Flounder Steamed Or Poached</v>
      </c>
      <c r="C3379" t="str">
        <f>IFERROR(__xludf.DUMMYFUNCTION("""COMPUTED_VALUE"""),"Fish")</f>
        <v>Fish</v>
      </c>
      <c r="D3379">
        <f>IFERROR(__xludf.DUMMYFUNCTION("""COMPUTED_VALUE"""),88.0)</f>
        <v>88</v>
      </c>
      <c r="E3379">
        <f>IFERROR(__xludf.DUMMYFUNCTION("""COMPUTED_VALUE"""),2.43)</f>
        <v>2.43</v>
      </c>
      <c r="F3379">
        <f>IFERROR(__xludf.DUMMYFUNCTION("""COMPUTED_VALUE"""),15.61)</f>
        <v>15.61</v>
      </c>
      <c r="G3379">
        <f>IFERROR(__xludf.DUMMYFUNCTION("""COMPUTED_VALUE"""),0.0)</f>
        <v>0</v>
      </c>
    </row>
    <row r="3380">
      <c r="A3380">
        <f>IFERROR(__xludf.DUMMYFUNCTION("""COMPUTED_VALUE"""),782503.0)</f>
        <v>782503</v>
      </c>
      <c r="B3380" t="str">
        <f>IFERROR(__xludf.DUMMYFUNCTION("""COMPUTED_VALUE"""),"Flounder Smoked")</f>
        <v>Flounder Smoked</v>
      </c>
      <c r="C3380" t="str">
        <f>IFERROR(__xludf.DUMMYFUNCTION("""COMPUTED_VALUE"""),"Fish")</f>
        <v>Fish</v>
      </c>
      <c r="D3380">
        <f>IFERROR(__xludf.DUMMYFUNCTION("""COMPUTED_VALUE"""),169.0)</f>
        <v>169</v>
      </c>
      <c r="E3380">
        <f>IFERROR(__xludf.DUMMYFUNCTION("""COMPUTED_VALUE"""),4.66)</f>
        <v>4.66</v>
      </c>
      <c r="F3380">
        <f>IFERROR(__xludf.DUMMYFUNCTION("""COMPUTED_VALUE"""),29.98)</f>
        <v>29.98</v>
      </c>
      <c r="G3380">
        <f>IFERROR(__xludf.DUMMYFUNCTION("""COMPUTED_VALUE"""),0.0)</f>
        <v>0</v>
      </c>
    </row>
    <row r="3381">
      <c r="A3381">
        <f>IFERROR(__xludf.DUMMYFUNCTION("""COMPUTED_VALUE"""),782504.0)</f>
        <v>782504</v>
      </c>
      <c r="B3381" t="str">
        <f>IFERROR(__xludf.DUMMYFUNCTION("""COMPUTED_VALUE"""),"Haddock Cooked Ns As To Cooking Method")</f>
        <v>Haddock Cooked Ns As To Cooking Method</v>
      </c>
      <c r="C3381" t="str">
        <f>IFERROR(__xludf.DUMMYFUNCTION("""COMPUTED_VALUE"""),"Fish")</f>
        <v>Fish</v>
      </c>
      <c r="D3381">
        <f>IFERROR(__xludf.DUMMYFUNCTION("""COMPUTED_VALUE"""),123.0)</f>
        <v>123</v>
      </c>
      <c r="E3381">
        <f>IFERROR(__xludf.DUMMYFUNCTION("""COMPUTED_VALUE"""),4.23)</f>
        <v>4.23</v>
      </c>
      <c r="F3381">
        <f>IFERROR(__xludf.DUMMYFUNCTION("""COMPUTED_VALUE"""),19.97)</f>
        <v>19.97</v>
      </c>
      <c r="G3381">
        <f>IFERROR(__xludf.DUMMYFUNCTION("""COMPUTED_VALUE"""),0.1)</f>
        <v>0.1</v>
      </c>
    </row>
    <row r="3382">
      <c r="A3382">
        <f>IFERROR(__xludf.DUMMYFUNCTION("""COMPUTED_VALUE"""),782505.0)</f>
        <v>782505</v>
      </c>
      <c r="B3382" t="str">
        <f>IFERROR(__xludf.DUMMYFUNCTION("""COMPUTED_VALUE"""),"Haddock Baked Or Broiled Fat Added In Cooking")</f>
        <v>Haddock Baked Or Broiled Fat Added In Cooking</v>
      </c>
      <c r="C3382" t="str">
        <f>IFERROR(__xludf.DUMMYFUNCTION("""COMPUTED_VALUE"""),"Fish")</f>
        <v>Fish</v>
      </c>
      <c r="D3382">
        <f>IFERROR(__xludf.DUMMYFUNCTION("""COMPUTED_VALUE"""),123.0)</f>
        <v>123</v>
      </c>
      <c r="E3382">
        <f>IFERROR(__xludf.DUMMYFUNCTION("""COMPUTED_VALUE"""),4.23)</f>
        <v>4.23</v>
      </c>
      <c r="F3382">
        <f>IFERROR(__xludf.DUMMYFUNCTION("""COMPUTED_VALUE"""),19.97)</f>
        <v>19.97</v>
      </c>
      <c r="G3382">
        <f>IFERROR(__xludf.DUMMYFUNCTION("""COMPUTED_VALUE"""),0.1)</f>
        <v>0.1</v>
      </c>
    </row>
    <row r="3383">
      <c r="A3383">
        <f>IFERROR(__xludf.DUMMYFUNCTION("""COMPUTED_VALUE"""),782506.0)</f>
        <v>782506</v>
      </c>
      <c r="B3383" t="str">
        <f>IFERROR(__xludf.DUMMYFUNCTION("""COMPUTED_VALUE"""),"Haddock Baked Or Broiled Fat Not Added In Cooking")</f>
        <v>Haddock Baked Or Broiled Fat Not Added In Cooking</v>
      </c>
      <c r="C3383" t="str">
        <f>IFERROR(__xludf.DUMMYFUNCTION("""COMPUTED_VALUE"""),"Fish")</f>
        <v>Fish</v>
      </c>
      <c r="D3383">
        <f>IFERROR(__xludf.DUMMYFUNCTION("""COMPUTED_VALUE"""),94.0)</f>
        <v>94</v>
      </c>
      <c r="E3383">
        <f>IFERROR(__xludf.DUMMYFUNCTION("""COMPUTED_VALUE"""),0.57)</f>
        <v>0.57</v>
      </c>
      <c r="F3383">
        <f>IFERROR(__xludf.DUMMYFUNCTION("""COMPUTED_VALUE"""),20.56)</f>
        <v>20.56</v>
      </c>
      <c r="G3383">
        <f>IFERROR(__xludf.DUMMYFUNCTION("""COMPUTED_VALUE"""),0.1)</f>
        <v>0.1</v>
      </c>
    </row>
    <row r="3384">
      <c r="A3384">
        <f>IFERROR(__xludf.DUMMYFUNCTION("""COMPUTED_VALUE"""),782507.0)</f>
        <v>782507</v>
      </c>
      <c r="B3384" t="str">
        <f>IFERROR(__xludf.DUMMYFUNCTION("""COMPUTED_VALUE"""),"Haddock Coated Baked Or Broiled Fat Added In Cooking")</f>
        <v>Haddock Coated Baked Or Broiled Fat Added In Cooking</v>
      </c>
      <c r="C3384" t="str">
        <f>IFERROR(__xludf.DUMMYFUNCTION("""COMPUTED_VALUE"""),"Fish")</f>
        <v>Fish</v>
      </c>
      <c r="D3384">
        <f>IFERROR(__xludf.DUMMYFUNCTION("""COMPUTED_VALUE"""),186.0)</f>
        <v>186</v>
      </c>
      <c r="E3384">
        <f>IFERROR(__xludf.DUMMYFUNCTION("""COMPUTED_VALUE"""),6.76)</f>
        <v>6.76</v>
      </c>
      <c r="F3384">
        <f>IFERROR(__xludf.DUMMYFUNCTION("""COMPUTED_VALUE"""),17.53)</f>
        <v>17.53</v>
      </c>
      <c r="G3384">
        <f>IFERROR(__xludf.DUMMYFUNCTION("""COMPUTED_VALUE"""),12.52)</f>
        <v>12.52</v>
      </c>
    </row>
    <row r="3385">
      <c r="A3385">
        <f>IFERROR(__xludf.DUMMYFUNCTION("""COMPUTED_VALUE"""),782508.0)</f>
        <v>782508</v>
      </c>
      <c r="B3385" t="str">
        <f>IFERROR(__xludf.DUMMYFUNCTION("""COMPUTED_VALUE"""),"Haddock Coated Baked Or Broiled Fat Not Added In Cooking")</f>
        <v>Haddock Coated Baked Or Broiled Fat Not Added In Cooking</v>
      </c>
      <c r="C3385" t="str">
        <f>IFERROR(__xludf.DUMMYFUNCTION("""COMPUTED_VALUE"""),"Fish")</f>
        <v>Fish</v>
      </c>
      <c r="D3385">
        <f>IFERROR(__xludf.DUMMYFUNCTION("""COMPUTED_VALUE"""),142.0)</f>
        <v>142</v>
      </c>
      <c r="E3385">
        <f>IFERROR(__xludf.DUMMYFUNCTION("""COMPUTED_VALUE"""),1.21)</f>
        <v>1.21</v>
      </c>
      <c r="F3385">
        <f>IFERROR(__xludf.DUMMYFUNCTION("""COMPUTED_VALUE"""),18.33)</f>
        <v>18.33</v>
      </c>
      <c r="G3385">
        <f>IFERROR(__xludf.DUMMYFUNCTION("""COMPUTED_VALUE"""),13.1)</f>
        <v>13.1</v>
      </c>
    </row>
    <row r="3386">
      <c r="A3386">
        <f>IFERROR(__xludf.DUMMYFUNCTION("""COMPUTED_VALUE"""),782509.0)</f>
        <v>782509</v>
      </c>
      <c r="B3386" t="str">
        <f>IFERROR(__xludf.DUMMYFUNCTION("""COMPUTED_VALUE"""),"Haddock Coated Fried")</f>
        <v>Haddock Coated Fried</v>
      </c>
      <c r="C3386" t="str">
        <f>IFERROR(__xludf.DUMMYFUNCTION("""COMPUTED_VALUE"""),"Fish")</f>
        <v>Fish</v>
      </c>
      <c r="D3386">
        <f>IFERROR(__xludf.DUMMYFUNCTION("""COMPUTED_VALUE"""),207.0)</f>
        <v>207</v>
      </c>
      <c r="E3386">
        <f>IFERROR(__xludf.DUMMYFUNCTION("""COMPUTED_VALUE"""),10.71)</f>
        <v>10.71</v>
      </c>
      <c r="F3386">
        <f>IFERROR(__xludf.DUMMYFUNCTION("""COMPUTED_VALUE"""),16.93)</f>
        <v>16.93</v>
      </c>
      <c r="G3386">
        <f>IFERROR(__xludf.DUMMYFUNCTION("""COMPUTED_VALUE"""),9.85)</f>
        <v>9.85</v>
      </c>
    </row>
    <row r="3387">
      <c r="A3387">
        <f>IFERROR(__xludf.DUMMYFUNCTION("""COMPUTED_VALUE"""),782510.0)</f>
        <v>782510</v>
      </c>
      <c r="B3387" t="str">
        <f>IFERROR(__xludf.DUMMYFUNCTION("""COMPUTED_VALUE"""),"Haddock Steamed Or Poached")</f>
        <v>Haddock Steamed Or Poached</v>
      </c>
      <c r="C3387" t="str">
        <f>IFERROR(__xludf.DUMMYFUNCTION("""COMPUTED_VALUE"""),"Fish")</f>
        <v>Fish</v>
      </c>
      <c r="D3387">
        <f>IFERROR(__xludf.DUMMYFUNCTION("""COMPUTED_VALUE"""),93.0)</f>
        <v>93</v>
      </c>
      <c r="E3387">
        <f>IFERROR(__xludf.DUMMYFUNCTION("""COMPUTED_VALUE"""),0.57)</f>
        <v>0.57</v>
      </c>
      <c r="F3387">
        <f>IFERROR(__xludf.DUMMYFUNCTION("""COMPUTED_VALUE"""),20.52)</f>
        <v>20.52</v>
      </c>
      <c r="G3387">
        <f>IFERROR(__xludf.DUMMYFUNCTION("""COMPUTED_VALUE"""),0.0)</f>
        <v>0</v>
      </c>
    </row>
    <row r="3388">
      <c r="A3388">
        <f>IFERROR(__xludf.DUMMYFUNCTION("""COMPUTED_VALUE"""),782513.0)</f>
        <v>782513</v>
      </c>
      <c r="B3388" t="str">
        <f>IFERROR(__xludf.DUMMYFUNCTION("""COMPUTED_VALUE"""),"Halibut Cooked Ns As To Cooking Method")</f>
        <v>Halibut Cooked Ns As To Cooking Method</v>
      </c>
      <c r="C3388" t="str">
        <f>IFERROR(__xludf.DUMMYFUNCTION("""COMPUTED_VALUE"""),"Fish")</f>
        <v>Fish</v>
      </c>
      <c r="D3388">
        <f>IFERROR(__xludf.DUMMYFUNCTION("""COMPUTED_VALUE"""),144.0)</f>
        <v>144</v>
      </c>
      <c r="E3388">
        <f>IFERROR(__xludf.DUMMYFUNCTION("""COMPUTED_VALUE"""),5.3)</f>
        <v>5.3</v>
      </c>
      <c r="F3388">
        <f>IFERROR(__xludf.DUMMYFUNCTION("""COMPUTED_VALUE"""),22.71)</f>
        <v>22.71</v>
      </c>
      <c r="G3388">
        <f>IFERROR(__xludf.DUMMYFUNCTION("""COMPUTED_VALUE"""),0.1)</f>
        <v>0.1</v>
      </c>
    </row>
    <row r="3389">
      <c r="A3389">
        <f>IFERROR(__xludf.DUMMYFUNCTION("""COMPUTED_VALUE"""),782514.0)</f>
        <v>782514</v>
      </c>
      <c r="B3389" t="str">
        <f>IFERROR(__xludf.DUMMYFUNCTION("""COMPUTED_VALUE"""),"Halibut Baked Or Broiled Made With Oil")</f>
        <v>Halibut Baked Or Broiled Made With Oil</v>
      </c>
      <c r="C3389" t="str">
        <f>IFERROR(__xludf.DUMMYFUNCTION("""COMPUTED_VALUE"""),"Fish")</f>
        <v>Fish</v>
      </c>
      <c r="D3389">
        <f>IFERROR(__xludf.DUMMYFUNCTION("""COMPUTED_VALUE"""),144.0)</f>
        <v>144</v>
      </c>
      <c r="E3389">
        <f>IFERROR(__xludf.DUMMYFUNCTION("""COMPUTED_VALUE"""),5.3)</f>
        <v>5.3</v>
      </c>
      <c r="F3389">
        <f>IFERROR(__xludf.DUMMYFUNCTION("""COMPUTED_VALUE"""),22.71)</f>
        <v>22.71</v>
      </c>
      <c r="G3389">
        <f>IFERROR(__xludf.DUMMYFUNCTION("""COMPUTED_VALUE"""),0.1)</f>
        <v>0.1</v>
      </c>
    </row>
    <row r="3390">
      <c r="A3390">
        <f>IFERROR(__xludf.DUMMYFUNCTION("""COMPUTED_VALUE"""),782515.0)</f>
        <v>782515</v>
      </c>
      <c r="B3390" t="str">
        <f>IFERROR(__xludf.DUMMYFUNCTION("""COMPUTED_VALUE"""),"Halibut Baked Or Broiled Made With Butter")</f>
        <v>Halibut Baked Or Broiled Made With Butter</v>
      </c>
      <c r="C3390" t="str">
        <f>IFERROR(__xludf.DUMMYFUNCTION("""COMPUTED_VALUE"""),"Fish")</f>
        <v>Fish</v>
      </c>
      <c r="D3390">
        <f>IFERROR(__xludf.DUMMYFUNCTION("""COMPUTED_VALUE"""),139.0)</f>
        <v>139</v>
      </c>
      <c r="E3390">
        <f>IFERROR(__xludf.DUMMYFUNCTION("""COMPUTED_VALUE"""),4.73)</f>
        <v>4.73</v>
      </c>
      <c r="F3390">
        <f>IFERROR(__xludf.DUMMYFUNCTION("""COMPUTED_VALUE"""),22.72)</f>
        <v>22.72</v>
      </c>
      <c r="G3390">
        <f>IFERROR(__xludf.DUMMYFUNCTION("""COMPUTED_VALUE"""),0.1)</f>
        <v>0.1</v>
      </c>
    </row>
    <row r="3391">
      <c r="A3391">
        <f>IFERROR(__xludf.DUMMYFUNCTION("""COMPUTED_VALUE"""),782516.0)</f>
        <v>782516</v>
      </c>
      <c r="B3391" t="str">
        <f>IFERROR(__xludf.DUMMYFUNCTION("""COMPUTED_VALUE"""),"Halibut Baked Or Broiled Made With Margarine")</f>
        <v>Halibut Baked Or Broiled Made With Margarine</v>
      </c>
      <c r="C3391" t="str">
        <f>IFERROR(__xludf.DUMMYFUNCTION("""COMPUTED_VALUE"""),"Fish")</f>
        <v>Fish</v>
      </c>
      <c r="D3391">
        <f>IFERROR(__xludf.DUMMYFUNCTION("""COMPUTED_VALUE"""),132.0)</f>
        <v>132</v>
      </c>
      <c r="E3391">
        <f>IFERROR(__xludf.DUMMYFUNCTION("""COMPUTED_VALUE"""),3.93)</f>
        <v>3.93</v>
      </c>
      <c r="F3391">
        <f>IFERROR(__xludf.DUMMYFUNCTION("""COMPUTED_VALUE"""),22.68)</f>
        <v>22.68</v>
      </c>
      <c r="G3391">
        <f>IFERROR(__xludf.DUMMYFUNCTION("""COMPUTED_VALUE"""),0.13)</f>
        <v>0.13</v>
      </c>
    </row>
    <row r="3392">
      <c r="A3392">
        <f>IFERROR(__xludf.DUMMYFUNCTION("""COMPUTED_VALUE"""),782517.0)</f>
        <v>782517</v>
      </c>
      <c r="B3392" t="str">
        <f>IFERROR(__xludf.DUMMYFUNCTION("""COMPUTED_VALUE"""),"Halibut Baked Or Broiled Made Without Fat")</f>
        <v>Halibut Baked Or Broiled Made Without Fat</v>
      </c>
      <c r="C3392" t="str">
        <f>IFERROR(__xludf.DUMMYFUNCTION("""COMPUTED_VALUE"""),"Fish")</f>
        <v>Fish</v>
      </c>
      <c r="D3392">
        <f>IFERROR(__xludf.DUMMYFUNCTION("""COMPUTED_VALUE"""),115.0)</f>
        <v>115</v>
      </c>
      <c r="E3392">
        <f>IFERROR(__xludf.DUMMYFUNCTION("""COMPUTED_VALUE"""),1.68)</f>
        <v>1.68</v>
      </c>
      <c r="F3392">
        <f>IFERROR(__xludf.DUMMYFUNCTION("""COMPUTED_VALUE"""),23.38)</f>
        <v>23.38</v>
      </c>
      <c r="G3392">
        <f>IFERROR(__xludf.DUMMYFUNCTION("""COMPUTED_VALUE"""),0.1)</f>
        <v>0.1</v>
      </c>
    </row>
    <row r="3393">
      <c r="A3393">
        <f>IFERROR(__xludf.DUMMYFUNCTION("""COMPUTED_VALUE"""),782518.0)</f>
        <v>782518</v>
      </c>
      <c r="B3393" t="str">
        <f>IFERROR(__xludf.DUMMYFUNCTION("""COMPUTED_VALUE"""),"Halibut Baked Or Broiled Made With Cooking Spray")</f>
        <v>Halibut Baked Or Broiled Made With Cooking Spray</v>
      </c>
      <c r="C3393" t="str">
        <f>IFERROR(__xludf.DUMMYFUNCTION("""COMPUTED_VALUE"""),"Fish")</f>
        <v>Fish</v>
      </c>
      <c r="D3393">
        <f>IFERROR(__xludf.DUMMYFUNCTION("""COMPUTED_VALUE"""),118.0)</f>
        <v>118</v>
      </c>
      <c r="E3393">
        <f>IFERROR(__xludf.DUMMYFUNCTION("""COMPUTED_VALUE"""),2.06)</f>
        <v>2.06</v>
      </c>
      <c r="F3393">
        <f>IFERROR(__xludf.DUMMYFUNCTION("""COMPUTED_VALUE"""),23.29)</f>
        <v>23.29</v>
      </c>
      <c r="G3393">
        <f>IFERROR(__xludf.DUMMYFUNCTION("""COMPUTED_VALUE"""),0.2)</f>
        <v>0.2</v>
      </c>
    </row>
    <row r="3394">
      <c r="A3394">
        <f>IFERROR(__xludf.DUMMYFUNCTION("""COMPUTED_VALUE"""),782519.0)</f>
        <v>782519</v>
      </c>
      <c r="B3394" t="str">
        <f>IFERROR(__xludf.DUMMYFUNCTION("""COMPUTED_VALUE"""),"Halibut Coated Baked Or Broiled Made With Oil")</f>
        <v>Halibut Coated Baked Or Broiled Made With Oil</v>
      </c>
      <c r="C3394" t="str">
        <f>IFERROR(__xludf.DUMMYFUNCTION("""COMPUTED_VALUE"""),"Fish")</f>
        <v>Fish</v>
      </c>
      <c r="D3394">
        <f>IFERROR(__xludf.DUMMYFUNCTION("""COMPUTED_VALUE"""),202.0)</f>
        <v>202</v>
      </c>
      <c r="E3394">
        <f>IFERROR(__xludf.DUMMYFUNCTION("""COMPUTED_VALUE"""),7.59)</f>
        <v>7.59</v>
      </c>
      <c r="F3394">
        <f>IFERROR(__xludf.DUMMYFUNCTION("""COMPUTED_VALUE"""),19.62)</f>
        <v>19.62</v>
      </c>
      <c r="G3394">
        <f>IFERROR(__xludf.DUMMYFUNCTION("""COMPUTED_VALUE"""),12.52)</f>
        <v>12.52</v>
      </c>
    </row>
    <row r="3395">
      <c r="A3395">
        <f>IFERROR(__xludf.DUMMYFUNCTION("""COMPUTED_VALUE"""),782520.0)</f>
        <v>782520</v>
      </c>
      <c r="B3395" t="str">
        <f>IFERROR(__xludf.DUMMYFUNCTION("""COMPUTED_VALUE"""),"Halibut Coated Baked Or Broiled Made With Butter")</f>
        <v>Halibut Coated Baked Or Broiled Made With Butter</v>
      </c>
      <c r="C3395" t="str">
        <f>IFERROR(__xludf.DUMMYFUNCTION("""COMPUTED_VALUE"""),"Fish")</f>
        <v>Fish</v>
      </c>
      <c r="D3395">
        <f>IFERROR(__xludf.DUMMYFUNCTION("""COMPUTED_VALUE"""),194.0)</f>
        <v>194</v>
      </c>
      <c r="E3395">
        <f>IFERROR(__xludf.DUMMYFUNCTION("""COMPUTED_VALUE"""),6.7)</f>
        <v>6.7</v>
      </c>
      <c r="F3395">
        <f>IFERROR(__xludf.DUMMYFUNCTION("""COMPUTED_VALUE"""),19.64)</f>
        <v>19.64</v>
      </c>
      <c r="G3395">
        <f>IFERROR(__xludf.DUMMYFUNCTION("""COMPUTED_VALUE"""),12.5)</f>
        <v>12.5</v>
      </c>
    </row>
    <row r="3396">
      <c r="A3396">
        <f>IFERROR(__xludf.DUMMYFUNCTION("""COMPUTED_VALUE"""),782521.0)</f>
        <v>782521</v>
      </c>
      <c r="B3396" t="str">
        <f>IFERROR(__xludf.DUMMYFUNCTION("""COMPUTED_VALUE"""),"Halibut Coated Baked Or Broiled Made With Margarine")</f>
        <v>Halibut Coated Baked Or Broiled Made With Margarine</v>
      </c>
      <c r="C3396" t="str">
        <f>IFERROR(__xludf.DUMMYFUNCTION("""COMPUTED_VALUE"""),"Fish")</f>
        <v>Fish</v>
      </c>
      <c r="D3396">
        <f>IFERROR(__xludf.DUMMYFUNCTION("""COMPUTED_VALUE"""),183.0)</f>
        <v>183</v>
      </c>
      <c r="E3396">
        <f>IFERROR(__xludf.DUMMYFUNCTION("""COMPUTED_VALUE"""),5.49)</f>
        <v>5.49</v>
      </c>
      <c r="F3396">
        <f>IFERROR(__xludf.DUMMYFUNCTION("""COMPUTED_VALUE"""),19.59)</f>
        <v>19.59</v>
      </c>
      <c r="G3396">
        <f>IFERROR(__xludf.DUMMYFUNCTION("""COMPUTED_VALUE"""),12.55)</f>
        <v>12.55</v>
      </c>
    </row>
    <row r="3397">
      <c r="A3397">
        <f>IFERROR(__xludf.DUMMYFUNCTION("""COMPUTED_VALUE"""),782522.0)</f>
        <v>782522</v>
      </c>
      <c r="B3397" t="str">
        <f>IFERROR(__xludf.DUMMYFUNCTION("""COMPUTED_VALUE"""),"Halibut Coated Baked Or Broiled Made Without Fat")</f>
        <v>Halibut Coated Baked Or Broiled Made Without Fat</v>
      </c>
      <c r="C3397" t="str">
        <f>IFERROR(__xludf.DUMMYFUNCTION("""COMPUTED_VALUE"""),"Fish")</f>
        <v>Fish</v>
      </c>
      <c r="D3397">
        <f>IFERROR(__xludf.DUMMYFUNCTION("""COMPUTED_VALUE"""),159.0)</f>
        <v>159</v>
      </c>
      <c r="E3397">
        <f>IFERROR(__xludf.DUMMYFUNCTION("""COMPUTED_VALUE"""),2.07)</f>
        <v>2.07</v>
      </c>
      <c r="F3397">
        <f>IFERROR(__xludf.DUMMYFUNCTION("""COMPUTED_VALUE"""),20.52)</f>
        <v>20.52</v>
      </c>
      <c r="G3397">
        <f>IFERROR(__xludf.DUMMYFUNCTION("""COMPUTED_VALUE"""),13.1)</f>
        <v>13.1</v>
      </c>
    </row>
    <row r="3398">
      <c r="A3398">
        <f>IFERROR(__xludf.DUMMYFUNCTION("""COMPUTED_VALUE"""),782523.0)</f>
        <v>782523</v>
      </c>
      <c r="B3398" t="str">
        <f>IFERROR(__xludf.DUMMYFUNCTION("""COMPUTED_VALUE"""),"Halibut Coated Baked Or Broiled Made With Cooking Spray")</f>
        <v>Halibut Coated Baked Or Broiled Made With Cooking Spray</v>
      </c>
      <c r="C3398" t="str">
        <f>IFERROR(__xludf.DUMMYFUNCTION("""COMPUTED_VALUE"""),"Fish")</f>
        <v>Fish</v>
      </c>
      <c r="D3398">
        <f>IFERROR(__xludf.DUMMYFUNCTION("""COMPUTED_VALUE"""),162.0)</f>
        <v>162</v>
      </c>
      <c r="E3398">
        <f>IFERROR(__xludf.DUMMYFUNCTION("""COMPUTED_VALUE"""),2.37)</f>
        <v>2.37</v>
      </c>
      <c r="F3398">
        <f>IFERROR(__xludf.DUMMYFUNCTION("""COMPUTED_VALUE"""),20.46)</f>
        <v>20.46</v>
      </c>
      <c r="G3398">
        <f>IFERROR(__xludf.DUMMYFUNCTION("""COMPUTED_VALUE"""),13.14)</f>
        <v>13.14</v>
      </c>
    </row>
    <row r="3399">
      <c r="A3399">
        <f>IFERROR(__xludf.DUMMYFUNCTION("""COMPUTED_VALUE"""),782524.0)</f>
        <v>782524</v>
      </c>
      <c r="B3399" t="str">
        <f>IFERROR(__xludf.DUMMYFUNCTION("""COMPUTED_VALUE"""),"Halibut Coated Fried Made With Oil")</f>
        <v>Halibut Coated Fried Made With Oil</v>
      </c>
      <c r="C3399" t="str">
        <f>IFERROR(__xludf.DUMMYFUNCTION("""COMPUTED_VALUE"""),"Fish")</f>
        <v>Fish</v>
      </c>
      <c r="D3399">
        <f>IFERROR(__xludf.DUMMYFUNCTION("""COMPUTED_VALUE"""),222.0)</f>
        <v>222</v>
      </c>
      <c r="E3399">
        <f>IFERROR(__xludf.DUMMYFUNCTION("""COMPUTED_VALUE"""),11.46)</f>
        <v>11.46</v>
      </c>
      <c r="F3399">
        <f>IFERROR(__xludf.DUMMYFUNCTION("""COMPUTED_VALUE"""),18.84)</f>
        <v>18.84</v>
      </c>
      <c r="G3399">
        <f>IFERROR(__xludf.DUMMYFUNCTION("""COMPUTED_VALUE"""),9.85)</f>
        <v>9.85</v>
      </c>
    </row>
    <row r="3400">
      <c r="A3400">
        <f>IFERROR(__xludf.DUMMYFUNCTION("""COMPUTED_VALUE"""),782525.0)</f>
        <v>782525</v>
      </c>
      <c r="B3400" t="str">
        <f>IFERROR(__xludf.DUMMYFUNCTION("""COMPUTED_VALUE"""),"Halibut Coated Fried Made With Butter")</f>
        <v>Halibut Coated Fried Made With Butter</v>
      </c>
      <c r="C3400" t="str">
        <f>IFERROR(__xludf.DUMMYFUNCTION("""COMPUTED_VALUE"""),"Fish")</f>
        <v>Fish</v>
      </c>
      <c r="D3400">
        <f>IFERROR(__xludf.DUMMYFUNCTION("""COMPUTED_VALUE"""),207.0)</f>
        <v>207</v>
      </c>
      <c r="E3400">
        <f>IFERROR(__xludf.DUMMYFUNCTION("""COMPUTED_VALUE"""),9.82)</f>
        <v>9.82</v>
      </c>
      <c r="F3400">
        <f>IFERROR(__xludf.DUMMYFUNCTION("""COMPUTED_VALUE"""),18.91)</f>
        <v>18.91</v>
      </c>
      <c r="G3400">
        <f>IFERROR(__xludf.DUMMYFUNCTION("""COMPUTED_VALUE"""),9.86)</f>
        <v>9.86</v>
      </c>
    </row>
    <row r="3401">
      <c r="A3401">
        <f>IFERROR(__xludf.DUMMYFUNCTION("""COMPUTED_VALUE"""),782526.0)</f>
        <v>782526</v>
      </c>
      <c r="B3401" t="str">
        <f>IFERROR(__xludf.DUMMYFUNCTION("""COMPUTED_VALUE"""),"Halibut Coated Fried Made With Margarine")</f>
        <v>Halibut Coated Fried Made With Margarine</v>
      </c>
      <c r="C3401" t="str">
        <f>IFERROR(__xludf.DUMMYFUNCTION("""COMPUTED_VALUE"""),"Fish")</f>
        <v>Fish</v>
      </c>
      <c r="D3401">
        <f>IFERROR(__xludf.DUMMYFUNCTION("""COMPUTED_VALUE"""),191.0)</f>
        <v>191</v>
      </c>
      <c r="E3401">
        <f>IFERROR(__xludf.DUMMYFUNCTION("""COMPUTED_VALUE"""),7.96)</f>
        <v>7.96</v>
      </c>
      <c r="F3401">
        <f>IFERROR(__xludf.DUMMYFUNCTION("""COMPUTED_VALUE"""),18.85)</f>
        <v>18.85</v>
      </c>
      <c r="G3401">
        <f>IFERROR(__xludf.DUMMYFUNCTION("""COMPUTED_VALUE"""),9.93)</f>
        <v>9.93</v>
      </c>
    </row>
    <row r="3402">
      <c r="A3402">
        <f>IFERROR(__xludf.DUMMYFUNCTION("""COMPUTED_VALUE"""),782527.0)</f>
        <v>782527</v>
      </c>
      <c r="B3402" t="str">
        <f>IFERROR(__xludf.DUMMYFUNCTION("""COMPUTED_VALUE"""),"Halibut Coated Fried Made Without Fat")</f>
        <v>Halibut Coated Fried Made Without Fat</v>
      </c>
      <c r="C3402" t="str">
        <f>IFERROR(__xludf.DUMMYFUNCTION("""COMPUTED_VALUE"""),"Fish")</f>
        <v>Fish</v>
      </c>
      <c r="D3402">
        <f>IFERROR(__xludf.DUMMYFUNCTION("""COMPUTED_VALUE"""),170.0)</f>
        <v>170</v>
      </c>
      <c r="E3402">
        <f>IFERROR(__xludf.DUMMYFUNCTION("""COMPUTED_VALUE"""),3.24)</f>
        <v>3.24</v>
      </c>
      <c r="F3402">
        <f>IFERROR(__xludf.DUMMYFUNCTION("""COMPUTED_VALUE"""),22.17)</f>
        <v>22.17</v>
      </c>
      <c r="G3402">
        <f>IFERROR(__xludf.DUMMYFUNCTION("""COMPUTED_VALUE"""),11.6)</f>
        <v>11.6</v>
      </c>
    </row>
    <row r="3403">
      <c r="A3403">
        <f>IFERROR(__xludf.DUMMYFUNCTION("""COMPUTED_VALUE"""),782528.0)</f>
        <v>782528</v>
      </c>
      <c r="B3403" t="str">
        <f>IFERROR(__xludf.DUMMYFUNCTION("""COMPUTED_VALUE"""),"Halibut Coated Fried Made With Cooking Spray")</f>
        <v>Halibut Coated Fried Made With Cooking Spray</v>
      </c>
      <c r="C3403" t="str">
        <f>IFERROR(__xludf.DUMMYFUNCTION("""COMPUTED_VALUE"""),"Fish")</f>
        <v>Fish</v>
      </c>
      <c r="D3403">
        <f>IFERROR(__xludf.DUMMYFUNCTION("""COMPUTED_VALUE"""),173.0)</f>
        <v>173</v>
      </c>
      <c r="E3403">
        <f>IFERROR(__xludf.DUMMYFUNCTION("""COMPUTED_VALUE"""),3.54)</f>
        <v>3.54</v>
      </c>
      <c r="F3403">
        <f>IFERROR(__xludf.DUMMYFUNCTION("""COMPUTED_VALUE"""),22.1)</f>
        <v>22.1</v>
      </c>
      <c r="G3403">
        <f>IFERROR(__xludf.DUMMYFUNCTION("""COMPUTED_VALUE"""),11.64)</f>
        <v>11.64</v>
      </c>
    </row>
    <row r="3404">
      <c r="A3404">
        <f>IFERROR(__xludf.DUMMYFUNCTION("""COMPUTED_VALUE"""),782529.0)</f>
        <v>782529</v>
      </c>
      <c r="B3404" t="str">
        <f>IFERROR(__xludf.DUMMYFUNCTION("""COMPUTED_VALUE"""),"Halibut Steamed Or Poached")</f>
        <v>Halibut Steamed Or Poached</v>
      </c>
      <c r="C3404" t="str">
        <f>IFERROR(__xludf.DUMMYFUNCTION("""COMPUTED_VALUE"""),"Fish")</f>
        <v>Fish</v>
      </c>
      <c r="D3404">
        <f>IFERROR(__xludf.DUMMYFUNCTION("""COMPUTED_VALUE"""),114.0)</f>
        <v>114</v>
      </c>
      <c r="E3404">
        <f>IFERROR(__xludf.DUMMYFUNCTION("""COMPUTED_VALUE"""),1.67)</f>
        <v>1.67</v>
      </c>
      <c r="F3404">
        <f>IFERROR(__xludf.DUMMYFUNCTION("""COMPUTED_VALUE"""),23.34)</f>
        <v>23.34</v>
      </c>
      <c r="G3404">
        <f>IFERROR(__xludf.DUMMYFUNCTION("""COMPUTED_VALUE"""),0.0)</f>
        <v>0</v>
      </c>
    </row>
    <row r="3405">
      <c r="A3405">
        <f>IFERROR(__xludf.DUMMYFUNCTION("""COMPUTED_VALUE"""),782530.0)</f>
        <v>782530</v>
      </c>
      <c r="B3405" t="str">
        <f>IFERROR(__xludf.DUMMYFUNCTION("""COMPUTED_VALUE"""),"Halibut Smoked")</f>
        <v>Halibut Smoked</v>
      </c>
      <c r="C3405" t="str">
        <f>IFERROR(__xludf.DUMMYFUNCTION("""COMPUTED_VALUE"""),"Fish")</f>
        <v>Fish</v>
      </c>
      <c r="D3405">
        <f>IFERROR(__xludf.DUMMYFUNCTION("""COMPUTED_VALUE"""),219.0)</f>
        <v>219</v>
      </c>
      <c r="E3405">
        <f>IFERROR(__xludf.DUMMYFUNCTION("""COMPUTED_VALUE"""),3.2)</f>
        <v>3.2</v>
      </c>
      <c r="F3405">
        <f>IFERROR(__xludf.DUMMYFUNCTION("""COMPUTED_VALUE"""),44.61)</f>
        <v>44.61</v>
      </c>
      <c r="G3405">
        <f>IFERROR(__xludf.DUMMYFUNCTION("""COMPUTED_VALUE"""),0.0)</f>
        <v>0</v>
      </c>
    </row>
    <row r="3406">
      <c r="A3406">
        <f>IFERROR(__xludf.DUMMYFUNCTION("""COMPUTED_VALUE"""),782532.0)</f>
        <v>782532</v>
      </c>
      <c r="B3406" t="str">
        <f>IFERROR(__xludf.DUMMYFUNCTION("""COMPUTED_VALUE"""),"Herring Cooked Ns As To Cooking Method")</f>
        <v>Herring Cooked Ns As To Cooking Method</v>
      </c>
      <c r="C3406" t="str">
        <f>IFERROR(__xludf.DUMMYFUNCTION("""COMPUTED_VALUE"""),"Fish")</f>
        <v>Fish</v>
      </c>
      <c r="D3406">
        <f>IFERROR(__xludf.DUMMYFUNCTION("""COMPUTED_VALUE"""),226.0)</f>
        <v>226</v>
      </c>
      <c r="E3406">
        <f>IFERROR(__xludf.DUMMYFUNCTION("""COMPUTED_VALUE"""),14.74)</f>
        <v>14.74</v>
      </c>
      <c r="F3406">
        <f>IFERROR(__xludf.DUMMYFUNCTION("""COMPUTED_VALUE"""),21.98)</f>
        <v>21.98</v>
      </c>
      <c r="G3406">
        <f>IFERROR(__xludf.DUMMYFUNCTION("""COMPUTED_VALUE"""),0.1)</f>
        <v>0.1</v>
      </c>
    </row>
    <row r="3407">
      <c r="A3407">
        <f>IFERROR(__xludf.DUMMYFUNCTION("""COMPUTED_VALUE"""),782533.0)</f>
        <v>782533</v>
      </c>
      <c r="B3407" t="str">
        <f>IFERROR(__xludf.DUMMYFUNCTION("""COMPUTED_VALUE"""),"Herring Baked Or Broiled Fat Added In Cooking")</f>
        <v>Herring Baked Or Broiled Fat Added In Cooking</v>
      </c>
      <c r="C3407" t="str">
        <f>IFERROR(__xludf.DUMMYFUNCTION("""COMPUTED_VALUE"""),"Fish")</f>
        <v>Fish</v>
      </c>
      <c r="D3407">
        <f>IFERROR(__xludf.DUMMYFUNCTION("""COMPUTED_VALUE"""),226.0)</f>
        <v>226</v>
      </c>
      <c r="E3407">
        <f>IFERROR(__xludf.DUMMYFUNCTION("""COMPUTED_VALUE"""),14.74)</f>
        <v>14.74</v>
      </c>
      <c r="F3407">
        <f>IFERROR(__xludf.DUMMYFUNCTION("""COMPUTED_VALUE"""),21.98)</f>
        <v>21.98</v>
      </c>
      <c r="G3407">
        <f>IFERROR(__xludf.DUMMYFUNCTION("""COMPUTED_VALUE"""),0.1)</f>
        <v>0.1</v>
      </c>
    </row>
    <row r="3408">
      <c r="A3408">
        <f>IFERROR(__xludf.DUMMYFUNCTION("""COMPUTED_VALUE"""),782534.0)</f>
        <v>782534</v>
      </c>
      <c r="B3408" t="str">
        <f>IFERROR(__xludf.DUMMYFUNCTION("""COMPUTED_VALUE"""),"Herring Baked Or Broiled Fat Not Added In Cooking")</f>
        <v>Herring Baked Or Broiled Fat Not Added In Cooking</v>
      </c>
      <c r="C3408" t="str">
        <f>IFERROR(__xludf.DUMMYFUNCTION("""COMPUTED_VALUE"""),"Fish")</f>
        <v>Fish</v>
      </c>
      <c r="D3408">
        <f>IFERROR(__xludf.DUMMYFUNCTION("""COMPUTED_VALUE"""),199.0)</f>
        <v>199</v>
      </c>
      <c r="E3408">
        <f>IFERROR(__xludf.DUMMYFUNCTION("""COMPUTED_VALUE"""),11.39)</f>
        <v>11.39</v>
      </c>
      <c r="F3408">
        <f>IFERROR(__xludf.DUMMYFUNCTION("""COMPUTED_VALUE"""),22.62)</f>
        <v>22.62</v>
      </c>
      <c r="G3408">
        <f>IFERROR(__xludf.DUMMYFUNCTION("""COMPUTED_VALUE"""),0.1)</f>
        <v>0.1</v>
      </c>
    </row>
    <row r="3409">
      <c r="A3409">
        <f>IFERROR(__xludf.DUMMYFUNCTION("""COMPUTED_VALUE"""),782535.0)</f>
        <v>782535</v>
      </c>
      <c r="B3409" t="str">
        <f>IFERROR(__xludf.DUMMYFUNCTION("""COMPUTED_VALUE"""),"Herring Coated Baked Or Broiled Fat Added In Cooking")</f>
        <v>Herring Coated Baked Or Broiled Fat Added In Cooking</v>
      </c>
      <c r="C3409" t="str">
        <f>IFERROR(__xludf.DUMMYFUNCTION("""COMPUTED_VALUE"""),"Fish")</f>
        <v>Fish</v>
      </c>
      <c r="D3409">
        <f>IFERROR(__xludf.DUMMYFUNCTION("""COMPUTED_VALUE"""),264.0)</f>
        <v>264</v>
      </c>
      <c r="E3409">
        <f>IFERROR(__xludf.DUMMYFUNCTION("""COMPUTED_VALUE"""),14.79)</f>
        <v>14.79</v>
      </c>
      <c r="F3409">
        <f>IFERROR(__xludf.DUMMYFUNCTION("""COMPUTED_VALUE"""),19.06)</f>
        <v>19.06</v>
      </c>
      <c r="G3409">
        <f>IFERROR(__xludf.DUMMYFUNCTION("""COMPUTED_VALUE"""),12.52)</f>
        <v>12.52</v>
      </c>
    </row>
    <row r="3410">
      <c r="A3410">
        <f>IFERROR(__xludf.DUMMYFUNCTION("""COMPUTED_VALUE"""),782536.0)</f>
        <v>782536</v>
      </c>
      <c r="B3410" t="str">
        <f>IFERROR(__xludf.DUMMYFUNCTION("""COMPUTED_VALUE"""),"Herring Coated Baked Or Broiled Fat Not Added In Cooking")</f>
        <v>Herring Coated Baked Or Broiled Fat Not Added In Cooking</v>
      </c>
      <c r="C3410" t="str">
        <f>IFERROR(__xludf.DUMMYFUNCTION("""COMPUTED_VALUE"""),"Fish")</f>
        <v>Fish</v>
      </c>
      <c r="D3410">
        <f>IFERROR(__xludf.DUMMYFUNCTION("""COMPUTED_VALUE"""),224.0)</f>
        <v>224</v>
      </c>
      <c r="E3410">
        <f>IFERROR(__xludf.DUMMYFUNCTION("""COMPUTED_VALUE"""),9.6)</f>
        <v>9.6</v>
      </c>
      <c r="F3410">
        <f>IFERROR(__xludf.DUMMYFUNCTION("""COMPUTED_VALUE"""),19.93)</f>
        <v>19.93</v>
      </c>
      <c r="G3410">
        <f>IFERROR(__xludf.DUMMYFUNCTION("""COMPUTED_VALUE"""),13.1)</f>
        <v>13.1</v>
      </c>
    </row>
    <row r="3411">
      <c r="A3411">
        <f>IFERROR(__xludf.DUMMYFUNCTION("""COMPUTED_VALUE"""),782537.0)</f>
        <v>782537</v>
      </c>
      <c r="B3411" t="str">
        <f>IFERROR(__xludf.DUMMYFUNCTION("""COMPUTED_VALUE"""),"Herring Coated Fried")</f>
        <v>Herring Coated Fried</v>
      </c>
      <c r="C3411" t="str">
        <f>IFERROR(__xludf.DUMMYFUNCTION("""COMPUTED_VALUE"""),"Fish")</f>
        <v>Fish</v>
      </c>
      <c r="D3411">
        <f>IFERROR(__xludf.DUMMYFUNCTION("""COMPUTED_VALUE"""),279.0)</f>
        <v>279</v>
      </c>
      <c r="E3411">
        <f>IFERROR(__xludf.DUMMYFUNCTION("""COMPUTED_VALUE"""),18.04)</f>
        <v>18.04</v>
      </c>
      <c r="F3411">
        <f>IFERROR(__xludf.DUMMYFUNCTION("""COMPUTED_VALUE"""),18.33)</f>
        <v>18.33</v>
      </c>
      <c r="G3411">
        <f>IFERROR(__xludf.DUMMYFUNCTION("""COMPUTED_VALUE"""),9.85)</f>
        <v>9.85</v>
      </c>
    </row>
    <row r="3412">
      <c r="A3412">
        <f>IFERROR(__xludf.DUMMYFUNCTION("""COMPUTED_VALUE"""),782538.0)</f>
        <v>782538</v>
      </c>
      <c r="B3412" t="str">
        <f>IFERROR(__xludf.DUMMYFUNCTION("""COMPUTED_VALUE"""),"Herring Pickled In Cream Sauce")</f>
        <v>Herring Pickled In Cream Sauce</v>
      </c>
      <c r="C3412" t="str">
        <f>IFERROR(__xludf.DUMMYFUNCTION("""COMPUTED_VALUE"""),"Fish")</f>
        <v>Fish</v>
      </c>
      <c r="D3412">
        <f>IFERROR(__xludf.DUMMYFUNCTION("""COMPUTED_VALUE"""),249.0)</f>
        <v>249</v>
      </c>
      <c r="E3412">
        <f>IFERROR(__xludf.DUMMYFUNCTION("""COMPUTED_VALUE"""),18.27)</f>
        <v>18.27</v>
      </c>
      <c r="F3412">
        <f>IFERROR(__xludf.DUMMYFUNCTION("""COMPUTED_VALUE"""),11.81)</f>
        <v>11.81</v>
      </c>
      <c r="G3412">
        <f>IFERROR(__xludf.DUMMYFUNCTION("""COMPUTED_VALUE"""),8.63)</f>
        <v>8.63</v>
      </c>
    </row>
    <row r="3413">
      <c r="A3413">
        <f>IFERROR(__xludf.DUMMYFUNCTION("""COMPUTED_VALUE"""),782539.0)</f>
        <v>782539</v>
      </c>
      <c r="B3413" t="str">
        <f>IFERROR(__xludf.DUMMYFUNCTION("""COMPUTED_VALUE"""),"Herring Dried Salted")</f>
        <v>Herring Dried Salted</v>
      </c>
      <c r="C3413" t="str">
        <f>IFERROR(__xludf.DUMMYFUNCTION("""COMPUTED_VALUE"""),"Fish")</f>
        <v>Fish</v>
      </c>
      <c r="D3413">
        <f>IFERROR(__xludf.DUMMYFUNCTION("""COMPUTED_VALUE"""),490.0)</f>
        <v>490</v>
      </c>
      <c r="E3413">
        <f>IFERROR(__xludf.DUMMYFUNCTION("""COMPUTED_VALUE"""),28.04)</f>
        <v>28.04</v>
      </c>
      <c r="F3413">
        <f>IFERROR(__xludf.DUMMYFUNCTION("""COMPUTED_VALUE"""),55.71)</f>
        <v>55.71</v>
      </c>
      <c r="G3413">
        <f>IFERROR(__xludf.DUMMYFUNCTION("""COMPUTED_VALUE"""),0.0)</f>
        <v>0</v>
      </c>
    </row>
    <row r="3414">
      <c r="A3414">
        <f>IFERROR(__xludf.DUMMYFUNCTION("""COMPUTED_VALUE"""),782542.0)</f>
        <v>782542</v>
      </c>
      <c r="B3414" t="str">
        <f>IFERROR(__xludf.DUMMYFUNCTION("""COMPUTED_VALUE"""),"Mackerel Raw")</f>
        <v>Mackerel Raw</v>
      </c>
      <c r="C3414" t="str">
        <f>IFERROR(__xludf.DUMMYFUNCTION("""COMPUTED_VALUE"""),"Fish")</f>
        <v>Fish</v>
      </c>
      <c r="D3414">
        <f>IFERROR(__xludf.DUMMYFUNCTION("""COMPUTED_VALUE"""),189.0)</f>
        <v>189</v>
      </c>
      <c r="E3414">
        <f>IFERROR(__xludf.DUMMYFUNCTION("""COMPUTED_VALUE"""),11.91)</f>
        <v>11.91</v>
      </c>
      <c r="F3414">
        <f>IFERROR(__xludf.DUMMYFUNCTION("""COMPUTED_VALUE"""),19.08)</f>
        <v>19.08</v>
      </c>
      <c r="G3414">
        <f>IFERROR(__xludf.DUMMYFUNCTION("""COMPUTED_VALUE"""),0.0)</f>
        <v>0</v>
      </c>
    </row>
    <row r="3415">
      <c r="A3415">
        <f>IFERROR(__xludf.DUMMYFUNCTION("""COMPUTED_VALUE"""),782543.0)</f>
        <v>782543</v>
      </c>
      <c r="B3415" t="str">
        <f>IFERROR(__xludf.DUMMYFUNCTION("""COMPUTED_VALUE"""),"Mackerel Cooked Ns As To Cooking Method")</f>
        <v>Mackerel Cooked Ns As To Cooking Method</v>
      </c>
      <c r="C3415" t="str">
        <f>IFERROR(__xludf.DUMMYFUNCTION("""COMPUTED_VALUE"""),"Fish")</f>
        <v>Fish</v>
      </c>
      <c r="D3415">
        <f>IFERROR(__xludf.DUMMYFUNCTION("""COMPUTED_VALUE"""),264.0)</f>
        <v>264</v>
      </c>
      <c r="E3415">
        <f>IFERROR(__xludf.DUMMYFUNCTION("""COMPUTED_VALUE"""),18.22)</f>
        <v>18.22</v>
      </c>
      <c r="F3415">
        <f>IFERROR(__xludf.DUMMYFUNCTION("""COMPUTED_VALUE"""),23.36)</f>
        <v>23.36</v>
      </c>
      <c r="G3415">
        <f>IFERROR(__xludf.DUMMYFUNCTION("""COMPUTED_VALUE"""),0.1)</f>
        <v>0.1</v>
      </c>
    </row>
    <row r="3416">
      <c r="A3416">
        <f>IFERROR(__xludf.DUMMYFUNCTION("""COMPUTED_VALUE"""),782544.0)</f>
        <v>782544</v>
      </c>
      <c r="B3416" t="str">
        <f>IFERROR(__xludf.DUMMYFUNCTION("""COMPUTED_VALUE"""),"Mackerel Baked Or Broiled Fat Added In Cooking")</f>
        <v>Mackerel Baked Or Broiled Fat Added In Cooking</v>
      </c>
      <c r="C3416" t="str">
        <f>IFERROR(__xludf.DUMMYFUNCTION("""COMPUTED_VALUE"""),"Fish")</f>
        <v>Fish</v>
      </c>
      <c r="D3416">
        <f>IFERROR(__xludf.DUMMYFUNCTION("""COMPUTED_VALUE"""),264.0)</f>
        <v>264</v>
      </c>
      <c r="E3416">
        <f>IFERROR(__xludf.DUMMYFUNCTION("""COMPUTED_VALUE"""),18.22)</f>
        <v>18.22</v>
      </c>
      <c r="F3416">
        <f>IFERROR(__xludf.DUMMYFUNCTION("""COMPUTED_VALUE"""),23.36)</f>
        <v>23.36</v>
      </c>
      <c r="G3416">
        <f>IFERROR(__xludf.DUMMYFUNCTION("""COMPUTED_VALUE"""),0.1)</f>
        <v>0.1</v>
      </c>
    </row>
    <row r="3417">
      <c r="A3417">
        <f>IFERROR(__xludf.DUMMYFUNCTION("""COMPUTED_VALUE"""),782545.0)</f>
        <v>782545</v>
      </c>
      <c r="B3417" t="str">
        <f>IFERROR(__xludf.DUMMYFUNCTION("""COMPUTED_VALUE"""),"Mackerel Baked Or Broiled Fat Not Added In Cooking")</f>
        <v>Mackerel Baked Or Broiled Fat Not Added In Cooking</v>
      </c>
      <c r="C3417" t="str">
        <f>IFERROR(__xludf.DUMMYFUNCTION("""COMPUTED_VALUE"""),"Fish")</f>
        <v>Fish</v>
      </c>
      <c r="D3417">
        <f>IFERROR(__xludf.DUMMYFUNCTION("""COMPUTED_VALUE"""),239.0)</f>
        <v>239</v>
      </c>
      <c r="E3417">
        <f>IFERROR(__xludf.DUMMYFUNCTION("""COMPUTED_VALUE"""),14.98)</f>
        <v>14.98</v>
      </c>
      <c r="F3417">
        <f>IFERROR(__xludf.DUMMYFUNCTION("""COMPUTED_VALUE"""),24.05)</f>
        <v>24.05</v>
      </c>
      <c r="G3417">
        <f>IFERROR(__xludf.DUMMYFUNCTION("""COMPUTED_VALUE"""),0.1)</f>
        <v>0.1</v>
      </c>
    </row>
    <row r="3418">
      <c r="A3418">
        <f>IFERROR(__xludf.DUMMYFUNCTION("""COMPUTED_VALUE"""),782546.0)</f>
        <v>782546</v>
      </c>
      <c r="B3418" t="str">
        <f>IFERROR(__xludf.DUMMYFUNCTION("""COMPUTED_VALUE"""),"Mackerel Coated Baked Or Broiled Fat Added In Cooking")</f>
        <v>Mackerel Coated Baked Or Broiled Fat Added In Cooking</v>
      </c>
      <c r="C3418" t="str">
        <f>IFERROR(__xludf.DUMMYFUNCTION("""COMPUTED_VALUE"""),"Fish")</f>
        <v>Fish</v>
      </c>
      <c r="D3418">
        <f>IFERROR(__xludf.DUMMYFUNCTION("""COMPUTED_VALUE"""),293.0)</f>
        <v>293</v>
      </c>
      <c r="E3418">
        <f>IFERROR(__xludf.DUMMYFUNCTION("""COMPUTED_VALUE"""),17.45)</f>
        <v>17.45</v>
      </c>
      <c r="F3418">
        <f>IFERROR(__xludf.DUMMYFUNCTION("""COMPUTED_VALUE"""),20.12)</f>
        <v>20.12</v>
      </c>
      <c r="G3418">
        <f>IFERROR(__xludf.DUMMYFUNCTION("""COMPUTED_VALUE"""),12.52)</f>
        <v>12.52</v>
      </c>
    </row>
    <row r="3419">
      <c r="A3419">
        <f>IFERROR(__xludf.DUMMYFUNCTION("""COMPUTED_VALUE"""),782547.0)</f>
        <v>782547</v>
      </c>
      <c r="B3419" t="str">
        <f>IFERROR(__xludf.DUMMYFUNCTION("""COMPUTED_VALUE"""),"Mackerel Coated Baked Or Broiled Fat Not Added In Cooking")</f>
        <v>Mackerel Coated Baked Or Broiled Fat Not Added In Cooking</v>
      </c>
      <c r="C3419" t="str">
        <f>IFERROR(__xludf.DUMMYFUNCTION("""COMPUTED_VALUE"""),"Fish")</f>
        <v>Fish</v>
      </c>
      <c r="D3419">
        <f>IFERROR(__xludf.DUMMYFUNCTION("""COMPUTED_VALUE"""),255.0)</f>
        <v>255</v>
      </c>
      <c r="E3419">
        <f>IFERROR(__xludf.DUMMYFUNCTION("""COMPUTED_VALUE"""),12.38)</f>
        <v>12.38</v>
      </c>
      <c r="F3419">
        <f>IFERROR(__xludf.DUMMYFUNCTION("""COMPUTED_VALUE"""),21.04)</f>
        <v>21.04</v>
      </c>
      <c r="G3419">
        <f>IFERROR(__xludf.DUMMYFUNCTION("""COMPUTED_VALUE"""),13.09)</f>
        <v>13.09</v>
      </c>
    </row>
    <row r="3420">
      <c r="A3420">
        <f>IFERROR(__xludf.DUMMYFUNCTION("""COMPUTED_VALUE"""),782548.0)</f>
        <v>782548</v>
      </c>
      <c r="B3420" t="str">
        <f>IFERROR(__xludf.DUMMYFUNCTION("""COMPUTED_VALUE"""),"Mackerel Coated Fried")</f>
        <v>Mackerel Coated Fried</v>
      </c>
      <c r="C3420" t="str">
        <f>IFERROR(__xludf.DUMMYFUNCTION("""COMPUTED_VALUE"""),"Fish")</f>
        <v>Fish</v>
      </c>
      <c r="D3420">
        <f>IFERROR(__xludf.DUMMYFUNCTION("""COMPUTED_VALUE"""),306.0)</f>
        <v>306</v>
      </c>
      <c r="E3420">
        <f>IFERROR(__xludf.DUMMYFUNCTION("""COMPUTED_VALUE"""),20.47)</f>
        <v>20.47</v>
      </c>
      <c r="F3420">
        <f>IFERROR(__xludf.DUMMYFUNCTION("""COMPUTED_VALUE"""),19.29)</f>
        <v>19.29</v>
      </c>
      <c r="G3420">
        <f>IFERROR(__xludf.DUMMYFUNCTION("""COMPUTED_VALUE"""),9.85)</f>
        <v>9.85</v>
      </c>
    </row>
    <row r="3421">
      <c r="A3421">
        <f>IFERROR(__xludf.DUMMYFUNCTION("""COMPUTED_VALUE"""),782549.0)</f>
        <v>782549</v>
      </c>
      <c r="B3421" t="str">
        <f>IFERROR(__xludf.DUMMYFUNCTION("""COMPUTED_VALUE"""),"Mackerel Pickled")</f>
        <v>Mackerel Pickled</v>
      </c>
      <c r="C3421" t="str">
        <f>IFERROR(__xludf.DUMMYFUNCTION("""COMPUTED_VALUE"""),"Fish")</f>
        <v>Fish</v>
      </c>
      <c r="D3421">
        <f>IFERROR(__xludf.DUMMYFUNCTION("""COMPUTED_VALUE"""),217.0)</f>
        <v>217</v>
      </c>
      <c r="E3421">
        <f>IFERROR(__xludf.DUMMYFUNCTION("""COMPUTED_VALUE"""),17.05)</f>
        <v>17.05</v>
      </c>
      <c r="F3421">
        <f>IFERROR(__xludf.DUMMYFUNCTION("""COMPUTED_VALUE"""),11.11)</f>
        <v>11.11</v>
      </c>
      <c r="G3421">
        <f>IFERROR(__xludf.DUMMYFUNCTION("""COMPUTED_VALUE"""),4.03)</f>
        <v>4.03</v>
      </c>
    </row>
    <row r="3422">
      <c r="A3422">
        <f>IFERROR(__xludf.DUMMYFUNCTION("""COMPUTED_VALUE"""),782551.0)</f>
        <v>782551</v>
      </c>
      <c r="B3422" t="str">
        <f>IFERROR(__xludf.DUMMYFUNCTION("""COMPUTED_VALUE"""),"Mackerel Smoked")</f>
        <v>Mackerel Smoked</v>
      </c>
      <c r="C3422" t="str">
        <f>IFERROR(__xludf.DUMMYFUNCTION("""COMPUTED_VALUE"""),"Fish")</f>
        <v>Fish</v>
      </c>
      <c r="D3422">
        <f>IFERROR(__xludf.DUMMYFUNCTION("""COMPUTED_VALUE"""),200.0)</f>
        <v>200</v>
      </c>
      <c r="E3422">
        <f>IFERROR(__xludf.DUMMYFUNCTION("""COMPUTED_VALUE"""),10.04)</f>
        <v>10.04</v>
      </c>
      <c r="F3422">
        <f>IFERROR(__xludf.DUMMYFUNCTION("""COMPUTED_VALUE"""),25.54)</f>
        <v>25.54</v>
      </c>
      <c r="G3422">
        <f>IFERROR(__xludf.DUMMYFUNCTION("""COMPUTED_VALUE"""),0.0)</f>
        <v>0</v>
      </c>
    </row>
    <row r="3423">
      <c r="A3423">
        <f>IFERROR(__xludf.DUMMYFUNCTION("""COMPUTED_VALUE"""),782553.0)</f>
        <v>782553</v>
      </c>
      <c r="B3423" t="str">
        <f>IFERROR(__xludf.DUMMYFUNCTION("""COMPUTED_VALUE"""),"Mullet Cooked Ns As To Cooking Method")</f>
        <v>Mullet Cooked Ns As To Cooking Method</v>
      </c>
      <c r="C3423" t="str">
        <f>IFERROR(__xludf.DUMMYFUNCTION("""COMPUTED_VALUE"""),"Fish")</f>
        <v>Fish</v>
      </c>
      <c r="D3423">
        <f>IFERROR(__xludf.DUMMYFUNCTION("""COMPUTED_VALUE"""),244.0)</f>
        <v>244</v>
      </c>
      <c r="E3423">
        <f>IFERROR(__xludf.DUMMYFUNCTION("""COMPUTED_VALUE"""),13.56)</f>
        <v>13.56</v>
      </c>
      <c r="F3423">
        <f>IFERROR(__xludf.DUMMYFUNCTION("""COMPUTED_VALUE"""),19.51)</f>
        <v>19.51</v>
      </c>
      <c r="G3423">
        <f>IFERROR(__xludf.DUMMYFUNCTION("""COMPUTED_VALUE"""),9.86)</f>
        <v>9.86</v>
      </c>
    </row>
    <row r="3424">
      <c r="A3424">
        <f>IFERROR(__xludf.DUMMYFUNCTION("""COMPUTED_VALUE"""),782554.0)</f>
        <v>782554</v>
      </c>
      <c r="B3424" t="str">
        <f>IFERROR(__xludf.DUMMYFUNCTION("""COMPUTED_VALUE"""),"Mullet Baked Or Broiled Fat Added In Cooking")</f>
        <v>Mullet Baked Or Broiled Fat Added In Cooking</v>
      </c>
      <c r="C3424" t="str">
        <f>IFERROR(__xludf.DUMMYFUNCTION("""COMPUTED_VALUE"""),"Fish")</f>
        <v>Fish</v>
      </c>
      <c r="D3424">
        <f>IFERROR(__xludf.DUMMYFUNCTION("""COMPUTED_VALUE"""),176.0)</f>
        <v>176</v>
      </c>
      <c r="E3424">
        <f>IFERROR(__xludf.DUMMYFUNCTION("""COMPUTED_VALUE"""),8.31)</f>
        <v>8.31</v>
      </c>
      <c r="F3424">
        <f>IFERROR(__xludf.DUMMYFUNCTION("""COMPUTED_VALUE"""),23.68)</f>
        <v>23.68</v>
      </c>
      <c r="G3424">
        <f>IFERROR(__xludf.DUMMYFUNCTION("""COMPUTED_VALUE"""),0.1)</f>
        <v>0.1</v>
      </c>
    </row>
    <row r="3425">
      <c r="A3425">
        <f>IFERROR(__xludf.DUMMYFUNCTION("""COMPUTED_VALUE"""),782555.0)</f>
        <v>782555</v>
      </c>
      <c r="B3425" t="str">
        <f>IFERROR(__xludf.DUMMYFUNCTION("""COMPUTED_VALUE"""),"Mullet Baked Or Broiled Fat Not Added In Cooking")</f>
        <v>Mullet Baked Or Broiled Fat Not Added In Cooking</v>
      </c>
      <c r="C3425" t="str">
        <f>IFERROR(__xludf.DUMMYFUNCTION("""COMPUTED_VALUE"""),"Fish")</f>
        <v>Fish</v>
      </c>
      <c r="D3425">
        <f>IFERROR(__xludf.DUMMYFUNCTION("""COMPUTED_VALUE"""),148.0)</f>
        <v>148</v>
      </c>
      <c r="E3425">
        <f>IFERROR(__xludf.DUMMYFUNCTION("""COMPUTED_VALUE"""),4.78)</f>
        <v>4.78</v>
      </c>
      <c r="F3425">
        <f>IFERROR(__xludf.DUMMYFUNCTION("""COMPUTED_VALUE"""),24.37)</f>
        <v>24.37</v>
      </c>
      <c r="G3425">
        <f>IFERROR(__xludf.DUMMYFUNCTION("""COMPUTED_VALUE"""),0.1)</f>
        <v>0.1</v>
      </c>
    </row>
    <row r="3426">
      <c r="A3426">
        <f>IFERROR(__xludf.DUMMYFUNCTION("""COMPUTED_VALUE"""),782556.0)</f>
        <v>782556</v>
      </c>
      <c r="B3426" t="str">
        <f>IFERROR(__xludf.DUMMYFUNCTION("""COMPUTED_VALUE"""),"Mullet Coated Baked Or Broiled Fat Added In Cooking")</f>
        <v>Mullet Coated Baked Or Broiled Fat Added In Cooking</v>
      </c>
      <c r="C3426" t="str">
        <f>IFERROR(__xludf.DUMMYFUNCTION("""COMPUTED_VALUE"""),"Fish")</f>
        <v>Fish</v>
      </c>
      <c r="D3426">
        <f>IFERROR(__xludf.DUMMYFUNCTION("""COMPUTED_VALUE"""),226.0)</f>
        <v>226</v>
      </c>
      <c r="E3426">
        <f>IFERROR(__xludf.DUMMYFUNCTION("""COMPUTED_VALUE"""),9.88)</f>
        <v>9.88</v>
      </c>
      <c r="F3426">
        <f>IFERROR(__xludf.DUMMYFUNCTION("""COMPUTED_VALUE"""),20.36)</f>
        <v>20.36</v>
      </c>
      <c r="G3426">
        <f>IFERROR(__xludf.DUMMYFUNCTION("""COMPUTED_VALUE"""),12.52)</f>
        <v>12.52</v>
      </c>
    </row>
    <row r="3427">
      <c r="A3427">
        <f>IFERROR(__xludf.DUMMYFUNCTION("""COMPUTED_VALUE"""),782557.0)</f>
        <v>782557</v>
      </c>
      <c r="B3427" t="str">
        <f>IFERROR(__xludf.DUMMYFUNCTION("""COMPUTED_VALUE"""),"Mullet Coated Baked Or Broiled Fat Not Added In Cooking")</f>
        <v>Mullet Coated Baked Or Broiled Fat Not Added In Cooking</v>
      </c>
      <c r="C3427" t="str">
        <f>IFERROR(__xludf.DUMMYFUNCTION("""COMPUTED_VALUE"""),"Fish")</f>
        <v>Fish</v>
      </c>
      <c r="D3427">
        <f>IFERROR(__xludf.DUMMYFUNCTION("""COMPUTED_VALUE"""),184.0)</f>
        <v>184</v>
      </c>
      <c r="E3427">
        <f>IFERROR(__xludf.DUMMYFUNCTION("""COMPUTED_VALUE"""),4.47)</f>
        <v>4.47</v>
      </c>
      <c r="F3427">
        <f>IFERROR(__xludf.DUMMYFUNCTION("""COMPUTED_VALUE"""),21.29)</f>
        <v>21.29</v>
      </c>
      <c r="G3427">
        <f>IFERROR(__xludf.DUMMYFUNCTION("""COMPUTED_VALUE"""),13.1)</f>
        <v>13.1</v>
      </c>
    </row>
    <row r="3428">
      <c r="A3428">
        <f>IFERROR(__xludf.DUMMYFUNCTION("""COMPUTED_VALUE"""),782558.0)</f>
        <v>782558</v>
      </c>
      <c r="B3428" t="str">
        <f>IFERROR(__xludf.DUMMYFUNCTION("""COMPUTED_VALUE"""),"Mullet Coated Fried")</f>
        <v>Mullet Coated Fried</v>
      </c>
      <c r="C3428" t="str">
        <f>IFERROR(__xludf.DUMMYFUNCTION("""COMPUTED_VALUE"""),"Fish")</f>
        <v>Fish</v>
      </c>
      <c r="D3428">
        <f>IFERROR(__xludf.DUMMYFUNCTION("""COMPUTED_VALUE"""),244.0)</f>
        <v>244</v>
      </c>
      <c r="E3428">
        <f>IFERROR(__xludf.DUMMYFUNCTION("""COMPUTED_VALUE"""),13.56)</f>
        <v>13.56</v>
      </c>
      <c r="F3428">
        <f>IFERROR(__xludf.DUMMYFUNCTION("""COMPUTED_VALUE"""),19.51)</f>
        <v>19.51</v>
      </c>
      <c r="G3428">
        <f>IFERROR(__xludf.DUMMYFUNCTION("""COMPUTED_VALUE"""),9.85)</f>
        <v>9.85</v>
      </c>
    </row>
    <row r="3429">
      <c r="A3429">
        <f>IFERROR(__xludf.DUMMYFUNCTION("""COMPUTED_VALUE"""),782559.0)</f>
        <v>782559</v>
      </c>
      <c r="B3429" t="str">
        <f>IFERROR(__xludf.DUMMYFUNCTION("""COMPUTED_VALUE"""),"Mullet Steamed Or Poached")</f>
        <v>Mullet Steamed Or Poached</v>
      </c>
      <c r="C3429" t="str">
        <f>IFERROR(__xludf.DUMMYFUNCTION("""COMPUTED_VALUE"""),"Fish")</f>
        <v>Fish</v>
      </c>
      <c r="D3429">
        <f>IFERROR(__xludf.DUMMYFUNCTION("""COMPUTED_VALUE"""),147.0)</f>
        <v>147</v>
      </c>
      <c r="E3429">
        <f>IFERROR(__xludf.DUMMYFUNCTION("""COMPUTED_VALUE"""),4.77)</f>
        <v>4.77</v>
      </c>
      <c r="F3429">
        <f>IFERROR(__xludf.DUMMYFUNCTION("""COMPUTED_VALUE"""),24.33)</f>
        <v>24.33</v>
      </c>
      <c r="G3429">
        <f>IFERROR(__xludf.DUMMYFUNCTION("""COMPUTED_VALUE"""),0.0)</f>
        <v>0</v>
      </c>
    </row>
    <row r="3430">
      <c r="A3430">
        <f>IFERROR(__xludf.DUMMYFUNCTION("""COMPUTED_VALUE"""),782561.0)</f>
        <v>782561</v>
      </c>
      <c r="B3430" t="str">
        <f>IFERROR(__xludf.DUMMYFUNCTION("""COMPUTED_VALUE"""),"Ocean Perch Cooked Ns As To Cooking Method")</f>
        <v>Ocean Perch Cooked Ns As To Cooking Method</v>
      </c>
      <c r="C3430" t="str">
        <f>IFERROR(__xludf.DUMMYFUNCTION("""COMPUTED_VALUE"""),"Fish")</f>
        <v>Fish</v>
      </c>
      <c r="D3430">
        <f>IFERROR(__xludf.DUMMYFUNCTION("""COMPUTED_VALUE"""),129.0)</f>
        <v>129</v>
      </c>
      <c r="E3430">
        <f>IFERROR(__xludf.DUMMYFUNCTION("""COMPUTED_VALUE"""),5.56)</f>
        <v>5.56</v>
      </c>
      <c r="F3430">
        <f>IFERROR(__xludf.DUMMYFUNCTION("""COMPUTED_VALUE"""),18.73)</f>
        <v>18.73</v>
      </c>
      <c r="G3430">
        <f>IFERROR(__xludf.DUMMYFUNCTION("""COMPUTED_VALUE"""),0.1)</f>
        <v>0.1</v>
      </c>
    </row>
    <row r="3431">
      <c r="A3431">
        <f>IFERROR(__xludf.DUMMYFUNCTION("""COMPUTED_VALUE"""),782562.0)</f>
        <v>782562</v>
      </c>
      <c r="B3431" t="str">
        <f>IFERROR(__xludf.DUMMYFUNCTION("""COMPUTED_VALUE"""),"Ocean Perch Baked Or Broiled Fat Added In Cooking")</f>
        <v>Ocean Perch Baked Or Broiled Fat Added In Cooking</v>
      </c>
      <c r="C3431" t="str">
        <f>IFERROR(__xludf.DUMMYFUNCTION("""COMPUTED_VALUE"""),"Fish")</f>
        <v>Fish</v>
      </c>
      <c r="D3431">
        <f>IFERROR(__xludf.DUMMYFUNCTION("""COMPUTED_VALUE"""),129.0)</f>
        <v>129</v>
      </c>
      <c r="E3431">
        <f>IFERROR(__xludf.DUMMYFUNCTION("""COMPUTED_VALUE"""),5.56)</f>
        <v>5.56</v>
      </c>
      <c r="F3431">
        <f>IFERROR(__xludf.DUMMYFUNCTION("""COMPUTED_VALUE"""),18.73)</f>
        <v>18.73</v>
      </c>
      <c r="G3431">
        <f>IFERROR(__xludf.DUMMYFUNCTION("""COMPUTED_VALUE"""),0.1)</f>
        <v>0.1</v>
      </c>
    </row>
    <row r="3432">
      <c r="A3432">
        <f>IFERROR(__xludf.DUMMYFUNCTION("""COMPUTED_VALUE"""),782563.0)</f>
        <v>782563</v>
      </c>
      <c r="B3432" t="str">
        <f>IFERROR(__xludf.DUMMYFUNCTION("""COMPUTED_VALUE"""),"Ocean Perch Baked Or Broiled Fat Not Added In Cooking")</f>
        <v>Ocean Perch Baked Or Broiled Fat Not Added In Cooking</v>
      </c>
      <c r="C3432" t="str">
        <f>IFERROR(__xludf.DUMMYFUNCTION("""COMPUTED_VALUE"""),"Fish")</f>
        <v>Fish</v>
      </c>
      <c r="D3432">
        <f>IFERROR(__xludf.DUMMYFUNCTION("""COMPUTED_VALUE"""),100.0)</f>
        <v>100</v>
      </c>
      <c r="E3432">
        <f>IFERROR(__xludf.DUMMYFUNCTION("""COMPUTED_VALUE"""),1.94)</f>
        <v>1.94</v>
      </c>
      <c r="F3432">
        <f>IFERROR(__xludf.DUMMYFUNCTION("""COMPUTED_VALUE"""),19.29)</f>
        <v>19.29</v>
      </c>
      <c r="G3432">
        <f>IFERROR(__xludf.DUMMYFUNCTION("""COMPUTED_VALUE"""),0.1)</f>
        <v>0.1</v>
      </c>
    </row>
    <row r="3433">
      <c r="A3433">
        <f>IFERROR(__xludf.DUMMYFUNCTION("""COMPUTED_VALUE"""),782564.0)</f>
        <v>782564</v>
      </c>
      <c r="B3433" t="str">
        <f>IFERROR(__xludf.DUMMYFUNCTION("""COMPUTED_VALUE"""),"Ocean Perch Coated Baked Or Broiled Fat Added In Cooking")</f>
        <v>Ocean Perch Coated Baked Or Broiled Fat Added In Cooking</v>
      </c>
      <c r="C3433" t="str">
        <f>IFERROR(__xludf.DUMMYFUNCTION("""COMPUTED_VALUE"""),"Fish")</f>
        <v>Fish</v>
      </c>
      <c r="D3433">
        <f>IFERROR(__xludf.DUMMYFUNCTION("""COMPUTED_VALUE"""),190.0)</f>
        <v>190</v>
      </c>
      <c r="E3433">
        <f>IFERROR(__xludf.DUMMYFUNCTION("""COMPUTED_VALUE"""),7.78)</f>
        <v>7.78</v>
      </c>
      <c r="F3433">
        <f>IFERROR(__xludf.DUMMYFUNCTION("""COMPUTED_VALUE"""),16.59)</f>
        <v>16.59</v>
      </c>
      <c r="G3433">
        <f>IFERROR(__xludf.DUMMYFUNCTION("""COMPUTED_VALUE"""),12.52)</f>
        <v>12.52</v>
      </c>
    </row>
    <row r="3434">
      <c r="A3434">
        <f>IFERROR(__xludf.DUMMYFUNCTION("""COMPUTED_VALUE"""),782565.0)</f>
        <v>782565</v>
      </c>
      <c r="B3434" t="str">
        <f>IFERROR(__xludf.DUMMYFUNCTION("""COMPUTED_VALUE"""),"Ocean Perch Coated Baked Or Broiled Fat Not Added In Cooking")</f>
        <v>Ocean Perch Coated Baked Or Broiled Fat Not Added In Cooking</v>
      </c>
      <c r="C3434" t="str">
        <f>IFERROR(__xludf.DUMMYFUNCTION("""COMPUTED_VALUE"""),"Fish")</f>
        <v>Fish</v>
      </c>
      <c r="D3434">
        <f>IFERROR(__xludf.DUMMYFUNCTION("""COMPUTED_VALUE"""),147.0)</f>
        <v>147</v>
      </c>
      <c r="E3434">
        <f>IFERROR(__xludf.DUMMYFUNCTION("""COMPUTED_VALUE"""),2.27)</f>
        <v>2.27</v>
      </c>
      <c r="F3434">
        <f>IFERROR(__xludf.DUMMYFUNCTION("""COMPUTED_VALUE"""),17.35)</f>
        <v>17.35</v>
      </c>
      <c r="G3434">
        <f>IFERROR(__xludf.DUMMYFUNCTION("""COMPUTED_VALUE"""),13.1)</f>
        <v>13.1</v>
      </c>
    </row>
    <row r="3435">
      <c r="A3435">
        <f>IFERROR(__xludf.DUMMYFUNCTION("""COMPUTED_VALUE"""),782566.0)</f>
        <v>782566</v>
      </c>
      <c r="B3435" t="str">
        <f>IFERROR(__xludf.DUMMYFUNCTION("""COMPUTED_VALUE"""),"Ocean Perch Coated Fried")</f>
        <v>Ocean Perch Coated Fried</v>
      </c>
      <c r="C3435" t="str">
        <f>IFERROR(__xludf.DUMMYFUNCTION("""COMPUTED_VALUE"""),"Fish")</f>
        <v>Fish</v>
      </c>
      <c r="D3435">
        <f>IFERROR(__xludf.DUMMYFUNCTION("""COMPUTED_VALUE"""),212.0)</f>
        <v>212</v>
      </c>
      <c r="E3435">
        <f>IFERROR(__xludf.DUMMYFUNCTION("""COMPUTED_VALUE"""),11.64)</f>
        <v>11.64</v>
      </c>
      <c r="F3435">
        <f>IFERROR(__xludf.DUMMYFUNCTION("""COMPUTED_VALUE"""),16.07)</f>
        <v>16.07</v>
      </c>
      <c r="G3435">
        <f>IFERROR(__xludf.DUMMYFUNCTION("""COMPUTED_VALUE"""),9.85)</f>
        <v>9.85</v>
      </c>
    </row>
    <row r="3436">
      <c r="A3436">
        <f>IFERROR(__xludf.DUMMYFUNCTION("""COMPUTED_VALUE"""),782567.0)</f>
        <v>782567</v>
      </c>
      <c r="B3436" t="str">
        <f>IFERROR(__xludf.DUMMYFUNCTION("""COMPUTED_VALUE"""),"Ocean Perch Steamed Or Poached")</f>
        <v>Ocean Perch Steamed Or Poached</v>
      </c>
      <c r="C3436" t="str">
        <f>IFERROR(__xludf.DUMMYFUNCTION("""COMPUTED_VALUE"""),"Fish")</f>
        <v>Fish</v>
      </c>
      <c r="D3436">
        <f>IFERROR(__xludf.DUMMYFUNCTION("""COMPUTED_VALUE"""),99.0)</f>
        <v>99</v>
      </c>
      <c r="E3436">
        <f>IFERROR(__xludf.DUMMYFUNCTION("""COMPUTED_VALUE"""),1.94)</f>
        <v>1.94</v>
      </c>
      <c r="F3436">
        <f>IFERROR(__xludf.DUMMYFUNCTION("""COMPUTED_VALUE"""),19.25)</f>
        <v>19.25</v>
      </c>
      <c r="G3436">
        <f>IFERROR(__xludf.DUMMYFUNCTION("""COMPUTED_VALUE"""),0.0)</f>
        <v>0</v>
      </c>
    </row>
    <row r="3437">
      <c r="A3437">
        <f>IFERROR(__xludf.DUMMYFUNCTION("""COMPUTED_VALUE"""),782568.0)</f>
        <v>782568</v>
      </c>
      <c r="B3437" t="str">
        <f>IFERROR(__xludf.DUMMYFUNCTION("""COMPUTED_VALUE"""),"Perch Cooked Ns As To Cooking Method")</f>
        <v>Perch Cooked Ns As To Cooking Method</v>
      </c>
      <c r="C3437" t="str">
        <f>IFERROR(__xludf.DUMMYFUNCTION("""COMPUTED_VALUE"""),"Fish")</f>
        <v>Fish</v>
      </c>
      <c r="D3437">
        <f>IFERROR(__xludf.DUMMYFUNCTION("""COMPUTED_VALUE"""),222.0)</f>
        <v>222</v>
      </c>
      <c r="E3437">
        <f>IFERROR(__xludf.DUMMYFUNCTION("""COMPUTED_VALUE"""),11.11)</f>
        <v>11.11</v>
      </c>
      <c r="F3437">
        <f>IFERROR(__xludf.DUMMYFUNCTION("""COMPUTED_VALUE"""),19.55)</f>
        <v>19.55</v>
      </c>
      <c r="G3437">
        <f>IFERROR(__xludf.DUMMYFUNCTION("""COMPUTED_VALUE"""),9.86)</f>
        <v>9.86</v>
      </c>
    </row>
    <row r="3438">
      <c r="A3438">
        <f>IFERROR(__xludf.DUMMYFUNCTION("""COMPUTED_VALUE"""),782569.0)</f>
        <v>782569</v>
      </c>
      <c r="B3438" t="str">
        <f>IFERROR(__xludf.DUMMYFUNCTION("""COMPUTED_VALUE"""),"Perch Baked Or Broiled Made With Oil")</f>
        <v>Perch Baked Or Broiled Made With Oil</v>
      </c>
      <c r="C3438" t="str">
        <f>IFERROR(__xludf.DUMMYFUNCTION("""COMPUTED_VALUE"""),"Fish")</f>
        <v>Fish</v>
      </c>
      <c r="D3438">
        <f>IFERROR(__xludf.DUMMYFUNCTION("""COMPUTED_VALUE"""),144.0)</f>
        <v>144</v>
      </c>
      <c r="E3438">
        <f>IFERROR(__xludf.DUMMYFUNCTION("""COMPUTED_VALUE"""),4.8)</f>
        <v>4.8</v>
      </c>
      <c r="F3438">
        <f>IFERROR(__xludf.DUMMYFUNCTION("""COMPUTED_VALUE"""),23.72)</f>
        <v>23.72</v>
      </c>
      <c r="G3438">
        <f>IFERROR(__xludf.DUMMYFUNCTION("""COMPUTED_VALUE"""),0.1)</f>
        <v>0.1</v>
      </c>
    </row>
    <row r="3439">
      <c r="A3439">
        <f>IFERROR(__xludf.DUMMYFUNCTION("""COMPUTED_VALUE"""),782570.0)</f>
        <v>782570</v>
      </c>
      <c r="B3439" t="str">
        <f>IFERROR(__xludf.DUMMYFUNCTION("""COMPUTED_VALUE"""),"Perch Baked Or Broiled Made With Butter")</f>
        <v>Perch Baked Or Broiled Made With Butter</v>
      </c>
      <c r="C3439" t="str">
        <f>IFERROR(__xludf.DUMMYFUNCTION("""COMPUTED_VALUE"""),"Fish")</f>
        <v>Fish</v>
      </c>
      <c r="D3439">
        <f>IFERROR(__xludf.DUMMYFUNCTION("""COMPUTED_VALUE"""),139.0)</f>
        <v>139</v>
      </c>
      <c r="E3439">
        <f>IFERROR(__xludf.DUMMYFUNCTION("""COMPUTED_VALUE"""),4.23)</f>
        <v>4.23</v>
      </c>
      <c r="F3439">
        <f>IFERROR(__xludf.DUMMYFUNCTION("""COMPUTED_VALUE"""),23.73)</f>
        <v>23.73</v>
      </c>
      <c r="G3439">
        <f>IFERROR(__xludf.DUMMYFUNCTION("""COMPUTED_VALUE"""),0.1)</f>
        <v>0.1</v>
      </c>
    </row>
    <row r="3440">
      <c r="A3440">
        <f>IFERROR(__xludf.DUMMYFUNCTION("""COMPUTED_VALUE"""),782571.0)</f>
        <v>782571</v>
      </c>
      <c r="B3440" t="str">
        <f>IFERROR(__xludf.DUMMYFUNCTION("""COMPUTED_VALUE"""),"Perch Baked Or Broiled Made With Margarine")</f>
        <v>Perch Baked Or Broiled Made With Margarine</v>
      </c>
      <c r="C3440" t="str">
        <f>IFERROR(__xludf.DUMMYFUNCTION("""COMPUTED_VALUE"""),"Fish")</f>
        <v>Fish</v>
      </c>
      <c r="D3440">
        <f>IFERROR(__xludf.DUMMYFUNCTION("""COMPUTED_VALUE"""),132.0)</f>
        <v>132</v>
      </c>
      <c r="E3440">
        <f>IFERROR(__xludf.DUMMYFUNCTION("""COMPUTED_VALUE"""),3.43)</f>
        <v>3.43</v>
      </c>
      <c r="F3440">
        <f>IFERROR(__xludf.DUMMYFUNCTION("""COMPUTED_VALUE"""),23.7)</f>
        <v>23.7</v>
      </c>
      <c r="G3440">
        <f>IFERROR(__xludf.DUMMYFUNCTION("""COMPUTED_VALUE"""),0.13)</f>
        <v>0.13</v>
      </c>
    </row>
    <row r="3441">
      <c r="A3441">
        <f>IFERROR(__xludf.DUMMYFUNCTION("""COMPUTED_VALUE"""),782572.0)</f>
        <v>782572</v>
      </c>
      <c r="B3441" t="str">
        <f>IFERROR(__xludf.DUMMYFUNCTION("""COMPUTED_VALUE"""),"Perch Baked Or Broiled Made Without Fat")</f>
        <v>Perch Baked Or Broiled Made Without Fat</v>
      </c>
      <c r="C3441" t="str">
        <f>IFERROR(__xludf.DUMMYFUNCTION("""COMPUTED_VALUE"""),"Fish")</f>
        <v>Fish</v>
      </c>
      <c r="D3441">
        <f>IFERROR(__xludf.DUMMYFUNCTION("""COMPUTED_VALUE"""),115.0)</f>
        <v>115</v>
      </c>
      <c r="E3441">
        <f>IFERROR(__xludf.DUMMYFUNCTION("""COMPUTED_VALUE"""),1.16)</f>
        <v>1.16</v>
      </c>
      <c r="F3441">
        <f>IFERROR(__xludf.DUMMYFUNCTION("""COMPUTED_VALUE"""),24.42)</f>
        <v>24.42</v>
      </c>
      <c r="G3441">
        <f>IFERROR(__xludf.DUMMYFUNCTION("""COMPUTED_VALUE"""),0.1)</f>
        <v>0.1</v>
      </c>
    </row>
    <row r="3442">
      <c r="A3442">
        <f>IFERROR(__xludf.DUMMYFUNCTION("""COMPUTED_VALUE"""),782573.0)</f>
        <v>782573</v>
      </c>
      <c r="B3442" t="str">
        <f>IFERROR(__xludf.DUMMYFUNCTION("""COMPUTED_VALUE"""),"Perch Baked Or Broiled Made With Cooking Spray")</f>
        <v>Perch Baked Or Broiled Made With Cooking Spray</v>
      </c>
      <c r="C3442" t="str">
        <f>IFERROR(__xludf.DUMMYFUNCTION("""COMPUTED_VALUE"""),"Fish")</f>
        <v>Fish</v>
      </c>
      <c r="D3442">
        <f>IFERROR(__xludf.DUMMYFUNCTION("""COMPUTED_VALUE"""),118.0)</f>
        <v>118</v>
      </c>
      <c r="E3442">
        <f>IFERROR(__xludf.DUMMYFUNCTION("""COMPUTED_VALUE"""),1.55)</f>
        <v>1.55</v>
      </c>
      <c r="F3442">
        <f>IFERROR(__xludf.DUMMYFUNCTION("""COMPUTED_VALUE"""),24.33)</f>
        <v>24.33</v>
      </c>
      <c r="G3442">
        <f>IFERROR(__xludf.DUMMYFUNCTION("""COMPUTED_VALUE"""),0.2)</f>
        <v>0.2</v>
      </c>
    </row>
    <row r="3443">
      <c r="A3443">
        <f>IFERROR(__xludf.DUMMYFUNCTION("""COMPUTED_VALUE"""),782574.0)</f>
        <v>782574</v>
      </c>
      <c r="B3443" t="str">
        <f>IFERROR(__xludf.DUMMYFUNCTION("""COMPUTED_VALUE"""),"Perch Coated Baked Or Broiled Made With Oil")</f>
        <v>Perch Coated Baked Or Broiled Made With Oil</v>
      </c>
      <c r="C3443" t="str">
        <f>IFERROR(__xludf.DUMMYFUNCTION("""COMPUTED_VALUE"""),"Fish")</f>
        <v>Fish</v>
      </c>
      <c r="D3443">
        <f>IFERROR(__xludf.DUMMYFUNCTION("""COMPUTED_VALUE"""),202.0)</f>
        <v>202</v>
      </c>
      <c r="E3443">
        <f>IFERROR(__xludf.DUMMYFUNCTION("""COMPUTED_VALUE"""),7.2)</f>
        <v>7.2</v>
      </c>
      <c r="F3443">
        <f>IFERROR(__xludf.DUMMYFUNCTION("""COMPUTED_VALUE"""),20.4)</f>
        <v>20.4</v>
      </c>
      <c r="G3443">
        <f>IFERROR(__xludf.DUMMYFUNCTION("""COMPUTED_VALUE"""),12.52)</f>
        <v>12.52</v>
      </c>
    </row>
    <row r="3444">
      <c r="A3444">
        <f>IFERROR(__xludf.DUMMYFUNCTION("""COMPUTED_VALUE"""),782575.0)</f>
        <v>782575</v>
      </c>
      <c r="B3444" t="str">
        <f>IFERROR(__xludf.DUMMYFUNCTION("""COMPUTED_VALUE"""),"Perch Coated Baked Or Broiled Made With Butter")</f>
        <v>Perch Coated Baked Or Broiled Made With Butter</v>
      </c>
      <c r="C3444" t="str">
        <f>IFERROR(__xludf.DUMMYFUNCTION("""COMPUTED_VALUE"""),"Fish")</f>
        <v>Fish</v>
      </c>
      <c r="D3444">
        <f>IFERROR(__xludf.DUMMYFUNCTION("""COMPUTED_VALUE"""),194.0)</f>
        <v>194</v>
      </c>
      <c r="E3444">
        <f>IFERROR(__xludf.DUMMYFUNCTION("""COMPUTED_VALUE"""),6.32)</f>
        <v>6.32</v>
      </c>
      <c r="F3444">
        <f>IFERROR(__xludf.DUMMYFUNCTION("""COMPUTED_VALUE"""),20.41)</f>
        <v>20.41</v>
      </c>
      <c r="G3444">
        <f>IFERROR(__xludf.DUMMYFUNCTION("""COMPUTED_VALUE"""),12.5)</f>
        <v>12.5</v>
      </c>
    </row>
    <row r="3445">
      <c r="A3445">
        <f>IFERROR(__xludf.DUMMYFUNCTION("""COMPUTED_VALUE"""),782576.0)</f>
        <v>782576</v>
      </c>
      <c r="B3445" t="str">
        <f>IFERROR(__xludf.DUMMYFUNCTION("""COMPUTED_VALUE"""),"Perch Coated Baked Or Broiled Made With Margarine")</f>
        <v>Perch Coated Baked Or Broiled Made With Margarine</v>
      </c>
      <c r="C3445" t="str">
        <f>IFERROR(__xludf.DUMMYFUNCTION("""COMPUTED_VALUE"""),"Fish")</f>
        <v>Fish</v>
      </c>
      <c r="D3445">
        <f>IFERROR(__xludf.DUMMYFUNCTION("""COMPUTED_VALUE"""),183.0)</f>
        <v>183</v>
      </c>
      <c r="E3445">
        <f>IFERROR(__xludf.DUMMYFUNCTION("""COMPUTED_VALUE"""),5.11)</f>
        <v>5.11</v>
      </c>
      <c r="F3445">
        <f>IFERROR(__xludf.DUMMYFUNCTION("""COMPUTED_VALUE"""),20.36)</f>
        <v>20.36</v>
      </c>
      <c r="G3445">
        <f>IFERROR(__xludf.DUMMYFUNCTION("""COMPUTED_VALUE"""),12.55)</f>
        <v>12.55</v>
      </c>
    </row>
    <row r="3446">
      <c r="A3446">
        <f>IFERROR(__xludf.DUMMYFUNCTION("""COMPUTED_VALUE"""),782577.0)</f>
        <v>782577</v>
      </c>
      <c r="B3446" t="str">
        <f>IFERROR(__xludf.DUMMYFUNCTION("""COMPUTED_VALUE"""),"Perch Coated Baked Or Broiled Made Without Fat")</f>
        <v>Perch Coated Baked Or Broiled Made Without Fat</v>
      </c>
      <c r="C3446" t="str">
        <f>IFERROR(__xludf.DUMMYFUNCTION("""COMPUTED_VALUE"""),"Fish")</f>
        <v>Fish</v>
      </c>
      <c r="D3446">
        <f>IFERROR(__xludf.DUMMYFUNCTION("""COMPUTED_VALUE"""),159.0)</f>
        <v>159</v>
      </c>
      <c r="E3446">
        <f>IFERROR(__xludf.DUMMYFUNCTION("""COMPUTED_VALUE"""),1.67)</f>
        <v>1.67</v>
      </c>
      <c r="F3446">
        <f>IFERROR(__xludf.DUMMYFUNCTION("""COMPUTED_VALUE"""),21.33)</f>
        <v>21.33</v>
      </c>
      <c r="G3446">
        <f>IFERROR(__xludf.DUMMYFUNCTION("""COMPUTED_VALUE"""),13.1)</f>
        <v>13.1</v>
      </c>
    </row>
    <row r="3447">
      <c r="A3447">
        <f>IFERROR(__xludf.DUMMYFUNCTION("""COMPUTED_VALUE"""),782578.0)</f>
        <v>782578</v>
      </c>
      <c r="B3447" t="str">
        <f>IFERROR(__xludf.DUMMYFUNCTION("""COMPUTED_VALUE"""),"Perch Coated Baked Or Broiled Made With Cooking Spray")</f>
        <v>Perch Coated Baked Or Broiled Made With Cooking Spray</v>
      </c>
      <c r="C3447" t="str">
        <f>IFERROR(__xludf.DUMMYFUNCTION("""COMPUTED_VALUE"""),"Fish")</f>
        <v>Fish</v>
      </c>
      <c r="D3447">
        <f>IFERROR(__xludf.DUMMYFUNCTION("""COMPUTED_VALUE"""),162.0)</f>
        <v>162</v>
      </c>
      <c r="E3447">
        <f>IFERROR(__xludf.DUMMYFUNCTION("""COMPUTED_VALUE"""),1.97)</f>
        <v>1.97</v>
      </c>
      <c r="F3447">
        <f>IFERROR(__xludf.DUMMYFUNCTION("""COMPUTED_VALUE"""),21.27)</f>
        <v>21.27</v>
      </c>
      <c r="G3447">
        <f>IFERROR(__xludf.DUMMYFUNCTION("""COMPUTED_VALUE"""),13.14)</f>
        <v>13.14</v>
      </c>
    </row>
    <row r="3448">
      <c r="A3448">
        <f>IFERROR(__xludf.DUMMYFUNCTION("""COMPUTED_VALUE"""),782579.0)</f>
        <v>782579</v>
      </c>
      <c r="B3448" t="str">
        <f>IFERROR(__xludf.DUMMYFUNCTION("""COMPUTED_VALUE"""),"Perch Coated Fried Made With Oil")</f>
        <v>Perch Coated Fried Made With Oil</v>
      </c>
      <c r="C3448" t="str">
        <f>IFERROR(__xludf.DUMMYFUNCTION("""COMPUTED_VALUE"""),"Fish")</f>
        <v>Fish</v>
      </c>
      <c r="D3448">
        <f>IFERROR(__xludf.DUMMYFUNCTION("""COMPUTED_VALUE"""),222.0)</f>
        <v>222</v>
      </c>
      <c r="E3448">
        <f>IFERROR(__xludf.DUMMYFUNCTION("""COMPUTED_VALUE"""),11.11)</f>
        <v>11.11</v>
      </c>
      <c r="F3448">
        <f>IFERROR(__xludf.DUMMYFUNCTION("""COMPUTED_VALUE"""),19.55)</f>
        <v>19.55</v>
      </c>
      <c r="G3448">
        <f>IFERROR(__xludf.DUMMYFUNCTION("""COMPUTED_VALUE"""),9.85)</f>
        <v>9.85</v>
      </c>
    </row>
    <row r="3449">
      <c r="A3449">
        <f>IFERROR(__xludf.DUMMYFUNCTION("""COMPUTED_VALUE"""),782580.0)</f>
        <v>782580</v>
      </c>
      <c r="B3449" t="str">
        <f>IFERROR(__xludf.DUMMYFUNCTION("""COMPUTED_VALUE"""),"Perch Coated Fried Made With Butter")</f>
        <v>Perch Coated Fried Made With Butter</v>
      </c>
      <c r="C3449" t="str">
        <f>IFERROR(__xludf.DUMMYFUNCTION("""COMPUTED_VALUE"""),"Fish")</f>
        <v>Fish</v>
      </c>
      <c r="D3449">
        <f>IFERROR(__xludf.DUMMYFUNCTION("""COMPUTED_VALUE"""),207.0)</f>
        <v>207</v>
      </c>
      <c r="E3449">
        <f>IFERROR(__xludf.DUMMYFUNCTION("""COMPUTED_VALUE"""),9.47)</f>
        <v>9.47</v>
      </c>
      <c r="F3449">
        <f>IFERROR(__xludf.DUMMYFUNCTION("""COMPUTED_VALUE"""),19.62)</f>
        <v>19.62</v>
      </c>
      <c r="G3449">
        <f>IFERROR(__xludf.DUMMYFUNCTION("""COMPUTED_VALUE"""),9.86)</f>
        <v>9.86</v>
      </c>
    </row>
    <row r="3450">
      <c r="A3450">
        <f>IFERROR(__xludf.DUMMYFUNCTION("""COMPUTED_VALUE"""),782581.0)</f>
        <v>782581</v>
      </c>
      <c r="B3450" t="str">
        <f>IFERROR(__xludf.DUMMYFUNCTION("""COMPUTED_VALUE"""),"Perch Coated Fried Made With Margarine")</f>
        <v>Perch Coated Fried Made With Margarine</v>
      </c>
      <c r="C3450" t="str">
        <f>IFERROR(__xludf.DUMMYFUNCTION("""COMPUTED_VALUE"""),"Fish")</f>
        <v>Fish</v>
      </c>
      <c r="D3450">
        <f>IFERROR(__xludf.DUMMYFUNCTION("""COMPUTED_VALUE"""),191.0)</f>
        <v>191</v>
      </c>
      <c r="E3450">
        <f>IFERROR(__xludf.DUMMYFUNCTION("""COMPUTED_VALUE"""),7.61)</f>
        <v>7.61</v>
      </c>
      <c r="F3450">
        <f>IFERROR(__xludf.DUMMYFUNCTION("""COMPUTED_VALUE"""),19.56)</f>
        <v>19.56</v>
      </c>
      <c r="G3450">
        <f>IFERROR(__xludf.DUMMYFUNCTION("""COMPUTED_VALUE"""),9.93)</f>
        <v>9.93</v>
      </c>
    </row>
    <row r="3451">
      <c r="A3451">
        <f>IFERROR(__xludf.DUMMYFUNCTION("""COMPUTED_VALUE"""),782582.0)</f>
        <v>782582</v>
      </c>
      <c r="B3451" t="str">
        <f>IFERROR(__xludf.DUMMYFUNCTION("""COMPUTED_VALUE"""),"Perch Coated Fried Made Without Fat")</f>
        <v>Perch Coated Fried Made Without Fat</v>
      </c>
      <c r="C3451" t="str">
        <f>IFERROR(__xludf.DUMMYFUNCTION("""COMPUTED_VALUE"""),"Fish")</f>
        <v>Fish</v>
      </c>
      <c r="D3451">
        <f>IFERROR(__xludf.DUMMYFUNCTION("""COMPUTED_VALUE"""),170.0)</f>
        <v>170</v>
      </c>
      <c r="E3451">
        <f>IFERROR(__xludf.DUMMYFUNCTION("""COMPUTED_VALUE"""),2.82)</f>
        <v>2.82</v>
      </c>
      <c r="F3451">
        <f>IFERROR(__xludf.DUMMYFUNCTION("""COMPUTED_VALUE"""),23.0)</f>
        <v>23</v>
      </c>
      <c r="G3451">
        <f>IFERROR(__xludf.DUMMYFUNCTION("""COMPUTED_VALUE"""),11.6)</f>
        <v>11.6</v>
      </c>
    </row>
    <row r="3452">
      <c r="A3452">
        <f>IFERROR(__xludf.DUMMYFUNCTION("""COMPUTED_VALUE"""),782583.0)</f>
        <v>782583</v>
      </c>
      <c r="B3452" t="str">
        <f>IFERROR(__xludf.DUMMYFUNCTION("""COMPUTED_VALUE"""),"Perch Coated Fried Made With Cooking Spray")</f>
        <v>Perch Coated Fried Made With Cooking Spray</v>
      </c>
      <c r="C3452" t="str">
        <f>IFERROR(__xludf.DUMMYFUNCTION("""COMPUTED_VALUE"""),"Fish")</f>
        <v>Fish</v>
      </c>
      <c r="D3452">
        <f>IFERROR(__xludf.DUMMYFUNCTION("""COMPUTED_VALUE"""),173.0)</f>
        <v>173</v>
      </c>
      <c r="E3452">
        <f>IFERROR(__xludf.DUMMYFUNCTION("""COMPUTED_VALUE"""),3.13)</f>
        <v>3.13</v>
      </c>
      <c r="F3452">
        <f>IFERROR(__xludf.DUMMYFUNCTION("""COMPUTED_VALUE"""),22.94)</f>
        <v>22.94</v>
      </c>
      <c r="G3452">
        <f>IFERROR(__xludf.DUMMYFUNCTION("""COMPUTED_VALUE"""),11.64)</f>
        <v>11.64</v>
      </c>
    </row>
    <row r="3453">
      <c r="A3453">
        <f>IFERROR(__xludf.DUMMYFUNCTION("""COMPUTED_VALUE"""),782584.0)</f>
        <v>782584</v>
      </c>
      <c r="B3453" t="str">
        <f>IFERROR(__xludf.DUMMYFUNCTION("""COMPUTED_VALUE"""),"Perch Steamed Or Poached")</f>
        <v>Perch Steamed Or Poached</v>
      </c>
      <c r="C3453" t="str">
        <f>IFERROR(__xludf.DUMMYFUNCTION("""COMPUTED_VALUE"""),"Fish")</f>
        <v>Fish</v>
      </c>
      <c r="D3453">
        <f>IFERROR(__xludf.DUMMYFUNCTION("""COMPUTED_VALUE"""),114.0)</f>
        <v>114</v>
      </c>
      <c r="E3453">
        <f>IFERROR(__xludf.DUMMYFUNCTION("""COMPUTED_VALUE"""),1.16)</f>
        <v>1.16</v>
      </c>
      <c r="F3453">
        <f>IFERROR(__xludf.DUMMYFUNCTION("""COMPUTED_VALUE"""),24.38)</f>
        <v>24.38</v>
      </c>
      <c r="G3453">
        <f>IFERROR(__xludf.DUMMYFUNCTION("""COMPUTED_VALUE"""),0.0)</f>
        <v>0</v>
      </c>
    </row>
    <row r="3454">
      <c r="A3454">
        <f>IFERROR(__xludf.DUMMYFUNCTION("""COMPUTED_VALUE"""),782585.0)</f>
        <v>782585</v>
      </c>
      <c r="B3454" t="str">
        <f>IFERROR(__xludf.DUMMYFUNCTION("""COMPUTED_VALUE"""),"Pike Cooked Ns As To Cooking Method")</f>
        <v>Pike Cooked Ns As To Cooking Method</v>
      </c>
      <c r="C3454" t="str">
        <f>IFERROR(__xludf.DUMMYFUNCTION("""COMPUTED_VALUE"""),"Fish")</f>
        <v>Fish</v>
      </c>
      <c r="D3454">
        <f>IFERROR(__xludf.DUMMYFUNCTION("""COMPUTED_VALUE"""),236.0)</f>
        <v>236</v>
      </c>
      <c r="E3454">
        <f>IFERROR(__xludf.DUMMYFUNCTION("""COMPUTED_VALUE"""),11.13)</f>
        <v>11.13</v>
      </c>
      <c r="F3454">
        <f>IFERROR(__xludf.DUMMYFUNCTION("""COMPUTED_VALUE"""),19.15)</f>
        <v>19.15</v>
      </c>
      <c r="G3454">
        <f>IFERROR(__xludf.DUMMYFUNCTION("""COMPUTED_VALUE"""),13.87)</f>
        <v>13.87</v>
      </c>
    </row>
    <row r="3455">
      <c r="A3455">
        <f>IFERROR(__xludf.DUMMYFUNCTION("""COMPUTED_VALUE"""),782586.0)</f>
        <v>782586</v>
      </c>
      <c r="B3455" t="str">
        <f>IFERROR(__xludf.DUMMYFUNCTION("""COMPUTED_VALUE"""),"Pike Baked Or Broiled Fat Added In Cooking")</f>
        <v>Pike Baked Or Broiled Fat Added In Cooking</v>
      </c>
      <c r="C3455" t="str">
        <f>IFERROR(__xludf.DUMMYFUNCTION("""COMPUTED_VALUE"""),"Fish")</f>
        <v>Fish</v>
      </c>
      <c r="D3455">
        <f>IFERROR(__xludf.DUMMYFUNCTION("""COMPUTED_VALUE"""),140.0)</f>
        <v>140</v>
      </c>
      <c r="E3455">
        <f>IFERROR(__xludf.DUMMYFUNCTION("""COMPUTED_VALUE"""),4.52)</f>
        <v>4.52</v>
      </c>
      <c r="F3455">
        <f>IFERROR(__xludf.DUMMYFUNCTION("""COMPUTED_VALUE"""),23.56)</f>
        <v>23.56</v>
      </c>
      <c r="G3455">
        <f>IFERROR(__xludf.DUMMYFUNCTION("""COMPUTED_VALUE"""),0.1)</f>
        <v>0.1</v>
      </c>
    </row>
    <row r="3456">
      <c r="A3456">
        <f>IFERROR(__xludf.DUMMYFUNCTION("""COMPUTED_VALUE"""),782587.0)</f>
        <v>782587</v>
      </c>
      <c r="B3456" t="str">
        <f>IFERROR(__xludf.DUMMYFUNCTION("""COMPUTED_VALUE"""),"Pike Baked Or Broiled Fat Not Added In Cooking")</f>
        <v>Pike Baked Or Broiled Fat Not Added In Cooking</v>
      </c>
      <c r="C3456" t="str">
        <f>IFERROR(__xludf.DUMMYFUNCTION("""COMPUTED_VALUE"""),"Fish")</f>
        <v>Fish</v>
      </c>
      <c r="D3456">
        <f>IFERROR(__xludf.DUMMYFUNCTION("""COMPUTED_VALUE"""),111.0)</f>
        <v>111</v>
      </c>
      <c r="E3456">
        <f>IFERROR(__xludf.DUMMYFUNCTION("""COMPUTED_VALUE"""),0.87)</f>
        <v>0.87</v>
      </c>
      <c r="F3456">
        <f>IFERROR(__xludf.DUMMYFUNCTION("""COMPUTED_VALUE"""),24.26)</f>
        <v>24.26</v>
      </c>
      <c r="G3456">
        <f>IFERROR(__xludf.DUMMYFUNCTION("""COMPUTED_VALUE"""),0.1)</f>
        <v>0.1</v>
      </c>
    </row>
    <row r="3457">
      <c r="A3457">
        <f>IFERROR(__xludf.DUMMYFUNCTION("""COMPUTED_VALUE"""),782588.0)</f>
        <v>782588</v>
      </c>
      <c r="B3457" t="str">
        <f>IFERROR(__xludf.DUMMYFUNCTION("""COMPUTED_VALUE"""),"Pike Coated Baked Or Broiled Fat Added In Cooking")</f>
        <v>Pike Coated Baked Or Broiled Fat Added In Cooking</v>
      </c>
      <c r="C3457" t="str">
        <f>IFERROR(__xludf.DUMMYFUNCTION("""COMPUTED_VALUE"""),"Fish")</f>
        <v>Fish</v>
      </c>
      <c r="D3457">
        <f>IFERROR(__xludf.DUMMYFUNCTION("""COMPUTED_VALUE"""),199.0)</f>
        <v>199</v>
      </c>
      <c r="E3457">
        <f>IFERROR(__xludf.DUMMYFUNCTION("""COMPUTED_VALUE"""),6.99)</f>
        <v>6.99</v>
      </c>
      <c r="F3457">
        <f>IFERROR(__xludf.DUMMYFUNCTION("""COMPUTED_VALUE"""),20.28)</f>
        <v>20.28</v>
      </c>
      <c r="G3457">
        <f>IFERROR(__xludf.DUMMYFUNCTION("""COMPUTED_VALUE"""),12.52)</f>
        <v>12.52</v>
      </c>
    </row>
    <row r="3458">
      <c r="A3458">
        <f>IFERROR(__xludf.DUMMYFUNCTION("""COMPUTED_VALUE"""),782589.0)</f>
        <v>782589</v>
      </c>
      <c r="B3458" t="str">
        <f>IFERROR(__xludf.DUMMYFUNCTION("""COMPUTED_VALUE"""),"Pike Coated Baked Or Broiled Fat Not Added In Cooking")</f>
        <v>Pike Coated Baked Or Broiled Fat Not Added In Cooking</v>
      </c>
      <c r="C3458" t="str">
        <f>IFERROR(__xludf.DUMMYFUNCTION("""COMPUTED_VALUE"""),"Fish")</f>
        <v>Fish</v>
      </c>
      <c r="D3458">
        <f>IFERROR(__xludf.DUMMYFUNCTION("""COMPUTED_VALUE"""),156.0)</f>
        <v>156</v>
      </c>
      <c r="E3458">
        <f>IFERROR(__xludf.DUMMYFUNCTION("""COMPUTED_VALUE"""),1.44)</f>
        <v>1.44</v>
      </c>
      <c r="F3458">
        <f>IFERROR(__xludf.DUMMYFUNCTION("""COMPUTED_VALUE"""),21.2)</f>
        <v>21.2</v>
      </c>
      <c r="G3458">
        <f>IFERROR(__xludf.DUMMYFUNCTION("""COMPUTED_VALUE"""),13.1)</f>
        <v>13.1</v>
      </c>
    </row>
    <row r="3459">
      <c r="A3459">
        <f>IFERROR(__xludf.DUMMYFUNCTION("""COMPUTED_VALUE"""),782590.0)</f>
        <v>782590</v>
      </c>
      <c r="B3459" t="str">
        <f>IFERROR(__xludf.DUMMYFUNCTION("""COMPUTED_VALUE"""),"Pike Coated Fried")</f>
        <v>Pike Coated Fried</v>
      </c>
      <c r="C3459" t="str">
        <f>IFERROR(__xludf.DUMMYFUNCTION("""COMPUTED_VALUE"""),"Fish")</f>
        <v>Fish</v>
      </c>
      <c r="D3459">
        <f>IFERROR(__xludf.DUMMYFUNCTION("""COMPUTED_VALUE"""),219.0)</f>
        <v>219</v>
      </c>
      <c r="E3459">
        <f>IFERROR(__xludf.DUMMYFUNCTION("""COMPUTED_VALUE"""),10.92)</f>
        <v>10.92</v>
      </c>
      <c r="F3459">
        <f>IFERROR(__xludf.DUMMYFUNCTION("""COMPUTED_VALUE"""),19.44)</f>
        <v>19.44</v>
      </c>
      <c r="G3459">
        <f>IFERROR(__xludf.DUMMYFUNCTION("""COMPUTED_VALUE"""),9.85)</f>
        <v>9.85</v>
      </c>
    </row>
    <row r="3460">
      <c r="A3460">
        <f>IFERROR(__xludf.DUMMYFUNCTION("""COMPUTED_VALUE"""),782591.0)</f>
        <v>782591</v>
      </c>
      <c r="B3460" t="str">
        <f>IFERROR(__xludf.DUMMYFUNCTION("""COMPUTED_VALUE"""),"Pike Steamed Or Poached")</f>
        <v>Pike Steamed Or Poached</v>
      </c>
      <c r="C3460" t="str">
        <f>IFERROR(__xludf.DUMMYFUNCTION("""COMPUTED_VALUE"""),"Fish")</f>
        <v>Fish</v>
      </c>
      <c r="D3460">
        <f>IFERROR(__xludf.DUMMYFUNCTION("""COMPUTED_VALUE"""),111.0)</f>
        <v>111</v>
      </c>
      <c r="E3460">
        <f>IFERROR(__xludf.DUMMYFUNCTION("""COMPUTED_VALUE"""),0.87)</f>
        <v>0.87</v>
      </c>
      <c r="F3460">
        <f>IFERROR(__xludf.DUMMYFUNCTION("""COMPUTED_VALUE"""),24.22)</f>
        <v>24.22</v>
      </c>
      <c r="G3460">
        <f>IFERROR(__xludf.DUMMYFUNCTION("""COMPUTED_VALUE"""),0.0)</f>
        <v>0</v>
      </c>
    </row>
    <row r="3461">
      <c r="A3461">
        <f>IFERROR(__xludf.DUMMYFUNCTION("""COMPUTED_VALUE"""),782593.0)</f>
        <v>782593</v>
      </c>
      <c r="B3461" t="str">
        <f>IFERROR(__xludf.DUMMYFUNCTION("""COMPUTED_VALUE"""),"Pompano Cooked Ns As To Cooking Method")</f>
        <v>Pompano Cooked Ns As To Cooking Method</v>
      </c>
      <c r="C3461" t="str">
        <f>IFERROR(__xludf.DUMMYFUNCTION("""COMPUTED_VALUE"""),"Fish")</f>
        <v>Fish</v>
      </c>
      <c r="D3461">
        <f>IFERROR(__xludf.DUMMYFUNCTION("""COMPUTED_VALUE"""),233.0)</f>
        <v>233</v>
      </c>
      <c r="E3461">
        <f>IFERROR(__xludf.DUMMYFUNCTION("""COMPUTED_VALUE"""),15.26)</f>
        <v>15.26</v>
      </c>
      <c r="F3461">
        <f>IFERROR(__xludf.DUMMYFUNCTION("""COMPUTED_VALUE"""),22.61)</f>
        <v>22.61</v>
      </c>
      <c r="G3461">
        <f>IFERROR(__xludf.DUMMYFUNCTION("""COMPUTED_VALUE"""),0.1)</f>
        <v>0.1</v>
      </c>
    </row>
    <row r="3462">
      <c r="A3462">
        <f>IFERROR(__xludf.DUMMYFUNCTION("""COMPUTED_VALUE"""),782594.0)</f>
        <v>782594</v>
      </c>
      <c r="B3462" t="str">
        <f>IFERROR(__xludf.DUMMYFUNCTION("""COMPUTED_VALUE"""),"Pompano Baked Or Broiled Fat Added In Cooking")</f>
        <v>Pompano Baked Or Broiled Fat Added In Cooking</v>
      </c>
      <c r="C3462" t="str">
        <f>IFERROR(__xludf.DUMMYFUNCTION("""COMPUTED_VALUE"""),"Fish")</f>
        <v>Fish</v>
      </c>
      <c r="D3462">
        <f>IFERROR(__xludf.DUMMYFUNCTION("""COMPUTED_VALUE"""),233.0)</f>
        <v>233</v>
      </c>
      <c r="E3462">
        <f>IFERROR(__xludf.DUMMYFUNCTION("""COMPUTED_VALUE"""),15.26)</f>
        <v>15.26</v>
      </c>
      <c r="F3462">
        <f>IFERROR(__xludf.DUMMYFUNCTION("""COMPUTED_VALUE"""),22.61)</f>
        <v>22.61</v>
      </c>
      <c r="G3462">
        <f>IFERROR(__xludf.DUMMYFUNCTION("""COMPUTED_VALUE"""),0.1)</f>
        <v>0.1</v>
      </c>
    </row>
    <row r="3463">
      <c r="A3463">
        <f>IFERROR(__xludf.DUMMYFUNCTION("""COMPUTED_VALUE"""),782595.0)</f>
        <v>782595</v>
      </c>
      <c r="B3463" t="str">
        <f>IFERROR(__xludf.DUMMYFUNCTION("""COMPUTED_VALUE"""),"Pompano Baked Or Broiled Fat Not Added In Cooking")</f>
        <v>Pompano Baked Or Broiled Fat Not Added In Cooking</v>
      </c>
      <c r="C3463" t="str">
        <f>IFERROR(__xludf.DUMMYFUNCTION("""COMPUTED_VALUE"""),"Fish")</f>
        <v>Fish</v>
      </c>
      <c r="D3463">
        <f>IFERROR(__xludf.DUMMYFUNCTION("""COMPUTED_VALUE"""),207.0)</f>
        <v>207</v>
      </c>
      <c r="E3463">
        <f>IFERROR(__xludf.DUMMYFUNCTION("""COMPUTED_VALUE"""),11.93)</f>
        <v>11.93</v>
      </c>
      <c r="F3463">
        <f>IFERROR(__xludf.DUMMYFUNCTION("""COMPUTED_VALUE"""),23.28)</f>
        <v>23.28</v>
      </c>
      <c r="G3463">
        <f>IFERROR(__xludf.DUMMYFUNCTION("""COMPUTED_VALUE"""),0.1)</f>
        <v>0.1</v>
      </c>
    </row>
    <row r="3464">
      <c r="A3464">
        <f>IFERROR(__xludf.DUMMYFUNCTION("""COMPUTED_VALUE"""),782596.0)</f>
        <v>782596</v>
      </c>
      <c r="B3464" t="str">
        <f>IFERROR(__xludf.DUMMYFUNCTION("""COMPUTED_VALUE"""),"Pompano Coated Baked Or Broiled Fat Added In Cooking")</f>
        <v>Pompano Coated Baked Or Broiled Fat Added In Cooking</v>
      </c>
      <c r="C3464" t="str">
        <f>IFERROR(__xludf.DUMMYFUNCTION("""COMPUTED_VALUE"""),"Fish")</f>
        <v>Fish</v>
      </c>
      <c r="D3464">
        <f>IFERROR(__xludf.DUMMYFUNCTION("""COMPUTED_VALUE"""),270.0)</f>
        <v>270</v>
      </c>
      <c r="E3464">
        <f>IFERROR(__xludf.DUMMYFUNCTION("""COMPUTED_VALUE"""),15.19)</f>
        <v>15.19</v>
      </c>
      <c r="F3464">
        <f>IFERROR(__xludf.DUMMYFUNCTION("""COMPUTED_VALUE"""),19.55)</f>
        <v>19.55</v>
      </c>
      <c r="G3464">
        <f>IFERROR(__xludf.DUMMYFUNCTION("""COMPUTED_VALUE"""),12.52)</f>
        <v>12.52</v>
      </c>
    </row>
    <row r="3465">
      <c r="A3465">
        <f>IFERROR(__xludf.DUMMYFUNCTION("""COMPUTED_VALUE"""),782597.0)</f>
        <v>782597</v>
      </c>
      <c r="B3465" t="str">
        <f>IFERROR(__xludf.DUMMYFUNCTION("""COMPUTED_VALUE"""),"Pompano Coated Baked Or Broiled Fat Not Added In Cooking")</f>
        <v>Pompano Coated Baked Or Broiled Fat Not Added In Cooking</v>
      </c>
      <c r="C3465" t="str">
        <f>IFERROR(__xludf.DUMMYFUNCTION("""COMPUTED_VALUE"""),"Fish")</f>
        <v>Fish</v>
      </c>
      <c r="D3465">
        <f>IFERROR(__xludf.DUMMYFUNCTION("""COMPUTED_VALUE"""),230.0)</f>
        <v>230</v>
      </c>
      <c r="E3465">
        <f>IFERROR(__xludf.DUMMYFUNCTION("""COMPUTED_VALUE"""),10.02)</f>
        <v>10.02</v>
      </c>
      <c r="F3465">
        <f>IFERROR(__xludf.DUMMYFUNCTION("""COMPUTED_VALUE"""),20.44)</f>
        <v>20.44</v>
      </c>
      <c r="G3465">
        <f>IFERROR(__xludf.DUMMYFUNCTION("""COMPUTED_VALUE"""),13.1)</f>
        <v>13.1</v>
      </c>
    </row>
    <row r="3466">
      <c r="A3466">
        <f>IFERROR(__xludf.DUMMYFUNCTION("""COMPUTED_VALUE"""),782598.0)</f>
        <v>782598</v>
      </c>
      <c r="B3466" t="str">
        <f>IFERROR(__xludf.DUMMYFUNCTION("""COMPUTED_VALUE"""),"Pompano Coated Fried")</f>
        <v>Pompano Coated Fried</v>
      </c>
      <c r="C3466" t="str">
        <f>IFERROR(__xludf.DUMMYFUNCTION("""COMPUTED_VALUE"""),"Fish")</f>
        <v>Fish</v>
      </c>
      <c r="D3466">
        <f>IFERROR(__xludf.DUMMYFUNCTION("""COMPUTED_VALUE"""),284.0)</f>
        <v>284</v>
      </c>
      <c r="E3466">
        <f>IFERROR(__xludf.DUMMYFUNCTION("""COMPUTED_VALUE"""),18.41)</f>
        <v>18.41</v>
      </c>
      <c r="F3466">
        <f>IFERROR(__xludf.DUMMYFUNCTION("""COMPUTED_VALUE"""),18.77)</f>
        <v>18.77</v>
      </c>
      <c r="G3466">
        <f>IFERROR(__xludf.DUMMYFUNCTION("""COMPUTED_VALUE"""),9.85)</f>
        <v>9.85</v>
      </c>
    </row>
    <row r="3467">
      <c r="A3467">
        <f>IFERROR(__xludf.DUMMYFUNCTION("""COMPUTED_VALUE"""),782599.0)</f>
        <v>782599</v>
      </c>
      <c r="B3467" t="str">
        <f>IFERROR(__xludf.DUMMYFUNCTION("""COMPUTED_VALUE"""),"Pompano Steamed Or Poached")</f>
        <v>Pompano Steamed Or Poached</v>
      </c>
      <c r="C3467" t="str">
        <f>IFERROR(__xludf.DUMMYFUNCTION("""COMPUTED_VALUE"""),"Fish")</f>
        <v>Fish</v>
      </c>
      <c r="D3467">
        <f>IFERROR(__xludf.DUMMYFUNCTION("""COMPUTED_VALUE"""),206.0)</f>
        <v>206</v>
      </c>
      <c r="E3467">
        <f>IFERROR(__xludf.DUMMYFUNCTION("""COMPUTED_VALUE"""),11.91)</f>
        <v>11.91</v>
      </c>
      <c r="F3467">
        <f>IFERROR(__xludf.DUMMYFUNCTION("""COMPUTED_VALUE"""),23.24)</f>
        <v>23.24</v>
      </c>
      <c r="G3467">
        <f>IFERROR(__xludf.DUMMYFUNCTION("""COMPUTED_VALUE"""),0.0)</f>
        <v>0</v>
      </c>
    </row>
    <row r="3468">
      <c r="A3468">
        <f>IFERROR(__xludf.DUMMYFUNCTION("""COMPUTED_VALUE"""),782600.0)</f>
        <v>782600</v>
      </c>
      <c r="B3468" t="str">
        <f>IFERROR(__xludf.DUMMYFUNCTION("""COMPUTED_VALUE"""),"Pompano Smoked")</f>
        <v>Pompano Smoked</v>
      </c>
      <c r="C3468" t="str">
        <f>IFERROR(__xludf.DUMMYFUNCTION("""COMPUTED_VALUE"""),"Fish")</f>
        <v>Fish</v>
      </c>
      <c r="D3468">
        <f>IFERROR(__xludf.DUMMYFUNCTION("""COMPUTED_VALUE"""),192.0)</f>
        <v>192</v>
      </c>
      <c r="E3468">
        <f>IFERROR(__xludf.DUMMYFUNCTION("""COMPUTED_VALUE"""),11.06)</f>
        <v>11.06</v>
      </c>
      <c r="F3468">
        <f>IFERROR(__xludf.DUMMYFUNCTION("""COMPUTED_VALUE"""),21.58)</f>
        <v>21.58</v>
      </c>
      <c r="G3468">
        <f>IFERROR(__xludf.DUMMYFUNCTION("""COMPUTED_VALUE"""),0.0)</f>
        <v>0</v>
      </c>
    </row>
    <row r="3469">
      <c r="A3469">
        <f>IFERROR(__xludf.DUMMYFUNCTION("""COMPUTED_VALUE"""),782602.0)</f>
        <v>782602</v>
      </c>
      <c r="B3469" t="str">
        <f>IFERROR(__xludf.DUMMYFUNCTION("""COMPUTED_VALUE"""),"Porgy Cooked Ns As To Cooking Method")</f>
        <v>Porgy Cooked Ns As To Cooking Method</v>
      </c>
      <c r="C3469" t="str">
        <f>IFERROR(__xludf.DUMMYFUNCTION("""COMPUTED_VALUE"""),"Fish")</f>
        <v>Fish</v>
      </c>
      <c r="D3469">
        <f>IFERROR(__xludf.DUMMYFUNCTION("""COMPUTED_VALUE"""),161.0)</f>
        <v>161</v>
      </c>
      <c r="E3469">
        <f>IFERROR(__xludf.DUMMYFUNCTION("""COMPUTED_VALUE"""),7.02)</f>
        <v>7.02</v>
      </c>
      <c r="F3469">
        <f>IFERROR(__xludf.DUMMYFUNCTION("""COMPUTED_VALUE"""),23.1)</f>
        <v>23.1</v>
      </c>
      <c r="G3469">
        <f>IFERROR(__xludf.DUMMYFUNCTION("""COMPUTED_VALUE"""),0.1)</f>
        <v>0.1</v>
      </c>
    </row>
    <row r="3470">
      <c r="A3470">
        <f>IFERROR(__xludf.DUMMYFUNCTION("""COMPUTED_VALUE"""),782603.0)</f>
        <v>782603</v>
      </c>
      <c r="B3470" t="str">
        <f>IFERROR(__xludf.DUMMYFUNCTION("""COMPUTED_VALUE"""),"Porgy Baked Or Broiled Fat Added In Cooking")</f>
        <v>Porgy Baked Or Broiled Fat Added In Cooking</v>
      </c>
      <c r="C3470" t="str">
        <f>IFERROR(__xludf.DUMMYFUNCTION("""COMPUTED_VALUE"""),"Fish")</f>
        <v>Fish</v>
      </c>
      <c r="D3470">
        <f>IFERROR(__xludf.DUMMYFUNCTION("""COMPUTED_VALUE"""),161.0)</f>
        <v>161</v>
      </c>
      <c r="E3470">
        <f>IFERROR(__xludf.DUMMYFUNCTION("""COMPUTED_VALUE"""),7.02)</f>
        <v>7.02</v>
      </c>
      <c r="F3470">
        <f>IFERROR(__xludf.DUMMYFUNCTION("""COMPUTED_VALUE"""),23.1)</f>
        <v>23.1</v>
      </c>
      <c r="G3470">
        <f>IFERROR(__xludf.DUMMYFUNCTION("""COMPUTED_VALUE"""),0.1)</f>
        <v>0.1</v>
      </c>
    </row>
    <row r="3471">
      <c r="A3471">
        <f>IFERROR(__xludf.DUMMYFUNCTION("""COMPUTED_VALUE"""),782604.0)</f>
        <v>782604</v>
      </c>
      <c r="B3471" t="str">
        <f>IFERROR(__xludf.DUMMYFUNCTION("""COMPUTED_VALUE"""),"Porgy Baked Or Broiled Fat Not Added In Cooking")</f>
        <v>Porgy Baked Or Broiled Fat Not Added In Cooking</v>
      </c>
      <c r="C3471" t="str">
        <f>IFERROR(__xludf.DUMMYFUNCTION("""COMPUTED_VALUE"""),"Fish")</f>
        <v>Fish</v>
      </c>
      <c r="D3471">
        <f>IFERROR(__xludf.DUMMYFUNCTION("""COMPUTED_VALUE"""),133.0)</f>
        <v>133</v>
      </c>
      <c r="E3471">
        <f>IFERROR(__xludf.DUMMYFUNCTION("""COMPUTED_VALUE"""),3.44)</f>
        <v>3.44</v>
      </c>
      <c r="F3471">
        <f>IFERROR(__xludf.DUMMYFUNCTION("""COMPUTED_VALUE"""),23.78)</f>
        <v>23.78</v>
      </c>
      <c r="G3471">
        <f>IFERROR(__xludf.DUMMYFUNCTION("""COMPUTED_VALUE"""),0.1)</f>
        <v>0.1</v>
      </c>
    </row>
    <row r="3472">
      <c r="A3472">
        <f>IFERROR(__xludf.DUMMYFUNCTION("""COMPUTED_VALUE"""),782605.0)</f>
        <v>782605</v>
      </c>
      <c r="B3472" t="str">
        <f>IFERROR(__xludf.DUMMYFUNCTION("""COMPUTED_VALUE"""),"Porgy Coated Baked Or Broiled Fat Added In Cooking")</f>
        <v>Porgy Coated Baked Or Broiled Fat Added In Cooking</v>
      </c>
      <c r="C3472" t="str">
        <f>IFERROR(__xludf.DUMMYFUNCTION("""COMPUTED_VALUE"""),"Fish")</f>
        <v>Fish</v>
      </c>
      <c r="D3472">
        <f>IFERROR(__xludf.DUMMYFUNCTION("""COMPUTED_VALUE"""),215.0)</f>
        <v>215</v>
      </c>
      <c r="E3472">
        <f>IFERROR(__xludf.DUMMYFUNCTION("""COMPUTED_VALUE"""),8.89)</f>
        <v>8.89</v>
      </c>
      <c r="F3472">
        <f>IFERROR(__xludf.DUMMYFUNCTION("""COMPUTED_VALUE"""),19.92)</f>
        <v>19.92</v>
      </c>
      <c r="G3472">
        <f>IFERROR(__xludf.DUMMYFUNCTION("""COMPUTED_VALUE"""),12.52)</f>
        <v>12.52</v>
      </c>
    </row>
    <row r="3473">
      <c r="A3473">
        <f>IFERROR(__xludf.DUMMYFUNCTION("""COMPUTED_VALUE"""),782606.0)</f>
        <v>782606</v>
      </c>
      <c r="B3473" t="str">
        <f>IFERROR(__xludf.DUMMYFUNCTION("""COMPUTED_VALUE"""),"Porgy Coated Baked Or Broiled Fat Not Added In Cooking")</f>
        <v>Porgy Coated Baked Or Broiled Fat Not Added In Cooking</v>
      </c>
      <c r="C3473" t="str">
        <f>IFERROR(__xludf.DUMMYFUNCTION("""COMPUTED_VALUE"""),"Fish")</f>
        <v>Fish</v>
      </c>
      <c r="D3473">
        <f>IFERROR(__xludf.DUMMYFUNCTION("""COMPUTED_VALUE"""),173.0)</f>
        <v>173</v>
      </c>
      <c r="E3473">
        <f>IFERROR(__xludf.DUMMYFUNCTION("""COMPUTED_VALUE"""),3.44)</f>
        <v>3.44</v>
      </c>
      <c r="F3473">
        <f>IFERROR(__xludf.DUMMYFUNCTION("""COMPUTED_VALUE"""),20.83)</f>
        <v>20.83</v>
      </c>
      <c r="G3473">
        <f>IFERROR(__xludf.DUMMYFUNCTION("""COMPUTED_VALUE"""),13.1)</f>
        <v>13.1</v>
      </c>
    </row>
    <row r="3474">
      <c r="A3474">
        <f>IFERROR(__xludf.DUMMYFUNCTION("""COMPUTED_VALUE"""),782607.0)</f>
        <v>782607</v>
      </c>
      <c r="B3474" t="str">
        <f>IFERROR(__xludf.DUMMYFUNCTION("""COMPUTED_VALUE"""),"Porgy Coated Fried")</f>
        <v>Porgy Coated Fried</v>
      </c>
      <c r="C3474" t="str">
        <f>IFERROR(__xludf.DUMMYFUNCTION("""COMPUTED_VALUE"""),"Fish")</f>
        <v>Fish</v>
      </c>
      <c r="D3474">
        <f>IFERROR(__xludf.DUMMYFUNCTION("""COMPUTED_VALUE"""),234.0)</f>
        <v>234</v>
      </c>
      <c r="E3474">
        <f>IFERROR(__xludf.DUMMYFUNCTION("""COMPUTED_VALUE"""),12.66)</f>
        <v>12.66</v>
      </c>
      <c r="F3474">
        <f>IFERROR(__xludf.DUMMYFUNCTION("""COMPUTED_VALUE"""),19.11)</f>
        <v>19.11</v>
      </c>
      <c r="G3474">
        <f>IFERROR(__xludf.DUMMYFUNCTION("""COMPUTED_VALUE"""),9.85)</f>
        <v>9.85</v>
      </c>
    </row>
    <row r="3475">
      <c r="A3475">
        <f>IFERROR(__xludf.DUMMYFUNCTION("""COMPUTED_VALUE"""),782608.0)</f>
        <v>782608</v>
      </c>
      <c r="B3475" t="str">
        <f>IFERROR(__xludf.DUMMYFUNCTION("""COMPUTED_VALUE"""),"Porgy Steamed Or Poached")</f>
        <v>Porgy Steamed Or Poached</v>
      </c>
      <c r="C3475" t="str">
        <f>IFERROR(__xludf.DUMMYFUNCTION("""COMPUTED_VALUE"""),"Fish")</f>
        <v>Fish</v>
      </c>
      <c r="D3475">
        <f>IFERROR(__xludf.DUMMYFUNCTION("""COMPUTED_VALUE"""),132.0)</f>
        <v>132</v>
      </c>
      <c r="E3475">
        <f>IFERROR(__xludf.DUMMYFUNCTION("""COMPUTED_VALUE"""),3.43)</f>
        <v>3.43</v>
      </c>
      <c r="F3475">
        <f>IFERROR(__xludf.DUMMYFUNCTION("""COMPUTED_VALUE"""),23.74)</f>
        <v>23.74</v>
      </c>
      <c r="G3475">
        <f>IFERROR(__xludf.DUMMYFUNCTION("""COMPUTED_VALUE"""),0.0)</f>
        <v>0</v>
      </c>
    </row>
    <row r="3476">
      <c r="A3476">
        <f>IFERROR(__xludf.DUMMYFUNCTION("""COMPUTED_VALUE"""),782609.0)</f>
        <v>782609</v>
      </c>
      <c r="B3476" t="str">
        <f>IFERROR(__xludf.DUMMYFUNCTION("""COMPUTED_VALUE"""),"Ray Cooked Ns As To Cooking Method")</f>
        <v>Ray Cooked Ns As To Cooking Method</v>
      </c>
      <c r="C3476" t="str">
        <f>IFERROR(__xludf.DUMMYFUNCTION("""COMPUTED_VALUE"""),"Fish")</f>
        <v>Fish</v>
      </c>
      <c r="D3476">
        <f>IFERROR(__xludf.DUMMYFUNCTION("""COMPUTED_VALUE"""),192.0)</f>
        <v>192</v>
      </c>
      <c r="E3476">
        <f>IFERROR(__xludf.DUMMYFUNCTION("""COMPUTED_VALUE"""),9.2)</f>
        <v>9.2</v>
      </c>
      <c r="F3476">
        <f>IFERROR(__xludf.DUMMYFUNCTION("""COMPUTED_VALUE"""),25.67)</f>
        <v>25.67</v>
      </c>
      <c r="G3476">
        <f>IFERROR(__xludf.DUMMYFUNCTION("""COMPUTED_VALUE"""),0.1)</f>
        <v>0.1</v>
      </c>
    </row>
    <row r="3477">
      <c r="A3477">
        <f>IFERROR(__xludf.DUMMYFUNCTION("""COMPUTED_VALUE"""),782610.0)</f>
        <v>782610</v>
      </c>
      <c r="B3477" t="str">
        <f>IFERROR(__xludf.DUMMYFUNCTION("""COMPUTED_VALUE"""),"Ray Baked Or Broiled Fat Added In Cooking")</f>
        <v>Ray Baked Or Broiled Fat Added In Cooking</v>
      </c>
      <c r="C3477" t="str">
        <f>IFERROR(__xludf.DUMMYFUNCTION("""COMPUTED_VALUE"""),"Fish")</f>
        <v>Fish</v>
      </c>
      <c r="D3477">
        <f>IFERROR(__xludf.DUMMYFUNCTION("""COMPUTED_VALUE"""),192.0)</f>
        <v>192</v>
      </c>
      <c r="E3477">
        <f>IFERROR(__xludf.DUMMYFUNCTION("""COMPUTED_VALUE"""),9.2)</f>
        <v>9.2</v>
      </c>
      <c r="F3477">
        <f>IFERROR(__xludf.DUMMYFUNCTION("""COMPUTED_VALUE"""),25.67)</f>
        <v>25.67</v>
      </c>
      <c r="G3477">
        <f>IFERROR(__xludf.DUMMYFUNCTION("""COMPUTED_VALUE"""),0.1)</f>
        <v>0.1</v>
      </c>
    </row>
    <row r="3478">
      <c r="A3478">
        <f>IFERROR(__xludf.DUMMYFUNCTION("""COMPUTED_VALUE"""),782611.0)</f>
        <v>782611</v>
      </c>
      <c r="B3478" t="str">
        <f>IFERROR(__xludf.DUMMYFUNCTION("""COMPUTED_VALUE"""),"Ray Baked Or Broiled Fat Not Added In Cooking")</f>
        <v>Ray Baked Or Broiled Fat Not Added In Cooking</v>
      </c>
      <c r="C3478" t="str">
        <f>IFERROR(__xludf.DUMMYFUNCTION("""COMPUTED_VALUE"""),"Fish")</f>
        <v>Fish</v>
      </c>
      <c r="D3478">
        <f>IFERROR(__xludf.DUMMYFUNCTION("""COMPUTED_VALUE"""),164.0)</f>
        <v>164</v>
      </c>
      <c r="E3478">
        <f>IFERROR(__xludf.DUMMYFUNCTION("""COMPUTED_VALUE"""),5.68)</f>
        <v>5.68</v>
      </c>
      <c r="F3478">
        <f>IFERROR(__xludf.DUMMYFUNCTION("""COMPUTED_VALUE"""),26.43)</f>
        <v>26.43</v>
      </c>
      <c r="G3478">
        <f>IFERROR(__xludf.DUMMYFUNCTION("""COMPUTED_VALUE"""),0.1)</f>
        <v>0.1</v>
      </c>
    </row>
    <row r="3479">
      <c r="A3479">
        <f>IFERROR(__xludf.DUMMYFUNCTION("""COMPUTED_VALUE"""),782612.0)</f>
        <v>782612</v>
      </c>
      <c r="B3479" t="str">
        <f>IFERROR(__xludf.DUMMYFUNCTION("""COMPUTED_VALUE"""),"Ray Coated Baked Or Broiled Fat Added In Cooking")</f>
        <v>Ray Coated Baked Or Broiled Fat Added In Cooking</v>
      </c>
      <c r="C3479" t="str">
        <f>IFERROR(__xludf.DUMMYFUNCTION("""COMPUTED_VALUE"""),"Fish")</f>
        <v>Fish</v>
      </c>
      <c r="D3479">
        <f>IFERROR(__xludf.DUMMYFUNCTION("""COMPUTED_VALUE"""),238.0)</f>
        <v>238</v>
      </c>
      <c r="E3479">
        <f>IFERROR(__xludf.DUMMYFUNCTION("""COMPUTED_VALUE"""),10.56)</f>
        <v>10.56</v>
      </c>
      <c r="F3479">
        <f>IFERROR(__xludf.DUMMYFUNCTION("""COMPUTED_VALUE"""),21.88)</f>
        <v>21.88</v>
      </c>
      <c r="G3479">
        <f>IFERROR(__xludf.DUMMYFUNCTION("""COMPUTED_VALUE"""),12.52)</f>
        <v>12.52</v>
      </c>
    </row>
    <row r="3480">
      <c r="A3480">
        <f>IFERROR(__xludf.DUMMYFUNCTION("""COMPUTED_VALUE"""),782613.0)</f>
        <v>782613</v>
      </c>
      <c r="B3480" t="str">
        <f>IFERROR(__xludf.DUMMYFUNCTION("""COMPUTED_VALUE"""),"Ray Coated Baked Or Broiled Fat Not Added In Cooking")</f>
        <v>Ray Coated Baked Or Broiled Fat Not Added In Cooking</v>
      </c>
      <c r="C3480" t="str">
        <f>IFERROR(__xludf.DUMMYFUNCTION("""COMPUTED_VALUE"""),"Fish")</f>
        <v>Fish</v>
      </c>
      <c r="D3480">
        <f>IFERROR(__xludf.DUMMYFUNCTION("""COMPUTED_VALUE"""),197.0)</f>
        <v>197</v>
      </c>
      <c r="E3480">
        <f>IFERROR(__xludf.DUMMYFUNCTION("""COMPUTED_VALUE"""),5.17)</f>
        <v>5.17</v>
      </c>
      <c r="F3480">
        <f>IFERROR(__xludf.DUMMYFUNCTION("""COMPUTED_VALUE"""),22.88)</f>
        <v>22.88</v>
      </c>
      <c r="G3480">
        <f>IFERROR(__xludf.DUMMYFUNCTION("""COMPUTED_VALUE"""),13.1)</f>
        <v>13.1</v>
      </c>
    </row>
    <row r="3481">
      <c r="A3481">
        <f>IFERROR(__xludf.DUMMYFUNCTION("""COMPUTED_VALUE"""),782614.0)</f>
        <v>782614</v>
      </c>
      <c r="B3481" t="str">
        <f>IFERROR(__xludf.DUMMYFUNCTION("""COMPUTED_VALUE"""),"Ray Coated Fried")</f>
        <v>Ray Coated Fried</v>
      </c>
      <c r="C3481" t="str">
        <f>IFERROR(__xludf.DUMMYFUNCTION("""COMPUTED_VALUE"""),"Fish")</f>
        <v>Fish</v>
      </c>
      <c r="D3481">
        <f>IFERROR(__xludf.DUMMYFUNCTION("""COMPUTED_VALUE"""),255.0)</f>
        <v>255</v>
      </c>
      <c r="E3481">
        <f>IFERROR(__xludf.DUMMYFUNCTION("""COMPUTED_VALUE"""),14.18)</f>
        <v>14.18</v>
      </c>
      <c r="F3481">
        <f>IFERROR(__xludf.DUMMYFUNCTION("""COMPUTED_VALUE"""),20.9)</f>
        <v>20.9</v>
      </c>
      <c r="G3481">
        <f>IFERROR(__xludf.DUMMYFUNCTION("""COMPUTED_VALUE"""),9.85)</f>
        <v>9.85</v>
      </c>
    </row>
    <row r="3482">
      <c r="A3482">
        <f>IFERROR(__xludf.DUMMYFUNCTION("""COMPUTED_VALUE"""),782615.0)</f>
        <v>782615</v>
      </c>
      <c r="B3482" t="str">
        <f>IFERROR(__xludf.DUMMYFUNCTION("""COMPUTED_VALUE"""),"Ray Steamed Or Poached")</f>
        <v>Ray Steamed Or Poached</v>
      </c>
      <c r="C3482" t="str">
        <f>IFERROR(__xludf.DUMMYFUNCTION("""COMPUTED_VALUE"""),"Fish")</f>
        <v>Fish</v>
      </c>
      <c r="D3482">
        <f>IFERROR(__xludf.DUMMYFUNCTION("""COMPUTED_VALUE"""),163.0)</f>
        <v>163</v>
      </c>
      <c r="E3482">
        <f>IFERROR(__xludf.DUMMYFUNCTION("""COMPUTED_VALUE"""),5.67)</f>
        <v>5.67</v>
      </c>
      <c r="F3482">
        <f>IFERROR(__xludf.DUMMYFUNCTION("""COMPUTED_VALUE"""),26.38)</f>
        <v>26.38</v>
      </c>
      <c r="G3482">
        <f>IFERROR(__xludf.DUMMYFUNCTION("""COMPUTED_VALUE"""),0.0)</f>
        <v>0</v>
      </c>
    </row>
    <row r="3483">
      <c r="A3483">
        <f>IFERROR(__xludf.DUMMYFUNCTION("""COMPUTED_VALUE"""),782617.0)</f>
        <v>782617</v>
      </c>
      <c r="B3483" t="str">
        <f>IFERROR(__xludf.DUMMYFUNCTION("""COMPUTED_VALUE"""),"Salmon Cooked Ns As To Cooking Method")</f>
        <v>Salmon Cooked Ns As To Cooking Method</v>
      </c>
      <c r="C3483" t="str">
        <f>IFERROR(__xludf.DUMMYFUNCTION("""COMPUTED_VALUE"""),"Fish")</f>
        <v>Fish</v>
      </c>
      <c r="D3483">
        <f>IFERROR(__xludf.DUMMYFUNCTION("""COMPUTED_VALUE"""),188.0)</f>
        <v>188</v>
      </c>
      <c r="E3483">
        <f>IFERROR(__xludf.DUMMYFUNCTION("""COMPUTED_VALUE"""),9.06)</f>
        <v>9.06</v>
      </c>
      <c r="F3483">
        <f>IFERROR(__xludf.DUMMYFUNCTION("""COMPUTED_VALUE"""),25.08)</f>
        <v>25.08</v>
      </c>
      <c r="G3483">
        <f>IFERROR(__xludf.DUMMYFUNCTION("""COMPUTED_VALUE"""),0.1)</f>
        <v>0.1</v>
      </c>
    </row>
    <row r="3484">
      <c r="A3484">
        <f>IFERROR(__xludf.DUMMYFUNCTION("""COMPUTED_VALUE"""),782618.0)</f>
        <v>782618</v>
      </c>
      <c r="B3484" t="str">
        <f>IFERROR(__xludf.DUMMYFUNCTION("""COMPUTED_VALUE"""),"Salmon Baked Or Broiled Made With Oil")</f>
        <v>Salmon Baked Or Broiled Made With Oil</v>
      </c>
      <c r="C3484" t="str">
        <f>IFERROR(__xludf.DUMMYFUNCTION("""COMPUTED_VALUE"""),"Fish")</f>
        <v>Fish</v>
      </c>
      <c r="D3484">
        <f>IFERROR(__xludf.DUMMYFUNCTION("""COMPUTED_VALUE"""),188.0)</f>
        <v>188</v>
      </c>
      <c r="E3484">
        <f>IFERROR(__xludf.DUMMYFUNCTION("""COMPUTED_VALUE"""),9.06)</f>
        <v>9.06</v>
      </c>
      <c r="F3484">
        <f>IFERROR(__xludf.DUMMYFUNCTION("""COMPUTED_VALUE"""),25.08)</f>
        <v>25.08</v>
      </c>
      <c r="G3484">
        <f>IFERROR(__xludf.DUMMYFUNCTION("""COMPUTED_VALUE"""),0.1)</f>
        <v>0.1</v>
      </c>
    </row>
    <row r="3485">
      <c r="A3485">
        <f>IFERROR(__xludf.DUMMYFUNCTION("""COMPUTED_VALUE"""),782619.0)</f>
        <v>782619</v>
      </c>
      <c r="B3485" t="str">
        <f>IFERROR(__xludf.DUMMYFUNCTION("""COMPUTED_VALUE"""),"Salmon Baked Or Broiled Made With Butter")</f>
        <v>Salmon Baked Or Broiled Made With Butter</v>
      </c>
      <c r="C3485" t="str">
        <f>IFERROR(__xludf.DUMMYFUNCTION("""COMPUTED_VALUE"""),"Fish")</f>
        <v>Fish</v>
      </c>
      <c r="D3485">
        <f>IFERROR(__xludf.DUMMYFUNCTION("""COMPUTED_VALUE"""),183.0)</f>
        <v>183</v>
      </c>
      <c r="E3485">
        <f>IFERROR(__xludf.DUMMYFUNCTION("""COMPUTED_VALUE"""),8.48)</f>
        <v>8.48</v>
      </c>
      <c r="F3485">
        <f>IFERROR(__xludf.DUMMYFUNCTION("""COMPUTED_VALUE"""),25.08)</f>
        <v>25.08</v>
      </c>
      <c r="G3485">
        <f>IFERROR(__xludf.DUMMYFUNCTION("""COMPUTED_VALUE"""),0.1)</f>
        <v>0.1</v>
      </c>
    </row>
    <row r="3486">
      <c r="A3486">
        <f>IFERROR(__xludf.DUMMYFUNCTION("""COMPUTED_VALUE"""),782620.0)</f>
        <v>782620</v>
      </c>
      <c r="B3486" t="str">
        <f>IFERROR(__xludf.DUMMYFUNCTION("""COMPUTED_VALUE"""),"Salmon Baked Or Broiled Made With Margarine")</f>
        <v>Salmon Baked Or Broiled Made With Margarine</v>
      </c>
      <c r="C3486" t="str">
        <f>IFERROR(__xludf.DUMMYFUNCTION("""COMPUTED_VALUE"""),"Fish")</f>
        <v>Fish</v>
      </c>
      <c r="D3486">
        <f>IFERROR(__xludf.DUMMYFUNCTION("""COMPUTED_VALUE"""),176.0)</f>
        <v>176</v>
      </c>
      <c r="E3486">
        <f>IFERROR(__xludf.DUMMYFUNCTION("""COMPUTED_VALUE"""),7.68)</f>
        <v>7.68</v>
      </c>
      <c r="F3486">
        <f>IFERROR(__xludf.DUMMYFUNCTION("""COMPUTED_VALUE"""),25.05)</f>
        <v>25.05</v>
      </c>
      <c r="G3486">
        <f>IFERROR(__xludf.DUMMYFUNCTION("""COMPUTED_VALUE"""),0.13)</f>
        <v>0.13</v>
      </c>
    </row>
    <row r="3487">
      <c r="A3487">
        <f>IFERROR(__xludf.DUMMYFUNCTION("""COMPUTED_VALUE"""),782621.0)</f>
        <v>782621</v>
      </c>
      <c r="B3487" t="str">
        <f>IFERROR(__xludf.DUMMYFUNCTION("""COMPUTED_VALUE"""),"Salmon Baked Or Broiled Made Without Fat")</f>
        <v>Salmon Baked Or Broiled Made Without Fat</v>
      </c>
      <c r="C3487" t="str">
        <f>IFERROR(__xludf.DUMMYFUNCTION("""COMPUTED_VALUE"""),"Fish")</f>
        <v>Fish</v>
      </c>
      <c r="D3487">
        <f>IFERROR(__xludf.DUMMYFUNCTION("""COMPUTED_VALUE"""),160.0)</f>
        <v>160</v>
      </c>
      <c r="E3487">
        <f>IFERROR(__xludf.DUMMYFUNCTION("""COMPUTED_VALUE"""),5.54)</f>
        <v>5.54</v>
      </c>
      <c r="F3487">
        <f>IFERROR(__xludf.DUMMYFUNCTION("""COMPUTED_VALUE"""),25.82)</f>
        <v>25.82</v>
      </c>
      <c r="G3487">
        <f>IFERROR(__xludf.DUMMYFUNCTION("""COMPUTED_VALUE"""),0.1)</f>
        <v>0.1</v>
      </c>
    </row>
    <row r="3488">
      <c r="A3488">
        <f>IFERROR(__xludf.DUMMYFUNCTION("""COMPUTED_VALUE"""),782622.0)</f>
        <v>782622</v>
      </c>
      <c r="B3488" t="str">
        <f>IFERROR(__xludf.DUMMYFUNCTION("""COMPUTED_VALUE"""),"Salmon Baked Or Broiled Made With Cooking Spray")</f>
        <v>Salmon Baked Or Broiled Made With Cooking Spray</v>
      </c>
      <c r="C3488" t="str">
        <f>IFERROR(__xludf.DUMMYFUNCTION("""COMPUTED_VALUE"""),"Fish")</f>
        <v>Fish</v>
      </c>
      <c r="D3488">
        <f>IFERROR(__xludf.DUMMYFUNCTION("""COMPUTED_VALUE"""),164.0)</f>
        <v>164</v>
      </c>
      <c r="E3488">
        <f>IFERROR(__xludf.DUMMYFUNCTION("""COMPUTED_VALUE"""),5.92)</f>
        <v>5.92</v>
      </c>
      <c r="F3488">
        <f>IFERROR(__xludf.DUMMYFUNCTION("""COMPUTED_VALUE"""),25.72)</f>
        <v>25.72</v>
      </c>
      <c r="G3488">
        <f>IFERROR(__xludf.DUMMYFUNCTION("""COMPUTED_VALUE"""),0.2)</f>
        <v>0.2</v>
      </c>
    </row>
    <row r="3489">
      <c r="A3489">
        <f>IFERROR(__xludf.DUMMYFUNCTION("""COMPUTED_VALUE"""),782623.0)</f>
        <v>782623</v>
      </c>
      <c r="B3489" t="str">
        <f>IFERROR(__xludf.DUMMYFUNCTION("""COMPUTED_VALUE"""),"Salmon Coated Baked Or Broiled Made With Oil")</f>
        <v>Salmon Coated Baked Or Broiled Made With Oil</v>
      </c>
      <c r="C3489" t="str">
        <f>IFERROR(__xludf.DUMMYFUNCTION("""COMPUTED_VALUE"""),"Fish")</f>
        <v>Fish</v>
      </c>
      <c r="D3489">
        <f>IFERROR(__xludf.DUMMYFUNCTION("""COMPUTED_VALUE"""),235.0)</f>
        <v>235</v>
      </c>
      <c r="E3489">
        <f>IFERROR(__xludf.DUMMYFUNCTION("""COMPUTED_VALUE"""),10.45)</f>
        <v>10.45</v>
      </c>
      <c r="F3489">
        <f>IFERROR(__xludf.DUMMYFUNCTION("""COMPUTED_VALUE"""),21.43)</f>
        <v>21.43</v>
      </c>
      <c r="G3489">
        <f>IFERROR(__xludf.DUMMYFUNCTION("""COMPUTED_VALUE"""),12.52)</f>
        <v>12.52</v>
      </c>
    </row>
    <row r="3490">
      <c r="A3490">
        <f>IFERROR(__xludf.DUMMYFUNCTION("""COMPUTED_VALUE"""),782624.0)</f>
        <v>782624</v>
      </c>
      <c r="B3490" t="str">
        <f>IFERROR(__xludf.DUMMYFUNCTION("""COMPUTED_VALUE"""),"Salmon Coated Baked Or Broiled Made With Butter")</f>
        <v>Salmon Coated Baked Or Broiled Made With Butter</v>
      </c>
      <c r="C3490" t="str">
        <f>IFERROR(__xludf.DUMMYFUNCTION("""COMPUTED_VALUE"""),"Fish")</f>
        <v>Fish</v>
      </c>
      <c r="D3490">
        <f>IFERROR(__xludf.DUMMYFUNCTION("""COMPUTED_VALUE"""),227.0)</f>
        <v>227</v>
      </c>
      <c r="E3490">
        <f>IFERROR(__xludf.DUMMYFUNCTION("""COMPUTED_VALUE"""),9.56)</f>
        <v>9.56</v>
      </c>
      <c r="F3490">
        <f>IFERROR(__xludf.DUMMYFUNCTION("""COMPUTED_VALUE"""),21.44)</f>
        <v>21.44</v>
      </c>
      <c r="G3490">
        <f>IFERROR(__xludf.DUMMYFUNCTION("""COMPUTED_VALUE"""),12.5)</f>
        <v>12.5</v>
      </c>
    </row>
    <row r="3491">
      <c r="A3491">
        <f>IFERROR(__xludf.DUMMYFUNCTION("""COMPUTED_VALUE"""),782625.0)</f>
        <v>782625</v>
      </c>
      <c r="B3491" t="str">
        <f>IFERROR(__xludf.DUMMYFUNCTION("""COMPUTED_VALUE"""),"Salmon Coated Baked Or Broiled Made With Margarine")</f>
        <v>Salmon Coated Baked Or Broiled Made With Margarine</v>
      </c>
      <c r="C3491" t="str">
        <f>IFERROR(__xludf.DUMMYFUNCTION("""COMPUTED_VALUE"""),"Fish")</f>
        <v>Fish</v>
      </c>
      <c r="D3491">
        <f>IFERROR(__xludf.DUMMYFUNCTION("""COMPUTED_VALUE"""),217.0)</f>
        <v>217</v>
      </c>
      <c r="E3491">
        <f>IFERROR(__xludf.DUMMYFUNCTION("""COMPUTED_VALUE"""),8.35)</f>
        <v>8.35</v>
      </c>
      <c r="F3491">
        <f>IFERROR(__xludf.DUMMYFUNCTION("""COMPUTED_VALUE"""),21.4)</f>
        <v>21.4</v>
      </c>
      <c r="G3491">
        <f>IFERROR(__xludf.DUMMYFUNCTION("""COMPUTED_VALUE"""),12.55)</f>
        <v>12.55</v>
      </c>
    </row>
    <row r="3492">
      <c r="A3492">
        <f>IFERROR(__xludf.DUMMYFUNCTION("""COMPUTED_VALUE"""),782626.0)</f>
        <v>782626</v>
      </c>
      <c r="B3492" t="str">
        <f>IFERROR(__xludf.DUMMYFUNCTION("""COMPUTED_VALUE"""),"Salmon Coated Baked Or Broiled Made Without Fat")</f>
        <v>Salmon Coated Baked Or Broiled Made Without Fat</v>
      </c>
      <c r="C3492" t="str">
        <f>IFERROR(__xludf.DUMMYFUNCTION("""COMPUTED_VALUE"""),"Fish")</f>
        <v>Fish</v>
      </c>
      <c r="D3492">
        <f>IFERROR(__xludf.DUMMYFUNCTION("""COMPUTED_VALUE"""),194.0)</f>
        <v>194</v>
      </c>
      <c r="E3492">
        <f>IFERROR(__xludf.DUMMYFUNCTION("""COMPUTED_VALUE"""),5.07)</f>
        <v>5.07</v>
      </c>
      <c r="F3492">
        <f>IFERROR(__xludf.DUMMYFUNCTION("""COMPUTED_VALUE"""),22.42)</f>
        <v>22.42</v>
      </c>
      <c r="G3492">
        <f>IFERROR(__xludf.DUMMYFUNCTION("""COMPUTED_VALUE"""),13.1)</f>
        <v>13.1</v>
      </c>
    </row>
    <row r="3493">
      <c r="A3493">
        <f>IFERROR(__xludf.DUMMYFUNCTION("""COMPUTED_VALUE"""),782627.0)</f>
        <v>782627</v>
      </c>
      <c r="B3493" t="str">
        <f>IFERROR(__xludf.DUMMYFUNCTION("""COMPUTED_VALUE"""),"Salmon Coated Baked Or Broiled Made With Cooking Spray")</f>
        <v>Salmon Coated Baked Or Broiled Made With Cooking Spray</v>
      </c>
      <c r="C3493" t="str">
        <f>IFERROR(__xludf.DUMMYFUNCTION("""COMPUTED_VALUE"""),"Fish")</f>
        <v>Fish</v>
      </c>
      <c r="D3493">
        <f>IFERROR(__xludf.DUMMYFUNCTION("""COMPUTED_VALUE"""),197.0)</f>
        <v>197</v>
      </c>
      <c r="E3493">
        <f>IFERROR(__xludf.DUMMYFUNCTION("""COMPUTED_VALUE"""),5.35)</f>
        <v>5.35</v>
      </c>
      <c r="F3493">
        <f>IFERROR(__xludf.DUMMYFUNCTION("""COMPUTED_VALUE"""),22.35)</f>
        <v>22.35</v>
      </c>
      <c r="G3493">
        <f>IFERROR(__xludf.DUMMYFUNCTION("""COMPUTED_VALUE"""),13.14)</f>
        <v>13.14</v>
      </c>
    </row>
    <row r="3494">
      <c r="A3494">
        <f>IFERROR(__xludf.DUMMYFUNCTION("""COMPUTED_VALUE"""),782628.0)</f>
        <v>782628</v>
      </c>
      <c r="B3494" t="str">
        <f>IFERROR(__xludf.DUMMYFUNCTION("""COMPUTED_VALUE"""),"Salmon Coated Fried Made With Oil")</f>
        <v>Salmon Coated Fried Made With Oil</v>
      </c>
      <c r="C3494" t="str">
        <f>IFERROR(__xludf.DUMMYFUNCTION("""COMPUTED_VALUE"""),"Fish")</f>
        <v>Fish</v>
      </c>
      <c r="D3494">
        <f>IFERROR(__xludf.DUMMYFUNCTION("""COMPUTED_VALUE"""),253.0)</f>
        <v>253</v>
      </c>
      <c r="E3494">
        <f>IFERROR(__xludf.DUMMYFUNCTION("""COMPUTED_VALUE"""),14.08)</f>
        <v>14.08</v>
      </c>
      <c r="F3494">
        <f>IFERROR(__xludf.DUMMYFUNCTION("""COMPUTED_VALUE"""),20.5)</f>
        <v>20.5</v>
      </c>
      <c r="G3494">
        <f>IFERROR(__xludf.DUMMYFUNCTION("""COMPUTED_VALUE"""),9.85)</f>
        <v>9.85</v>
      </c>
    </row>
    <row r="3495">
      <c r="A3495">
        <f>IFERROR(__xludf.DUMMYFUNCTION("""COMPUTED_VALUE"""),782629.0)</f>
        <v>782629</v>
      </c>
      <c r="B3495" t="str">
        <f>IFERROR(__xludf.DUMMYFUNCTION("""COMPUTED_VALUE"""),"Salmon Coated Fried Made With Butter")</f>
        <v>Salmon Coated Fried Made With Butter</v>
      </c>
      <c r="C3495" t="str">
        <f>IFERROR(__xludf.DUMMYFUNCTION("""COMPUTED_VALUE"""),"Fish")</f>
        <v>Fish</v>
      </c>
      <c r="D3495">
        <f>IFERROR(__xludf.DUMMYFUNCTION("""COMPUTED_VALUE"""),238.0)</f>
        <v>238</v>
      </c>
      <c r="E3495">
        <f>IFERROR(__xludf.DUMMYFUNCTION("""COMPUTED_VALUE"""),12.44)</f>
        <v>12.44</v>
      </c>
      <c r="F3495">
        <f>IFERROR(__xludf.DUMMYFUNCTION("""COMPUTED_VALUE"""),20.57)</f>
        <v>20.57</v>
      </c>
      <c r="G3495">
        <f>IFERROR(__xludf.DUMMYFUNCTION("""COMPUTED_VALUE"""),9.86)</f>
        <v>9.86</v>
      </c>
    </row>
    <row r="3496">
      <c r="A3496">
        <f>IFERROR(__xludf.DUMMYFUNCTION("""COMPUTED_VALUE"""),782630.0)</f>
        <v>782630</v>
      </c>
      <c r="B3496" t="str">
        <f>IFERROR(__xludf.DUMMYFUNCTION("""COMPUTED_VALUE"""),"Salmon Coated Fried Made With Margarine")</f>
        <v>Salmon Coated Fried Made With Margarine</v>
      </c>
      <c r="C3496" t="str">
        <f>IFERROR(__xludf.DUMMYFUNCTION("""COMPUTED_VALUE"""),"Fish")</f>
        <v>Fish</v>
      </c>
      <c r="D3496">
        <f>IFERROR(__xludf.DUMMYFUNCTION("""COMPUTED_VALUE"""),222.0)</f>
        <v>222</v>
      </c>
      <c r="E3496">
        <f>IFERROR(__xludf.DUMMYFUNCTION("""COMPUTED_VALUE"""),10.58)</f>
        <v>10.58</v>
      </c>
      <c r="F3496">
        <f>IFERROR(__xludf.DUMMYFUNCTION("""COMPUTED_VALUE"""),20.51)</f>
        <v>20.51</v>
      </c>
      <c r="G3496">
        <f>IFERROR(__xludf.DUMMYFUNCTION("""COMPUTED_VALUE"""),9.93)</f>
        <v>9.93</v>
      </c>
    </row>
    <row r="3497">
      <c r="A3497">
        <f>IFERROR(__xludf.DUMMYFUNCTION("""COMPUTED_VALUE"""),782631.0)</f>
        <v>782631</v>
      </c>
      <c r="B3497" t="str">
        <f>IFERROR(__xludf.DUMMYFUNCTION("""COMPUTED_VALUE"""),"Salmon Coated Fried Made Without Fat")</f>
        <v>Salmon Coated Fried Made Without Fat</v>
      </c>
      <c r="C3497" t="str">
        <f>IFERROR(__xludf.DUMMYFUNCTION("""COMPUTED_VALUE"""),"Fish")</f>
        <v>Fish</v>
      </c>
      <c r="D3497">
        <f>IFERROR(__xludf.DUMMYFUNCTION("""COMPUTED_VALUE"""),207.0)</f>
        <v>207</v>
      </c>
      <c r="E3497">
        <f>IFERROR(__xludf.DUMMYFUNCTION("""COMPUTED_VALUE"""),6.32)</f>
        <v>6.32</v>
      </c>
      <c r="F3497">
        <f>IFERROR(__xludf.DUMMYFUNCTION("""COMPUTED_VALUE"""),24.12)</f>
        <v>24.12</v>
      </c>
      <c r="G3497">
        <f>IFERROR(__xludf.DUMMYFUNCTION("""COMPUTED_VALUE"""),11.6)</f>
        <v>11.6</v>
      </c>
    </row>
    <row r="3498">
      <c r="A3498">
        <f>IFERROR(__xludf.DUMMYFUNCTION("""COMPUTED_VALUE"""),782632.0)</f>
        <v>782632</v>
      </c>
      <c r="B3498" t="str">
        <f>IFERROR(__xludf.DUMMYFUNCTION("""COMPUTED_VALUE"""),"Salmon Coated Fried Made With Cooking Spray")</f>
        <v>Salmon Coated Fried Made With Cooking Spray</v>
      </c>
      <c r="C3498" t="str">
        <f>IFERROR(__xludf.DUMMYFUNCTION("""COMPUTED_VALUE"""),"Fish")</f>
        <v>Fish</v>
      </c>
      <c r="D3498">
        <f>IFERROR(__xludf.DUMMYFUNCTION("""COMPUTED_VALUE"""),209.0)</f>
        <v>209</v>
      </c>
      <c r="E3498">
        <f>IFERROR(__xludf.DUMMYFUNCTION("""COMPUTED_VALUE"""),6.61)</f>
        <v>6.61</v>
      </c>
      <c r="F3498">
        <f>IFERROR(__xludf.DUMMYFUNCTION("""COMPUTED_VALUE"""),24.05)</f>
        <v>24.05</v>
      </c>
      <c r="G3498">
        <f>IFERROR(__xludf.DUMMYFUNCTION("""COMPUTED_VALUE"""),11.64)</f>
        <v>11.64</v>
      </c>
    </row>
    <row r="3499">
      <c r="A3499">
        <f>IFERROR(__xludf.DUMMYFUNCTION("""COMPUTED_VALUE"""),782633.0)</f>
        <v>782633</v>
      </c>
      <c r="B3499" t="str">
        <f>IFERROR(__xludf.DUMMYFUNCTION("""COMPUTED_VALUE"""),"Salmon Steamed Or Poached")</f>
        <v>Salmon Steamed Or Poached</v>
      </c>
      <c r="C3499" t="str">
        <f>IFERROR(__xludf.DUMMYFUNCTION("""COMPUTED_VALUE"""),"Fish")</f>
        <v>Fish</v>
      </c>
      <c r="D3499">
        <f>IFERROR(__xludf.DUMMYFUNCTION("""COMPUTED_VALUE"""),160.0)</f>
        <v>160</v>
      </c>
      <c r="E3499">
        <f>IFERROR(__xludf.DUMMYFUNCTION("""COMPUTED_VALUE"""),5.53)</f>
        <v>5.53</v>
      </c>
      <c r="F3499">
        <f>IFERROR(__xludf.DUMMYFUNCTION("""COMPUTED_VALUE"""),25.78)</f>
        <v>25.78</v>
      </c>
      <c r="G3499">
        <f>IFERROR(__xludf.DUMMYFUNCTION("""COMPUTED_VALUE"""),0.0)</f>
        <v>0</v>
      </c>
    </row>
    <row r="3500">
      <c r="A3500">
        <f>IFERROR(__xludf.DUMMYFUNCTION("""COMPUTED_VALUE"""),782634.0)</f>
        <v>782634</v>
      </c>
      <c r="B3500" t="str">
        <f>IFERROR(__xludf.DUMMYFUNCTION("""COMPUTED_VALUE"""),"Salmon Dried")</f>
        <v>Salmon Dried</v>
      </c>
      <c r="C3500" t="str">
        <f>IFERROR(__xludf.DUMMYFUNCTION("""COMPUTED_VALUE"""),"Fish")</f>
        <v>Fish</v>
      </c>
      <c r="D3500">
        <f>IFERROR(__xludf.DUMMYFUNCTION("""COMPUTED_VALUE"""),397.0)</f>
        <v>397</v>
      </c>
      <c r="E3500">
        <f>IFERROR(__xludf.DUMMYFUNCTION("""COMPUTED_VALUE"""),13.75)</f>
        <v>13.75</v>
      </c>
      <c r="F3500">
        <f>IFERROR(__xludf.DUMMYFUNCTION("""COMPUTED_VALUE"""),64.06)</f>
        <v>64.06</v>
      </c>
      <c r="G3500">
        <f>IFERROR(__xludf.DUMMYFUNCTION("""COMPUTED_VALUE"""),0.0)</f>
        <v>0</v>
      </c>
    </row>
    <row r="3501">
      <c r="A3501">
        <f>IFERROR(__xludf.DUMMYFUNCTION("""COMPUTED_VALUE"""),782635.0)</f>
        <v>782635</v>
      </c>
      <c r="B3501" t="str">
        <f>IFERROR(__xludf.DUMMYFUNCTION("""COMPUTED_VALUE"""),"Salmon Canned")</f>
        <v>Salmon Canned</v>
      </c>
      <c r="C3501" t="str">
        <f>IFERROR(__xludf.DUMMYFUNCTION("""COMPUTED_VALUE"""),"Fish")</f>
        <v>Fish</v>
      </c>
      <c r="D3501">
        <f>IFERROR(__xludf.DUMMYFUNCTION("""COMPUTED_VALUE"""),137.0)</f>
        <v>137</v>
      </c>
      <c r="E3501">
        <f>IFERROR(__xludf.DUMMYFUNCTION("""COMPUTED_VALUE"""),5.48)</f>
        <v>5.48</v>
      </c>
      <c r="F3501">
        <f>IFERROR(__xludf.DUMMYFUNCTION("""COMPUTED_VALUE"""),20.55)</f>
        <v>20.55</v>
      </c>
      <c r="G3501">
        <f>IFERROR(__xludf.DUMMYFUNCTION("""COMPUTED_VALUE"""),0.0)</f>
        <v>0</v>
      </c>
    </row>
    <row r="3502">
      <c r="A3502">
        <f>IFERROR(__xludf.DUMMYFUNCTION("""COMPUTED_VALUE"""),782638.0)</f>
        <v>782638</v>
      </c>
      <c r="B3502" t="str">
        <f>IFERROR(__xludf.DUMMYFUNCTION("""COMPUTED_VALUE"""),"Sardines Dried")</f>
        <v>Sardines Dried</v>
      </c>
      <c r="C3502" t="str">
        <f>IFERROR(__xludf.DUMMYFUNCTION("""COMPUTED_VALUE"""),"Fish")</f>
        <v>Fish</v>
      </c>
      <c r="D3502">
        <f>IFERROR(__xludf.DUMMYFUNCTION("""COMPUTED_VALUE"""),406.0)</f>
        <v>406</v>
      </c>
      <c r="E3502">
        <f>IFERROR(__xludf.DUMMYFUNCTION("""COMPUTED_VALUE"""),23.18)</f>
        <v>23.18</v>
      </c>
      <c r="F3502">
        <f>IFERROR(__xludf.DUMMYFUNCTION("""COMPUTED_VALUE"""),46.06)</f>
        <v>46.06</v>
      </c>
      <c r="G3502">
        <f>IFERROR(__xludf.DUMMYFUNCTION("""COMPUTED_VALUE"""),0.0)</f>
        <v>0</v>
      </c>
    </row>
    <row r="3503">
      <c r="A3503">
        <f>IFERROR(__xludf.DUMMYFUNCTION("""COMPUTED_VALUE"""),782641.0)</f>
        <v>782641</v>
      </c>
      <c r="B3503" t="str">
        <f>IFERROR(__xludf.DUMMYFUNCTION("""COMPUTED_VALUE"""),"Sea Bass Cooked Ns As To Cooking Method")</f>
        <v>Sea Bass Cooked Ns As To Cooking Method</v>
      </c>
      <c r="C3503" t="str">
        <f>IFERROR(__xludf.DUMMYFUNCTION("""COMPUTED_VALUE"""),"Fish")</f>
        <v>Fish</v>
      </c>
      <c r="D3503">
        <f>IFERROR(__xludf.DUMMYFUNCTION("""COMPUTED_VALUE"""),152.0)</f>
        <v>152</v>
      </c>
      <c r="E3503">
        <f>IFERROR(__xludf.DUMMYFUNCTION("""COMPUTED_VALUE"""),6.12)</f>
        <v>6.12</v>
      </c>
      <c r="F3503">
        <f>IFERROR(__xludf.DUMMYFUNCTION("""COMPUTED_VALUE"""),22.55)</f>
        <v>22.55</v>
      </c>
      <c r="G3503">
        <f>IFERROR(__xludf.DUMMYFUNCTION("""COMPUTED_VALUE"""),0.1)</f>
        <v>0.1</v>
      </c>
    </row>
    <row r="3504">
      <c r="A3504">
        <f>IFERROR(__xludf.DUMMYFUNCTION("""COMPUTED_VALUE"""),782642.0)</f>
        <v>782642</v>
      </c>
      <c r="B3504" t="str">
        <f>IFERROR(__xludf.DUMMYFUNCTION("""COMPUTED_VALUE"""),"Sea Bass Baked Or Broiled Fat Added In Cooking")</f>
        <v>Sea Bass Baked Or Broiled Fat Added In Cooking</v>
      </c>
      <c r="C3504" t="str">
        <f>IFERROR(__xludf.DUMMYFUNCTION("""COMPUTED_VALUE"""),"Fish")</f>
        <v>Fish</v>
      </c>
      <c r="D3504">
        <f>IFERROR(__xludf.DUMMYFUNCTION("""COMPUTED_VALUE"""),152.0)</f>
        <v>152</v>
      </c>
      <c r="E3504">
        <f>IFERROR(__xludf.DUMMYFUNCTION("""COMPUTED_VALUE"""),6.12)</f>
        <v>6.12</v>
      </c>
      <c r="F3504">
        <f>IFERROR(__xludf.DUMMYFUNCTION("""COMPUTED_VALUE"""),22.55)</f>
        <v>22.55</v>
      </c>
      <c r="G3504">
        <f>IFERROR(__xludf.DUMMYFUNCTION("""COMPUTED_VALUE"""),0.1)</f>
        <v>0.1</v>
      </c>
    </row>
    <row r="3505">
      <c r="A3505">
        <f>IFERROR(__xludf.DUMMYFUNCTION("""COMPUTED_VALUE"""),782643.0)</f>
        <v>782643</v>
      </c>
      <c r="B3505" t="str">
        <f>IFERROR(__xludf.DUMMYFUNCTION("""COMPUTED_VALUE"""),"Sea Bass Baked Or Broiled Fat Not Added In Cooking")</f>
        <v>Sea Bass Baked Or Broiled Fat Not Added In Cooking</v>
      </c>
      <c r="C3505" t="str">
        <f>IFERROR(__xludf.DUMMYFUNCTION("""COMPUTED_VALUE"""),"Fish")</f>
        <v>Fish</v>
      </c>
      <c r="D3505">
        <f>IFERROR(__xludf.DUMMYFUNCTION("""COMPUTED_VALUE"""),122.0)</f>
        <v>122</v>
      </c>
      <c r="E3505">
        <f>IFERROR(__xludf.DUMMYFUNCTION("""COMPUTED_VALUE"""),2.52)</f>
        <v>2.52</v>
      </c>
      <c r="F3505">
        <f>IFERROR(__xludf.DUMMYFUNCTION("""COMPUTED_VALUE"""),23.22)</f>
        <v>23.22</v>
      </c>
      <c r="G3505">
        <f>IFERROR(__xludf.DUMMYFUNCTION("""COMPUTED_VALUE"""),0.1)</f>
        <v>0.1</v>
      </c>
    </row>
    <row r="3506">
      <c r="A3506">
        <f>IFERROR(__xludf.DUMMYFUNCTION("""COMPUTED_VALUE"""),782644.0)</f>
        <v>782644</v>
      </c>
      <c r="B3506" t="str">
        <f>IFERROR(__xludf.DUMMYFUNCTION("""COMPUTED_VALUE"""),"Sea Bass Coated Baked Or Broiled Fat Added In Cooking")</f>
        <v>Sea Bass Coated Baked Or Broiled Fat Added In Cooking</v>
      </c>
      <c r="C3506" t="str">
        <f>IFERROR(__xludf.DUMMYFUNCTION("""COMPUTED_VALUE"""),"Fish")</f>
        <v>Fish</v>
      </c>
      <c r="D3506">
        <f>IFERROR(__xludf.DUMMYFUNCTION("""COMPUTED_VALUE"""),207.0)</f>
        <v>207</v>
      </c>
      <c r="E3506">
        <f>IFERROR(__xludf.DUMMYFUNCTION("""COMPUTED_VALUE"""),8.21)</f>
        <v>8.21</v>
      </c>
      <c r="F3506">
        <f>IFERROR(__xludf.DUMMYFUNCTION("""COMPUTED_VALUE"""),19.5)</f>
        <v>19.5</v>
      </c>
      <c r="G3506">
        <f>IFERROR(__xludf.DUMMYFUNCTION("""COMPUTED_VALUE"""),12.52)</f>
        <v>12.52</v>
      </c>
    </row>
    <row r="3507">
      <c r="A3507">
        <f>IFERROR(__xludf.DUMMYFUNCTION("""COMPUTED_VALUE"""),782645.0)</f>
        <v>782645</v>
      </c>
      <c r="B3507" t="str">
        <f>IFERROR(__xludf.DUMMYFUNCTION("""COMPUTED_VALUE"""),"Sea Bass Coated Baked Or Broiled Fat Not Added In Cooking")</f>
        <v>Sea Bass Coated Baked Or Broiled Fat Not Added In Cooking</v>
      </c>
      <c r="C3507" t="str">
        <f>IFERROR(__xludf.DUMMYFUNCTION("""COMPUTED_VALUE"""),"Fish")</f>
        <v>Fish</v>
      </c>
      <c r="D3507">
        <f>IFERROR(__xludf.DUMMYFUNCTION("""COMPUTED_VALUE"""),165.0)</f>
        <v>165</v>
      </c>
      <c r="E3507">
        <f>IFERROR(__xludf.DUMMYFUNCTION("""COMPUTED_VALUE"""),2.72)</f>
        <v>2.72</v>
      </c>
      <c r="F3507">
        <f>IFERROR(__xludf.DUMMYFUNCTION("""COMPUTED_VALUE"""),20.39)</f>
        <v>20.39</v>
      </c>
      <c r="G3507">
        <f>IFERROR(__xludf.DUMMYFUNCTION("""COMPUTED_VALUE"""),13.1)</f>
        <v>13.1</v>
      </c>
    </row>
    <row r="3508">
      <c r="A3508">
        <f>IFERROR(__xludf.DUMMYFUNCTION("""COMPUTED_VALUE"""),782646.0)</f>
        <v>782646</v>
      </c>
      <c r="B3508" t="str">
        <f>IFERROR(__xludf.DUMMYFUNCTION("""COMPUTED_VALUE"""),"Sea Bass Coated Fried")</f>
        <v>Sea Bass Coated Fried</v>
      </c>
      <c r="C3508" t="str">
        <f>IFERROR(__xludf.DUMMYFUNCTION("""COMPUTED_VALUE"""),"Fish")</f>
        <v>Fish</v>
      </c>
      <c r="D3508">
        <f>IFERROR(__xludf.DUMMYFUNCTION("""COMPUTED_VALUE"""),227.0)</f>
        <v>227</v>
      </c>
      <c r="E3508">
        <f>IFERROR(__xludf.DUMMYFUNCTION("""COMPUTED_VALUE"""),12.04)</f>
        <v>12.04</v>
      </c>
      <c r="F3508">
        <f>IFERROR(__xludf.DUMMYFUNCTION("""COMPUTED_VALUE"""),18.73)</f>
        <v>18.73</v>
      </c>
      <c r="G3508">
        <f>IFERROR(__xludf.DUMMYFUNCTION("""COMPUTED_VALUE"""),9.85)</f>
        <v>9.85</v>
      </c>
    </row>
    <row r="3509">
      <c r="A3509">
        <f>IFERROR(__xludf.DUMMYFUNCTION("""COMPUTED_VALUE"""),782647.0)</f>
        <v>782647</v>
      </c>
      <c r="B3509" t="str">
        <f>IFERROR(__xludf.DUMMYFUNCTION("""COMPUTED_VALUE"""),"Sea Bass Steamed Or Poached")</f>
        <v>Sea Bass Steamed Or Poached</v>
      </c>
      <c r="C3509" t="str">
        <f>IFERROR(__xludf.DUMMYFUNCTION("""COMPUTED_VALUE"""),"Fish")</f>
        <v>Fish</v>
      </c>
      <c r="D3509">
        <f>IFERROR(__xludf.DUMMYFUNCTION("""COMPUTED_VALUE"""),122.0)</f>
        <v>122</v>
      </c>
      <c r="E3509">
        <f>IFERROR(__xludf.DUMMYFUNCTION("""COMPUTED_VALUE"""),2.52)</f>
        <v>2.52</v>
      </c>
      <c r="F3509">
        <f>IFERROR(__xludf.DUMMYFUNCTION("""COMPUTED_VALUE"""),23.18)</f>
        <v>23.18</v>
      </c>
      <c r="G3509">
        <f>IFERROR(__xludf.DUMMYFUNCTION("""COMPUTED_VALUE"""),0.0)</f>
        <v>0</v>
      </c>
    </row>
    <row r="3510">
      <c r="A3510">
        <f>IFERROR(__xludf.DUMMYFUNCTION("""COMPUTED_VALUE"""),782648.0)</f>
        <v>782648</v>
      </c>
      <c r="B3510" t="str">
        <f>IFERROR(__xludf.DUMMYFUNCTION("""COMPUTED_VALUE"""),"Sea Bass Pickled")</f>
        <v>Sea Bass Pickled</v>
      </c>
      <c r="C3510" t="str">
        <f>IFERROR(__xludf.DUMMYFUNCTION("""COMPUTED_VALUE"""),"Fish")</f>
        <v>Fish</v>
      </c>
      <c r="D3510">
        <f>IFERROR(__xludf.DUMMYFUNCTION("""COMPUTED_VALUE"""),155.0)</f>
        <v>155</v>
      </c>
      <c r="E3510">
        <f>IFERROR(__xludf.DUMMYFUNCTION("""COMPUTED_VALUE"""),10.26)</f>
        <v>10.26</v>
      </c>
      <c r="F3510">
        <f>IFERROR(__xludf.DUMMYFUNCTION("""COMPUTED_VALUE"""),11.01)</f>
        <v>11.01</v>
      </c>
      <c r="G3510">
        <f>IFERROR(__xludf.DUMMYFUNCTION("""COMPUTED_VALUE"""),4.03)</f>
        <v>4.03</v>
      </c>
    </row>
    <row r="3511">
      <c r="A3511">
        <f>IFERROR(__xludf.DUMMYFUNCTION("""COMPUTED_VALUE"""),782649.0)</f>
        <v>782649</v>
      </c>
      <c r="B3511" t="str">
        <f>IFERROR(__xludf.DUMMYFUNCTION("""COMPUTED_VALUE"""),"Shark Cooked Ns As To Cooking Method")</f>
        <v>Shark Cooked Ns As To Cooking Method</v>
      </c>
      <c r="C3511" t="str">
        <f>IFERROR(__xludf.DUMMYFUNCTION("""COMPUTED_VALUE"""),"Fish")</f>
        <v>Fish</v>
      </c>
      <c r="D3511">
        <f>IFERROR(__xludf.DUMMYFUNCTION("""COMPUTED_VALUE"""),192.0)</f>
        <v>192</v>
      </c>
      <c r="E3511">
        <f>IFERROR(__xludf.DUMMYFUNCTION("""COMPUTED_VALUE"""),9.2)</f>
        <v>9.2</v>
      </c>
      <c r="F3511">
        <f>IFERROR(__xludf.DUMMYFUNCTION("""COMPUTED_VALUE"""),25.67)</f>
        <v>25.67</v>
      </c>
      <c r="G3511">
        <f>IFERROR(__xludf.DUMMYFUNCTION("""COMPUTED_VALUE"""),0.1)</f>
        <v>0.1</v>
      </c>
    </row>
    <row r="3512">
      <c r="A3512">
        <f>IFERROR(__xludf.DUMMYFUNCTION("""COMPUTED_VALUE"""),782650.0)</f>
        <v>782650</v>
      </c>
      <c r="B3512" t="str">
        <f>IFERROR(__xludf.DUMMYFUNCTION("""COMPUTED_VALUE"""),"Shark Baked Or Broiled Fat Added In Cooking")</f>
        <v>Shark Baked Or Broiled Fat Added In Cooking</v>
      </c>
      <c r="C3512" t="str">
        <f>IFERROR(__xludf.DUMMYFUNCTION("""COMPUTED_VALUE"""),"Fish")</f>
        <v>Fish</v>
      </c>
      <c r="D3512">
        <f>IFERROR(__xludf.DUMMYFUNCTION("""COMPUTED_VALUE"""),192.0)</f>
        <v>192</v>
      </c>
      <c r="E3512">
        <f>IFERROR(__xludf.DUMMYFUNCTION("""COMPUTED_VALUE"""),9.2)</f>
        <v>9.2</v>
      </c>
      <c r="F3512">
        <f>IFERROR(__xludf.DUMMYFUNCTION("""COMPUTED_VALUE"""),25.67)</f>
        <v>25.67</v>
      </c>
      <c r="G3512">
        <f>IFERROR(__xludf.DUMMYFUNCTION("""COMPUTED_VALUE"""),0.1)</f>
        <v>0.1</v>
      </c>
    </row>
    <row r="3513">
      <c r="A3513">
        <f>IFERROR(__xludf.DUMMYFUNCTION("""COMPUTED_VALUE"""),782651.0)</f>
        <v>782651</v>
      </c>
      <c r="B3513" t="str">
        <f>IFERROR(__xludf.DUMMYFUNCTION("""COMPUTED_VALUE"""),"Shark Baked Or Broiled Fat Not Added In Cooking")</f>
        <v>Shark Baked Or Broiled Fat Not Added In Cooking</v>
      </c>
      <c r="C3513" t="str">
        <f>IFERROR(__xludf.DUMMYFUNCTION("""COMPUTED_VALUE"""),"Fish")</f>
        <v>Fish</v>
      </c>
      <c r="D3513">
        <f>IFERROR(__xludf.DUMMYFUNCTION("""COMPUTED_VALUE"""),164.0)</f>
        <v>164</v>
      </c>
      <c r="E3513">
        <f>IFERROR(__xludf.DUMMYFUNCTION("""COMPUTED_VALUE"""),5.68)</f>
        <v>5.68</v>
      </c>
      <c r="F3513">
        <f>IFERROR(__xludf.DUMMYFUNCTION("""COMPUTED_VALUE"""),26.43)</f>
        <v>26.43</v>
      </c>
      <c r="G3513">
        <f>IFERROR(__xludf.DUMMYFUNCTION("""COMPUTED_VALUE"""),0.1)</f>
        <v>0.1</v>
      </c>
    </row>
    <row r="3514">
      <c r="A3514">
        <f>IFERROR(__xludf.DUMMYFUNCTION("""COMPUTED_VALUE"""),782652.0)</f>
        <v>782652</v>
      </c>
      <c r="B3514" t="str">
        <f>IFERROR(__xludf.DUMMYFUNCTION("""COMPUTED_VALUE"""),"Shark Coated Baked Or Broiled Fat Added In Cooking")</f>
        <v>Shark Coated Baked Or Broiled Fat Added In Cooking</v>
      </c>
      <c r="C3514" t="str">
        <f>IFERROR(__xludf.DUMMYFUNCTION("""COMPUTED_VALUE"""),"Fish")</f>
        <v>Fish</v>
      </c>
      <c r="D3514">
        <f>IFERROR(__xludf.DUMMYFUNCTION("""COMPUTED_VALUE"""),238.0)</f>
        <v>238</v>
      </c>
      <c r="E3514">
        <f>IFERROR(__xludf.DUMMYFUNCTION("""COMPUTED_VALUE"""),10.56)</f>
        <v>10.56</v>
      </c>
      <c r="F3514">
        <f>IFERROR(__xludf.DUMMYFUNCTION("""COMPUTED_VALUE"""),21.88)</f>
        <v>21.88</v>
      </c>
      <c r="G3514">
        <f>IFERROR(__xludf.DUMMYFUNCTION("""COMPUTED_VALUE"""),12.52)</f>
        <v>12.52</v>
      </c>
    </row>
    <row r="3515">
      <c r="A3515">
        <f>IFERROR(__xludf.DUMMYFUNCTION("""COMPUTED_VALUE"""),782653.0)</f>
        <v>782653</v>
      </c>
      <c r="B3515" t="str">
        <f>IFERROR(__xludf.DUMMYFUNCTION("""COMPUTED_VALUE"""),"Shark Coated Baked Or Broiled Fat Not Added In Cooking")</f>
        <v>Shark Coated Baked Or Broiled Fat Not Added In Cooking</v>
      </c>
      <c r="C3515" t="str">
        <f>IFERROR(__xludf.DUMMYFUNCTION("""COMPUTED_VALUE"""),"Fish")</f>
        <v>Fish</v>
      </c>
      <c r="D3515">
        <f>IFERROR(__xludf.DUMMYFUNCTION("""COMPUTED_VALUE"""),197.0)</f>
        <v>197</v>
      </c>
      <c r="E3515">
        <f>IFERROR(__xludf.DUMMYFUNCTION("""COMPUTED_VALUE"""),5.17)</f>
        <v>5.17</v>
      </c>
      <c r="F3515">
        <f>IFERROR(__xludf.DUMMYFUNCTION("""COMPUTED_VALUE"""),22.88)</f>
        <v>22.88</v>
      </c>
      <c r="G3515">
        <f>IFERROR(__xludf.DUMMYFUNCTION("""COMPUTED_VALUE"""),13.1)</f>
        <v>13.1</v>
      </c>
    </row>
    <row r="3516">
      <c r="A3516">
        <f>IFERROR(__xludf.DUMMYFUNCTION("""COMPUTED_VALUE"""),782654.0)</f>
        <v>782654</v>
      </c>
      <c r="B3516" t="str">
        <f>IFERROR(__xludf.DUMMYFUNCTION("""COMPUTED_VALUE"""),"Shark Coated Fried")</f>
        <v>Shark Coated Fried</v>
      </c>
      <c r="C3516" t="str">
        <f>IFERROR(__xludf.DUMMYFUNCTION("""COMPUTED_VALUE"""),"Fish")</f>
        <v>Fish</v>
      </c>
      <c r="D3516">
        <f>IFERROR(__xludf.DUMMYFUNCTION("""COMPUTED_VALUE"""),255.0)</f>
        <v>255</v>
      </c>
      <c r="E3516">
        <f>IFERROR(__xludf.DUMMYFUNCTION("""COMPUTED_VALUE"""),14.18)</f>
        <v>14.18</v>
      </c>
      <c r="F3516">
        <f>IFERROR(__xludf.DUMMYFUNCTION("""COMPUTED_VALUE"""),20.9)</f>
        <v>20.9</v>
      </c>
      <c r="G3516">
        <f>IFERROR(__xludf.DUMMYFUNCTION("""COMPUTED_VALUE"""),9.85)</f>
        <v>9.85</v>
      </c>
    </row>
    <row r="3517">
      <c r="A3517">
        <f>IFERROR(__xludf.DUMMYFUNCTION("""COMPUTED_VALUE"""),782655.0)</f>
        <v>782655</v>
      </c>
      <c r="B3517" t="str">
        <f>IFERROR(__xludf.DUMMYFUNCTION("""COMPUTED_VALUE"""),"Shark Steamed Or Poached")</f>
        <v>Shark Steamed Or Poached</v>
      </c>
      <c r="C3517" t="str">
        <f>IFERROR(__xludf.DUMMYFUNCTION("""COMPUTED_VALUE"""),"Fish")</f>
        <v>Fish</v>
      </c>
      <c r="D3517">
        <f>IFERROR(__xludf.DUMMYFUNCTION("""COMPUTED_VALUE"""),163.0)</f>
        <v>163</v>
      </c>
      <c r="E3517">
        <f>IFERROR(__xludf.DUMMYFUNCTION("""COMPUTED_VALUE"""),5.67)</f>
        <v>5.67</v>
      </c>
      <c r="F3517">
        <f>IFERROR(__xludf.DUMMYFUNCTION("""COMPUTED_VALUE"""),26.38)</f>
        <v>26.38</v>
      </c>
      <c r="G3517">
        <f>IFERROR(__xludf.DUMMYFUNCTION("""COMPUTED_VALUE"""),0.0)</f>
        <v>0</v>
      </c>
    </row>
    <row r="3518">
      <c r="A3518">
        <f>IFERROR(__xludf.DUMMYFUNCTION("""COMPUTED_VALUE"""),782656.0)</f>
        <v>782656</v>
      </c>
      <c r="B3518" t="str">
        <f>IFERROR(__xludf.DUMMYFUNCTION("""COMPUTED_VALUE"""),"Sturgeon Cooked Ns As To Cooking Method")</f>
        <v>Sturgeon Cooked Ns As To Cooking Method</v>
      </c>
      <c r="C3518" t="str">
        <f>IFERROR(__xludf.DUMMYFUNCTION("""COMPUTED_VALUE"""),"Fish")</f>
        <v>Fish</v>
      </c>
      <c r="D3518">
        <f>IFERROR(__xludf.DUMMYFUNCTION("""COMPUTED_VALUE"""),161.0)</f>
        <v>161</v>
      </c>
      <c r="E3518">
        <f>IFERROR(__xludf.DUMMYFUNCTION("""COMPUTED_VALUE"""),8.62)</f>
        <v>8.62</v>
      </c>
      <c r="F3518">
        <f>IFERROR(__xludf.DUMMYFUNCTION("""COMPUTED_VALUE"""),19.75)</f>
        <v>19.75</v>
      </c>
      <c r="G3518">
        <f>IFERROR(__xludf.DUMMYFUNCTION("""COMPUTED_VALUE"""),0.1)</f>
        <v>0.1</v>
      </c>
    </row>
    <row r="3519">
      <c r="A3519">
        <f>IFERROR(__xludf.DUMMYFUNCTION("""COMPUTED_VALUE"""),782657.0)</f>
        <v>782657</v>
      </c>
      <c r="B3519" t="str">
        <f>IFERROR(__xludf.DUMMYFUNCTION("""COMPUTED_VALUE"""),"Sturgeon Baked Or Broiled Fat Added In Cooking")</f>
        <v>Sturgeon Baked Or Broiled Fat Added In Cooking</v>
      </c>
      <c r="C3519" t="str">
        <f>IFERROR(__xludf.DUMMYFUNCTION("""COMPUTED_VALUE"""),"Fish")</f>
        <v>Fish</v>
      </c>
      <c r="D3519">
        <f>IFERROR(__xludf.DUMMYFUNCTION("""COMPUTED_VALUE"""),161.0)</f>
        <v>161</v>
      </c>
      <c r="E3519">
        <f>IFERROR(__xludf.DUMMYFUNCTION("""COMPUTED_VALUE"""),8.62)</f>
        <v>8.62</v>
      </c>
      <c r="F3519">
        <f>IFERROR(__xludf.DUMMYFUNCTION("""COMPUTED_VALUE"""),19.75)</f>
        <v>19.75</v>
      </c>
      <c r="G3519">
        <f>IFERROR(__xludf.DUMMYFUNCTION("""COMPUTED_VALUE"""),0.1)</f>
        <v>0.1</v>
      </c>
    </row>
    <row r="3520">
      <c r="A3520">
        <f>IFERROR(__xludf.DUMMYFUNCTION("""COMPUTED_VALUE"""),782658.0)</f>
        <v>782658</v>
      </c>
      <c r="B3520" t="str">
        <f>IFERROR(__xludf.DUMMYFUNCTION("""COMPUTED_VALUE"""),"Sturgeon Steamed")</f>
        <v>Sturgeon Steamed</v>
      </c>
      <c r="C3520" t="str">
        <f>IFERROR(__xludf.DUMMYFUNCTION("""COMPUTED_VALUE"""),"Fish")</f>
        <v>Fish</v>
      </c>
      <c r="D3520">
        <f>IFERROR(__xludf.DUMMYFUNCTION("""COMPUTED_VALUE"""),132.0)</f>
        <v>132</v>
      </c>
      <c r="E3520">
        <f>IFERROR(__xludf.DUMMYFUNCTION("""COMPUTED_VALUE"""),5.08)</f>
        <v>5.08</v>
      </c>
      <c r="F3520">
        <f>IFERROR(__xludf.DUMMYFUNCTION("""COMPUTED_VALUE"""),20.3)</f>
        <v>20.3</v>
      </c>
      <c r="G3520">
        <f>IFERROR(__xludf.DUMMYFUNCTION("""COMPUTED_VALUE"""),0.0)</f>
        <v>0</v>
      </c>
    </row>
    <row r="3521">
      <c r="A3521">
        <f>IFERROR(__xludf.DUMMYFUNCTION("""COMPUTED_VALUE"""),782659.0)</f>
        <v>782659</v>
      </c>
      <c r="B3521" t="str">
        <f>IFERROR(__xludf.DUMMYFUNCTION("""COMPUTED_VALUE"""),"Sturgeon Coated Fried")</f>
        <v>Sturgeon Coated Fried</v>
      </c>
      <c r="C3521" t="str">
        <f>IFERROR(__xludf.DUMMYFUNCTION("""COMPUTED_VALUE"""),"Fish")</f>
        <v>Fish</v>
      </c>
      <c r="D3521">
        <f>IFERROR(__xludf.DUMMYFUNCTION("""COMPUTED_VALUE"""),234.0)</f>
        <v>234</v>
      </c>
      <c r="E3521">
        <f>IFERROR(__xludf.DUMMYFUNCTION("""COMPUTED_VALUE"""),13.78)</f>
        <v>13.78</v>
      </c>
      <c r="F3521">
        <f>IFERROR(__xludf.DUMMYFUNCTION("""COMPUTED_VALUE"""),16.77)</f>
        <v>16.77</v>
      </c>
      <c r="G3521">
        <f>IFERROR(__xludf.DUMMYFUNCTION("""COMPUTED_VALUE"""),9.85)</f>
        <v>9.85</v>
      </c>
    </row>
    <row r="3522">
      <c r="A3522">
        <f>IFERROR(__xludf.DUMMYFUNCTION("""COMPUTED_VALUE"""),782661.0)</f>
        <v>782661</v>
      </c>
      <c r="B3522" t="str">
        <f>IFERROR(__xludf.DUMMYFUNCTION("""COMPUTED_VALUE"""),"Swordfish Cooked Ns As To Cooking Method")</f>
        <v>Swordfish Cooked Ns As To Cooking Method</v>
      </c>
      <c r="C3522" t="str">
        <f>IFERROR(__xludf.DUMMYFUNCTION("""COMPUTED_VALUE"""),"Fish")</f>
        <v>Fish</v>
      </c>
      <c r="D3522">
        <f>IFERROR(__xludf.DUMMYFUNCTION("""COMPUTED_VALUE"""),209.0)</f>
        <v>209</v>
      </c>
      <c r="E3522">
        <f>IFERROR(__xludf.DUMMYFUNCTION("""COMPUTED_VALUE"""),11.81)</f>
        <v>11.81</v>
      </c>
      <c r="F3522">
        <f>IFERROR(__xludf.DUMMYFUNCTION("""COMPUTED_VALUE"""),24.06)</f>
        <v>24.06</v>
      </c>
      <c r="G3522">
        <f>IFERROR(__xludf.DUMMYFUNCTION("""COMPUTED_VALUE"""),0.1)</f>
        <v>0.1</v>
      </c>
    </row>
    <row r="3523">
      <c r="A3523">
        <f>IFERROR(__xludf.DUMMYFUNCTION("""COMPUTED_VALUE"""),782662.0)</f>
        <v>782662</v>
      </c>
      <c r="B3523" t="str">
        <f>IFERROR(__xludf.DUMMYFUNCTION("""COMPUTED_VALUE"""),"Swordfish Baked Or Broiled Fat Added In Cooking")</f>
        <v>Swordfish Baked Or Broiled Fat Added In Cooking</v>
      </c>
      <c r="C3523" t="str">
        <f>IFERROR(__xludf.DUMMYFUNCTION("""COMPUTED_VALUE"""),"Fish")</f>
        <v>Fish</v>
      </c>
      <c r="D3523">
        <f>IFERROR(__xludf.DUMMYFUNCTION("""COMPUTED_VALUE"""),209.0)</f>
        <v>209</v>
      </c>
      <c r="E3523">
        <f>IFERROR(__xludf.DUMMYFUNCTION("""COMPUTED_VALUE"""),11.81)</f>
        <v>11.81</v>
      </c>
      <c r="F3523">
        <f>IFERROR(__xludf.DUMMYFUNCTION("""COMPUTED_VALUE"""),24.06)</f>
        <v>24.06</v>
      </c>
      <c r="G3523">
        <f>IFERROR(__xludf.DUMMYFUNCTION("""COMPUTED_VALUE"""),0.1)</f>
        <v>0.1</v>
      </c>
    </row>
    <row r="3524">
      <c r="A3524">
        <f>IFERROR(__xludf.DUMMYFUNCTION("""COMPUTED_VALUE"""),782663.0)</f>
        <v>782663</v>
      </c>
      <c r="B3524" t="str">
        <f>IFERROR(__xludf.DUMMYFUNCTION("""COMPUTED_VALUE"""),"Swordfish Baked Or Broiled Fat Not Added In Cooking")</f>
        <v>Swordfish Baked Or Broiled Fat Not Added In Cooking</v>
      </c>
      <c r="C3524" t="str">
        <f>IFERROR(__xludf.DUMMYFUNCTION("""COMPUTED_VALUE"""),"Fish")</f>
        <v>Fish</v>
      </c>
      <c r="D3524">
        <f>IFERROR(__xludf.DUMMYFUNCTION("""COMPUTED_VALUE"""),182.0)</f>
        <v>182</v>
      </c>
      <c r="E3524">
        <f>IFERROR(__xludf.DUMMYFUNCTION("""COMPUTED_VALUE"""),8.38)</f>
        <v>8.38</v>
      </c>
      <c r="F3524">
        <f>IFERROR(__xludf.DUMMYFUNCTION("""COMPUTED_VALUE"""),24.76)</f>
        <v>24.76</v>
      </c>
      <c r="G3524">
        <f>IFERROR(__xludf.DUMMYFUNCTION("""COMPUTED_VALUE"""),0.1)</f>
        <v>0.1</v>
      </c>
    </row>
    <row r="3525">
      <c r="A3525">
        <f>IFERROR(__xludf.DUMMYFUNCTION("""COMPUTED_VALUE"""),782664.0)</f>
        <v>782664</v>
      </c>
      <c r="B3525" t="str">
        <f>IFERROR(__xludf.DUMMYFUNCTION("""COMPUTED_VALUE"""),"Swordfish Coated Baked Or Broiled Fat Added In Cooking")</f>
        <v>Swordfish Coated Baked Or Broiled Fat Added In Cooking</v>
      </c>
      <c r="C3525" t="str">
        <f>IFERROR(__xludf.DUMMYFUNCTION("""COMPUTED_VALUE"""),"Fish")</f>
        <v>Fish</v>
      </c>
      <c r="D3525">
        <f>IFERROR(__xludf.DUMMYFUNCTION("""COMPUTED_VALUE"""),251.0)</f>
        <v>251</v>
      </c>
      <c r="E3525">
        <f>IFERROR(__xludf.DUMMYFUNCTION("""COMPUTED_VALUE"""),12.56)</f>
        <v>12.56</v>
      </c>
      <c r="F3525">
        <f>IFERROR(__xludf.DUMMYFUNCTION("""COMPUTED_VALUE"""),20.65)</f>
        <v>20.65</v>
      </c>
      <c r="G3525">
        <f>IFERROR(__xludf.DUMMYFUNCTION("""COMPUTED_VALUE"""),12.52)</f>
        <v>12.52</v>
      </c>
    </row>
    <row r="3526">
      <c r="A3526">
        <f>IFERROR(__xludf.DUMMYFUNCTION("""COMPUTED_VALUE"""),782665.0)</f>
        <v>782665</v>
      </c>
      <c r="B3526" t="str">
        <f>IFERROR(__xludf.DUMMYFUNCTION("""COMPUTED_VALUE"""),"Swordfish Coated Baked Or Broiled Fat Not Added In Cooking")</f>
        <v>Swordfish Coated Baked Or Broiled Fat Not Added In Cooking</v>
      </c>
      <c r="C3526" t="str">
        <f>IFERROR(__xludf.DUMMYFUNCTION("""COMPUTED_VALUE"""),"Fish")</f>
        <v>Fish</v>
      </c>
      <c r="D3526">
        <f>IFERROR(__xludf.DUMMYFUNCTION("""COMPUTED_VALUE"""),211.0)</f>
        <v>211</v>
      </c>
      <c r="E3526">
        <f>IFERROR(__xludf.DUMMYFUNCTION("""COMPUTED_VALUE"""),7.26)</f>
        <v>7.26</v>
      </c>
      <c r="F3526">
        <f>IFERROR(__xludf.DUMMYFUNCTION("""COMPUTED_VALUE"""),21.59)</f>
        <v>21.59</v>
      </c>
      <c r="G3526">
        <f>IFERROR(__xludf.DUMMYFUNCTION("""COMPUTED_VALUE"""),13.1)</f>
        <v>13.1</v>
      </c>
    </row>
    <row r="3527">
      <c r="A3527">
        <f>IFERROR(__xludf.DUMMYFUNCTION("""COMPUTED_VALUE"""),782666.0)</f>
        <v>782666</v>
      </c>
      <c r="B3527" t="str">
        <f>IFERROR(__xludf.DUMMYFUNCTION("""COMPUTED_VALUE"""),"Swordfish Coated Fried")</f>
        <v>Swordfish Coated Fried</v>
      </c>
      <c r="C3527" t="str">
        <f>IFERROR(__xludf.DUMMYFUNCTION("""COMPUTED_VALUE"""),"Fish")</f>
        <v>Fish</v>
      </c>
      <c r="D3527">
        <f>IFERROR(__xludf.DUMMYFUNCTION("""COMPUTED_VALUE"""),267.0)</f>
        <v>267</v>
      </c>
      <c r="E3527">
        <f>IFERROR(__xludf.DUMMYFUNCTION("""COMPUTED_VALUE"""),16.0)</f>
        <v>16</v>
      </c>
      <c r="F3527">
        <f>IFERROR(__xludf.DUMMYFUNCTION("""COMPUTED_VALUE"""),19.78)</f>
        <v>19.78</v>
      </c>
      <c r="G3527">
        <f>IFERROR(__xludf.DUMMYFUNCTION("""COMPUTED_VALUE"""),9.85)</f>
        <v>9.85</v>
      </c>
    </row>
    <row r="3528">
      <c r="A3528">
        <f>IFERROR(__xludf.DUMMYFUNCTION("""COMPUTED_VALUE"""),782667.0)</f>
        <v>782667</v>
      </c>
      <c r="B3528" t="str">
        <f>IFERROR(__xludf.DUMMYFUNCTION("""COMPUTED_VALUE"""),"Swordfish Steamed Or Poached")</f>
        <v>Swordfish Steamed Or Poached</v>
      </c>
      <c r="C3528" t="str">
        <f>IFERROR(__xludf.DUMMYFUNCTION("""COMPUTED_VALUE"""),"Fish")</f>
        <v>Fish</v>
      </c>
      <c r="D3528">
        <f>IFERROR(__xludf.DUMMYFUNCTION("""COMPUTED_VALUE"""),181.0)</f>
        <v>181</v>
      </c>
      <c r="E3528">
        <f>IFERROR(__xludf.DUMMYFUNCTION("""COMPUTED_VALUE"""),8.36)</f>
        <v>8.36</v>
      </c>
      <c r="F3528">
        <f>IFERROR(__xludf.DUMMYFUNCTION("""COMPUTED_VALUE"""),24.72)</f>
        <v>24.72</v>
      </c>
      <c r="G3528">
        <f>IFERROR(__xludf.DUMMYFUNCTION("""COMPUTED_VALUE"""),0.0)</f>
        <v>0</v>
      </c>
    </row>
    <row r="3529">
      <c r="A3529">
        <f>IFERROR(__xludf.DUMMYFUNCTION("""COMPUTED_VALUE"""),782668.0)</f>
        <v>782668</v>
      </c>
      <c r="B3529" t="str">
        <f>IFERROR(__xludf.DUMMYFUNCTION("""COMPUTED_VALUE"""),"Trout Cooked Ns As To Cooking Method")</f>
        <v>Trout Cooked Ns As To Cooking Method</v>
      </c>
      <c r="C3529" t="str">
        <f>IFERROR(__xludf.DUMMYFUNCTION("""COMPUTED_VALUE"""),"Fish")</f>
        <v>Fish</v>
      </c>
      <c r="D3529">
        <f>IFERROR(__xludf.DUMMYFUNCTION("""COMPUTED_VALUE"""),205.0)</f>
        <v>205</v>
      </c>
      <c r="E3529">
        <f>IFERROR(__xludf.DUMMYFUNCTION("""COMPUTED_VALUE"""),11.24)</f>
        <v>11.24</v>
      </c>
      <c r="F3529">
        <f>IFERROR(__xludf.DUMMYFUNCTION("""COMPUTED_VALUE"""),24.4)</f>
        <v>24.4</v>
      </c>
      <c r="G3529">
        <f>IFERROR(__xludf.DUMMYFUNCTION("""COMPUTED_VALUE"""),0.1)</f>
        <v>0.1</v>
      </c>
    </row>
    <row r="3530">
      <c r="A3530">
        <f>IFERROR(__xludf.DUMMYFUNCTION("""COMPUTED_VALUE"""),782669.0)</f>
        <v>782669</v>
      </c>
      <c r="B3530" t="str">
        <f>IFERROR(__xludf.DUMMYFUNCTION("""COMPUTED_VALUE"""),"Trout Baked Or Broiled Made With Oil")</f>
        <v>Trout Baked Or Broiled Made With Oil</v>
      </c>
      <c r="C3530" t="str">
        <f>IFERROR(__xludf.DUMMYFUNCTION("""COMPUTED_VALUE"""),"Fish")</f>
        <v>Fish</v>
      </c>
      <c r="D3530">
        <f>IFERROR(__xludf.DUMMYFUNCTION("""COMPUTED_VALUE"""),205.0)</f>
        <v>205</v>
      </c>
      <c r="E3530">
        <f>IFERROR(__xludf.DUMMYFUNCTION("""COMPUTED_VALUE"""),11.24)</f>
        <v>11.24</v>
      </c>
      <c r="F3530">
        <f>IFERROR(__xludf.DUMMYFUNCTION("""COMPUTED_VALUE"""),24.4)</f>
        <v>24.4</v>
      </c>
      <c r="G3530">
        <f>IFERROR(__xludf.DUMMYFUNCTION("""COMPUTED_VALUE"""),0.1)</f>
        <v>0.1</v>
      </c>
    </row>
    <row r="3531">
      <c r="A3531">
        <f>IFERROR(__xludf.DUMMYFUNCTION("""COMPUTED_VALUE"""),782670.0)</f>
        <v>782670</v>
      </c>
      <c r="B3531" t="str">
        <f>IFERROR(__xludf.DUMMYFUNCTION("""COMPUTED_VALUE"""),"Trout Baked Or Broiled Made With Butter")</f>
        <v>Trout Baked Or Broiled Made With Butter</v>
      </c>
      <c r="C3531" t="str">
        <f>IFERROR(__xludf.DUMMYFUNCTION("""COMPUTED_VALUE"""),"Fish")</f>
        <v>Fish</v>
      </c>
      <c r="D3531">
        <f>IFERROR(__xludf.DUMMYFUNCTION("""COMPUTED_VALUE"""),200.0)</f>
        <v>200</v>
      </c>
      <c r="E3531">
        <f>IFERROR(__xludf.DUMMYFUNCTION("""COMPUTED_VALUE"""),10.65)</f>
        <v>10.65</v>
      </c>
      <c r="F3531">
        <f>IFERROR(__xludf.DUMMYFUNCTION("""COMPUTED_VALUE"""),24.4)</f>
        <v>24.4</v>
      </c>
      <c r="G3531">
        <f>IFERROR(__xludf.DUMMYFUNCTION("""COMPUTED_VALUE"""),0.1)</f>
        <v>0.1</v>
      </c>
    </row>
    <row r="3532">
      <c r="A3532">
        <f>IFERROR(__xludf.DUMMYFUNCTION("""COMPUTED_VALUE"""),782671.0)</f>
        <v>782671</v>
      </c>
      <c r="B3532" t="str">
        <f>IFERROR(__xludf.DUMMYFUNCTION("""COMPUTED_VALUE"""),"Trout Baked Or Broiled Made With Margarine")</f>
        <v>Trout Baked Or Broiled Made With Margarine</v>
      </c>
      <c r="C3532" t="str">
        <f>IFERROR(__xludf.DUMMYFUNCTION("""COMPUTED_VALUE"""),"Fish")</f>
        <v>Fish</v>
      </c>
      <c r="D3532">
        <f>IFERROR(__xludf.DUMMYFUNCTION("""COMPUTED_VALUE"""),193.0)</f>
        <v>193</v>
      </c>
      <c r="E3532">
        <f>IFERROR(__xludf.DUMMYFUNCTION("""COMPUTED_VALUE"""),9.86)</f>
        <v>9.86</v>
      </c>
      <c r="F3532">
        <f>IFERROR(__xludf.DUMMYFUNCTION("""COMPUTED_VALUE"""),24.37)</f>
        <v>24.37</v>
      </c>
      <c r="G3532">
        <f>IFERROR(__xludf.DUMMYFUNCTION("""COMPUTED_VALUE"""),0.13)</f>
        <v>0.13</v>
      </c>
    </row>
    <row r="3533">
      <c r="A3533">
        <f>IFERROR(__xludf.DUMMYFUNCTION("""COMPUTED_VALUE"""),782672.0)</f>
        <v>782672</v>
      </c>
      <c r="B3533" t="str">
        <f>IFERROR(__xludf.DUMMYFUNCTION("""COMPUTED_VALUE"""),"Trout Baked Or Broiled Made Without Fat")</f>
        <v>Trout Baked Or Broiled Made Without Fat</v>
      </c>
      <c r="C3533" t="str">
        <f>IFERROR(__xludf.DUMMYFUNCTION("""COMPUTED_VALUE"""),"Fish")</f>
        <v>Fish</v>
      </c>
      <c r="D3533">
        <f>IFERROR(__xludf.DUMMYFUNCTION("""COMPUTED_VALUE"""),178.0)</f>
        <v>178</v>
      </c>
      <c r="E3533">
        <f>IFERROR(__xludf.DUMMYFUNCTION("""COMPUTED_VALUE"""),7.79)</f>
        <v>7.79</v>
      </c>
      <c r="F3533">
        <f>IFERROR(__xludf.DUMMYFUNCTION("""COMPUTED_VALUE"""),25.12)</f>
        <v>25.12</v>
      </c>
      <c r="G3533">
        <f>IFERROR(__xludf.DUMMYFUNCTION("""COMPUTED_VALUE"""),0.1)</f>
        <v>0.1</v>
      </c>
    </row>
    <row r="3534">
      <c r="A3534">
        <f>IFERROR(__xludf.DUMMYFUNCTION("""COMPUTED_VALUE"""),782673.0)</f>
        <v>782673</v>
      </c>
      <c r="B3534" t="str">
        <f>IFERROR(__xludf.DUMMYFUNCTION("""COMPUTED_VALUE"""),"Trout Baked Or Broiled Made With Cooking Spray")</f>
        <v>Trout Baked Or Broiled Made With Cooking Spray</v>
      </c>
      <c r="C3534" t="str">
        <f>IFERROR(__xludf.DUMMYFUNCTION("""COMPUTED_VALUE"""),"Fish")</f>
        <v>Fish</v>
      </c>
      <c r="D3534">
        <f>IFERROR(__xludf.DUMMYFUNCTION("""COMPUTED_VALUE"""),181.0)</f>
        <v>181</v>
      </c>
      <c r="E3534">
        <f>IFERROR(__xludf.DUMMYFUNCTION("""COMPUTED_VALUE"""),8.15)</f>
        <v>8.15</v>
      </c>
      <c r="F3534">
        <f>IFERROR(__xludf.DUMMYFUNCTION("""COMPUTED_VALUE"""),25.02)</f>
        <v>25.02</v>
      </c>
      <c r="G3534">
        <f>IFERROR(__xludf.DUMMYFUNCTION("""COMPUTED_VALUE"""),0.2)</f>
        <v>0.2</v>
      </c>
    </row>
    <row r="3535">
      <c r="A3535">
        <f>IFERROR(__xludf.DUMMYFUNCTION("""COMPUTED_VALUE"""),782674.0)</f>
        <v>782674</v>
      </c>
      <c r="B3535" t="str">
        <f>IFERROR(__xludf.DUMMYFUNCTION("""COMPUTED_VALUE"""),"Trout Coated Baked Or Broiled Made With Oil")</f>
        <v>Trout Coated Baked Or Broiled Made With Oil</v>
      </c>
      <c r="C3535" t="str">
        <f>IFERROR(__xludf.DUMMYFUNCTION("""COMPUTED_VALUE"""),"Fish")</f>
        <v>Fish</v>
      </c>
      <c r="D3535">
        <f>IFERROR(__xludf.DUMMYFUNCTION("""COMPUTED_VALUE"""),248.0)</f>
        <v>248</v>
      </c>
      <c r="E3535">
        <f>IFERROR(__xludf.DUMMYFUNCTION("""COMPUTED_VALUE"""),12.12)</f>
        <v>12.12</v>
      </c>
      <c r="F3535">
        <f>IFERROR(__xludf.DUMMYFUNCTION("""COMPUTED_VALUE"""),20.91)</f>
        <v>20.91</v>
      </c>
      <c r="G3535">
        <f>IFERROR(__xludf.DUMMYFUNCTION("""COMPUTED_VALUE"""),12.52)</f>
        <v>12.52</v>
      </c>
    </row>
    <row r="3536">
      <c r="A3536">
        <f>IFERROR(__xludf.DUMMYFUNCTION("""COMPUTED_VALUE"""),782675.0)</f>
        <v>782675</v>
      </c>
      <c r="B3536" t="str">
        <f>IFERROR(__xludf.DUMMYFUNCTION("""COMPUTED_VALUE"""),"Trout Coated Baked Or Broiled Made With Butter")</f>
        <v>Trout Coated Baked Or Broiled Made With Butter</v>
      </c>
      <c r="C3536" t="str">
        <f>IFERROR(__xludf.DUMMYFUNCTION("""COMPUTED_VALUE"""),"Fish")</f>
        <v>Fish</v>
      </c>
      <c r="D3536">
        <f>IFERROR(__xludf.DUMMYFUNCTION("""COMPUTED_VALUE"""),240.0)</f>
        <v>240</v>
      </c>
      <c r="E3536">
        <f>IFERROR(__xludf.DUMMYFUNCTION("""COMPUTED_VALUE"""),11.22)</f>
        <v>11.22</v>
      </c>
      <c r="F3536">
        <f>IFERROR(__xludf.DUMMYFUNCTION("""COMPUTED_VALUE"""),20.92)</f>
        <v>20.92</v>
      </c>
      <c r="G3536">
        <f>IFERROR(__xludf.DUMMYFUNCTION("""COMPUTED_VALUE"""),12.5)</f>
        <v>12.5</v>
      </c>
    </row>
    <row r="3537">
      <c r="A3537">
        <f>IFERROR(__xludf.DUMMYFUNCTION("""COMPUTED_VALUE"""),782676.0)</f>
        <v>782676</v>
      </c>
      <c r="B3537" t="str">
        <f>IFERROR(__xludf.DUMMYFUNCTION("""COMPUTED_VALUE"""),"Trout Coated Baked Or Broiled Made With Margarine")</f>
        <v>Trout Coated Baked Or Broiled Made With Margarine</v>
      </c>
      <c r="C3537" t="str">
        <f>IFERROR(__xludf.DUMMYFUNCTION("""COMPUTED_VALUE"""),"Fish")</f>
        <v>Fish</v>
      </c>
      <c r="D3537">
        <f>IFERROR(__xludf.DUMMYFUNCTION("""COMPUTED_VALUE"""),230.0)</f>
        <v>230</v>
      </c>
      <c r="E3537">
        <f>IFERROR(__xludf.DUMMYFUNCTION("""COMPUTED_VALUE"""),10.01)</f>
        <v>10.01</v>
      </c>
      <c r="F3537">
        <f>IFERROR(__xludf.DUMMYFUNCTION("""COMPUTED_VALUE"""),20.88)</f>
        <v>20.88</v>
      </c>
      <c r="G3537">
        <f>IFERROR(__xludf.DUMMYFUNCTION("""COMPUTED_VALUE"""),12.55)</f>
        <v>12.55</v>
      </c>
    </row>
    <row r="3538">
      <c r="A3538">
        <f>IFERROR(__xludf.DUMMYFUNCTION("""COMPUTED_VALUE"""),782677.0)</f>
        <v>782677</v>
      </c>
      <c r="B3538" t="str">
        <f>IFERROR(__xludf.DUMMYFUNCTION("""COMPUTED_VALUE"""),"Trout Coated Baked Or Broiled Made Without Fat")</f>
        <v>Trout Coated Baked Or Broiled Made Without Fat</v>
      </c>
      <c r="C3538" t="str">
        <f>IFERROR(__xludf.DUMMYFUNCTION("""COMPUTED_VALUE"""),"Fish")</f>
        <v>Fish</v>
      </c>
      <c r="D3538">
        <f>IFERROR(__xludf.DUMMYFUNCTION("""COMPUTED_VALUE"""),208.0)</f>
        <v>208</v>
      </c>
      <c r="E3538">
        <f>IFERROR(__xludf.DUMMYFUNCTION("""COMPUTED_VALUE"""),6.8)</f>
        <v>6.8</v>
      </c>
      <c r="F3538">
        <f>IFERROR(__xludf.DUMMYFUNCTION("""COMPUTED_VALUE"""),21.87)</f>
        <v>21.87</v>
      </c>
      <c r="G3538">
        <f>IFERROR(__xludf.DUMMYFUNCTION("""COMPUTED_VALUE"""),13.1)</f>
        <v>13.1</v>
      </c>
    </row>
    <row r="3539">
      <c r="A3539">
        <f>IFERROR(__xludf.DUMMYFUNCTION("""COMPUTED_VALUE"""),782678.0)</f>
        <v>782678</v>
      </c>
      <c r="B3539" t="str">
        <f>IFERROR(__xludf.DUMMYFUNCTION("""COMPUTED_VALUE"""),"Trout Coated Baked Or Broiled Made With Cooking Spray")</f>
        <v>Trout Coated Baked Or Broiled Made With Cooking Spray</v>
      </c>
      <c r="C3539" t="str">
        <f>IFERROR(__xludf.DUMMYFUNCTION("""COMPUTED_VALUE"""),"Fish")</f>
        <v>Fish</v>
      </c>
      <c r="D3539">
        <f>IFERROR(__xludf.DUMMYFUNCTION("""COMPUTED_VALUE"""),210.0)</f>
        <v>210</v>
      </c>
      <c r="E3539">
        <f>IFERROR(__xludf.DUMMYFUNCTION("""COMPUTED_VALUE"""),7.09)</f>
        <v>7.09</v>
      </c>
      <c r="F3539">
        <f>IFERROR(__xludf.DUMMYFUNCTION("""COMPUTED_VALUE"""),21.8)</f>
        <v>21.8</v>
      </c>
      <c r="G3539">
        <f>IFERROR(__xludf.DUMMYFUNCTION("""COMPUTED_VALUE"""),13.14)</f>
        <v>13.14</v>
      </c>
    </row>
    <row r="3540">
      <c r="A3540">
        <f>IFERROR(__xludf.DUMMYFUNCTION("""COMPUTED_VALUE"""),782679.0)</f>
        <v>782679</v>
      </c>
      <c r="B3540" t="str">
        <f>IFERROR(__xludf.DUMMYFUNCTION("""COMPUTED_VALUE"""),"Trout Coated Fried Made With Oil")</f>
        <v>Trout Coated Fried Made With Oil</v>
      </c>
      <c r="C3540" t="str">
        <f>IFERROR(__xludf.DUMMYFUNCTION("""COMPUTED_VALUE"""),"Fish")</f>
        <v>Fish</v>
      </c>
      <c r="D3540">
        <f>IFERROR(__xludf.DUMMYFUNCTION("""COMPUTED_VALUE"""),265.0)</f>
        <v>265</v>
      </c>
      <c r="E3540">
        <f>IFERROR(__xludf.DUMMYFUNCTION("""COMPUTED_VALUE"""),15.6)</f>
        <v>15.6</v>
      </c>
      <c r="F3540">
        <f>IFERROR(__xludf.DUMMYFUNCTION("""COMPUTED_VALUE"""),20.02)</f>
        <v>20.02</v>
      </c>
      <c r="G3540">
        <f>IFERROR(__xludf.DUMMYFUNCTION("""COMPUTED_VALUE"""),9.85)</f>
        <v>9.85</v>
      </c>
    </row>
    <row r="3541">
      <c r="A3541">
        <f>IFERROR(__xludf.DUMMYFUNCTION("""COMPUTED_VALUE"""),782680.0)</f>
        <v>782680</v>
      </c>
      <c r="B3541" t="str">
        <f>IFERROR(__xludf.DUMMYFUNCTION("""COMPUTED_VALUE"""),"Trout Coated Fried Made With Butter")</f>
        <v>Trout Coated Fried Made With Butter</v>
      </c>
      <c r="C3541" t="str">
        <f>IFERROR(__xludf.DUMMYFUNCTION("""COMPUTED_VALUE"""),"Fish")</f>
        <v>Fish</v>
      </c>
      <c r="D3541">
        <f>IFERROR(__xludf.DUMMYFUNCTION("""COMPUTED_VALUE"""),250.0)</f>
        <v>250</v>
      </c>
      <c r="E3541">
        <f>IFERROR(__xludf.DUMMYFUNCTION("""COMPUTED_VALUE"""),13.96)</f>
        <v>13.96</v>
      </c>
      <c r="F3541">
        <f>IFERROR(__xludf.DUMMYFUNCTION("""COMPUTED_VALUE"""),20.09)</f>
        <v>20.09</v>
      </c>
      <c r="G3541">
        <f>IFERROR(__xludf.DUMMYFUNCTION("""COMPUTED_VALUE"""),9.86)</f>
        <v>9.86</v>
      </c>
    </row>
    <row r="3542">
      <c r="A3542">
        <f>IFERROR(__xludf.DUMMYFUNCTION("""COMPUTED_VALUE"""),782681.0)</f>
        <v>782681</v>
      </c>
      <c r="B3542" t="str">
        <f>IFERROR(__xludf.DUMMYFUNCTION("""COMPUTED_VALUE"""),"Trout Coated Fried Made With Margarine")</f>
        <v>Trout Coated Fried Made With Margarine</v>
      </c>
      <c r="C3542" t="str">
        <f>IFERROR(__xludf.DUMMYFUNCTION("""COMPUTED_VALUE"""),"Fish")</f>
        <v>Fish</v>
      </c>
      <c r="D3542">
        <f>IFERROR(__xludf.DUMMYFUNCTION("""COMPUTED_VALUE"""),234.0)</f>
        <v>234</v>
      </c>
      <c r="E3542">
        <f>IFERROR(__xludf.DUMMYFUNCTION("""COMPUTED_VALUE"""),12.1)</f>
        <v>12.1</v>
      </c>
      <c r="F3542">
        <f>IFERROR(__xludf.DUMMYFUNCTION("""COMPUTED_VALUE"""),20.03)</f>
        <v>20.03</v>
      </c>
      <c r="G3542">
        <f>IFERROR(__xludf.DUMMYFUNCTION("""COMPUTED_VALUE"""),9.93)</f>
        <v>9.93</v>
      </c>
    </row>
    <row r="3543">
      <c r="A3543">
        <f>IFERROR(__xludf.DUMMYFUNCTION("""COMPUTED_VALUE"""),782682.0)</f>
        <v>782682</v>
      </c>
      <c r="B3543" t="str">
        <f>IFERROR(__xludf.DUMMYFUNCTION("""COMPUTED_VALUE"""),"Trout Coated Fried Made Without Fat")</f>
        <v>Trout Coated Fried Made Without Fat</v>
      </c>
      <c r="C3543" t="str">
        <f>IFERROR(__xludf.DUMMYFUNCTION("""COMPUTED_VALUE"""),"Fish")</f>
        <v>Fish</v>
      </c>
      <c r="D3543">
        <f>IFERROR(__xludf.DUMMYFUNCTION("""COMPUTED_VALUE"""),221.0)</f>
        <v>221</v>
      </c>
      <c r="E3543">
        <f>IFERROR(__xludf.DUMMYFUNCTION("""COMPUTED_VALUE"""),8.11)</f>
        <v>8.11</v>
      </c>
      <c r="F3543">
        <f>IFERROR(__xludf.DUMMYFUNCTION("""COMPUTED_VALUE"""),23.56)</f>
        <v>23.56</v>
      </c>
      <c r="G3543">
        <f>IFERROR(__xludf.DUMMYFUNCTION("""COMPUTED_VALUE"""),11.6)</f>
        <v>11.6</v>
      </c>
    </row>
    <row r="3544">
      <c r="A3544">
        <f>IFERROR(__xludf.DUMMYFUNCTION("""COMPUTED_VALUE"""),782683.0)</f>
        <v>782683</v>
      </c>
      <c r="B3544" t="str">
        <f>IFERROR(__xludf.DUMMYFUNCTION("""COMPUTED_VALUE"""),"Trout Coated Fried Made With Cooking Spray")</f>
        <v>Trout Coated Fried Made With Cooking Spray</v>
      </c>
      <c r="C3544" t="str">
        <f>IFERROR(__xludf.DUMMYFUNCTION("""COMPUTED_VALUE"""),"Fish")</f>
        <v>Fish</v>
      </c>
      <c r="D3544">
        <f>IFERROR(__xludf.DUMMYFUNCTION("""COMPUTED_VALUE"""),223.0)</f>
        <v>223</v>
      </c>
      <c r="E3544">
        <f>IFERROR(__xludf.DUMMYFUNCTION("""COMPUTED_VALUE"""),8.4)</f>
        <v>8.4</v>
      </c>
      <c r="F3544">
        <f>IFERROR(__xludf.DUMMYFUNCTION("""COMPUTED_VALUE"""),23.49)</f>
        <v>23.49</v>
      </c>
      <c r="G3544">
        <f>IFERROR(__xludf.DUMMYFUNCTION("""COMPUTED_VALUE"""),11.64)</f>
        <v>11.64</v>
      </c>
    </row>
    <row r="3545">
      <c r="A3545">
        <f>IFERROR(__xludf.DUMMYFUNCTION("""COMPUTED_VALUE"""),782684.0)</f>
        <v>782684</v>
      </c>
      <c r="B3545" t="str">
        <f>IFERROR(__xludf.DUMMYFUNCTION("""COMPUTED_VALUE"""),"Trout Steamed Or Poached")</f>
        <v>Trout Steamed Or Poached</v>
      </c>
      <c r="C3545" t="str">
        <f>IFERROR(__xludf.DUMMYFUNCTION("""COMPUTED_VALUE"""),"Fish")</f>
        <v>Fish</v>
      </c>
      <c r="D3545">
        <f>IFERROR(__xludf.DUMMYFUNCTION("""COMPUTED_VALUE"""),177.0)</f>
        <v>177</v>
      </c>
      <c r="E3545">
        <f>IFERROR(__xludf.DUMMYFUNCTION("""COMPUTED_VALUE"""),7.77)</f>
        <v>7.77</v>
      </c>
      <c r="F3545">
        <f>IFERROR(__xludf.DUMMYFUNCTION("""COMPUTED_VALUE"""),25.08)</f>
        <v>25.08</v>
      </c>
      <c r="G3545">
        <f>IFERROR(__xludf.DUMMYFUNCTION("""COMPUTED_VALUE"""),0.0)</f>
        <v>0</v>
      </c>
    </row>
    <row r="3546">
      <c r="A3546">
        <f>IFERROR(__xludf.DUMMYFUNCTION("""COMPUTED_VALUE"""),782685.0)</f>
        <v>782685</v>
      </c>
      <c r="B3546" t="str">
        <f>IFERROR(__xludf.DUMMYFUNCTION("""COMPUTED_VALUE"""),"Trout Smoked")</f>
        <v>Trout Smoked</v>
      </c>
      <c r="C3546" t="str">
        <f>IFERROR(__xludf.DUMMYFUNCTION("""COMPUTED_VALUE"""),"Fish")</f>
        <v>Fish</v>
      </c>
      <c r="D3546">
        <f>IFERROR(__xludf.DUMMYFUNCTION("""COMPUTED_VALUE"""),251.0)</f>
        <v>251</v>
      </c>
      <c r="E3546">
        <f>IFERROR(__xludf.DUMMYFUNCTION("""COMPUTED_VALUE"""),10.99)</f>
        <v>10.99</v>
      </c>
      <c r="F3546">
        <f>IFERROR(__xludf.DUMMYFUNCTION("""COMPUTED_VALUE"""),35.47)</f>
        <v>35.47</v>
      </c>
      <c r="G3546">
        <f>IFERROR(__xludf.DUMMYFUNCTION("""COMPUTED_VALUE"""),0.0)</f>
        <v>0</v>
      </c>
    </row>
    <row r="3547">
      <c r="A3547">
        <f>IFERROR(__xludf.DUMMYFUNCTION("""COMPUTED_VALUE"""),782687.0)</f>
        <v>782687</v>
      </c>
      <c r="B3547" t="str">
        <f>IFERROR(__xludf.DUMMYFUNCTION("""COMPUTED_VALUE"""),"Tuna Fresh Cooked Ns As To Cooking Method")</f>
        <v>Tuna Fresh Cooked Ns As To Cooking Method</v>
      </c>
      <c r="C3547" t="str">
        <f>IFERROR(__xludf.DUMMYFUNCTION("""COMPUTED_VALUE"""),"Fish")</f>
        <v>Fish</v>
      </c>
      <c r="D3547">
        <f>IFERROR(__xludf.DUMMYFUNCTION("""COMPUTED_VALUE"""),166.0)</f>
        <v>166</v>
      </c>
      <c r="E3547">
        <f>IFERROR(__xludf.DUMMYFUNCTION("""COMPUTED_VALUE"""),4.28)</f>
        <v>4.28</v>
      </c>
      <c r="F3547">
        <f>IFERROR(__xludf.DUMMYFUNCTION("""COMPUTED_VALUE"""),29.85)</f>
        <v>29.85</v>
      </c>
      <c r="G3547">
        <f>IFERROR(__xludf.DUMMYFUNCTION("""COMPUTED_VALUE"""),0.1)</f>
        <v>0.1</v>
      </c>
    </row>
    <row r="3548">
      <c r="A3548">
        <f>IFERROR(__xludf.DUMMYFUNCTION("""COMPUTED_VALUE"""),782688.0)</f>
        <v>782688</v>
      </c>
      <c r="B3548" t="str">
        <f>IFERROR(__xludf.DUMMYFUNCTION("""COMPUTED_VALUE"""),"Tuna Fresh Baked Or Broiled Fat Added In Cooking")</f>
        <v>Tuna Fresh Baked Or Broiled Fat Added In Cooking</v>
      </c>
      <c r="C3548" t="str">
        <f>IFERROR(__xludf.DUMMYFUNCTION("""COMPUTED_VALUE"""),"Fish")</f>
        <v>Fish</v>
      </c>
      <c r="D3548">
        <f>IFERROR(__xludf.DUMMYFUNCTION("""COMPUTED_VALUE"""),166.0)</f>
        <v>166</v>
      </c>
      <c r="E3548">
        <f>IFERROR(__xludf.DUMMYFUNCTION("""COMPUTED_VALUE"""),4.28)</f>
        <v>4.28</v>
      </c>
      <c r="F3548">
        <f>IFERROR(__xludf.DUMMYFUNCTION("""COMPUTED_VALUE"""),29.85)</f>
        <v>29.85</v>
      </c>
      <c r="G3548">
        <f>IFERROR(__xludf.DUMMYFUNCTION("""COMPUTED_VALUE"""),0.1)</f>
        <v>0.1</v>
      </c>
    </row>
    <row r="3549">
      <c r="A3549">
        <f>IFERROR(__xludf.DUMMYFUNCTION("""COMPUTED_VALUE"""),782689.0)</f>
        <v>782689</v>
      </c>
      <c r="B3549" t="str">
        <f>IFERROR(__xludf.DUMMYFUNCTION("""COMPUTED_VALUE"""),"Tuna Fresh Baked Or Broiled Fat Not Added In Cooking")</f>
        <v>Tuna Fresh Baked Or Broiled Fat Not Added In Cooking</v>
      </c>
      <c r="C3549" t="str">
        <f>IFERROR(__xludf.DUMMYFUNCTION("""COMPUTED_VALUE"""),"Fish")</f>
        <v>Fish</v>
      </c>
      <c r="D3549">
        <f>IFERROR(__xludf.DUMMYFUNCTION("""COMPUTED_VALUE"""),138.0)</f>
        <v>138</v>
      </c>
      <c r="E3549">
        <f>IFERROR(__xludf.DUMMYFUNCTION("""COMPUTED_VALUE"""),0.62)</f>
        <v>0.62</v>
      </c>
      <c r="F3549">
        <f>IFERROR(__xludf.DUMMYFUNCTION("""COMPUTED_VALUE"""),30.73)</f>
        <v>30.73</v>
      </c>
      <c r="G3549">
        <f>IFERROR(__xludf.DUMMYFUNCTION("""COMPUTED_VALUE"""),0.1)</f>
        <v>0.1</v>
      </c>
    </row>
    <row r="3550">
      <c r="A3550">
        <f>IFERROR(__xludf.DUMMYFUNCTION("""COMPUTED_VALUE"""),782690.0)</f>
        <v>782690</v>
      </c>
      <c r="B3550" t="str">
        <f>IFERROR(__xludf.DUMMYFUNCTION("""COMPUTED_VALUE"""),"Tuna Fresh Coated Baked Or Broiled Fat Added In Cooking")</f>
        <v>Tuna Fresh Coated Baked Or Broiled Fat Added In Cooking</v>
      </c>
      <c r="C3550" t="str">
        <f>IFERROR(__xludf.DUMMYFUNCTION("""COMPUTED_VALUE"""),"Fish")</f>
        <v>Fish</v>
      </c>
      <c r="D3550">
        <f>IFERROR(__xludf.DUMMYFUNCTION("""COMPUTED_VALUE"""),218.0)</f>
        <v>218</v>
      </c>
      <c r="E3550">
        <f>IFERROR(__xludf.DUMMYFUNCTION("""COMPUTED_VALUE"""),6.8)</f>
        <v>6.8</v>
      </c>
      <c r="F3550">
        <f>IFERROR(__xludf.DUMMYFUNCTION("""COMPUTED_VALUE"""),25.08)</f>
        <v>25.08</v>
      </c>
      <c r="G3550">
        <f>IFERROR(__xludf.DUMMYFUNCTION("""COMPUTED_VALUE"""),12.52)</f>
        <v>12.52</v>
      </c>
    </row>
    <row r="3551">
      <c r="A3551">
        <f>IFERROR(__xludf.DUMMYFUNCTION("""COMPUTED_VALUE"""),782691.0)</f>
        <v>782691</v>
      </c>
      <c r="B3551" t="str">
        <f>IFERROR(__xludf.DUMMYFUNCTION("""COMPUTED_VALUE"""),"Tuna Fresh Coated Baked Or Broiled Fat Not Added")</f>
        <v>Tuna Fresh Coated Baked Or Broiled Fat Not Added</v>
      </c>
      <c r="C3551" t="str">
        <f>IFERROR(__xludf.DUMMYFUNCTION("""COMPUTED_VALUE"""),"Fish")</f>
        <v>Fish</v>
      </c>
      <c r="D3551">
        <f>IFERROR(__xludf.DUMMYFUNCTION("""COMPUTED_VALUE"""),177.0)</f>
        <v>177</v>
      </c>
      <c r="E3551">
        <f>IFERROR(__xludf.DUMMYFUNCTION("""COMPUTED_VALUE"""),1.25)</f>
        <v>1.25</v>
      </c>
      <c r="F3551">
        <f>IFERROR(__xludf.DUMMYFUNCTION("""COMPUTED_VALUE"""),26.22)</f>
        <v>26.22</v>
      </c>
      <c r="G3551">
        <f>IFERROR(__xludf.DUMMYFUNCTION("""COMPUTED_VALUE"""),13.1)</f>
        <v>13.1</v>
      </c>
    </row>
    <row r="3552">
      <c r="A3552">
        <f>IFERROR(__xludf.DUMMYFUNCTION("""COMPUTED_VALUE"""),782692.0)</f>
        <v>782692</v>
      </c>
      <c r="B3552" t="str">
        <f>IFERROR(__xludf.DUMMYFUNCTION("""COMPUTED_VALUE"""),"Tuna Fresh Coated Fried")</f>
        <v>Tuna Fresh Coated Fried</v>
      </c>
      <c r="C3552" t="str">
        <f>IFERROR(__xludf.DUMMYFUNCTION("""COMPUTED_VALUE"""),"Fish")</f>
        <v>Fish</v>
      </c>
      <c r="D3552">
        <f>IFERROR(__xludf.DUMMYFUNCTION("""COMPUTED_VALUE"""),237.0)</f>
        <v>237</v>
      </c>
      <c r="E3552">
        <f>IFERROR(__xludf.DUMMYFUNCTION("""COMPUTED_VALUE"""),10.75)</f>
        <v>10.75</v>
      </c>
      <c r="F3552">
        <f>IFERROR(__xludf.DUMMYFUNCTION("""COMPUTED_VALUE"""),23.82)</f>
        <v>23.82</v>
      </c>
      <c r="G3552">
        <f>IFERROR(__xludf.DUMMYFUNCTION("""COMPUTED_VALUE"""),9.85)</f>
        <v>9.85</v>
      </c>
    </row>
    <row r="3553">
      <c r="A3553">
        <f>IFERROR(__xludf.DUMMYFUNCTION("""COMPUTED_VALUE"""),782693.0)</f>
        <v>782693</v>
      </c>
      <c r="B3553" t="str">
        <f>IFERROR(__xludf.DUMMYFUNCTION("""COMPUTED_VALUE"""),"Tuna Fresh Steamed Or Poached")</f>
        <v>Tuna Fresh Steamed Or Poached</v>
      </c>
      <c r="C3553" t="str">
        <f>IFERROR(__xludf.DUMMYFUNCTION("""COMPUTED_VALUE"""),"Fish")</f>
        <v>Fish</v>
      </c>
      <c r="D3553">
        <f>IFERROR(__xludf.DUMMYFUNCTION("""COMPUTED_VALUE"""),137.0)</f>
        <v>137</v>
      </c>
      <c r="E3553">
        <f>IFERROR(__xludf.DUMMYFUNCTION("""COMPUTED_VALUE"""),0.62)</f>
        <v>0.62</v>
      </c>
      <c r="F3553">
        <f>IFERROR(__xludf.DUMMYFUNCTION("""COMPUTED_VALUE"""),30.68)</f>
        <v>30.68</v>
      </c>
      <c r="G3553">
        <f>IFERROR(__xludf.DUMMYFUNCTION("""COMPUTED_VALUE"""),0.0)</f>
        <v>0</v>
      </c>
    </row>
    <row r="3554">
      <c r="A3554">
        <f>IFERROR(__xludf.DUMMYFUNCTION("""COMPUTED_VALUE"""),782694.0)</f>
        <v>782694</v>
      </c>
      <c r="B3554" t="str">
        <f>IFERROR(__xludf.DUMMYFUNCTION("""COMPUTED_VALUE"""),"Tuna Fresh Dried")</f>
        <v>Tuna Fresh Dried</v>
      </c>
      <c r="C3554" t="str">
        <f>IFERROR(__xludf.DUMMYFUNCTION("""COMPUTED_VALUE"""),"Fish")</f>
        <v>Fish</v>
      </c>
      <c r="D3554">
        <f>IFERROR(__xludf.DUMMYFUNCTION("""COMPUTED_VALUE"""),341.0)</f>
        <v>341</v>
      </c>
      <c r="E3554">
        <f>IFERROR(__xludf.DUMMYFUNCTION("""COMPUTED_VALUE"""),1.53)</f>
        <v>1.53</v>
      </c>
      <c r="F3554">
        <f>IFERROR(__xludf.DUMMYFUNCTION("""COMPUTED_VALUE"""),76.25)</f>
        <v>76.25</v>
      </c>
      <c r="G3554">
        <f>IFERROR(__xludf.DUMMYFUNCTION("""COMPUTED_VALUE"""),0.0)</f>
        <v>0</v>
      </c>
    </row>
    <row r="3555">
      <c r="A3555">
        <f>IFERROR(__xludf.DUMMYFUNCTION("""COMPUTED_VALUE"""),782695.0)</f>
        <v>782695</v>
      </c>
      <c r="B3555" t="str">
        <f>IFERROR(__xludf.DUMMYFUNCTION("""COMPUTED_VALUE"""),"Tuna Fresh Smoked")</f>
        <v>Tuna Fresh Smoked</v>
      </c>
      <c r="C3555" t="str">
        <f>IFERROR(__xludf.DUMMYFUNCTION("""COMPUTED_VALUE"""),"Fish")</f>
        <v>Fish</v>
      </c>
      <c r="D3555">
        <f>IFERROR(__xludf.DUMMYFUNCTION("""COMPUTED_VALUE"""),200.0)</f>
        <v>200</v>
      </c>
      <c r="E3555">
        <f>IFERROR(__xludf.DUMMYFUNCTION("""COMPUTED_VALUE"""),10.04)</f>
        <v>10.04</v>
      </c>
      <c r="F3555">
        <f>IFERROR(__xludf.DUMMYFUNCTION("""COMPUTED_VALUE"""),25.54)</f>
        <v>25.54</v>
      </c>
      <c r="G3555">
        <f>IFERROR(__xludf.DUMMYFUNCTION("""COMPUTED_VALUE"""),0.0)</f>
        <v>0</v>
      </c>
    </row>
    <row r="3556">
      <c r="A3556">
        <f>IFERROR(__xludf.DUMMYFUNCTION("""COMPUTED_VALUE"""),782699.0)</f>
        <v>782699</v>
      </c>
      <c r="B3556" t="str">
        <f>IFERROR(__xludf.DUMMYFUNCTION("""COMPUTED_VALUE"""),"Whiting Cooked Ns As To Cooking Method")</f>
        <v>Whiting Cooked Ns As To Cooking Method</v>
      </c>
      <c r="C3556" t="str">
        <f>IFERROR(__xludf.DUMMYFUNCTION("""COMPUTED_VALUE"""),"Fish")</f>
        <v>Fish</v>
      </c>
      <c r="D3556">
        <f>IFERROR(__xludf.DUMMYFUNCTION("""COMPUTED_VALUE"""),221.0)</f>
        <v>221</v>
      </c>
      <c r="E3556">
        <f>IFERROR(__xludf.DUMMYFUNCTION("""COMPUTED_VALUE"""),11.44)</f>
        <v>11.44</v>
      </c>
      <c r="F3556">
        <f>IFERROR(__xludf.DUMMYFUNCTION("""COMPUTED_VALUE"""),18.62)</f>
        <v>18.62</v>
      </c>
      <c r="G3556">
        <f>IFERROR(__xludf.DUMMYFUNCTION("""COMPUTED_VALUE"""),9.86)</f>
        <v>9.86</v>
      </c>
    </row>
    <row r="3557">
      <c r="A3557">
        <f>IFERROR(__xludf.DUMMYFUNCTION("""COMPUTED_VALUE"""),782700.0)</f>
        <v>782700</v>
      </c>
      <c r="B3557" t="str">
        <f>IFERROR(__xludf.DUMMYFUNCTION("""COMPUTED_VALUE"""),"Whiting Baked Or Broiled Made With Oil")</f>
        <v>Whiting Baked Or Broiled Made With Oil</v>
      </c>
      <c r="C3557" t="str">
        <f>IFERROR(__xludf.DUMMYFUNCTION("""COMPUTED_VALUE"""),"Fish")</f>
        <v>Fish</v>
      </c>
      <c r="D3557">
        <f>IFERROR(__xludf.DUMMYFUNCTION("""COMPUTED_VALUE"""),143.0)</f>
        <v>143</v>
      </c>
      <c r="E3557">
        <f>IFERROR(__xludf.DUMMYFUNCTION("""COMPUTED_VALUE"""),5.28)</f>
        <v>5.28</v>
      </c>
      <c r="F3557">
        <f>IFERROR(__xludf.DUMMYFUNCTION("""COMPUTED_VALUE"""),22.4)</f>
        <v>22.4</v>
      </c>
      <c r="G3557">
        <f>IFERROR(__xludf.DUMMYFUNCTION("""COMPUTED_VALUE"""),0.1)</f>
        <v>0.1</v>
      </c>
    </row>
    <row r="3558">
      <c r="A3558">
        <f>IFERROR(__xludf.DUMMYFUNCTION("""COMPUTED_VALUE"""),782701.0)</f>
        <v>782701</v>
      </c>
      <c r="B3558" t="str">
        <f>IFERROR(__xludf.DUMMYFUNCTION("""COMPUTED_VALUE"""),"Whiting Baked Or Broiled Made With Butter")</f>
        <v>Whiting Baked Or Broiled Made With Butter</v>
      </c>
      <c r="C3558" t="str">
        <f>IFERROR(__xludf.DUMMYFUNCTION("""COMPUTED_VALUE"""),"Fish")</f>
        <v>Fish</v>
      </c>
      <c r="D3558">
        <f>IFERROR(__xludf.DUMMYFUNCTION("""COMPUTED_VALUE"""),138.0)</f>
        <v>138</v>
      </c>
      <c r="E3558">
        <f>IFERROR(__xludf.DUMMYFUNCTION("""COMPUTED_VALUE"""),4.7)</f>
        <v>4.7</v>
      </c>
      <c r="F3558">
        <f>IFERROR(__xludf.DUMMYFUNCTION("""COMPUTED_VALUE"""),22.41)</f>
        <v>22.41</v>
      </c>
      <c r="G3558">
        <f>IFERROR(__xludf.DUMMYFUNCTION("""COMPUTED_VALUE"""),0.1)</f>
        <v>0.1</v>
      </c>
    </row>
    <row r="3559">
      <c r="A3559">
        <f>IFERROR(__xludf.DUMMYFUNCTION("""COMPUTED_VALUE"""),782702.0)</f>
        <v>782702</v>
      </c>
      <c r="B3559" t="str">
        <f>IFERROR(__xludf.DUMMYFUNCTION("""COMPUTED_VALUE"""),"Whiting Baked Or Broiled Made With Margarine")</f>
        <v>Whiting Baked Or Broiled Made With Margarine</v>
      </c>
      <c r="C3559" t="str">
        <f>IFERROR(__xludf.DUMMYFUNCTION("""COMPUTED_VALUE"""),"Fish")</f>
        <v>Fish</v>
      </c>
      <c r="D3559">
        <f>IFERROR(__xludf.DUMMYFUNCTION("""COMPUTED_VALUE"""),131.0)</f>
        <v>131</v>
      </c>
      <c r="E3559">
        <f>IFERROR(__xludf.DUMMYFUNCTION("""COMPUTED_VALUE"""),3.91)</f>
        <v>3.91</v>
      </c>
      <c r="F3559">
        <f>IFERROR(__xludf.DUMMYFUNCTION("""COMPUTED_VALUE"""),22.38)</f>
        <v>22.38</v>
      </c>
      <c r="G3559">
        <f>IFERROR(__xludf.DUMMYFUNCTION("""COMPUTED_VALUE"""),0.13)</f>
        <v>0.13</v>
      </c>
    </row>
    <row r="3560">
      <c r="A3560">
        <f>IFERROR(__xludf.DUMMYFUNCTION("""COMPUTED_VALUE"""),782703.0)</f>
        <v>782703</v>
      </c>
      <c r="B3560" t="str">
        <f>IFERROR(__xludf.DUMMYFUNCTION("""COMPUTED_VALUE"""),"Whiting Baked Or Broiled Made Without Fat")</f>
        <v>Whiting Baked Or Broiled Made Without Fat</v>
      </c>
      <c r="C3560" t="str">
        <f>IFERROR(__xludf.DUMMYFUNCTION("""COMPUTED_VALUE"""),"Fish")</f>
        <v>Fish</v>
      </c>
      <c r="D3560">
        <f>IFERROR(__xludf.DUMMYFUNCTION("""COMPUTED_VALUE"""),114.0)</f>
        <v>114</v>
      </c>
      <c r="E3560">
        <f>IFERROR(__xludf.DUMMYFUNCTION("""COMPUTED_VALUE"""),1.65)</f>
        <v>1.65</v>
      </c>
      <c r="F3560">
        <f>IFERROR(__xludf.DUMMYFUNCTION("""COMPUTED_VALUE"""),23.06)</f>
        <v>23.06</v>
      </c>
      <c r="G3560">
        <f>IFERROR(__xludf.DUMMYFUNCTION("""COMPUTED_VALUE"""),0.1)</f>
        <v>0.1</v>
      </c>
    </row>
    <row r="3561">
      <c r="A3561">
        <f>IFERROR(__xludf.DUMMYFUNCTION("""COMPUTED_VALUE"""),782704.0)</f>
        <v>782704</v>
      </c>
      <c r="B3561" t="str">
        <f>IFERROR(__xludf.DUMMYFUNCTION("""COMPUTED_VALUE"""),"Whiting Baked Or Broiled Made With Cooking Spray")</f>
        <v>Whiting Baked Or Broiled Made With Cooking Spray</v>
      </c>
      <c r="C3561" t="str">
        <f>IFERROR(__xludf.DUMMYFUNCTION("""COMPUTED_VALUE"""),"Fish")</f>
        <v>Fish</v>
      </c>
      <c r="D3561">
        <f>IFERROR(__xludf.DUMMYFUNCTION("""COMPUTED_VALUE"""),117.0)</f>
        <v>117</v>
      </c>
      <c r="E3561">
        <f>IFERROR(__xludf.DUMMYFUNCTION("""COMPUTED_VALUE"""),2.04)</f>
        <v>2.04</v>
      </c>
      <c r="F3561">
        <f>IFERROR(__xludf.DUMMYFUNCTION("""COMPUTED_VALUE"""),22.98)</f>
        <v>22.98</v>
      </c>
      <c r="G3561">
        <f>IFERROR(__xludf.DUMMYFUNCTION("""COMPUTED_VALUE"""),0.2)</f>
        <v>0.2</v>
      </c>
    </row>
    <row r="3562">
      <c r="A3562">
        <f>IFERROR(__xludf.DUMMYFUNCTION("""COMPUTED_VALUE"""),782705.0)</f>
        <v>782705</v>
      </c>
      <c r="B3562" t="str">
        <f>IFERROR(__xludf.DUMMYFUNCTION("""COMPUTED_VALUE"""),"Whiting Coated Baked Or Broiled Made With Oil")</f>
        <v>Whiting Coated Baked Or Broiled Made With Oil</v>
      </c>
      <c r="C3562" t="str">
        <f>IFERROR(__xludf.DUMMYFUNCTION("""COMPUTED_VALUE"""),"Fish")</f>
        <v>Fish</v>
      </c>
      <c r="D3562">
        <f>IFERROR(__xludf.DUMMYFUNCTION("""COMPUTED_VALUE"""),201.0)</f>
        <v>201</v>
      </c>
      <c r="E3562">
        <f>IFERROR(__xludf.DUMMYFUNCTION("""COMPUTED_VALUE"""),7.57)</f>
        <v>7.57</v>
      </c>
      <c r="F3562">
        <f>IFERROR(__xludf.DUMMYFUNCTION("""COMPUTED_VALUE"""),19.39)</f>
        <v>19.39</v>
      </c>
      <c r="G3562">
        <f>IFERROR(__xludf.DUMMYFUNCTION("""COMPUTED_VALUE"""),12.52)</f>
        <v>12.52</v>
      </c>
    </row>
    <row r="3563">
      <c r="A3563">
        <f>IFERROR(__xludf.DUMMYFUNCTION("""COMPUTED_VALUE"""),782706.0)</f>
        <v>782706</v>
      </c>
      <c r="B3563" t="str">
        <f>IFERROR(__xludf.DUMMYFUNCTION("""COMPUTED_VALUE"""),"Whiting Coated Baked Or Broiled Made With Butter")</f>
        <v>Whiting Coated Baked Or Broiled Made With Butter</v>
      </c>
      <c r="C3563" t="str">
        <f>IFERROR(__xludf.DUMMYFUNCTION("""COMPUTED_VALUE"""),"Fish")</f>
        <v>Fish</v>
      </c>
      <c r="D3563">
        <f>IFERROR(__xludf.DUMMYFUNCTION("""COMPUTED_VALUE"""),193.0)</f>
        <v>193</v>
      </c>
      <c r="E3563">
        <f>IFERROR(__xludf.DUMMYFUNCTION("""COMPUTED_VALUE"""),6.68)</f>
        <v>6.68</v>
      </c>
      <c r="F3563">
        <f>IFERROR(__xludf.DUMMYFUNCTION("""COMPUTED_VALUE"""),19.4)</f>
        <v>19.4</v>
      </c>
      <c r="G3563">
        <f>IFERROR(__xludf.DUMMYFUNCTION("""COMPUTED_VALUE"""),12.5)</f>
        <v>12.5</v>
      </c>
    </row>
    <row r="3564">
      <c r="A3564">
        <f>IFERROR(__xludf.DUMMYFUNCTION("""COMPUTED_VALUE"""),782707.0)</f>
        <v>782707</v>
      </c>
      <c r="B3564" t="str">
        <f>IFERROR(__xludf.DUMMYFUNCTION("""COMPUTED_VALUE"""),"Whiting Coated Baked Or Broiled Made With Margarine")</f>
        <v>Whiting Coated Baked Or Broiled Made With Margarine</v>
      </c>
      <c r="C3564" t="str">
        <f>IFERROR(__xludf.DUMMYFUNCTION("""COMPUTED_VALUE"""),"Fish")</f>
        <v>Fish</v>
      </c>
      <c r="D3564">
        <f>IFERROR(__xludf.DUMMYFUNCTION("""COMPUTED_VALUE"""),182.0)</f>
        <v>182</v>
      </c>
      <c r="E3564">
        <f>IFERROR(__xludf.DUMMYFUNCTION("""COMPUTED_VALUE"""),5.47)</f>
        <v>5.47</v>
      </c>
      <c r="F3564">
        <f>IFERROR(__xludf.DUMMYFUNCTION("""COMPUTED_VALUE"""),19.36)</f>
        <v>19.36</v>
      </c>
      <c r="G3564">
        <f>IFERROR(__xludf.DUMMYFUNCTION("""COMPUTED_VALUE"""),12.55)</f>
        <v>12.55</v>
      </c>
    </row>
    <row r="3565">
      <c r="A3565">
        <f>IFERROR(__xludf.DUMMYFUNCTION("""COMPUTED_VALUE"""),782708.0)</f>
        <v>782708</v>
      </c>
      <c r="B3565" t="str">
        <f>IFERROR(__xludf.DUMMYFUNCTION("""COMPUTED_VALUE"""),"Whiting Coated Baked Or Broiled Made Without Fat")</f>
        <v>Whiting Coated Baked Or Broiled Made Without Fat</v>
      </c>
      <c r="C3565" t="str">
        <f>IFERROR(__xludf.DUMMYFUNCTION("""COMPUTED_VALUE"""),"Fish")</f>
        <v>Fish</v>
      </c>
      <c r="D3565">
        <f>IFERROR(__xludf.DUMMYFUNCTION("""COMPUTED_VALUE"""),158.0)</f>
        <v>158</v>
      </c>
      <c r="E3565">
        <f>IFERROR(__xludf.DUMMYFUNCTION("""COMPUTED_VALUE"""),2.05)</f>
        <v>2.05</v>
      </c>
      <c r="F3565">
        <f>IFERROR(__xludf.DUMMYFUNCTION("""COMPUTED_VALUE"""),20.28)</f>
        <v>20.28</v>
      </c>
      <c r="G3565">
        <f>IFERROR(__xludf.DUMMYFUNCTION("""COMPUTED_VALUE"""),13.1)</f>
        <v>13.1</v>
      </c>
    </row>
    <row r="3566">
      <c r="A3566">
        <f>IFERROR(__xludf.DUMMYFUNCTION("""COMPUTED_VALUE"""),782709.0)</f>
        <v>782709</v>
      </c>
      <c r="B3566" t="str">
        <f>IFERROR(__xludf.DUMMYFUNCTION("""COMPUTED_VALUE"""),"Whiting Coated Baked Or Broiled Made With Cooking Spray")</f>
        <v>Whiting Coated Baked Or Broiled Made With Cooking Spray</v>
      </c>
      <c r="C3566" t="str">
        <f>IFERROR(__xludf.DUMMYFUNCTION("""COMPUTED_VALUE"""),"Fish")</f>
        <v>Fish</v>
      </c>
      <c r="D3566">
        <f>IFERROR(__xludf.DUMMYFUNCTION("""COMPUTED_VALUE"""),161.0)</f>
        <v>161</v>
      </c>
      <c r="E3566">
        <f>IFERROR(__xludf.DUMMYFUNCTION("""COMPUTED_VALUE"""),2.35)</f>
        <v>2.35</v>
      </c>
      <c r="F3566">
        <f>IFERROR(__xludf.DUMMYFUNCTION("""COMPUTED_VALUE"""),20.22)</f>
        <v>20.22</v>
      </c>
      <c r="G3566">
        <f>IFERROR(__xludf.DUMMYFUNCTION("""COMPUTED_VALUE"""),13.14)</f>
        <v>13.14</v>
      </c>
    </row>
    <row r="3567">
      <c r="A3567">
        <f>IFERROR(__xludf.DUMMYFUNCTION("""COMPUTED_VALUE"""),782710.0)</f>
        <v>782710</v>
      </c>
      <c r="B3567" t="str">
        <f>IFERROR(__xludf.DUMMYFUNCTION("""COMPUTED_VALUE"""),"Whiting Coated Fried Made With Oil")</f>
        <v>Whiting Coated Fried Made With Oil</v>
      </c>
      <c r="C3567" t="str">
        <f>IFERROR(__xludf.DUMMYFUNCTION("""COMPUTED_VALUE"""),"Fish")</f>
        <v>Fish</v>
      </c>
      <c r="D3567">
        <f>IFERROR(__xludf.DUMMYFUNCTION("""COMPUTED_VALUE"""),221.0)</f>
        <v>221</v>
      </c>
      <c r="E3567">
        <f>IFERROR(__xludf.DUMMYFUNCTION("""COMPUTED_VALUE"""),11.45)</f>
        <v>11.45</v>
      </c>
      <c r="F3567">
        <f>IFERROR(__xludf.DUMMYFUNCTION("""COMPUTED_VALUE"""),18.62)</f>
        <v>18.62</v>
      </c>
      <c r="G3567">
        <f>IFERROR(__xludf.DUMMYFUNCTION("""COMPUTED_VALUE"""),9.85)</f>
        <v>9.85</v>
      </c>
    </row>
    <row r="3568">
      <c r="A3568">
        <f>IFERROR(__xludf.DUMMYFUNCTION("""COMPUTED_VALUE"""),782711.0)</f>
        <v>782711</v>
      </c>
      <c r="B3568" t="str">
        <f>IFERROR(__xludf.DUMMYFUNCTION("""COMPUTED_VALUE"""),"Whiting Coated Fried Made With Butter")</f>
        <v>Whiting Coated Fried Made With Butter</v>
      </c>
      <c r="C3568" t="str">
        <f>IFERROR(__xludf.DUMMYFUNCTION("""COMPUTED_VALUE"""),"Fish")</f>
        <v>Fish</v>
      </c>
      <c r="D3568">
        <f>IFERROR(__xludf.DUMMYFUNCTION("""COMPUTED_VALUE"""),206.0)</f>
        <v>206</v>
      </c>
      <c r="E3568">
        <f>IFERROR(__xludf.DUMMYFUNCTION("""COMPUTED_VALUE"""),9.8)</f>
        <v>9.8</v>
      </c>
      <c r="F3568">
        <f>IFERROR(__xludf.DUMMYFUNCTION("""COMPUTED_VALUE"""),18.7)</f>
        <v>18.7</v>
      </c>
      <c r="G3568">
        <f>IFERROR(__xludf.DUMMYFUNCTION("""COMPUTED_VALUE"""),9.86)</f>
        <v>9.86</v>
      </c>
    </row>
    <row r="3569">
      <c r="A3569">
        <f>IFERROR(__xludf.DUMMYFUNCTION("""COMPUTED_VALUE"""),782712.0)</f>
        <v>782712</v>
      </c>
      <c r="B3569" t="str">
        <f>IFERROR(__xludf.DUMMYFUNCTION("""COMPUTED_VALUE"""),"Whiting Coated Fried Made With Margarine")</f>
        <v>Whiting Coated Fried Made With Margarine</v>
      </c>
      <c r="C3569" t="str">
        <f>IFERROR(__xludf.DUMMYFUNCTION("""COMPUTED_VALUE"""),"Fish")</f>
        <v>Fish</v>
      </c>
      <c r="D3569">
        <f>IFERROR(__xludf.DUMMYFUNCTION("""COMPUTED_VALUE"""),190.0)</f>
        <v>190</v>
      </c>
      <c r="E3569">
        <f>IFERROR(__xludf.DUMMYFUNCTION("""COMPUTED_VALUE"""),7.94)</f>
        <v>7.94</v>
      </c>
      <c r="F3569">
        <f>IFERROR(__xludf.DUMMYFUNCTION("""COMPUTED_VALUE"""),18.64)</f>
        <v>18.64</v>
      </c>
      <c r="G3569">
        <f>IFERROR(__xludf.DUMMYFUNCTION("""COMPUTED_VALUE"""),9.93)</f>
        <v>9.93</v>
      </c>
    </row>
    <row r="3570">
      <c r="A3570">
        <f>IFERROR(__xludf.DUMMYFUNCTION("""COMPUTED_VALUE"""),782713.0)</f>
        <v>782713</v>
      </c>
      <c r="B3570" t="str">
        <f>IFERROR(__xludf.DUMMYFUNCTION("""COMPUTED_VALUE"""),"Whiting Coated Fried Made Without Fat")</f>
        <v>Whiting Coated Fried Made Without Fat</v>
      </c>
      <c r="C3570" t="str">
        <f>IFERROR(__xludf.DUMMYFUNCTION("""COMPUTED_VALUE"""),"Fish")</f>
        <v>Fish</v>
      </c>
      <c r="D3570">
        <f>IFERROR(__xludf.DUMMYFUNCTION("""COMPUTED_VALUE"""),169.0)</f>
        <v>169</v>
      </c>
      <c r="E3570">
        <f>IFERROR(__xludf.DUMMYFUNCTION("""COMPUTED_VALUE"""),3.22)</f>
        <v>3.22</v>
      </c>
      <c r="F3570">
        <f>IFERROR(__xludf.DUMMYFUNCTION("""COMPUTED_VALUE"""),21.92)</f>
        <v>21.92</v>
      </c>
      <c r="G3570">
        <f>IFERROR(__xludf.DUMMYFUNCTION("""COMPUTED_VALUE"""),11.6)</f>
        <v>11.6</v>
      </c>
    </row>
    <row r="3571">
      <c r="A3571">
        <f>IFERROR(__xludf.DUMMYFUNCTION("""COMPUTED_VALUE"""),782714.0)</f>
        <v>782714</v>
      </c>
      <c r="B3571" t="str">
        <f>IFERROR(__xludf.DUMMYFUNCTION("""COMPUTED_VALUE"""),"Whiting Coated Fried Made With Cooking Spray")</f>
        <v>Whiting Coated Fried Made With Cooking Spray</v>
      </c>
      <c r="C3571" t="str">
        <f>IFERROR(__xludf.DUMMYFUNCTION("""COMPUTED_VALUE"""),"Fish")</f>
        <v>Fish</v>
      </c>
      <c r="D3571">
        <f>IFERROR(__xludf.DUMMYFUNCTION("""COMPUTED_VALUE"""),172.0)</f>
        <v>172</v>
      </c>
      <c r="E3571">
        <f>IFERROR(__xludf.DUMMYFUNCTION("""COMPUTED_VALUE"""),3.52)</f>
        <v>3.52</v>
      </c>
      <c r="F3571">
        <f>IFERROR(__xludf.DUMMYFUNCTION("""COMPUTED_VALUE"""),21.85)</f>
        <v>21.85</v>
      </c>
      <c r="G3571">
        <f>IFERROR(__xludf.DUMMYFUNCTION("""COMPUTED_VALUE"""),11.64)</f>
        <v>11.64</v>
      </c>
    </row>
    <row r="3572">
      <c r="A3572">
        <f>IFERROR(__xludf.DUMMYFUNCTION("""COMPUTED_VALUE"""),782715.0)</f>
        <v>782715</v>
      </c>
      <c r="B3572" t="str">
        <f>IFERROR(__xludf.DUMMYFUNCTION("""COMPUTED_VALUE"""),"Whiting Steamed Or Poached")</f>
        <v>Whiting Steamed Or Poached</v>
      </c>
      <c r="C3572" t="str">
        <f>IFERROR(__xludf.DUMMYFUNCTION("""COMPUTED_VALUE"""),"Fish")</f>
        <v>Fish</v>
      </c>
      <c r="D3572">
        <f>IFERROR(__xludf.DUMMYFUNCTION("""COMPUTED_VALUE"""),113.0)</f>
        <v>113</v>
      </c>
      <c r="E3572">
        <f>IFERROR(__xludf.DUMMYFUNCTION("""COMPUTED_VALUE"""),1.65)</f>
        <v>1.65</v>
      </c>
      <c r="F3572">
        <f>IFERROR(__xludf.DUMMYFUNCTION("""COMPUTED_VALUE"""),23.02)</f>
        <v>23.02</v>
      </c>
      <c r="G3572">
        <f>IFERROR(__xludf.DUMMYFUNCTION("""COMPUTED_VALUE"""),0.0)</f>
        <v>0</v>
      </c>
    </row>
    <row r="3573">
      <c r="A3573">
        <f>IFERROR(__xludf.DUMMYFUNCTION("""COMPUTED_VALUE"""),782716.0)</f>
        <v>782716</v>
      </c>
      <c r="B3573" t="str">
        <f>IFERROR(__xludf.DUMMYFUNCTION("""COMPUTED_VALUE"""),"Tilapia Cooked Ns As To Cooking Method")</f>
        <v>Tilapia Cooked Ns As To Cooking Method</v>
      </c>
      <c r="C3573" t="str">
        <f>IFERROR(__xludf.DUMMYFUNCTION("""COMPUTED_VALUE"""),"Fish")</f>
        <v>Fish</v>
      </c>
      <c r="D3573">
        <f>IFERROR(__xludf.DUMMYFUNCTION("""COMPUTED_VALUE"""),150.0)</f>
        <v>150</v>
      </c>
      <c r="E3573">
        <f>IFERROR(__xludf.DUMMYFUNCTION("""COMPUTED_VALUE"""),5.76)</f>
        <v>5.76</v>
      </c>
      <c r="F3573">
        <f>IFERROR(__xludf.DUMMYFUNCTION("""COMPUTED_VALUE"""),24.57)</f>
        <v>24.57</v>
      </c>
      <c r="G3573">
        <f>IFERROR(__xludf.DUMMYFUNCTION("""COMPUTED_VALUE"""),0.1)</f>
        <v>0.1</v>
      </c>
    </row>
    <row r="3574">
      <c r="A3574">
        <f>IFERROR(__xludf.DUMMYFUNCTION("""COMPUTED_VALUE"""),782717.0)</f>
        <v>782717</v>
      </c>
      <c r="B3574" t="str">
        <f>IFERROR(__xludf.DUMMYFUNCTION("""COMPUTED_VALUE"""),"Tilapia Baked Or Broiled Made With Oil")</f>
        <v>Tilapia Baked Or Broiled Made With Oil</v>
      </c>
      <c r="C3574" t="str">
        <f>IFERROR(__xludf.DUMMYFUNCTION("""COMPUTED_VALUE"""),"Fish")</f>
        <v>Fish</v>
      </c>
      <c r="D3574">
        <f>IFERROR(__xludf.DUMMYFUNCTION("""COMPUTED_VALUE"""),150.0)</f>
        <v>150</v>
      </c>
      <c r="E3574">
        <f>IFERROR(__xludf.DUMMYFUNCTION("""COMPUTED_VALUE"""),5.76)</f>
        <v>5.76</v>
      </c>
      <c r="F3574">
        <f>IFERROR(__xludf.DUMMYFUNCTION("""COMPUTED_VALUE"""),24.57)</f>
        <v>24.57</v>
      </c>
      <c r="G3574">
        <f>IFERROR(__xludf.DUMMYFUNCTION("""COMPUTED_VALUE"""),0.1)</f>
        <v>0.1</v>
      </c>
    </row>
    <row r="3575">
      <c r="A3575">
        <f>IFERROR(__xludf.DUMMYFUNCTION("""COMPUTED_VALUE"""),782718.0)</f>
        <v>782718</v>
      </c>
      <c r="B3575" t="str">
        <f>IFERROR(__xludf.DUMMYFUNCTION("""COMPUTED_VALUE"""),"Tilapia Baked Or Broiled Made With Butter")</f>
        <v>Tilapia Baked Or Broiled Made With Butter</v>
      </c>
      <c r="C3575" t="str">
        <f>IFERROR(__xludf.DUMMYFUNCTION("""COMPUTED_VALUE"""),"Fish")</f>
        <v>Fish</v>
      </c>
      <c r="D3575">
        <f>IFERROR(__xludf.DUMMYFUNCTION("""COMPUTED_VALUE"""),145.0)</f>
        <v>145</v>
      </c>
      <c r="E3575">
        <f>IFERROR(__xludf.DUMMYFUNCTION("""COMPUTED_VALUE"""),5.18)</f>
        <v>5.18</v>
      </c>
      <c r="F3575">
        <f>IFERROR(__xludf.DUMMYFUNCTION("""COMPUTED_VALUE"""),24.57)</f>
        <v>24.57</v>
      </c>
      <c r="G3575">
        <f>IFERROR(__xludf.DUMMYFUNCTION("""COMPUTED_VALUE"""),0.1)</f>
        <v>0.1</v>
      </c>
    </row>
    <row r="3576">
      <c r="A3576">
        <f>IFERROR(__xludf.DUMMYFUNCTION("""COMPUTED_VALUE"""),782719.0)</f>
        <v>782719</v>
      </c>
      <c r="B3576" t="str">
        <f>IFERROR(__xludf.DUMMYFUNCTION("""COMPUTED_VALUE"""),"Tilapia Baked Or Broiled Made With Margarine")</f>
        <v>Tilapia Baked Or Broiled Made With Margarine</v>
      </c>
      <c r="C3576" t="str">
        <f>IFERROR(__xludf.DUMMYFUNCTION("""COMPUTED_VALUE"""),"Fish")</f>
        <v>Fish</v>
      </c>
      <c r="D3576">
        <f>IFERROR(__xludf.DUMMYFUNCTION("""COMPUTED_VALUE"""),138.0)</f>
        <v>138</v>
      </c>
      <c r="E3576">
        <f>IFERROR(__xludf.DUMMYFUNCTION("""COMPUTED_VALUE"""),4.38)</f>
        <v>4.38</v>
      </c>
      <c r="F3576">
        <f>IFERROR(__xludf.DUMMYFUNCTION("""COMPUTED_VALUE"""),24.54)</f>
        <v>24.54</v>
      </c>
      <c r="G3576">
        <f>IFERROR(__xludf.DUMMYFUNCTION("""COMPUTED_VALUE"""),0.13)</f>
        <v>0.13</v>
      </c>
    </row>
    <row r="3577">
      <c r="A3577">
        <f>IFERROR(__xludf.DUMMYFUNCTION("""COMPUTED_VALUE"""),782720.0)</f>
        <v>782720</v>
      </c>
      <c r="B3577" t="str">
        <f>IFERROR(__xludf.DUMMYFUNCTION("""COMPUTED_VALUE"""),"Tilapia Baked Or Broiled Made Without Fat")</f>
        <v>Tilapia Baked Or Broiled Made Without Fat</v>
      </c>
      <c r="C3577" t="str">
        <f>IFERROR(__xludf.DUMMYFUNCTION("""COMPUTED_VALUE"""),"Fish")</f>
        <v>Fish</v>
      </c>
      <c r="D3577">
        <f>IFERROR(__xludf.DUMMYFUNCTION("""COMPUTED_VALUE"""),121.0)</f>
        <v>121</v>
      </c>
      <c r="E3577">
        <f>IFERROR(__xludf.DUMMYFUNCTION("""COMPUTED_VALUE"""),2.14)</f>
        <v>2.14</v>
      </c>
      <c r="F3577">
        <f>IFERROR(__xludf.DUMMYFUNCTION("""COMPUTED_VALUE"""),25.29)</f>
        <v>25.29</v>
      </c>
      <c r="G3577">
        <f>IFERROR(__xludf.DUMMYFUNCTION("""COMPUTED_VALUE"""),0.1)</f>
        <v>0.1</v>
      </c>
    </row>
    <row r="3578">
      <c r="A3578">
        <f>IFERROR(__xludf.DUMMYFUNCTION("""COMPUTED_VALUE"""),782721.0)</f>
        <v>782721</v>
      </c>
      <c r="B3578" t="str">
        <f>IFERROR(__xludf.DUMMYFUNCTION("""COMPUTED_VALUE"""),"Tilapia Baked Or Broiled Made With Cooking Spray")</f>
        <v>Tilapia Baked Or Broiled Made With Cooking Spray</v>
      </c>
      <c r="C3578" t="str">
        <f>IFERROR(__xludf.DUMMYFUNCTION("""COMPUTED_VALUE"""),"Fish")</f>
        <v>Fish</v>
      </c>
      <c r="D3578">
        <f>IFERROR(__xludf.DUMMYFUNCTION("""COMPUTED_VALUE"""),125.0)</f>
        <v>125</v>
      </c>
      <c r="E3578">
        <f>IFERROR(__xludf.DUMMYFUNCTION("""COMPUTED_VALUE"""),2.53)</f>
        <v>2.53</v>
      </c>
      <c r="F3578">
        <f>IFERROR(__xludf.DUMMYFUNCTION("""COMPUTED_VALUE"""),25.2)</f>
        <v>25.2</v>
      </c>
      <c r="G3578">
        <f>IFERROR(__xludf.DUMMYFUNCTION("""COMPUTED_VALUE"""),0.2)</f>
        <v>0.2</v>
      </c>
    </row>
    <row r="3579">
      <c r="A3579">
        <f>IFERROR(__xludf.DUMMYFUNCTION("""COMPUTED_VALUE"""),782722.0)</f>
        <v>782722</v>
      </c>
      <c r="B3579" t="str">
        <f>IFERROR(__xludf.DUMMYFUNCTION("""COMPUTED_VALUE"""),"Tilapia Coated Baked Or Broiled Made  With Oil")</f>
        <v>Tilapia Coated Baked Or Broiled Made  With Oil</v>
      </c>
      <c r="C3579" t="str">
        <f>IFERROR(__xludf.DUMMYFUNCTION("""COMPUTED_VALUE"""),"Fish")</f>
        <v>Fish</v>
      </c>
      <c r="D3579">
        <f>IFERROR(__xludf.DUMMYFUNCTION("""COMPUTED_VALUE"""),206.0)</f>
        <v>206</v>
      </c>
      <c r="E3579">
        <f>IFERROR(__xludf.DUMMYFUNCTION("""COMPUTED_VALUE"""),7.93)</f>
        <v>7.93</v>
      </c>
      <c r="F3579">
        <f>IFERROR(__xludf.DUMMYFUNCTION("""COMPUTED_VALUE"""),21.04)</f>
        <v>21.04</v>
      </c>
      <c r="G3579">
        <f>IFERROR(__xludf.DUMMYFUNCTION("""COMPUTED_VALUE"""),12.52)</f>
        <v>12.52</v>
      </c>
    </row>
    <row r="3580">
      <c r="A3580">
        <f>IFERROR(__xludf.DUMMYFUNCTION("""COMPUTED_VALUE"""),782723.0)</f>
        <v>782723</v>
      </c>
      <c r="B3580" t="str">
        <f>IFERROR(__xludf.DUMMYFUNCTION("""COMPUTED_VALUE"""),"Tilapia Coated Baked Or Broiled Made With Butter")</f>
        <v>Tilapia Coated Baked Or Broiled Made With Butter</v>
      </c>
      <c r="C3580" t="str">
        <f>IFERROR(__xludf.DUMMYFUNCTION("""COMPUTED_VALUE"""),"Fish")</f>
        <v>Fish</v>
      </c>
      <c r="D3580">
        <f>IFERROR(__xludf.DUMMYFUNCTION("""COMPUTED_VALUE"""),198.0)</f>
        <v>198</v>
      </c>
      <c r="E3580">
        <f>IFERROR(__xludf.DUMMYFUNCTION("""COMPUTED_VALUE"""),7.05)</f>
        <v>7.05</v>
      </c>
      <c r="F3580">
        <f>IFERROR(__xludf.DUMMYFUNCTION("""COMPUTED_VALUE"""),21.05)</f>
        <v>21.05</v>
      </c>
      <c r="G3580">
        <f>IFERROR(__xludf.DUMMYFUNCTION("""COMPUTED_VALUE"""),12.5)</f>
        <v>12.5</v>
      </c>
    </row>
    <row r="3581">
      <c r="A3581">
        <f>IFERROR(__xludf.DUMMYFUNCTION("""COMPUTED_VALUE"""),782724.0)</f>
        <v>782724</v>
      </c>
      <c r="B3581" t="str">
        <f>IFERROR(__xludf.DUMMYFUNCTION("""COMPUTED_VALUE"""),"Tilapia Coated Baked Or Broiled Made With Margarine")</f>
        <v>Tilapia Coated Baked Or Broiled Made With Margarine</v>
      </c>
      <c r="C3581" t="str">
        <f>IFERROR(__xludf.DUMMYFUNCTION("""COMPUTED_VALUE"""),"Fish")</f>
        <v>Fish</v>
      </c>
      <c r="D3581">
        <f>IFERROR(__xludf.DUMMYFUNCTION("""COMPUTED_VALUE"""),188.0)</f>
        <v>188</v>
      </c>
      <c r="E3581">
        <f>IFERROR(__xludf.DUMMYFUNCTION("""COMPUTED_VALUE"""),5.83)</f>
        <v>5.83</v>
      </c>
      <c r="F3581">
        <f>IFERROR(__xludf.DUMMYFUNCTION("""COMPUTED_VALUE"""),21.0)</f>
        <v>21</v>
      </c>
      <c r="G3581">
        <f>IFERROR(__xludf.DUMMYFUNCTION("""COMPUTED_VALUE"""),12.55)</f>
        <v>12.55</v>
      </c>
    </row>
    <row r="3582">
      <c r="A3582">
        <f>IFERROR(__xludf.DUMMYFUNCTION("""COMPUTED_VALUE"""),782725.0)</f>
        <v>782725</v>
      </c>
      <c r="B3582" t="str">
        <f>IFERROR(__xludf.DUMMYFUNCTION("""COMPUTED_VALUE"""),"Tilapia Coated Baked Or Broiled Made Without Fat")</f>
        <v>Tilapia Coated Baked Or Broiled Made Without Fat</v>
      </c>
      <c r="C3582" t="str">
        <f>IFERROR(__xludf.DUMMYFUNCTION("""COMPUTED_VALUE"""),"Fish")</f>
        <v>Fish</v>
      </c>
      <c r="D3582">
        <f>IFERROR(__xludf.DUMMYFUNCTION("""COMPUTED_VALUE"""),164.0)</f>
        <v>164</v>
      </c>
      <c r="E3582">
        <f>IFERROR(__xludf.DUMMYFUNCTION("""COMPUTED_VALUE"""),2.43)</f>
        <v>2.43</v>
      </c>
      <c r="F3582">
        <f>IFERROR(__xludf.DUMMYFUNCTION("""COMPUTED_VALUE"""),22.0)</f>
        <v>22</v>
      </c>
      <c r="G3582">
        <f>IFERROR(__xludf.DUMMYFUNCTION("""COMPUTED_VALUE"""),13.1)</f>
        <v>13.1</v>
      </c>
    </row>
    <row r="3583">
      <c r="A3583">
        <f>IFERROR(__xludf.DUMMYFUNCTION("""COMPUTED_VALUE"""),782726.0)</f>
        <v>782726</v>
      </c>
      <c r="B3583" t="str">
        <f>IFERROR(__xludf.DUMMYFUNCTION("""COMPUTED_VALUE"""),"Tilapia Coated Baked Or Broiled Made With Cooking Spray")</f>
        <v>Tilapia Coated Baked Or Broiled Made With Cooking Spray</v>
      </c>
      <c r="C3583" t="str">
        <f>IFERROR(__xludf.DUMMYFUNCTION("""COMPUTED_VALUE"""),"Fish")</f>
        <v>Fish</v>
      </c>
      <c r="D3583">
        <f>IFERROR(__xludf.DUMMYFUNCTION("""COMPUTED_VALUE"""),166.0)</f>
        <v>166</v>
      </c>
      <c r="E3583">
        <f>IFERROR(__xludf.DUMMYFUNCTION("""COMPUTED_VALUE"""),2.73)</f>
        <v>2.73</v>
      </c>
      <c r="F3583">
        <f>IFERROR(__xludf.DUMMYFUNCTION("""COMPUTED_VALUE"""),21.94)</f>
        <v>21.94</v>
      </c>
      <c r="G3583">
        <f>IFERROR(__xludf.DUMMYFUNCTION("""COMPUTED_VALUE"""),13.14)</f>
        <v>13.14</v>
      </c>
    </row>
    <row r="3584">
      <c r="A3584">
        <f>IFERROR(__xludf.DUMMYFUNCTION("""COMPUTED_VALUE"""),782727.0)</f>
        <v>782727</v>
      </c>
      <c r="B3584" t="str">
        <f>IFERROR(__xludf.DUMMYFUNCTION("""COMPUTED_VALUE"""),"Tilapia Coated Fried Made With Oil")</f>
        <v>Tilapia Coated Fried Made With Oil</v>
      </c>
      <c r="C3584" t="str">
        <f>IFERROR(__xludf.DUMMYFUNCTION("""COMPUTED_VALUE"""),"Fish")</f>
        <v>Fish</v>
      </c>
      <c r="D3584">
        <f>IFERROR(__xludf.DUMMYFUNCTION("""COMPUTED_VALUE"""),226.0)</f>
        <v>226</v>
      </c>
      <c r="E3584">
        <f>IFERROR(__xludf.DUMMYFUNCTION("""COMPUTED_VALUE"""),11.78)</f>
        <v>11.78</v>
      </c>
      <c r="F3584">
        <f>IFERROR(__xludf.DUMMYFUNCTION("""COMPUTED_VALUE"""),20.14)</f>
        <v>20.14</v>
      </c>
      <c r="G3584">
        <f>IFERROR(__xludf.DUMMYFUNCTION("""COMPUTED_VALUE"""),9.85)</f>
        <v>9.85</v>
      </c>
    </row>
    <row r="3585">
      <c r="A3585">
        <f>IFERROR(__xludf.DUMMYFUNCTION("""COMPUTED_VALUE"""),782728.0)</f>
        <v>782728</v>
      </c>
      <c r="B3585" t="str">
        <f>IFERROR(__xludf.DUMMYFUNCTION("""COMPUTED_VALUE"""),"Tilapia Coated Fried Made With Butter")</f>
        <v>Tilapia Coated Fried Made With Butter</v>
      </c>
      <c r="C3585" t="str">
        <f>IFERROR(__xludf.DUMMYFUNCTION("""COMPUTED_VALUE"""),"Fish")</f>
        <v>Fish</v>
      </c>
      <c r="D3585">
        <f>IFERROR(__xludf.DUMMYFUNCTION("""COMPUTED_VALUE"""),212.0)</f>
        <v>212</v>
      </c>
      <c r="E3585">
        <f>IFERROR(__xludf.DUMMYFUNCTION("""COMPUTED_VALUE"""),10.13)</f>
        <v>10.13</v>
      </c>
      <c r="F3585">
        <f>IFERROR(__xludf.DUMMYFUNCTION("""COMPUTED_VALUE"""),20.21)</f>
        <v>20.21</v>
      </c>
      <c r="G3585">
        <f>IFERROR(__xludf.DUMMYFUNCTION("""COMPUTED_VALUE"""),9.86)</f>
        <v>9.86</v>
      </c>
    </row>
    <row r="3586">
      <c r="A3586">
        <f>IFERROR(__xludf.DUMMYFUNCTION("""COMPUTED_VALUE"""),782729.0)</f>
        <v>782729</v>
      </c>
      <c r="B3586" t="str">
        <f>IFERROR(__xludf.DUMMYFUNCTION("""COMPUTED_VALUE"""),"Tilapia Coated Fried Made With Margarine")</f>
        <v>Tilapia Coated Fried Made With Margarine</v>
      </c>
      <c r="C3586" t="str">
        <f>IFERROR(__xludf.DUMMYFUNCTION("""COMPUTED_VALUE"""),"Fish")</f>
        <v>Fish</v>
      </c>
      <c r="D3586">
        <f>IFERROR(__xludf.DUMMYFUNCTION("""COMPUTED_VALUE"""),195.0)</f>
        <v>195</v>
      </c>
      <c r="E3586">
        <f>IFERROR(__xludf.DUMMYFUNCTION("""COMPUTED_VALUE"""),8.28)</f>
        <v>8.28</v>
      </c>
      <c r="F3586">
        <f>IFERROR(__xludf.DUMMYFUNCTION("""COMPUTED_VALUE"""),20.15)</f>
        <v>20.15</v>
      </c>
      <c r="G3586">
        <f>IFERROR(__xludf.DUMMYFUNCTION("""COMPUTED_VALUE"""),9.93)</f>
        <v>9.93</v>
      </c>
    </row>
    <row r="3587">
      <c r="A3587">
        <f>IFERROR(__xludf.DUMMYFUNCTION("""COMPUTED_VALUE"""),782730.0)</f>
        <v>782730</v>
      </c>
      <c r="B3587" t="str">
        <f>IFERROR(__xludf.DUMMYFUNCTION("""COMPUTED_VALUE"""),"Tilapia Coated Fried Made Without Fat")</f>
        <v>Tilapia Coated Fried Made Without Fat</v>
      </c>
      <c r="C3587" t="str">
        <f>IFERROR(__xludf.DUMMYFUNCTION("""COMPUTED_VALUE"""),"Fish")</f>
        <v>Fish</v>
      </c>
      <c r="D3587">
        <f>IFERROR(__xludf.DUMMYFUNCTION("""COMPUTED_VALUE"""),175.0)</f>
        <v>175</v>
      </c>
      <c r="E3587">
        <f>IFERROR(__xludf.DUMMYFUNCTION("""COMPUTED_VALUE"""),3.61)</f>
        <v>3.61</v>
      </c>
      <c r="F3587">
        <f>IFERROR(__xludf.DUMMYFUNCTION("""COMPUTED_VALUE"""),23.7)</f>
        <v>23.7</v>
      </c>
      <c r="G3587">
        <f>IFERROR(__xludf.DUMMYFUNCTION("""COMPUTED_VALUE"""),11.6)</f>
        <v>11.6</v>
      </c>
    </row>
    <row r="3588">
      <c r="A3588">
        <f>IFERROR(__xludf.DUMMYFUNCTION("""COMPUTED_VALUE"""),782731.0)</f>
        <v>782731</v>
      </c>
      <c r="B3588" t="str">
        <f>IFERROR(__xludf.DUMMYFUNCTION("""COMPUTED_VALUE"""),"Tilapia Coated Fried Made With Cooking Spray")</f>
        <v>Tilapia Coated Fried Made With Cooking Spray</v>
      </c>
      <c r="C3588" t="str">
        <f>IFERROR(__xludf.DUMMYFUNCTION("""COMPUTED_VALUE"""),"Fish")</f>
        <v>Fish</v>
      </c>
      <c r="D3588">
        <f>IFERROR(__xludf.DUMMYFUNCTION("""COMPUTED_VALUE"""),178.0)</f>
        <v>178</v>
      </c>
      <c r="E3588">
        <f>IFERROR(__xludf.DUMMYFUNCTION("""COMPUTED_VALUE"""),3.91)</f>
        <v>3.91</v>
      </c>
      <c r="F3588">
        <f>IFERROR(__xludf.DUMMYFUNCTION("""COMPUTED_VALUE"""),23.63)</f>
        <v>23.63</v>
      </c>
      <c r="G3588">
        <f>IFERROR(__xludf.DUMMYFUNCTION("""COMPUTED_VALUE"""),11.64)</f>
        <v>11.64</v>
      </c>
    </row>
    <row r="3589">
      <c r="A3589">
        <f>IFERROR(__xludf.DUMMYFUNCTION("""COMPUTED_VALUE"""),782732.0)</f>
        <v>782732</v>
      </c>
      <c r="B3589" t="str">
        <f>IFERROR(__xludf.DUMMYFUNCTION("""COMPUTED_VALUE"""),"Tilapia Steamed Or Poached")</f>
        <v>Tilapia Steamed Or Poached</v>
      </c>
      <c r="C3589" t="str">
        <f>IFERROR(__xludf.DUMMYFUNCTION("""COMPUTED_VALUE"""),"Fish")</f>
        <v>Fish</v>
      </c>
      <c r="D3589">
        <f>IFERROR(__xludf.DUMMYFUNCTION("""COMPUTED_VALUE"""),121.0)</f>
        <v>121</v>
      </c>
      <c r="E3589">
        <f>IFERROR(__xludf.DUMMYFUNCTION("""COMPUTED_VALUE"""),2.14)</f>
        <v>2.14</v>
      </c>
      <c r="F3589">
        <f>IFERROR(__xludf.DUMMYFUNCTION("""COMPUTED_VALUE"""),25.25)</f>
        <v>25.25</v>
      </c>
      <c r="G3589">
        <f>IFERROR(__xludf.DUMMYFUNCTION("""COMPUTED_VALUE"""),0.0)</f>
        <v>0</v>
      </c>
    </row>
    <row r="3590">
      <c r="A3590">
        <f>IFERROR(__xludf.DUMMYFUNCTION("""COMPUTED_VALUE"""),782733.0)</f>
        <v>782733</v>
      </c>
      <c r="B3590" t="str">
        <f>IFERROR(__xludf.DUMMYFUNCTION("""COMPUTED_VALUE"""),"Frog Legs Ns As To Cooking Method")</f>
        <v>Frog Legs Ns As To Cooking Method</v>
      </c>
      <c r="C3590" t="str">
        <f>IFERROR(__xludf.DUMMYFUNCTION("""COMPUTED_VALUE"""),"Fish")</f>
        <v>Fish</v>
      </c>
      <c r="D3590">
        <f>IFERROR(__xludf.DUMMYFUNCTION("""COMPUTED_VALUE"""),214.0)</f>
        <v>214</v>
      </c>
      <c r="E3590">
        <f>IFERROR(__xludf.DUMMYFUNCTION("""COMPUTED_VALUE"""),10.97)</f>
        <v>10.97</v>
      </c>
      <c r="F3590">
        <f>IFERROR(__xludf.DUMMYFUNCTION("""COMPUTED_VALUE"""),17.62)</f>
        <v>17.62</v>
      </c>
      <c r="G3590">
        <f>IFERROR(__xludf.DUMMYFUNCTION("""COMPUTED_VALUE"""),10.21)</f>
        <v>10.21</v>
      </c>
    </row>
    <row r="3591">
      <c r="A3591">
        <f>IFERROR(__xludf.DUMMYFUNCTION("""COMPUTED_VALUE"""),782734.0)</f>
        <v>782734</v>
      </c>
      <c r="B3591" t="str">
        <f>IFERROR(__xludf.DUMMYFUNCTION("""COMPUTED_VALUE"""),"Frog Legs Steamed")</f>
        <v>Frog Legs Steamed</v>
      </c>
      <c r="C3591" t="str">
        <f>IFERROR(__xludf.DUMMYFUNCTION("""COMPUTED_VALUE"""),"Fish")</f>
        <v>Fish</v>
      </c>
      <c r="D3591">
        <f>IFERROR(__xludf.DUMMYFUNCTION("""COMPUTED_VALUE"""),92.0)</f>
        <v>92</v>
      </c>
      <c r="E3591">
        <f>IFERROR(__xludf.DUMMYFUNCTION("""COMPUTED_VALUE"""),0.38)</f>
        <v>0.38</v>
      </c>
      <c r="F3591">
        <f>IFERROR(__xludf.DUMMYFUNCTION("""COMPUTED_VALUE"""),20.62)</f>
        <v>20.62</v>
      </c>
      <c r="G3591">
        <f>IFERROR(__xludf.DUMMYFUNCTION("""COMPUTED_VALUE"""),0.0)</f>
        <v>0</v>
      </c>
    </row>
    <row r="3592">
      <c r="A3592">
        <f>IFERROR(__xludf.DUMMYFUNCTION("""COMPUTED_VALUE"""),782735.0)</f>
        <v>782735</v>
      </c>
      <c r="B3592" t="str">
        <f>IFERROR(__xludf.DUMMYFUNCTION("""COMPUTED_VALUE"""),"Octopus Cooked Ns As To Cooking Method")</f>
        <v>Octopus Cooked Ns As To Cooking Method</v>
      </c>
      <c r="C3592" t="str">
        <f>IFERROR(__xludf.DUMMYFUNCTION("""COMPUTED_VALUE"""),"Fish")</f>
        <v>Fish</v>
      </c>
      <c r="D3592">
        <f>IFERROR(__xludf.DUMMYFUNCTION("""COMPUTED_VALUE"""),222.0)</f>
        <v>222</v>
      </c>
      <c r="E3592">
        <f>IFERROR(__xludf.DUMMYFUNCTION("""COMPUTED_VALUE"""),11.63)</f>
        <v>11.63</v>
      </c>
      <c r="F3592">
        <f>IFERROR(__xludf.DUMMYFUNCTION("""COMPUTED_VALUE"""),16.3)</f>
        <v>16.3</v>
      </c>
      <c r="G3592">
        <f>IFERROR(__xludf.DUMMYFUNCTION("""COMPUTED_VALUE"""),12.16)</f>
        <v>12.16</v>
      </c>
    </row>
    <row r="3593">
      <c r="A3593">
        <f>IFERROR(__xludf.DUMMYFUNCTION("""COMPUTED_VALUE"""),782736.0)</f>
        <v>782736</v>
      </c>
      <c r="B3593" t="str">
        <f>IFERROR(__xludf.DUMMYFUNCTION("""COMPUTED_VALUE"""),"Octopus Steamed")</f>
        <v>Octopus Steamed</v>
      </c>
      <c r="C3593" t="str">
        <f>IFERROR(__xludf.DUMMYFUNCTION("""COMPUTED_VALUE"""),"Fish")</f>
        <v>Fish</v>
      </c>
      <c r="D3593">
        <f>IFERROR(__xludf.DUMMYFUNCTION("""COMPUTED_VALUE"""),163.0)</f>
        <v>163</v>
      </c>
      <c r="E3593">
        <f>IFERROR(__xludf.DUMMYFUNCTION("""COMPUTED_VALUE"""),2.07)</f>
        <v>2.07</v>
      </c>
      <c r="F3593">
        <f>IFERROR(__xludf.DUMMYFUNCTION("""COMPUTED_VALUE"""),29.62)</f>
        <v>29.62</v>
      </c>
      <c r="G3593">
        <f>IFERROR(__xludf.DUMMYFUNCTION("""COMPUTED_VALUE"""),4.37)</f>
        <v>4.37</v>
      </c>
    </row>
    <row r="3594">
      <c r="A3594">
        <f>IFERROR(__xludf.DUMMYFUNCTION("""COMPUTED_VALUE"""),782737.0)</f>
        <v>782737</v>
      </c>
      <c r="B3594" t="str">
        <f>IFERROR(__xludf.DUMMYFUNCTION("""COMPUTED_VALUE"""),"Octopus Dried")</f>
        <v>Octopus Dried</v>
      </c>
      <c r="C3594" t="str">
        <f>IFERROR(__xludf.DUMMYFUNCTION("""COMPUTED_VALUE"""),"Fish")</f>
        <v>Fish</v>
      </c>
      <c r="D3594">
        <f>IFERROR(__xludf.DUMMYFUNCTION("""COMPUTED_VALUE"""),311.0)</f>
        <v>311</v>
      </c>
      <c r="E3594">
        <f>IFERROR(__xludf.DUMMYFUNCTION("""COMPUTED_VALUE"""),3.94)</f>
        <v>3.94</v>
      </c>
      <c r="F3594">
        <f>IFERROR(__xludf.DUMMYFUNCTION("""COMPUTED_VALUE"""),56.52)</f>
        <v>56.52</v>
      </c>
      <c r="G3594">
        <f>IFERROR(__xludf.DUMMYFUNCTION("""COMPUTED_VALUE"""),8.34)</f>
        <v>8.34</v>
      </c>
    </row>
    <row r="3595">
      <c r="A3595">
        <f>IFERROR(__xludf.DUMMYFUNCTION("""COMPUTED_VALUE"""),782738.0)</f>
        <v>782738</v>
      </c>
      <c r="B3595" t="str">
        <f>IFERROR(__xludf.DUMMYFUNCTION("""COMPUTED_VALUE"""),"Octopus Dried Boiled")</f>
        <v>Octopus Dried Boiled</v>
      </c>
      <c r="C3595" t="str">
        <f>IFERROR(__xludf.DUMMYFUNCTION("""COMPUTED_VALUE"""),"Fish")</f>
        <v>Fish</v>
      </c>
      <c r="D3595">
        <f>IFERROR(__xludf.DUMMYFUNCTION("""COMPUTED_VALUE"""),163.0)</f>
        <v>163</v>
      </c>
      <c r="E3595">
        <f>IFERROR(__xludf.DUMMYFUNCTION("""COMPUTED_VALUE"""),2.07)</f>
        <v>2.07</v>
      </c>
      <c r="F3595">
        <f>IFERROR(__xludf.DUMMYFUNCTION("""COMPUTED_VALUE"""),29.69)</f>
        <v>29.69</v>
      </c>
      <c r="G3595">
        <f>IFERROR(__xludf.DUMMYFUNCTION("""COMPUTED_VALUE"""),4.38)</f>
        <v>4.38</v>
      </c>
    </row>
    <row r="3596">
      <c r="A3596">
        <f>IFERROR(__xludf.DUMMYFUNCTION("""COMPUTED_VALUE"""),782739.0)</f>
        <v>782739</v>
      </c>
      <c r="B3596" t="str">
        <f>IFERROR(__xludf.DUMMYFUNCTION("""COMPUTED_VALUE"""),"Octopus Smoked")</f>
        <v>Octopus Smoked</v>
      </c>
      <c r="C3596" t="str">
        <f>IFERROR(__xludf.DUMMYFUNCTION("""COMPUTED_VALUE"""),"Fish")</f>
        <v>Fish</v>
      </c>
      <c r="D3596">
        <f>IFERROR(__xludf.DUMMYFUNCTION("""COMPUTED_VALUE"""),164.0)</f>
        <v>164</v>
      </c>
      <c r="E3596">
        <f>IFERROR(__xludf.DUMMYFUNCTION("""COMPUTED_VALUE"""),2.08)</f>
        <v>2.08</v>
      </c>
      <c r="F3596">
        <f>IFERROR(__xludf.DUMMYFUNCTION("""COMPUTED_VALUE"""),29.82)</f>
        <v>29.82</v>
      </c>
      <c r="G3596">
        <f>IFERROR(__xludf.DUMMYFUNCTION("""COMPUTED_VALUE"""),4.4)</f>
        <v>4.4</v>
      </c>
    </row>
    <row r="3597">
      <c r="A3597">
        <f>IFERROR(__xludf.DUMMYFUNCTION("""COMPUTED_VALUE"""),782740.0)</f>
        <v>782740</v>
      </c>
      <c r="B3597" t="str">
        <f>IFERROR(__xludf.DUMMYFUNCTION("""COMPUTED_VALUE"""),"Roe Shad Cooked")</f>
        <v>Roe Shad Cooked</v>
      </c>
      <c r="C3597" t="str">
        <f>IFERROR(__xludf.DUMMYFUNCTION("""COMPUTED_VALUE"""),"Fish")</f>
        <v>Fish</v>
      </c>
      <c r="D3597">
        <f>IFERROR(__xludf.DUMMYFUNCTION("""COMPUTED_VALUE"""),208.0)</f>
        <v>208</v>
      </c>
      <c r="E3597">
        <f>IFERROR(__xludf.DUMMYFUNCTION("""COMPUTED_VALUE"""),11.53)</f>
        <v>11.53</v>
      </c>
      <c r="F3597">
        <f>IFERROR(__xludf.DUMMYFUNCTION("""COMPUTED_VALUE"""),27.31)</f>
        <v>27.31</v>
      </c>
      <c r="G3597">
        <f>IFERROR(__xludf.DUMMYFUNCTION("""COMPUTED_VALUE"""),1.93)</f>
        <v>1.93</v>
      </c>
    </row>
    <row r="3598">
      <c r="A3598">
        <f>IFERROR(__xludf.DUMMYFUNCTION("""COMPUTED_VALUE"""),782744.0)</f>
        <v>782744</v>
      </c>
      <c r="B3598" t="str">
        <f>IFERROR(__xludf.DUMMYFUNCTION("""COMPUTED_VALUE"""),"Squid Baked Or Broiled Fat Added In Cooking")</f>
        <v>Squid Baked Or Broiled Fat Added In Cooking</v>
      </c>
      <c r="C3598" t="str">
        <f>IFERROR(__xludf.DUMMYFUNCTION("""COMPUTED_VALUE"""),"Fish")</f>
        <v>Fish</v>
      </c>
      <c r="D3598">
        <f>IFERROR(__xludf.DUMMYFUNCTION("""COMPUTED_VALUE"""),142.0)</f>
        <v>142</v>
      </c>
      <c r="E3598">
        <f>IFERROR(__xludf.DUMMYFUNCTION("""COMPUTED_VALUE"""),5.23)</f>
        <v>5.23</v>
      </c>
      <c r="F3598">
        <f>IFERROR(__xludf.DUMMYFUNCTION("""COMPUTED_VALUE"""),18.59)</f>
        <v>18.59</v>
      </c>
      <c r="G3598">
        <f>IFERROR(__xludf.DUMMYFUNCTION("""COMPUTED_VALUE"""),3.77)</f>
        <v>3.77</v>
      </c>
    </row>
    <row r="3599">
      <c r="A3599">
        <f>IFERROR(__xludf.DUMMYFUNCTION("""COMPUTED_VALUE"""),782745.0)</f>
        <v>782745</v>
      </c>
      <c r="B3599" t="str">
        <f>IFERROR(__xludf.DUMMYFUNCTION("""COMPUTED_VALUE"""),"Squid Baked Or Broiled Fat Not Added In Cooking")</f>
        <v>Squid Baked Or Broiled Fat Not Added In Cooking</v>
      </c>
      <c r="C3599" t="str">
        <f>IFERROR(__xludf.DUMMYFUNCTION("""COMPUTED_VALUE"""),"Fish")</f>
        <v>Fish</v>
      </c>
      <c r="D3599">
        <f>IFERROR(__xludf.DUMMYFUNCTION("""COMPUTED_VALUE"""),113.0)</f>
        <v>113</v>
      </c>
      <c r="E3599">
        <f>IFERROR(__xludf.DUMMYFUNCTION("""COMPUTED_VALUE"""),1.7)</f>
        <v>1.7</v>
      </c>
      <c r="F3599">
        <f>IFERROR(__xludf.DUMMYFUNCTION("""COMPUTED_VALUE"""),19.14)</f>
        <v>19.14</v>
      </c>
      <c r="G3599">
        <f>IFERROR(__xludf.DUMMYFUNCTION("""COMPUTED_VALUE"""),3.88)</f>
        <v>3.88</v>
      </c>
    </row>
    <row r="3600">
      <c r="A3600">
        <f>IFERROR(__xludf.DUMMYFUNCTION("""COMPUTED_VALUE"""),782746.0)</f>
        <v>782746</v>
      </c>
      <c r="B3600" t="str">
        <f>IFERROR(__xludf.DUMMYFUNCTION("""COMPUTED_VALUE"""),"Squid Coated Baked Or Broiled Fat Added In Cooking")</f>
        <v>Squid Coated Baked Or Broiled Fat Added In Cooking</v>
      </c>
      <c r="C3600" t="str">
        <f>IFERROR(__xludf.DUMMYFUNCTION("""COMPUTED_VALUE"""),"Fish")</f>
        <v>Fish</v>
      </c>
      <c r="D3600">
        <f>IFERROR(__xludf.DUMMYFUNCTION("""COMPUTED_VALUE"""),198.0)</f>
        <v>198</v>
      </c>
      <c r="E3600">
        <f>IFERROR(__xludf.DUMMYFUNCTION("""COMPUTED_VALUE"""),7.44)</f>
        <v>7.44</v>
      </c>
      <c r="F3600">
        <f>IFERROR(__xludf.DUMMYFUNCTION("""COMPUTED_VALUE"""),16.42)</f>
        <v>16.42</v>
      </c>
      <c r="G3600">
        <f>IFERROR(__xludf.DUMMYFUNCTION("""COMPUTED_VALUE"""),15.01)</f>
        <v>15.01</v>
      </c>
    </row>
    <row r="3601">
      <c r="A3601">
        <f>IFERROR(__xludf.DUMMYFUNCTION("""COMPUTED_VALUE"""),782747.0)</f>
        <v>782747</v>
      </c>
      <c r="B3601" t="str">
        <f>IFERROR(__xludf.DUMMYFUNCTION("""COMPUTED_VALUE"""),"Squid Coated Baked Or Broiled Fat Not Added In Cooking")</f>
        <v>Squid Coated Baked Or Broiled Fat Not Added In Cooking</v>
      </c>
      <c r="C3601" t="str">
        <f>IFERROR(__xludf.DUMMYFUNCTION("""COMPUTED_VALUE"""),"Fish")</f>
        <v>Fish</v>
      </c>
      <c r="D3601">
        <f>IFERROR(__xludf.DUMMYFUNCTION("""COMPUTED_VALUE"""),156.0)</f>
        <v>156</v>
      </c>
      <c r="E3601">
        <f>IFERROR(__xludf.DUMMYFUNCTION("""COMPUTED_VALUE"""),2.06)</f>
        <v>2.06</v>
      </c>
      <c r="F3601">
        <f>IFERROR(__xludf.DUMMYFUNCTION("""COMPUTED_VALUE"""),17.17)</f>
        <v>17.17</v>
      </c>
      <c r="G3601">
        <f>IFERROR(__xludf.DUMMYFUNCTION("""COMPUTED_VALUE"""),15.7)</f>
        <v>15.7</v>
      </c>
    </row>
    <row r="3602">
      <c r="A3602">
        <f>IFERROR(__xludf.DUMMYFUNCTION("""COMPUTED_VALUE"""),782748.0)</f>
        <v>782748</v>
      </c>
      <c r="B3602" t="str">
        <f>IFERROR(__xludf.DUMMYFUNCTION("""COMPUTED_VALUE"""),"Squid Coated Fried")</f>
        <v>Squid Coated Fried</v>
      </c>
      <c r="C3602" t="str">
        <f>IFERROR(__xludf.DUMMYFUNCTION("""COMPUTED_VALUE"""),"Fish")</f>
        <v>Fish</v>
      </c>
      <c r="D3602">
        <f>IFERROR(__xludf.DUMMYFUNCTION("""COMPUTED_VALUE"""),231.0)</f>
        <v>231</v>
      </c>
      <c r="E3602">
        <f>IFERROR(__xludf.DUMMYFUNCTION("""COMPUTED_VALUE"""),11.93)</f>
        <v>11.93</v>
      </c>
      <c r="F3602">
        <f>IFERROR(__xludf.DUMMYFUNCTION("""COMPUTED_VALUE"""),16.89)</f>
        <v>16.89</v>
      </c>
      <c r="G3602">
        <f>IFERROR(__xludf.DUMMYFUNCTION("""COMPUTED_VALUE"""),12.94)</f>
        <v>12.94</v>
      </c>
    </row>
    <row r="3603">
      <c r="A3603">
        <f>IFERROR(__xludf.DUMMYFUNCTION("""COMPUTED_VALUE"""),782749.0)</f>
        <v>782749</v>
      </c>
      <c r="B3603" t="str">
        <f>IFERROR(__xludf.DUMMYFUNCTION("""COMPUTED_VALUE"""),"Squid Steamed Or Boiled")</f>
        <v>Squid Steamed Or Boiled</v>
      </c>
      <c r="C3603" t="str">
        <f>IFERROR(__xludf.DUMMYFUNCTION("""COMPUTED_VALUE"""),"Fish")</f>
        <v>Fish</v>
      </c>
      <c r="D3603">
        <f>IFERROR(__xludf.DUMMYFUNCTION("""COMPUTED_VALUE"""),183.0)</f>
        <v>183</v>
      </c>
      <c r="E3603">
        <f>IFERROR(__xludf.DUMMYFUNCTION("""COMPUTED_VALUE"""),2.75)</f>
        <v>2.75</v>
      </c>
      <c r="F3603">
        <f>IFERROR(__xludf.DUMMYFUNCTION("""COMPUTED_VALUE"""),31.02)</f>
        <v>31.02</v>
      </c>
      <c r="G3603">
        <f>IFERROR(__xludf.DUMMYFUNCTION("""COMPUTED_VALUE"""),6.13)</f>
        <v>6.13</v>
      </c>
    </row>
    <row r="3604">
      <c r="A3604">
        <f>IFERROR(__xludf.DUMMYFUNCTION("""COMPUTED_VALUE"""),782750.0)</f>
        <v>782750</v>
      </c>
      <c r="B3604" t="str">
        <f>IFERROR(__xludf.DUMMYFUNCTION("""COMPUTED_VALUE"""),"Squid Dried")</f>
        <v>Squid Dried</v>
      </c>
      <c r="C3604" t="str">
        <f>IFERROR(__xludf.DUMMYFUNCTION("""COMPUTED_VALUE"""),"Fish")</f>
        <v>Fish</v>
      </c>
      <c r="D3604">
        <f>IFERROR(__xludf.DUMMYFUNCTION("""COMPUTED_VALUE"""),348.0)</f>
        <v>348</v>
      </c>
      <c r="E3604">
        <f>IFERROR(__xludf.DUMMYFUNCTION("""COMPUTED_VALUE"""),5.22)</f>
        <v>5.22</v>
      </c>
      <c r="F3604">
        <f>IFERROR(__xludf.DUMMYFUNCTION("""COMPUTED_VALUE"""),58.94)</f>
        <v>58.94</v>
      </c>
      <c r="G3604">
        <f>IFERROR(__xludf.DUMMYFUNCTION("""COMPUTED_VALUE"""),11.65)</f>
        <v>11.65</v>
      </c>
    </row>
    <row r="3605">
      <c r="A3605">
        <f>IFERROR(__xludf.DUMMYFUNCTION("""COMPUTED_VALUE"""),782751.0)</f>
        <v>782751</v>
      </c>
      <c r="B3605" t="str">
        <f>IFERROR(__xludf.DUMMYFUNCTION("""COMPUTED_VALUE"""),"Squid Pickled")</f>
        <v>Squid Pickled</v>
      </c>
      <c r="C3605" t="str">
        <f>IFERROR(__xludf.DUMMYFUNCTION("""COMPUTED_VALUE"""),"Fish")</f>
        <v>Fish</v>
      </c>
      <c r="D3605">
        <f>IFERROR(__xludf.DUMMYFUNCTION("""COMPUTED_VALUE"""),93.0)</f>
        <v>93</v>
      </c>
      <c r="E3605">
        <f>IFERROR(__xludf.DUMMYFUNCTION("""COMPUTED_VALUE"""),1.32)</f>
        <v>1.32</v>
      </c>
      <c r="F3605">
        <f>IFERROR(__xludf.DUMMYFUNCTION("""COMPUTED_VALUE"""),14.93)</f>
        <v>14.93</v>
      </c>
      <c r="G3605">
        <f>IFERROR(__xludf.DUMMYFUNCTION("""COMPUTED_VALUE"""),2.96)</f>
        <v>2.96</v>
      </c>
    </row>
    <row r="3606">
      <c r="A3606">
        <f>IFERROR(__xludf.DUMMYFUNCTION("""COMPUTED_VALUE"""),782752.0)</f>
        <v>782752</v>
      </c>
      <c r="B3606" t="str">
        <f>IFERROR(__xludf.DUMMYFUNCTION("""COMPUTED_VALUE"""),"Squid Canned")</f>
        <v>Squid Canned</v>
      </c>
      <c r="C3606" t="str">
        <f>IFERROR(__xludf.DUMMYFUNCTION("""COMPUTED_VALUE"""),"Fish")</f>
        <v>Fish</v>
      </c>
      <c r="D3606">
        <f>IFERROR(__xludf.DUMMYFUNCTION("""COMPUTED_VALUE"""),106.0)</f>
        <v>106</v>
      </c>
      <c r="E3606">
        <f>IFERROR(__xludf.DUMMYFUNCTION("""COMPUTED_VALUE"""),1.59)</f>
        <v>1.59</v>
      </c>
      <c r="F3606">
        <f>IFERROR(__xludf.DUMMYFUNCTION("""COMPUTED_VALUE"""),17.9)</f>
        <v>17.9</v>
      </c>
      <c r="G3606">
        <f>IFERROR(__xludf.DUMMYFUNCTION("""COMPUTED_VALUE"""),3.54)</f>
        <v>3.54</v>
      </c>
    </row>
    <row r="3607">
      <c r="A3607">
        <f>IFERROR(__xludf.DUMMYFUNCTION("""COMPUTED_VALUE"""),782753.0)</f>
        <v>782753</v>
      </c>
      <c r="B3607" t="str">
        <f>IFERROR(__xludf.DUMMYFUNCTION("""COMPUTED_VALUE"""),"Turtle Cooked Ns As To Cooking Method")</f>
        <v>Turtle Cooked Ns As To Cooking Method</v>
      </c>
      <c r="C3607" t="str">
        <f>IFERROR(__xludf.DUMMYFUNCTION("""COMPUTED_VALUE"""),"Fish")</f>
        <v>Fish</v>
      </c>
      <c r="D3607">
        <f>IFERROR(__xludf.DUMMYFUNCTION("""COMPUTED_VALUE"""),138.0)</f>
        <v>138</v>
      </c>
      <c r="E3607">
        <f>IFERROR(__xludf.DUMMYFUNCTION("""COMPUTED_VALUE"""),4.18)</f>
        <v>4.18</v>
      </c>
      <c r="F3607">
        <f>IFERROR(__xludf.DUMMYFUNCTION("""COMPUTED_VALUE"""),23.62)</f>
        <v>23.62</v>
      </c>
      <c r="G3607">
        <f>IFERROR(__xludf.DUMMYFUNCTION("""COMPUTED_VALUE"""),0.09)</f>
        <v>0.09</v>
      </c>
    </row>
    <row r="3608">
      <c r="A3608">
        <f>IFERROR(__xludf.DUMMYFUNCTION("""COMPUTED_VALUE"""),782754.0)</f>
        <v>782754</v>
      </c>
      <c r="B3608" t="str">
        <f>IFERROR(__xludf.DUMMYFUNCTION("""COMPUTED_VALUE"""),"Abalone Cooked Ns As To Cooking Method")</f>
        <v>Abalone Cooked Ns As To Cooking Method</v>
      </c>
      <c r="C3608" t="str">
        <f>IFERROR(__xludf.DUMMYFUNCTION("""COMPUTED_VALUE"""),"Fish")</f>
        <v>Fish</v>
      </c>
      <c r="D3608">
        <f>IFERROR(__xludf.DUMMYFUNCTION("""COMPUTED_VALUE"""),157.0)</f>
        <v>157</v>
      </c>
      <c r="E3608">
        <f>IFERROR(__xludf.DUMMYFUNCTION("""COMPUTED_VALUE"""),4.49)</f>
        <v>4.49</v>
      </c>
      <c r="F3608">
        <f>IFERROR(__xludf.DUMMYFUNCTION("""COMPUTED_VALUE"""),20.4)</f>
        <v>20.4</v>
      </c>
      <c r="G3608">
        <f>IFERROR(__xludf.DUMMYFUNCTION("""COMPUTED_VALUE"""),7.26)</f>
        <v>7.26</v>
      </c>
    </row>
    <row r="3609">
      <c r="A3609">
        <f>IFERROR(__xludf.DUMMYFUNCTION("""COMPUTED_VALUE"""),782755.0)</f>
        <v>782755</v>
      </c>
      <c r="B3609" t="str">
        <f>IFERROR(__xludf.DUMMYFUNCTION("""COMPUTED_VALUE"""),"Abalone Floured Or Breaded Fried")</f>
        <v>Abalone Floured Or Breaded Fried</v>
      </c>
      <c r="C3609" t="str">
        <f>IFERROR(__xludf.DUMMYFUNCTION("""COMPUTED_VALUE"""),"Fish")</f>
        <v>Fish</v>
      </c>
      <c r="D3609">
        <f>IFERROR(__xludf.DUMMYFUNCTION("""COMPUTED_VALUE"""),242.0)</f>
        <v>242</v>
      </c>
      <c r="E3609">
        <f>IFERROR(__xludf.DUMMYFUNCTION("""COMPUTED_VALUE"""),11.38)</f>
        <v>11.38</v>
      </c>
      <c r="F3609">
        <f>IFERROR(__xludf.DUMMYFUNCTION("""COMPUTED_VALUE"""),18.24)</f>
        <v>18.24</v>
      </c>
      <c r="G3609">
        <f>IFERROR(__xludf.DUMMYFUNCTION("""COMPUTED_VALUE"""),15.53)</f>
        <v>15.53</v>
      </c>
    </row>
    <row r="3610">
      <c r="A3610">
        <f>IFERROR(__xludf.DUMMYFUNCTION("""COMPUTED_VALUE"""),782756.0)</f>
        <v>782756</v>
      </c>
      <c r="B3610" t="str">
        <f>IFERROR(__xludf.DUMMYFUNCTION("""COMPUTED_VALUE"""),"Abalone Steamed Or Poached")</f>
        <v>Abalone Steamed Or Poached</v>
      </c>
      <c r="C3610" t="str">
        <f>IFERROR(__xludf.DUMMYFUNCTION("""COMPUTED_VALUE"""),"Fish")</f>
        <v>Fish</v>
      </c>
      <c r="D3610">
        <f>IFERROR(__xludf.DUMMYFUNCTION("""COMPUTED_VALUE"""),209.0)</f>
        <v>209</v>
      </c>
      <c r="E3610">
        <f>IFERROR(__xludf.DUMMYFUNCTION("""COMPUTED_VALUE"""),1.51)</f>
        <v>1.51</v>
      </c>
      <c r="F3610">
        <f>IFERROR(__xludf.DUMMYFUNCTION("""COMPUTED_VALUE"""),34.05)</f>
        <v>34.05</v>
      </c>
      <c r="G3610">
        <f>IFERROR(__xludf.DUMMYFUNCTION("""COMPUTED_VALUE"""),11.97)</f>
        <v>11.97</v>
      </c>
    </row>
    <row r="3611">
      <c r="A3611">
        <f>IFERROR(__xludf.DUMMYFUNCTION("""COMPUTED_VALUE"""),782758.0)</f>
        <v>782758</v>
      </c>
      <c r="B3611" t="str">
        <f>IFERROR(__xludf.DUMMYFUNCTION("""COMPUTED_VALUE"""),"Clams Cooked Ns As To Cooking Method")</f>
        <v>Clams Cooked Ns As To Cooking Method</v>
      </c>
      <c r="C3611" t="str">
        <f>IFERROR(__xludf.DUMMYFUNCTION("""COMPUTED_VALUE"""),"Fish")</f>
        <v>Fish</v>
      </c>
      <c r="D3611">
        <f>IFERROR(__xludf.DUMMYFUNCTION("""COMPUTED_VALUE"""),135.0)</f>
        <v>135</v>
      </c>
      <c r="E3611">
        <f>IFERROR(__xludf.DUMMYFUNCTION("""COMPUTED_VALUE"""),4.73)</f>
        <v>4.73</v>
      </c>
      <c r="F3611">
        <f>IFERROR(__xludf.DUMMYFUNCTION("""COMPUTED_VALUE"""),17.5)</f>
        <v>17.5</v>
      </c>
      <c r="G3611">
        <f>IFERROR(__xludf.DUMMYFUNCTION("""COMPUTED_VALUE"""),4.35)</f>
        <v>4.35</v>
      </c>
    </row>
    <row r="3612">
      <c r="A3612">
        <f>IFERROR(__xludf.DUMMYFUNCTION("""COMPUTED_VALUE"""),782759.0)</f>
        <v>782759</v>
      </c>
      <c r="B3612" t="str">
        <f>IFERROR(__xludf.DUMMYFUNCTION("""COMPUTED_VALUE"""),"Clams Baked Or Broiled Fat Added In Cooking")</f>
        <v>Clams Baked Or Broiled Fat Added In Cooking</v>
      </c>
      <c r="C3612" t="str">
        <f>IFERROR(__xludf.DUMMYFUNCTION("""COMPUTED_VALUE"""),"Fish")</f>
        <v>Fish</v>
      </c>
      <c r="D3612">
        <f>IFERROR(__xludf.DUMMYFUNCTION("""COMPUTED_VALUE"""),135.0)</f>
        <v>135</v>
      </c>
      <c r="E3612">
        <f>IFERROR(__xludf.DUMMYFUNCTION("""COMPUTED_VALUE"""),4.73)</f>
        <v>4.73</v>
      </c>
      <c r="F3612">
        <f>IFERROR(__xludf.DUMMYFUNCTION("""COMPUTED_VALUE"""),17.5)</f>
        <v>17.5</v>
      </c>
      <c r="G3612">
        <f>IFERROR(__xludf.DUMMYFUNCTION("""COMPUTED_VALUE"""),4.35)</f>
        <v>4.35</v>
      </c>
    </row>
    <row r="3613">
      <c r="A3613">
        <f>IFERROR(__xludf.DUMMYFUNCTION("""COMPUTED_VALUE"""),782760.0)</f>
        <v>782760</v>
      </c>
      <c r="B3613" t="str">
        <f>IFERROR(__xludf.DUMMYFUNCTION("""COMPUTED_VALUE"""),"Clams Baked Or Broiled Fat Not Added In Cooking")</f>
        <v>Clams Baked Or Broiled Fat Not Added In Cooking</v>
      </c>
      <c r="C3613" t="str">
        <f>IFERROR(__xludf.DUMMYFUNCTION("""COMPUTED_VALUE"""),"Fish")</f>
        <v>Fish</v>
      </c>
      <c r="D3613">
        <f>IFERROR(__xludf.DUMMYFUNCTION("""COMPUTED_VALUE"""),106.0)</f>
        <v>106</v>
      </c>
      <c r="E3613">
        <f>IFERROR(__xludf.DUMMYFUNCTION("""COMPUTED_VALUE"""),1.18)</f>
        <v>1.18</v>
      </c>
      <c r="F3613">
        <f>IFERROR(__xludf.DUMMYFUNCTION("""COMPUTED_VALUE"""),18.02)</f>
        <v>18.02</v>
      </c>
      <c r="G3613">
        <f>IFERROR(__xludf.DUMMYFUNCTION("""COMPUTED_VALUE"""),4.48)</f>
        <v>4.48</v>
      </c>
    </row>
    <row r="3614">
      <c r="A3614">
        <f>IFERROR(__xludf.DUMMYFUNCTION("""COMPUTED_VALUE"""),782761.0)</f>
        <v>782761</v>
      </c>
      <c r="B3614" t="str">
        <f>IFERROR(__xludf.DUMMYFUNCTION("""COMPUTED_VALUE"""),"Clams Coated Baked Or Broiled Fat Added In Cooking")</f>
        <v>Clams Coated Baked Or Broiled Fat Added In Cooking</v>
      </c>
      <c r="C3614" t="str">
        <f>IFERROR(__xludf.DUMMYFUNCTION("""COMPUTED_VALUE"""),"Fish")</f>
        <v>Fish</v>
      </c>
      <c r="D3614">
        <f>IFERROR(__xludf.DUMMYFUNCTION("""COMPUTED_VALUE"""),192.0)</f>
        <v>192</v>
      </c>
      <c r="E3614">
        <f>IFERROR(__xludf.DUMMYFUNCTION("""COMPUTED_VALUE"""),7.06)</f>
        <v>7.06</v>
      </c>
      <c r="F3614">
        <f>IFERROR(__xludf.DUMMYFUNCTION("""COMPUTED_VALUE"""),15.59)</f>
        <v>15.59</v>
      </c>
      <c r="G3614">
        <f>IFERROR(__xludf.DUMMYFUNCTION("""COMPUTED_VALUE"""),15.46)</f>
        <v>15.46</v>
      </c>
    </row>
    <row r="3615">
      <c r="A3615">
        <f>IFERROR(__xludf.DUMMYFUNCTION("""COMPUTED_VALUE"""),782762.0)</f>
        <v>782762</v>
      </c>
      <c r="B3615" t="str">
        <f>IFERROR(__xludf.DUMMYFUNCTION("""COMPUTED_VALUE"""),"Clams Coated Baked Or Broiled Fat Not Added In Cooking")</f>
        <v>Clams Coated Baked Or Broiled Fat Not Added In Cooking</v>
      </c>
      <c r="C3615" t="str">
        <f>IFERROR(__xludf.DUMMYFUNCTION("""COMPUTED_VALUE"""),"Fish")</f>
        <v>Fish</v>
      </c>
      <c r="D3615">
        <f>IFERROR(__xludf.DUMMYFUNCTION("""COMPUTED_VALUE"""),150.0)</f>
        <v>150</v>
      </c>
      <c r="E3615">
        <f>IFERROR(__xludf.DUMMYFUNCTION("""COMPUTED_VALUE"""),1.66)</f>
        <v>1.66</v>
      </c>
      <c r="F3615">
        <f>IFERROR(__xludf.DUMMYFUNCTION("""COMPUTED_VALUE"""),16.3)</f>
        <v>16.3</v>
      </c>
      <c r="G3615">
        <f>IFERROR(__xludf.DUMMYFUNCTION("""COMPUTED_VALUE"""),16.17)</f>
        <v>16.17</v>
      </c>
    </row>
    <row r="3616">
      <c r="A3616">
        <f>IFERROR(__xludf.DUMMYFUNCTION("""COMPUTED_VALUE"""),782763.0)</f>
        <v>782763</v>
      </c>
      <c r="B3616" t="str">
        <f>IFERROR(__xludf.DUMMYFUNCTION("""COMPUTED_VALUE"""),"Clams Coated Fried")</f>
        <v>Clams Coated Fried</v>
      </c>
      <c r="C3616" t="str">
        <f>IFERROR(__xludf.DUMMYFUNCTION("""COMPUTED_VALUE"""),"Fish")</f>
        <v>Fish</v>
      </c>
      <c r="D3616">
        <f>IFERROR(__xludf.DUMMYFUNCTION("""COMPUTED_VALUE"""),226.0)</f>
        <v>226</v>
      </c>
      <c r="E3616">
        <f>IFERROR(__xludf.DUMMYFUNCTION("""COMPUTED_VALUE"""),11.56)</f>
        <v>11.56</v>
      </c>
      <c r="F3616">
        <f>IFERROR(__xludf.DUMMYFUNCTION("""COMPUTED_VALUE"""),16.09)</f>
        <v>16.09</v>
      </c>
      <c r="G3616">
        <f>IFERROR(__xludf.DUMMYFUNCTION("""COMPUTED_VALUE"""),13.37)</f>
        <v>13.37</v>
      </c>
    </row>
    <row r="3617">
      <c r="A3617">
        <f>IFERROR(__xludf.DUMMYFUNCTION("""COMPUTED_VALUE"""),782764.0)</f>
        <v>782764</v>
      </c>
      <c r="B3617" t="str">
        <f>IFERROR(__xludf.DUMMYFUNCTION("""COMPUTED_VALUE"""),"Clams Steamed Or Boiled")</f>
        <v>Clams Steamed Or Boiled</v>
      </c>
      <c r="C3617" t="str">
        <f>IFERROR(__xludf.DUMMYFUNCTION("""COMPUTED_VALUE"""),"Fish")</f>
        <v>Fish</v>
      </c>
      <c r="D3617">
        <f>IFERROR(__xludf.DUMMYFUNCTION("""COMPUTED_VALUE"""),171.0)</f>
        <v>171</v>
      </c>
      <c r="E3617">
        <f>IFERROR(__xludf.DUMMYFUNCTION("""COMPUTED_VALUE"""),1.91)</f>
        <v>1.91</v>
      </c>
      <c r="F3617">
        <f>IFERROR(__xludf.DUMMYFUNCTION("""COMPUTED_VALUE"""),29.21)</f>
        <v>29.21</v>
      </c>
      <c r="G3617">
        <f>IFERROR(__xludf.DUMMYFUNCTION("""COMPUTED_VALUE"""),7.11)</f>
        <v>7.11</v>
      </c>
    </row>
    <row r="3618">
      <c r="A3618">
        <f>IFERROR(__xludf.DUMMYFUNCTION("""COMPUTED_VALUE"""),782765.0)</f>
        <v>782765</v>
      </c>
      <c r="B3618" t="str">
        <f>IFERROR(__xludf.DUMMYFUNCTION("""COMPUTED_VALUE"""),"Clams Canned")</f>
        <v>Clams Canned</v>
      </c>
      <c r="C3618" t="str">
        <f>IFERROR(__xludf.DUMMYFUNCTION("""COMPUTED_VALUE"""),"Fish")</f>
        <v>Fish</v>
      </c>
      <c r="D3618">
        <f>IFERROR(__xludf.DUMMYFUNCTION("""COMPUTED_VALUE"""),108.0)</f>
        <v>108</v>
      </c>
      <c r="E3618">
        <f>IFERROR(__xludf.DUMMYFUNCTION("""COMPUTED_VALUE"""),1.2)</f>
        <v>1.2</v>
      </c>
      <c r="F3618">
        <f>IFERROR(__xludf.DUMMYFUNCTION("""COMPUTED_VALUE"""),18.34)</f>
        <v>18.34</v>
      </c>
      <c r="G3618">
        <f>IFERROR(__xludf.DUMMYFUNCTION("""COMPUTED_VALUE"""),4.46)</f>
        <v>4.46</v>
      </c>
    </row>
    <row r="3619">
      <c r="A3619">
        <f>IFERROR(__xludf.DUMMYFUNCTION("""COMPUTED_VALUE"""),782766.0)</f>
        <v>782766</v>
      </c>
      <c r="B3619" t="str">
        <f>IFERROR(__xludf.DUMMYFUNCTION("""COMPUTED_VALUE"""),"Clams Smoked In Oil")</f>
        <v>Clams Smoked In Oil</v>
      </c>
      <c r="C3619" t="str">
        <f>IFERROR(__xludf.DUMMYFUNCTION("""COMPUTED_VALUE"""),"Fish")</f>
        <v>Fish</v>
      </c>
      <c r="D3619">
        <f>IFERROR(__xludf.DUMMYFUNCTION("""COMPUTED_VALUE"""),192.0)</f>
        <v>192</v>
      </c>
      <c r="E3619">
        <f>IFERROR(__xludf.DUMMYFUNCTION("""COMPUTED_VALUE"""),11.82)</f>
        <v>11.82</v>
      </c>
      <c r="F3619">
        <f>IFERROR(__xludf.DUMMYFUNCTION("""COMPUTED_VALUE"""),16.64)</f>
        <v>16.64</v>
      </c>
      <c r="G3619">
        <f>IFERROR(__xludf.DUMMYFUNCTION("""COMPUTED_VALUE"""),4.05)</f>
        <v>4.05</v>
      </c>
    </row>
    <row r="3620">
      <c r="A3620">
        <f>IFERROR(__xludf.DUMMYFUNCTION("""COMPUTED_VALUE"""),782767.0)</f>
        <v>782767</v>
      </c>
      <c r="B3620" t="str">
        <f>IFERROR(__xludf.DUMMYFUNCTION("""COMPUTED_VALUE"""),"Crab Cooked Ns As To Cooking Method")</f>
        <v>Crab Cooked Ns As To Cooking Method</v>
      </c>
      <c r="C3620" t="str">
        <f>IFERROR(__xludf.DUMMYFUNCTION("""COMPUTED_VALUE"""),"Fish")</f>
        <v>Fish</v>
      </c>
      <c r="D3620">
        <f>IFERROR(__xludf.DUMMYFUNCTION("""COMPUTED_VALUE"""),82.0)</f>
        <v>82</v>
      </c>
      <c r="E3620">
        <f>IFERROR(__xludf.DUMMYFUNCTION("""COMPUTED_VALUE"""),0.74)</f>
        <v>0.74</v>
      </c>
      <c r="F3620">
        <f>IFERROR(__xludf.DUMMYFUNCTION("""COMPUTED_VALUE"""),17.76)</f>
        <v>17.76</v>
      </c>
      <c r="G3620">
        <f>IFERROR(__xludf.DUMMYFUNCTION("""COMPUTED_VALUE"""),0.0)</f>
        <v>0</v>
      </c>
    </row>
    <row r="3621">
      <c r="A3621">
        <f>IFERROR(__xludf.DUMMYFUNCTION("""COMPUTED_VALUE"""),782768.0)</f>
        <v>782768</v>
      </c>
      <c r="B3621" t="str">
        <f>IFERROR(__xludf.DUMMYFUNCTION("""COMPUTED_VALUE"""),"Crab Baked Or Broiled Fat Added In Cooking")</f>
        <v>Crab Baked Or Broiled Fat Added In Cooking</v>
      </c>
      <c r="C3621" t="str">
        <f>IFERROR(__xludf.DUMMYFUNCTION("""COMPUTED_VALUE"""),"Fish")</f>
        <v>Fish</v>
      </c>
      <c r="D3621">
        <f>IFERROR(__xludf.DUMMYFUNCTION("""COMPUTED_VALUE"""),131.0)</f>
        <v>131</v>
      </c>
      <c r="E3621">
        <f>IFERROR(__xludf.DUMMYFUNCTION("""COMPUTED_VALUE"""),4.47)</f>
        <v>4.47</v>
      </c>
      <c r="F3621">
        <f>IFERROR(__xludf.DUMMYFUNCTION("""COMPUTED_VALUE"""),21.33)</f>
        <v>21.33</v>
      </c>
      <c r="G3621">
        <f>IFERROR(__xludf.DUMMYFUNCTION("""COMPUTED_VALUE"""),0.09)</f>
        <v>0.09</v>
      </c>
    </row>
    <row r="3622">
      <c r="A3622">
        <f>IFERROR(__xludf.DUMMYFUNCTION("""COMPUTED_VALUE"""),782769.0)</f>
        <v>782769</v>
      </c>
      <c r="B3622" t="str">
        <f>IFERROR(__xludf.DUMMYFUNCTION("""COMPUTED_VALUE"""),"Crab Baked Or Broiled Fat Not Added In Cooking")</f>
        <v>Crab Baked Or Broiled Fat Not Added In Cooking</v>
      </c>
      <c r="C3622" t="str">
        <f>IFERROR(__xludf.DUMMYFUNCTION("""COMPUTED_VALUE"""),"Fish")</f>
        <v>Fish</v>
      </c>
      <c r="D3622">
        <f>IFERROR(__xludf.DUMMYFUNCTION("""COMPUTED_VALUE"""),102.0)</f>
        <v>102</v>
      </c>
      <c r="E3622">
        <f>IFERROR(__xludf.DUMMYFUNCTION("""COMPUTED_VALUE"""),0.91)</f>
        <v>0.91</v>
      </c>
      <c r="F3622">
        <f>IFERROR(__xludf.DUMMYFUNCTION("""COMPUTED_VALUE"""),21.96)</f>
        <v>21.96</v>
      </c>
      <c r="G3622">
        <f>IFERROR(__xludf.DUMMYFUNCTION("""COMPUTED_VALUE"""),0.1)</f>
        <v>0.1</v>
      </c>
    </row>
    <row r="3623">
      <c r="A3623">
        <f>IFERROR(__xludf.DUMMYFUNCTION("""COMPUTED_VALUE"""),782770.0)</f>
        <v>782770</v>
      </c>
      <c r="B3623" t="str">
        <f>IFERROR(__xludf.DUMMYFUNCTION("""COMPUTED_VALUE"""),"Crab Coated Baked Or Broiled Fat Added In Cooking")</f>
        <v>Crab Coated Baked Or Broiled Fat Added In Cooking</v>
      </c>
      <c r="C3623" t="str">
        <f>IFERROR(__xludf.DUMMYFUNCTION("""COMPUTED_VALUE"""),"Fish")</f>
        <v>Fish</v>
      </c>
      <c r="D3623">
        <f>IFERROR(__xludf.DUMMYFUNCTION("""COMPUTED_VALUE"""),189.0)</f>
        <v>189</v>
      </c>
      <c r="E3623">
        <f>IFERROR(__xludf.DUMMYFUNCTION("""COMPUTED_VALUE"""),6.86)</f>
        <v>6.86</v>
      </c>
      <c r="F3623">
        <f>IFERROR(__xludf.DUMMYFUNCTION("""COMPUTED_VALUE"""),18.51)</f>
        <v>18.51</v>
      </c>
      <c r="G3623">
        <f>IFERROR(__xludf.DUMMYFUNCTION("""COMPUTED_VALUE"""),12.21)</f>
        <v>12.21</v>
      </c>
    </row>
    <row r="3624">
      <c r="A3624">
        <f>IFERROR(__xludf.DUMMYFUNCTION("""COMPUTED_VALUE"""),782771.0)</f>
        <v>782771</v>
      </c>
      <c r="B3624" t="str">
        <f>IFERROR(__xludf.DUMMYFUNCTION("""COMPUTED_VALUE"""),"Crab Coated Baked Or Broiled Fat Not Added In Cooking")</f>
        <v>Crab Coated Baked Or Broiled Fat Not Added In Cooking</v>
      </c>
      <c r="C3624" t="str">
        <f>IFERROR(__xludf.DUMMYFUNCTION("""COMPUTED_VALUE"""),"Fish")</f>
        <v>Fish</v>
      </c>
      <c r="D3624">
        <f>IFERROR(__xludf.DUMMYFUNCTION("""COMPUTED_VALUE"""),147.0)</f>
        <v>147</v>
      </c>
      <c r="E3624">
        <f>IFERROR(__xludf.DUMMYFUNCTION("""COMPUTED_VALUE"""),1.45)</f>
        <v>1.45</v>
      </c>
      <c r="F3624">
        <f>IFERROR(__xludf.DUMMYFUNCTION("""COMPUTED_VALUE"""),19.36)</f>
        <v>19.36</v>
      </c>
      <c r="G3624">
        <f>IFERROR(__xludf.DUMMYFUNCTION("""COMPUTED_VALUE"""),12.77)</f>
        <v>12.77</v>
      </c>
    </row>
    <row r="3625">
      <c r="A3625">
        <f>IFERROR(__xludf.DUMMYFUNCTION("""COMPUTED_VALUE"""),782772.0)</f>
        <v>782772</v>
      </c>
      <c r="B3625" t="str">
        <f>IFERROR(__xludf.DUMMYFUNCTION("""COMPUTED_VALUE"""),"Crab Hard Shell Steamed")</f>
        <v>Crab Hard Shell Steamed</v>
      </c>
      <c r="C3625" t="str">
        <f>IFERROR(__xludf.DUMMYFUNCTION("""COMPUTED_VALUE"""),"Fish")</f>
        <v>Fish</v>
      </c>
      <c r="D3625">
        <f>IFERROR(__xludf.DUMMYFUNCTION("""COMPUTED_VALUE"""),82.0)</f>
        <v>82</v>
      </c>
      <c r="E3625">
        <f>IFERROR(__xludf.DUMMYFUNCTION("""COMPUTED_VALUE"""),0.74)</f>
        <v>0.74</v>
      </c>
      <c r="F3625">
        <f>IFERROR(__xludf.DUMMYFUNCTION("""COMPUTED_VALUE"""),17.76)</f>
        <v>17.76</v>
      </c>
      <c r="G3625">
        <f>IFERROR(__xludf.DUMMYFUNCTION("""COMPUTED_VALUE"""),0.0)</f>
        <v>0</v>
      </c>
    </row>
    <row r="3626">
      <c r="A3626">
        <f>IFERROR(__xludf.DUMMYFUNCTION("""COMPUTED_VALUE"""),782774.0)</f>
        <v>782774</v>
      </c>
      <c r="B3626" t="str">
        <f>IFERROR(__xludf.DUMMYFUNCTION("""COMPUTED_VALUE"""),"Crab Soft Shell Coated Fried")</f>
        <v>Crab Soft Shell Coated Fried</v>
      </c>
      <c r="C3626" t="str">
        <f>IFERROR(__xludf.DUMMYFUNCTION("""COMPUTED_VALUE"""),"Fish")</f>
        <v>Fish</v>
      </c>
      <c r="D3626">
        <f>IFERROR(__xludf.DUMMYFUNCTION("""COMPUTED_VALUE"""),223.0)</f>
        <v>223</v>
      </c>
      <c r="E3626">
        <f>IFERROR(__xludf.DUMMYFUNCTION("""COMPUTED_VALUE"""),11.36)</f>
        <v>11.36</v>
      </c>
      <c r="F3626">
        <f>IFERROR(__xludf.DUMMYFUNCTION("""COMPUTED_VALUE"""),18.93)</f>
        <v>18.93</v>
      </c>
      <c r="G3626">
        <f>IFERROR(__xludf.DUMMYFUNCTION("""COMPUTED_VALUE"""),10.21)</f>
        <v>10.21</v>
      </c>
    </row>
    <row r="3627">
      <c r="A3627">
        <f>IFERROR(__xludf.DUMMYFUNCTION("""COMPUTED_VALUE"""),782775.0)</f>
        <v>782775</v>
      </c>
      <c r="B3627" t="str">
        <f>IFERROR(__xludf.DUMMYFUNCTION("""COMPUTED_VALUE"""),"Crayfish Coated Fried")</f>
        <v>Crayfish Coated Fried</v>
      </c>
      <c r="C3627" t="str">
        <f>IFERROR(__xludf.DUMMYFUNCTION("""COMPUTED_VALUE"""),"Fish")</f>
        <v>Fish</v>
      </c>
      <c r="D3627">
        <f>IFERROR(__xludf.DUMMYFUNCTION("""COMPUTED_VALUE"""),218.0)</f>
        <v>218</v>
      </c>
      <c r="E3627">
        <f>IFERROR(__xludf.DUMMYFUNCTION("""COMPUTED_VALUE"""),11.55)</f>
        <v>11.55</v>
      </c>
      <c r="F3627">
        <f>IFERROR(__xludf.DUMMYFUNCTION("""COMPUTED_VALUE"""),17.24)</f>
        <v>17.24</v>
      </c>
      <c r="G3627">
        <f>IFERROR(__xludf.DUMMYFUNCTION("""COMPUTED_VALUE"""),10.21)</f>
        <v>10.21</v>
      </c>
    </row>
    <row r="3628">
      <c r="A3628">
        <f>IFERROR(__xludf.DUMMYFUNCTION("""COMPUTED_VALUE"""),782776.0)</f>
        <v>782776</v>
      </c>
      <c r="B3628" t="str">
        <f>IFERROR(__xludf.DUMMYFUNCTION("""COMPUTED_VALUE"""),"Crayfish Boiled Or Steamed")</f>
        <v>Crayfish Boiled Or Steamed</v>
      </c>
      <c r="C3628" t="str">
        <f>IFERROR(__xludf.DUMMYFUNCTION("""COMPUTED_VALUE"""),"Fish")</f>
        <v>Fish</v>
      </c>
      <c r="D3628">
        <f>IFERROR(__xludf.DUMMYFUNCTION("""COMPUTED_VALUE"""),81.0)</f>
        <v>81</v>
      </c>
      <c r="E3628">
        <f>IFERROR(__xludf.DUMMYFUNCTION("""COMPUTED_VALUE"""),1.19)</f>
        <v>1.19</v>
      </c>
      <c r="F3628">
        <f>IFERROR(__xludf.DUMMYFUNCTION("""COMPUTED_VALUE"""),16.66)</f>
        <v>16.66</v>
      </c>
      <c r="G3628">
        <f>IFERROR(__xludf.DUMMYFUNCTION("""COMPUTED_VALUE"""),0.0)</f>
        <v>0</v>
      </c>
    </row>
    <row r="3629">
      <c r="A3629">
        <f>IFERROR(__xludf.DUMMYFUNCTION("""COMPUTED_VALUE"""),782777.0)</f>
        <v>782777</v>
      </c>
      <c r="B3629" t="str">
        <f>IFERROR(__xludf.DUMMYFUNCTION("""COMPUTED_VALUE"""),"Lobster Cooked Ns As To Cooking Method")</f>
        <v>Lobster Cooked Ns As To Cooking Method</v>
      </c>
      <c r="C3629" t="str">
        <f>IFERROR(__xludf.DUMMYFUNCTION("""COMPUTED_VALUE"""),"Fish")</f>
        <v>Fish</v>
      </c>
      <c r="D3629">
        <f>IFERROR(__xludf.DUMMYFUNCTION("""COMPUTED_VALUE"""),88.0)</f>
        <v>88</v>
      </c>
      <c r="E3629">
        <f>IFERROR(__xludf.DUMMYFUNCTION("""COMPUTED_VALUE"""),0.85)</f>
        <v>0.85</v>
      </c>
      <c r="F3629">
        <f>IFERROR(__xludf.DUMMYFUNCTION("""COMPUTED_VALUE"""),18.88)</f>
        <v>18.88</v>
      </c>
      <c r="G3629">
        <f>IFERROR(__xludf.DUMMYFUNCTION("""COMPUTED_VALUE"""),0.0)</f>
        <v>0</v>
      </c>
    </row>
    <row r="3630">
      <c r="A3630">
        <f>IFERROR(__xludf.DUMMYFUNCTION("""COMPUTED_VALUE"""),782778.0)</f>
        <v>782778</v>
      </c>
      <c r="B3630" t="str">
        <f>IFERROR(__xludf.DUMMYFUNCTION("""COMPUTED_VALUE"""),"Lobster Baked Or Broiled Fat Added In Cooking")</f>
        <v>Lobster Baked Or Broiled Fat Added In Cooking</v>
      </c>
      <c r="C3630" t="str">
        <f>IFERROR(__xludf.DUMMYFUNCTION("""COMPUTED_VALUE"""),"Fish")</f>
        <v>Fish</v>
      </c>
      <c r="D3630">
        <f>IFERROR(__xludf.DUMMYFUNCTION("""COMPUTED_VALUE"""),124.0)</f>
        <v>124</v>
      </c>
      <c r="E3630">
        <f>IFERROR(__xludf.DUMMYFUNCTION("""COMPUTED_VALUE"""),4.48)</f>
        <v>4.48</v>
      </c>
      <c r="F3630">
        <f>IFERROR(__xludf.DUMMYFUNCTION("""COMPUTED_VALUE"""),19.71)</f>
        <v>19.71</v>
      </c>
      <c r="G3630">
        <f>IFERROR(__xludf.DUMMYFUNCTION("""COMPUTED_VALUE"""),0.09)</f>
        <v>0.09</v>
      </c>
    </row>
    <row r="3631">
      <c r="A3631">
        <f>IFERROR(__xludf.DUMMYFUNCTION("""COMPUTED_VALUE"""),782779.0)</f>
        <v>782779</v>
      </c>
      <c r="B3631" t="str">
        <f>IFERROR(__xludf.DUMMYFUNCTION("""COMPUTED_VALUE"""),"Lobster Baked Or Broiled Fat Not Added In Cooking")</f>
        <v>Lobster Baked Or Broiled Fat Not Added In Cooking</v>
      </c>
      <c r="C3631" t="str">
        <f>IFERROR(__xludf.DUMMYFUNCTION("""COMPUTED_VALUE"""),"Fish")</f>
        <v>Fish</v>
      </c>
      <c r="D3631">
        <f>IFERROR(__xludf.DUMMYFUNCTION("""COMPUTED_VALUE"""),95.0)</f>
        <v>95</v>
      </c>
      <c r="E3631">
        <f>IFERROR(__xludf.DUMMYFUNCTION("""COMPUTED_VALUE"""),0.92)</f>
        <v>0.92</v>
      </c>
      <c r="F3631">
        <f>IFERROR(__xludf.DUMMYFUNCTION("""COMPUTED_VALUE"""),20.29)</f>
        <v>20.29</v>
      </c>
      <c r="G3631">
        <f>IFERROR(__xludf.DUMMYFUNCTION("""COMPUTED_VALUE"""),0.1)</f>
        <v>0.1</v>
      </c>
    </row>
    <row r="3632">
      <c r="A3632">
        <f>IFERROR(__xludf.DUMMYFUNCTION("""COMPUTED_VALUE"""),782780.0)</f>
        <v>782780</v>
      </c>
      <c r="B3632" t="str">
        <f>IFERROR(__xludf.DUMMYFUNCTION("""COMPUTED_VALUE"""),"Lobster Coated Fried")</f>
        <v>Lobster Coated Fried</v>
      </c>
      <c r="C3632" t="str">
        <f>IFERROR(__xludf.DUMMYFUNCTION("""COMPUTED_VALUE"""),"Fish")</f>
        <v>Fish</v>
      </c>
      <c r="D3632">
        <f>IFERROR(__xludf.DUMMYFUNCTION("""COMPUTED_VALUE"""),218.0)</f>
        <v>218</v>
      </c>
      <c r="E3632">
        <f>IFERROR(__xludf.DUMMYFUNCTION("""COMPUTED_VALUE"""),11.37)</f>
        <v>11.37</v>
      </c>
      <c r="F3632">
        <f>IFERROR(__xludf.DUMMYFUNCTION("""COMPUTED_VALUE"""),17.72)</f>
        <v>17.72</v>
      </c>
      <c r="G3632">
        <f>IFERROR(__xludf.DUMMYFUNCTION("""COMPUTED_VALUE"""),10.21)</f>
        <v>10.21</v>
      </c>
    </row>
    <row r="3633">
      <c r="A3633">
        <f>IFERROR(__xludf.DUMMYFUNCTION("""COMPUTED_VALUE"""),782781.0)</f>
        <v>782781</v>
      </c>
      <c r="B3633" t="str">
        <f>IFERROR(__xludf.DUMMYFUNCTION("""COMPUTED_VALUE"""),"Lobster Steamed Or Boiled")</f>
        <v>Lobster Steamed Or Boiled</v>
      </c>
      <c r="C3633" t="str">
        <f>IFERROR(__xludf.DUMMYFUNCTION("""COMPUTED_VALUE"""),"Fish")</f>
        <v>Fish</v>
      </c>
      <c r="D3633">
        <f>IFERROR(__xludf.DUMMYFUNCTION("""COMPUTED_VALUE"""),88.0)</f>
        <v>88</v>
      </c>
      <c r="E3633">
        <f>IFERROR(__xludf.DUMMYFUNCTION("""COMPUTED_VALUE"""),0.85)</f>
        <v>0.85</v>
      </c>
      <c r="F3633">
        <f>IFERROR(__xludf.DUMMYFUNCTION("""COMPUTED_VALUE"""),18.88)</f>
        <v>18.88</v>
      </c>
      <c r="G3633">
        <f>IFERROR(__xludf.DUMMYFUNCTION("""COMPUTED_VALUE"""),0.0)</f>
        <v>0</v>
      </c>
    </row>
    <row r="3634">
      <c r="A3634">
        <f>IFERROR(__xludf.DUMMYFUNCTION("""COMPUTED_VALUE"""),782782.0)</f>
        <v>782782</v>
      </c>
      <c r="B3634" t="str">
        <f>IFERROR(__xludf.DUMMYFUNCTION("""COMPUTED_VALUE"""),"Lobster Coated Baked Or Broiled Fat Added In Cooking")</f>
        <v>Lobster Coated Baked Or Broiled Fat Added In Cooking</v>
      </c>
      <c r="C3634" t="str">
        <f>IFERROR(__xludf.DUMMYFUNCTION("""COMPUTED_VALUE"""),"Fish")</f>
        <v>Fish</v>
      </c>
      <c r="D3634">
        <f>IFERROR(__xludf.DUMMYFUNCTION("""COMPUTED_VALUE"""),184.0)</f>
        <v>184</v>
      </c>
      <c r="E3634">
        <f>IFERROR(__xludf.DUMMYFUNCTION("""COMPUTED_VALUE"""),6.87)</f>
        <v>6.87</v>
      </c>
      <c r="F3634">
        <f>IFERROR(__xludf.DUMMYFUNCTION("""COMPUTED_VALUE"""),17.27)</f>
        <v>17.27</v>
      </c>
      <c r="G3634">
        <f>IFERROR(__xludf.DUMMYFUNCTION("""COMPUTED_VALUE"""),12.21)</f>
        <v>12.21</v>
      </c>
    </row>
    <row r="3635">
      <c r="A3635">
        <f>IFERROR(__xludf.DUMMYFUNCTION("""COMPUTED_VALUE"""),782783.0)</f>
        <v>782783</v>
      </c>
      <c r="B3635" t="str">
        <f>IFERROR(__xludf.DUMMYFUNCTION("""COMPUTED_VALUE"""),"Lobster Coated Baked Or Broiled Fat Not Added In Cooking")</f>
        <v>Lobster Coated Baked Or Broiled Fat Not Added In Cooking</v>
      </c>
      <c r="C3635" t="str">
        <f>IFERROR(__xludf.DUMMYFUNCTION("""COMPUTED_VALUE"""),"Fish")</f>
        <v>Fish</v>
      </c>
      <c r="D3635">
        <f>IFERROR(__xludf.DUMMYFUNCTION("""COMPUTED_VALUE"""),142.0)</f>
        <v>142</v>
      </c>
      <c r="E3635">
        <f>IFERROR(__xludf.DUMMYFUNCTION("""COMPUTED_VALUE"""),1.46)</f>
        <v>1.46</v>
      </c>
      <c r="F3635">
        <f>IFERROR(__xludf.DUMMYFUNCTION("""COMPUTED_VALUE"""),18.07)</f>
        <v>18.07</v>
      </c>
      <c r="G3635">
        <f>IFERROR(__xludf.DUMMYFUNCTION("""COMPUTED_VALUE"""),12.77)</f>
        <v>12.77</v>
      </c>
    </row>
    <row r="3636">
      <c r="A3636">
        <f>IFERROR(__xludf.DUMMYFUNCTION("""COMPUTED_VALUE"""),782786.0)</f>
        <v>782786</v>
      </c>
      <c r="B3636" t="str">
        <f>IFERROR(__xludf.DUMMYFUNCTION("""COMPUTED_VALUE"""),"Mussels Cooked Ns As To Cooking Method")</f>
        <v>Mussels Cooked Ns As To Cooking Method</v>
      </c>
      <c r="C3636" t="str">
        <f>IFERROR(__xludf.DUMMYFUNCTION("""COMPUTED_VALUE"""),"Fish")</f>
        <v>Fish</v>
      </c>
      <c r="D3636">
        <f>IFERROR(__xludf.DUMMYFUNCTION("""COMPUTED_VALUE"""),171.0)</f>
        <v>171</v>
      </c>
      <c r="E3636">
        <f>IFERROR(__xludf.DUMMYFUNCTION("""COMPUTED_VALUE"""),4.46)</f>
        <v>4.46</v>
      </c>
      <c r="F3636">
        <f>IFERROR(__xludf.DUMMYFUNCTION("""COMPUTED_VALUE"""),23.7)</f>
        <v>23.7</v>
      </c>
      <c r="G3636">
        <f>IFERROR(__xludf.DUMMYFUNCTION("""COMPUTED_VALUE"""),7.35)</f>
        <v>7.35</v>
      </c>
    </row>
    <row r="3637">
      <c r="A3637">
        <f>IFERROR(__xludf.DUMMYFUNCTION("""COMPUTED_VALUE"""),782787.0)</f>
        <v>782787</v>
      </c>
      <c r="B3637" t="str">
        <f>IFERROR(__xludf.DUMMYFUNCTION("""COMPUTED_VALUE"""),"Mussels Steamed Or Poached")</f>
        <v>Mussels Steamed Or Poached</v>
      </c>
      <c r="C3637" t="str">
        <f>IFERROR(__xludf.DUMMYFUNCTION("""COMPUTED_VALUE"""),"Fish")</f>
        <v>Fish</v>
      </c>
      <c r="D3637">
        <f>IFERROR(__xludf.DUMMYFUNCTION("""COMPUTED_VALUE"""),171.0)</f>
        <v>171</v>
      </c>
      <c r="E3637">
        <f>IFERROR(__xludf.DUMMYFUNCTION("""COMPUTED_VALUE"""),4.46)</f>
        <v>4.46</v>
      </c>
      <c r="F3637">
        <f>IFERROR(__xludf.DUMMYFUNCTION("""COMPUTED_VALUE"""),23.7)</f>
        <v>23.7</v>
      </c>
      <c r="G3637">
        <f>IFERROR(__xludf.DUMMYFUNCTION("""COMPUTED_VALUE"""),7.35)</f>
        <v>7.35</v>
      </c>
    </row>
    <row r="3638">
      <c r="A3638">
        <f>IFERROR(__xludf.DUMMYFUNCTION("""COMPUTED_VALUE"""),782789.0)</f>
        <v>782789</v>
      </c>
      <c r="B3638" t="str">
        <f>IFERROR(__xludf.DUMMYFUNCTION("""COMPUTED_VALUE"""),"Oysters Cooked Ns As To Cooking Method")</f>
        <v>Oysters Cooked Ns As To Cooking Method</v>
      </c>
      <c r="C3638" t="str">
        <f>IFERROR(__xludf.DUMMYFUNCTION("""COMPUTED_VALUE"""),"Fish")</f>
        <v>Fish</v>
      </c>
      <c r="D3638">
        <f>IFERROR(__xludf.DUMMYFUNCTION("""COMPUTED_VALUE"""),195.0)</f>
        <v>195</v>
      </c>
      <c r="E3638">
        <f>IFERROR(__xludf.DUMMYFUNCTION("""COMPUTED_VALUE"""),12.22)</f>
        <v>12.22</v>
      </c>
      <c r="F3638">
        <f>IFERROR(__xludf.DUMMYFUNCTION("""COMPUTED_VALUE"""),8.16)</f>
        <v>8.16</v>
      </c>
      <c r="G3638">
        <f>IFERROR(__xludf.DUMMYFUNCTION("""COMPUTED_VALUE"""),12.62)</f>
        <v>12.62</v>
      </c>
    </row>
    <row r="3639">
      <c r="A3639">
        <f>IFERROR(__xludf.DUMMYFUNCTION("""COMPUTED_VALUE"""),782790.0)</f>
        <v>782790</v>
      </c>
      <c r="B3639" t="str">
        <f>IFERROR(__xludf.DUMMYFUNCTION("""COMPUTED_VALUE"""),"Oysters Baked Or Broiled Fat Added In Cooking")</f>
        <v>Oysters Baked Or Broiled Fat Added In Cooking</v>
      </c>
      <c r="C3639" t="str">
        <f>IFERROR(__xludf.DUMMYFUNCTION("""COMPUTED_VALUE"""),"Fish")</f>
        <v>Fish</v>
      </c>
      <c r="D3639">
        <f>IFERROR(__xludf.DUMMYFUNCTION("""COMPUTED_VALUE"""),93.0)</f>
        <v>93</v>
      </c>
      <c r="E3639">
        <f>IFERROR(__xludf.DUMMYFUNCTION("""COMPUTED_VALUE"""),5.62)</f>
        <v>5.62</v>
      </c>
      <c r="F3639">
        <f>IFERROR(__xludf.DUMMYFUNCTION("""COMPUTED_VALUE"""),6.82)</f>
        <v>6.82</v>
      </c>
      <c r="G3639">
        <f>IFERROR(__xludf.DUMMYFUNCTION("""COMPUTED_VALUE"""),3.34)</f>
        <v>3.34</v>
      </c>
    </row>
    <row r="3640">
      <c r="A3640">
        <f>IFERROR(__xludf.DUMMYFUNCTION("""COMPUTED_VALUE"""),782791.0)</f>
        <v>782791</v>
      </c>
      <c r="B3640" t="str">
        <f>IFERROR(__xludf.DUMMYFUNCTION("""COMPUTED_VALUE"""),"Oysters Baked Or Broiled Fat Not Added In Cooking")</f>
        <v>Oysters Baked Or Broiled Fat Not Added In Cooking</v>
      </c>
      <c r="C3640" t="str">
        <f>IFERROR(__xludf.DUMMYFUNCTION("""COMPUTED_VALUE"""),"Fish")</f>
        <v>Fish</v>
      </c>
      <c r="D3640">
        <f>IFERROR(__xludf.DUMMYFUNCTION("""COMPUTED_VALUE"""),63.0)</f>
        <v>63</v>
      </c>
      <c r="E3640">
        <f>IFERROR(__xludf.DUMMYFUNCTION("""COMPUTED_VALUE"""),2.1)</f>
        <v>2.1</v>
      </c>
      <c r="F3640">
        <f>IFERROR(__xludf.DUMMYFUNCTION("""COMPUTED_VALUE"""),7.02)</f>
        <v>7.02</v>
      </c>
      <c r="G3640">
        <f>IFERROR(__xludf.DUMMYFUNCTION("""COMPUTED_VALUE"""),3.44)</f>
        <v>3.44</v>
      </c>
    </row>
    <row r="3641">
      <c r="A3641">
        <f>IFERROR(__xludf.DUMMYFUNCTION("""COMPUTED_VALUE"""),782792.0)</f>
        <v>782792</v>
      </c>
      <c r="B3641" t="str">
        <f>IFERROR(__xludf.DUMMYFUNCTION("""COMPUTED_VALUE"""),"Oysters Steamed")</f>
        <v>Oysters Steamed</v>
      </c>
      <c r="C3641" t="str">
        <f>IFERROR(__xludf.DUMMYFUNCTION("""COMPUTED_VALUE"""),"Fish")</f>
        <v>Fish</v>
      </c>
      <c r="D3641">
        <f>IFERROR(__xludf.DUMMYFUNCTION("""COMPUTED_VALUE"""),102.0)</f>
        <v>102</v>
      </c>
      <c r="E3641">
        <f>IFERROR(__xludf.DUMMYFUNCTION("""COMPUTED_VALUE"""),3.4)</f>
        <v>3.4</v>
      </c>
      <c r="F3641">
        <f>IFERROR(__xludf.DUMMYFUNCTION("""COMPUTED_VALUE"""),11.37)</f>
        <v>11.37</v>
      </c>
      <c r="G3641">
        <f>IFERROR(__xludf.DUMMYFUNCTION("""COMPUTED_VALUE"""),5.42)</f>
        <v>5.42</v>
      </c>
    </row>
    <row r="3642">
      <c r="A3642">
        <f>IFERROR(__xludf.DUMMYFUNCTION("""COMPUTED_VALUE"""),782793.0)</f>
        <v>782793</v>
      </c>
      <c r="B3642" t="str">
        <f>IFERROR(__xludf.DUMMYFUNCTION("""COMPUTED_VALUE"""),"Oysters Coated Fried")</f>
        <v>Oysters Coated Fried</v>
      </c>
      <c r="C3642" t="str">
        <f>IFERROR(__xludf.DUMMYFUNCTION("""COMPUTED_VALUE"""),"Fish")</f>
        <v>Fish</v>
      </c>
      <c r="D3642">
        <f>IFERROR(__xludf.DUMMYFUNCTION("""COMPUTED_VALUE"""),195.0)</f>
        <v>195</v>
      </c>
      <c r="E3642">
        <f>IFERROR(__xludf.DUMMYFUNCTION("""COMPUTED_VALUE"""),12.22)</f>
        <v>12.22</v>
      </c>
      <c r="F3642">
        <f>IFERROR(__xludf.DUMMYFUNCTION("""COMPUTED_VALUE"""),8.16)</f>
        <v>8.16</v>
      </c>
      <c r="G3642">
        <f>IFERROR(__xludf.DUMMYFUNCTION("""COMPUTED_VALUE"""),12.62)</f>
        <v>12.62</v>
      </c>
    </row>
    <row r="3643">
      <c r="A3643">
        <f>IFERROR(__xludf.DUMMYFUNCTION("""COMPUTED_VALUE"""),782794.0)</f>
        <v>782794</v>
      </c>
      <c r="B3643" t="str">
        <f>IFERROR(__xludf.DUMMYFUNCTION("""COMPUTED_VALUE"""),"Oysters Coated Baked Or Broiled Fat Added In Cooking")</f>
        <v>Oysters Coated Baked Or Broiled Fat Added In Cooking</v>
      </c>
      <c r="C3643" t="str">
        <f>IFERROR(__xludf.DUMMYFUNCTION("""COMPUTED_VALUE"""),"Fish")</f>
        <v>Fish</v>
      </c>
      <c r="D3643">
        <f>IFERROR(__xludf.DUMMYFUNCTION("""COMPUTED_VALUE"""),160.0)</f>
        <v>160</v>
      </c>
      <c r="E3643">
        <f>IFERROR(__xludf.DUMMYFUNCTION("""COMPUTED_VALUE"""),7.74)</f>
        <v>7.74</v>
      </c>
      <c r="F3643">
        <f>IFERROR(__xludf.DUMMYFUNCTION("""COMPUTED_VALUE"""),7.43)</f>
        <v>7.43</v>
      </c>
      <c r="G3643">
        <f>IFERROR(__xludf.DUMMYFUNCTION("""COMPUTED_VALUE"""),14.69)</f>
        <v>14.69</v>
      </c>
    </row>
    <row r="3644">
      <c r="A3644">
        <f>IFERROR(__xludf.DUMMYFUNCTION("""COMPUTED_VALUE"""),782795.0)</f>
        <v>782795</v>
      </c>
      <c r="B3644" t="str">
        <f>IFERROR(__xludf.DUMMYFUNCTION("""COMPUTED_VALUE"""),"Oysters Coated Baked Or Broiled Fat Not Added In Cooking")</f>
        <v>Oysters Coated Baked Or Broiled Fat Not Added In Cooking</v>
      </c>
      <c r="C3644" t="str">
        <f>IFERROR(__xludf.DUMMYFUNCTION("""COMPUTED_VALUE"""),"Fish")</f>
        <v>Fish</v>
      </c>
      <c r="D3644">
        <f>IFERROR(__xludf.DUMMYFUNCTION("""COMPUTED_VALUE"""),117.0)</f>
        <v>117</v>
      </c>
      <c r="E3644">
        <f>IFERROR(__xludf.DUMMYFUNCTION("""COMPUTED_VALUE"""),2.38)</f>
        <v>2.38</v>
      </c>
      <c r="F3644">
        <f>IFERROR(__xludf.DUMMYFUNCTION("""COMPUTED_VALUE"""),7.77)</f>
        <v>7.77</v>
      </c>
      <c r="G3644">
        <f>IFERROR(__xludf.DUMMYFUNCTION("""COMPUTED_VALUE"""),15.36)</f>
        <v>15.36</v>
      </c>
    </row>
    <row r="3645">
      <c r="A3645">
        <f>IFERROR(__xludf.DUMMYFUNCTION("""COMPUTED_VALUE"""),782796.0)</f>
        <v>782796</v>
      </c>
      <c r="B3645" t="str">
        <f>IFERROR(__xludf.DUMMYFUNCTION("""COMPUTED_VALUE"""),"Oysters Canned")</f>
        <v>Oysters Canned</v>
      </c>
      <c r="C3645" t="str">
        <f>IFERROR(__xludf.DUMMYFUNCTION("""COMPUTED_VALUE"""),"Fish")</f>
        <v>Fish</v>
      </c>
      <c r="D3645">
        <f>IFERROR(__xludf.DUMMYFUNCTION("""COMPUTED_VALUE"""),74.0)</f>
        <v>74</v>
      </c>
      <c r="E3645">
        <f>IFERROR(__xludf.DUMMYFUNCTION("""COMPUTED_VALUE"""),2.68)</f>
        <v>2.68</v>
      </c>
      <c r="F3645">
        <f>IFERROR(__xludf.DUMMYFUNCTION("""COMPUTED_VALUE"""),7.67)</f>
        <v>7.67</v>
      </c>
      <c r="G3645">
        <f>IFERROR(__xludf.DUMMYFUNCTION("""COMPUTED_VALUE"""),4.25)</f>
        <v>4.25</v>
      </c>
    </row>
    <row r="3646">
      <c r="A3646">
        <f>IFERROR(__xludf.DUMMYFUNCTION("""COMPUTED_VALUE"""),782797.0)</f>
        <v>782797</v>
      </c>
      <c r="B3646" t="str">
        <f>IFERROR(__xludf.DUMMYFUNCTION("""COMPUTED_VALUE"""),"Oysters Smoked")</f>
        <v>Oysters Smoked</v>
      </c>
      <c r="C3646" t="str">
        <f>IFERROR(__xludf.DUMMYFUNCTION("""COMPUTED_VALUE"""),"Fish")</f>
        <v>Fish</v>
      </c>
      <c r="D3646">
        <f>IFERROR(__xludf.DUMMYFUNCTION("""COMPUTED_VALUE"""),82.0)</f>
        <v>82</v>
      </c>
      <c r="E3646">
        <f>IFERROR(__xludf.DUMMYFUNCTION("""COMPUTED_VALUE"""),2.76)</f>
        <v>2.76</v>
      </c>
      <c r="F3646">
        <f>IFERROR(__xludf.DUMMYFUNCTION("""COMPUTED_VALUE"""),9.2)</f>
        <v>9.2</v>
      </c>
      <c r="G3646">
        <f>IFERROR(__xludf.DUMMYFUNCTION("""COMPUTED_VALUE"""),4.38)</f>
        <v>4.38</v>
      </c>
    </row>
    <row r="3647">
      <c r="A3647">
        <f>IFERROR(__xludf.DUMMYFUNCTION("""COMPUTED_VALUE"""),782798.0)</f>
        <v>782798</v>
      </c>
      <c r="B3647" t="str">
        <f>IFERROR(__xludf.DUMMYFUNCTION("""COMPUTED_VALUE"""),"Scallops Cooked Ns As To Cooking Method")</f>
        <v>Scallops Cooked Ns As To Cooking Method</v>
      </c>
      <c r="C3647" t="str">
        <f>IFERROR(__xludf.DUMMYFUNCTION("""COMPUTED_VALUE"""),"Fish")</f>
        <v>Fish</v>
      </c>
      <c r="D3647">
        <f>IFERROR(__xludf.DUMMYFUNCTION("""COMPUTED_VALUE"""),114.0)</f>
        <v>114</v>
      </c>
      <c r="E3647">
        <f>IFERROR(__xludf.DUMMYFUNCTION("""COMPUTED_VALUE"""),4.17)</f>
        <v>4.17</v>
      </c>
      <c r="F3647">
        <f>IFERROR(__xludf.DUMMYFUNCTION("""COMPUTED_VALUE"""),14.39)</f>
        <v>14.39</v>
      </c>
      <c r="G3647">
        <f>IFERROR(__xludf.DUMMYFUNCTION("""COMPUTED_VALUE"""),3.89)</f>
        <v>3.89</v>
      </c>
    </row>
    <row r="3648">
      <c r="A3648">
        <f>IFERROR(__xludf.DUMMYFUNCTION("""COMPUTED_VALUE"""),782799.0)</f>
        <v>782799</v>
      </c>
      <c r="B3648" t="str">
        <f>IFERROR(__xludf.DUMMYFUNCTION("""COMPUTED_VALUE"""),"Scallops Baked Or Broiled Fat Added In Cooking")</f>
        <v>Scallops Baked Or Broiled Fat Added In Cooking</v>
      </c>
      <c r="C3648" t="str">
        <f>IFERROR(__xludf.DUMMYFUNCTION("""COMPUTED_VALUE"""),"Fish")</f>
        <v>Fish</v>
      </c>
      <c r="D3648">
        <f>IFERROR(__xludf.DUMMYFUNCTION("""COMPUTED_VALUE"""),114.0)</f>
        <v>114</v>
      </c>
      <c r="E3648">
        <f>IFERROR(__xludf.DUMMYFUNCTION("""COMPUTED_VALUE"""),4.17)</f>
        <v>4.17</v>
      </c>
      <c r="F3648">
        <f>IFERROR(__xludf.DUMMYFUNCTION("""COMPUTED_VALUE"""),14.39)</f>
        <v>14.39</v>
      </c>
      <c r="G3648">
        <f>IFERROR(__xludf.DUMMYFUNCTION("""COMPUTED_VALUE"""),3.89)</f>
        <v>3.89</v>
      </c>
    </row>
    <row r="3649">
      <c r="A3649">
        <f>IFERROR(__xludf.DUMMYFUNCTION("""COMPUTED_VALUE"""),782800.0)</f>
        <v>782800</v>
      </c>
      <c r="B3649" t="str">
        <f>IFERROR(__xludf.DUMMYFUNCTION("""COMPUTED_VALUE"""),"Scallops Baked Or Broiled Fat Not Added In Cooking")</f>
        <v>Scallops Baked Or Broiled Fat Not Added In Cooking</v>
      </c>
      <c r="C3649" t="str">
        <f>IFERROR(__xludf.DUMMYFUNCTION("""COMPUTED_VALUE"""),"Fish")</f>
        <v>Fish</v>
      </c>
      <c r="D3649">
        <f>IFERROR(__xludf.DUMMYFUNCTION("""COMPUTED_VALUE"""),85.0)</f>
        <v>85</v>
      </c>
      <c r="E3649">
        <f>IFERROR(__xludf.DUMMYFUNCTION("""COMPUTED_VALUE"""),0.6)</f>
        <v>0.6</v>
      </c>
      <c r="F3649">
        <f>IFERROR(__xludf.DUMMYFUNCTION("""COMPUTED_VALUE"""),14.81)</f>
        <v>14.81</v>
      </c>
      <c r="G3649">
        <f>IFERROR(__xludf.DUMMYFUNCTION("""COMPUTED_VALUE"""),4.0)</f>
        <v>4</v>
      </c>
    </row>
    <row r="3650">
      <c r="A3650">
        <f>IFERROR(__xludf.DUMMYFUNCTION("""COMPUTED_VALUE"""),782801.0)</f>
        <v>782801</v>
      </c>
      <c r="B3650" t="str">
        <f>IFERROR(__xludf.DUMMYFUNCTION("""COMPUTED_VALUE"""),"Scallops Steamed Or Boiled")</f>
        <v>Scallops Steamed Or Boiled</v>
      </c>
      <c r="C3650" t="str">
        <f>IFERROR(__xludf.DUMMYFUNCTION("""COMPUTED_VALUE"""),"Fish")</f>
        <v>Fish</v>
      </c>
      <c r="D3650">
        <f>IFERROR(__xludf.DUMMYFUNCTION("""COMPUTED_VALUE"""),137.0)</f>
        <v>137</v>
      </c>
      <c r="E3650">
        <f>IFERROR(__xludf.DUMMYFUNCTION("""COMPUTED_VALUE"""),0.98)</f>
        <v>0.98</v>
      </c>
      <c r="F3650">
        <f>IFERROR(__xludf.DUMMYFUNCTION("""COMPUTED_VALUE"""),24.01)</f>
        <v>24.01</v>
      </c>
      <c r="G3650">
        <f>IFERROR(__xludf.DUMMYFUNCTION("""COMPUTED_VALUE"""),6.33)</f>
        <v>6.33</v>
      </c>
    </row>
    <row r="3651">
      <c r="A3651">
        <f>IFERROR(__xludf.DUMMYFUNCTION("""COMPUTED_VALUE"""),782802.0)</f>
        <v>782802</v>
      </c>
      <c r="B3651" t="str">
        <f>IFERROR(__xludf.DUMMYFUNCTION("""COMPUTED_VALUE"""),"Scallops Coated Fried")</f>
        <v>Scallops Coated Fried</v>
      </c>
      <c r="C3651" t="str">
        <f>IFERROR(__xludf.DUMMYFUNCTION("""COMPUTED_VALUE"""),"Fish")</f>
        <v>Fish</v>
      </c>
      <c r="D3651">
        <f>IFERROR(__xludf.DUMMYFUNCTION("""COMPUTED_VALUE"""),211.0)</f>
        <v>211</v>
      </c>
      <c r="E3651">
        <f>IFERROR(__xludf.DUMMYFUNCTION("""COMPUTED_VALUE"""),11.14)</f>
        <v>11.14</v>
      </c>
      <c r="F3651">
        <f>IFERROR(__xludf.DUMMYFUNCTION("""COMPUTED_VALUE"""),13.78)</f>
        <v>13.78</v>
      </c>
      <c r="G3651">
        <f>IFERROR(__xludf.DUMMYFUNCTION("""COMPUTED_VALUE"""),13.03)</f>
        <v>13.03</v>
      </c>
    </row>
    <row r="3652">
      <c r="A3652">
        <f>IFERROR(__xludf.DUMMYFUNCTION("""COMPUTED_VALUE"""),782803.0)</f>
        <v>782803</v>
      </c>
      <c r="B3652" t="str">
        <f>IFERROR(__xludf.DUMMYFUNCTION("""COMPUTED_VALUE"""),"Scallops Coated Baked Or Broiled Fat Added In Cooking")</f>
        <v>Scallops Coated Baked Or Broiled Fat Added In Cooking</v>
      </c>
      <c r="C3652" t="str">
        <f>IFERROR(__xludf.DUMMYFUNCTION("""COMPUTED_VALUE"""),"Fish")</f>
        <v>Fish</v>
      </c>
      <c r="D3652">
        <f>IFERROR(__xludf.DUMMYFUNCTION("""COMPUTED_VALUE"""),177.0)</f>
        <v>177</v>
      </c>
      <c r="E3652">
        <f>IFERROR(__xludf.DUMMYFUNCTION("""COMPUTED_VALUE"""),6.63)</f>
        <v>6.63</v>
      </c>
      <c r="F3652">
        <f>IFERROR(__xludf.DUMMYFUNCTION("""COMPUTED_VALUE"""),13.21)</f>
        <v>13.21</v>
      </c>
      <c r="G3652">
        <f>IFERROR(__xludf.DUMMYFUNCTION("""COMPUTED_VALUE"""),15.1)</f>
        <v>15.1</v>
      </c>
    </row>
    <row r="3653">
      <c r="A3653">
        <f>IFERROR(__xludf.DUMMYFUNCTION("""COMPUTED_VALUE"""),782804.0)</f>
        <v>782804</v>
      </c>
      <c r="B3653" t="str">
        <f>IFERROR(__xludf.DUMMYFUNCTION("""COMPUTED_VALUE"""),"Scallops Coated Baked Or Broiled Fat Not Added In Cooking")</f>
        <v>Scallops Coated Baked Or Broiled Fat Not Added In Cooking</v>
      </c>
      <c r="C3653" t="str">
        <f>IFERROR(__xludf.DUMMYFUNCTION("""COMPUTED_VALUE"""),"Fish")</f>
        <v>Fish</v>
      </c>
      <c r="D3653">
        <f>IFERROR(__xludf.DUMMYFUNCTION("""COMPUTED_VALUE"""),134.0)</f>
        <v>134</v>
      </c>
      <c r="E3653">
        <f>IFERROR(__xludf.DUMMYFUNCTION("""COMPUTED_VALUE"""),1.22)</f>
        <v>1.22</v>
      </c>
      <c r="F3653">
        <f>IFERROR(__xludf.DUMMYFUNCTION("""COMPUTED_VALUE"""),13.82)</f>
        <v>13.82</v>
      </c>
      <c r="G3653">
        <f>IFERROR(__xludf.DUMMYFUNCTION("""COMPUTED_VALUE"""),15.8)</f>
        <v>15.8</v>
      </c>
    </row>
    <row r="3654">
      <c r="A3654">
        <f>IFERROR(__xludf.DUMMYFUNCTION("""COMPUTED_VALUE"""),782805.0)</f>
        <v>782805</v>
      </c>
      <c r="B3654" t="str">
        <f>IFERROR(__xludf.DUMMYFUNCTION("""COMPUTED_VALUE"""),"Shrimp Cooked Ns As To Cooking Method")</f>
        <v>Shrimp Cooked Ns As To Cooking Method</v>
      </c>
      <c r="C3654" t="str">
        <f>IFERROR(__xludf.DUMMYFUNCTION("""COMPUTED_VALUE"""),"Fish")</f>
        <v>Fish</v>
      </c>
      <c r="D3654">
        <f>IFERROR(__xludf.DUMMYFUNCTION("""COMPUTED_VALUE"""),212.0)</f>
        <v>212</v>
      </c>
      <c r="E3654">
        <f>IFERROR(__xludf.DUMMYFUNCTION("""COMPUTED_VALUE"""),11.6)</f>
        <v>11.6</v>
      </c>
      <c r="F3654">
        <f>IFERROR(__xludf.DUMMYFUNCTION("""COMPUTED_VALUE"""),15.15)</f>
        <v>15.15</v>
      </c>
      <c r="G3654">
        <f>IFERROR(__xludf.DUMMYFUNCTION("""COMPUTED_VALUE"""),11.02)</f>
        <v>11.02</v>
      </c>
    </row>
    <row r="3655">
      <c r="A3655">
        <f>IFERROR(__xludf.DUMMYFUNCTION("""COMPUTED_VALUE"""),782806.0)</f>
        <v>782806</v>
      </c>
      <c r="B3655" t="str">
        <f>IFERROR(__xludf.DUMMYFUNCTION("""COMPUTED_VALUE"""),"Shrimp Baked Or Broiled Made With Oil")</f>
        <v>Shrimp Baked Or Broiled Made With Oil</v>
      </c>
      <c r="C3655" t="str">
        <f>IFERROR(__xludf.DUMMYFUNCTION("""COMPUTED_VALUE"""),"Fish")</f>
        <v>Fish</v>
      </c>
      <c r="D3655">
        <f>IFERROR(__xludf.DUMMYFUNCTION("""COMPUTED_VALUE"""),117.0)</f>
        <v>117</v>
      </c>
      <c r="E3655">
        <f>IFERROR(__xludf.DUMMYFUNCTION("""COMPUTED_VALUE"""),4.79)</f>
        <v>4.79</v>
      </c>
      <c r="F3655">
        <f>IFERROR(__xludf.DUMMYFUNCTION("""COMPUTED_VALUE"""),16.24)</f>
        <v>16.24</v>
      </c>
      <c r="G3655">
        <f>IFERROR(__xludf.DUMMYFUNCTION("""COMPUTED_VALUE"""),1.18)</f>
        <v>1.18</v>
      </c>
    </row>
    <row r="3656">
      <c r="A3656">
        <f>IFERROR(__xludf.DUMMYFUNCTION("""COMPUTED_VALUE"""),782807.0)</f>
        <v>782807</v>
      </c>
      <c r="B3656" t="str">
        <f>IFERROR(__xludf.DUMMYFUNCTION("""COMPUTED_VALUE"""),"Shrimp Baked Or Broiled Made With Butter")</f>
        <v>Shrimp Baked Or Broiled Made With Butter</v>
      </c>
      <c r="C3656" t="str">
        <f>IFERROR(__xludf.DUMMYFUNCTION("""COMPUTED_VALUE"""),"Fish")</f>
        <v>Fish</v>
      </c>
      <c r="D3656">
        <f>IFERROR(__xludf.DUMMYFUNCTION("""COMPUTED_VALUE"""),112.0)</f>
        <v>112</v>
      </c>
      <c r="E3656">
        <f>IFERROR(__xludf.DUMMYFUNCTION("""COMPUTED_VALUE"""),4.23)</f>
        <v>4.23</v>
      </c>
      <c r="F3656">
        <f>IFERROR(__xludf.DUMMYFUNCTION("""COMPUTED_VALUE"""),16.25)</f>
        <v>16.25</v>
      </c>
      <c r="G3656">
        <f>IFERROR(__xludf.DUMMYFUNCTION("""COMPUTED_VALUE"""),1.18)</f>
        <v>1.18</v>
      </c>
    </row>
    <row r="3657">
      <c r="A3657">
        <f>IFERROR(__xludf.DUMMYFUNCTION("""COMPUTED_VALUE"""),782808.0)</f>
        <v>782808</v>
      </c>
      <c r="B3657" t="str">
        <f>IFERROR(__xludf.DUMMYFUNCTION("""COMPUTED_VALUE"""),"Shrimp Baked Or Broiled Made With Margarine")</f>
        <v>Shrimp Baked Or Broiled Made With Margarine</v>
      </c>
      <c r="C3657" t="str">
        <f>IFERROR(__xludf.DUMMYFUNCTION("""COMPUTED_VALUE"""),"Fish")</f>
        <v>Fish</v>
      </c>
      <c r="D3657">
        <f>IFERROR(__xludf.DUMMYFUNCTION("""COMPUTED_VALUE"""),105.0)</f>
        <v>105</v>
      </c>
      <c r="E3657">
        <f>IFERROR(__xludf.DUMMYFUNCTION("""COMPUTED_VALUE"""),3.45)</f>
        <v>3.45</v>
      </c>
      <c r="F3657">
        <f>IFERROR(__xludf.DUMMYFUNCTION("""COMPUTED_VALUE"""),16.22)</f>
        <v>16.22</v>
      </c>
      <c r="G3657">
        <f>IFERROR(__xludf.DUMMYFUNCTION("""COMPUTED_VALUE"""),1.21)</f>
        <v>1.21</v>
      </c>
    </row>
    <row r="3658">
      <c r="A3658">
        <f>IFERROR(__xludf.DUMMYFUNCTION("""COMPUTED_VALUE"""),782809.0)</f>
        <v>782809</v>
      </c>
      <c r="B3658" t="str">
        <f>IFERROR(__xludf.DUMMYFUNCTION("""COMPUTED_VALUE"""),"Shrimp Baked Or Broiled Made Without Fat")</f>
        <v>Shrimp Baked Or Broiled Made Without Fat</v>
      </c>
      <c r="C3658" t="str">
        <f>IFERROR(__xludf.DUMMYFUNCTION("""COMPUTED_VALUE"""),"Fish")</f>
        <v>Fish</v>
      </c>
      <c r="D3658">
        <f>IFERROR(__xludf.DUMMYFUNCTION("""COMPUTED_VALUE"""),87.0)</f>
        <v>87</v>
      </c>
      <c r="E3658">
        <f>IFERROR(__xludf.DUMMYFUNCTION("""COMPUTED_VALUE"""),1.24)</f>
        <v>1.24</v>
      </c>
      <c r="F3658">
        <f>IFERROR(__xludf.DUMMYFUNCTION("""COMPUTED_VALUE"""),16.72)</f>
        <v>16.72</v>
      </c>
      <c r="G3658">
        <f>IFERROR(__xludf.DUMMYFUNCTION("""COMPUTED_VALUE"""),1.21)</f>
        <v>1.21</v>
      </c>
    </row>
    <row r="3659">
      <c r="A3659">
        <f>IFERROR(__xludf.DUMMYFUNCTION("""COMPUTED_VALUE"""),782810.0)</f>
        <v>782810</v>
      </c>
      <c r="B3659" t="str">
        <f>IFERROR(__xludf.DUMMYFUNCTION("""COMPUTED_VALUE"""),"Shrimp Baked Or Broiled Made With Cooking Spray")</f>
        <v>Shrimp Baked Or Broiled Made With Cooking Spray</v>
      </c>
      <c r="C3659" t="str">
        <f>IFERROR(__xludf.DUMMYFUNCTION("""COMPUTED_VALUE"""),"Fish")</f>
        <v>Fish</v>
      </c>
      <c r="D3659">
        <f>IFERROR(__xludf.DUMMYFUNCTION("""COMPUTED_VALUE"""),91.0)</f>
        <v>91</v>
      </c>
      <c r="E3659">
        <f>IFERROR(__xludf.DUMMYFUNCTION("""COMPUTED_VALUE"""),1.62)</f>
        <v>1.62</v>
      </c>
      <c r="F3659">
        <f>IFERROR(__xludf.DUMMYFUNCTION("""COMPUTED_VALUE"""),16.65)</f>
        <v>16.65</v>
      </c>
      <c r="G3659">
        <f>IFERROR(__xludf.DUMMYFUNCTION("""COMPUTED_VALUE"""),1.31)</f>
        <v>1.31</v>
      </c>
    </row>
    <row r="3660">
      <c r="A3660">
        <f>IFERROR(__xludf.DUMMYFUNCTION("""COMPUTED_VALUE"""),782811.0)</f>
        <v>782811</v>
      </c>
      <c r="B3660" t="str">
        <f>IFERROR(__xludf.DUMMYFUNCTION("""COMPUTED_VALUE"""),"Shrimp Steamed Or Boiled")</f>
        <v>Shrimp Steamed Or Boiled</v>
      </c>
      <c r="C3660" t="str">
        <f>IFERROR(__xludf.DUMMYFUNCTION("""COMPUTED_VALUE"""),"Fish")</f>
        <v>Fish</v>
      </c>
      <c r="D3660">
        <f>IFERROR(__xludf.DUMMYFUNCTION("""COMPUTED_VALUE"""),91.0)</f>
        <v>91</v>
      </c>
      <c r="E3660">
        <f>IFERROR(__xludf.DUMMYFUNCTION("""COMPUTED_VALUE"""),1.29)</f>
        <v>1.29</v>
      </c>
      <c r="F3660">
        <f>IFERROR(__xludf.DUMMYFUNCTION("""COMPUTED_VALUE"""),17.37)</f>
        <v>17.37</v>
      </c>
      <c r="G3660">
        <f>IFERROR(__xludf.DUMMYFUNCTION("""COMPUTED_VALUE"""),1.16)</f>
        <v>1.16</v>
      </c>
    </row>
    <row r="3661">
      <c r="A3661">
        <f>IFERROR(__xludf.DUMMYFUNCTION("""COMPUTED_VALUE"""),782812.0)</f>
        <v>782812</v>
      </c>
      <c r="B3661" t="str">
        <f>IFERROR(__xludf.DUMMYFUNCTION("""COMPUTED_VALUE"""),"Shrimp Coated Fried Made With Oil")</f>
        <v>Shrimp Coated Fried Made With Oil</v>
      </c>
      <c r="C3661" t="str">
        <f>IFERROR(__xludf.DUMMYFUNCTION("""COMPUTED_VALUE"""),"Fish")</f>
        <v>Fish</v>
      </c>
      <c r="D3661">
        <f>IFERROR(__xludf.DUMMYFUNCTION("""COMPUTED_VALUE"""),212.0)</f>
        <v>212</v>
      </c>
      <c r="E3661">
        <f>IFERROR(__xludf.DUMMYFUNCTION("""COMPUTED_VALUE"""),11.6)</f>
        <v>11.6</v>
      </c>
      <c r="F3661">
        <f>IFERROR(__xludf.DUMMYFUNCTION("""COMPUTED_VALUE"""),15.15)</f>
        <v>15.15</v>
      </c>
      <c r="G3661">
        <f>IFERROR(__xludf.DUMMYFUNCTION("""COMPUTED_VALUE"""),11.02)</f>
        <v>11.02</v>
      </c>
    </row>
    <row r="3662">
      <c r="A3662">
        <f>IFERROR(__xludf.DUMMYFUNCTION("""COMPUTED_VALUE"""),782813.0)</f>
        <v>782813</v>
      </c>
      <c r="B3662" t="str">
        <f>IFERROR(__xludf.DUMMYFUNCTION("""COMPUTED_VALUE"""),"Shrimp Coated Fried Made With Butter")</f>
        <v>Shrimp Coated Fried Made With Butter</v>
      </c>
      <c r="C3662" t="str">
        <f>IFERROR(__xludf.DUMMYFUNCTION("""COMPUTED_VALUE"""),"Fish")</f>
        <v>Fish</v>
      </c>
      <c r="D3662">
        <f>IFERROR(__xludf.DUMMYFUNCTION("""COMPUTED_VALUE"""),197.0)</f>
        <v>197</v>
      </c>
      <c r="E3662">
        <f>IFERROR(__xludf.DUMMYFUNCTION("""COMPUTED_VALUE"""),9.89)</f>
        <v>9.89</v>
      </c>
      <c r="F3662">
        <f>IFERROR(__xludf.DUMMYFUNCTION("""COMPUTED_VALUE"""),15.22)</f>
        <v>15.22</v>
      </c>
      <c r="G3662">
        <f>IFERROR(__xludf.DUMMYFUNCTION("""COMPUTED_VALUE"""),11.02)</f>
        <v>11.02</v>
      </c>
    </row>
    <row r="3663">
      <c r="A3663">
        <f>IFERROR(__xludf.DUMMYFUNCTION("""COMPUTED_VALUE"""),782814.0)</f>
        <v>782814</v>
      </c>
      <c r="B3663" t="str">
        <f>IFERROR(__xludf.DUMMYFUNCTION("""COMPUTED_VALUE"""),"Shrimp Coated Fried Made With Margarine")</f>
        <v>Shrimp Coated Fried Made With Margarine</v>
      </c>
      <c r="C3663" t="str">
        <f>IFERROR(__xludf.DUMMYFUNCTION("""COMPUTED_VALUE"""),"Fish")</f>
        <v>Fish</v>
      </c>
      <c r="D3663">
        <f>IFERROR(__xludf.DUMMYFUNCTION("""COMPUTED_VALUE"""),181.0)</f>
        <v>181</v>
      </c>
      <c r="E3663">
        <f>IFERROR(__xludf.DUMMYFUNCTION("""COMPUTED_VALUE"""),7.97)</f>
        <v>7.97</v>
      </c>
      <c r="F3663">
        <f>IFERROR(__xludf.DUMMYFUNCTION("""COMPUTED_VALUE"""),15.16)</f>
        <v>15.16</v>
      </c>
      <c r="G3663">
        <f>IFERROR(__xludf.DUMMYFUNCTION("""COMPUTED_VALUE"""),11.1)</f>
        <v>11.1</v>
      </c>
    </row>
    <row r="3664">
      <c r="A3664">
        <f>IFERROR(__xludf.DUMMYFUNCTION("""COMPUTED_VALUE"""),782815.0)</f>
        <v>782815</v>
      </c>
      <c r="B3664" t="str">
        <f>IFERROR(__xludf.DUMMYFUNCTION("""COMPUTED_VALUE"""),"Shrimp Coated Fried Made Without Fat")</f>
        <v>Shrimp Coated Fried Made Without Fat</v>
      </c>
      <c r="C3664" t="str">
        <f>IFERROR(__xludf.DUMMYFUNCTION("""COMPUTED_VALUE"""),"Fish")</f>
        <v>Fish</v>
      </c>
      <c r="D3664">
        <f>IFERROR(__xludf.DUMMYFUNCTION("""COMPUTED_VALUE"""),147.0)</f>
        <v>147</v>
      </c>
      <c r="E3664">
        <f>IFERROR(__xludf.DUMMYFUNCTION("""COMPUTED_VALUE"""),2.84)</f>
        <v>2.84</v>
      </c>
      <c r="F3664">
        <f>IFERROR(__xludf.DUMMYFUNCTION("""COMPUTED_VALUE"""),16.77)</f>
        <v>16.77</v>
      </c>
      <c r="G3664">
        <f>IFERROR(__xludf.DUMMYFUNCTION("""COMPUTED_VALUE"""),12.2)</f>
        <v>12.2</v>
      </c>
    </row>
    <row r="3665">
      <c r="A3665">
        <f>IFERROR(__xludf.DUMMYFUNCTION("""COMPUTED_VALUE"""),782816.0)</f>
        <v>782816</v>
      </c>
      <c r="B3665" t="str">
        <f>IFERROR(__xludf.DUMMYFUNCTION("""COMPUTED_VALUE"""),"Shrimp Coated Fried Made With Cooking Spray")</f>
        <v>Shrimp Coated Fried Made With Cooking Spray</v>
      </c>
      <c r="C3665" t="str">
        <f>IFERROR(__xludf.DUMMYFUNCTION("""COMPUTED_VALUE"""),"Fish")</f>
        <v>Fish</v>
      </c>
      <c r="D3665">
        <f>IFERROR(__xludf.DUMMYFUNCTION("""COMPUTED_VALUE"""),149.0)</f>
        <v>149</v>
      </c>
      <c r="E3665">
        <f>IFERROR(__xludf.DUMMYFUNCTION("""COMPUTED_VALUE"""),3.14)</f>
        <v>3.14</v>
      </c>
      <c r="F3665">
        <f>IFERROR(__xludf.DUMMYFUNCTION("""COMPUTED_VALUE"""),16.72)</f>
        <v>16.72</v>
      </c>
      <c r="G3665">
        <f>IFERROR(__xludf.DUMMYFUNCTION("""COMPUTED_VALUE"""),12.24)</f>
        <v>12.24</v>
      </c>
    </row>
    <row r="3666">
      <c r="A3666">
        <f>IFERROR(__xludf.DUMMYFUNCTION("""COMPUTED_VALUE"""),782818.0)</f>
        <v>782818</v>
      </c>
      <c r="B3666" t="str">
        <f>IFERROR(__xludf.DUMMYFUNCTION("""COMPUTED_VALUE"""),"Shrimp Coated Baked Or Broiled Made With Oil")</f>
        <v>Shrimp Coated Baked Or Broiled Made With Oil</v>
      </c>
      <c r="C3666" t="str">
        <f>IFERROR(__xludf.DUMMYFUNCTION("""COMPUTED_VALUE"""),"Fish")</f>
        <v>Fish</v>
      </c>
      <c r="D3666">
        <f>IFERROR(__xludf.DUMMYFUNCTION("""COMPUTED_VALUE"""),178.0)</f>
        <v>178</v>
      </c>
      <c r="E3666">
        <f>IFERROR(__xludf.DUMMYFUNCTION("""COMPUTED_VALUE"""),7.11)</f>
        <v>7.11</v>
      </c>
      <c r="F3666">
        <f>IFERROR(__xludf.DUMMYFUNCTION("""COMPUTED_VALUE"""),14.62)</f>
        <v>14.62</v>
      </c>
      <c r="G3666">
        <f>IFERROR(__xludf.DUMMYFUNCTION("""COMPUTED_VALUE"""),13.04)</f>
        <v>13.04</v>
      </c>
    </row>
    <row r="3667">
      <c r="A3667">
        <f>IFERROR(__xludf.DUMMYFUNCTION("""COMPUTED_VALUE"""),782819.0)</f>
        <v>782819</v>
      </c>
      <c r="B3667" t="str">
        <f>IFERROR(__xludf.DUMMYFUNCTION("""COMPUTED_VALUE"""),"Shrimp Coated Baked Or Broiled Made With Butter")</f>
        <v>Shrimp Coated Baked Or Broiled Made With Butter</v>
      </c>
      <c r="C3667" t="str">
        <f>IFERROR(__xludf.DUMMYFUNCTION("""COMPUTED_VALUE"""),"Fish")</f>
        <v>Fish</v>
      </c>
      <c r="D3667">
        <f>IFERROR(__xludf.DUMMYFUNCTION("""COMPUTED_VALUE"""),170.0)</f>
        <v>170</v>
      </c>
      <c r="E3667">
        <f>IFERROR(__xludf.DUMMYFUNCTION("""COMPUTED_VALUE"""),6.24)</f>
        <v>6.24</v>
      </c>
      <c r="F3667">
        <f>IFERROR(__xludf.DUMMYFUNCTION("""COMPUTED_VALUE"""),14.65)</f>
        <v>14.65</v>
      </c>
      <c r="G3667">
        <f>IFERROR(__xludf.DUMMYFUNCTION("""COMPUTED_VALUE"""),13.02)</f>
        <v>13.02</v>
      </c>
    </row>
    <row r="3668">
      <c r="A3668">
        <f>IFERROR(__xludf.DUMMYFUNCTION("""COMPUTED_VALUE"""),782820.0)</f>
        <v>782820</v>
      </c>
      <c r="B3668" t="str">
        <f>IFERROR(__xludf.DUMMYFUNCTION("""COMPUTED_VALUE"""),"Shrimp Coated Baked Or Broiled Made With Margarine")</f>
        <v>Shrimp Coated Baked Or Broiled Made With Margarine</v>
      </c>
      <c r="C3668" t="str">
        <f>IFERROR(__xludf.DUMMYFUNCTION("""COMPUTED_VALUE"""),"Fish")</f>
        <v>Fish</v>
      </c>
      <c r="D3668">
        <f>IFERROR(__xludf.DUMMYFUNCTION("""COMPUTED_VALUE"""),160.0)</f>
        <v>160</v>
      </c>
      <c r="E3668">
        <f>IFERROR(__xludf.DUMMYFUNCTION("""COMPUTED_VALUE"""),5.06)</f>
        <v>5.06</v>
      </c>
      <c r="F3668">
        <f>IFERROR(__xludf.DUMMYFUNCTION("""COMPUTED_VALUE"""),14.6)</f>
        <v>14.6</v>
      </c>
      <c r="G3668">
        <f>IFERROR(__xludf.DUMMYFUNCTION("""COMPUTED_VALUE"""),13.06)</f>
        <v>13.06</v>
      </c>
    </row>
    <row r="3669">
      <c r="A3669">
        <f>IFERROR(__xludf.DUMMYFUNCTION("""COMPUTED_VALUE"""),782821.0)</f>
        <v>782821</v>
      </c>
      <c r="B3669" t="str">
        <f>IFERROR(__xludf.DUMMYFUNCTION("""COMPUTED_VALUE"""),"Shrimp Coated Baked Or Broiled Made Without Fat")</f>
        <v>Shrimp Coated Baked Or Broiled Made Without Fat</v>
      </c>
      <c r="C3669" t="str">
        <f>IFERROR(__xludf.DUMMYFUNCTION("""COMPUTED_VALUE"""),"Fish")</f>
        <v>Fish</v>
      </c>
      <c r="D3669">
        <f>IFERROR(__xludf.DUMMYFUNCTION("""COMPUTED_VALUE"""),136.0)</f>
        <v>136</v>
      </c>
      <c r="E3669">
        <f>IFERROR(__xludf.DUMMYFUNCTION("""COMPUTED_VALUE"""),1.71)</f>
        <v>1.71</v>
      </c>
      <c r="F3669">
        <f>IFERROR(__xludf.DUMMYFUNCTION("""COMPUTED_VALUE"""),15.29)</f>
        <v>15.29</v>
      </c>
      <c r="G3669">
        <f>IFERROR(__xludf.DUMMYFUNCTION("""COMPUTED_VALUE"""),13.64)</f>
        <v>13.64</v>
      </c>
    </row>
    <row r="3670">
      <c r="A3670">
        <f>IFERROR(__xludf.DUMMYFUNCTION("""COMPUTED_VALUE"""),782822.0)</f>
        <v>782822</v>
      </c>
      <c r="B3670" t="str">
        <f>IFERROR(__xludf.DUMMYFUNCTION("""COMPUTED_VALUE"""),"Shrimp Coated Baked Or Broiled Made With Cooking Spray")</f>
        <v>Shrimp Coated Baked Or Broiled Made With Cooking Spray</v>
      </c>
      <c r="C3670" t="str">
        <f>IFERROR(__xludf.DUMMYFUNCTION("""COMPUTED_VALUE"""),"Fish")</f>
        <v>Fish</v>
      </c>
      <c r="D3670">
        <f>IFERROR(__xludf.DUMMYFUNCTION("""COMPUTED_VALUE"""),138.0)</f>
        <v>138</v>
      </c>
      <c r="E3670">
        <f>IFERROR(__xludf.DUMMYFUNCTION("""COMPUTED_VALUE"""),2.0)</f>
        <v>2</v>
      </c>
      <c r="F3670">
        <f>IFERROR(__xludf.DUMMYFUNCTION("""COMPUTED_VALUE"""),15.25)</f>
        <v>15.25</v>
      </c>
      <c r="G3670">
        <f>IFERROR(__xludf.DUMMYFUNCTION("""COMPUTED_VALUE"""),13.67)</f>
        <v>13.67</v>
      </c>
    </row>
    <row r="3671">
      <c r="A3671">
        <f>IFERROR(__xludf.DUMMYFUNCTION("""COMPUTED_VALUE"""),782823.0)</f>
        <v>782823</v>
      </c>
      <c r="B3671" t="str">
        <f>IFERROR(__xludf.DUMMYFUNCTION("""COMPUTED_VALUE"""),"Shrimp Dried")</f>
        <v>Shrimp Dried</v>
      </c>
      <c r="C3671" t="str">
        <f>IFERROR(__xludf.DUMMYFUNCTION("""COMPUTED_VALUE"""),"Fish")</f>
        <v>Fish</v>
      </c>
      <c r="D3671">
        <f>IFERROR(__xludf.DUMMYFUNCTION("""COMPUTED_VALUE"""),253.0)</f>
        <v>253</v>
      </c>
      <c r="E3671">
        <f>IFERROR(__xludf.DUMMYFUNCTION("""COMPUTED_VALUE"""),3.44)</f>
        <v>3.44</v>
      </c>
      <c r="F3671">
        <f>IFERROR(__xludf.DUMMYFUNCTION("""COMPUTED_VALUE"""),51.7)</f>
        <v>51.7</v>
      </c>
      <c r="G3671">
        <f>IFERROR(__xludf.DUMMYFUNCTION("""COMPUTED_VALUE"""),0.0)</f>
        <v>0</v>
      </c>
    </row>
    <row r="3672">
      <c r="A3672">
        <f>IFERROR(__xludf.DUMMYFUNCTION("""COMPUTED_VALUE"""),782825.0)</f>
        <v>782825</v>
      </c>
      <c r="B3672" t="str">
        <f>IFERROR(__xludf.DUMMYFUNCTION("""COMPUTED_VALUE"""),"Snails Cooked Ns As To Cooking Method")</f>
        <v>Snails Cooked Ns As To Cooking Method</v>
      </c>
      <c r="C3672" t="str">
        <f>IFERROR(__xludf.DUMMYFUNCTION("""COMPUTED_VALUE"""),"Fish")</f>
        <v>Fish</v>
      </c>
      <c r="D3672">
        <f>IFERROR(__xludf.DUMMYFUNCTION("""COMPUTED_VALUE"""),139.0)</f>
        <v>139</v>
      </c>
      <c r="E3672">
        <f>IFERROR(__xludf.DUMMYFUNCTION("""COMPUTED_VALUE"""),5.26)</f>
        <v>5.26</v>
      </c>
      <c r="F3672">
        <f>IFERROR(__xludf.DUMMYFUNCTION("""COMPUTED_VALUE"""),19.21)</f>
        <v>19.21</v>
      </c>
      <c r="G3672">
        <f>IFERROR(__xludf.DUMMYFUNCTION("""COMPUTED_VALUE"""),2.48)</f>
        <v>2.48</v>
      </c>
    </row>
    <row r="3673">
      <c r="A3673">
        <f>IFERROR(__xludf.DUMMYFUNCTION("""COMPUTED_VALUE"""),782826.0)</f>
        <v>782826</v>
      </c>
      <c r="B3673" t="str">
        <f>IFERROR(__xludf.DUMMYFUNCTION("""COMPUTED_VALUE"""),"Beef With Tomato-Based Sauce")</f>
        <v>Beef With Tomato-Based Sauce</v>
      </c>
      <c r="C3673" t="str">
        <f>IFERROR(__xludf.DUMMYFUNCTION("""COMPUTED_VALUE"""),"Meats")</f>
        <v>Meats</v>
      </c>
      <c r="D3673">
        <f>IFERROR(__xludf.DUMMYFUNCTION("""COMPUTED_VALUE"""),149.0)</f>
        <v>149</v>
      </c>
      <c r="E3673">
        <f>IFERROR(__xludf.DUMMYFUNCTION("""COMPUTED_VALUE"""),6.36)</f>
        <v>6.36</v>
      </c>
      <c r="F3673">
        <f>IFERROR(__xludf.DUMMYFUNCTION("""COMPUTED_VALUE"""),21.72)</f>
        <v>21.72</v>
      </c>
      <c r="G3673">
        <f>IFERROR(__xludf.DUMMYFUNCTION("""COMPUTED_VALUE"""),1.58)</f>
        <v>1.58</v>
      </c>
    </row>
    <row r="3674">
      <c r="A3674">
        <f>IFERROR(__xludf.DUMMYFUNCTION("""COMPUTED_VALUE"""),782827.0)</f>
        <v>782827</v>
      </c>
      <c r="B3674" t="str">
        <f>IFERROR(__xludf.DUMMYFUNCTION("""COMPUTED_VALUE"""),"Beef Goulash")</f>
        <v>Beef Goulash</v>
      </c>
      <c r="C3674" t="str">
        <f>IFERROR(__xludf.DUMMYFUNCTION("""COMPUTED_VALUE"""),"Meats")</f>
        <v>Meats</v>
      </c>
      <c r="D3674">
        <f>IFERROR(__xludf.DUMMYFUNCTION("""COMPUTED_VALUE"""),102.0)</f>
        <v>102</v>
      </c>
      <c r="E3674">
        <f>IFERROR(__xludf.DUMMYFUNCTION("""COMPUTED_VALUE"""),3.78)</f>
        <v>3.78</v>
      </c>
      <c r="F3674">
        <f>IFERROR(__xludf.DUMMYFUNCTION("""COMPUTED_VALUE"""),13.69)</f>
        <v>13.69</v>
      </c>
      <c r="G3674">
        <f>IFERROR(__xludf.DUMMYFUNCTION("""COMPUTED_VALUE"""),2.79)</f>
        <v>2.79</v>
      </c>
    </row>
    <row r="3675">
      <c r="A3675">
        <f>IFERROR(__xludf.DUMMYFUNCTION("""COMPUTED_VALUE"""),782828.0)</f>
        <v>782828</v>
      </c>
      <c r="B3675" t="str">
        <f>IFERROR(__xludf.DUMMYFUNCTION("""COMPUTED_VALUE"""),"Beef Burgundy")</f>
        <v>Beef Burgundy</v>
      </c>
      <c r="C3675" t="str">
        <f>IFERROR(__xludf.DUMMYFUNCTION("""COMPUTED_VALUE"""),"Meats")</f>
        <v>Meats</v>
      </c>
      <c r="D3675">
        <f>IFERROR(__xludf.DUMMYFUNCTION("""COMPUTED_VALUE"""),146.0)</f>
        <v>146</v>
      </c>
      <c r="E3675">
        <f>IFERROR(__xludf.DUMMYFUNCTION("""COMPUTED_VALUE"""),5.94)</f>
        <v>5.94</v>
      </c>
      <c r="F3675">
        <f>IFERROR(__xludf.DUMMYFUNCTION("""COMPUTED_VALUE"""),18.5)</f>
        <v>18.5</v>
      </c>
      <c r="G3675">
        <f>IFERROR(__xludf.DUMMYFUNCTION("""COMPUTED_VALUE"""),4.06)</f>
        <v>4.06</v>
      </c>
    </row>
    <row r="3676">
      <c r="A3676">
        <f>IFERROR(__xludf.DUMMYFUNCTION("""COMPUTED_VALUE"""),782829.0)</f>
        <v>782829</v>
      </c>
      <c r="B3676" t="str">
        <f>IFERROR(__xludf.DUMMYFUNCTION("""COMPUTED_VALUE"""),"Beef Stew No Potatoes Tomato-Based Sauce Mexican Style")</f>
        <v>Beef Stew No Potatoes Tomato-Based Sauce Mexican Style</v>
      </c>
      <c r="C3676" t="str">
        <f>IFERROR(__xludf.DUMMYFUNCTION("""COMPUTED_VALUE"""),"Meats")</f>
        <v>Meats</v>
      </c>
      <c r="D3676">
        <f>IFERROR(__xludf.DUMMYFUNCTION("""COMPUTED_VALUE"""),115.0)</f>
        <v>115</v>
      </c>
      <c r="E3676">
        <f>IFERROR(__xludf.DUMMYFUNCTION("""COMPUTED_VALUE"""),4.39)</f>
        <v>4.39</v>
      </c>
      <c r="F3676">
        <f>IFERROR(__xludf.DUMMYFUNCTION("""COMPUTED_VALUE"""),14.8)</f>
        <v>14.8</v>
      </c>
      <c r="G3676">
        <f>IFERROR(__xludf.DUMMYFUNCTION("""COMPUTED_VALUE"""),3.33)</f>
        <v>3.33</v>
      </c>
    </row>
    <row r="3677">
      <c r="A3677">
        <f>IFERROR(__xludf.DUMMYFUNCTION("""COMPUTED_VALUE"""),782830.0)</f>
        <v>782830</v>
      </c>
      <c r="B3677" t="str">
        <f>IFERROR(__xludf.DUMMYFUNCTION("""COMPUTED_VALUE"""),"Beef Stew No Potatoes Tomato-Based Sauce With Chili Peppers Mexican Style")</f>
        <v>Beef Stew No Potatoes Tomato-Based Sauce With Chili Peppers Mexican Style</v>
      </c>
      <c r="C3677" t="str">
        <f>IFERROR(__xludf.DUMMYFUNCTION("""COMPUTED_VALUE"""),"Meats")</f>
        <v>Meats</v>
      </c>
      <c r="D3677">
        <f>IFERROR(__xludf.DUMMYFUNCTION("""COMPUTED_VALUE"""),97.0)</f>
        <v>97</v>
      </c>
      <c r="E3677">
        <f>IFERROR(__xludf.DUMMYFUNCTION("""COMPUTED_VALUE"""),3.34)</f>
        <v>3.34</v>
      </c>
      <c r="F3677">
        <f>IFERROR(__xludf.DUMMYFUNCTION("""COMPUTED_VALUE"""),11.66)</f>
        <v>11.66</v>
      </c>
      <c r="G3677">
        <f>IFERROR(__xludf.DUMMYFUNCTION("""COMPUTED_VALUE"""),5.23)</f>
        <v>5.23</v>
      </c>
    </row>
    <row r="3678">
      <c r="A3678">
        <f>IFERROR(__xludf.DUMMYFUNCTION("""COMPUTED_VALUE"""),782831.0)</f>
        <v>782831</v>
      </c>
      <c r="B3678" t="str">
        <f>IFERROR(__xludf.DUMMYFUNCTION("""COMPUTED_VALUE"""),"Chili Con Carne Ns As To Beans")</f>
        <v>Chili Con Carne Ns As To Beans</v>
      </c>
      <c r="C3678" t="str">
        <f>IFERROR(__xludf.DUMMYFUNCTION("""COMPUTED_VALUE"""),"Meats")</f>
        <v>Meats</v>
      </c>
      <c r="D3678">
        <f>IFERROR(__xludf.DUMMYFUNCTION("""COMPUTED_VALUE"""),98.0)</f>
        <v>98</v>
      </c>
      <c r="E3678">
        <f>IFERROR(__xludf.DUMMYFUNCTION("""COMPUTED_VALUE"""),4.21)</f>
        <v>4.21</v>
      </c>
      <c r="F3678">
        <f>IFERROR(__xludf.DUMMYFUNCTION("""COMPUTED_VALUE"""),8.05)</f>
        <v>8.05</v>
      </c>
      <c r="G3678">
        <f>IFERROR(__xludf.DUMMYFUNCTION("""COMPUTED_VALUE"""),7.22)</f>
        <v>7.22</v>
      </c>
    </row>
    <row r="3679">
      <c r="A3679">
        <f>IFERROR(__xludf.DUMMYFUNCTION("""COMPUTED_VALUE"""),782833.0)</f>
        <v>782833</v>
      </c>
      <c r="B3679" t="str">
        <f>IFERROR(__xludf.DUMMYFUNCTION("""COMPUTED_VALUE"""),"Chili Con Carne With Beans Home Recipe")</f>
        <v>Chili Con Carne With Beans Home Recipe</v>
      </c>
      <c r="C3679" t="str">
        <f>IFERROR(__xludf.DUMMYFUNCTION("""COMPUTED_VALUE"""),"Meats")</f>
        <v>Meats</v>
      </c>
      <c r="D3679">
        <f>IFERROR(__xludf.DUMMYFUNCTION("""COMPUTED_VALUE"""),98.0)</f>
        <v>98</v>
      </c>
      <c r="E3679">
        <f>IFERROR(__xludf.DUMMYFUNCTION("""COMPUTED_VALUE"""),4.21)</f>
        <v>4.21</v>
      </c>
      <c r="F3679">
        <f>IFERROR(__xludf.DUMMYFUNCTION("""COMPUTED_VALUE"""),8.05)</f>
        <v>8.05</v>
      </c>
      <c r="G3679">
        <f>IFERROR(__xludf.DUMMYFUNCTION("""COMPUTED_VALUE"""),7.21)</f>
        <v>7.21</v>
      </c>
    </row>
    <row r="3680">
      <c r="A3680">
        <f>IFERROR(__xludf.DUMMYFUNCTION("""COMPUTED_VALUE"""),782835.0)</f>
        <v>782835</v>
      </c>
      <c r="B3680" t="str">
        <f>IFERROR(__xludf.DUMMYFUNCTION("""COMPUTED_VALUE"""),"Chili Con Carne With Beans")</f>
        <v>Chili Con Carne With Beans</v>
      </c>
      <c r="C3680" t="str">
        <f>IFERROR(__xludf.DUMMYFUNCTION("""COMPUTED_VALUE"""),"Meats")</f>
        <v>Meats</v>
      </c>
      <c r="D3680">
        <f>IFERROR(__xludf.DUMMYFUNCTION("""COMPUTED_VALUE"""),104.0)</f>
        <v>104</v>
      </c>
      <c r="E3680">
        <f>IFERROR(__xludf.DUMMYFUNCTION("""COMPUTED_VALUE"""),3.81)</f>
        <v>3.81</v>
      </c>
      <c r="F3680">
        <f>IFERROR(__xludf.DUMMYFUNCTION("""COMPUTED_VALUE"""),6.88)</f>
        <v>6.88</v>
      </c>
      <c r="G3680">
        <f>IFERROR(__xludf.DUMMYFUNCTION("""COMPUTED_VALUE"""),10.71)</f>
        <v>10.71</v>
      </c>
    </row>
    <row r="3681">
      <c r="A3681">
        <f>IFERROR(__xludf.DUMMYFUNCTION("""COMPUTED_VALUE"""),782837.0)</f>
        <v>782837</v>
      </c>
      <c r="B3681" t="str">
        <f>IFERROR(__xludf.DUMMYFUNCTION("""COMPUTED_VALUE"""),"Chili Con Carne Ns As To Beans With Cheese")</f>
        <v>Chili Con Carne Ns As To Beans With Cheese</v>
      </c>
      <c r="C3681" t="str">
        <f>IFERROR(__xludf.DUMMYFUNCTION("""COMPUTED_VALUE"""),"Meats")</f>
        <v>Meats</v>
      </c>
      <c r="D3681">
        <f>IFERROR(__xludf.DUMMYFUNCTION("""COMPUTED_VALUE"""),123.0)</f>
        <v>123</v>
      </c>
      <c r="E3681">
        <f>IFERROR(__xludf.DUMMYFUNCTION("""COMPUTED_VALUE"""),5.03)</f>
        <v>5.03</v>
      </c>
      <c r="F3681">
        <f>IFERROR(__xludf.DUMMYFUNCTION("""COMPUTED_VALUE"""),6.69)</f>
        <v>6.69</v>
      </c>
      <c r="G3681">
        <f>IFERROR(__xludf.DUMMYFUNCTION("""COMPUTED_VALUE"""),12.58)</f>
        <v>12.58</v>
      </c>
    </row>
    <row r="3682">
      <c r="A3682">
        <f>IFERROR(__xludf.DUMMYFUNCTION("""COMPUTED_VALUE"""),782838.0)</f>
        <v>782838</v>
      </c>
      <c r="B3682" t="str">
        <f>IFERROR(__xludf.DUMMYFUNCTION("""COMPUTED_VALUE"""),"Chili Con Carne With Beans And Cheese")</f>
        <v>Chili Con Carne With Beans And Cheese</v>
      </c>
      <c r="C3682" t="str">
        <f>IFERROR(__xludf.DUMMYFUNCTION("""COMPUTED_VALUE"""),"Meats")</f>
        <v>Meats</v>
      </c>
      <c r="D3682">
        <f>IFERROR(__xludf.DUMMYFUNCTION("""COMPUTED_VALUE"""),123.0)</f>
        <v>123</v>
      </c>
      <c r="E3682">
        <f>IFERROR(__xludf.DUMMYFUNCTION("""COMPUTED_VALUE"""),5.03)</f>
        <v>5.03</v>
      </c>
      <c r="F3682">
        <f>IFERROR(__xludf.DUMMYFUNCTION("""COMPUTED_VALUE"""),6.69)</f>
        <v>6.69</v>
      </c>
      <c r="G3682">
        <f>IFERROR(__xludf.DUMMYFUNCTION("""COMPUTED_VALUE"""),12.58)</f>
        <v>12.58</v>
      </c>
    </row>
    <row r="3683">
      <c r="A3683">
        <f>IFERROR(__xludf.DUMMYFUNCTION("""COMPUTED_VALUE"""),782839.0)</f>
        <v>782839</v>
      </c>
      <c r="B3683" t="str">
        <f>IFERROR(__xludf.DUMMYFUNCTION("""COMPUTED_VALUE"""),"Beef Sloppy Joe No Bun")</f>
        <v>Beef Sloppy Joe No Bun</v>
      </c>
      <c r="C3683" t="str">
        <f>IFERROR(__xludf.DUMMYFUNCTION("""COMPUTED_VALUE"""),"Meats")</f>
        <v>Meats</v>
      </c>
      <c r="D3683">
        <f>IFERROR(__xludf.DUMMYFUNCTION("""COMPUTED_VALUE"""),138.0)</f>
        <v>138</v>
      </c>
      <c r="E3683">
        <f>IFERROR(__xludf.DUMMYFUNCTION("""COMPUTED_VALUE"""),6.77)</f>
        <v>6.77</v>
      </c>
      <c r="F3683">
        <f>IFERROR(__xludf.DUMMYFUNCTION("""COMPUTED_VALUE"""),10.78)</f>
        <v>10.78</v>
      </c>
      <c r="G3683">
        <f>IFERROR(__xludf.DUMMYFUNCTION("""COMPUTED_VALUE"""),8.75)</f>
        <v>8.75</v>
      </c>
    </row>
    <row r="3684">
      <c r="A3684">
        <f>IFERROR(__xludf.DUMMYFUNCTION("""COMPUTED_VALUE"""),782840.0)</f>
        <v>782840</v>
      </c>
      <c r="B3684" t="str">
        <f>IFERROR(__xludf.DUMMYFUNCTION("""COMPUTED_VALUE"""),"Beef With Gravy")</f>
        <v>Beef With Gravy</v>
      </c>
      <c r="C3684" t="str">
        <f>IFERROR(__xludf.DUMMYFUNCTION("""COMPUTED_VALUE"""),"Meats")</f>
        <v>Meats</v>
      </c>
      <c r="D3684">
        <f>IFERROR(__xludf.DUMMYFUNCTION("""COMPUTED_VALUE"""),156.0)</f>
        <v>156</v>
      </c>
      <c r="E3684">
        <f>IFERROR(__xludf.DUMMYFUNCTION("""COMPUTED_VALUE"""),7.05)</f>
        <v>7.05</v>
      </c>
      <c r="F3684">
        <f>IFERROR(__xludf.DUMMYFUNCTION("""COMPUTED_VALUE"""),21.56)</f>
        <v>21.56</v>
      </c>
      <c r="G3684">
        <f>IFERROR(__xludf.DUMMYFUNCTION("""COMPUTED_VALUE"""),1.58)</f>
        <v>1.58</v>
      </c>
    </row>
    <row r="3685">
      <c r="A3685">
        <f>IFERROR(__xludf.DUMMYFUNCTION("""COMPUTED_VALUE"""),782842.0)</f>
        <v>782842</v>
      </c>
      <c r="B3685" t="str">
        <f>IFERROR(__xludf.DUMMYFUNCTION("""COMPUTED_VALUE"""),"Beef With Cream Or White Sauce")</f>
        <v>Beef With Cream Or White Sauce</v>
      </c>
      <c r="C3685" t="str">
        <f>IFERROR(__xludf.DUMMYFUNCTION("""COMPUTED_VALUE"""),"Meats")</f>
        <v>Meats</v>
      </c>
      <c r="D3685">
        <f>IFERROR(__xludf.DUMMYFUNCTION("""COMPUTED_VALUE"""),186.0)</f>
        <v>186</v>
      </c>
      <c r="E3685">
        <f>IFERROR(__xludf.DUMMYFUNCTION("""COMPUTED_VALUE"""),9.44)</f>
        <v>9.44</v>
      </c>
      <c r="F3685">
        <f>IFERROR(__xludf.DUMMYFUNCTION("""COMPUTED_VALUE"""),22.5)</f>
        <v>22.5</v>
      </c>
      <c r="G3685">
        <f>IFERROR(__xludf.DUMMYFUNCTION("""COMPUTED_VALUE"""),2.74)</f>
        <v>2.74</v>
      </c>
    </row>
    <row r="3686">
      <c r="A3686">
        <f>IFERROR(__xludf.DUMMYFUNCTION("""COMPUTED_VALUE"""),782843.0)</f>
        <v>782843</v>
      </c>
      <c r="B3686" t="str">
        <f>IFERROR(__xludf.DUMMYFUNCTION("""COMPUTED_VALUE"""),"Beef Stroganoff")</f>
        <v>Beef Stroganoff</v>
      </c>
      <c r="C3686" t="str">
        <f>IFERROR(__xludf.DUMMYFUNCTION("""COMPUTED_VALUE"""),"Meats")</f>
        <v>Meats</v>
      </c>
      <c r="D3686">
        <f>IFERROR(__xludf.DUMMYFUNCTION("""COMPUTED_VALUE"""),149.0)</f>
        <v>149</v>
      </c>
      <c r="E3686">
        <f>IFERROR(__xludf.DUMMYFUNCTION("""COMPUTED_VALUE"""),9.45)</f>
        <v>9.45</v>
      </c>
      <c r="F3686">
        <f>IFERROR(__xludf.DUMMYFUNCTION("""COMPUTED_VALUE"""),9.98)</f>
        <v>9.98</v>
      </c>
      <c r="G3686">
        <f>IFERROR(__xludf.DUMMYFUNCTION("""COMPUTED_VALUE"""),6.0)</f>
        <v>6</v>
      </c>
    </row>
    <row r="3687">
      <c r="A3687">
        <f>IFERROR(__xludf.DUMMYFUNCTION("""COMPUTED_VALUE"""),782844.0)</f>
        <v>782844</v>
      </c>
      <c r="B3687" t="str">
        <f>IFERROR(__xludf.DUMMYFUNCTION("""COMPUTED_VALUE"""),"Creamed Chipped Or Dried Beef")</f>
        <v>Creamed Chipped Or Dried Beef</v>
      </c>
      <c r="C3687" t="str">
        <f>IFERROR(__xludf.DUMMYFUNCTION("""COMPUTED_VALUE"""),"Meats")</f>
        <v>Meats</v>
      </c>
      <c r="D3687">
        <f>IFERROR(__xludf.DUMMYFUNCTION("""COMPUTED_VALUE"""),131.0)</f>
        <v>131</v>
      </c>
      <c r="E3687">
        <f>IFERROR(__xludf.DUMMYFUNCTION("""COMPUTED_VALUE"""),7.95)</f>
        <v>7.95</v>
      </c>
      <c r="F3687">
        <f>IFERROR(__xludf.DUMMYFUNCTION("""COMPUTED_VALUE"""),7.57)</f>
        <v>7.57</v>
      </c>
      <c r="G3687">
        <f>IFERROR(__xludf.DUMMYFUNCTION("""COMPUTED_VALUE"""),7.55)</f>
        <v>7.55</v>
      </c>
    </row>
    <row r="3688">
      <c r="A3688">
        <f>IFERROR(__xludf.DUMMYFUNCTION("""COMPUTED_VALUE"""),782845.0)</f>
        <v>782845</v>
      </c>
      <c r="B3688" t="str">
        <f>IFERROR(__xludf.DUMMYFUNCTION("""COMPUTED_VALUE"""),"Swedish Meatballs With Cream Or White Sauce")</f>
        <v>Swedish Meatballs With Cream Or White Sauce</v>
      </c>
      <c r="C3688" t="str">
        <f>IFERROR(__xludf.DUMMYFUNCTION("""COMPUTED_VALUE"""),"Meats")</f>
        <v>Meats</v>
      </c>
      <c r="D3688">
        <f>IFERROR(__xludf.DUMMYFUNCTION("""COMPUTED_VALUE"""),170.0)</f>
        <v>170</v>
      </c>
      <c r="E3688">
        <f>IFERROR(__xludf.DUMMYFUNCTION("""COMPUTED_VALUE"""),9.88)</f>
        <v>9.88</v>
      </c>
      <c r="F3688">
        <f>IFERROR(__xludf.DUMMYFUNCTION("""COMPUTED_VALUE"""),12.43)</f>
        <v>12.43</v>
      </c>
      <c r="G3688">
        <f>IFERROR(__xludf.DUMMYFUNCTION("""COMPUTED_VALUE"""),7.22)</f>
        <v>7.22</v>
      </c>
    </row>
    <row r="3689">
      <c r="A3689">
        <f>IFERROR(__xludf.DUMMYFUNCTION("""COMPUTED_VALUE"""),782846.0)</f>
        <v>782846</v>
      </c>
      <c r="B3689" t="str">
        <f>IFERROR(__xludf.DUMMYFUNCTION("""COMPUTED_VALUE"""),"Beef With Mushroom Sauce")</f>
        <v>Beef With Mushroom Sauce</v>
      </c>
      <c r="C3689" t="str">
        <f>IFERROR(__xludf.DUMMYFUNCTION("""COMPUTED_VALUE"""),"Meats")</f>
        <v>Meats</v>
      </c>
      <c r="D3689">
        <f>IFERROR(__xludf.DUMMYFUNCTION("""COMPUTED_VALUE"""),163.0)</f>
        <v>163</v>
      </c>
      <c r="E3689">
        <f>IFERROR(__xludf.DUMMYFUNCTION("""COMPUTED_VALUE"""),7.53)</f>
        <v>7.53</v>
      </c>
      <c r="F3689">
        <f>IFERROR(__xludf.DUMMYFUNCTION("""COMPUTED_VALUE"""),21.96)</f>
        <v>21.96</v>
      </c>
      <c r="G3689">
        <f>IFERROR(__xludf.DUMMYFUNCTION("""COMPUTED_VALUE"""),1.84)</f>
        <v>1.84</v>
      </c>
    </row>
    <row r="3690">
      <c r="A3690">
        <f>IFERROR(__xludf.DUMMYFUNCTION("""COMPUTED_VALUE"""),782849.0)</f>
        <v>782849</v>
      </c>
      <c r="B3690" t="str">
        <f>IFERROR(__xludf.DUMMYFUNCTION("""COMPUTED_VALUE"""),"Beef Curry")</f>
        <v>Beef Curry</v>
      </c>
      <c r="C3690" t="str">
        <f>IFERROR(__xludf.DUMMYFUNCTION("""COMPUTED_VALUE"""),"Meats")</f>
        <v>Meats</v>
      </c>
      <c r="D3690">
        <f>IFERROR(__xludf.DUMMYFUNCTION("""COMPUTED_VALUE"""),104.0)</f>
        <v>104</v>
      </c>
      <c r="E3690">
        <f>IFERROR(__xludf.DUMMYFUNCTION("""COMPUTED_VALUE"""),5.93)</f>
        <v>5.93</v>
      </c>
      <c r="F3690">
        <f>IFERROR(__xludf.DUMMYFUNCTION("""COMPUTED_VALUE"""),6.28)</f>
        <v>6.28</v>
      </c>
      <c r="G3690">
        <f>IFERROR(__xludf.DUMMYFUNCTION("""COMPUTED_VALUE"""),6.83)</f>
        <v>6.83</v>
      </c>
    </row>
    <row r="3691">
      <c r="A3691">
        <f>IFERROR(__xludf.DUMMYFUNCTION("""COMPUTED_VALUE"""),782850.0)</f>
        <v>782850</v>
      </c>
      <c r="B3691" t="str">
        <f>IFERROR(__xludf.DUMMYFUNCTION("""COMPUTED_VALUE"""),"Beef With Barbecue Sauce")</f>
        <v>Beef With Barbecue Sauce</v>
      </c>
      <c r="C3691" t="str">
        <f>IFERROR(__xludf.DUMMYFUNCTION("""COMPUTED_VALUE"""),"Meats")</f>
        <v>Meats</v>
      </c>
      <c r="D3691">
        <f>IFERROR(__xludf.DUMMYFUNCTION("""COMPUTED_VALUE"""),187.0)</f>
        <v>187</v>
      </c>
      <c r="E3691">
        <f>IFERROR(__xludf.DUMMYFUNCTION("""COMPUTED_VALUE"""),6.23)</f>
        <v>6.23</v>
      </c>
      <c r="F3691">
        <f>IFERROR(__xludf.DUMMYFUNCTION("""COMPUTED_VALUE"""),20.86)</f>
        <v>20.86</v>
      </c>
      <c r="G3691">
        <f>IFERROR(__xludf.DUMMYFUNCTION("""COMPUTED_VALUE"""),11.75)</f>
        <v>11.75</v>
      </c>
    </row>
    <row r="3692">
      <c r="A3692">
        <f>IFERROR(__xludf.DUMMYFUNCTION("""COMPUTED_VALUE"""),782852.0)</f>
        <v>782852</v>
      </c>
      <c r="B3692" t="str">
        <f>IFERROR(__xludf.DUMMYFUNCTION("""COMPUTED_VALUE"""),"Stewed Seasoned Ground Beef Mexican Style")</f>
        <v>Stewed Seasoned Ground Beef Mexican Style</v>
      </c>
      <c r="C3692" t="str">
        <f>IFERROR(__xludf.DUMMYFUNCTION("""COMPUTED_VALUE"""),"Meats")</f>
        <v>Meats</v>
      </c>
      <c r="D3692">
        <f>IFERROR(__xludf.DUMMYFUNCTION("""COMPUTED_VALUE"""),194.0)</f>
        <v>194</v>
      </c>
      <c r="E3692">
        <f>IFERROR(__xludf.DUMMYFUNCTION("""COMPUTED_VALUE"""),14.58)</f>
        <v>14.58</v>
      </c>
      <c r="F3692">
        <f>IFERROR(__xludf.DUMMYFUNCTION("""COMPUTED_VALUE"""),13.5)</f>
        <v>13.5</v>
      </c>
      <c r="G3692">
        <f>IFERROR(__xludf.DUMMYFUNCTION("""COMPUTED_VALUE"""),1.31)</f>
        <v>1.31</v>
      </c>
    </row>
    <row r="3693">
      <c r="A3693">
        <f>IFERROR(__xludf.DUMMYFUNCTION("""COMPUTED_VALUE"""),782853.0)</f>
        <v>782853</v>
      </c>
      <c r="B3693" t="str">
        <f>IFERROR(__xludf.DUMMYFUNCTION("""COMPUTED_VALUE"""),"Steak Tartare")</f>
        <v>Steak Tartare</v>
      </c>
      <c r="C3693" t="str">
        <f>IFERROR(__xludf.DUMMYFUNCTION("""COMPUTED_VALUE"""),"Meats")</f>
        <v>Meats</v>
      </c>
      <c r="D3693">
        <f>IFERROR(__xludf.DUMMYFUNCTION("""COMPUTED_VALUE"""),197.0)</f>
        <v>197</v>
      </c>
      <c r="E3693">
        <f>IFERROR(__xludf.DUMMYFUNCTION("""COMPUTED_VALUE"""),13.84)</f>
        <v>13.84</v>
      </c>
      <c r="F3693">
        <f>IFERROR(__xludf.DUMMYFUNCTION("""COMPUTED_VALUE"""),15.67)</f>
        <v>15.67</v>
      </c>
      <c r="G3693">
        <f>IFERROR(__xludf.DUMMYFUNCTION("""COMPUTED_VALUE"""),1.56)</f>
        <v>1.56</v>
      </c>
    </row>
    <row r="3694">
      <c r="A3694">
        <f>IFERROR(__xludf.DUMMYFUNCTION("""COMPUTED_VALUE"""),782854.0)</f>
        <v>782854</v>
      </c>
      <c r="B3694" t="str">
        <f>IFERROR(__xludf.DUMMYFUNCTION("""COMPUTED_VALUE"""),"Meatballs Puerto Rican Style")</f>
        <v>Meatballs Puerto Rican Style</v>
      </c>
      <c r="C3694" t="str">
        <f>IFERROR(__xludf.DUMMYFUNCTION("""COMPUTED_VALUE"""),"Meats")</f>
        <v>Meats</v>
      </c>
      <c r="D3694">
        <f>IFERROR(__xludf.DUMMYFUNCTION("""COMPUTED_VALUE"""),239.0)</f>
        <v>239</v>
      </c>
      <c r="E3694">
        <f>IFERROR(__xludf.DUMMYFUNCTION("""COMPUTED_VALUE"""),17.19)</f>
        <v>17.19</v>
      </c>
      <c r="F3694">
        <f>IFERROR(__xludf.DUMMYFUNCTION("""COMPUTED_VALUE"""),13.82)</f>
        <v>13.82</v>
      </c>
      <c r="G3694">
        <f>IFERROR(__xludf.DUMMYFUNCTION("""COMPUTED_VALUE"""),6.87)</f>
        <v>6.87</v>
      </c>
    </row>
    <row r="3695">
      <c r="A3695">
        <f>IFERROR(__xludf.DUMMYFUNCTION("""COMPUTED_VALUE"""),782855.0)</f>
        <v>782855</v>
      </c>
      <c r="B3695" t="str">
        <f>IFERROR(__xludf.DUMMYFUNCTION("""COMPUTED_VALUE"""),"Stewed Seasoned Ground Beef Puerto Rican Style")</f>
        <v>Stewed Seasoned Ground Beef Puerto Rican Style</v>
      </c>
      <c r="C3695" t="str">
        <f>IFERROR(__xludf.DUMMYFUNCTION("""COMPUTED_VALUE"""),"Meats")</f>
        <v>Meats</v>
      </c>
      <c r="D3695">
        <f>IFERROR(__xludf.DUMMYFUNCTION("""COMPUTED_VALUE"""),296.0)</f>
        <v>296</v>
      </c>
      <c r="E3695">
        <f>IFERROR(__xludf.DUMMYFUNCTION("""COMPUTED_VALUE"""),25.29)</f>
        <v>25.29</v>
      </c>
      <c r="F3695">
        <f>IFERROR(__xludf.DUMMYFUNCTION("""COMPUTED_VALUE"""),13.12)</f>
        <v>13.12</v>
      </c>
      <c r="G3695">
        <f>IFERROR(__xludf.DUMMYFUNCTION("""COMPUTED_VALUE"""),3.92)</f>
        <v>3.92</v>
      </c>
    </row>
    <row r="3696">
      <c r="A3696">
        <f>IFERROR(__xludf.DUMMYFUNCTION("""COMPUTED_VALUE"""),782856.0)</f>
        <v>782856</v>
      </c>
      <c r="B3696" t="str">
        <f>IFERROR(__xludf.DUMMYFUNCTION("""COMPUTED_VALUE"""),"Stewed Dried Beef Puerto Rican Style")</f>
        <v>Stewed Dried Beef Puerto Rican Style</v>
      </c>
      <c r="C3696" t="str">
        <f>IFERROR(__xludf.DUMMYFUNCTION("""COMPUTED_VALUE"""),"Meats")</f>
        <v>Meats</v>
      </c>
      <c r="D3696">
        <f>IFERROR(__xludf.DUMMYFUNCTION("""COMPUTED_VALUE"""),253.0)</f>
        <v>253</v>
      </c>
      <c r="E3696">
        <f>IFERROR(__xludf.DUMMYFUNCTION("""COMPUTED_VALUE"""),18.76)</f>
        <v>18.76</v>
      </c>
      <c r="F3696">
        <f>IFERROR(__xludf.DUMMYFUNCTION("""COMPUTED_VALUE"""),17.74)</f>
        <v>17.74</v>
      </c>
      <c r="G3696">
        <f>IFERROR(__xludf.DUMMYFUNCTION("""COMPUTED_VALUE"""),3.89)</f>
        <v>3.89</v>
      </c>
    </row>
    <row r="3697">
      <c r="A3697">
        <f>IFERROR(__xludf.DUMMYFUNCTION("""COMPUTED_VALUE"""),782857.0)</f>
        <v>782857</v>
      </c>
      <c r="B3697" t="str">
        <f>IFERROR(__xludf.DUMMYFUNCTION("""COMPUTED_VALUE"""),"Stuffed Pot Roast Puerto Rican Style Nfs")</f>
        <v>Stuffed Pot Roast Puerto Rican Style Nfs</v>
      </c>
      <c r="C3697" t="str">
        <f>IFERROR(__xludf.DUMMYFUNCTION("""COMPUTED_VALUE"""),"Meats")</f>
        <v>Meats</v>
      </c>
      <c r="D3697">
        <f>IFERROR(__xludf.DUMMYFUNCTION("""COMPUTED_VALUE"""),253.0)</f>
        <v>253</v>
      </c>
      <c r="E3697">
        <f>IFERROR(__xludf.DUMMYFUNCTION("""COMPUTED_VALUE"""),18.84)</f>
        <v>18.84</v>
      </c>
      <c r="F3697">
        <f>IFERROR(__xludf.DUMMYFUNCTION("""COMPUTED_VALUE"""),18.64)</f>
        <v>18.64</v>
      </c>
      <c r="G3697">
        <f>IFERROR(__xludf.DUMMYFUNCTION("""COMPUTED_VALUE"""),1.2)</f>
        <v>1.2</v>
      </c>
    </row>
    <row r="3698">
      <c r="A3698">
        <f>IFERROR(__xludf.DUMMYFUNCTION("""COMPUTED_VALUE"""),782858.0)</f>
        <v>782858</v>
      </c>
      <c r="B3698" t="str">
        <f>IFERROR(__xludf.DUMMYFUNCTION("""COMPUTED_VALUE"""),"Beef Stew Meat With Gravy No Potatoes Puerto Rican Style")</f>
        <v>Beef Stew Meat With Gravy No Potatoes Puerto Rican Style</v>
      </c>
      <c r="C3698" t="str">
        <f>IFERROR(__xludf.DUMMYFUNCTION("""COMPUTED_VALUE"""),"Meats")</f>
        <v>Meats</v>
      </c>
      <c r="D3698">
        <f>IFERROR(__xludf.DUMMYFUNCTION("""COMPUTED_VALUE"""),232.0)</f>
        <v>232</v>
      </c>
      <c r="E3698">
        <f>IFERROR(__xludf.DUMMYFUNCTION("""COMPUTED_VALUE"""),17.34)</f>
        <v>17.34</v>
      </c>
      <c r="F3698">
        <f>IFERROR(__xludf.DUMMYFUNCTION("""COMPUTED_VALUE"""),16.54)</f>
        <v>16.54</v>
      </c>
      <c r="G3698">
        <f>IFERROR(__xludf.DUMMYFUNCTION("""COMPUTED_VALUE"""),1.89)</f>
        <v>1.89</v>
      </c>
    </row>
    <row r="3699">
      <c r="A3699">
        <f>IFERROR(__xludf.DUMMYFUNCTION("""COMPUTED_VALUE"""),782859.0)</f>
        <v>782859</v>
      </c>
      <c r="B3699" t="str">
        <f>IFERROR(__xludf.DUMMYFUNCTION("""COMPUTED_VALUE"""),"Ham Or Pork With Gravy")</f>
        <v>Ham Or Pork With Gravy</v>
      </c>
      <c r="C3699" t="str">
        <f>IFERROR(__xludf.DUMMYFUNCTION("""COMPUTED_VALUE"""),"Meats")</f>
        <v>Meats</v>
      </c>
      <c r="D3699">
        <f>IFERROR(__xludf.DUMMYFUNCTION("""COMPUTED_VALUE"""),160.0)</f>
        <v>160</v>
      </c>
      <c r="E3699">
        <f>IFERROR(__xludf.DUMMYFUNCTION("""COMPUTED_VALUE"""),7.49)</f>
        <v>7.49</v>
      </c>
      <c r="F3699">
        <f>IFERROR(__xludf.DUMMYFUNCTION("""COMPUTED_VALUE"""),20.15)</f>
        <v>20.15</v>
      </c>
      <c r="G3699">
        <f>IFERROR(__xludf.DUMMYFUNCTION("""COMPUTED_VALUE"""),1.58)</f>
        <v>1.58</v>
      </c>
    </row>
    <row r="3700">
      <c r="A3700">
        <f>IFERROR(__xludf.DUMMYFUNCTION("""COMPUTED_VALUE"""),782860.0)</f>
        <v>782860</v>
      </c>
      <c r="B3700" t="str">
        <f>IFERROR(__xludf.DUMMYFUNCTION("""COMPUTED_VALUE"""),"Ham Or Pork With Barbecue Sauce")</f>
        <v>Ham Or Pork With Barbecue Sauce</v>
      </c>
      <c r="C3700" t="str">
        <f>IFERROR(__xludf.DUMMYFUNCTION("""COMPUTED_VALUE"""),"Meats")</f>
        <v>Meats</v>
      </c>
      <c r="D3700">
        <f>IFERROR(__xludf.DUMMYFUNCTION("""COMPUTED_VALUE"""),205.0)</f>
        <v>205</v>
      </c>
      <c r="E3700">
        <f>IFERROR(__xludf.DUMMYFUNCTION("""COMPUTED_VALUE"""),7.19)</f>
        <v>7.19</v>
      </c>
      <c r="F3700">
        <f>IFERROR(__xludf.DUMMYFUNCTION("""COMPUTED_VALUE"""),21.04)</f>
        <v>21.04</v>
      </c>
      <c r="G3700">
        <f>IFERROR(__xludf.DUMMYFUNCTION("""COMPUTED_VALUE"""),12.69)</f>
        <v>12.69</v>
      </c>
    </row>
    <row r="3701">
      <c r="A3701">
        <f>IFERROR(__xludf.DUMMYFUNCTION("""COMPUTED_VALUE"""),782862.0)</f>
        <v>782862</v>
      </c>
      <c r="B3701" t="str">
        <f>IFERROR(__xludf.DUMMYFUNCTION("""COMPUTED_VALUE"""),"Ham Stroganoff")</f>
        <v>Ham Stroganoff</v>
      </c>
      <c r="C3701" t="str">
        <f>IFERROR(__xludf.DUMMYFUNCTION("""COMPUTED_VALUE"""),"Meats")</f>
        <v>Meats</v>
      </c>
      <c r="D3701">
        <f>IFERROR(__xludf.DUMMYFUNCTION("""COMPUTED_VALUE"""),130.0)</f>
        <v>130</v>
      </c>
      <c r="E3701">
        <f>IFERROR(__xludf.DUMMYFUNCTION("""COMPUTED_VALUE"""),9.04)</f>
        <v>9.04</v>
      </c>
      <c r="F3701">
        <f>IFERROR(__xludf.DUMMYFUNCTION("""COMPUTED_VALUE"""),7.52)</f>
        <v>7.52</v>
      </c>
      <c r="G3701">
        <f>IFERROR(__xludf.DUMMYFUNCTION("""COMPUTED_VALUE"""),4.97)</f>
        <v>4.97</v>
      </c>
    </row>
    <row r="3702">
      <c r="A3702">
        <f>IFERROR(__xludf.DUMMYFUNCTION("""COMPUTED_VALUE"""),782863.0)</f>
        <v>782863</v>
      </c>
      <c r="B3702" t="str">
        <f>IFERROR(__xludf.DUMMYFUNCTION("""COMPUTED_VALUE"""),"Ham Or Pork With Mushroom Sauce")</f>
        <v>Ham Or Pork With Mushroom Sauce</v>
      </c>
      <c r="C3702" t="str">
        <f>IFERROR(__xludf.DUMMYFUNCTION("""COMPUTED_VALUE"""),"Meats")</f>
        <v>Meats</v>
      </c>
      <c r="D3702">
        <f>IFERROR(__xludf.DUMMYFUNCTION("""COMPUTED_VALUE"""),166.0)</f>
        <v>166</v>
      </c>
      <c r="E3702">
        <f>IFERROR(__xludf.DUMMYFUNCTION("""COMPUTED_VALUE"""),7.97)</f>
        <v>7.97</v>
      </c>
      <c r="F3702">
        <f>IFERROR(__xludf.DUMMYFUNCTION("""COMPUTED_VALUE"""),20.54)</f>
        <v>20.54</v>
      </c>
      <c r="G3702">
        <f>IFERROR(__xludf.DUMMYFUNCTION("""COMPUTED_VALUE"""),1.84)</f>
        <v>1.84</v>
      </c>
    </row>
    <row r="3703">
      <c r="A3703">
        <f>IFERROR(__xludf.DUMMYFUNCTION("""COMPUTED_VALUE"""),782864.0)</f>
        <v>782864</v>
      </c>
      <c r="B3703" t="str">
        <f>IFERROR(__xludf.DUMMYFUNCTION("""COMPUTED_VALUE"""),"Ham Or Pork With Tomato-Based Sauce")</f>
        <v>Ham Or Pork With Tomato-Based Sauce</v>
      </c>
      <c r="C3703" t="str">
        <f>IFERROR(__xludf.DUMMYFUNCTION("""COMPUTED_VALUE"""),"Meats")</f>
        <v>Meats</v>
      </c>
      <c r="D3703">
        <f>IFERROR(__xludf.DUMMYFUNCTION("""COMPUTED_VALUE"""),153.0)</f>
        <v>153</v>
      </c>
      <c r="E3703">
        <f>IFERROR(__xludf.DUMMYFUNCTION("""COMPUTED_VALUE"""),6.8)</f>
        <v>6.8</v>
      </c>
      <c r="F3703">
        <f>IFERROR(__xludf.DUMMYFUNCTION("""COMPUTED_VALUE"""),20.3)</f>
        <v>20.3</v>
      </c>
      <c r="G3703">
        <f>IFERROR(__xludf.DUMMYFUNCTION("""COMPUTED_VALUE"""),1.59)</f>
        <v>1.59</v>
      </c>
    </row>
    <row r="3704">
      <c r="A3704">
        <f>IFERROR(__xludf.DUMMYFUNCTION("""COMPUTED_VALUE"""),782865.0)</f>
        <v>782865</v>
      </c>
      <c r="B3704" t="str">
        <f>IFERROR(__xludf.DUMMYFUNCTION("""COMPUTED_VALUE"""),"Sausage With Tomato-Based Sauce")</f>
        <v>Sausage With Tomato-Based Sauce</v>
      </c>
      <c r="C3704" t="str">
        <f>IFERROR(__xludf.DUMMYFUNCTION("""COMPUTED_VALUE"""),"Meats")</f>
        <v>Meats</v>
      </c>
      <c r="D3704">
        <f>IFERROR(__xludf.DUMMYFUNCTION("""COMPUTED_VALUE"""),234.0)</f>
        <v>234</v>
      </c>
      <c r="E3704">
        <f>IFERROR(__xludf.DUMMYFUNCTION("""COMPUTED_VALUE"""),19.09)</f>
        <v>19.09</v>
      </c>
      <c r="F3704">
        <f>IFERROR(__xludf.DUMMYFUNCTION("""COMPUTED_VALUE"""),13.28)</f>
        <v>13.28</v>
      </c>
      <c r="G3704">
        <f>IFERROR(__xludf.DUMMYFUNCTION("""COMPUTED_VALUE"""),2.58)</f>
        <v>2.58</v>
      </c>
    </row>
    <row r="3705">
      <c r="A3705">
        <f>IFERROR(__xludf.DUMMYFUNCTION("""COMPUTED_VALUE"""),782866.0)</f>
        <v>782866</v>
      </c>
      <c r="B3705" t="str">
        <f>IFERROR(__xludf.DUMMYFUNCTION("""COMPUTED_VALUE"""),"Sausage Gravy")</f>
        <v>Sausage Gravy</v>
      </c>
      <c r="C3705" t="str">
        <f>IFERROR(__xludf.DUMMYFUNCTION("""COMPUTED_VALUE"""),"Meats")</f>
        <v>Meats</v>
      </c>
      <c r="D3705">
        <f>IFERROR(__xludf.DUMMYFUNCTION("""COMPUTED_VALUE"""),163.0)</f>
        <v>163</v>
      </c>
      <c r="E3705">
        <f>IFERROR(__xludf.DUMMYFUNCTION("""COMPUTED_VALUE"""),11.96)</f>
        <v>11.96</v>
      </c>
      <c r="F3705">
        <f>IFERROR(__xludf.DUMMYFUNCTION("""COMPUTED_VALUE"""),6.67)</f>
        <v>6.67</v>
      </c>
      <c r="G3705">
        <f>IFERROR(__xludf.DUMMYFUNCTION("""COMPUTED_VALUE"""),7.31)</f>
        <v>7.31</v>
      </c>
    </row>
    <row r="3706">
      <c r="A3706">
        <f>IFERROR(__xludf.DUMMYFUNCTION("""COMPUTED_VALUE"""),782867.0)</f>
        <v>782867</v>
      </c>
      <c r="B3706" t="str">
        <f>IFERROR(__xludf.DUMMYFUNCTION("""COMPUTED_VALUE"""),"Pork Stew No Potatoes Tomato-Based Sauce Mexican Style")</f>
        <v>Pork Stew No Potatoes Tomato-Based Sauce Mexican Style</v>
      </c>
      <c r="C3706" t="str">
        <f>IFERROR(__xludf.DUMMYFUNCTION("""COMPUTED_VALUE"""),"Meats")</f>
        <v>Meats</v>
      </c>
      <c r="D3706">
        <f>IFERROR(__xludf.DUMMYFUNCTION("""COMPUTED_VALUE"""),112.0)</f>
        <v>112</v>
      </c>
      <c r="E3706">
        <f>IFERROR(__xludf.DUMMYFUNCTION("""COMPUTED_VALUE"""),4.27)</f>
        <v>4.27</v>
      </c>
      <c r="F3706">
        <f>IFERROR(__xludf.DUMMYFUNCTION("""COMPUTED_VALUE"""),14.31)</f>
        <v>14.31</v>
      </c>
      <c r="G3706">
        <f>IFERROR(__xludf.DUMMYFUNCTION("""COMPUTED_VALUE"""),3.33)</f>
        <v>3.33</v>
      </c>
    </row>
    <row r="3707">
      <c r="A3707">
        <f>IFERROR(__xludf.DUMMYFUNCTION("""COMPUTED_VALUE"""),782869.0)</f>
        <v>782869</v>
      </c>
      <c r="B3707" t="str">
        <f>IFERROR(__xludf.DUMMYFUNCTION("""COMPUTED_VALUE"""),"Pork Curry")</f>
        <v>Pork Curry</v>
      </c>
      <c r="C3707" t="str">
        <f>IFERROR(__xludf.DUMMYFUNCTION("""COMPUTED_VALUE"""),"Meats")</f>
        <v>Meats</v>
      </c>
      <c r="D3707">
        <f>IFERROR(__xludf.DUMMYFUNCTION("""COMPUTED_VALUE"""),89.0)</f>
        <v>89</v>
      </c>
      <c r="E3707">
        <f>IFERROR(__xludf.DUMMYFUNCTION("""COMPUTED_VALUE"""),4.32)</f>
        <v>4.32</v>
      </c>
      <c r="F3707">
        <f>IFERROR(__xludf.DUMMYFUNCTION("""COMPUTED_VALUE"""),6.17)</f>
        <v>6.17</v>
      </c>
      <c r="G3707">
        <f>IFERROR(__xludf.DUMMYFUNCTION("""COMPUTED_VALUE"""),6.64)</f>
        <v>6.64</v>
      </c>
    </row>
    <row r="3708">
      <c r="A3708">
        <f>IFERROR(__xludf.DUMMYFUNCTION("""COMPUTED_VALUE"""),782870.0)</f>
        <v>782870</v>
      </c>
      <c r="B3708" t="str">
        <f>IFERROR(__xludf.DUMMYFUNCTION("""COMPUTED_VALUE"""),"Frankfurter Or Hot Dog With Chili No Bun")</f>
        <v>Frankfurter Or Hot Dog With Chili No Bun</v>
      </c>
      <c r="C3708" t="str">
        <f>IFERROR(__xludf.DUMMYFUNCTION("""COMPUTED_VALUE"""),"Meats")</f>
        <v>Meats</v>
      </c>
      <c r="D3708">
        <f>IFERROR(__xludf.DUMMYFUNCTION("""COMPUTED_VALUE"""),213.0)</f>
        <v>213</v>
      </c>
      <c r="E3708">
        <f>IFERROR(__xludf.DUMMYFUNCTION("""COMPUTED_VALUE"""),15.77)</f>
        <v>15.77</v>
      </c>
      <c r="F3708">
        <f>IFERROR(__xludf.DUMMYFUNCTION("""COMPUTED_VALUE"""),8.86)</f>
        <v>8.86</v>
      </c>
      <c r="G3708">
        <f>IFERROR(__xludf.DUMMYFUNCTION("""COMPUTED_VALUE"""),8.4)</f>
        <v>8.4</v>
      </c>
    </row>
    <row r="3709">
      <c r="A3709">
        <f>IFERROR(__xludf.DUMMYFUNCTION("""COMPUTED_VALUE"""),782871.0)</f>
        <v>782871</v>
      </c>
      <c r="B3709" t="str">
        <f>IFERROR(__xludf.DUMMYFUNCTION("""COMPUTED_VALUE"""),"Frankfurters Or Hot Dogs With Tomato-Based Sauce")</f>
        <v>Frankfurters Or Hot Dogs With Tomato-Based Sauce</v>
      </c>
      <c r="C3709" t="str">
        <f>IFERROR(__xludf.DUMMYFUNCTION("""COMPUTED_VALUE"""),"Meats")</f>
        <v>Meats</v>
      </c>
      <c r="D3709">
        <f>IFERROR(__xludf.DUMMYFUNCTION("""COMPUTED_VALUE"""),238.0)</f>
        <v>238</v>
      </c>
      <c r="E3709">
        <f>IFERROR(__xludf.DUMMYFUNCTION("""COMPUTED_VALUE"""),20.71)</f>
        <v>20.71</v>
      </c>
      <c r="F3709">
        <f>IFERROR(__xludf.DUMMYFUNCTION("""COMPUTED_VALUE"""),8.94)</f>
        <v>8.94</v>
      </c>
      <c r="G3709">
        <f>IFERROR(__xludf.DUMMYFUNCTION("""COMPUTED_VALUE"""),3.77)</f>
        <v>3.77</v>
      </c>
    </row>
    <row r="3710">
      <c r="A3710">
        <f>IFERROR(__xludf.DUMMYFUNCTION("""COMPUTED_VALUE"""),782872.0)</f>
        <v>782872</v>
      </c>
      <c r="B3710" t="str">
        <f>IFERROR(__xludf.DUMMYFUNCTION("""COMPUTED_VALUE"""),"Pork With Chili And Tomatoes")</f>
        <v>Pork With Chili And Tomatoes</v>
      </c>
      <c r="C3710" t="str">
        <f>IFERROR(__xludf.DUMMYFUNCTION("""COMPUTED_VALUE"""),"Meats")</f>
        <v>Meats</v>
      </c>
      <c r="D3710">
        <f>IFERROR(__xludf.DUMMYFUNCTION("""COMPUTED_VALUE"""),97.0)</f>
        <v>97</v>
      </c>
      <c r="E3710">
        <f>IFERROR(__xludf.DUMMYFUNCTION("""COMPUTED_VALUE"""),4.02)</f>
        <v>4.02</v>
      </c>
      <c r="F3710">
        <f>IFERROR(__xludf.DUMMYFUNCTION("""COMPUTED_VALUE"""),11.75)</f>
        <v>11.75</v>
      </c>
      <c r="G3710">
        <f>IFERROR(__xludf.DUMMYFUNCTION("""COMPUTED_VALUE"""),3.03)</f>
        <v>3.03</v>
      </c>
    </row>
    <row r="3711">
      <c r="A3711">
        <f>IFERROR(__xludf.DUMMYFUNCTION("""COMPUTED_VALUE"""),782873.0)</f>
        <v>782873</v>
      </c>
      <c r="B3711" t="str">
        <f>IFERROR(__xludf.DUMMYFUNCTION("""COMPUTED_VALUE"""),"Stewed Pork Puerto Rican Style")</f>
        <v>Stewed Pork Puerto Rican Style</v>
      </c>
      <c r="C3711" t="str">
        <f>IFERROR(__xludf.DUMMYFUNCTION("""COMPUTED_VALUE"""),"Meats")</f>
        <v>Meats</v>
      </c>
      <c r="D3711">
        <f>IFERROR(__xludf.DUMMYFUNCTION("""COMPUTED_VALUE"""),197.0)</f>
        <v>197</v>
      </c>
      <c r="E3711">
        <f>IFERROR(__xludf.DUMMYFUNCTION("""COMPUTED_VALUE"""),12.48)</f>
        <v>12.48</v>
      </c>
      <c r="F3711">
        <f>IFERROR(__xludf.DUMMYFUNCTION("""COMPUTED_VALUE"""),17.94)</f>
        <v>17.94</v>
      </c>
      <c r="G3711">
        <f>IFERROR(__xludf.DUMMYFUNCTION("""COMPUTED_VALUE"""),2.77)</f>
        <v>2.77</v>
      </c>
    </row>
    <row r="3712">
      <c r="A3712">
        <f>IFERROR(__xludf.DUMMYFUNCTION("""COMPUTED_VALUE"""),782874.0)</f>
        <v>782874</v>
      </c>
      <c r="B3712" t="str">
        <f>IFERROR(__xludf.DUMMYFUNCTION("""COMPUTED_VALUE"""),"Chili Con Carne With Beans Made With Pork")</f>
        <v>Chili Con Carne With Beans Made With Pork</v>
      </c>
      <c r="C3712" t="str">
        <f>IFERROR(__xludf.DUMMYFUNCTION("""COMPUTED_VALUE"""),"Meats")</f>
        <v>Meats</v>
      </c>
      <c r="D3712">
        <f>IFERROR(__xludf.DUMMYFUNCTION("""COMPUTED_VALUE"""),106.0)</f>
        <v>106</v>
      </c>
      <c r="E3712">
        <f>IFERROR(__xludf.DUMMYFUNCTION("""COMPUTED_VALUE"""),5.12)</f>
        <v>5.12</v>
      </c>
      <c r="F3712">
        <f>IFERROR(__xludf.DUMMYFUNCTION("""COMPUTED_VALUE"""),8.07)</f>
        <v>8.07</v>
      </c>
      <c r="G3712">
        <f>IFERROR(__xludf.DUMMYFUNCTION("""COMPUTED_VALUE"""),7.2)</f>
        <v>7.2</v>
      </c>
    </row>
    <row r="3713">
      <c r="A3713">
        <f>IFERROR(__xludf.DUMMYFUNCTION("""COMPUTED_VALUE"""),782875.0)</f>
        <v>782875</v>
      </c>
      <c r="B3713" t="str">
        <f>IFERROR(__xludf.DUMMYFUNCTION("""COMPUTED_VALUE"""),"Lamb Or Mutton With Gravy")</f>
        <v>Lamb Or Mutton With Gravy</v>
      </c>
      <c r="C3713" t="str">
        <f>IFERROR(__xludf.DUMMYFUNCTION("""COMPUTED_VALUE"""),"Meats")</f>
        <v>Meats</v>
      </c>
      <c r="D3713">
        <f>IFERROR(__xludf.DUMMYFUNCTION("""COMPUTED_VALUE"""),219.0)</f>
        <v>219</v>
      </c>
      <c r="E3713">
        <f>IFERROR(__xludf.DUMMYFUNCTION("""COMPUTED_VALUE"""),15.37)</f>
        <v>15.37</v>
      </c>
      <c r="F3713">
        <f>IFERROR(__xludf.DUMMYFUNCTION("""COMPUTED_VALUE"""),17.29)</f>
        <v>17.29</v>
      </c>
      <c r="G3713">
        <f>IFERROR(__xludf.DUMMYFUNCTION("""COMPUTED_VALUE"""),1.58)</f>
        <v>1.58</v>
      </c>
    </row>
    <row r="3714">
      <c r="A3714">
        <f>IFERROR(__xludf.DUMMYFUNCTION("""COMPUTED_VALUE"""),782876.0)</f>
        <v>782876</v>
      </c>
      <c r="B3714" t="str">
        <f>IFERROR(__xludf.DUMMYFUNCTION("""COMPUTED_VALUE"""),"Lamb Or Mutton Goulash")</f>
        <v>Lamb Or Mutton Goulash</v>
      </c>
      <c r="C3714" t="str">
        <f>IFERROR(__xludf.DUMMYFUNCTION("""COMPUTED_VALUE"""),"Meats")</f>
        <v>Meats</v>
      </c>
      <c r="D3714">
        <f>IFERROR(__xludf.DUMMYFUNCTION("""COMPUTED_VALUE"""),124.0)</f>
        <v>124</v>
      </c>
      <c r="E3714">
        <f>IFERROR(__xludf.DUMMYFUNCTION("""COMPUTED_VALUE"""),6.38)</f>
        <v>6.38</v>
      </c>
      <c r="F3714">
        <f>IFERROR(__xludf.DUMMYFUNCTION("""COMPUTED_VALUE"""),13.07)</f>
        <v>13.07</v>
      </c>
      <c r="G3714">
        <f>IFERROR(__xludf.DUMMYFUNCTION("""COMPUTED_VALUE"""),3.1)</f>
        <v>3.1</v>
      </c>
    </row>
    <row r="3715">
      <c r="A3715">
        <f>IFERROR(__xludf.DUMMYFUNCTION("""COMPUTED_VALUE"""),782877.0)</f>
        <v>782877</v>
      </c>
      <c r="B3715" t="str">
        <f>IFERROR(__xludf.DUMMYFUNCTION("""COMPUTED_VALUE"""),"Lamb Or Mutton Curry")</f>
        <v>Lamb Or Mutton Curry</v>
      </c>
      <c r="C3715" t="str">
        <f>IFERROR(__xludf.DUMMYFUNCTION("""COMPUTED_VALUE"""),"Meats")</f>
        <v>Meats</v>
      </c>
      <c r="D3715">
        <f>IFERROR(__xludf.DUMMYFUNCTION("""COMPUTED_VALUE"""),94.0)</f>
        <v>94</v>
      </c>
      <c r="E3715">
        <f>IFERROR(__xludf.DUMMYFUNCTION("""COMPUTED_VALUE"""),5.58)</f>
        <v>5.58</v>
      </c>
      <c r="F3715">
        <f>IFERROR(__xludf.DUMMYFUNCTION("""COMPUTED_VALUE"""),4.48)</f>
        <v>4.48</v>
      </c>
      <c r="G3715">
        <f>IFERROR(__xludf.DUMMYFUNCTION("""COMPUTED_VALUE"""),7.05)</f>
        <v>7.05</v>
      </c>
    </row>
    <row r="3716">
      <c r="A3716">
        <f>IFERROR(__xludf.DUMMYFUNCTION("""COMPUTED_VALUE"""),782878.0)</f>
        <v>782878</v>
      </c>
      <c r="B3716" t="str">
        <f>IFERROR(__xludf.DUMMYFUNCTION("""COMPUTED_VALUE"""),"Stewed Goat Puerto Rican Style")</f>
        <v>Stewed Goat Puerto Rican Style</v>
      </c>
      <c r="C3716" t="str">
        <f>IFERROR(__xludf.DUMMYFUNCTION("""COMPUTED_VALUE"""),"Meats")</f>
        <v>Meats</v>
      </c>
      <c r="D3716">
        <f>IFERROR(__xludf.DUMMYFUNCTION("""COMPUTED_VALUE"""),260.0)</f>
        <v>260</v>
      </c>
      <c r="E3716">
        <f>IFERROR(__xludf.DUMMYFUNCTION("""COMPUTED_VALUE"""),17.71)</f>
        <v>17.71</v>
      </c>
      <c r="F3716">
        <f>IFERROR(__xludf.DUMMYFUNCTION("""COMPUTED_VALUE"""),22.39)</f>
        <v>22.39</v>
      </c>
      <c r="G3716">
        <f>IFERROR(__xludf.DUMMYFUNCTION("""COMPUTED_VALUE"""),2.0)</f>
        <v>2</v>
      </c>
    </row>
    <row r="3717">
      <c r="A3717">
        <f>IFERROR(__xludf.DUMMYFUNCTION("""COMPUTED_VALUE"""),782879.0)</f>
        <v>782879</v>
      </c>
      <c r="B3717" t="str">
        <f>IFERROR(__xludf.DUMMYFUNCTION("""COMPUTED_VALUE"""),"Veal With Gravy")</f>
        <v>Veal With Gravy</v>
      </c>
      <c r="C3717" t="str">
        <f>IFERROR(__xludf.DUMMYFUNCTION("""COMPUTED_VALUE"""),"Meats")</f>
        <v>Meats</v>
      </c>
      <c r="D3717">
        <f>IFERROR(__xludf.DUMMYFUNCTION("""COMPUTED_VALUE"""),161.0)</f>
        <v>161</v>
      </c>
      <c r="E3717">
        <f>IFERROR(__xludf.DUMMYFUNCTION("""COMPUTED_VALUE"""),5.19)</f>
        <v>5.19</v>
      </c>
      <c r="F3717">
        <f>IFERROR(__xludf.DUMMYFUNCTION("""COMPUTED_VALUE"""),25.4)</f>
        <v>25.4</v>
      </c>
      <c r="G3717">
        <f>IFERROR(__xludf.DUMMYFUNCTION("""COMPUTED_VALUE"""),1.58)</f>
        <v>1.58</v>
      </c>
    </row>
    <row r="3718">
      <c r="A3718">
        <f>IFERROR(__xludf.DUMMYFUNCTION("""COMPUTED_VALUE"""),782880.0)</f>
        <v>782880</v>
      </c>
      <c r="B3718" t="str">
        <f>IFERROR(__xludf.DUMMYFUNCTION("""COMPUTED_VALUE"""),"Veal Scallopini")</f>
        <v>Veal Scallopini</v>
      </c>
      <c r="C3718" t="str">
        <f>IFERROR(__xludf.DUMMYFUNCTION("""COMPUTED_VALUE"""),"Meats")</f>
        <v>Meats</v>
      </c>
      <c r="D3718">
        <f>IFERROR(__xludf.DUMMYFUNCTION("""COMPUTED_VALUE"""),240.0)</f>
        <v>240</v>
      </c>
      <c r="E3718">
        <f>IFERROR(__xludf.DUMMYFUNCTION("""COMPUTED_VALUE"""),17.57)</f>
        <v>17.57</v>
      </c>
      <c r="F3718">
        <f>IFERROR(__xludf.DUMMYFUNCTION("""COMPUTED_VALUE"""),18.39)</f>
        <v>18.39</v>
      </c>
      <c r="G3718">
        <f>IFERROR(__xludf.DUMMYFUNCTION("""COMPUTED_VALUE"""),1.54)</f>
        <v>1.54</v>
      </c>
    </row>
    <row r="3719">
      <c r="A3719">
        <f>IFERROR(__xludf.DUMMYFUNCTION("""COMPUTED_VALUE"""),782881.0)</f>
        <v>782881</v>
      </c>
      <c r="B3719" t="str">
        <f>IFERROR(__xludf.DUMMYFUNCTION("""COMPUTED_VALUE"""),"Veal With Cream Sauce")</f>
        <v>Veal With Cream Sauce</v>
      </c>
      <c r="C3719" t="str">
        <f>IFERROR(__xludf.DUMMYFUNCTION("""COMPUTED_VALUE"""),"Meats")</f>
        <v>Meats</v>
      </c>
      <c r="D3719">
        <f>IFERROR(__xludf.DUMMYFUNCTION("""COMPUTED_VALUE"""),191.0)</f>
        <v>191</v>
      </c>
      <c r="E3719">
        <f>IFERROR(__xludf.DUMMYFUNCTION("""COMPUTED_VALUE"""),7.58)</f>
        <v>7.58</v>
      </c>
      <c r="F3719">
        <f>IFERROR(__xludf.DUMMYFUNCTION("""COMPUTED_VALUE"""),26.33)</f>
        <v>26.33</v>
      </c>
      <c r="G3719">
        <f>IFERROR(__xludf.DUMMYFUNCTION("""COMPUTED_VALUE"""),2.74)</f>
        <v>2.74</v>
      </c>
    </row>
    <row r="3720">
      <c r="A3720">
        <f>IFERROR(__xludf.DUMMYFUNCTION("""COMPUTED_VALUE"""),782882.0)</f>
        <v>782882</v>
      </c>
      <c r="B3720" t="str">
        <f>IFERROR(__xludf.DUMMYFUNCTION("""COMPUTED_VALUE"""),"Veal With Butter Sauce")</f>
        <v>Veal With Butter Sauce</v>
      </c>
      <c r="C3720" t="str">
        <f>IFERROR(__xludf.DUMMYFUNCTION("""COMPUTED_VALUE"""),"Meats")</f>
        <v>Meats</v>
      </c>
      <c r="D3720">
        <f>IFERROR(__xludf.DUMMYFUNCTION("""COMPUTED_VALUE"""),152.0)</f>
        <v>152</v>
      </c>
      <c r="E3720">
        <f>IFERROR(__xludf.DUMMYFUNCTION("""COMPUTED_VALUE"""),9.34)</f>
        <v>9.34</v>
      </c>
      <c r="F3720">
        <f>IFERROR(__xludf.DUMMYFUNCTION("""COMPUTED_VALUE"""),15.07)</f>
        <v>15.07</v>
      </c>
      <c r="G3720">
        <f>IFERROR(__xludf.DUMMYFUNCTION("""COMPUTED_VALUE"""),1.49)</f>
        <v>1.49</v>
      </c>
    </row>
    <row r="3721">
      <c r="A3721">
        <f>IFERROR(__xludf.DUMMYFUNCTION("""COMPUTED_VALUE"""),782883.0)</f>
        <v>782883</v>
      </c>
      <c r="B3721" t="str">
        <f>IFERROR(__xludf.DUMMYFUNCTION("""COMPUTED_VALUE"""),"Veal Marsala")</f>
        <v>Veal Marsala</v>
      </c>
      <c r="C3721" t="str">
        <f>IFERROR(__xludf.DUMMYFUNCTION("""COMPUTED_VALUE"""),"Meats")</f>
        <v>Meats</v>
      </c>
      <c r="D3721">
        <f>IFERROR(__xludf.DUMMYFUNCTION("""COMPUTED_VALUE"""),172.0)</f>
        <v>172</v>
      </c>
      <c r="E3721">
        <f>IFERROR(__xludf.DUMMYFUNCTION("""COMPUTED_VALUE"""),8.56)</f>
        <v>8.56</v>
      </c>
      <c r="F3721">
        <f>IFERROR(__xludf.DUMMYFUNCTION("""COMPUTED_VALUE"""),16.5)</f>
        <v>16.5</v>
      </c>
      <c r="G3721">
        <f>IFERROR(__xludf.DUMMYFUNCTION("""COMPUTED_VALUE"""),6.64)</f>
        <v>6.64</v>
      </c>
    </row>
    <row r="3722">
      <c r="A3722">
        <f>IFERROR(__xludf.DUMMYFUNCTION("""COMPUTED_VALUE"""),782884.0)</f>
        <v>782884</v>
      </c>
      <c r="B3722" t="str">
        <f>IFERROR(__xludf.DUMMYFUNCTION("""COMPUTED_VALUE"""),"Veal Parmigiana")</f>
        <v>Veal Parmigiana</v>
      </c>
      <c r="C3722" t="str">
        <f>IFERROR(__xludf.DUMMYFUNCTION("""COMPUTED_VALUE"""),"Meats")</f>
        <v>Meats</v>
      </c>
      <c r="D3722">
        <f>IFERROR(__xludf.DUMMYFUNCTION("""COMPUTED_VALUE"""),203.0)</f>
        <v>203</v>
      </c>
      <c r="E3722">
        <f>IFERROR(__xludf.DUMMYFUNCTION("""COMPUTED_VALUE"""),12.04)</f>
        <v>12.04</v>
      </c>
      <c r="F3722">
        <f>IFERROR(__xludf.DUMMYFUNCTION("""COMPUTED_VALUE"""),15.14)</f>
        <v>15.14</v>
      </c>
      <c r="G3722">
        <f>IFERROR(__xludf.DUMMYFUNCTION("""COMPUTED_VALUE"""),8.04)</f>
        <v>8.04</v>
      </c>
    </row>
    <row r="3723">
      <c r="A3723">
        <f>IFERROR(__xludf.DUMMYFUNCTION("""COMPUTED_VALUE"""),782885.0)</f>
        <v>782885</v>
      </c>
      <c r="B3723" t="str">
        <f>IFERROR(__xludf.DUMMYFUNCTION("""COMPUTED_VALUE"""),"Veal Cordon Bleu")</f>
        <v>Veal Cordon Bleu</v>
      </c>
      <c r="C3723" t="str">
        <f>IFERROR(__xludf.DUMMYFUNCTION("""COMPUTED_VALUE"""),"Meats")</f>
        <v>Meats</v>
      </c>
      <c r="D3723">
        <f>IFERROR(__xludf.DUMMYFUNCTION("""COMPUTED_VALUE"""),259.0)</f>
        <v>259</v>
      </c>
      <c r="E3723">
        <f>IFERROR(__xludf.DUMMYFUNCTION("""COMPUTED_VALUE"""),14.82)</f>
        <v>14.82</v>
      </c>
      <c r="F3723">
        <f>IFERROR(__xludf.DUMMYFUNCTION("""COMPUTED_VALUE"""),20.68)</f>
        <v>20.68</v>
      </c>
      <c r="G3723">
        <f>IFERROR(__xludf.DUMMYFUNCTION("""COMPUTED_VALUE"""),9.61)</f>
        <v>9.61</v>
      </c>
    </row>
    <row r="3724">
      <c r="A3724">
        <f>IFERROR(__xludf.DUMMYFUNCTION("""COMPUTED_VALUE"""),782886.0)</f>
        <v>782886</v>
      </c>
      <c r="B3724" t="str">
        <f>IFERROR(__xludf.DUMMYFUNCTION("""COMPUTED_VALUE"""),"Venison Or Deer With Tomato-Based Sauce")</f>
        <v>Venison Or Deer With Tomato-Based Sauce</v>
      </c>
      <c r="C3724" t="str">
        <f>IFERROR(__xludf.DUMMYFUNCTION("""COMPUTED_VALUE"""),"Meats")</f>
        <v>Meats</v>
      </c>
      <c r="D3724">
        <f>IFERROR(__xludf.DUMMYFUNCTION("""COMPUTED_VALUE"""),140.0)</f>
        <v>140</v>
      </c>
      <c r="E3724">
        <f>IFERROR(__xludf.DUMMYFUNCTION("""COMPUTED_VALUE"""),2.84)</f>
        <v>2.84</v>
      </c>
      <c r="F3724">
        <f>IFERROR(__xludf.DUMMYFUNCTION("""COMPUTED_VALUE"""),25.64)</f>
        <v>25.64</v>
      </c>
      <c r="G3724">
        <f>IFERROR(__xludf.DUMMYFUNCTION("""COMPUTED_VALUE"""),1.59)</f>
        <v>1.59</v>
      </c>
    </row>
    <row r="3725">
      <c r="A3725">
        <f>IFERROR(__xludf.DUMMYFUNCTION("""COMPUTED_VALUE"""),782887.0)</f>
        <v>782887</v>
      </c>
      <c r="B3725" t="str">
        <f>IFERROR(__xludf.DUMMYFUNCTION("""COMPUTED_VALUE"""),"Venison Or Deer With Gravy")</f>
        <v>Venison Or Deer With Gravy</v>
      </c>
      <c r="C3725" t="str">
        <f>IFERROR(__xludf.DUMMYFUNCTION("""COMPUTED_VALUE"""),"Meats")</f>
        <v>Meats</v>
      </c>
      <c r="D3725">
        <f>IFERROR(__xludf.DUMMYFUNCTION("""COMPUTED_VALUE"""),147.0)</f>
        <v>147</v>
      </c>
      <c r="E3725">
        <f>IFERROR(__xludf.DUMMYFUNCTION("""COMPUTED_VALUE"""),3.53)</f>
        <v>3.53</v>
      </c>
      <c r="F3725">
        <f>IFERROR(__xludf.DUMMYFUNCTION("""COMPUTED_VALUE"""),25.48)</f>
        <v>25.48</v>
      </c>
      <c r="G3725">
        <f>IFERROR(__xludf.DUMMYFUNCTION("""COMPUTED_VALUE"""),1.58)</f>
        <v>1.58</v>
      </c>
    </row>
    <row r="3726">
      <c r="A3726">
        <f>IFERROR(__xludf.DUMMYFUNCTION("""COMPUTED_VALUE"""),782888.0)</f>
        <v>782888</v>
      </c>
      <c r="B3726" t="str">
        <f>IFERROR(__xludf.DUMMYFUNCTION("""COMPUTED_VALUE"""),"Chili Con Carne With Venison/deer And Beans")</f>
        <v>Chili Con Carne With Venison/deer And Beans</v>
      </c>
      <c r="C3726" t="str">
        <f>IFERROR(__xludf.DUMMYFUNCTION("""COMPUTED_VALUE"""),"Meats")</f>
        <v>Meats</v>
      </c>
      <c r="D3726">
        <f>IFERROR(__xludf.DUMMYFUNCTION("""COMPUTED_VALUE"""),84.0)</f>
        <v>84</v>
      </c>
      <c r="E3726">
        <f>IFERROR(__xludf.DUMMYFUNCTION("""COMPUTED_VALUE"""),2.19)</f>
        <v>2.19</v>
      </c>
      <c r="F3726">
        <f>IFERROR(__xludf.DUMMYFUNCTION("""COMPUTED_VALUE"""),8.3)</f>
        <v>8.3</v>
      </c>
      <c r="G3726">
        <f>IFERROR(__xludf.DUMMYFUNCTION("""COMPUTED_VALUE"""),8.06)</f>
        <v>8.06</v>
      </c>
    </row>
    <row r="3727">
      <c r="A3727">
        <f>IFERROR(__xludf.DUMMYFUNCTION("""COMPUTED_VALUE"""),782889.0)</f>
        <v>782889</v>
      </c>
      <c r="B3727" t="str">
        <f>IFERROR(__xludf.DUMMYFUNCTION("""COMPUTED_VALUE"""),"Chicken Or Turkey Cacciatore")</f>
        <v>Chicken Or Turkey Cacciatore</v>
      </c>
      <c r="C3727" t="str">
        <f>IFERROR(__xludf.DUMMYFUNCTION("""COMPUTED_VALUE"""),"Meats")</f>
        <v>Meats</v>
      </c>
      <c r="D3727">
        <f>IFERROR(__xludf.DUMMYFUNCTION("""COMPUTED_VALUE"""),184.0)</f>
        <v>184</v>
      </c>
      <c r="E3727">
        <f>IFERROR(__xludf.DUMMYFUNCTION("""COMPUTED_VALUE"""),10.52)</f>
        <v>10.52</v>
      </c>
      <c r="F3727">
        <f>IFERROR(__xludf.DUMMYFUNCTION("""COMPUTED_VALUE"""),17.14)</f>
        <v>17.14</v>
      </c>
      <c r="G3727">
        <f>IFERROR(__xludf.DUMMYFUNCTION("""COMPUTED_VALUE"""),4.64)</f>
        <v>4.64</v>
      </c>
    </row>
    <row r="3728">
      <c r="A3728">
        <f>IFERROR(__xludf.DUMMYFUNCTION("""COMPUTED_VALUE"""),782892.0)</f>
        <v>782892</v>
      </c>
      <c r="B3728" t="str">
        <f>IFERROR(__xludf.DUMMYFUNCTION("""COMPUTED_VALUE"""),"Stewed Chicken With Tomato-Based Sauce Mexican Style")</f>
        <v>Stewed Chicken With Tomato-Based Sauce Mexican Style</v>
      </c>
      <c r="C3728" t="str">
        <f>IFERROR(__xludf.DUMMYFUNCTION("""COMPUTED_VALUE"""),"Meats")</f>
        <v>Meats</v>
      </c>
      <c r="D3728">
        <f>IFERROR(__xludf.DUMMYFUNCTION("""COMPUTED_VALUE"""),120.0)</f>
        <v>120</v>
      </c>
      <c r="E3728">
        <f>IFERROR(__xludf.DUMMYFUNCTION("""COMPUTED_VALUE"""),7.06)</f>
        <v>7.06</v>
      </c>
      <c r="F3728">
        <f>IFERROR(__xludf.DUMMYFUNCTION("""COMPUTED_VALUE"""),11.98)</f>
        <v>11.98</v>
      </c>
      <c r="G3728">
        <f>IFERROR(__xludf.DUMMYFUNCTION("""COMPUTED_VALUE"""),2.46)</f>
        <v>2.46</v>
      </c>
    </row>
    <row r="3729">
      <c r="A3729">
        <f>IFERROR(__xludf.DUMMYFUNCTION("""COMPUTED_VALUE"""),782893.0)</f>
        <v>782893</v>
      </c>
      <c r="B3729" t="str">
        <f>IFERROR(__xludf.DUMMYFUNCTION("""COMPUTED_VALUE"""),"Chili Con Carne With Chicken Or Turkey And Beans")</f>
        <v>Chili Con Carne With Chicken Or Turkey And Beans</v>
      </c>
      <c r="C3729" t="str">
        <f>IFERROR(__xludf.DUMMYFUNCTION("""COMPUTED_VALUE"""),"Meats")</f>
        <v>Meats</v>
      </c>
      <c r="D3729">
        <f>IFERROR(__xludf.DUMMYFUNCTION("""COMPUTED_VALUE"""),84.0)</f>
        <v>84</v>
      </c>
      <c r="E3729">
        <f>IFERROR(__xludf.DUMMYFUNCTION("""COMPUTED_VALUE"""),2.67)</f>
        <v>2.67</v>
      </c>
      <c r="F3729">
        <f>IFERROR(__xludf.DUMMYFUNCTION("""COMPUTED_VALUE"""),8.42)</f>
        <v>8.42</v>
      </c>
      <c r="G3729">
        <f>IFERROR(__xludf.DUMMYFUNCTION("""COMPUTED_VALUE"""),7.36)</f>
        <v>7.36</v>
      </c>
    </row>
    <row r="3730">
      <c r="A3730">
        <f>IFERROR(__xludf.DUMMYFUNCTION("""COMPUTED_VALUE"""),782894.0)</f>
        <v>782894</v>
      </c>
      <c r="B3730" t="str">
        <f>IFERROR(__xludf.DUMMYFUNCTION("""COMPUTED_VALUE"""),"Chicken With Gravy")</f>
        <v>Chicken With Gravy</v>
      </c>
      <c r="C3730" t="str">
        <f>IFERROR(__xludf.DUMMYFUNCTION("""COMPUTED_VALUE"""),"Meats")</f>
        <v>Meats</v>
      </c>
      <c r="D3730">
        <f>IFERROR(__xludf.DUMMYFUNCTION("""COMPUTED_VALUE"""),129.0)</f>
        <v>129</v>
      </c>
      <c r="E3730">
        <f>IFERROR(__xludf.DUMMYFUNCTION("""COMPUTED_VALUE"""),5.21)</f>
        <v>5.21</v>
      </c>
      <c r="F3730">
        <f>IFERROR(__xludf.DUMMYFUNCTION("""COMPUTED_VALUE"""),18.88)</f>
        <v>18.88</v>
      </c>
      <c r="G3730">
        <f>IFERROR(__xludf.DUMMYFUNCTION("""COMPUTED_VALUE"""),1.58)</f>
        <v>1.58</v>
      </c>
    </row>
    <row r="3731">
      <c r="A3731">
        <f>IFERROR(__xludf.DUMMYFUNCTION("""COMPUTED_VALUE"""),782895.0)</f>
        <v>782895</v>
      </c>
      <c r="B3731" t="str">
        <f>IFERROR(__xludf.DUMMYFUNCTION("""COMPUTED_VALUE"""),"Chicken Or Turkey Fricassee")</f>
        <v>Chicken Or Turkey Fricassee</v>
      </c>
      <c r="C3731" t="str">
        <f>IFERROR(__xludf.DUMMYFUNCTION("""COMPUTED_VALUE"""),"Meats")</f>
        <v>Meats</v>
      </c>
      <c r="D3731">
        <f>IFERROR(__xludf.DUMMYFUNCTION("""COMPUTED_VALUE"""),121.0)</f>
        <v>121</v>
      </c>
      <c r="E3731">
        <f>IFERROR(__xludf.DUMMYFUNCTION("""COMPUTED_VALUE"""),7.14)</f>
        <v>7.14</v>
      </c>
      <c r="F3731">
        <f>IFERROR(__xludf.DUMMYFUNCTION("""COMPUTED_VALUE"""),10.65)</f>
        <v>10.65</v>
      </c>
      <c r="G3731">
        <f>IFERROR(__xludf.DUMMYFUNCTION("""COMPUTED_VALUE"""),3.5)</f>
        <v>3.5</v>
      </c>
    </row>
    <row r="3732">
      <c r="A3732">
        <f>IFERROR(__xludf.DUMMYFUNCTION("""COMPUTED_VALUE"""),782896.0)</f>
        <v>782896</v>
      </c>
      <c r="B3732" t="str">
        <f>IFERROR(__xludf.DUMMYFUNCTION("""COMPUTED_VALUE"""),"Turkey With Gravy")</f>
        <v>Turkey With Gravy</v>
      </c>
      <c r="C3732" t="str">
        <f>IFERROR(__xludf.DUMMYFUNCTION("""COMPUTED_VALUE"""),"Meats")</f>
        <v>Meats</v>
      </c>
      <c r="D3732">
        <f>IFERROR(__xludf.DUMMYFUNCTION("""COMPUTED_VALUE"""),125.0)</f>
        <v>125</v>
      </c>
      <c r="E3732">
        <f>IFERROR(__xludf.DUMMYFUNCTION("""COMPUTED_VALUE"""),3.46)</f>
        <v>3.46</v>
      </c>
      <c r="F3732">
        <f>IFERROR(__xludf.DUMMYFUNCTION("""COMPUTED_VALUE"""),20.46)</f>
        <v>20.46</v>
      </c>
      <c r="G3732">
        <f>IFERROR(__xludf.DUMMYFUNCTION("""COMPUTED_VALUE"""),1.58)</f>
        <v>1.58</v>
      </c>
    </row>
    <row r="3733">
      <c r="A3733">
        <f>IFERROR(__xludf.DUMMYFUNCTION("""COMPUTED_VALUE"""),782897.0)</f>
        <v>782897</v>
      </c>
      <c r="B3733" t="str">
        <f>IFERROR(__xludf.DUMMYFUNCTION("""COMPUTED_VALUE"""),"Chicken Or Turkey With Cream Sauce")</f>
        <v>Chicken Or Turkey With Cream Sauce</v>
      </c>
      <c r="C3733" t="str">
        <f>IFERROR(__xludf.DUMMYFUNCTION("""COMPUTED_VALUE"""),"Meats")</f>
        <v>Meats</v>
      </c>
      <c r="D3733">
        <f>IFERROR(__xludf.DUMMYFUNCTION("""COMPUTED_VALUE"""),158.0)</f>
        <v>158</v>
      </c>
      <c r="E3733">
        <f>IFERROR(__xludf.DUMMYFUNCTION("""COMPUTED_VALUE"""),7.61)</f>
        <v>7.61</v>
      </c>
      <c r="F3733">
        <f>IFERROR(__xludf.DUMMYFUNCTION("""COMPUTED_VALUE"""),19.82)</f>
        <v>19.82</v>
      </c>
      <c r="G3733">
        <f>IFERROR(__xludf.DUMMYFUNCTION("""COMPUTED_VALUE"""),2.74)</f>
        <v>2.74</v>
      </c>
    </row>
    <row r="3734">
      <c r="A3734">
        <f>IFERROR(__xludf.DUMMYFUNCTION("""COMPUTED_VALUE"""),782898.0)</f>
        <v>782898</v>
      </c>
      <c r="B3734" t="str">
        <f>IFERROR(__xludf.DUMMYFUNCTION("""COMPUTED_VALUE"""),"Chicken Or Turkey With Mushroom Sauce")</f>
        <v>Chicken Or Turkey With Mushroom Sauce</v>
      </c>
      <c r="C3734" t="str">
        <f>IFERROR(__xludf.DUMMYFUNCTION("""COMPUTED_VALUE"""),"Meats")</f>
        <v>Meats</v>
      </c>
      <c r="D3734">
        <f>IFERROR(__xludf.DUMMYFUNCTION("""COMPUTED_VALUE"""),135.0)</f>
        <v>135</v>
      </c>
      <c r="E3734">
        <f>IFERROR(__xludf.DUMMYFUNCTION("""COMPUTED_VALUE"""),5.7)</f>
        <v>5.7</v>
      </c>
      <c r="F3734">
        <f>IFERROR(__xludf.DUMMYFUNCTION("""COMPUTED_VALUE"""),19.28)</f>
        <v>19.28</v>
      </c>
      <c r="G3734">
        <f>IFERROR(__xludf.DUMMYFUNCTION("""COMPUTED_VALUE"""),1.84)</f>
        <v>1.84</v>
      </c>
    </row>
    <row r="3735">
      <c r="A3735">
        <f>IFERROR(__xludf.DUMMYFUNCTION("""COMPUTED_VALUE"""),782900.0)</f>
        <v>782900</v>
      </c>
      <c r="B3735" t="str">
        <f>IFERROR(__xludf.DUMMYFUNCTION("""COMPUTED_VALUE"""),"Chicken Shredded Or Pulled With Barbecue Sauce")</f>
        <v>Chicken Shredded Or Pulled With Barbecue Sauce</v>
      </c>
      <c r="C3735" t="str">
        <f>IFERROR(__xludf.DUMMYFUNCTION("""COMPUTED_VALUE"""),"Meats")</f>
        <v>Meats</v>
      </c>
      <c r="D3735">
        <f>IFERROR(__xludf.DUMMYFUNCTION("""COMPUTED_VALUE"""),167.0)</f>
        <v>167</v>
      </c>
      <c r="E3735">
        <f>IFERROR(__xludf.DUMMYFUNCTION("""COMPUTED_VALUE"""),4.64)</f>
        <v>4.64</v>
      </c>
      <c r="F3735">
        <f>IFERROR(__xludf.DUMMYFUNCTION("""COMPUTED_VALUE"""),19.0)</f>
        <v>19</v>
      </c>
      <c r="G3735">
        <f>IFERROR(__xludf.DUMMYFUNCTION("""COMPUTED_VALUE"""),12.23)</f>
        <v>12.23</v>
      </c>
    </row>
    <row r="3736">
      <c r="A3736">
        <f>IFERROR(__xludf.DUMMYFUNCTION("""COMPUTED_VALUE"""),782903.0)</f>
        <v>782903</v>
      </c>
      <c r="B3736" t="str">
        <f>IFERROR(__xludf.DUMMYFUNCTION("""COMPUTED_VALUE"""),"Chicken Curry")</f>
        <v>Chicken Curry</v>
      </c>
      <c r="C3736" t="str">
        <f>IFERROR(__xludf.DUMMYFUNCTION("""COMPUTED_VALUE"""),"Meats")</f>
        <v>Meats</v>
      </c>
      <c r="D3736">
        <f>IFERROR(__xludf.DUMMYFUNCTION("""COMPUTED_VALUE"""),82.0)</f>
        <v>82</v>
      </c>
      <c r="E3736">
        <f>IFERROR(__xludf.DUMMYFUNCTION("""COMPUTED_VALUE"""),3.85)</f>
        <v>3.85</v>
      </c>
      <c r="F3736">
        <f>IFERROR(__xludf.DUMMYFUNCTION("""COMPUTED_VALUE"""),5.73)</f>
        <v>5.73</v>
      </c>
      <c r="G3736">
        <f>IFERROR(__xludf.DUMMYFUNCTION("""COMPUTED_VALUE"""),6.67)</f>
        <v>6.67</v>
      </c>
    </row>
    <row r="3737">
      <c r="A3737">
        <f>IFERROR(__xludf.DUMMYFUNCTION("""COMPUTED_VALUE"""),782904.0)</f>
        <v>782904</v>
      </c>
      <c r="B3737" t="str">
        <f>IFERROR(__xludf.DUMMYFUNCTION("""COMPUTED_VALUE"""),"Chicken With Mole Sauce")</f>
        <v>Chicken With Mole Sauce</v>
      </c>
      <c r="C3737" t="str">
        <f>IFERROR(__xludf.DUMMYFUNCTION("""COMPUTED_VALUE"""),"Meats")</f>
        <v>Meats</v>
      </c>
      <c r="D3737">
        <f>IFERROR(__xludf.DUMMYFUNCTION("""COMPUTED_VALUE"""),157.0)</f>
        <v>157</v>
      </c>
      <c r="E3737">
        <f>IFERROR(__xludf.DUMMYFUNCTION("""COMPUTED_VALUE"""),7.51)</f>
        <v>7.51</v>
      </c>
      <c r="F3737">
        <f>IFERROR(__xludf.DUMMYFUNCTION("""COMPUTED_VALUE"""),19.54)</f>
        <v>19.54</v>
      </c>
      <c r="G3737">
        <f>IFERROR(__xludf.DUMMYFUNCTION("""COMPUTED_VALUE"""),3.45)</f>
        <v>3.45</v>
      </c>
    </row>
    <row r="3738">
      <c r="A3738">
        <f>IFERROR(__xludf.DUMMYFUNCTION("""COMPUTED_VALUE"""),782905.0)</f>
        <v>782905</v>
      </c>
      <c r="B3738" t="str">
        <f>IFERROR(__xludf.DUMMYFUNCTION("""COMPUTED_VALUE"""),"Chicken Or Turkey With Cheese Sauce")</f>
        <v>Chicken Or Turkey With Cheese Sauce</v>
      </c>
      <c r="C3738" t="str">
        <f>IFERROR(__xludf.DUMMYFUNCTION("""COMPUTED_VALUE"""),"Meats")</f>
        <v>Meats</v>
      </c>
      <c r="D3738">
        <f>IFERROR(__xludf.DUMMYFUNCTION("""COMPUTED_VALUE"""),173.0)</f>
        <v>173</v>
      </c>
      <c r="E3738">
        <f>IFERROR(__xludf.DUMMYFUNCTION("""COMPUTED_VALUE"""),8.9)</f>
        <v>8.9</v>
      </c>
      <c r="F3738">
        <f>IFERROR(__xludf.DUMMYFUNCTION("""COMPUTED_VALUE"""),21.77)</f>
        <v>21.77</v>
      </c>
      <c r="G3738">
        <f>IFERROR(__xludf.DUMMYFUNCTION("""COMPUTED_VALUE"""),1.64)</f>
        <v>1.64</v>
      </c>
    </row>
    <row r="3739">
      <c r="A3739">
        <f>IFERROR(__xludf.DUMMYFUNCTION("""COMPUTED_VALUE"""),782906.0)</f>
        <v>782906</v>
      </c>
      <c r="B3739" t="str">
        <f>IFERROR(__xludf.DUMMYFUNCTION("""COMPUTED_VALUE"""),"Chicken Or Turkey Cordon Bleu")</f>
        <v>Chicken Or Turkey Cordon Bleu</v>
      </c>
      <c r="C3739" t="str">
        <f>IFERROR(__xludf.DUMMYFUNCTION("""COMPUTED_VALUE"""),"Meats")</f>
        <v>Meats</v>
      </c>
      <c r="D3739">
        <f>IFERROR(__xludf.DUMMYFUNCTION("""COMPUTED_VALUE"""),216.0)</f>
        <v>216</v>
      </c>
      <c r="E3739">
        <f>IFERROR(__xludf.DUMMYFUNCTION("""COMPUTED_VALUE"""),9.57)</f>
        <v>9.57</v>
      </c>
      <c r="F3739">
        <f>IFERROR(__xludf.DUMMYFUNCTION("""COMPUTED_VALUE"""),22.62)</f>
        <v>22.62</v>
      </c>
      <c r="G3739">
        <f>IFERROR(__xludf.DUMMYFUNCTION("""COMPUTED_VALUE"""),9.61)</f>
        <v>9.61</v>
      </c>
    </row>
    <row r="3740">
      <c r="A3740">
        <f>IFERROR(__xludf.DUMMYFUNCTION("""COMPUTED_VALUE"""),782907.0)</f>
        <v>782907</v>
      </c>
      <c r="B3740" t="str">
        <f>IFERROR(__xludf.DUMMYFUNCTION("""COMPUTED_VALUE"""),"Chicken Or Turkey Parmigiana")</f>
        <v>Chicken Or Turkey Parmigiana</v>
      </c>
      <c r="C3740" t="str">
        <f>IFERROR(__xludf.DUMMYFUNCTION("""COMPUTED_VALUE"""),"Meats")</f>
        <v>Meats</v>
      </c>
      <c r="D3740">
        <f>IFERROR(__xludf.DUMMYFUNCTION("""COMPUTED_VALUE"""),174.0)</f>
        <v>174</v>
      </c>
      <c r="E3740">
        <f>IFERROR(__xludf.DUMMYFUNCTION("""COMPUTED_VALUE"""),8.45)</f>
        <v>8.45</v>
      </c>
      <c r="F3740">
        <f>IFERROR(__xludf.DUMMYFUNCTION("""COMPUTED_VALUE"""),16.06)</f>
        <v>16.06</v>
      </c>
      <c r="G3740">
        <f>IFERROR(__xludf.DUMMYFUNCTION("""COMPUTED_VALUE"""),8.01)</f>
        <v>8.01</v>
      </c>
    </row>
    <row r="3741">
      <c r="A3741">
        <f>IFERROR(__xludf.DUMMYFUNCTION("""COMPUTED_VALUE"""),782910.0)</f>
        <v>782910</v>
      </c>
      <c r="B3741" t="str">
        <f>IFERROR(__xludf.DUMMYFUNCTION("""COMPUTED_VALUE"""),"Chicken Kiev")</f>
        <v>Chicken Kiev</v>
      </c>
      <c r="C3741" t="str">
        <f>IFERROR(__xludf.DUMMYFUNCTION("""COMPUTED_VALUE"""),"Meats")</f>
        <v>Meats</v>
      </c>
      <c r="D3741">
        <f>IFERROR(__xludf.DUMMYFUNCTION("""COMPUTED_VALUE"""),253.0)</f>
        <v>253</v>
      </c>
      <c r="E3741">
        <f>IFERROR(__xludf.DUMMYFUNCTION("""COMPUTED_VALUE"""),13.1)</f>
        <v>13.1</v>
      </c>
      <c r="F3741">
        <f>IFERROR(__xludf.DUMMYFUNCTION("""COMPUTED_VALUE"""),28.0)</f>
        <v>28</v>
      </c>
      <c r="G3741">
        <f>IFERROR(__xludf.DUMMYFUNCTION("""COMPUTED_VALUE"""),4.25)</f>
        <v>4.25</v>
      </c>
    </row>
    <row r="3742">
      <c r="A3742">
        <f>IFERROR(__xludf.DUMMYFUNCTION("""COMPUTED_VALUE"""),782911.0)</f>
        <v>782911</v>
      </c>
      <c r="B3742" t="str">
        <f>IFERROR(__xludf.DUMMYFUNCTION("""COMPUTED_VALUE"""),"Stuffed Chicken Drumstick Or Breast Puerto Rican Style")</f>
        <v>Stuffed Chicken Drumstick Or Breast Puerto Rican Style</v>
      </c>
      <c r="C3742" t="str">
        <f>IFERROR(__xludf.DUMMYFUNCTION("""COMPUTED_VALUE"""),"Meats")</f>
        <v>Meats</v>
      </c>
      <c r="D3742">
        <f>IFERROR(__xludf.DUMMYFUNCTION("""COMPUTED_VALUE"""),234.0)</f>
        <v>234</v>
      </c>
      <c r="E3742">
        <f>IFERROR(__xludf.DUMMYFUNCTION("""COMPUTED_VALUE"""),10.43)</f>
        <v>10.43</v>
      </c>
      <c r="F3742">
        <f>IFERROR(__xludf.DUMMYFUNCTION("""COMPUTED_VALUE"""),28.07)</f>
        <v>28.07</v>
      </c>
      <c r="G3742">
        <f>IFERROR(__xludf.DUMMYFUNCTION("""COMPUTED_VALUE"""),6.53)</f>
        <v>6.53</v>
      </c>
    </row>
    <row r="3743">
      <c r="A3743">
        <f>IFERROR(__xludf.DUMMYFUNCTION("""COMPUTED_VALUE"""),782912.0)</f>
        <v>782912</v>
      </c>
      <c r="B3743" t="str">
        <f>IFERROR(__xludf.DUMMYFUNCTION("""COMPUTED_VALUE"""),"Fish With Cream Or White Sauce Not Tuna Or Lobster")</f>
        <v>Fish With Cream Or White Sauce Not Tuna Or Lobster</v>
      </c>
      <c r="C3743" t="str">
        <f>IFERROR(__xludf.DUMMYFUNCTION("""COMPUTED_VALUE"""),"Fish")</f>
        <v>Fish</v>
      </c>
      <c r="D3743">
        <f>IFERROR(__xludf.DUMMYFUNCTION("""COMPUTED_VALUE"""),117.0)</f>
        <v>117</v>
      </c>
      <c r="E3743">
        <f>IFERROR(__xludf.DUMMYFUNCTION("""COMPUTED_VALUE"""),3.77)</f>
        <v>3.77</v>
      </c>
      <c r="F3743">
        <f>IFERROR(__xludf.DUMMYFUNCTION("""COMPUTED_VALUE"""),17.05)</f>
        <v>17.05</v>
      </c>
      <c r="G3743">
        <f>IFERROR(__xludf.DUMMYFUNCTION("""COMPUTED_VALUE"""),2.74)</f>
        <v>2.74</v>
      </c>
    </row>
    <row r="3744">
      <c r="A3744">
        <f>IFERROR(__xludf.DUMMYFUNCTION("""COMPUTED_VALUE"""),782913.0)</f>
        <v>782913</v>
      </c>
      <c r="B3744" t="str">
        <f>IFERROR(__xludf.DUMMYFUNCTION("""COMPUTED_VALUE"""),"Crab Deviled")</f>
        <v>Crab Deviled</v>
      </c>
      <c r="C3744" t="str">
        <f>IFERROR(__xludf.DUMMYFUNCTION("""COMPUTED_VALUE"""),"Fish")</f>
        <v>Fish</v>
      </c>
      <c r="D3744">
        <f>IFERROR(__xludf.DUMMYFUNCTION("""COMPUTED_VALUE"""),187.0)</f>
        <v>187</v>
      </c>
      <c r="E3744">
        <f>IFERROR(__xludf.DUMMYFUNCTION("""COMPUTED_VALUE"""),9.62)</f>
        <v>9.62</v>
      </c>
      <c r="F3744">
        <f>IFERROR(__xludf.DUMMYFUNCTION("""COMPUTED_VALUE"""),11.92)</f>
        <v>11.92</v>
      </c>
      <c r="G3744">
        <f>IFERROR(__xludf.DUMMYFUNCTION("""COMPUTED_VALUE"""),13.28)</f>
        <v>13.28</v>
      </c>
    </row>
    <row r="3745">
      <c r="A3745">
        <f>IFERROR(__xludf.DUMMYFUNCTION("""COMPUTED_VALUE"""),782914.0)</f>
        <v>782914</v>
      </c>
      <c r="B3745" t="str">
        <f>IFERROR(__xludf.DUMMYFUNCTION("""COMPUTED_VALUE"""),"Crab Imperial")</f>
        <v>Crab Imperial</v>
      </c>
      <c r="C3745" t="str">
        <f>IFERROR(__xludf.DUMMYFUNCTION("""COMPUTED_VALUE"""),"Fish")</f>
        <v>Fish</v>
      </c>
      <c r="D3745">
        <f>IFERROR(__xludf.DUMMYFUNCTION("""COMPUTED_VALUE"""),137.0)</f>
        <v>137</v>
      </c>
      <c r="E3745">
        <f>IFERROR(__xludf.DUMMYFUNCTION("""COMPUTED_VALUE"""),7.32)</f>
        <v>7.32</v>
      </c>
      <c r="F3745">
        <f>IFERROR(__xludf.DUMMYFUNCTION("""COMPUTED_VALUE"""),13.94)</f>
        <v>13.94</v>
      </c>
      <c r="G3745">
        <f>IFERROR(__xludf.DUMMYFUNCTION("""COMPUTED_VALUE"""),3.22)</f>
        <v>3.22</v>
      </c>
    </row>
    <row r="3746">
      <c r="A3746">
        <f>IFERROR(__xludf.DUMMYFUNCTION("""COMPUTED_VALUE"""),782915.0)</f>
        <v>782915</v>
      </c>
      <c r="B3746" t="str">
        <f>IFERROR(__xludf.DUMMYFUNCTION("""COMPUTED_VALUE"""),"Fish Timbale Or Mousse")</f>
        <v>Fish Timbale Or Mousse</v>
      </c>
      <c r="C3746" t="str">
        <f>IFERROR(__xludf.DUMMYFUNCTION("""COMPUTED_VALUE"""),"Fish")</f>
        <v>Fish</v>
      </c>
      <c r="D3746">
        <f>IFERROR(__xludf.DUMMYFUNCTION("""COMPUTED_VALUE"""),148.0)</f>
        <v>148</v>
      </c>
      <c r="E3746">
        <f>IFERROR(__xludf.DUMMYFUNCTION("""COMPUTED_VALUE"""),10.97)</f>
        <v>10.97</v>
      </c>
      <c r="F3746">
        <f>IFERROR(__xludf.DUMMYFUNCTION("""COMPUTED_VALUE"""),10.22)</f>
        <v>10.22</v>
      </c>
      <c r="G3746">
        <f>IFERROR(__xludf.DUMMYFUNCTION("""COMPUTED_VALUE"""),1.75)</f>
        <v>1.75</v>
      </c>
    </row>
    <row r="3747">
      <c r="A3747">
        <f>IFERROR(__xludf.DUMMYFUNCTION("""COMPUTED_VALUE"""),782916.0)</f>
        <v>782916</v>
      </c>
      <c r="B3747" t="str">
        <f>IFERROR(__xludf.DUMMYFUNCTION("""COMPUTED_VALUE"""),"Lobster Newburg")</f>
        <v>Lobster Newburg</v>
      </c>
      <c r="C3747" t="str">
        <f>IFERROR(__xludf.DUMMYFUNCTION("""COMPUTED_VALUE"""),"Fish")</f>
        <v>Fish</v>
      </c>
      <c r="D3747">
        <f>IFERROR(__xludf.DUMMYFUNCTION("""COMPUTED_VALUE"""),241.0)</f>
        <v>241</v>
      </c>
      <c r="E3747">
        <f>IFERROR(__xludf.DUMMYFUNCTION("""COMPUTED_VALUE"""),20.14)</f>
        <v>20.14</v>
      </c>
      <c r="F3747">
        <f>IFERROR(__xludf.DUMMYFUNCTION("""COMPUTED_VALUE"""),11.61)</f>
        <v>11.61</v>
      </c>
      <c r="G3747">
        <f>IFERROR(__xludf.DUMMYFUNCTION("""COMPUTED_VALUE"""),3.59)</f>
        <v>3.59</v>
      </c>
    </row>
    <row r="3748">
      <c r="A3748">
        <f>IFERROR(__xludf.DUMMYFUNCTION("""COMPUTED_VALUE"""),782917.0)</f>
        <v>782917</v>
      </c>
      <c r="B3748" t="str">
        <f>IFERROR(__xludf.DUMMYFUNCTION("""COMPUTED_VALUE"""),"Lobster With Butter Sauce")</f>
        <v>Lobster With Butter Sauce</v>
      </c>
      <c r="C3748" t="str">
        <f>IFERROR(__xludf.DUMMYFUNCTION("""COMPUTED_VALUE"""),"Fish")</f>
        <v>Fish</v>
      </c>
      <c r="D3748">
        <f>IFERROR(__xludf.DUMMYFUNCTION("""COMPUTED_VALUE"""),159.0)</f>
        <v>159</v>
      </c>
      <c r="E3748">
        <f>IFERROR(__xludf.DUMMYFUNCTION("""COMPUTED_VALUE"""),9.78)</f>
        <v>9.78</v>
      </c>
      <c r="F3748">
        <f>IFERROR(__xludf.DUMMYFUNCTION("""COMPUTED_VALUE"""),16.98)</f>
        <v>16.98</v>
      </c>
      <c r="G3748">
        <f>IFERROR(__xludf.DUMMYFUNCTION("""COMPUTED_VALUE"""),0.01)</f>
        <v>0.01</v>
      </c>
    </row>
    <row r="3749">
      <c r="A3749">
        <f>IFERROR(__xludf.DUMMYFUNCTION("""COMPUTED_VALUE"""),782918.0)</f>
        <v>782918</v>
      </c>
      <c r="B3749" t="str">
        <f>IFERROR(__xludf.DUMMYFUNCTION("""COMPUTED_VALUE"""),"Shrimp Curry")</f>
        <v>Shrimp Curry</v>
      </c>
      <c r="C3749" t="str">
        <f>IFERROR(__xludf.DUMMYFUNCTION("""COMPUTED_VALUE"""),"Fish")</f>
        <v>Fish</v>
      </c>
      <c r="D3749">
        <f>IFERROR(__xludf.DUMMYFUNCTION("""COMPUTED_VALUE"""),75.0)</f>
        <v>75</v>
      </c>
      <c r="E3749">
        <f>IFERROR(__xludf.DUMMYFUNCTION("""COMPUTED_VALUE"""),3.15)</f>
        <v>3.15</v>
      </c>
      <c r="F3749">
        <f>IFERROR(__xludf.DUMMYFUNCTION("""COMPUTED_VALUE"""),5.0)</f>
        <v>5</v>
      </c>
      <c r="G3749">
        <f>IFERROR(__xludf.DUMMYFUNCTION("""COMPUTED_VALUE"""),7.14)</f>
        <v>7.14</v>
      </c>
    </row>
    <row r="3750">
      <c r="A3750">
        <f>IFERROR(__xludf.DUMMYFUNCTION("""COMPUTED_VALUE"""),782919.0)</f>
        <v>782919</v>
      </c>
      <c r="B3750" t="str">
        <f>IFERROR(__xludf.DUMMYFUNCTION("""COMPUTED_VALUE"""),"Shrimp Cocktail")</f>
        <v>Shrimp Cocktail</v>
      </c>
      <c r="C3750" t="str">
        <f>IFERROR(__xludf.DUMMYFUNCTION("""COMPUTED_VALUE"""),"Fish")</f>
        <v>Fish</v>
      </c>
      <c r="D3750">
        <f>IFERROR(__xludf.DUMMYFUNCTION("""COMPUTED_VALUE"""),121.0)</f>
        <v>121</v>
      </c>
      <c r="E3750">
        <f>IFERROR(__xludf.DUMMYFUNCTION("""COMPUTED_VALUE"""),1.48)</f>
        <v>1.48</v>
      </c>
      <c r="F3750">
        <f>IFERROR(__xludf.DUMMYFUNCTION("""COMPUTED_VALUE"""),15.37)</f>
        <v>15.37</v>
      </c>
      <c r="G3750">
        <f>IFERROR(__xludf.DUMMYFUNCTION("""COMPUTED_VALUE"""),10.76)</f>
        <v>10.76</v>
      </c>
    </row>
    <row r="3751">
      <c r="A3751">
        <f>IFERROR(__xludf.DUMMYFUNCTION("""COMPUTED_VALUE"""),782920.0)</f>
        <v>782920</v>
      </c>
      <c r="B3751" t="str">
        <f>IFERROR(__xludf.DUMMYFUNCTION("""COMPUTED_VALUE"""),"Tuna With Cream Or White Sauce")</f>
        <v>Tuna With Cream Or White Sauce</v>
      </c>
      <c r="C3751" t="str">
        <f>IFERROR(__xludf.DUMMYFUNCTION("""COMPUTED_VALUE"""),"Fish")</f>
        <v>Fish</v>
      </c>
      <c r="D3751">
        <f>IFERROR(__xludf.DUMMYFUNCTION("""COMPUTED_VALUE"""),104.0)</f>
        <v>104</v>
      </c>
      <c r="E3751">
        <f>IFERROR(__xludf.DUMMYFUNCTION("""COMPUTED_VALUE"""),3.85)</f>
        <v>3.85</v>
      </c>
      <c r="F3751">
        <f>IFERROR(__xludf.DUMMYFUNCTION("""COMPUTED_VALUE"""),14.73)</f>
        <v>14.73</v>
      </c>
      <c r="G3751">
        <f>IFERROR(__xludf.DUMMYFUNCTION("""COMPUTED_VALUE"""),2.75)</f>
        <v>2.75</v>
      </c>
    </row>
    <row r="3752">
      <c r="A3752">
        <f>IFERROR(__xludf.DUMMYFUNCTION("""COMPUTED_VALUE"""),782921.0)</f>
        <v>782921</v>
      </c>
      <c r="B3752" t="str">
        <f>IFERROR(__xludf.DUMMYFUNCTION("""COMPUTED_VALUE"""),"Seafood Newburg")</f>
        <v>Seafood Newburg</v>
      </c>
      <c r="C3752" t="str">
        <f>IFERROR(__xludf.DUMMYFUNCTION("""COMPUTED_VALUE"""),"Fish")</f>
        <v>Fish</v>
      </c>
      <c r="D3752">
        <f>IFERROR(__xludf.DUMMYFUNCTION("""COMPUTED_VALUE"""),245.0)</f>
        <v>245</v>
      </c>
      <c r="E3752">
        <f>IFERROR(__xludf.DUMMYFUNCTION("""COMPUTED_VALUE"""),20.26)</f>
        <v>20.26</v>
      </c>
      <c r="F3752">
        <f>IFERROR(__xludf.DUMMYFUNCTION("""COMPUTED_VALUE"""),12.02)</f>
        <v>12.02</v>
      </c>
      <c r="G3752">
        <f>IFERROR(__xludf.DUMMYFUNCTION("""COMPUTED_VALUE"""),3.82)</f>
        <v>3.82</v>
      </c>
    </row>
    <row r="3753">
      <c r="A3753">
        <f>IFERROR(__xludf.DUMMYFUNCTION("""COMPUTED_VALUE"""),782922.0)</f>
        <v>782922</v>
      </c>
      <c r="B3753" t="str">
        <f>IFERROR(__xludf.DUMMYFUNCTION("""COMPUTED_VALUE"""),"Clam Sauce White")</f>
        <v>Clam Sauce White</v>
      </c>
      <c r="C3753" t="str">
        <f>IFERROR(__xludf.DUMMYFUNCTION("""COMPUTED_VALUE"""),"Fish")</f>
        <v>Fish</v>
      </c>
      <c r="D3753">
        <f>IFERROR(__xludf.DUMMYFUNCTION("""COMPUTED_VALUE"""),196.0)</f>
        <v>196</v>
      </c>
      <c r="E3753">
        <f>IFERROR(__xludf.DUMMYFUNCTION("""COMPUTED_VALUE"""),16.95)</f>
        <v>16.95</v>
      </c>
      <c r="F3753">
        <f>IFERROR(__xludf.DUMMYFUNCTION("""COMPUTED_VALUE"""),8.57)</f>
        <v>8.57</v>
      </c>
      <c r="G3753">
        <f>IFERROR(__xludf.DUMMYFUNCTION("""COMPUTED_VALUE"""),2.57)</f>
        <v>2.57</v>
      </c>
    </row>
    <row r="3754">
      <c r="A3754">
        <f>IFERROR(__xludf.DUMMYFUNCTION("""COMPUTED_VALUE"""),782925.0)</f>
        <v>782925</v>
      </c>
      <c r="B3754" t="str">
        <f>IFERROR(__xludf.DUMMYFUNCTION("""COMPUTED_VALUE"""),"Shrimp With Lobster Sauce")</f>
        <v>Shrimp With Lobster Sauce</v>
      </c>
      <c r="C3754" t="str">
        <f>IFERROR(__xludf.DUMMYFUNCTION("""COMPUTED_VALUE"""),"Fish")</f>
        <v>Fish</v>
      </c>
      <c r="D3754">
        <f>IFERROR(__xludf.DUMMYFUNCTION("""COMPUTED_VALUE"""),150.0)</f>
        <v>150</v>
      </c>
      <c r="E3754">
        <f>IFERROR(__xludf.DUMMYFUNCTION("""COMPUTED_VALUE"""),7.76)</f>
        <v>7.76</v>
      </c>
      <c r="F3754">
        <f>IFERROR(__xludf.DUMMYFUNCTION("""COMPUTED_VALUE"""),16.79)</f>
        <v>16.79</v>
      </c>
      <c r="G3754">
        <f>IFERROR(__xludf.DUMMYFUNCTION("""COMPUTED_VALUE"""),2.22)</f>
        <v>2.22</v>
      </c>
    </row>
    <row r="3755">
      <c r="A3755">
        <f>IFERROR(__xludf.DUMMYFUNCTION("""COMPUTED_VALUE"""),782930.0)</f>
        <v>782930</v>
      </c>
      <c r="B3755" t="str">
        <f>IFERROR(__xludf.DUMMYFUNCTION("""COMPUTED_VALUE"""),"Shrimp Scampi")</f>
        <v>Shrimp Scampi</v>
      </c>
      <c r="C3755" t="str">
        <f>IFERROR(__xludf.DUMMYFUNCTION("""COMPUTED_VALUE"""),"Fish")</f>
        <v>Fish</v>
      </c>
      <c r="D3755">
        <f>IFERROR(__xludf.DUMMYFUNCTION("""COMPUTED_VALUE"""),195.0)</f>
        <v>195</v>
      </c>
      <c r="E3755">
        <f>IFERROR(__xludf.DUMMYFUNCTION("""COMPUTED_VALUE"""),11.73)</f>
        <v>11.73</v>
      </c>
      <c r="F3755">
        <f>IFERROR(__xludf.DUMMYFUNCTION("""COMPUTED_VALUE"""),19.7)</f>
        <v>19.7</v>
      </c>
      <c r="G3755">
        <f>IFERROR(__xludf.DUMMYFUNCTION("""COMPUTED_VALUE"""),1.77)</f>
        <v>1.77</v>
      </c>
    </row>
    <row r="3756">
      <c r="A3756">
        <f>IFERROR(__xludf.DUMMYFUNCTION("""COMPUTED_VALUE"""),782931.0)</f>
        <v>782931</v>
      </c>
      <c r="B3756" t="str">
        <f>IFERROR(__xludf.DUMMYFUNCTION("""COMPUTED_VALUE"""),"Fish Moochim")</f>
        <v>Fish Moochim</v>
      </c>
      <c r="C3756" t="str">
        <f>IFERROR(__xludf.DUMMYFUNCTION("""COMPUTED_VALUE"""),"Fish")</f>
        <v>Fish</v>
      </c>
      <c r="D3756">
        <f>IFERROR(__xludf.DUMMYFUNCTION("""COMPUTED_VALUE"""),340.0)</f>
        <v>340</v>
      </c>
      <c r="E3756">
        <f>IFERROR(__xludf.DUMMYFUNCTION("""COMPUTED_VALUE"""),15.74)</f>
        <v>15.74</v>
      </c>
      <c r="F3756">
        <f>IFERROR(__xludf.DUMMYFUNCTION("""COMPUTED_VALUE"""),37.85)</f>
        <v>37.85</v>
      </c>
      <c r="G3756">
        <f>IFERROR(__xludf.DUMMYFUNCTION("""COMPUTED_VALUE"""),10.72)</f>
        <v>10.72</v>
      </c>
    </row>
    <row r="3757">
      <c r="A3757">
        <f>IFERROR(__xludf.DUMMYFUNCTION("""COMPUTED_VALUE"""),782932.0)</f>
        <v>782932</v>
      </c>
      <c r="B3757" t="str">
        <f>IFERROR(__xludf.DUMMYFUNCTION("""COMPUTED_VALUE"""),"Fish With Tomato-Based Sauce")</f>
        <v>Fish With Tomato-Based Sauce</v>
      </c>
      <c r="C3757" t="str">
        <f>IFERROR(__xludf.DUMMYFUNCTION("""COMPUTED_VALUE"""),"Fish")</f>
        <v>Fish</v>
      </c>
      <c r="D3757">
        <f>IFERROR(__xludf.DUMMYFUNCTION("""COMPUTED_VALUE"""),80.0)</f>
        <v>80</v>
      </c>
      <c r="E3757">
        <f>IFERROR(__xludf.DUMMYFUNCTION("""COMPUTED_VALUE"""),0.69)</f>
        <v>0.69</v>
      </c>
      <c r="F3757">
        <f>IFERROR(__xludf.DUMMYFUNCTION("""COMPUTED_VALUE"""),16.28)</f>
        <v>16.28</v>
      </c>
      <c r="G3757">
        <f>IFERROR(__xludf.DUMMYFUNCTION("""COMPUTED_VALUE"""),1.59)</f>
        <v>1.59</v>
      </c>
    </row>
    <row r="3758">
      <c r="A3758">
        <f>IFERROR(__xludf.DUMMYFUNCTION("""COMPUTED_VALUE"""),782933.0)</f>
        <v>782933</v>
      </c>
      <c r="B3758" t="str">
        <f>IFERROR(__xludf.DUMMYFUNCTION("""COMPUTED_VALUE"""),"Fish Curry")</f>
        <v>Fish Curry</v>
      </c>
      <c r="C3758" t="str">
        <f>IFERROR(__xludf.DUMMYFUNCTION("""COMPUTED_VALUE"""),"Fish")</f>
        <v>Fish</v>
      </c>
      <c r="D3758">
        <f>IFERROR(__xludf.DUMMYFUNCTION("""COMPUTED_VALUE"""),70.0)</f>
        <v>70</v>
      </c>
      <c r="E3758">
        <f>IFERROR(__xludf.DUMMYFUNCTION("""COMPUTED_VALUE"""),2.93)</f>
        <v>2.93</v>
      </c>
      <c r="F3758">
        <f>IFERROR(__xludf.DUMMYFUNCTION("""COMPUTED_VALUE"""),4.5)</f>
        <v>4.5</v>
      </c>
      <c r="G3758">
        <f>IFERROR(__xludf.DUMMYFUNCTION("""COMPUTED_VALUE"""),6.83)</f>
        <v>6.83</v>
      </c>
    </row>
    <row r="3759">
      <c r="A3759">
        <f>IFERROR(__xludf.DUMMYFUNCTION("""COMPUTED_VALUE"""),782934.0)</f>
        <v>782934</v>
      </c>
      <c r="B3759" t="str">
        <f>IFERROR(__xludf.DUMMYFUNCTION("""COMPUTED_VALUE"""),"Mussels With Tomato-Based Sauce")</f>
        <v>Mussels With Tomato-Based Sauce</v>
      </c>
      <c r="C3759" t="str">
        <f>IFERROR(__xludf.DUMMYFUNCTION("""COMPUTED_VALUE"""),"Fish")</f>
        <v>Fish</v>
      </c>
      <c r="D3759">
        <f>IFERROR(__xludf.DUMMYFUNCTION("""COMPUTED_VALUE"""),92.0)</f>
        <v>92</v>
      </c>
      <c r="E3759">
        <f>IFERROR(__xludf.DUMMYFUNCTION("""COMPUTED_VALUE"""),2.32)</f>
        <v>2.32</v>
      </c>
      <c r="F3759">
        <f>IFERROR(__xludf.DUMMYFUNCTION("""COMPUTED_VALUE"""),12.2)</f>
        <v>12.2</v>
      </c>
      <c r="G3759">
        <f>IFERROR(__xludf.DUMMYFUNCTION("""COMPUTED_VALUE"""),5.02)</f>
        <v>5.02</v>
      </c>
    </row>
    <row r="3760">
      <c r="A3760">
        <f>IFERROR(__xludf.DUMMYFUNCTION("""COMPUTED_VALUE"""),782938.0)</f>
        <v>782938</v>
      </c>
      <c r="B3760" t="str">
        <f>IFERROR(__xludf.DUMMYFUNCTION("""COMPUTED_VALUE"""),"Scallops With Cheese Sauce")</f>
        <v>Scallops With Cheese Sauce</v>
      </c>
      <c r="C3760" t="str">
        <f>IFERROR(__xludf.DUMMYFUNCTION("""COMPUTED_VALUE"""),"Fish")</f>
        <v>Fish</v>
      </c>
      <c r="D3760">
        <f>IFERROR(__xludf.DUMMYFUNCTION("""COMPUTED_VALUE"""),137.0)</f>
        <v>137</v>
      </c>
      <c r="E3760">
        <f>IFERROR(__xludf.DUMMYFUNCTION("""COMPUTED_VALUE"""),5.06)</f>
        <v>5.06</v>
      </c>
      <c r="F3760">
        <f>IFERROR(__xludf.DUMMYFUNCTION("""COMPUTED_VALUE"""),17.48)</f>
        <v>17.48</v>
      </c>
      <c r="G3760">
        <f>IFERROR(__xludf.DUMMYFUNCTION("""COMPUTED_VALUE"""),5.43)</f>
        <v>5.43</v>
      </c>
    </row>
    <row r="3761">
      <c r="A3761">
        <f>IFERROR(__xludf.DUMMYFUNCTION("""COMPUTED_VALUE"""),782939.0)</f>
        <v>782939</v>
      </c>
      <c r="B3761" t="str">
        <f>IFERROR(__xludf.DUMMYFUNCTION("""COMPUTED_VALUE"""),"Ceviche")</f>
        <v>Ceviche</v>
      </c>
      <c r="C3761" t="str">
        <f>IFERROR(__xludf.DUMMYFUNCTION("""COMPUTED_VALUE"""),"Fish")</f>
        <v>Fish</v>
      </c>
      <c r="D3761">
        <f>IFERROR(__xludf.DUMMYFUNCTION("""COMPUTED_VALUE"""),62.0)</f>
        <v>62</v>
      </c>
      <c r="E3761">
        <f>IFERROR(__xludf.DUMMYFUNCTION("""COMPUTED_VALUE"""),0.75)</f>
        <v>0.75</v>
      </c>
      <c r="F3761">
        <f>IFERROR(__xludf.DUMMYFUNCTION("""COMPUTED_VALUE"""),10.34)</f>
        <v>10.34</v>
      </c>
      <c r="G3761">
        <f>IFERROR(__xludf.DUMMYFUNCTION("""COMPUTED_VALUE"""),3.58)</f>
        <v>3.58</v>
      </c>
    </row>
    <row r="3762">
      <c r="A3762">
        <f>IFERROR(__xludf.DUMMYFUNCTION("""COMPUTED_VALUE"""),782940.0)</f>
        <v>782940</v>
      </c>
      <c r="B3762" t="str">
        <f>IFERROR(__xludf.DUMMYFUNCTION("""COMPUTED_VALUE"""),"Crabs In Tomato-Based Sauce Puerto Rican Style")</f>
        <v>Crabs In Tomato-Based Sauce Puerto Rican Style</v>
      </c>
      <c r="C3762" t="str">
        <f>IFERROR(__xludf.DUMMYFUNCTION("""COMPUTED_VALUE"""),"Fish")</f>
        <v>Fish</v>
      </c>
      <c r="D3762">
        <f>IFERROR(__xludf.DUMMYFUNCTION("""COMPUTED_VALUE"""),140.0)</f>
        <v>140</v>
      </c>
      <c r="E3762">
        <f>IFERROR(__xludf.DUMMYFUNCTION("""COMPUTED_VALUE"""),8.62)</f>
        <v>8.62</v>
      </c>
      <c r="F3762">
        <f>IFERROR(__xludf.DUMMYFUNCTION("""COMPUTED_VALUE"""),12.54)</f>
        <v>12.54</v>
      </c>
      <c r="G3762">
        <f>IFERROR(__xludf.DUMMYFUNCTION("""COMPUTED_VALUE"""),2.97)</f>
        <v>2.97</v>
      </c>
    </row>
    <row r="3763">
      <c r="A3763">
        <f>IFERROR(__xludf.DUMMYFUNCTION("""COMPUTED_VALUE"""),782941.0)</f>
        <v>782941</v>
      </c>
      <c r="B3763" t="str">
        <f>IFERROR(__xludf.DUMMYFUNCTION("""COMPUTED_VALUE"""),"Shrimp In Garlic Sauce Puerto Rican Style")</f>
        <v>Shrimp In Garlic Sauce Puerto Rican Style</v>
      </c>
      <c r="C3763" t="str">
        <f>IFERROR(__xludf.DUMMYFUNCTION("""COMPUTED_VALUE"""),"Fish")</f>
        <v>Fish</v>
      </c>
      <c r="D3763">
        <f>IFERROR(__xludf.DUMMYFUNCTION("""COMPUTED_VALUE"""),277.0)</f>
        <v>277</v>
      </c>
      <c r="E3763">
        <f>IFERROR(__xludf.DUMMYFUNCTION("""COMPUTED_VALUE"""),24.7)</f>
        <v>24.7</v>
      </c>
      <c r="F3763">
        <f>IFERROR(__xludf.DUMMYFUNCTION("""COMPUTED_VALUE"""),11.58)</f>
        <v>11.58</v>
      </c>
      <c r="G3763">
        <f>IFERROR(__xludf.DUMMYFUNCTION("""COMPUTED_VALUE"""),2.52)</f>
        <v>2.52</v>
      </c>
    </row>
    <row r="3764">
      <c r="A3764">
        <f>IFERROR(__xludf.DUMMYFUNCTION("""COMPUTED_VALUE"""),782942.0)</f>
        <v>782942</v>
      </c>
      <c r="B3764" t="str">
        <f>IFERROR(__xludf.DUMMYFUNCTION("""COMPUTED_VALUE"""),"Stewed Codfish No Potatoes Puerto Rican Style")</f>
        <v>Stewed Codfish No Potatoes Puerto Rican Style</v>
      </c>
      <c r="C3764" t="str">
        <f>IFERROR(__xludf.DUMMYFUNCTION("""COMPUTED_VALUE"""),"Fish")</f>
        <v>Fish</v>
      </c>
      <c r="D3764">
        <f>IFERROR(__xludf.DUMMYFUNCTION("""COMPUTED_VALUE"""),105.0)</f>
        <v>105</v>
      </c>
      <c r="E3764">
        <f>IFERROR(__xludf.DUMMYFUNCTION("""COMPUTED_VALUE"""),4.27)</f>
        <v>4.27</v>
      </c>
      <c r="F3764">
        <f>IFERROR(__xludf.DUMMYFUNCTION("""COMPUTED_VALUE"""),12.13)</f>
        <v>12.13</v>
      </c>
      <c r="G3764">
        <f>IFERROR(__xludf.DUMMYFUNCTION("""COMPUTED_VALUE"""),4.46)</f>
        <v>4.46</v>
      </c>
    </row>
    <row r="3765">
      <c r="A3765">
        <f>IFERROR(__xludf.DUMMYFUNCTION("""COMPUTED_VALUE"""),782943.0)</f>
        <v>782943</v>
      </c>
      <c r="B3765" t="str">
        <f>IFERROR(__xludf.DUMMYFUNCTION("""COMPUTED_VALUE"""),"Meat With Barbecue Sauce Ns As To Type Of Meat")</f>
        <v>Meat With Barbecue Sauce Ns As To Type Of Meat</v>
      </c>
      <c r="C3765" t="str">
        <f>IFERROR(__xludf.DUMMYFUNCTION("""COMPUTED_VALUE"""),"Meats")</f>
        <v>Meats</v>
      </c>
      <c r="D3765">
        <f>IFERROR(__xludf.DUMMYFUNCTION("""COMPUTED_VALUE"""),201.0)</f>
        <v>201</v>
      </c>
      <c r="E3765">
        <f>IFERROR(__xludf.DUMMYFUNCTION("""COMPUTED_VALUE"""),6.8)</f>
        <v>6.8</v>
      </c>
      <c r="F3765">
        <f>IFERROR(__xludf.DUMMYFUNCTION("""COMPUTED_VALUE"""),20.88)</f>
        <v>20.88</v>
      </c>
      <c r="G3765">
        <f>IFERROR(__xludf.DUMMYFUNCTION("""COMPUTED_VALUE"""),12.74)</f>
        <v>12.74</v>
      </c>
    </row>
    <row r="3766">
      <c r="A3766">
        <f>IFERROR(__xludf.DUMMYFUNCTION("""COMPUTED_VALUE"""),782944.0)</f>
        <v>782944</v>
      </c>
      <c r="B3766" t="str">
        <f>IFERROR(__xludf.DUMMYFUNCTION("""COMPUTED_VALUE"""),"Meatballs Ns As To Type Of Meat With Sauce")</f>
        <v>Meatballs Ns As To Type Of Meat With Sauce</v>
      </c>
      <c r="C3766" t="str">
        <f>IFERROR(__xludf.DUMMYFUNCTION("""COMPUTED_VALUE"""),"Meats")</f>
        <v>Meats</v>
      </c>
      <c r="D3766">
        <f>IFERROR(__xludf.DUMMYFUNCTION("""COMPUTED_VALUE"""),185.0)</f>
        <v>185</v>
      </c>
      <c r="E3766">
        <f>IFERROR(__xludf.DUMMYFUNCTION("""COMPUTED_VALUE"""),11.98)</f>
        <v>11.98</v>
      </c>
      <c r="F3766">
        <f>IFERROR(__xludf.DUMMYFUNCTION("""COMPUTED_VALUE"""),18.03)</f>
        <v>18.03</v>
      </c>
      <c r="G3766">
        <f>IFERROR(__xludf.DUMMYFUNCTION("""COMPUTED_VALUE"""),0.13)</f>
        <v>0.13</v>
      </c>
    </row>
    <row r="3767">
      <c r="A3767">
        <f>IFERROR(__xludf.DUMMYFUNCTION("""COMPUTED_VALUE"""),782945.0)</f>
        <v>782945</v>
      </c>
      <c r="B3767" t="str">
        <f>IFERROR(__xludf.DUMMYFUNCTION("""COMPUTED_VALUE"""),"Meat Loaf Puerto Rican Style")</f>
        <v>Meat Loaf Puerto Rican Style</v>
      </c>
      <c r="C3767" t="str">
        <f>IFERROR(__xludf.DUMMYFUNCTION("""COMPUTED_VALUE"""),"Meats")</f>
        <v>Meats</v>
      </c>
      <c r="D3767">
        <f>IFERROR(__xludf.DUMMYFUNCTION("""COMPUTED_VALUE"""),323.0)</f>
        <v>323</v>
      </c>
      <c r="E3767">
        <f>IFERROR(__xludf.DUMMYFUNCTION("""COMPUTED_VALUE"""),21.79)</f>
        <v>21.79</v>
      </c>
      <c r="F3767">
        <f>IFERROR(__xludf.DUMMYFUNCTION("""COMPUTED_VALUE"""),19.81)</f>
        <v>19.81</v>
      </c>
      <c r="G3767">
        <f>IFERROR(__xludf.DUMMYFUNCTION("""COMPUTED_VALUE"""),10.6)</f>
        <v>10.6</v>
      </c>
    </row>
    <row r="3768">
      <c r="A3768">
        <f>IFERROR(__xludf.DUMMYFUNCTION("""COMPUTED_VALUE"""),782946.0)</f>
        <v>782946</v>
      </c>
      <c r="B3768" t="str">
        <f>IFERROR(__xludf.DUMMYFUNCTION("""COMPUTED_VALUE"""),"Meat With Tomato-Based Sauce")</f>
        <v>Meat With Tomato-Based Sauce</v>
      </c>
      <c r="C3768" t="str">
        <f>IFERROR(__xludf.DUMMYFUNCTION("""COMPUTED_VALUE"""),"Meats")</f>
        <v>Meats</v>
      </c>
      <c r="D3768">
        <f>IFERROR(__xludf.DUMMYFUNCTION("""COMPUTED_VALUE"""),149.0)</f>
        <v>149</v>
      </c>
      <c r="E3768">
        <f>IFERROR(__xludf.DUMMYFUNCTION("""COMPUTED_VALUE"""),6.36)</f>
        <v>6.36</v>
      </c>
      <c r="F3768">
        <f>IFERROR(__xludf.DUMMYFUNCTION("""COMPUTED_VALUE"""),21.72)</f>
        <v>21.72</v>
      </c>
      <c r="G3768">
        <f>IFERROR(__xludf.DUMMYFUNCTION("""COMPUTED_VALUE"""),1.58)</f>
        <v>1.58</v>
      </c>
    </row>
    <row r="3769">
      <c r="A3769">
        <f>IFERROR(__xludf.DUMMYFUNCTION("""COMPUTED_VALUE"""),782949.0)</f>
        <v>782949</v>
      </c>
      <c r="B3769" t="str">
        <f>IFERROR(__xludf.DUMMYFUNCTION("""COMPUTED_VALUE"""),"Stewed Seasoned Ground Beef And Pork Mexican Style")</f>
        <v>Stewed Seasoned Ground Beef And Pork Mexican Style</v>
      </c>
      <c r="C3769" t="str">
        <f>IFERROR(__xludf.DUMMYFUNCTION("""COMPUTED_VALUE"""),"Meats")</f>
        <v>Meats</v>
      </c>
      <c r="D3769">
        <f>IFERROR(__xludf.DUMMYFUNCTION("""COMPUTED_VALUE"""),139.0)</f>
        <v>139</v>
      </c>
      <c r="E3769">
        <f>IFERROR(__xludf.DUMMYFUNCTION("""COMPUTED_VALUE"""),6.98)</f>
        <v>6.98</v>
      </c>
      <c r="F3769">
        <f>IFERROR(__xludf.DUMMYFUNCTION("""COMPUTED_VALUE"""),16.7)</f>
        <v>16.7</v>
      </c>
      <c r="G3769">
        <f>IFERROR(__xludf.DUMMYFUNCTION("""COMPUTED_VALUE"""),1.48)</f>
        <v>1.48</v>
      </c>
    </row>
    <row r="3770">
      <c r="A3770">
        <f>IFERROR(__xludf.DUMMYFUNCTION("""COMPUTED_VALUE"""),782950.0)</f>
        <v>782950</v>
      </c>
      <c r="B3770" t="str">
        <f>IFERROR(__xludf.DUMMYFUNCTION("""COMPUTED_VALUE"""),"Meat With Gravy Ns As To Type Of Meat")</f>
        <v>Meat With Gravy Ns As To Type Of Meat</v>
      </c>
      <c r="C3770" t="str">
        <f>IFERROR(__xludf.DUMMYFUNCTION("""COMPUTED_VALUE"""),"Meats")</f>
        <v>Meats</v>
      </c>
      <c r="D3770">
        <f>IFERROR(__xludf.DUMMYFUNCTION("""COMPUTED_VALUE"""),156.0)</f>
        <v>156</v>
      </c>
      <c r="E3770">
        <f>IFERROR(__xludf.DUMMYFUNCTION("""COMPUTED_VALUE"""),7.05)</f>
        <v>7.05</v>
      </c>
      <c r="F3770">
        <f>IFERROR(__xludf.DUMMYFUNCTION("""COMPUTED_VALUE"""),21.56)</f>
        <v>21.56</v>
      </c>
      <c r="G3770">
        <f>IFERROR(__xludf.DUMMYFUNCTION("""COMPUTED_VALUE"""),1.58)</f>
        <v>1.58</v>
      </c>
    </row>
    <row r="3771">
      <c r="A3771">
        <f>IFERROR(__xludf.DUMMYFUNCTION("""COMPUTED_VALUE"""),782951.0)</f>
        <v>782951</v>
      </c>
      <c r="B3771" t="str">
        <f>IFERROR(__xludf.DUMMYFUNCTION("""COMPUTED_VALUE"""),"Beef And Potatoes No Sauce")</f>
        <v>Beef And Potatoes No Sauce</v>
      </c>
      <c r="C3771" t="str">
        <f>IFERROR(__xludf.DUMMYFUNCTION("""COMPUTED_VALUE"""),"Meats")</f>
        <v>Meats</v>
      </c>
      <c r="D3771">
        <f>IFERROR(__xludf.DUMMYFUNCTION("""COMPUTED_VALUE"""),133.0)</f>
        <v>133</v>
      </c>
      <c r="E3771">
        <f>IFERROR(__xludf.DUMMYFUNCTION("""COMPUTED_VALUE"""),4.93)</f>
        <v>4.93</v>
      </c>
      <c r="F3771">
        <f>IFERROR(__xludf.DUMMYFUNCTION("""COMPUTED_VALUE"""),7.92)</f>
        <v>7.92</v>
      </c>
      <c r="G3771">
        <f>IFERROR(__xludf.DUMMYFUNCTION("""COMPUTED_VALUE"""),14.52)</f>
        <v>14.52</v>
      </c>
    </row>
    <row r="3772">
      <c r="A3772">
        <f>IFERROR(__xludf.DUMMYFUNCTION("""COMPUTED_VALUE"""),782952.0)</f>
        <v>782952</v>
      </c>
      <c r="B3772" t="str">
        <f>IFERROR(__xludf.DUMMYFUNCTION("""COMPUTED_VALUE"""),"Beef Stew With Potatoes Tomato-Based Sauce")</f>
        <v>Beef Stew With Potatoes Tomato-Based Sauce</v>
      </c>
      <c r="C3772" t="str">
        <f>IFERROR(__xludf.DUMMYFUNCTION("""COMPUTED_VALUE"""),"Meats")</f>
        <v>Meats</v>
      </c>
      <c r="D3772">
        <f>IFERROR(__xludf.DUMMYFUNCTION("""COMPUTED_VALUE"""),103.0)</f>
        <v>103</v>
      </c>
      <c r="E3772">
        <f>IFERROR(__xludf.DUMMYFUNCTION("""COMPUTED_VALUE"""),3.29)</f>
        <v>3.29</v>
      </c>
      <c r="F3772">
        <f>IFERROR(__xludf.DUMMYFUNCTION("""COMPUTED_VALUE"""),8.74)</f>
        <v>8.74</v>
      </c>
      <c r="G3772">
        <f>IFERROR(__xludf.DUMMYFUNCTION("""COMPUTED_VALUE"""),9.55)</f>
        <v>9.55</v>
      </c>
    </row>
    <row r="3773">
      <c r="A3773">
        <f>IFERROR(__xludf.DUMMYFUNCTION("""COMPUTED_VALUE"""),782953.0)</f>
        <v>782953</v>
      </c>
      <c r="B3773" t="str">
        <f>IFERROR(__xludf.DUMMYFUNCTION("""COMPUTED_VALUE"""),"Beef Stew With Potatoes Tomato-Based Sauce Mexican Style")</f>
        <v>Beef Stew With Potatoes Tomato-Based Sauce Mexican Style</v>
      </c>
      <c r="C3773" t="str">
        <f>IFERROR(__xludf.DUMMYFUNCTION("""COMPUTED_VALUE"""),"Meats")</f>
        <v>Meats</v>
      </c>
      <c r="D3773">
        <f>IFERROR(__xludf.DUMMYFUNCTION("""COMPUTED_VALUE"""),110.0)</f>
        <v>110</v>
      </c>
      <c r="E3773">
        <f>IFERROR(__xludf.DUMMYFUNCTION("""COMPUTED_VALUE"""),3.59)</f>
        <v>3.59</v>
      </c>
      <c r="F3773">
        <f>IFERROR(__xludf.DUMMYFUNCTION("""COMPUTED_VALUE"""),12.48)</f>
        <v>12.48</v>
      </c>
      <c r="G3773">
        <f>IFERROR(__xludf.DUMMYFUNCTION("""COMPUTED_VALUE"""),6.47)</f>
        <v>6.47</v>
      </c>
    </row>
    <row r="3774">
      <c r="A3774">
        <f>IFERROR(__xludf.DUMMYFUNCTION("""COMPUTED_VALUE"""),782954.0)</f>
        <v>782954</v>
      </c>
      <c r="B3774" t="str">
        <f>IFERROR(__xludf.DUMMYFUNCTION("""COMPUTED_VALUE"""),"Beef Goulash With Potatoes")</f>
        <v>Beef Goulash With Potatoes</v>
      </c>
      <c r="C3774" t="str">
        <f>IFERROR(__xludf.DUMMYFUNCTION("""COMPUTED_VALUE"""),"Meats")</f>
        <v>Meats</v>
      </c>
      <c r="D3774">
        <f>IFERROR(__xludf.DUMMYFUNCTION("""COMPUTED_VALUE"""),117.0)</f>
        <v>117</v>
      </c>
      <c r="E3774">
        <f>IFERROR(__xludf.DUMMYFUNCTION("""COMPUTED_VALUE"""),4.39)</f>
        <v>4.39</v>
      </c>
      <c r="F3774">
        <f>IFERROR(__xludf.DUMMYFUNCTION("""COMPUTED_VALUE"""),11.46)</f>
        <v>11.46</v>
      </c>
      <c r="G3774">
        <f>IFERROR(__xludf.DUMMYFUNCTION("""COMPUTED_VALUE"""),7.68)</f>
        <v>7.68</v>
      </c>
    </row>
    <row r="3775">
      <c r="A3775">
        <f>IFERROR(__xludf.DUMMYFUNCTION("""COMPUTED_VALUE"""),782955.0)</f>
        <v>782955</v>
      </c>
      <c r="B3775" t="str">
        <f>IFERROR(__xludf.DUMMYFUNCTION("""COMPUTED_VALUE"""),"Beef And Potatoes With Cream Sauce White Sauce Or Mushroom Sauce")</f>
        <v>Beef And Potatoes With Cream Sauce White Sauce Or Mushroom Sauce</v>
      </c>
      <c r="C3775" t="str">
        <f>IFERROR(__xludf.DUMMYFUNCTION("""COMPUTED_VALUE"""),"Meats")</f>
        <v>Meats</v>
      </c>
      <c r="D3775">
        <f>IFERROR(__xludf.DUMMYFUNCTION("""COMPUTED_VALUE"""),101.0)</f>
        <v>101</v>
      </c>
      <c r="E3775">
        <f>IFERROR(__xludf.DUMMYFUNCTION("""COMPUTED_VALUE"""),3.81)</f>
        <v>3.81</v>
      </c>
      <c r="F3775">
        <f>IFERROR(__xludf.DUMMYFUNCTION("""COMPUTED_VALUE"""),7.72)</f>
        <v>7.72</v>
      </c>
      <c r="G3775">
        <f>IFERROR(__xludf.DUMMYFUNCTION("""COMPUTED_VALUE"""),8.67)</f>
        <v>8.67</v>
      </c>
    </row>
    <row r="3776">
      <c r="A3776">
        <f>IFERROR(__xludf.DUMMYFUNCTION("""COMPUTED_VALUE"""),782956.0)</f>
        <v>782956</v>
      </c>
      <c r="B3776" t="str">
        <f>IFERROR(__xludf.DUMMYFUNCTION("""COMPUTED_VALUE"""),"Beef Stew With Potatoes Gravy")</f>
        <v>Beef Stew With Potatoes Gravy</v>
      </c>
      <c r="C3776" t="str">
        <f>IFERROR(__xludf.DUMMYFUNCTION("""COMPUTED_VALUE"""),"Meats")</f>
        <v>Meats</v>
      </c>
      <c r="D3776">
        <f>IFERROR(__xludf.DUMMYFUNCTION("""COMPUTED_VALUE"""),100.0)</f>
        <v>100</v>
      </c>
      <c r="E3776">
        <f>IFERROR(__xludf.DUMMYFUNCTION("""COMPUTED_VALUE"""),3.47)</f>
        <v>3.47</v>
      </c>
      <c r="F3776">
        <f>IFERROR(__xludf.DUMMYFUNCTION("""COMPUTED_VALUE"""),9.19)</f>
        <v>9.19</v>
      </c>
      <c r="G3776">
        <f>IFERROR(__xludf.DUMMYFUNCTION("""COMPUTED_VALUE"""),7.63)</f>
        <v>7.63</v>
      </c>
    </row>
    <row r="3777">
      <c r="A3777">
        <f>IFERROR(__xludf.DUMMYFUNCTION("""COMPUTED_VALUE"""),782957.0)</f>
        <v>782957</v>
      </c>
      <c r="B3777" t="str">
        <f>IFERROR(__xludf.DUMMYFUNCTION("""COMPUTED_VALUE"""),"Beef Roast Hash")</f>
        <v>Beef Roast Hash</v>
      </c>
      <c r="C3777" t="str">
        <f>IFERROR(__xludf.DUMMYFUNCTION("""COMPUTED_VALUE"""),"Meats")</f>
        <v>Meats</v>
      </c>
      <c r="D3777">
        <f>IFERROR(__xludf.DUMMYFUNCTION("""COMPUTED_VALUE"""),158.0)</f>
        <v>158</v>
      </c>
      <c r="E3777">
        <f>IFERROR(__xludf.DUMMYFUNCTION("""COMPUTED_VALUE"""),7.43)</f>
        <v>7.43</v>
      </c>
      <c r="F3777">
        <f>IFERROR(__xludf.DUMMYFUNCTION("""COMPUTED_VALUE"""),11.34)</f>
        <v>11.34</v>
      </c>
      <c r="G3777">
        <f>IFERROR(__xludf.DUMMYFUNCTION("""COMPUTED_VALUE"""),11.05)</f>
        <v>11.05</v>
      </c>
    </row>
    <row r="3778">
      <c r="A3778">
        <f>IFERROR(__xludf.DUMMYFUNCTION("""COMPUTED_VALUE"""),782959.0)</f>
        <v>782959</v>
      </c>
      <c r="B3778" t="str">
        <f>IFERROR(__xludf.DUMMYFUNCTION("""COMPUTED_VALUE"""),"Beef And Potatoes With Cheese Sauce")</f>
        <v>Beef And Potatoes With Cheese Sauce</v>
      </c>
      <c r="C3778" t="str">
        <f>IFERROR(__xludf.DUMMYFUNCTION("""COMPUTED_VALUE"""),"Meats")</f>
        <v>Meats</v>
      </c>
      <c r="D3778">
        <f>IFERROR(__xludf.DUMMYFUNCTION("""COMPUTED_VALUE"""),126.0)</f>
        <v>126</v>
      </c>
      <c r="E3778">
        <f>IFERROR(__xludf.DUMMYFUNCTION("""COMPUTED_VALUE"""),5.6)</f>
        <v>5.6</v>
      </c>
      <c r="F3778">
        <f>IFERROR(__xludf.DUMMYFUNCTION("""COMPUTED_VALUE"""),8.15)</f>
        <v>8.15</v>
      </c>
      <c r="G3778">
        <f>IFERROR(__xludf.DUMMYFUNCTION("""COMPUTED_VALUE"""),11.1)</f>
        <v>11.1</v>
      </c>
    </row>
    <row r="3779">
      <c r="A3779">
        <f>IFERROR(__xludf.DUMMYFUNCTION("""COMPUTED_VALUE"""),782960.0)</f>
        <v>782960</v>
      </c>
      <c r="B3779" t="str">
        <f>IFERROR(__xludf.DUMMYFUNCTION("""COMPUTED_VALUE"""),"Stewed Seasoned Ground Beef With Potatoes Mexican Style")</f>
        <v>Stewed Seasoned Ground Beef With Potatoes Mexican Style</v>
      </c>
      <c r="C3779" t="str">
        <f>IFERROR(__xludf.DUMMYFUNCTION("""COMPUTED_VALUE"""),"Meats")</f>
        <v>Meats</v>
      </c>
      <c r="D3779">
        <f>IFERROR(__xludf.DUMMYFUNCTION("""COMPUTED_VALUE"""),154.0)</f>
        <v>154</v>
      </c>
      <c r="E3779">
        <f>IFERROR(__xludf.DUMMYFUNCTION("""COMPUTED_VALUE"""),10.09)</f>
        <v>10.09</v>
      </c>
      <c r="F3779">
        <f>IFERROR(__xludf.DUMMYFUNCTION("""COMPUTED_VALUE"""),9.9)</f>
        <v>9.9</v>
      </c>
      <c r="G3779">
        <f>IFERROR(__xludf.DUMMYFUNCTION("""COMPUTED_VALUE"""),5.61)</f>
        <v>5.61</v>
      </c>
    </row>
    <row r="3780">
      <c r="A3780">
        <f>IFERROR(__xludf.DUMMYFUNCTION("""COMPUTED_VALUE"""),782961.0)</f>
        <v>782961</v>
      </c>
      <c r="B3780" t="str">
        <f>IFERROR(__xludf.DUMMYFUNCTION("""COMPUTED_VALUE"""),"Beef And Noodles No Sauce")</f>
        <v>Beef And Noodles No Sauce</v>
      </c>
      <c r="C3780" t="str">
        <f>IFERROR(__xludf.DUMMYFUNCTION("""COMPUTED_VALUE"""),"Meats")</f>
        <v>Meats</v>
      </c>
      <c r="D3780">
        <f>IFERROR(__xludf.DUMMYFUNCTION("""COMPUTED_VALUE"""),189.0)</f>
        <v>189</v>
      </c>
      <c r="E3780">
        <f>IFERROR(__xludf.DUMMYFUNCTION("""COMPUTED_VALUE"""),8.43)</f>
        <v>8.43</v>
      </c>
      <c r="F3780">
        <f>IFERROR(__xludf.DUMMYFUNCTION("""COMPUTED_VALUE"""),11.37)</f>
        <v>11.37</v>
      </c>
      <c r="G3780">
        <f>IFERROR(__xludf.DUMMYFUNCTION("""COMPUTED_VALUE"""),16.23)</f>
        <v>16.23</v>
      </c>
    </row>
    <row r="3781">
      <c r="A3781">
        <f>IFERROR(__xludf.DUMMYFUNCTION("""COMPUTED_VALUE"""),782962.0)</f>
        <v>782962</v>
      </c>
      <c r="B3781" t="str">
        <f>IFERROR(__xludf.DUMMYFUNCTION("""COMPUTED_VALUE"""),"Beef And Macaroni With Cheese Sauce")</f>
        <v>Beef And Macaroni With Cheese Sauce</v>
      </c>
      <c r="C3781" t="str">
        <f>IFERROR(__xludf.DUMMYFUNCTION("""COMPUTED_VALUE"""),"Meats")</f>
        <v>Meats</v>
      </c>
      <c r="D3781">
        <f>IFERROR(__xludf.DUMMYFUNCTION("""COMPUTED_VALUE"""),137.0)</f>
        <v>137</v>
      </c>
      <c r="E3781">
        <f>IFERROR(__xludf.DUMMYFUNCTION("""COMPUTED_VALUE"""),5.38)</f>
        <v>5.38</v>
      </c>
      <c r="F3781">
        <f>IFERROR(__xludf.DUMMYFUNCTION("""COMPUTED_VALUE"""),9.1)</f>
        <v>9.1</v>
      </c>
      <c r="G3781">
        <f>IFERROR(__xludf.DUMMYFUNCTION("""COMPUTED_VALUE"""),12.38)</f>
        <v>12.38</v>
      </c>
    </row>
    <row r="3782">
      <c r="A3782">
        <f>IFERROR(__xludf.DUMMYFUNCTION("""COMPUTED_VALUE"""),782963.0)</f>
        <v>782963</v>
      </c>
      <c r="B3782" t="str">
        <f>IFERROR(__xludf.DUMMYFUNCTION("""COMPUTED_VALUE"""),"Beef And Noodles With Tomato-Based Sauce")</f>
        <v>Beef And Noodles With Tomato-Based Sauce</v>
      </c>
      <c r="C3782" t="str">
        <f>IFERROR(__xludf.DUMMYFUNCTION("""COMPUTED_VALUE"""),"Meats")</f>
        <v>Meats</v>
      </c>
      <c r="D3782">
        <f>IFERROR(__xludf.DUMMYFUNCTION("""COMPUTED_VALUE"""),115.0)</f>
        <v>115</v>
      </c>
      <c r="E3782">
        <f>IFERROR(__xludf.DUMMYFUNCTION("""COMPUTED_VALUE"""),3.92)</f>
        <v>3.92</v>
      </c>
      <c r="F3782">
        <f>IFERROR(__xludf.DUMMYFUNCTION("""COMPUTED_VALUE"""),8.74)</f>
        <v>8.74</v>
      </c>
      <c r="G3782">
        <f>IFERROR(__xludf.DUMMYFUNCTION("""COMPUTED_VALUE"""),10.67)</f>
        <v>10.67</v>
      </c>
    </row>
    <row r="3783">
      <c r="A3783">
        <f>IFERROR(__xludf.DUMMYFUNCTION("""COMPUTED_VALUE"""),782964.0)</f>
        <v>782964</v>
      </c>
      <c r="B3783" t="str">
        <f>IFERROR(__xludf.DUMMYFUNCTION("""COMPUTED_VALUE"""),"Chili Con Carne With Beans And Macaroni")</f>
        <v>Chili Con Carne With Beans And Macaroni</v>
      </c>
      <c r="C3783" t="str">
        <f>IFERROR(__xludf.DUMMYFUNCTION("""COMPUTED_VALUE"""),"Meats")</f>
        <v>Meats</v>
      </c>
      <c r="D3783">
        <f>IFERROR(__xludf.DUMMYFUNCTION("""COMPUTED_VALUE"""),118.0)</f>
        <v>118</v>
      </c>
      <c r="E3783">
        <f>IFERROR(__xludf.DUMMYFUNCTION("""COMPUTED_VALUE"""),2.92)</f>
        <v>2.92</v>
      </c>
      <c r="F3783">
        <f>IFERROR(__xludf.DUMMYFUNCTION("""COMPUTED_VALUE"""),5.8)</f>
        <v>5.8</v>
      </c>
      <c r="G3783">
        <f>IFERROR(__xludf.DUMMYFUNCTION("""COMPUTED_VALUE"""),16.91)</f>
        <v>16.91</v>
      </c>
    </row>
    <row r="3784">
      <c r="A3784">
        <f>IFERROR(__xludf.DUMMYFUNCTION("""COMPUTED_VALUE"""),782965.0)</f>
        <v>782965</v>
      </c>
      <c r="B3784" t="str">
        <f>IFERROR(__xludf.DUMMYFUNCTION("""COMPUTED_VALUE"""),"Beef Goulash With Noodles")</f>
        <v>Beef Goulash With Noodles</v>
      </c>
      <c r="C3784" t="str">
        <f>IFERROR(__xludf.DUMMYFUNCTION("""COMPUTED_VALUE"""),"Meats")</f>
        <v>Meats</v>
      </c>
      <c r="D3784">
        <f>IFERROR(__xludf.DUMMYFUNCTION("""COMPUTED_VALUE"""),142.0)</f>
        <v>142</v>
      </c>
      <c r="E3784">
        <f>IFERROR(__xludf.DUMMYFUNCTION("""COMPUTED_VALUE"""),5.1)</f>
        <v>5.1</v>
      </c>
      <c r="F3784">
        <f>IFERROR(__xludf.DUMMYFUNCTION("""COMPUTED_VALUE"""),12.5)</f>
        <v>12.5</v>
      </c>
      <c r="G3784">
        <f>IFERROR(__xludf.DUMMYFUNCTION("""COMPUTED_VALUE"""),10.88)</f>
        <v>10.88</v>
      </c>
    </row>
    <row r="3785">
      <c r="A3785">
        <f>IFERROR(__xludf.DUMMYFUNCTION("""COMPUTED_VALUE"""),782966.0)</f>
        <v>782966</v>
      </c>
      <c r="B3785" t="str">
        <f>IFERROR(__xludf.DUMMYFUNCTION("""COMPUTED_VALUE"""),"Beef And Noodles With Gravy")</f>
        <v>Beef And Noodles With Gravy</v>
      </c>
      <c r="C3785" t="str">
        <f>IFERROR(__xludf.DUMMYFUNCTION("""COMPUTED_VALUE"""),"Meats")</f>
        <v>Meats</v>
      </c>
      <c r="D3785">
        <f>IFERROR(__xludf.DUMMYFUNCTION("""COMPUTED_VALUE"""),138.0)</f>
        <v>138</v>
      </c>
      <c r="E3785">
        <f>IFERROR(__xludf.DUMMYFUNCTION("""COMPUTED_VALUE"""),5.07)</f>
        <v>5.07</v>
      </c>
      <c r="F3785">
        <f>IFERROR(__xludf.DUMMYFUNCTION("""COMPUTED_VALUE"""),7.7)</f>
        <v>7.7</v>
      </c>
      <c r="G3785">
        <f>IFERROR(__xludf.DUMMYFUNCTION("""COMPUTED_VALUE"""),15.39)</f>
        <v>15.39</v>
      </c>
    </row>
    <row r="3786">
      <c r="A3786">
        <f>IFERROR(__xludf.DUMMYFUNCTION("""COMPUTED_VALUE"""),782967.0)</f>
        <v>782967</v>
      </c>
      <c r="B3786" t="str">
        <f>IFERROR(__xludf.DUMMYFUNCTION("""COMPUTED_VALUE"""),"Beef And Noodles With Cream Or White Sauce")</f>
        <v>Beef And Noodles With Cream Or White Sauce</v>
      </c>
      <c r="C3786" t="str">
        <f>IFERROR(__xludf.DUMMYFUNCTION("""COMPUTED_VALUE"""),"Meats")</f>
        <v>Meats</v>
      </c>
      <c r="D3786">
        <f>IFERROR(__xludf.DUMMYFUNCTION("""COMPUTED_VALUE"""),141.0)</f>
        <v>141</v>
      </c>
      <c r="E3786">
        <f>IFERROR(__xludf.DUMMYFUNCTION("""COMPUTED_VALUE"""),5.46)</f>
        <v>5.46</v>
      </c>
      <c r="F3786">
        <f>IFERROR(__xludf.DUMMYFUNCTION("""COMPUTED_VALUE"""),7.86)</f>
        <v>7.86</v>
      </c>
      <c r="G3786">
        <f>IFERROR(__xludf.DUMMYFUNCTION("""COMPUTED_VALUE"""),15.01)</f>
        <v>15.01</v>
      </c>
    </row>
    <row r="3787">
      <c r="A3787">
        <f>IFERROR(__xludf.DUMMYFUNCTION("""COMPUTED_VALUE"""),782968.0)</f>
        <v>782968</v>
      </c>
      <c r="B3787" t="str">
        <f>IFERROR(__xludf.DUMMYFUNCTION("""COMPUTED_VALUE"""),"Beef Stroganoff With Noodles")</f>
        <v>Beef Stroganoff With Noodles</v>
      </c>
      <c r="C3787" t="str">
        <f>IFERROR(__xludf.DUMMYFUNCTION("""COMPUTED_VALUE"""),"Meats")</f>
        <v>Meats</v>
      </c>
      <c r="D3787">
        <f>IFERROR(__xludf.DUMMYFUNCTION("""COMPUTED_VALUE"""),128.0)</f>
        <v>128</v>
      </c>
      <c r="E3787">
        <f>IFERROR(__xludf.DUMMYFUNCTION("""COMPUTED_VALUE"""),6.86)</f>
        <v>6.86</v>
      </c>
      <c r="F3787">
        <f>IFERROR(__xludf.DUMMYFUNCTION("""COMPUTED_VALUE"""),7.69)</f>
        <v>7.69</v>
      </c>
      <c r="G3787">
        <f>IFERROR(__xludf.DUMMYFUNCTION("""COMPUTED_VALUE"""),8.87)</f>
        <v>8.87</v>
      </c>
    </row>
    <row r="3788">
      <c r="A3788">
        <f>IFERROR(__xludf.DUMMYFUNCTION("""COMPUTED_VALUE"""),782969.0)</f>
        <v>782969</v>
      </c>
      <c r="B3788" t="str">
        <f>IFERROR(__xludf.DUMMYFUNCTION("""COMPUTED_VALUE"""),"Beef And Noodles With Mushroom Sauce")</f>
        <v>Beef And Noodles With Mushroom Sauce</v>
      </c>
      <c r="C3788" t="str">
        <f>IFERROR(__xludf.DUMMYFUNCTION("""COMPUTED_VALUE"""),"Meats")</f>
        <v>Meats</v>
      </c>
      <c r="D3788">
        <f>IFERROR(__xludf.DUMMYFUNCTION("""COMPUTED_VALUE"""),136.0)</f>
        <v>136</v>
      </c>
      <c r="E3788">
        <f>IFERROR(__xludf.DUMMYFUNCTION("""COMPUTED_VALUE"""),5.13)</f>
        <v>5.13</v>
      </c>
      <c r="F3788">
        <f>IFERROR(__xludf.DUMMYFUNCTION("""COMPUTED_VALUE"""),7.53)</f>
        <v>7.53</v>
      </c>
      <c r="G3788">
        <f>IFERROR(__xludf.DUMMYFUNCTION("""COMPUTED_VALUE"""),14.97)</f>
        <v>14.97</v>
      </c>
    </row>
    <row r="3789">
      <c r="A3789">
        <f>IFERROR(__xludf.DUMMYFUNCTION("""COMPUTED_VALUE"""),782971.0)</f>
        <v>782971</v>
      </c>
      <c r="B3789" t="str">
        <f>IFERROR(__xludf.DUMMYFUNCTION("""COMPUTED_VALUE"""),"Beef And Rice No Sauce")</f>
        <v>Beef And Rice No Sauce</v>
      </c>
      <c r="C3789" t="str">
        <f>IFERROR(__xludf.DUMMYFUNCTION("""COMPUTED_VALUE"""),"Meats")</f>
        <v>Meats</v>
      </c>
      <c r="D3789">
        <f>IFERROR(__xludf.DUMMYFUNCTION("""COMPUTED_VALUE"""),145.0)</f>
        <v>145</v>
      </c>
      <c r="E3789">
        <f>IFERROR(__xludf.DUMMYFUNCTION("""COMPUTED_VALUE"""),5.0)</f>
        <v>5</v>
      </c>
      <c r="F3789">
        <f>IFERROR(__xludf.DUMMYFUNCTION("""COMPUTED_VALUE"""),7.27)</f>
        <v>7.27</v>
      </c>
      <c r="G3789">
        <f>IFERROR(__xludf.DUMMYFUNCTION("""COMPUTED_VALUE"""),17.23)</f>
        <v>17.23</v>
      </c>
    </row>
    <row r="3790">
      <c r="A3790">
        <f>IFERROR(__xludf.DUMMYFUNCTION("""COMPUTED_VALUE"""),782973.0)</f>
        <v>782973</v>
      </c>
      <c r="B3790" t="str">
        <f>IFERROR(__xludf.DUMMYFUNCTION("""COMPUTED_VALUE"""),"Beef And Rice With Tomato-Based Sauce")</f>
        <v>Beef And Rice With Tomato-Based Sauce</v>
      </c>
      <c r="C3790" t="str">
        <f>IFERROR(__xludf.DUMMYFUNCTION("""COMPUTED_VALUE"""),"Meats")</f>
        <v>Meats</v>
      </c>
      <c r="D3790">
        <f>IFERROR(__xludf.DUMMYFUNCTION("""COMPUTED_VALUE"""),136.0)</f>
        <v>136</v>
      </c>
      <c r="E3790">
        <f>IFERROR(__xludf.DUMMYFUNCTION("""COMPUTED_VALUE"""),5.15)</f>
        <v>5.15</v>
      </c>
      <c r="F3790">
        <f>IFERROR(__xludf.DUMMYFUNCTION("""COMPUTED_VALUE"""),6.39)</f>
        <v>6.39</v>
      </c>
      <c r="G3790">
        <f>IFERROR(__xludf.DUMMYFUNCTION("""COMPUTED_VALUE"""),15.88)</f>
        <v>15.88</v>
      </c>
    </row>
    <row r="3791">
      <c r="A3791">
        <f>IFERROR(__xludf.DUMMYFUNCTION("""COMPUTED_VALUE"""),782974.0)</f>
        <v>782974</v>
      </c>
      <c r="B3791" t="str">
        <f>IFERROR(__xludf.DUMMYFUNCTION("""COMPUTED_VALUE"""),"Porcupine Balls With Tomato-Based Sauce")</f>
        <v>Porcupine Balls With Tomato-Based Sauce</v>
      </c>
      <c r="C3791" t="str">
        <f>IFERROR(__xludf.DUMMYFUNCTION("""COMPUTED_VALUE"""),"Meats")</f>
        <v>Meats</v>
      </c>
      <c r="D3791">
        <f>IFERROR(__xludf.DUMMYFUNCTION("""COMPUTED_VALUE"""),153.0)</f>
        <v>153</v>
      </c>
      <c r="E3791">
        <f>IFERROR(__xludf.DUMMYFUNCTION("""COMPUTED_VALUE"""),6.2)</f>
        <v>6.2</v>
      </c>
      <c r="F3791">
        <f>IFERROR(__xludf.DUMMYFUNCTION("""COMPUTED_VALUE"""),10.35)</f>
        <v>10.35</v>
      </c>
      <c r="G3791">
        <f>IFERROR(__xludf.DUMMYFUNCTION("""COMPUTED_VALUE"""),13.39)</f>
        <v>13.39</v>
      </c>
    </row>
    <row r="3792">
      <c r="A3792">
        <f>IFERROR(__xludf.DUMMYFUNCTION("""COMPUTED_VALUE"""),782975.0)</f>
        <v>782975</v>
      </c>
      <c r="B3792" t="str">
        <f>IFERROR(__xludf.DUMMYFUNCTION("""COMPUTED_VALUE"""),"Chili Con Carne With Beans And Rice")</f>
        <v>Chili Con Carne With Beans And Rice</v>
      </c>
      <c r="C3792" t="str">
        <f>IFERROR(__xludf.DUMMYFUNCTION("""COMPUTED_VALUE"""),"Meats")</f>
        <v>Meats</v>
      </c>
      <c r="D3792">
        <f>IFERROR(__xludf.DUMMYFUNCTION("""COMPUTED_VALUE"""),112.0)</f>
        <v>112</v>
      </c>
      <c r="E3792">
        <f>IFERROR(__xludf.DUMMYFUNCTION("""COMPUTED_VALUE"""),2.72)</f>
        <v>2.72</v>
      </c>
      <c r="F3792">
        <f>IFERROR(__xludf.DUMMYFUNCTION("""COMPUTED_VALUE"""),5.07)</f>
        <v>5.07</v>
      </c>
      <c r="G3792">
        <f>IFERROR(__xludf.DUMMYFUNCTION("""COMPUTED_VALUE"""),16.65)</f>
        <v>16.65</v>
      </c>
    </row>
    <row r="3793">
      <c r="A3793">
        <f>IFERROR(__xludf.DUMMYFUNCTION("""COMPUTED_VALUE"""),782976.0)</f>
        <v>782976</v>
      </c>
      <c r="B3793" t="str">
        <f>IFERROR(__xludf.DUMMYFUNCTION("""COMPUTED_VALUE"""),"Beef And Rice With Gravy")</f>
        <v>Beef And Rice With Gravy</v>
      </c>
      <c r="C3793" t="str">
        <f>IFERROR(__xludf.DUMMYFUNCTION("""COMPUTED_VALUE"""),"Meats")</f>
        <v>Meats</v>
      </c>
      <c r="D3793">
        <f>IFERROR(__xludf.DUMMYFUNCTION("""COMPUTED_VALUE"""),137.0)</f>
        <v>137</v>
      </c>
      <c r="E3793">
        <f>IFERROR(__xludf.DUMMYFUNCTION("""COMPUTED_VALUE"""),5.12)</f>
        <v>5.12</v>
      </c>
      <c r="F3793">
        <f>IFERROR(__xludf.DUMMYFUNCTION("""COMPUTED_VALUE"""),6.28)</f>
        <v>6.28</v>
      </c>
      <c r="G3793">
        <f>IFERROR(__xludf.DUMMYFUNCTION("""COMPUTED_VALUE"""),15.98)</f>
        <v>15.98</v>
      </c>
    </row>
    <row r="3794">
      <c r="A3794">
        <f>IFERROR(__xludf.DUMMYFUNCTION("""COMPUTED_VALUE"""),782977.0)</f>
        <v>782977</v>
      </c>
      <c r="B3794" t="str">
        <f>IFERROR(__xludf.DUMMYFUNCTION("""COMPUTED_VALUE"""),"Beef And Rice With Cream Sauce")</f>
        <v>Beef And Rice With Cream Sauce</v>
      </c>
      <c r="C3794" t="str">
        <f>IFERROR(__xludf.DUMMYFUNCTION("""COMPUTED_VALUE"""),"Meats")</f>
        <v>Meats</v>
      </c>
      <c r="D3794">
        <f>IFERROR(__xludf.DUMMYFUNCTION("""COMPUTED_VALUE"""),140.0)</f>
        <v>140</v>
      </c>
      <c r="E3794">
        <f>IFERROR(__xludf.DUMMYFUNCTION("""COMPUTED_VALUE"""),5.36)</f>
        <v>5.36</v>
      </c>
      <c r="F3794">
        <f>IFERROR(__xludf.DUMMYFUNCTION("""COMPUTED_VALUE"""),6.7)</f>
        <v>6.7</v>
      </c>
      <c r="G3794">
        <f>IFERROR(__xludf.DUMMYFUNCTION("""COMPUTED_VALUE"""),15.89)</f>
        <v>15.89</v>
      </c>
    </row>
    <row r="3795">
      <c r="A3795">
        <f>IFERROR(__xludf.DUMMYFUNCTION("""COMPUTED_VALUE"""),782978.0)</f>
        <v>782978</v>
      </c>
      <c r="B3795" t="str">
        <f>IFERROR(__xludf.DUMMYFUNCTION("""COMPUTED_VALUE"""),"Beef And Rice With Mushroom Sauce")</f>
        <v>Beef And Rice With Mushroom Sauce</v>
      </c>
      <c r="C3795" t="str">
        <f>IFERROR(__xludf.DUMMYFUNCTION("""COMPUTED_VALUE"""),"Meats")</f>
        <v>Meats</v>
      </c>
      <c r="D3795">
        <f>IFERROR(__xludf.DUMMYFUNCTION("""COMPUTED_VALUE"""),135.0)</f>
        <v>135</v>
      </c>
      <c r="E3795">
        <f>IFERROR(__xludf.DUMMYFUNCTION("""COMPUTED_VALUE"""),5.18)</f>
        <v>5.18</v>
      </c>
      <c r="F3795">
        <f>IFERROR(__xludf.DUMMYFUNCTION("""COMPUTED_VALUE"""),6.24)</f>
        <v>6.24</v>
      </c>
      <c r="G3795">
        <f>IFERROR(__xludf.DUMMYFUNCTION("""COMPUTED_VALUE"""),15.54)</f>
        <v>15.54</v>
      </c>
    </row>
    <row r="3796">
      <c r="A3796">
        <f>IFERROR(__xludf.DUMMYFUNCTION("""COMPUTED_VALUE"""),782979.0)</f>
        <v>782979</v>
      </c>
      <c r="B3796" t="str">
        <f>IFERROR(__xludf.DUMMYFUNCTION("""COMPUTED_VALUE"""),"Porcupine Balls With Mushroom Sauce")</f>
        <v>Porcupine Balls With Mushroom Sauce</v>
      </c>
      <c r="C3796" t="str">
        <f>IFERROR(__xludf.DUMMYFUNCTION("""COMPUTED_VALUE"""),"Meats")</f>
        <v>Meats</v>
      </c>
      <c r="D3796">
        <f>IFERROR(__xludf.DUMMYFUNCTION("""COMPUTED_VALUE"""),157.0)</f>
        <v>157</v>
      </c>
      <c r="E3796">
        <f>IFERROR(__xludf.DUMMYFUNCTION("""COMPUTED_VALUE"""),7.76)</f>
        <v>7.76</v>
      </c>
      <c r="F3796">
        <f>IFERROR(__xludf.DUMMYFUNCTION("""COMPUTED_VALUE"""),10.33)</f>
        <v>10.33</v>
      </c>
      <c r="G3796">
        <f>IFERROR(__xludf.DUMMYFUNCTION("""COMPUTED_VALUE"""),10.71)</f>
        <v>10.71</v>
      </c>
    </row>
    <row r="3797">
      <c r="A3797">
        <f>IFERROR(__xludf.DUMMYFUNCTION("""COMPUTED_VALUE"""),782981.0)</f>
        <v>782981</v>
      </c>
      <c r="B3797" t="str">
        <f>IFERROR(__xludf.DUMMYFUNCTION("""COMPUTED_VALUE"""),"Beef And Rice With Cheese Sauce")</f>
        <v>Beef And Rice With Cheese Sauce</v>
      </c>
      <c r="C3797" t="str">
        <f>IFERROR(__xludf.DUMMYFUNCTION("""COMPUTED_VALUE"""),"Meats")</f>
        <v>Meats</v>
      </c>
      <c r="D3797">
        <f>IFERROR(__xludf.DUMMYFUNCTION("""COMPUTED_VALUE"""),143.0)</f>
        <v>143</v>
      </c>
      <c r="E3797">
        <f>IFERROR(__xludf.DUMMYFUNCTION("""COMPUTED_VALUE"""),5.34)</f>
        <v>5.34</v>
      </c>
      <c r="F3797">
        <f>IFERROR(__xludf.DUMMYFUNCTION("""COMPUTED_VALUE"""),8.06)</f>
        <v>8.06</v>
      </c>
      <c r="G3797">
        <f>IFERROR(__xludf.DUMMYFUNCTION("""COMPUTED_VALUE"""),14.78)</f>
        <v>14.78</v>
      </c>
    </row>
    <row r="3798">
      <c r="A3798">
        <f>IFERROR(__xludf.DUMMYFUNCTION("""COMPUTED_VALUE"""),782982.0)</f>
        <v>782982</v>
      </c>
      <c r="B3798" t="str">
        <f>IFERROR(__xludf.DUMMYFUNCTION("""COMPUTED_VALUE"""),"Meat Loaf Made With Beef")</f>
        <v>Meat Loaf Made With Beef</v>
      </c>
      <c r="C3798" t="str">
        <f>IFERROR(__xludf.DUMMYFUNCTION("""COMPUTED_VALUE"""),"Meats")</f>
        <v>Meats</v>
      </c>
      <c r="D3798">
        <f>IFERROR(__xludf.DUMMYFUNCTION("""COMPUTED_VALUE"""),199.0)</f>
        <v>199</v>
      </c>
      <c r="E3798">
        <f>IFERROR(__xludf.DUMMYFUNCTION("""COMPUTED_VALUE"""),10.65)</f>
        <v>10.65</v>
      </c>
      <c r="F3798">
        <f>IFERROR(__xludf.DUMMYFUNCTION("""COMPUTED_VALUE"""),17.43)</f>
        <v>17.43</v>
      </c>
      <c r="G3798">
        <f>IFERROR(__xludf.DUMMYFUNCTION("""COMPUTED_VALUE"""),7.22)</f>
        <v>7.22</v>
      </c>
    </row>
    <row r="3799">
      <c r="A3799">
        <f>IFERROR(__xludf.DUMMYFUNCTION("""COMPUTED_VALUE"""),782983.0)</f>
        <v>782983</v>
      </c>
      <c r="B3799" t="str">
        <f>IFERROR(__xludf.DUMMYFUNCTION("""COMPUTED_VALUE"""),"Meat Loaf Made With Beef With Tomato-Based Sauce")</f>
        <v>Meat Loaf Made With Beef With Tomato-Based Sauce</v>
      </c>
      <c r="C3799" t="str">
        <f>IFERROR(__xludf.DUMMYFUNCTION("""COMPUTED_VALUE"""),"Meats")</f>
        <v>Meats</v>
      </c>
      <c r="D3799">
        <f>IFERROR(__xludf.DUMMYFUNCTION("""COMPUTED_VALUE"""),159.0)</f>
        <v>159</v>
      </c>
      <c r="E3799">
        <f>IFERROR(__xludf.DUMMYFUNCTION("""COMPUTED_VALUE"""),8.3)</f>
        <v>8.3</v>
      </c>
      <c r="F3799">
        <f>IFERROR(__xludf.DUMMYFUNCTION("""COMPUTED_VALUE"""),13.74)</f>
        <v>13.74</v>
      </c>
      <c r="G3799">
        <f>IFERROR(__xludf.DUMMYFUNCTION("""COMPUTED_VALUE"""),6.79)</f>
        <v>6.79</v>
      </c>
    </row>
    <row r="3800">
      <c r="A3800">
        <f>IFERROR(__xludf.DUMMYFUNCTION("""COMPUTED_VALUE"""),782984.0)</f>
        <v>782984</v>
      </c>
      <c r="B3800" t="str">
        <f>IFERROR(__xludf.DUMMYFUNCTION("""COMPUTED_VALUE"""),"Beef Wellington")</f>
        <v>Beef Wellington</v>
      </c>
      <c r="C3800" t="str">
        <f>IFERROR(__xludf.DUMMYFUNCTION("""COMPUTED_VALUE"""),"Meats")</f>
        <v>Meats</v>
      </c>
      <c r="D3800">
        <f>IFERROR(__xludf.DUMMYFUNCTION("""COMPUTED_VALUE"""),368.0)</f>
        <v>368</v>
      </c>
      <c r="E3800">
        <f>IFERROR(__xludf.DUMMYFUNCTION("""COMPUTED_VALUE"""),27.35)</f>
        <v>27.35</v>
      </c>
      <c r="F3800">
        <f>IFERROR(__xludf.DUMMYFUNCTION("""COMPUTED_VALUE"""),19.1)</f>
        <v>19.1</v>
      </c>
      <c r="G3800">
        <f>IFERROR(__xludf.DUMMYFUNCTION("""COMPUTED_VALUE"""),10.1)</f>
        <v>10.1</v>
      </c>
    </row>
    <row r="3801">
      <c r="A3801">
        <f>IFERROR(__xludf.DUMMYFUNCTION("""COMPUTED_VALUE"""),782986.0)</f>
        <v>782986</v>
      </c>
      <c r="B3801" t="str">
        <f>IFERROR(__xludf.DUMMYFUNCTION("""COMPUTED_VALUE"""),"Creamed Dried Beef On Toast")</f>
        <v>Creamed Dried Beef On Toast</v>
      </c>
      <c r="C3801" t="str">
        <f>IFERROR(__xludf.DUMMYFUNCTION("""COMPUTED_VALUE"""),"Meats")</f>
        <v>Meats</v>
      </c>
      <c r="D3801">
        <f>IFERROR(__xludf.DUMMYFUNCTION("""COMPUTED_VALUE"""),127.0)</f>
        <v>127</v>
      </c>
      <c r="E3801">
        <f>IFERROR(__xludf.DUMMYFUNCTION("""COMPUTED_VALUE"""),5.94)</f>
        <v>5.94</v>
      </c>
      <c r="F3801">
        <f>IFERROR(__xludf.DUMMYFUNCTION("""COMPUTED_VALUE"""),10.89)</f>
        <v>10.89</v>
      </c>
      <c r="G3801">
        <f>IFERROR(__xludf.DUMMYFUNCTION("""COMPUTED_VALUE"""),7.74)</f>
        <v>7.74</v>
      </c>
    </row>
    <row r="3802">
      <c r="A3802">
        <f>IFERROR(__xludf.DUMMYFUNCTION("""COMPUTED_VALUE"""),782987.0)</f>
        <v>782987</v>
      </c>
      <c r="B3802" t="str">
        <f>IFERROR(__xludf.DUMMYFUNCTION("""COMPUTED_VALUE"""),"Stuffed Pot Roast With Potatoes Puerto Rican Style")</f>
        <v>Stuffed Pot Roast With Potatoes Puerto Rican Style</v>
      </c>
      <c r="C3802" t="str">
        <f>IFERROR(__xludf.DUMMYFUNCTION("""COMPUTED_VALUE"""),"Meats")</f>
        <v>Meats</v>
      </c>
      <c r="D3802">
        <f>IFERROR(__xludf.DUMMYFUNCTION("""COMPUTED_VALUE"""),345.0)</f>
        <v>345</v>
      </c>
      <c r="E3802">
        <f>IFERROR(__xludf.DUMMYFUNCTION("""COMPUTED_VALUE"""),23.47)</f>
        <v>23.47</v>
      </c>
      <c r="F3802">
        <f>IFERROR(__xludf.DUMMYFUNCTION("""COMPUTED_VALUE"""),24.41)</f>
        <v>24.41</v>
      </c>
      <c r="G3802">
        <f>IFERROR(__xludf.DUMMYFUNCTION("""COMPUTED_VALUE"""),7.77)</f>
        <v>7.77</v>
      </c>
    </row>
    <row r="3803">
      <c r="A3803">
        <f>IFERROR(__xludf.DUMMYFUNCTION("""COMPUTED_VALUE"""),782988.0)</f>
        <v>782988</v>
      </c>
      <c r="B3803" t="str">
        <f>IFERROR(__xludf.DUMMYFUNCTION("""COMPUTED_VALUE"""),"Beef Stew With Potatoes Puerto Rican Style")</f>
        <v>Beef Stew With Potatoes Puerto Rican Style</v>
      </c>
      <c r="C3803" t="str">
        <f>IFERROR(__xludf.DUMMYFUNCTION("""COMPUTED_VALUE"""),"Meats")</f>
        <v>Meats</v>
      </c>
      <c r="D3803">
        <f>IFERROR(__xludf.DUMMYFUNCTION("""COMPUTED_VALUE"""),218.0)</f>
        <v>218</v>
      </c>
      <c r="E3803">
        <f>IFERROR(__xludf.DUMMYFUNCTION("""COMPUTED_VALUE"""),14.69)</f>
        <v>14.69</v>
      </c>
      <c r="F3803">
        <f>IFERROR(__xludf.DUMMYFUNCTION("""COMPUTED_VALUE"""),14.58)</f>
        <v>14.58</v>
      </c>
      <c r="G3803">
        <f>IFERROR(__xludf.DUMMYFUNCTION("""COMPUTED_VALUE"""),6.57)</f>
        <v>6.57</v>
      </c>
    </row>
    <row r="3804">
      <c r="A3804">
        <f>IFERROR(__xludf.DUMMYFUNCTION("""COMPUTED_VALUE"""),782989.0)</f>
        <v>782989</v>
      </c>
      <c r="B3804" t="str">
        <f>IFERROR(__xludf.DUMMYFUNCTION("""COMPUTED_VALUE"""),"Stewed Corned Beef Puerto Rican Style")</f>
        <v>Stewed Corned Beef Puerto Rican Style</v>
      </c>
      <c r="C3804" t="str">
        <f>IFERROR(__xludf.DUMMYFUNCTION("""COMPUTED_VALUE"""),"Meats")</f>
        <v>Meats</v>
      </c>
      <c r="D3804">
        <f>IFERROR(__xludf.DUMMYFUNCTION("""COMPUTED_VALUE"""),195.0)</f>
        <v>195</v>
      </c>
      <c r="E3804">
        <f>IFERROR(__xludf.DUMMYFUNCTION("""COMPUTED_VALUE"""),11.03)</f>
        <v>11.03</v>
      </c>
      <c r="F3804">
        <f>IFERROR(__xludf.DUMMYFUNCTION("""COMPUTED_VALUE"""),13.44)</f>
        <v>13.44</v>
      </c>
      <c r="G3804">
        <f>IFERROR(__xludf.DUMMYFUNCTION("""COMPUTED_VALUE"""),10.33)</f>
        <v>10.33</v>
      </c>
    </row>
    <row r="3805">
      <c r="A3805">
        <f>IFERROR(__xludf.DUMMYFUNCTION("""COMPUTED_VALUE"""),782990.0)</f>
        <v>782990</v>
      </c>
      <c r="B3805" t="str">
        <f>IFERROR(__xludf.DUMMYFUNCTION("""COMPUTED_VALUE"""),"Meat Loaf Made With Ham")</f>
        <v>Meat Loaf Made With Ham</v>
      </c>
      <c r="C3805" t="str">
        <f>IFERROR(__xludf.DUMMYFUNCTION("""COMPUTED_VALUE"""),"Meats")</f>
        <v>Meats</v>
      </c>
      <c r="D3805">
        <f>IFERROR(__xludf.DUMMYFUNCTION("""COMPUTED_VALUE"""),178.0)</f>
        <v>178</v>
      </c>
      <c r="E3805">
        <f>IFERROR(__xludf.DUMMYFUNCTION("""COMPUTED_VALUE"""),7.47)</f>
        <v>7.47</v>
      </c>
      <c r="F3805">
        <f>IFERROR(__xludf.DUMMYFUNCTION("""COMPUTED_VALUE"""),20.67)</f>
        <v>20.67</v>
      </c>
      <c r="G3805">
        <f>IFERROR(__xludf.DUMMYFUNCTION("""COMPUTED_VALUE"""),6.13)</f>
        <v>6.13</v>
      </c>
    </row>
    <row r="3806">
      <c r="A3806">
        <f>IFERROR(__xludf.DUMMYFUNCTION("""COMPUTED_VALUE"""),782991.0)</f>
        <v>782991</v>
      </c>
      <c r="B3806" t="str">
        <f>IFERROR(__xludf.DUMMYFUNCTION("""COMPUTED_VALUE"""),"Ham And Noodles With Cream Or White Sauce")</f>
        <v>Ham And Noodles With Cream Or White Sauce</v>
      </c>
      <c r="C3806" t="str">
        <f>IFERROR(__xludf.DUMMYFUNCTION("""COMPUTED_VALUE"""),"Meats")</f>
        <v>Meats</v>
      </c>
      <c r="D3806">
        <f>IFERROR(__xludf.DUMMYFUNCTION("""COMPUTED_VALUE"""),140.0)</f>
        <v>140</v>
      </c>
      <c r="E3806">
        <f>IFERROR(__xludf.DUMMYFUNCTION("""COMPUTED_VALUE"""),5.57)</f>
        <v>5.57</v>
      </c>
      <c r="F3806">
        <f>IFERROR(__xludf.DUMMYFUNCTION("""COMPUTED_VALUE"""),6.81)</f>
        <v>6.81</v>
      </c>
      <c r="G3806">
        <f>IFERROR(__xludf.DUMMYFUNCTION("""COMPUTED_VALUE"""),15.31)</f>
        <v>15.31</v>
      </c>
    </row>
    <row r="3807">
      <c r="A3807">
        <f>IFERROR(__xludf.DUMMYFUNCTION("""COMPUTED_VALUE"""),782992.0)</f>
        <v>782992</v>
      </c>
      <c r="B3807" t="str">
        <f>IFERROR(__xludf.DUMMYFUNCTION("""COMPUTED_VALUE"""),"Ham And Rice With Mushroom Sauce")</f>
        <v>Ham And Rice With Mushroom Sauce</v>
      </c>
      <c r="C3807" t="str">
        <f>IFERROR(__xludf.DUMMYFUNCTION("""COMPUTED_VALUE"""),"Meats")</f>
        <v>Meats</v>
      </c>
      <c r="D3807">
        <f>IFERROR(__xludf.DUMMYFUNCTION("""COMPUTED_VALUE"""),135.0)</f>
        <v>135</v>
      </c>
      <c r="E3807">
        <f>IFERROR(__xludf.DUMMYFUNCTION("""COMPUTED_VALUE"""),5.18)</f>
        <v>5.18</v>
      </c>
      <c r="F3807">
        <f>IFERROR(__xludf.DUMMYFUNCTION("""COMPUTED_VALUE"""),5.36)</f>
        <v>5.36</v>
      </c>
      <c r="G3807">
        <f>IFERROR(__xludf.DUMMYFUNCTION("""COMPUTED_VALUE"""),16.28)</f>
        <v>16.28</v>
      </c>
    </row>
    <row r="3808">
      <c r="A3808">
        <f>IFERROR(__xludf.DUMMYFUNCTION("""COMPUTED_VALUE"""),782993.0)</f>
        <v>782993</v>
      </c>
      <c r="B3808" t="str">
        <f>IFERROR(__xludf.DUMMYFUNCTION("""COMPUTED_VALUE"""),"Ham Or Pork With Stuffing")</f>
        <v>Ham Or Pork With Stuffing</v>
      </c>
      <c r="C3808" t="str">
        <f>IFERROR(__xludf.DUMMYFUNCTION("""COMPUTED_VALUE"""),"Meats")</f>
        <v>Meats</v>
      </c>
      <c r="D3808">
        <f>IFERROR(__xludf.DUMMYFUNCTION("""COMPUTED_VALUE"""),143.0)</f>
        <v>143</v>
      </c>
      <c r="E3808">
        <f>IFERROR(__xludf.DUMMYFUNCTION("""COMPUTED_VALUE"""),8.27)</f>
        <v>8.27</v>
      </c>
      <c r="F3808">
        <f>IFERROR(__xludf.DUMMYFUNCTION("""COMPUTED_VALUE"""),6.26)</f>
        <v>6.26</v>
      </c>
      <c r="G3808">
        <f>IFERROR(__xludf.DUMMYFUNCTION("""COMPUTED_VALUE"""),10.43)</f>
        <v>10.43</v>
      </c>
    </row>
    <row r="3809">
      <c r="A3809">
        <f>IFERROR(__xludf.DUMMYFUNCTION("""COMPUTED_VALUE"""),782994.0)</f>
        <v>782994</v>
      </c>
      <c r="B3809" t="str">
        <f>IFERROR(__xludf.DUMMYFUNCTION("""COMPUTED_VALUE"""),"Ham Croquette")</f>
        <v>Ham Croquette</v>
      </c>
      <c r="C3809" t="str">
        <f>IFERROR(__xludf.DUMMYFUNCTION("""COMPUTED_VALUE"""),"Meats")</f>
        <v>Meats</v>
      </c>
      <c r="D3809">
        <f>IFERROR(__xludf.DUMMYFUNCTION("""COMPUTED_VALUE"""),273.0)</f>
        <v>273</v>
      </c>
      <c r="E3809">
        <f>IFERROR(__xludf.DUMMYFUNCTION("""COMPUTED_VALUE"""),20.7)</f>
        <v>20.7</v>
      </c>
      <c r="F3809">
        <f>IFERROR(__xludf.DUMMYFUNCTION("""COMPUTED_VALUE"""),17.98)</f>
        <v>17.98</v>
      </c>
      <c r="G3809">
        <f>IFERROR(__xludf.DUMMYFUNCTION("""COMPUTED_VALUE"""),2.58)</f>
        <v>2.58</v>
      </c>
    </row>
    <row r="3810">
      <c r="A3810">
        <f>IFERROR(__xludf.DUMMYFUNCTION("""COMPUTED_VALUE"""),782995.0)</f>
        <v>782995</v>
      </c>
      <c r="B3810" t="str">
        <f>IFERROR(__xludf.DUMMYFUNCTION("""COMPUTED_VALUE"""),"Pork And Rice With Tomato-Based Sauce")</f>
        <v>Pork And Rice With Tomato-Based Sauce</v>
      </c>
      <c r="C3810" t="str">
        <f>IFERROR(__xludf.DUMMYFUNCTION("""COMPUTED_VALUE"""),"Meats")</f>
        <v>Meats</v>
      </c>
      <c r="D3810">
        <f>IFERROR(__xludf.DUMMYFUNCTION("""COMPUTED_VALUE"""),139.0)</f>
        <v>139</v>
      </c>
      <c r="E3810">
        <f>IFERROR(__xludf.DUMMYFUNCTION("""COMPUTED_VALUE"""),5.0)</f>
        <v>5</v>
      </c>
      <c r="F3810">
        <f>IFERROR(__xludf.DUMMYFUNCTION("""COMPUTED_VALUE"""),6.42)</f>
        <v>6.42</v>
      </c>
      <c r="G3810">
        <f>IFERROR(__xludf.DUMMYFUNCTION("""COMPUTED_VALUE"""),16.78)</f>
        <v>16.78</v>
      </c>
    </row>
    <row r="3811">
      <c r="A3811">
        <f>IFERROR(__xludf.DUMMYFUNCTION("""COMPUTED_VALUE"""),782996.0)</f>
        <v>782996</v>
      </c>
      <c r="B3811" t="str">
        <f>IFERROR(__xludf.DUMMYFUNCTION("""COMPUTED_VALUE"""),"Sausage And Rice With Tomato-Based Sauce")</f>
        <v>Sausage And Rice With Tomato-Based Sauce</v>
      </c>
      <c r="C3811" t="str">
        <f>IFERROR(__xludf.DUMMYFUNCTION("""COMPUTED_VALUE"""),"Meats")</f>
        <v>Meats</v>
      </c>
      <c r="D3811">
        <f>IFERROR(__xludf.DUMMYFUNCTION("""COMPUTED_VALUE"""),134.0)</f>
        <v>134</v>
      </c>
      <c r="E3811">
        <f>IFERROR(__xludf.DUMMYFUNCTION("""COMPUTED_VALUE"""),5.49)</f>
        <v>5.49</v>
      </c>
      <c r="F3811">
        <f>IFERROR(__xludf.DUMMYFUNCTION("""COMPUTED_VALUE"""),4.63)</f>
        <v>4.63</v>
      </c>
      <c r="G3811">
        <f>IFERROR(__xludf.DUMMYFUNCTION("""COMPUTED_VALUE"""),16.4)</f>
        <v>16.4</v>
      </c>
    </row>
    <row r="3812">
      <c r="A3812">
        <f>IFERROR(__xludf.DUMMYFUNCTION("""COMPUTED_VALUE"""),782997.0)</f>
        <v>782997</v>
      </c>
      <c r="B3812" t="str">
        <f>IFERROR(__xludf.DUMMYFUNCTION("""COMPUTED_VALUE"""),"Sausage And Rice With Mushroom Sauce")</f>
        <v>Sausage And Rice With Mushroom Sauce</v>
      </c>
      <c r="C3812" t="str">
        <f>IFERROR(__xludf.DUMMYFUNCTION("""COMPUTED_VALUE"""),"Meats")</f>
        <v>Meats</v>
      </c>
      <c r="D3812">
        <f>IFERROR(__xludf.DUMMYFUNCTION("""COMPUTED_VALUE"""),142.0)</f>
        <v>142</v>
      </c>
      <c r="E3812">
        <f>IFERROR(__xludf.DUMMYFUNCTION("""COMPUTED_VALUE"""),6.01)</f>
        <v>6.01</v>
      </c>
      <c r="F3812">
        <f>IFERROR(__xludf.DUMMYFUNCTION("""COMPUTED_VALUE"""),4.85)</f>
        <v>4.85</v>
      </c>
      <c r="G3812">
        <f>IFERROR(__xludf.DUMMYFUNCTION("""COMPUTED_VALUE"""),16.8)</f>
        <v>16.8</v>
      </c>
    </row>
    <row r="3813">
      <c r="A3813">
        <f>IFERROR(__xludf.DUMMYFUNCTION("""COMPUTED_VALUE"""),782998.0)</f>
        <v>782998</v>
      </c>
      <c r="B3813" t="str">
        <f>IFERROR(__xludf.DUMMYFUNCTION("""COMPUTED_VALUE"""),"Sausage And Rice With Cheese Sauce")</f>
        <v>Sausage And Rice With Cheese Sauce</v>
      </c>
      <c r="C3813" t="str">
        <f>IFERROR(__xludf.DUMMYFUNCTION("""COMPUTED_VALUE"""),"Meats")</f>
        <v>Meats</v>
      </c>
      <c r="D3813">
        <f>IFERROR(__xludf.DUMMYFUNCTION("""COMPUTED_VALUE"""),151.0)</f>
        <v>151</v>
      </c>
      <c r="E3813">
        <f>IFERROR(__xludf.DUMMYFUNCTION("""COMPUTED_VALUE"""),7.61)</f>
        <v>7.61</v>
      </c>
      <c r="F3813">
        <f>IFERROR(__xludf.DUMMYFUNCTION("""COMPUTED_VALUE"""),6.32)</f>
        <v>6.32</v>
      </c>
      <c r="G3813">
        <f>IFERROR(__xludf.DUMMYFUNCTION("""COMPUTED_VALUE"""),13.94)</f>
        <v>13.94</v>
      </c>
    </row>
    <row r="3814">
      <c r="A3814">
        <f>IFERROR(__xludf.DUMMYFUNCTION("""COMPUTED_VALUE"""),782999.0)</f>
        <v>782999</v>
      </c>
      <c r="B3814" t="str">
        <f>IFERROR(__xludf.DUMMYFUNCTION("""COMPUTED_VALUE"""),"Sausage And Noodles With Cream Or White Sauce")</f>
        <v>Sausage And Noodles With Cream Or White Sauce</v>
      </c>
      <c r="C3814" t="str">
        <f>IFERROR(__xludf.DUMMYFUNCTION("""COMPUTED_VALUE"""),"Meats")</f>
        <v>Meats</v>
      </c>
      <c r="D3814">
        <f>IFERROR(__xludf.DUMMYFUNCTION("""COMPUTED_VALUE"""),154.0)</f>
        <v>154</v>
      </c>
      <c r="E3814">
        <f>IFERROR(__xludf.DUMMYFUNCTION("""COMPUTED_VALUE"""),7.92)</f>
        <v>7.92</v>
      </c>
      <c r="F3814">
        <f>IFERROR(__xludf.DUMMYFUNCTION("""COMPUTED_VALUE"""),5.91)</f>
        <v>5.91</v>
      </c>
      <c r="G3814">
        <f>IFERROR(__xludf.DUMMYFUNCTION("""COMPUTED_VALUE"""),14.82)</f>
        <v>14.82</v>
      </c>
    </row>
    <row r="3815">
      <c r="A3815">
        <f>IFERROR(__xludf.DUMMYFUNCTION("""COMPUTED_VALUE"""),783000.0)</f>
        <v>783000</v>
      </c>
      <c r="B3815" t="str">
        <f>IFERROR(__xludf.DUMMYFUNCTION("""COMPUTED_VALUE"""),"Ham And Noodles No Sauce")</f>
        <v>Ham And Noodles No Sauce</v>
      </c>
      <c r="C3815" t="str">
        <f>IFERROR(__xludf.DUMMYFUNCTION("""COMPUTED_VALUE"""),"Meats")</f>
        <v>Meats</v>
      </c>
      <c r="D3815">
        <f>IFERROR(__xludf.DUMMYFUNCTION("""COMPUTED_VALUE"""),143.0)</f>
        <v>143</v>
      </c>
      <c r="E3815">
        <f>IFERROR(__xludf.DUMMYFUNCTION("""COMPUTED_VALUE"""),5.54)</f>
        <v>5.54</v>
      </c>
      <c r="F3815">
        <f>IFERROR(__xludf.DUMMYFUNCTION("""COMPUTED_VALUE"""),7.15)</f>
        <v>7.15</v>
      </c>
      <c r="G3815">
        <f>IFERROR(__xludf.DUMMYFUNCTION("""COMPUTED_VALUE"""),15.88)</f>
        <v>15.88</v>
      </c>
    </row>
    <row r="3816">
      <c r="A3816">
        <f>IFERROR(__xludf.DUMMYFUNCTION("""COMPUTED_VALUE"""),783001.0)</f>
        <v>783001</v>
      </c>
      <c r="B3816" t="str">
        <f>IFERROR(__xludf.DUMMYFUNCTION("""COMPUTED_VALUE"""),"Ham Or Pork And Rice No Sauce")</f>
        <v>Ham Or Pork And Rice No Sauce</v>
      </c>
      <c r="C3816" t="str">
        <f>IFERROR(__xludf.DUMMYFUNCTION("""COMPUTED_VALUE"""),"Meats")</f>
        <v>Meats</v>
      </c>
      <c r="D3816">
        <f>IFERROR(__xludf.DUMMYFUNCTION("""COMPUTED_VALUE"""),142.0)</f>
        <v>142</v>
      </c>
      <c r="E3816">
        <f>IFERROR(__xludf.DUMMYFUNCTION("""COMPUTED_VALUE"""),4.99)</f>
        <v>4.99</v>
      </c>
      <c r="F3816">
        <f>IFERROR(__xludf.DUMMYFUNCTION("""COMPUTED_VALUE"""),6.73)</f>
        <v>6.73</v>
      </c>
      <c r="G3816">
        <f>IFERROR(__xludf.DUMMYFUNCTION("""COMPUTED_VALUE"""),16.8)</f>
        <v>16.8</v>
      </c>
    </row>
    <row r="3817">
      <c r="A3817">
        <f>IFERROR(__xludf.DUMMYFUNCTION("""COMPUTED_VALUE"""),783002.0)</f>
        <v>783002</v>
      </c>
      <c r="B3817" t="str">
        <f>IFERROR(__xludf.DUMMYFUNCTION("""COMPUTED_VALUE"""),"Ham Or Pork And Potatoes With Gravy")</f>
        <v>Ham Or Pork And Potatoes With Gravy</v>
      </c>
      <c r="C3817" t="str">
        <f>IFERROR(__xludf.DUMMYFUNCTION("""COMPUTED_VALUE"""),"Meats")</f>
        <v>Meats</v>
      </c>
      <c r="D3817">
        <f>IFERROR(__xludf.DUMMYFUNCTION("""COMPUTED_VALUE"""),125.0)</f>
        <v>125</v>
      </c>
      <c r="E3817">
        <f>IFERROR(__xludf.DUMMYFUNCTION("""COMPUTED_VALUE"""),6.33)</f>
        <v>6.33</v>
      </c>
      <c r="F3817">
        <f>IFERROR(__xludf.DUMMYFUNCTION("""COMPUTED_VALUE"""),5.4)</f>
        <v>5.4</v>
      </c>
      <c r="G3817">
        <f>IFERROR(__xludf.DUMMYFUNCTION("""COMPUTED_VALUE"""),11.68)</f>
        <v>11.68</v>
      </c>
    </row>
    <row r="3818">
      <c r="A3818">
        <f>IFERROR(__xludf.DUMMYFUNCTION("""COMPUTED_VALUE"""),783003.0)</f>
        <v>783003</v>
      </c>
      <c r="B3818" t="str">
        <f>IFERROR(__xludf.DUMMYFUNCTION("""COMPUTED_VALUE"""),"Ham Or Pork And Potatoes With Cheese Sauce")</f>
        <v>Ham Or Pork And Potatoes With Cheese Sauce</v>
      </c>
      <c r="C3818" t="str">
        <f>IFERROR(__xludf.DUMMYFUNCTION("""COMPUTED_VALUE"""),"Meats")</f>
        <v>Meats</v>
      </c>
      <c r="D3818">
        <f>IFERROR(__xludf.DUMMYFUNCTION("""COMPUTED_VALUE"""),127.0)</f>
        <v>127</v>
      </c>
      <c r="E3818">
        <f>IFERROR(__xludf.DUMMYFUNCTION("""COMPUTED_VALUE"""),5.69)</f>
        <v>5.69</v>
      </c>
      <c r="F3818">
        <f>IFERROR(__xludf.DUMMYFUNCTION("""COMPUTED_VALUE"""),7.86)</f>
        <v>7.86</v>
      </c>
      <c r="G3818">
        <f>IFERROR(__xludf.DUMMYFUNCTION("""COMPUTED_VALUE"""),11.11)</f>
        <v>11.11</v>
      </c>
    </row>
    <row r="3819">
      <c r="A3819">
        <f>IFERROR(__xludf.DUMMYFUNCTION("""COMPUTED_VALUE"""),783004.0)</f>
        <v>783004</v>
      </c>
      <c r="B3819" t="str">
        <f>IFERROR(__xludf.DUMMYFUNCTION("""COMPUTED_VALUE"""),"Stewed Pig's Feet Puerto Rican Style")</f>
        <v>Stewed Pig's Feet Puerto Rican Style</v>
      </c>
      <c r="C3819" t="str">
        <f>IFERROR(__xludf.DUMMYFUNCTION("""COMPUTED_VALUE"""),"Meats")</f>
        <v>Meats</v>
      </c>
      <c r="D3819">
        <f>IFERROR(__xludf.DUMMYFUNCTION("""COMPUTED_VALUE"""),141.0)</f>
        <v>141</v>
      </c>
      <c r="E3819">
        <f>IFERROR(__xludf.DUMMYFUNCTION("""COMPUTED_VALUE"""),9.2)</f>
        <v>9.2</v>
      </c>
      <c r="F3819">
        <f>IFERROR(__xludf.DUMMYFUNCTION("""COMPUTED_VALUE"""),10.23)</f>
        <v>10.23</v>
      </c>
      <c r="G3819">
        <f>IFERROR(__xludf.DUMMYFUNCTION("""COMPUTED_VALUE"""),4.1)</f>
        <v>4.1</v>
      </c>
    </row>
    <row r="3820">
      <c r="A3820">
        <f>IFERROR(__xludf.DUMMYFUNCTION("""COMPUTED_VALUE"""),783005.0)</f>
        <v>783005</v>
      </c>
      <c r="B3820" t="str">
        <f>IFERROR(__xludf.DUMMYFUNCTION("""COMPUTED_VALUE"""),"Stuffed Pork Roast Puerto Rican Style")</f>
        <v>Stuffed Pork Roast Puerto Rican Style</v>
      </c>
      <c r="C3820" t="str">
        <f>IFERROR(__xludf.DUMMYFUNCTION("""COMPUTED_VALUE"""),"Meats")</f>
        <v>Meats</v>
      </c>
      <c r="D3820">
        <f>IFERROR(__xludf.DUMMYFUNCTION("""COMPUTED_VALUE"""),159.0)</f>
        <v>159</v>
      </c>
      <c r="E3820">
        <f>IFERROR(__xludf.DUMMYFUNCTION("""COMPUTED_VALUE"""),8.06)</f>
        <v>8.06</v>
      </c>
      <c r="F3820">
        <f>IFERROR(__xludf.DUMMYFUNCTION("""COMPUTED_VALUE"""),18.76)</f>
        <v>18.76</v>
      </c>
      <c r="G3820">
        <f>IFERROR(__xludf.DUMMYFUNCTION("""COMPUTED_VALUE"""),1.93)</f>
        <v>1.93</v>
      </c>
    </row>
    <row r="3821">
      <c r="A3821">
        <f>IFERROR(__xludf.DUMMYFUNCTION("""COMPUTED_VALUE"""),783006.0)</f>
        <v>783006</v>
      </c>
      <c r="B3821" t="str">
        <f>IFERROR(__xludf.DUMMYFUNCTION("""COMPUTED_VALUE"""),"Pork Stew With Potatoes Tomato-Based Sauce Mexican Style")</f>
        <v>Pork Stew With Potatoes Tomato-Based Sauce Mexican Style</v>
      </c>
      <c r="C3821" t="str">
        <f>IFERROR(__xludf.DUMMYFUNCTION("""COMPUTED_VALUE"""),"Meats")</f>
        <v>Meats</v>
      </c>
      <c r="D3821">
        <f>IFERROR(__xludf.DUMMYFUNCTION("""COMPUTED_VALUE"""),109.0)</f>
        <v>109</v>
      </c>
      <c r="E3821">
        <f>IFERROR(__xludf.DUMMYFUNCTION("""COMPUTED_VALUE"""),3.84)</f>
        <v>3.84</v>
      </c>
      <c r="F3821">
        <f>IFERROR(__xludf.DUMMYFUNCTION("""COMPUTED_VALUE"""),13.08)</f>
        <v>13.08</v>
      </c>
      <c r="G3821">
        <f>IFERROR(__xludf.DUMMYFUNCTION("""COMPUTED_VALUE"""),5.06)</f>
        <v>5.06</v>
      </c>
    </row>
    <row r="3822">
      <c r="A3822">
        <f>IFERROR(__xludf.DUMMYFUNCTION("""COMPUTED_VALUE"""),783007.0)</f>
        <v>783007</v>
      </c>
      <c r="B3822" t="str">
        <f>IFERROR(__xludf.DUMMYFUNCTION("""COMPUTED_VALUE"""),"Lamb Or Mutton Loaf")</f>
        <v>Lamb Or Mutton Loaf</v>
      </c>
      <c r="C3822" t="str">
        <f>IFERROR(__xludf.DUMMYFUNCTION("""COMPUTED_VALUE"""),"Meats")</f>
        <v>Meats</v>
      </c>
      <c r="D3822">
        <f>IFERROR(__xludf.DUMMYFUNCTION("""COMPUTED_VALUE"""),183.0)</f>
        <v>183</v>
      </c>
      <c r="E3822">
        <f>IFERROR(__xludf.DUMMYFUNCTION("""COMPUTED_VALUE"""),11.04)</f>
        <v>11.04</v>
      </c>
      <c r="F3822">
        <f>IFERROR(__xludf.DUMMYFUNCTION("""COMPUTED_VALUE"""),13.06)</f>
        <v>13.06</v>
      </c>
      <c r="G3822">
        <f>IFERROR(__xludf.DUMMYFUNCTION("""COMPUTED_VALUE"""),7.43)</f>
        <v>7.43</v>
      </c>
    </row>
    <row r="3823">
      <c r="A3823">
        <f>IFERROR(__xludf.DUMMYFUNCTION("""COMPUTED_VALUE"""),783008.0)</f>
        <v>783008</v>
      </c>
      <c r="B3823" t="str">
        <f>IFERROR(__xludf.DUMMYFUNCTION("""COMPUTED_VALUE"""),"Lamb Or Mutton And Potatoes With Gravy")</f>
        <v>Lamb Or Mutton And Potatoes With Gravy</v>
      </c>
      <c r="C3823" t="str">
        <f>IFERROR(__xludf.DUMMYFUNCTION("""COMPUTED_VALUE"""),"Meats")</f>
        <v>Meats</v>
      </c>
      <c r="D3823">
        <f>IFERROR(__xludf.DUMMYFUNCTION("""COMPUTED_VALUE"""),129.0)</f>
        <v>129</v>
      </c>
      <c r="E3823">
        <f>IFERROR(__xludf.DUMMYFUNCTION("""COMPUTED_VALUE"""),6.46)</f>
        <v>6.46</v>
      </c>
      <c r="F3823">
        <f>IFERROR(__xludf.DUMMYFUNCTION("""COMPUTED_VALUE"""),5.13)</f>
        <v>5.13</v>
      </c>
      <c r="G3823">
        <f>IFERROR(__xludf.DUMMYFUNCTION("""COMPUTED_VALUE"""),12.53)</f>
        <v>12.53</v>
      </c>
    </row>
    <row r="3824">
      <c r="A3824">
        <f>IFERROR(__xludf.DUMMYFUNCTION("""COMPUTED_VALUE"""),783009.0)</f>
        <v>783009</v>
      </c>
      <c r="B3824" t="str">
        <f>IFERROR(__xludf.DUMMYFUNCTION("""COMPUTED_VALUE"""),"Lamb Or Mutton And Potatoes With Tomato-Based Sauce")</f>
        <v>Lamb Or Mutton And Potatoes With Tomato-Based Sauce</v>
      </c>
      <c r="C3824" t="str">
        <f>IFERROR(__xludf.DUMMYFUNCTION("""COMPUTED_VALUE"""),"Meats")</f>
        <v>Meats</v>
      </c>
      <c r="D3824">
        <f>IFERROR(__xludf.DUMMYFUNCTION("""COMPUTED_VALUE"""),125.0)</f>
        <v>125</v>
      </c>
      <c r="E3824">
        <f>IFERROR(__xludf.DUMMYFUNCTION("""COMPUTED_VALUE"""),6.22)</f>
        <v>6.22</v>
      </c>
      <c r="F3824">
        <f>IFERROR(__xludf.DUMMYFUNCTION("""COMPUTED_VALUE"""),5.26)</f>
        <v>5.26</v>
      </c>
      <c r="G3824">
        <f>IFERROR(__xludf.DUMMYFUNCTION("""COMPUTED_VALUE"""),12.48)</f>
        <v>12.48</v>
      </c>
    </row>
    <row r="3825">
      <c r="A3825">
        <f>IFERROR(__xludf.DUMMYFUNCTION("""COMPUTED_VALUE"""),783010.0)</f>
        <v>783010</v>
      </c>
      <c r="B3825" t="str">
        <f>IFERROR(__xludf.DUMMYFUNCTION("""COMPUTED_VALUE"""),"Lamb Or Mutton And Noodles With Gravy")</f>
        <v>Lamb Or Mutton And Noodles With Gravy</v>
      </c>
      <c r="C3825" t="str">
        <f>IFERROR(__xludf.DUMMYFUNCTION("""COMPUTED_VALUE"""),"Meats")</f>
        <v>Meats</v>
      </c>
      <c r="D3825">
        <f>IFERROR(__xludf.DUMMYFUNCTION("""COMPUTED_VALUE"""),141.0)</f>
        <v>141</v>
      </c>
      <c r="E3825">
        <f>IFERROR(__xludf.DUMMYFUNCTION("""COMPUTED_VALUE"""),5.48)</f>
        <v>5.48</v>
      </c>
      <c r="F3825">
        <f>IFERROR(__xludf.DUMMYFUNCTION("""COMPUTED_VALUE"""),6.8)</f>
        <v>6.8</v>
      </c>
      <c r="G3825">
        <f>IFERROR(__xludf.DUMMYFUNCTION("""COMPUTED_VALUE"""),15.63)</f>
        <v>15.63</v>
      </c>
    </row>
    <row r="3826">
      <c r="A3826">
        <f>IFERROR(__xludf.DUMMYFUNCTION("""COMPUTED_VALUE"""),783011.0)</f>
        <v>783011</v>
      </c>
      <c r="B3826" t="str">
        <f>IFERROR(__xludf.DUMMYFUNCTION("""COMPUTED_VALUE"""),"Meat Loaf Made With Venison/deer")</f>
        <v>Meat Loaf Made With Venison/deer</v>
      </c>
      <c r="C3826" t="str">
        <f>IFERROR(__xludf.DUMMYFUNCTION("""COMPUTED_VALUE"""),"Meats")</f>
        <v>Meats</v>
      </c>
      <c r="D3826">
        <f>IFERROR(__xludf.DUMMYFUNCTION("""COMPUTED_VALUE"""),166.0)</f>
        <v>166</v>
      </c>
      <c r="E3826">
        <f>IFERROR(__xludf.DUMMYFUNCTION("""COMPUTED_VALUE"""),6.67)</f>
        <v>6.67</v>
      </c>
      <c r="F3826">
        <f>IFERROR(__xludf.DUMMYFUNCTION("""COMPUTED_VALUE"""),18.96)</f>
        <v>18.96</v>
      </c>
      <c r="G3826">
        <f>IFERROR(__xludf.DUMMYFUNCTION("""COMPUTED_VALUE"""),6.32)</f>
        <v>6.32</v>
      </c>
    </row>
    <row r="3827">
      <c r="A3827">
        <f>IFERROR(__xludf.DUMMYFUNCTION("""COMPUTED_VALUE"""),783012.0)</f>
        <v>783012</v>
      </c>
      <c r="B3827" t="str">
        <f>IFERROR(__xludf.DUMMYFUNCTION("""COMPUTED_VALUE"""),"Veal And Noodles With Cream Or White Sauce")</f>
        <v>Veal And Noodles With Cream Or White Sauce</v>
      </c>
      <c r="C3827" t="str">
        <f>IFERROR(__xludf.DUMMYFUNCTION("""COMPUTED_VALUE"""),"Meats")</f>
        <v>Meats</v>
      </c>
      <c r="D3827">
        <f>IFERROR(__xludf.DUMMYFUNCTION("""COMPUTED_VALUE"""),145.0)</f>
        <v>145</v>
      </c>
      <c r="E3827">
        <f>IFERROR(__xludf.DUMMYFUNCTION("""COMPUTED_VALUE"""),5.83)</f>
        <v>5.83</v>
      </c>
      <c r="F3827">
        <f>IFERROR(__xludf.DUMMYFUNCTION("""COMPUTED_VALUE"""),8.35)</f>
        <v>8.35</v>
      </c>
      <c r="G3827">
        <f>IFERROR(__xludf.DUMMYFUNCTION("""COMPUTED_VALUE"""),14.47)</f>
        <v>14.47</v>
      </c>
    </row>
    <row r="3828">
      <c r="A3828">
        <f>IFERROR(__xludf.DUMMYFUNCTION("""COMPUTED_VALUE"""),783013.0)</f>
        <v>783013</v>
      </c>
      <c r="B3828" t="str">
        <f>IFERROR(__xludf.DUMMYFUNCTION("""COMPUTED_VALUE"""),"Venison Or Deer And Noodles With Cream Or White Sauce")</f>
        <v>Venison Or Deer And Noodles With Cream Or White Sauce</v>
      </c>
      <c r="C3828" t="str">
        <f>IFERROR(__xludf.DUMMYFUNCTION("""COMPUTED_VALUE"""),"Meats")</f>
        <v>Meats</v>
      </c>
      <c r="D3828">
        <f>IFERROR(__xludf.DUMMYFUNCTION("""COMPUTED_VALUE"""),142.0)</f>
        <v>142</v>
      </c>
      <c r="E3828">
        <f>IFERROR(__xludf.DUMMYFUNCTION("""COMPUTED_VALUE"""),5.49)</f>
        <v>5.49</v>
      </c>
      <c r="F3828">
        <f>IFERROR(__xludf.DUMMYFUNCTION("""COMPUTED_VALUE"""),8.37)</f>
        <v>8.37</v>
      </c>
      <c r="G3828">
        <f>IFERROR(__xludf.DUMMYFUNCTION("""COMPUTED_VALUE"""),14.47)</f>
        <v>14.47</v>
      </c>
    </row>
    <row r="3829">
      <c r="A3829">
        <f>IFERROR(__xludf.DUMMYFUNCTION("""COMPUTED_VALUE"""),783014.0)</f>
        <v>783014</v>
      </c>
      <c r="B3829" t="str">
        <f>IFERROR(__xludf.DUMMYFUNCTION("""COMPUTED_VALUE"""),"Chicken Or Turkey Hash")</f>
        <v>Chicken Or Turkey Hash</v>
      </c>
      <c r="C3829" t="str">
        <f>IFERROR(__xludf.DUMMYFUNCTION("""COMPUTED_VALUE"""),"Meats")</f>
        <v>Meats</v>
      </c>
      <c r="D3829">
        <f>IFERROR(__xludf.DUMMYFUNCTION("""COMPUTED_VALUE"""),110.0)</f>
        <v>110</v>
      </c>
      <c r="E3829">
        <f>IFERROR(__xludf.DUMMYFUNCTION("""COMPUTED_VALUE"""),4.1)</f>
        <v>4.1</v>
      </c>
      <c r="F3829">
        <f>IFERROR(__xludf.DUMMYFUNCTION("""COMPUTED_VALUE"""),9.68)</f>
        <v>9.68</v>
      </c>
      <c r="G3829">
        <f>IFERROR(__xludf.DUMMYFUNCTION("""COMPUTED_VALUE"""),8.49)</f>
        <v>8.49</v>
      </c>
    </row>
    <row r="3830">
      <c r="A3830">
        <f>IFERROR(__xludf.DUMMYFUNCTION("""COMPUTED_VALUE"""),783015.0)</f>
        <v>783015</v>
      </c>
      <c r="B3830" t="str">
        <f>IFERROR(__xludf.DUMMYFUNCTION("""COMPUTED_VALUE"""),"Chicken Or Turkey And Potatoes With Gravy")</f>
        <v>Chicken Or Turkey And Potatoes With Gravy</v>
      </c>
      <c r="C3830" t="str">
        <f>IFERROR(__xludf.DUMMYFUNCTION("""COMPUTED_VALUE"""),"Meats")</f>
        <v>Meats</v>
      </c>
      <c r="D3830">
        <f>IFERROR(__xludf.DUMMYFUNCTION("""COMPUTED_VALUE"""),119.0)</f>
        <v>119</v>
      </c>
      <c r="E3830">
        <f>IFERROR(__xludf.DUMMYFUNCTION("""COMPUTED_VALUE"""),6.19)</f>
        <v>6.19</v>
      </c>
      <c r="F3830">
        <f>IFERROR(__xludf.DUMMYFUNCTION("""COMPUTED_VALUE"""),7.27)</f>
        <v>7.27</v>
      </c>
      <c r="G3830">
        <f>IFERROR(__xludf.DUMMYFUNCTION("""COMPUTED_VALUE"""),8.91)</f>
        <v>8.91</v>
      </c>
    </row>
    <row r="3831">
      <c r="A3831">
        <f>IFERROR(__xludf.DUMMYFUNCTION("""COMPUTED_VALUE"""),783016.0)</f>
        <v>783016</v>
      </c>
      <c r="B3831" t="str">
        <f>IFERROR(__xludf.DUMMYFUNCTION("""COMPUTED_VALUE"""),"Chicken Or Turkey And Noodles No Sauce")</f>
        <v>Chicken Or Turkey And Noodles No Sauce</v>
      </c>
      <c r="C3831" t="str">
        <f>IFERROR(__xludf.DUMMYFUNCTION("""COMPUTED_VALUE"""),"Meats")</f>
        <v>Meats</v>
      </c>
      <c r="D3831">
        <f>IFERROR(__xludf.DUMMYFUNCTION("""COMPUTED_VALUE"""),148.0)</f>
        <v>148</v>
      </c>
      <c r="E3831">
        <f>IFERROR(__xludf.DUMMYFUNCTION("""COMPUTED_VALUE"""),6.14)</f>
        <v>6.14</v>
      </c>
      <c r="F3831">
        <f>IFERROR(__xludf.DUMMYFUNCTION("""COMPUTED_VALUE"""),7.73)</f>
        <v>7.73</v>
      </c>
      <c r="G3831">
        <f>IFERROR(__xludf.DUMMYFUNCTION("""COMPUTED_VALUE"""),15.47)</f>
        <v>15.47</v>
      </c>
    </row>
    <row r="3832">
      <c r="A3832">
        <f>IFERROR(__xludf.DUMMYFUNCTION("""COMPUTED_VALUE"""),783017.0)</f>
        <v>783017</v>
      </c>
      <c r="B3832" t="str">
        <f>IFERROR(__xludf.DUMMYFUNCTION("""COMPUTED_VALUE"""),"Chicken Or Turkey And Noodles With Gravy")</f>
        <v>Chicken Or Turkey And Noodles With Gravy</v>
      </c>
      <c r="C3832" t="str">
        <f>IFERROR(__xludf.DUMMYFUNCTION("""COMPUTED_VALUE"""),"Meats")</f>
        <v>Meats</v>
      </c>
      <c r="D3832">
        <f>IFERROR(__xludf.DUMMYFUNCTION("""COMPUTED_VALUE"""),140.0)</f>
        <v>140</v>
      </c>
      <c r="E3832">
        <f>IFERROR(__xludf.DUMMYFUNCTION("""COMPUTED_VALUE"""),5.67)</f>
        <v>5.67</v>
      </c>
      <c r="F3832">
        <f>IFERROR(__xludf.DUMMYFUNCTION("""COMPUTED_VALUE"""),6.99)</f>
        <v>6.99</v>
      </c>
      <c r="G3832">
        <f>IFERROR(__xludf.DUMMYFUNCTION("""COMPUTED_VALUE"""),15.23)</f>
        <v>15.23</v>
      </c>
    </row>
    <row r="3833">
      <c r="A3833">
        <f>IFERROR(__xludf.DUMMYFUNCTION("""COMPUTED_VALUE"""),783018.0)</f>
        <v>783018</v>
      </c>
      <c r="B3833" t="str">
        <f>IFERROR(__xludf.DUMMYFUNCTION("""COMPUTED_VALUE"""),"Chicken Or Turkey And Noodles With Mushroom Sauce")</f>
        <v>Chicken Or Turkey And Noodles With Mushroom Sauce</v>
      </c>
      <c r="C3833" t="str">
        <f>IFERROR(__xludf.DUMMYFUNCTION("""COMPUTED_VALUE"""),"Meats")</f>
        <v>Meats</v>
      </c>
      <c r="D3833">
        <f>IFERROR(__xludf.DUMMYFUNCTION("""COMPUTED_VALUE"""),136.0)</f>
        <v>136</v>
      </c>
      <c r="E3833">
        <f>IFERROR(__xludf.DUMMYFUNCTION("""COMPUTED_VALUE"""),5.45)</f>
        <v>5.45</v>
      </c>
      <c r="F3833">
        <f>IFERROR(__xludf.DUMMYFUNCTION("""COMPUTED_VALUE"""),6.91)</f>
        <v>6.91</v>
      </c>
      <c r="G3833">
        <f>IFERROR(__xludf.DUMMYFUNCTION("""COMPUTED_VALUE"""),14.87)</f>
        <v>14.87</v>
      </c>
    </row>
    <row r="3834">
      <c r="A3834">
        <f>IFERROR(__xludf.DUMMYFUNCTION("""COMPUTED_VALUE"""),783019.0)</f>
        <v>783019</v>
      </c>
      <c r="B3834" t="str">
        <f>IFERROR(__xludf.DUMMYFUNCTION("""COMPUTED_VALUE"""),"Chicken Or Turkey And Noodles With Cream Or White Sauce")</f>
        <v>Chicken Or Turkey And Noodles With Cream Or White Sauce</v>
      </c>
      <c r="C3834" t="str">
        <f>IFERROR(__xludf.DUMMYFUNCTION("""COMPUTED_VALUE"""),"Meats")</f>
        <v>Meats</v>
      </c>
      <c r="D3834">
        <f>IFERROR(__xludf.DUMMYFUNCTION("""COMPUTED_VALUE"""),141.0)</f>
        <v>141</v>
      </c>
      <c r="E3834">
        <f>IFERROR(__xludf.DUMMYFUNCTION("""COMPUTED_VALUE"""),5.64)</f>
        <v>5.64</v>
      </c>
      <c r="F3834">
        <f>IFERROR(__xludf.DUMMYFUNCTION("""COMPUTED_VALUE"""),7.39)</f>
        <v>7.39</v>
      </c>
      <c r="G3834">
        <f>IFERROR(__xludf.DUMMYFUNCTION("""COMPUTED_VALUE"""),15.22)</f>
        <v>15.22</v>
      </c>
    </row>
    <row r="3835">
      <c r="A3835">
        <f>IFERROR(__xludf.DUMMYFUNCTION("""COMPUTED_VALUE"""),783020.0)</f>
        <v>783020</v>
      </c>
      <c r="B3835" t="str">
        <f>IFERROR(__xludf.DUMMYFUNCTION("""COMPUTED_VALUE"""),"Chicken Or Turkey And Noodles With Cheese Sauce")</f>
        <v>Chicken Or Turkey And Noodles With Cheese Sauce</v>
      </c>
      <c r="C3835" t="str">
        <f>IFERROR(__xludf.DUMMYFUNCTION("""COMPUTED_VALUE"""),"Meats")</f>
        <v>Meats</v>
      </c>
      <c r="D3835">
        <f>IFERROR(__xludf.DUMMYFUNCTION("""COMPUTED_VALUE"""),146.0)</f>
        <v>146</v>
      </c>
      <c r="E3835">
        <f>IFERROR(__xludf.DUMMYFUNCTION("""COMPUTED_VALUE"""),6.16)</f>
        <v>6.16</v>
      </c>
      <c r="F3835">
        <f>IFERROR(__xludf.DUMMYFUNCTION("""COMPUTED_VALUE"""),8.95)</f>
        <v>8.95</v>
      </c>
      <c r="G3835">
        <f>IFERROR(__xludf.DUMMYFUNCTION("""COMPUTED_VALUE"""),13.56)</f>
        <v>13.56</v>
      </c>
    </row>
    <row r="3836">
      <c r="A3836">
        <f>IFERROR(__xludf.DUMMYFUNCTION("""COMPUTED_VALUE"""),783021.0)</f>
        <v>783021</v>
      </c>
      <c r="B3836" t="str">
        <f>IFERROR(__xludf.DUMMYFUNCTION("""COMPUTED_VALUE"""),"Chicken Or Turkey Tetrazzini")</f>
        <v>Chicken Or Turkey Tetrazzini</v>
      </c>
      <c r="C3836" t="str">
        <f>IFERROR(__xludf.DUMMYFUNCTION("""COMPUTED_VALUE"""),"Meats")</f>
        <v>Meats</v>
      </c>
      <c r="D3836">
        <f>IFERROR(__xludf.DUMMYFUNCTION("""COMPUTED_VALUE"""),118.0)</f>
        <v>118</v>
      </c>
      <c r="E3836">
        <f>IFERROR(__xludf.DUMMYFUNCTION("""COMPUTED_VALUE"""),4.78)</f>
        <v>4.78</v>
      </c>
      <c r="F3836">
        <f>IFERROR(__xludf.DUMMYFUNCTION("""COMPUTED_VALUE"""),11.96)</f>
        <v>11.96</v>
      </c>
      <c r="G3836">
        <f>IFERROR(__xludf.DUMMYFUNCTION("""COMPUTED_VALUE"""),6.96)</f>
        <v>6.96</v>
      </c>
    </row>
    <row r="3837">
      <c r="A3837">
        <f>IFERROR(__xludf.DUMMYFUNCTION("""COMPUTED_VALUE"""),783022.0)</f>
        <v>783022</v>
      </c>
      <c r="B3837" t="str">
        <f>IFERROR(__xludf.DUMMYFUNCTION("""COMPUTED_VALUE"""),"Chicken Or Turkey And Noodles With Tomato-Based Sauce")</f>
        <v>Chicken Or Turkey And Noodles With Tomato-Based Sauce</v>
      </c>
      <c r="C3837" t="str">
        <f>IFERROR(__xludf.DUMMYFUNCTION("""COMPUTED_VALUE"""),"Meats")</f>
        <v>Meats</v>
      </c>
      <c r="D3837">
        <f>IFERROR(__xludf.DUMMYFUNCTION("""COMPUTED_VALUE"""),136.0)</f>
        <v>136</v>
      </c>
      <c r="E3837">
        <f>IFERROR(__xludf.DUMMYFUNCTION("""COMPUTED_VALUE"""),5.44)</f>
        <v>5.44</v>
      </c>
      <c r="F3837">
        <f>IFERROR(__xludf.DUMMYFUNCTION("""COMPUTED_VALUE"""),7.12)</f>
        <v>7.12</v>
      </c>
      <c r="G3837">
        <f>IFERROR(__xludf.DUMMYFUNCTION("""COMPUTED_VALUE"""),15.17)</f>
        <v>15.17</v>
      </c>
    </row>
    <row r="3838">
      <c r="A3838">
        <f>IFERROR(__xludf.DUMMYFUNCTION("""COMPUTED_VALUE"""),783024.0)</f>
        <v>783024</v>
      </c>
      <c r="B3838" t="str">
        <f>IFERROR(__xludf.DUMMYFUNCTION("""COMPUTED_VALUE"""),"Chicken Or Turkey And Rice No Sauce")</f>
        <v>Chicken Or Turkey And Rice No Sauce</v>
      </c>
      <c r="C3838" t="str">
        <f>IFERROR(__xludf.DUMMYFUNCTION("""COMPUTED_VALUE"""),"Meats")</f>
        <v>Meats</v>
      </c>
      <c r="D3838">
        <f>IFERROR(__xludf.DUMMYFUNCTION("""COMPUTED_VALUE"""),148.0)</f>
        <v>148</v>
      </c>
      <c r="E3838">
        <f>IFERROR(__xludf.DUMMYFUNCTION("""COMPUTED_VALUE"""),5.84)</f>
        <v>5.84</v>
      </c>
      <c r="F3838">
        <f>IFERROR(__xludf.DUMMYFUNCTION("""COMPUTED_VALUE"""),6.46)</f>
        <v>6.46</v>
      </c>
      <c r="G3838">
        <f>IFERROR(__xludf.DUMMYFUNCTION("""COMPUTED_VALUE"""),16.97)</f>
        <v>16.97</v>
      </c>
    </row>
    <row r="3839">
      <c r="A3839">
        <f>IFERROR(__xludf.DUMMYFUNCTION("""COMPUTED_VALUE"""),783026.0)</f>
        <v>783026</v>
      </c>
      <c r="B3839" t="str">
        <f>IFERROR(__xludf.DUMMYFUNCTION("""COMPUTED_VALUE"""),"Chicken Or Turkey And Rice With Cream Sauce")</f>
        <v>Chicken Or Turkey And Rice With Cream Sauce</v>
      </c>
      <c r="C3839" t="str">
        <f>IFERROR(__xludf.DUMMYFUNCTION("""COMPUTED_VALUE"""),"Meats")</f>
        <v>Meats</v>
      </c>
      <c r="D3839">
        <f>IFERROR(__xludf.DUMMYFUNCTION("""COMPUTED_VALUE"""),136.0)</f>
        <v>136</v>
      </c>
      <c r="E3839">
        <f>IFERROR(__xludf.DUMMYFUNCTION("""COMPUTED_VALUE"""),5.87)</f>
        <v>5.87</v>
      </c>
      <c r="F3839">
        <f>IFERROR(__xludf.DUMMYFUNCTION("""COMPUTED_VALUE"""),8.1)</f>
        <v>8.1</v>
      </c>
      <c r="G3839">
        <f>IFERROR(__xludf.DUMMYFUNCTION("""COMPUTED_VALUE"""),12.77)</f>
        <v>12.77</v>
      </c>
    </row>
    <row r="3840">
      <c r="A3840">
        <f>IFERROR(__xludf.DUMMYFUNCTION("""COMPUTED_VALUE"""),783027.0)</f>
        <v>783027</v>
      </c>
      <c r="B3840" t="str">
        <f>IFERROR(__xludf.DUMMYFUNCTION("""COMPUTED_VALUE"""),"Chicken Or Turkey And Rice With Mushroom Sauce")</f>
        <v>Chicken Or Turkey And Rice With Mushroom Sauce</v>
      </c>
      <c r="C3840" t="str">
        <f>IFERROR(__xludf.DUMMYFUNCTION("""COMPUTED_VALUE"""),"Meats")</f>
        <v>Meats</v>
      </c>
      <c r="D3840">
        <f>IFERROR(__xludf.DUMMYFUNCTION("""COMPUTED_VALUE"""),135.0)</f>
        <v>135</v>
      </c>
      <c r="E3840">
        <f>IFERROR(__xludf.DUMMYFUNCTION("""COMPUTED_VALUE"""),5.47)</f>
        <v>5.47</v>
      </c>
      <c r="F3840">
        <f>IFERROR(__xludf.DUMMYFUNCTION("""COMPUTED_VALUE"""),5.66)</f>
        <v>5.66</v>
      </c>
      <c r="G3840">
        <f>IFERROR(__xludf.DUMMYFUNCTION("""COMPUTED_VALUE"""),15.44)</f>
        <v>15.44</v>
      </c>
    </row>
    <row r="3841">
      <c r="A3841">
        <f>IFERROR(__xludf.DUMMYFUNCTION("""COMPUTED_VALUE"""),783028.0)</f>
        <v>783028</v>
      </c>
      <c r="B3841" t="str">
        <f>IFERROR(__xludf.DUMMYFUNCTION("""COMPUTED_VALUE"""),"Chicken Or Turkey And Rice With Tomato-Based Sauce")</f>
        <v>Chicken Or Turkey And Rice With Tomato-Based Sauce</v>
      </c>
      <c r="C3841" t="str">
        <f>IFERROR(__xludf.DUMMYFUNCTION("""COMPUTED_VALUE"""),"Meats")</f>
        <v>Meats</v>
      </c>
      <c r="D3841">
        <f>IFERROR(__xludf.DUMMYFUNCTION("""COMPUTED_VALUE"""),141.0)</f>
        <v>141</v>
      </c>
      <c r="E3841">
        <f>IFERROR(__xludf.DUMMYFUNCTION("""COMPUTED_VALUE"""),6.18)</f>
        <v>6.18</v>
      </c>
      <c r="F3841">
        <f>IFERROR(__xludf.DUMMYFUNCTION("""COMPUTED_VALUE"""),5.72)</f>
        <v>5.72</v>
      </c>
      <c r="G3841">
        <f>IFERROR(__xludf.DUMMYFUNCTION("""COMPUTED_VALUE"""),15.66)</f>
        <v>15.66</v>
      </c>
    </row>
    <row r="3842">
      <c r="A3842">
        <f>IFERROR(__xludf.DUMMYFUNCTION("""COMPUTED_VALUE"""),783030.0)</f>
        <v>783030</v>
      </c>
      <c r="B3842" t="str">
        <f>IFERROR(__xludf.DUMMYFUNCTION("""COMPUTED_VALUE"""),"Chicken In Cheese Sauce With Spanish Rice")</f>
        <v>Chicken In Cheese Sauce With Spanish Rice</v>
      </c>
      <c r="C3842" t="str">
        <f>IFERROR(__xludf.DUMMYFUNCTION("""COMPUTED_VALUE"""),"Meats")</f>
        <v>Meats</v>
      </c>
      <c r="D3842">
        <f>IFERROR(__xludf.DUMMYFUNCTION("""COMPUTED_VALUE"""),160.0)</f>
        <v>160</v>
      </c>
      <c r="E3842">
        <f>IFERROR(__xludf.DUMMYFUNCTION("""COMPUTED_VALUE"""),7.7)</f>
        <v>7.7</v>
      </c>
      <c r="F3842">
        <f>IFERROR(__xludf.DUMMYFUNCTION("""COMPUTED_VALUE"""),9.72)</f>
        <v>9.72</v>
      </c>
      <c r="G3842">
        <f>IFERROR(__xludf.DUMMYFUNCTION("""COMPUTED_VALUE"""),12.82)</f>
        <v>12.82</v>
      </c>
    </row>
    <row r="3843">
      <c r="A3843">
        <f>IFERROR(__xludf.DUMMYFUNCTION("""COMPUTED_VALUE"""),783031.0)</f>
        <v>783031</v>
      </c>
      <c r="B3843" t="str">
        <f>IFERROR(__xludf.DUMMYFUNCTION("""COMPUTED_VALUE"""),"Chicken Or Turkey With Dumplings")</f>
        <v>Chicken Or Turkey With Dumplings</v>
      </c>
      <c r="C3843" t="str">
        <f>IFERROR(__xludf.DUMMYFUNCTION("""COMPUTED_VALUE"""),"Meats")</f>
        <v>Meats</v>
      </c>
      <c r="D3843">
        <f>IFERROR(__xludf.DUMMYFUNCTION("""COMPUTED_VALUE"""),144.0)</f>
        <v>144</v>
      </c>
      <c r="E3843">
        <f>IFERROR(__xludf.DUMMYFUNCTION("""COMPUTED_VALUE"""),5.49)</f>
        <v>5.49</v>
      </c>
      <c r="F3843">
        <f>IFERROR(__xludf.DUMMYFUNCTION("""COMPUTED_VALUE"""),15.63)</f>
        <v>15.63</v>
      </c>
      <c r="G3843">
        <f>IFERROR(__xludf.DUMMYFUNCTION("""COMPUTED_VALUE"""),7.94)</f>
        <v>7.94</v>
      </c>
    </row>
    <row r="3844">
      <c r="A3844">
        <f>IFERROR(__xludf.DUMMYFUNCTION("""COMPUTED_VALUE"""),783032.0)</f>
        <v>783032</v>
      </c>
      <c r="B3844" t="str">
        <f>IFERROR(__xludf.DUMMYFUNCTION("""COMPUTED_VALUE"""),"Chicken Or Turkey With Stuffing")</f>
        <v>Chicken Or Turkey With Stuffing</v>
      </c>
      <c r="C3844" t="str">
        <f>IFERROR(__xludf.DUMMYFUNCTION("""COMPUTED_VALUE"""),"Meats")</f>
        <v>Meats</v>
      </c>
      <c r="D3844">
        <f>IFERROR(__xludf.DUMMYFUNCTION("""COMPUTED_VALUE"""),172.0)</f>
        <v>172</v>
      </c>
      <c r="E3844">
        <f>IFERROR(__xludf.DUMMYFUNCTION("""COMPUTED_VALUE"""),4.88)</f>
        <v>4.88</v>
      </c>
      <c r="F3844">
        <f>IFERROR(__xludf.DUMMYFUNCTION("""COMPUTED_VALUE"""),20.04)</f>
        <v>20.04</v>
      </c>
      <c r="G3844">
        <f>IFERROR(__xludf.DUMMYFUNCTION("""COMPUTED_VALUE"""),11.74)</f>
        <v>11.74</v>
      </c>
    </row>
    <row r="3845">
      <c r="A3845">
        <f>IFERROR(__xludf.DUMMYFUNCTION("""COMPUTED_VALUE"""),783033.0)</f>
        <v>783033</v>
      </c>
      <c r="B3845" t="str">
        <f>IFERROR(__xludf.DUMMYFUNCTION("""COMPUTED_VALUE"""),"Chicken Or Turkey Cake Patty Or Croquette")</f>
        <v>Chicken Or Turkey Cake Patty Or Croquette</v>
      </c>
      <c r="C3845" t="str">
        <f>IFERROR(__xludf.DUMMYFUNCTION("""COMPUTED_VALUE"""),"Meats")</f>
        <v>Meats</v>
      </c>
      <c r="D3845">
        <f>IFERROR(__xludf.DUMMYFUNCTION("""COMPUTED_VALUE"""),262.0)</f>
        <v>262</v>
      </c>
      <c r="E3845">
        <f>IFERROR(__xludf.DUMMYFUNCTION("""COMPUTED_VALUE"""),18.7)</f>
        <v>18.7</v>
      </c>
      <c r="F3845">
        <f>IFERROR(__xludf.DUMMYFUNCTION("""COMPUTED_VALUE"""),20.85)</f>
        <v>20.85</v>
      </c>
      <c r="G3845">
        <f>IFERROR(__xludf.DUMMYFUNCTION("""COMPUTED_VALUE"""),2.56)</f>
        <v>2.56</v>
      </c>
    </row>
    <row r="3846">
      <c r="A3846">
        <f>IFERROR(__xludf.DUMMYFUNCTION("""COMPUTED_VALUE"""),783035.0)</f>
        <v>783035</v>
      </c>
      <c r="B3846" t="str">
        <f>IFERROR(__xludf.DUMMYFUNCTION("""COMPUTED_VALUE"""),"Meat Loaf Made With Chicken Or Turkey")</f>
        <v>Meat Loaf Made With Chicken Or Turkey</v>
      </c>
      <c r="C3846" t="str">
        <f>IFERROR(__xludf.DUMMYFUNCTION("""COMPUTED_VALUE"""),"Meats")</f>
        <v>Meats</v>
      </c>
      <c r="D3846">
        <f>IFERROR(__xludf.DUMMYFUNCTION("""COMPUTED_VALUE"""),172.0)</f>
        <v>172</v>
      </c>
      <c r="E3846">
        <f>IFERROR(__xludf.DUMMYFUNCTION("""COMPUTED_VALUE"""),7.19)</f>
        <v>7.19</v>
      </c>
      <c r="F3846">
        <f>IFERROR(__xludf.DUMMYFUNCTION("""COMPUTED_VALUE"""),18.71)</f>
        <v>18.71</v>
      </c>
      <c r="G3846">
        <f>IFERROR(__xludf.DUMMYFUNCTION("""COMPUTED_VALUE"""),8.11)</f>
        <v>8.11</v>
      </c>
    </row>
    <row r="3847">
      <c r="A3847">
        <f>IFERROR(__xludf.DUMMYFUNCTION("""COMPUTED_VALUE"""),783036.0)</f>
        <v>783036</v>
      </c>
      <c r="B3847" t="str">
        <f>IFERROR(__xludf.DUMMYFUNCTION("""COMPUTED_VALUE"""),"Meat Loaf Made With Chicken Or Turkey With Tomato-Based Sauce")</f>
        <v>Meat Loaf Made With Chicken Or Turkey With Tomato-Based Sauce</v>
      </c>
      <c r="C3847" t="str">
        <f>IFERROR(__xludf.DUMMYFUNCTION("""COMPUTED_VALUE"""),"Meats")</f>
        <v>Meats</v>
      </c>
      <c r="D3847">
        <f>IFERROR(__xludf.DUMMYFUNCTION("""COMPUTED_VALUE"""),145.0)</f>
        <v>145</v>
      </c>
      <c r="E3847">
        <f>IFERROR(__xludf.DUMMYFUNCTION("""COMPUTED_VALUE"""),6.14)</f>
        <v>6.14</v>
      </c>
      <c r="F3847">
        <f>IFERROR(__xludf.DUMMYFUNCTION("""COMPUTED_VALUE"""),15.41)</f>
        <v>15.41</v>
      </c>
      <c r="G3847">
        <f>IFERROR(__xludf.DUMMYFUNCTION("""COMPUTED_VALUE"""),7.3)</f>
        <v>7.3</v>
      </c>
    </row>
    <row r="3848">
      <c r="A3848">
        <f>IFERROR(__xludf.DUMMYFUNCTION("""COMPUTED_VALUE"""),783037.0)</f>
        <v>783037</v>
      </c>
      <c r="B3848" t="str">
        <f>IFERROR(__xludf.DUMMYFUNCTION("""COMPUTED_VALUE"""),"Clams Stuffed")</f>
        <v>Clams Stuffed</v>
      </c>
      <c r="C3848" t="str">
        <f>IFERROR(__xludf.DUMMYFUNCTION("""COMPUTED_VALUE"""),"Fish")</f>
        <v>Fish</v>
      </c>
      <c r="D3848">
        <f>IFERROR(__xludf.DUMMYFUNCTION("""COMPUTED_VALUE"""),200.0)</f>
        <v>200</v>
      </c>
      <c r="E3848">
        <f>IFERROR(__xludf.DUMMYFUNCTION("""COMPUTED_VALUE"""),11.2)</f>
        <v>11.2</v>
      </c>
      <c r="F3848">
        <f>IFERROR(__xludf.DUMMYFUNCTION("""COMPUTED_VALUE"""),11.85)</f>
        <v>11.85</v>
      </c>
      <c r="G3848">
        <f>IFERROR(__xludf.DUMMYFUNCTION("""COMPUTED_VALUE"""),12.92)</f>
        <v>12.92</v>
      </c>
    </row>
    <row r="3849">
      <c r="A3849">
        <f>IFERROR(__xludf.DUMMYFUNCTION("""COMPUTED_VALUE"""),783038.0)</f>
        <v>783038</v>
      </c>
      <c r="B3849" t="str">
        <f>IFERROR(__xludf.DUMMYFUNCTION("""COMPUTED_VALUE"""),"Codfish Ball Or Cake")</f>
        <v>Codfish Ball Or Cake</v>
      </c>
      <c r="C3849" t="str">
        <f>IFERROR(__xludf.DUMMYFUNCTION("""COMPUTED_VALUE"""),"Fish")</f>
        <v>Fish</v>
      </c>
      <c r="D3849">
        <f>IFERROR(__xludf.DUMMYFUNCTION("""COMPUTED_VALUE"""),178.0)</f>
        <v>178</v>
      </c>
      <c r="E3849">
        <f>IFERROR(__xludf.DUMMYFUNCTION("""COMPUTED_VALUE"""),7.39)</f>
        <v>7.39</v>
      </c>
      <c r="F3849">
        <f>IFERROR(__xludf.DUMMYFUNCTION("""COMPUTED_VALUE"""),14.29)</f>
        <v>14.29</v>
      </c>
      <c r="G3849">
        <f>IFERROR(__xludf.DUMMYFUNCTION("""COMPUTED_VALUE"""),12.95)</f>
        <v>12.95</v>
      </c>
    </row>
    <row r="3850">
      <c r="A3850">
        <f>IFERROR(__xludf.DUMMYFUNCTION("""COMPUTED_VALUE"""),783039.0)</f>
        <v>783039</v>
      </c>
      <c r="B3850" t="str">
        <f>IFERROR(__xludf.DUMMYFUNCTION("""COMPUTED_VALUE"""),"Crab Cake")</f>
        <v>Crab Cake</v>
      </c>
      <c r="C3850" t="str">
        <f>IFERROR(__xludf.DUMMYFUNCTION("""COMPUTED_VALUE"""),"Fish")</f>
        <v>Fish</v>
      </c>
      <c r="D3850">
        <f>IFERROR(__xludf.DUMMYFUNCTION("""COMPUTED_VALUE"""),205.0)</f>
        <v>205</v>
      </c>
      <c r="E3850">
        <f>IFERROR(__xludf.DUMMYFUNCTION("""COMPUTED_VALUE"""),14.75)</f>
        <v>14.75</v>
      </c>
      <c r="F3850">
        <f>IFERROR(__xludf.DUMMYFUNCTION("""COMPUTED_VALUE"""),14.57)</f>
        <v>14.57</v>
      </c>
      <c r="G3850">
        <f>IFERROR(__xludf.DUMMYFUNCTION("""COMPUTED_VALUE"""),2.58)</f>
        <v>2.58</v>
      </c>
    </row>
    <row r="3851">
      <c r="A3851">
        <f>IFERROR(__xludf.DUMMYFUNCTION("""COMPUTED_VALUE"""),783040.0)</f>
        <v>783040</v>
      </c>
      <c r="B3851" t="str">
        <f>IFERROR(__xludf.DUMMYFUNCTION("""COMPUTED_VALUE"""),"Fish Cake Or Patty Ns As To Fish")</f>
        <v>Fish Cake Or Patty Ns As To Fish</v>
      </c>
      <c r="C3851" t="str">
        <f>IFERROR(__xludf.DUMMYFUNCTION("""COMPUTED_VALUE"""),"Fish")</f>
        <v>Fish</v>
      </c>
      <c r="D3851">
        <f>IFERROR(__xludf.DUMMYFUNCTION("""COMPUTED_VALUE"""),204.0)</f>
        <v>204</v>
      </c>
      <c r="E3851">
        <f>IFERROR(__xludf.DUMMYFUNCTION("""COMPUTED_VALUE"""),10.66)</f>
        <v>10.66</v>
      </c>
      <c r="F3851">
        <f>IFERROR(__xludf.DUMMYFUNCTION("""COMPUTED_VALUE"""),13.9)</f>
        <v>13.9</v>
      </c>
      <c r="G3851">
        <f>IFERROR(__xludf.DUMMYFUNCTION("""COMPUTED_VALUE"""),12.63)</f>
        <v>12.63</v>
      </c>
    </row>
    <row r="3852">
      <c r="A3852">
        <f>IFERROR(__xludf.DUMMYFUNCTION("""COMPUTED_VALUE"""),783041.0)</f>
        <v>783041</v>
      </c>
      <c r="B3852" t="str">
        <f>IFERROR(__xludf.DUMMYFUNCTION("""COMPUTED_VALUE"""),"Gefilte Fish")</f>
        <v>Gefilte Fish</v>
      </c>
      <c r="C3852" t="str">
        <f>IFERROR(__xludf.DUMMYFUNCTION("""COMPUTED_VALUE"""),"Fish")</f>
        <v>Fish</v>
      </c>
      <c r="D3852">
        <f>IFERROR(__xludf.DUMMYFUNCTION("""COMPUTED_VALUE"""),113.0)</f>
        <v>113</v>
      </c>
      <c r="E3852">
        <f>IFERROR(__xludf.DUMMYFUNCTION("""COMPUTED_VALUE"""),3.8)</f>
        <v>3.8</v>
      </c>
      <c r="F3852">
        <f>IFERROR(__xludf.DUMMYFUNCTION("""COMPUTED_VALUE"""),17.52)</f>
        <v>17.52</v>
      </c>
      <c r="G3852">
        <f>IFERROR(__xludf.DUMMYFUNCTION("""COMPUTED_VALUE"""),1.03)</f>
        <v>1.03</v>
      </c>
    </row>
    <row r="3853">
      <c r="A3853">
        <f>IFERROR(__xludf.DUMMYFUNCTION("""COMPUTED_VALUE"""),783042.0)</f>
        <v>783042</v>
      </c>
      <c r="B3853" t="str">
        <f>IFERROR(__xludf.DUMMYFUNCTION("""COMPUTED_VALUE"""),"Salmon Cake Or Patty")</f>
        <v>Salmon Cake Or Patty</v>
      </c>
      <c r="C3853" t="str">
        <f>IFERROR(__xludf.DUMMYFUNCTION("""COMPUTED_VALUE"""),"Fish")</f>
        <v>Fish</v>
      </c>
      <c r="D3853">
        <f>IFERROR(__xludf.DUMMYFUNCTION("""COMPUTED_VALUE"""),246.0)</f>
        <v>246</v>
      </c>
      <c r="E3853">
        <f>IFERROR(__xludf.DUMMYFUNCTION("""COMPUTED_VALUE"""),18.16)</f>
        <v>18.16</v>
      </c>
      <c r="F3853">
        <f>IFERROR(__xludf.DUMMYFUNCTION("""COMPUTED_VALUE"""),17.12)</f>
        <v>17.12</v>
      </c>
      <c r="G3853">
        <f>IFERROR(__xludf.DUMMYFUNCTION("""COMPUTED_VALUE"""),2.58)</f>
        <v>2.58</v>
      </c>
    </row>
    <row r="3854">
      <c r="A3854">
        <f>IFERROR(__xludf.DUMMYFUNCTION("""COMPUTED_VALUE"""),783043.0)</f>
        <v>783043</v>
      </c>
      <c r="B3854" t="str">
        <f>IFERROR(__xludf.DUMMYFUNCTION("""COMPUTED_VALUE"""),"Salmon Loaf")</f>
        <v>Salmon Loaf</v>
      </c>
      <c r="C3854" t="str">
        <f>IFERROR(__xludf.DUMMYFUNCTION("""COMPUTED_VALUE"""),"Fish")</f>
        <v>Fish</v>
      </c>
      <c r="D3854">
        <f>IFERROR(__xludf.DUMMYFUNCTION("""COMPUTED_VALUE"""),192.0)</f>
        <v>192</v>
      </c>
      <c r="E3854">
        <f>IFERROR(__xludf.DUMMYFUNCTION("""COMPUTED_VALUE"""),9.89)</f>
        <v>9.89</v>
      </c>
      <c r="F3854">
        <f>IFERROR(__xludf.DUMMYFUNCTION("""COMPUTED_VALUE"""),15.72)</f>
        <v>15.72</v>
      </c>
      <c r="G3854">
        <f>IFERROR(__xludf.DUMMYFUNCTION("""COMPUTED_VALUE"""),9.14)</f>
        <v>9.14</v>
      </c>
    </row>
    <row r="3855">
      <c r="A3855">
        <f>IFERROR(__xludf.DUMMYFUNCTION("""COMPUTED_VALUE"""),783044.0)</f>
        <v>783044</v>
      </c>
      <c r="B3855" t="str">
        <f>IFERROR(__xludf.DUMMYFUNCTION("""COMPUTED_VALUE"""),"Scallops And Noodles With Cheese Sauce")</f>
        <v>Scallops And Noodles With Cheese Sauce</v>
      </c>
      <c r="C3855" t="str">
        <f>IFERROR(__xludf.DUMMYFUNCTION("""COMPUTED_VALUE"""),"Fish")</f>
        <v>Fish</v>
      </c>
      <c r="D3855">
        <f>IFERROR(__xludf.DUMMYFUNCTION("""COMPUTED_VALUE"""),145.0)</f>
        <v>145</v>
      </c>
      <c r="E3855">
        <f>IFERROR(__xludf.DUMMYFUNCTION("""COMPUTED_VALUE"""),5.64)</f>
        <v>5.64</v>
      </c>
      <c r="F3855">
        <f>IFERROR(__xludf.DUMMYFUNCTION("""COMPUTED_VALUE"""),8.46)</f>
        <v>8.46</v>
      </c>
      <c r="G3855">
        <f>IFERROR(__xludf.DUMMYFUNCTION("""COMPUTED_VALUE"""),15.05)</f>
        <v>15.05</v>
      </c>
    </row>
    <row r="3856">
      <c r="A3856">
        <f>IFERROR(__xludf.DUMMYFUNCTION("""COMPUTED_VALUE"""),783045.0)</f>
        <v>783045</v>
      </c>
      <c r="B3856" t="str">
        <f>IFERROR(__xludf.DUMMYFUNCTION("""COMPUTED_VALUE"""),"Shrimp And Noodles No Sauce")</f>
        <v>Shrimp And Noodles No Sauce</v>
      </c>
      <c r="C3856" t="str">
        <f>IFERROR(__xludf.DUMMYFUNCTION("""COMPUTED_VALUE"""),"Fish")</f>
        <v>Fish</v>
      </c>
      <c r="D3856">
        <f>IFERROR(__xludf.DUMMYFUNCTION("""COMPUTED_VALUE"""),146.0)</f>
        <v>146</v>
      </c>
      <c r="E3856">
        <f>IFERROR(__xludf.DUMMYFUNCTION("""COMPUTED_VALUE"""),5.5)</f>
        <v>5.5</v>
      </c>
      <c r="F3856">
        <f>IFERROR(__xludf.DUMMYFUNCTION("""COMPUTED_VALUE"""),7.3)</f>
        <v>7.3</v>
      </c>
      <c r="G3856">
        <f>IFERROR(__xludf.DUMMYFUNCTION("""COMPUTED_VALUE"""),16.43)</f>
        <v>16.43</v>
      </c>
    </row>
    <row r="3857">
      <c r="A3857">
        <f>IFERROR(__xludf.DUMMYFUNCTION("""COMPUTED_VALUE"""),783046.0)</f>
        <v>783046</v>
      </c>
      <c r="B3857" t="str">
        <f>IFERROR(__xludf.DUMMYFUNCTION("""COMPUTED_VALUE"""),"Shrimp And Noodles With Gravy")</f>
        <v>Shrimp And Noodles With Gravy</v>
      </c>
      <c r="C3857" t="str">
        <f>IFERROR(__xludf.DUMMYFUNCTION("""COMPUTED_VALUE"""),"Fish")</f>
        <v>Fish</v>
      </c>
      <c r="D3857">
        <f>IFERROR(__xludf.DUMMYFUNCTION("""COMPUTED_VALUE"""),130.0)</f>
        <v>130</v>
      </c>
      <c r="E3857">
        <f>IFERROR(__xludf.DUMMYFUNCTION("""COMPUTED_VALUE"""),5.18)</f>
        <v>5.18</v>
      </c>
      <c r="F3857">
        <f>IFERROR(__xludf.DUMMYFUNCTION("""COMPUTED_VALUE"""),6.02)</f>
        <v>6.02</v>
      </c>
      <c r="G3857">
        <f>IFERROR(__xludf.DUMMYFUNCTION("""COMPUTED_VALUE"""),14.7)</f>
        <v>14.7</v>
      </c>
    </row>
    <row r="3858">
      <c r="A3858">
        <f>IFERROR(__xludf.DUMMYFUNCTION("""COMPUTED_VALUE"""),783047.0)</f>
        <v>783047</v>
      </c>
      <c r="B3858" t="str">
        <f>IFERROR(__xludf.DUMMYFUNCTION("""COMPUTED_VALUE"""),"Shrimp And Noodles With Mushroom Sauce")</f>
        <v>Shrimp And Noodles With Mushroom Sauce</v>
      </c>
      <c r="C3858" t="str">
        <f>IFERROR(__xludf.DUMMYFUNCTION("""COMPUTED_VALUE"""),"Fish")</f>
        <v>Fish</v>
      </c>
      <c r="D3858">
        <f>IFERROR(__xludf.DUMMYFUNCTION("""COMPUTED_VALUE"""),133.0)</f>
        <v>133</v>
      </c>
      <c r="E3858">
        <f>IFERROR(__xludf.DUMMYFUNCTION("""COMPUTED_VALUE"""),5.24)</f>
        <v>5.24</v>
      </c>
      <c r="F3858">
        <f>IFERROR(__xludf.DUMMYFUNCTION("""COMPUTED_VALUE"""),6.3)</f>
        <v>6.3</v>
      </c>
      <c r="G3858">
        <f>IFERROR(__xludf.DUMMYFUNCTION("""COMPUTED_VALUE"""),15.05)</f>
        <v>15.05</v>
      </c>
    </row>
    <row r="3859">
      <c r="A3859">
        <f>IFERROR(__xludf.DUMMYFUNCTION("""COMPUTED_VALUE"""),783048.0)</f>
        <v>783048</v>
      </c>
      <c r="B3859" t="str">
        <f>IFERROR(__xludf.DUMMYFUNCTION("""COMPUTED_VALUE"""),"Shrimp And Noodles With Cream Or White Sauce")</f>
        <v>Shrimp And Noodles With Cream Or White Sauce</v>
      </c>
      <c r="C3859" t="str">
        <f>IFERROR(__xludf.DUMMYFUNCTION("""COMPUTED_VALUE"""),"Fish")</f>
        <v>Fish</v>
      </c>
      <c r="D3859">
        <f>IFERROR(__xludf.DUMMYFUNCTION("""COMPUTED_VALUE"""),144.0)</f>
        <v>144</v>
      </c>
      <c r="E3859">
        <f>IFERROR(__xludf.DUMMYFUNCTION("""COMPUTED_VALUE"""),5.46)</f>
        <v>5.46</v>
      </c>
      <c r="F3859">
        <f>IFERROR(__xludf.DUMMYFUNCTION("""COMPUTED_VALUE"""),7.14)</f>
        <v>7.14</v>
      </c>
      <c r="G3859">
        <f>IFERROR(__xludf.DUMMYFUNCTION("""COMPUTED_VALUE"""),16.24)</f>
        <v>16.24</v>
      </c>
    </row>
    <row r="3860">
      <c r="A3860">
        <f>IFERROR(__xludf.DUMMYFUNCTION("""COMPUTED_VALUE"""),783050.0)</f>
        <v>783050</v>
      </c>
      <c r="B3860" t="str">
        <f>IFERROR(__xludf.DUMMYFUNCTION("""COMPUTED_VALUE"""),"Shrimp And Noodles With Cheese Sauce")</f>
        <v>Shrimp And Noodles With Cheese Sauce</v>
      </c>
      <c r="C3860" t="str">
        <f>IFERROR(__xludf.DUMMYFUNCTION("""COMPUTED_VALUE"""),"Fish")</f>
        <v>Fish</v>
      </c>
      <c r="D3860">
        <f>IFERROR(__xludf.DUMMYFUNCTION("""COMPUTED_VALUE"""),136.0)</f>
        <v>136</v>
      </c>
      <c r="E3860">
        <f>IFERROR(__xludf.DUMMYFUNCTION("""COMPUTED_VALUE"""),5.37)</f>
        <v>5.37</v>
      </c>
      <c r="F3860">
        <f>IFERROR(__xludf.DUMMYFUNCTION("""COMPUTED_VALUE"""),8.18)</f>
        <v>8.18</v>
      </c>
      <c r="G3860">
        <f>IFERROR(__xludf.DUMMYFUNCTION("""COMPUTED_VALUE"""),13.45)</f>
        <v>13.45</v>
      </c>
    </row>
    <row r="3861">
      <c r="A3861">
        <f>IFERROR(__xludf.DUMMYFUNCTION("""COMPUTED_VALUE"""),783051.0)</f>
        <v>783051</v>
      </c>
      <c r="B3861" t="str">
        <f>IFERROR(__xludf.DUMMYFUNCTION("""COMPUTED_VALUE"""),"Shrimp And Noodles With Tomato Sauce")</f>
        <v>Shrimp And Noodles With Tomato Sauce</v>
      </c>
      <c r="C3861" t="str">
        <f>IFERROR(__xludf.DUMMYFUNCTION("""COMPUTED_VALUE"""),"Fish")</f>
        <v>Fish</v>
      </c>
      <c r="D3861">
        <f>IFERROR(__xludf.DUMMYFUNCTION("""COMPUTED_VALUE"""),134.0)</f>
        <v>134</v>
      </c>
      <c r="E3861">
        <f>IFERROR(__xludf.DUMMYFUNCTION("""COMPUTED_VALUE"""),5.22)</f>
        <v>5.22</v>
      </c>
      <c r="F3861">
        <f>IFERROR(__xludf.DUMMYFUNCTION("""COMPUTED_VALUE"""),6.46)</f>
        <v>6.46</v>
      </c>
      <c r="G3861">
        <f>IFERROR(__xludf.DUMMYFUNCTION("""COMPUTED_VALUE"""),15.39)</f>
        <v>15.39</v>
      </c>
    </row>
    <row r="3862">
      <c r="A3862">
        <f>IFERROR(__xludf.DUMMYFUNCTION("""COMPUTED_VALUE"""),783052.0)</f>
        <v>783052</v>
      </c>
      <c r="B3862" t="str">
        <f>IFERROR(__xludf.DUMMYFUNCTION("""COMPUTED_VALUE"""),"Tuna Loaf")</f>
        <v>Tuna Loaf</v>
      </c>
      <c r="C3862" t="str">
        <f>IFERROR(__xludf.DUMMYFUNCTION("""COMPUTED_VALUE"""),"Fish")</f>
        <v>Fish</v>
      </c>
      <c r="D3862">
        <f>IFERROR(__xludf.DUMMYFUNCTION("""COMPUTED_VALUE"""),232.0)</f>
        <v>232</v>
      </c>
      <c r="E3862">
        <f>IFERROR(__xludf.DUMMYFUNCTION("""COMPUTED_VALUE"""),11.83)</f>
        <v>11.83</v>
      </c>
      <c r="F3862">
        <f>IFERROR(__xludf.DUMMYFUNCTION("""COMPUTED_VALUE"""),20.98)</f>
        <v>20.98</v>
      </c>
      <c r="G3862">
        <f>IFERROR(__xludf.DUMMYFUNCTION("""COMPUTED_VALUE"""),9.35)</f>
        <v>9.35</v>
      </c>
    </row>
    <row r="3863">
      <c r="A3863">
        <f>IFERROR(__xludf.DUMMYFUNCTION("""COMPUTED_VALUE"""),783053.0)</f>
        <v>783053</v>
      </c>
      <c r="B3863" t="str">
        <f>IFERROR(__xludf.DUMMYFUNCTION("""COMPUTED_VALUE"""),"Tuna Cake Or Patty")</f>
        <v>Tuna Cake Or Patty</v>
      </c>
      <c r="C3863" t="str">
        <f>IFERROR(__xludf.DUMMYFUNCTION("""COMPUTED_VALUE"""),"Fish")</f>
        <v>Fish</v>
      </c>
      <c r="D3863">
        <f>IFERROR(__xludf.DUMMYFUNCTION("""COMPUTED_VALUE"""),206.0)</f>
        <v>206</v>
      </c>
      <c r="E3863">
        <f>IFERROR(__xludf.DUMMYFUNCTION("""COMPUTED_VALUE"""),14.89)</f>
        <v>14.89</v>
      </c>
      <c r="F3863">
        <f>IFERROR(__xludf.DUMMYFUNCTION("""COMPUTED_VALUE"""),15.66)</f>
        <v>15.66</v>
      </c>
      <c r="G3863">
        <f>IFERROR(__xludf.DUMMYFUNCTION("""COMPUTED_VALUE"""),2.57)</f>
        <v>2.57</v>
      </c>
    </row>
    <row r="3864">
      <c r="A3864">
        <f>IFERROR(__xludf.DUMMYFUNCTION("""COMPUTED_VALUE"""),783054.0)</f>
        <v>783054</v>
      </c>
      <c r="B3864" t="str">
        <f>IFERROR(__xludf.DUMMYFUNCTION("""COMPUTED_VALUE"""),"Clam Cake Or Patty")</f>
        <v>Clam Cake Or Patty</v>
      </c>
      <c r="C3864" t="str">
        <f>IFERROR(__xludf.DUMMYFUNCTION("""COMPUTED_VALUE"""),"Fish")</f>
        <v>Fish</v>
      </c>
      <c r="D3864">
        <f>IFERROR(__xludf.DUMMYFUNCTION("""COMPUTED_VALUE"""),246.0)</f>
        <v>246</v>
      </c>
      <c r="E3864">
        <f>IFERROR(__xludf.DUMMYFUNCTION("""COMPUTED_VALUE"""),15.31)</f>
        <v>15.31</v>
      </c>
      <c r="F3864">
        <f>IFERROR(__xludf.DUMMYFUNCTION("""COMPUTED_VALUE"""),19.04)</f>
        <v>19.04</v>
      </c>
      <c r="G3864">
        <f>IFERROR(__xludf.DUMMYFUNCTION("""COMPUTED_VALUE"""),6.77)</f>
        <v>6.77</v>
      </c>
    </row>
    <row r="3865">
      <c r="A3865">
        <f>IFERROR(__xludf.DUMMYFUNCTION("""COMPUTED_VALUE"""),783055.0)</f>
        <v>783055</v>
      </c>
      <c r="B3865" t="str">
        <f>IFERROR(__xludf.DUMMYFUNCTION("""COMPUTED_VALUE"""),"Oyster Fritter")</f>
        <v>Oyster Fritter</v>
      </c>
      <c r="C3865" t="str">
        <f>IFERROR(__xludf.DUMMYFUNCTION("""COMPUTED_VALUE"""),"Fish")</f>
        <v>Fish</v>
      </c>
      <c r="D3865">
        <f>IFERROR(__xludf.DUMMYFUNCTION("""COMPUTED_VALUE"""),196.0)</f>
        <v>196</v>
      </c>
      <c r="E3865">
        <f>IFERROR(__xludf.DUMMYFUNCTION("""COMPUTED_VALUE"""),16.22)</f>
        <v>16.22</v>
      </c>
      <c r="F3865">
        <f>IFERROR(__xludf.DUMMYFUNCTION("""COMPUTED_VALUE"""),6.93)</f>
        <v>6.93</v>
      </c>
      <c r="G3865">
        <f>IFERROR(__xludf.DUMMYFUNCTION("""COMPUTED_VALUE"""),5.22)</f>
        <v>5.22</v>
      </c>
    </row>
    <row r="3866">
      <c r="A3866">
        <f>IFERROR(__xludf.DUMMYFUNCTION("""COMPUTED_VALUE"""),783056.0)</f>
        <v>783056</v>
      </c>
      <c r="B3866" t="str">
        <f>IFERROR(__xludf.DUMMYFUNCTION("""COMPUTED_VALUE"""),"Flounder With Crab Stuffing")</f>
        <v>Flounder With Crab Stuffing</v>
      </c>
      <c r="C3866" t="str">
        <f>IFERROR(__xludf.DUMMYFUNCTION("""COMPUTED_VALUE"""),"Fish")</f>
        <v>Fish</v>
      </c>
      <c r="D3866">
        <f>IFERROR(__xludf.DUMMYFUNCTION("""COMPUTED_VALUE"""),136.0)</f>
        <v>136</v>
      </c>
      <c r="E3866">
        <f>IFERROR(__xludf.DUMMYFUNCTION("""COMPUTED_VALUE"""),5.51)</f>
        <v>5.51</v>
      </c>
      <c r="F3866">
        <f>IFERROR(__xludf.DUMMYFUNCTION("""COMPUTED_VALUE"""),15.01)</f>
        <v>15.01</v>
      </c>
      <c r="G3866">
        <f>IFERROR(__xludf.DUMMYFUNCTION("""COMPUTED_VALUE"""),5.74)</f>
        <v>5.74</v>
      </c>
    </row>
    <row r="3867">
      <c r="A3867">
        <f>IFERROR(__xludf.DUMMYFUNCTION("""COMPUTED_VALUE"""),783057.0)</f>
        <v>783057</v>
      </c>
      <c r="B3867" t="str">
        <f>IFERROR(__xludf.DUMMYFUNCTION("""COMPUTED_VALUE"""),"Lobster With Bread Stuffing Baked")</f>
        <v>Lobster With Bread Stuffing Baked</v>
      </c>
      <c r="C3867" t="str">
        <f>IFERROR(__xludf.DUMMYFUNCTION("""COMPUTED_VALUE"""),"Fish")</f>
        <v>Fish</v>
      </c>
      <c r="D3867">
        <f>IFERROR(__xludf.DUMMYFUNCTION("""COMPUTED_VALUE"""),175.0)</f>
        <v>175</v>
      </c>
      <c r="E3867">
        <f>IFERROR(__xludf.DUMMYFUNCTION("""COMPUTED_VALUE"""),8.2)</f>
        <v>8.2</v>
      </c>
      <c r="F3867">
        <f>IFERROR(__xludf.DUMMYFUNCTION("""COMPUTED_VALUE"""),14.85)</f>
        <v>14.85</v>
      </c>
      <c r="G3867">
        <f>IFERROR(__xludf.DUMMYFUNCTION("""COMPUTED_VALUE"""),9.86)</f>
        <v>9.86</v>
      </c>
    </row>
    <row r="3868">
      <c r="A3868">
        <f>IFERROR(__xludf.DUMMYFUNCTION("""COMPUTED_VALUE"""),783058.0)</f>
        <v>783058</v>
      </c>
      <c r="B3868" t="str">
        <f>IFERROR(__xludf.DUMMYFUNCTION("""COMPUTED_VALUE"""),"Clams Casino")</f>
        <v>Clams Casino</v>
      </c>
      <c r="C3868" t="str">
        <f>IFERROR(__xludf.DUMMYFUNCTION("""COMPUTED_VALUE"""),"Fish")</f>
        <v>Fish</v>
      </c>
      <c r="D3868">
        <f>IFERROR(__xludf.DUMMYFUNCTION("""COMPUTED_VALUE"""),118.0)</f>
        <v>118</v>
      </c>
      <c r="E3868">
        <f>IFERROR(__xludf.DUMMYFUNCTION("""COMPUTED_VALUE"""),4.76)</f>
        <v>4.76</v>
      </c>
      <c r="F3868">
        <f>IFERROR(__xludf.DUMMYFUNCTION("""COMPUTED_VALUE"""),8.72)</f>
        <v>8.72</v>
      </c>
      <c r="G3868">
        <f>IFERROR(__xludf.DUMMYFUNCTION("""COMPUTED_VALUE"""),9.82)</f>
        <v>9.82</v>
      </c>
    </row>
    <row r="3869">
      <c r="A3869">
        <f>IFERROR(__xludf.DUMMYFUNCTION("""COMPUTED_VALUE"""),783059.0)</f>
        <v>783059</v>
      </c>
      <c r="B3869" t="str">
        <f>IFERROR(__xludf.DUMMYFUNCTION("""COMPUTED_VALUE"""),"Mackerel Cake Or Patty")</f>
        <v>Mackerel Cake Or Patty</v>
      </c>
      <c r="C3869" t="str">
        <f>IFERROR(__xludf.DUMMYFUNCTION("""COMPUTED_VALUE"""),"Fish")</f>
        <v>Fish</v>
      </c>
      <c r="D3869">
        <f>IFERROR(__xludf.DUMMYFUNCTION("""COMPUTED_VALUE"""),258.0)</f>
        <v>258</v>
      </c>
      <c r="E3869">
        <f>IFERROR(__xludf.DUMMYFUNCTION("""COMPUTED_VALUE"""),15.12)</f>
        <v>15.12</v>
      </c>
      <c r="F3869">
        <f>IFERROR(__xludf.DUMMYFUNCTION("""COMPUTED_VALUE"""),16.5)</f>
        <v>16.5</v>
      </c>
      <c r="G3869">
        <f>IFERROR(__xludf.DUMMYFUNCTION("""COMPUTED_VALUE"""),13.18)</f>
        <v>13.18</v>
      </c>
    </row>
    <row r="3870">
      <c r="A3870">
        <f>IFERROR(__xludf.DUMMYFUNCTION("""COMPUTED_VALUE"""),783060.0)</f>
        <v>783060</v>
      </c>
      <c r="B3870" t="str">
        <f>IFERROR(__xludf.DUMMYFUNCTION("""COMPUTED_VALUE"""),"Haddock Cake Or Patty")</f>
        <v>Haddock Cake Or Patty</v>
      </c>
      <c r="C3870" t="str">
        <f>IFERROR(__xludf.DUMMYFUNCTION("""COMPUTED_VALUE"""),"Fish")</f>
        <v>Fish</v>
      </c>
      <c r="D3870">
        <f>IFERROR(__xludf.DUMMYFUNCTION("""COMPUTED_VALUE"""),204.0)</f>
        <v>204</v>
      </c>
      <c r="E3870">
        <f>IFERROR(__xludf.DUMMYFUNCTION("""COMPUTED_VALUE"""),10.66)</f>
        <v>10.66</v>
      </c>
      <c r="F3870">
        <f>IFERROR(__xludf.DUMMYFUNCTION("""COMPUTED_VALUE"""),13.9)</f>
        <v>13.9</v>
      </c>
      <c r="G3870">
        <f>IFERROR(__xludf.DUMMYFUNCTION("""COMPUTED_VALUE"""),12.63)</f>
        <v>12.63</v>
      </c>
    </row>
    <row r="3871">
      <c r="A3871">
        <f>IFERROR(__xludf.DUMMYFUNCTION("""COMPUTED_VALUE"""),783061.0)</f>
        <v>783061</v>
      </c>
      <c r="B3871" t="str">
        <f>IFERROR(__xludf.DUMMYFUNCTION("""COMPUTED_VALUE"""),"Shrimp Cake Or Patty")</f>
        <v>Shrimp Cake Or Patty</v>
      </c>
      <c r="C3871" t="str">
        <f>IFERROR(__xludf.DUMMYFUNCTION("""COMPUTED_VALUE"""),"Fish")</f>
        <v>Fish</v>
      </c>
      <c r="D3871">
        <f>IFERROR(__xludf.DUMMYFUNCTION("""COMPUTED_VALUE"""),230.0)</f>
        <v>230</v>
      </c>
      <c r="E3871">
        <f>IFERROR(__xludf.DUMMYFUNCTION("""COMPUTED_VALUE"""),15.45)</f>
        <v>15.45</v>
      </c>
      <c r="F3871">
        <f>IFERROR(__xludf.DUMMYFUNCTION("""COMPUTED_VALUE"""),18.1)</f>
        <v>18.1</v>
      </c>
      <c r="G3871">
        <f>IFERROR(__xludf.DUMMYFUNCTION("""COMPUTED_VALUE"""),3.67)</f>
        <v>3.67</v>
      </c>
    </row>
    <row r="3872">
      <c r="A3872">
        <f>IFERROR(__xludf.DUMMYFUNCTION("""COMPUTED_VALUE"""),783062.0)</f>
        <v>783062</v>
      </c>
      <c r="B3872" t="str">
        <f>IFERROR(__xludf.DUMMYFUNCTION("""COMPUTED_VALUE"""),"Shrimp With Crab Stuffing")</f>
        <v>Shrimp With Crab Stuffing</v>
      </c>
      <c r="C3872" t="str">
        <f>IFERROR(__xludf.DUMMYFUNCTION("""COMPUTED_VALUE"""),"Fish")</f>
        <v>Fish</v>
      </c>
      <c r="D3872">
        <f>IFERROR(__xludf.DUMMYFUNCTION("""COMPUTED_VALUE"""),174.0)</f>
        <v>174</v>
      </c>
      <c r="E3872">
        <f>IFERROR(__xludf.DUMMYFUNCTION("""COMPUTED_VALUE"""),8.94)</f>
        <v>8.94</v>
      </c>
      <c r="F3872">
        <f>IFERROR(__xludf.DUMMYFUNCTION("""COMPUTED_VALUE"""),16.39)</f>
        <v>16.39</v>
      </c>
      <c r="G3872">
        <f>IFERROR(__xludf.DUMMYFUNCTION("""COMPUTED_VALUE"""),6.09)</f>
        <v>6.09</v>
      </c>
    </row>
    <row r="3873">
      <c r="A3873">
        <f>IFERROR(__xludf.DUMMYFUNCTION("""COMPUTED_VALUE"""),783063.0)</f>
        <v>783063</v>
      </c>
      <c r="B3873" t="str">
        <f>IFERROR(__xludf.DUMMYFUNCTION("""COMPUTED_VALUE"""),"Shrimp Toast Fried")</f>
        <v>Shrimp Toast Fried</v>
      </c>
      <c r="C3873" t="str">
        <f>IFERROR(__xludf.DUMMYFUNCTION("""COMPUTED_VALUE"""),"Fish")</f>
        <v>Fish</v>
      </c>
      <c r="D3873">
        <f>IFERROR(__xludf.DUMMYFUNCTION("""COMPUTED_VALUE"""),223.0)</f>
        <v>223</v>
      </c>
      <c r="E3873">
        <f>IFERROR(__xludf.DUMMYFUNCTION("""COMPUTED_VALUE"""),15.44)</f>
        <v>15.44</v>
      </c>
      <c r="F3873">
        <f>IFERROR(__xludf.DUMMYFUNCTION("""COMPUTED_VALUE"""),8.42)</f>
        <v>8.42</v>
      </c>
      <c r="G3873">
        <f>IFERROR(__xludf.DUMMYFUNCTION("""COMPUTED_VALUE"""),12.66)</f>
        <v>12.66</v>
      </c>
    </row>
    <row r="3874">
      <c r="A3874">
        <f>IFERROR(__xludf.DUMMYFUNCTION("""COMPUTED_VALUE"""),783066.0)</f>
        <v>783066</v>
      </c>
      <c r="B3874" t="str">
        <f>IFERROR(__xludf.DUMMYFUNCTION("""COMPUTED_VALUE"""),"Tuna Noodle Casserole With Cream Or White Sauce")</f>
        <v>Tuna Noodle Casserole With Cream Or White Sauce</v>
      </c>
      <c r="C3874" t="str">
        <f>IFERROR(__xludf.DUMMYFUNCTION("""COMPUTED_VALUE"""),"Fish")</f>
        <v>Fish</v>
      </c>
      <c r="D3874">
        <f>IFERROR(__xludf.DUMMYFUNCTION("""COMPUTED_VALUE"""),169.0)</f>
        <v>169</v>
      </c>
      <c r="E3874">
        <f>IFERROR(__xludf.DUMMYFUNCTION("""COMPUTED_VALUE"""),7.52)</f>
        <v>7.52</v>
      </c>
      <c r="F3874">
        <f>IFERROR(__xludf.DUMMYFUNCTION("""COMPUTED_VALUE"""),10.19)</f>
        <v>10.19</v>
      </c>
      <c r="G3874">
        <f>IFERROR(__xludf.DUMMYFUNCTION("""COMPUTED_VALUE"""),15.29)</f>
        <v>15.29</v>
      </c>
    </row>
    <row r="3875">
      <c r="A3875">
        <f>IFERROR(__xludf.DUMMYFUNCTION("""COMPUTED_VALUE"""),783067.0)</f>
        <v>783067</v>
      </c>
      <c r="B3875" t="str">
        <f>IFERROR(__xludf.DUMMYFUNCTION("""COMPUTED_VALUE"""),"Tuna Noodle Casserole With Mushroom Sauce")</f>
        <v>Tuna Noodle Casserole With Mushroom Sauce</v>
      </c>
      <c r="C3875" t="str">
        <f>IFERROR(__xludf.DUMMYFUNCTION("""COMPUTED_VALUE"""),"Fish")</f>
        <v>Fish</v>
      </c>
      <c r="D3875">
        <f>IFERROR(__xludf.DUMMYFUNCTION("""COMPUTED_VALUE"""),138.0)</f>
        <v>138</v>
      </c>
      <c r="E3875">
        <f>IFERROR(__xludf.DUMMYFUNCTION("""COMPUTED_VALUE"""),5.17)</f>
        <v>5.17</v>
      </c>
      <c r="F3875">
        <f>IFERROR(__xludf.DUMMYFUNCTION("""COMPUTED_VALUE"""),9.15)</f>
        <v>9.15</v>
      </c>
      <c r="G3875">
        <f>IFERROR(__xludf.DUMMYFUNCTION("""COMPUTED_VALUE"""),13.89)</f>
        <v>13.89</v>
      </c>
    </row>
    <row r="3876">
      <c r="A3876">
        <f>IFERROR(__xludf.DUMMYFUNCTION("""COMPUTED_VALUE"""),783068.0)</f>
        <v>783068</v>
      </c>
      <c r="B3876" t="str">
        <f>IFERROR(__xludf.DUMMYFUNCTION("""COMPUTED_VALUE"""),"Tuna And Rice With Mushroom Sauce")</f>
        <v>Tuna And Rice With Mushroom Sauce</v>
      </c>
      <c r="C3876" t="str">
        <f>IFERROR(__xludf.DUMMYFUNCTION("""COMPUTED_VALUE"""),"Fish")</f>
        <v>Fish</v>
      </c>
      <c r="D3876">
        <f>IFERROR(__xludf.DUMMYFUNCTION("""COMPUTED_VALUE"""),127.0)</f>
        <v>127</v>
      </c>
      <c r="E3876">
        <f>IFERROR(__xludf.DUMMYFUNCTION("""COMPUTED_VALUE"""),5.16)</f>
        <v>5.16</v>
      </c>
      <c r="F3876">
        <f>IFERROR(__xludf.DUMMYFUNCTION("""COMPUTED_VALUE"""),4.62)</f>
        <v>4.62</v>
      </c>
      <c r="G3876">
        <f>IFERROR(__xludf.DUMMYFUNCTION("""COMPUTED_VALUE"""),15.38)</f>
        <v>15.38</v>
      </c>
    </row>
    <row r="3877">
      <c r="A3877">
        <f>IFERROR(__xludf.DUMMYFUNCTION("""COMPUTED_VALUE"""),783069.0)</f>
        <v>783069</v>
      </c>
      <c r="B3877" t="str">
        <f>IFERROR(__xludf.DUMMYFUNCTION("""COMPUTED_VALUE"""),"Fish And Rice With Tomato-Based Sauce")</f>
        <v>Fish And Rice With Tomato-Based Sauce</v>
      </c>
      <c r="C3877" t="str">
        <f>IFERROR(__xludf.DUMMYFUNCTION("""COMPUTED_VALUE"""),"Fish")</f>
        <v>Fish</v>
      </c>
      <c r="D3877">
        <f>IFERROR(__xludf.DUMMYFUNCTION("""COMPUTED_VALUE"""),135.0)</f>
        <v>135</v>
      </c>
      <c r="E3877">
        <f>IFERROR(__xludf.DUMMYFUNCTION("""COMPUTED_VALUE"""),5.12)</f>
        <v>5.12</v>
      </c>
      <c r="F3877">
        <f>IFERROR(__xludf.DUMMYFUNCTION("""COMPUTED_VALUE"""),5.41)</f>
        <v>5.41</v>
      </c>
      <c r="G3877">
        <f>IFERROR(__xludf.DUMMYFUNCTION("""COMPUTED_VALUE"""),16.53)</f>
        <v>16.53</v>
      </c>
    </row>
    <row r="3878">
      <c r="A3878">
        <f>IFERROR(__xludf.DUMMYFUNCTION("""COMPUTED_VALUE"""),783070.0)</f>
        <v>783070</v>
      </c>
      <c r="B3878" t="str">
        <f>IFERROR(__xludf.DUMMYFUNCTION("""COMPUTED_VALUE"""),"Fish And Rice With Cream Sauce")</f>
        <v>Fish And Rice With Cream Sauce</v>
      </c>
      <c r="C3878" t="str">
        <f>IFERROR(__xludf.DUMMYFUNCTION("""COMPUTED_VALUE"""),"Fish")</f>
        <v>Fish</v>
      </c>
      <c r="D3878">
        <f>IFERROR(__xludf.DUMMYFUNCTION("""COMPUTED_VALUE"""),133.0)</f>
        <v>133</v>
      </c>
      <c r="E3878">
        <f>IFERROR(__xludf.DUMMYFUNCTION("""COMPUTED_VALUE"""),5.1)</f>
        <v>5.1</v>
      </c>
      <c r="F3878">
        <f>IFERROR(__xludf.DUMMYFUNCTION("""COMPUTED_VALUE"""),5.54)</f>
        <v>5.54</v>
      </c>
      <c r="G3878">
        <f>IFERROR(__xludf.DUMMYFUNCTION("""COMPUTED_VALUE"""),15.74)</f>
        <v>15.74</v>
      </c>
    </row>
    <row r="3879">
      <c r="A3879">
        <f>IFERROR(__xludf.DUMMYFUNCTION("""COMPUTED_VALUE"""),783071.0)</f>
        <v>783071</v>
      </c>
      <c r="B3879" t="str">
        <f>IFERROR(__xludf.DUMMYFUNCTION("""COMPUTED_VALUE"""),"Fish And Rice With Mushroom Sauce")</f>
        <v>Fish And Rice With Mushroom Sauce</v>
      </c>
      <c r="C3879" t="str">
        <f>IFERROR(__xludf.DUMMYFUNCTION("""COMPUTED_VALUE"""),"Fish")</f>
        <v>Fish</v>
      </c>
      <c r="D3879">
        <f>IFERROR(__xludf.DUMMYFUNCTION("""COMPUTED_VALUE"""),134.0)</f>
        <v>134</v>
      </c>
      <c r="E3879">
        <f>IFERROR(__xludf.DUMMYFUNCTION("""COMPUTED_VALUE"""),5.16)</f>
        <v>5.16</v>
      </c>
      <c r="F3879">
        <f>IFERROR(__xludf.DUMMYFUNCTION("""COMPUTED_VALUE"""),5.34)</f>
        <v>5.34</v>
      </c>
      <c r="G3879">
        <f>IFERROR(__xludf.DUMMYFUNCTION("""COMPUTED_VALUE"""),16.12)</f>
        <v>16.12</v>
      </c>
    </row>
    <row r="3880">
      <c r="A3880">
        <f>IFERROR(__xludf.DUMMYFUNCTION("""COMPUTED_VALUE"""),783072.0)</f>
        <v>783072</v>
      </c>
      <c r="B3880" t="str">
        <f>IFERROR(__xludf.DUMMYFUNCTION("""COMPUTED_VALUE"""),"Fish And Noodles With Mushroom Sauce")</f>
        <v>Fish And Noodles With Mushroom Sauce</v>
      </c>
      <c r="C3880" t="str">
        <f>IFERROR(__xludf.DUMMYFUNCTION("""COMPUTED_VALUE"""),"Fish")</f>
        <v>Fish</v>
      </c>
      <c r="D3880">
        <f>IFERROR(__xludf.DUMMYFUNCTION("""COMPUTED_VALUE"""),131.0)</f>
        <v>131</v>
      </c>
      <c r="E3880">
        <f>IFERROR(__xludf.DUMMYFUNCTION("""COMPUTED_VALUE"""),5.1)</f>
        <v>5.1</v>
      </c>
      <c r="F3880">
        <f>IFERROR(__xludf.DUMMYFUNCTION("""COMPUTED_VALUE"""),6.29)</f>
        <v>6.29</v>
      </c>
      <c r="G3880">
        <f>IFERROR(__xludf.DUMMYFUNCTION("""COMPUTED_VALUE"""),14.79)</f>
        <v>14.79</v>
      </c>
    </row>
    <row r="3881">
      <c r="A3881">
        <f>IFERROR(__xludf.DUMMYFUNCTION("""COMPUTED_VALUE"""),783073.0)</f>
        <v>783073</v>
      </c>
      <c r="B3881" t="str">
        <f>IFERROR(__xludf.DUMMYFUNCTION("""COMPUTED_VALUE"""),"Shellfish And Noodles With Tomato-Based Sauce")</f>
        <v>Shellfish And Noodles With Tomato-Based Sauce</v>
      </c>
      <c r="C3881" t="str">
        <f>IFERROR(__xludf.DUMMYFUNCTION("""COMPUTED_VALUE"""),"Fish")</f>
        <v>Fish</v>
      </c>
      <c r="D3881">
        <f>IFERROR(__xludf.DUMMYFUNCTION("""COMPUTED_VALUE"""),134.0)</f>
        <v>134</v>
      </c>
      <c r="E3881">
        <f>IFERROR(__xludf.DUMMYFUNCTION("""COMPUTED_VALUE"""),5.04)</f>
        <v>5.04</v>
      </c>
      <c r="F3881">
        <f>IFERROR(__xludf.DUMMYFUNCTION("""COMPUTED_VALUE"""),6.58)</f>
        <v>6.58</v>
      </c>
      <c r="G3881">
        <f>IFERROR(__xludf.DUMMYFUNCTION("""COMPUTED_VALUE"""),15.74)</f>
        <v>15.74</v>
      </c>
    </row>
    <row r="3882">
      <c r="A3882">
        <f>IFERROR(__xludf.DUMMYFUNCTION("""COMPUTED_VALUE"""),783074.0)</f>
        <v>783074</v>
      </c>
      <c r="B3882" t="str">
        <f>IFERROR(__xludf.DUMMYFUNCTION("""COMPUTED_VALUE"""),"Stewed Salmon Puerto Rican Style")</f>
        <v>Stewed Salmon Puerto Rican Style</v>
      </c>
      <c r="C3882" t="str">
        <f>IFERROR(__xludf.DUMMYFUNCTION("""COMPUTED_VALUE"""),"Fish")</f>
        <v>Fish</v>
      </c>
      <c r="D3882">
        <f>IFERROR(__xludf.DUMMYFUNCTION("""COMPUTED_VALUE"""),145.0)</f>
        <v>145</v>
      </c>
      <c r="E3882">
        <f>IFERROR(__xludf.DUMMYFUNCTION("""COMPUTED_VALUE"""),6.93)</f>
        <v>6.93</v>
      </c>
      <c r="F3882">
        <f>IFERROR(__xludf.DUMMYFUNCTION("""COMPUTED_VALUE"""),12.03)</f>
        <v>12.03</v>
      </c>
      <c r="G3882">
        <f>IFERROR(__xludf.DUMMYFUNCTION("""COMPUTED_VALUE"""),8.48)</f>
        <v>8.48</v>
      </c>
    </row>
    <row r="3883">
      <c r="A3883">
        <f>IFERROR(__xludf.DUMMYFUNCTION("""COMPUTED_VALUE"""),783075.0)</f>
        <v>783075</v>
      </c>
      <c r="B3883" t="str">
        <f>IFERROR(__xludf.DUMMYFUNCTION("""COMPUTED_VALUE"""),"Meat Loaf Ns As To Type Of Meat")</f>
        <v>Meat Loaf Ns As To Type Of Meat</v>
      </c>
      <c r="C3883" t="str">
        <f>IFERROR(__xludf.DUMMYFUNCTION("""COMPUTED_VALUE"""),"Meats")</f>
        <v>Meats</v>
      </c>
      <c r="D3883">
        <f>IFERROR(__xludf.DUMMYFUNCTION("""COMPUTED_VALUE"""),202.0)</f>
        <v>202</v>
      </c>
      <c r="E3883">
        <f>IFERROR(__xludf.DUMMYFUNCTION("""COMPUTED_VALUE"""),10.96)</f>
        <v>10.96</v>
      </c>
      <c r="F3883">
        <f>IFERROR(__xludf.DUMMYFUNCTION("""COMPUTED_VALUE"""),17.42)</f>
        <v>17.42</v>
      </c>
      <c r="G3883">
        <f>IFERROR(__xludf.DUMMYFUNCTION("""COMPUTED_VALUE"""),7.21)</f>
        <v>7.21</v>
      </c>
    </row>
    <row r="3884">
      <c r="A3884">
        <f>IFERROR(__xludf.DUMMYFUNCTION("""COMPUTED_VALUE"""),783076.0)</f>
        <v>783076</v>
      </c>
      <c r="B3884" t="str">
        <f>IFERROR(__xludf.DUMMYFUNCTION("""COMPUTED_VALUE"""),"Meatballs With Breading Ns As To Type Of Meat With Gravy")</f>
        <v>Meatballs With Breading Ns As To Type Of Meat With Gravy</v>
      </c>
      <c r="C3884" t="str">
        <f>IFERROR(__xludf.DUMMYFUNCTION("""COMPUTED_VALUE"""),"Meats")</f>
        <v>Meats</v>
      </c>
      <c r="D3884">
        <f>IFERROR(__xludf.DUMMYFUNCTION("""COMPUTED_VALUE"""),144.0)</f>
        <v>144</v>
      </c>
      <c r="E3884">
        <f>IFERROR(__xludf.DUMMYFUNCTION("""COMPUTED_VALUE"""),7.53)</f>
        <v>7.53</v>
      </c>
      <c r="F3884">
        <f>IFERROR(__xludf.DUMMYFUNCTION("""COMPUTED_VALUE"""),12.28)</f>
        <v>12.28</v>
      </c>
      <c r="G3884">
        <f>IFERROR(__xludf.DUMMYFUNCTION("""COMPUTED_VALUE"""),6.32)</f>
        <v>6.32</v>
      </c>
    </row>
    <row r="3885">
      <c r="A3885">
        <f>IFERROR(__xludf.DUMMYFUNCTION("""COMPUTED_VALUE"""),783077.0)</f>
        <v>783077</v>
      </c>
      <c r="B3885" t="str">
        <f>IFERROR(__xludf.DUMMYFUNCTION("""COMPUTED_VALUE"""),"Meat Loaf Made With Beef And Pork")</f>
        <v>Meat Loaf Made With Beef And Pork</v>
      </c>
      <c r="C3885" t="str">
        <f>IFERROR(__xludf.DUMMYFUNCTION("""COMPUTED_VALUE"""),"Meats")</f>
        <v>Meats</v>
      </c>
      <c r="D3885">
        <f>IFERROR(__xludf.DUMMYFUNCTION("""COMPUTED_VALUE"""),196.0)</f>
        <v>196</v>
      </c>
      <c r="E3885">
        <f>IFERROR(__xludf.DUMMYFUNCTION("""COMPUTED_VALUE"""),10.42)</f>
        <v>10.42</v>
      </c>
      <c r="F3885">
        <f>IFERROR(__xludf.DUMMYFUNCTION("""COMPUTED_VALUE"""),17.21)</f>
        <v>17.21</v>
      </c>
      <c r="G3885">
        <f>IFERROR(__xludf.DUMMYFUNCTION("""COMPUTED_VALUE"""),7.19)</f>
        <v>7.19</v>
      </c>
    </row>
    <row r="3886">
      <c r="A3886">
        <f>IFERROR(__xludf.DUMMYFUNCTION("""COMPUTED_VALUE"""),783078.0)</f>
        <v>783078</v>
      </c>
      <c r="B3886" t="str">
        <f>IFERROR(__xludf.DUMMYFUNCTION("""COMPUTED_VALUE"""),"Meat Loaf Made With Beef Veal And Pork")</f>
        <v>Meat Loaf Made With Beef Veal And Pork</v>
      </c>
      <c r="C3886" t="str">
        <f>IFERROR(__xludf.DUMMYFUNCTION("""COMPUTED_VALUE"""),"Meats")</f>
        <v>Meats</v>
      </c>
      <c r="D3886">
        <f>IFERROR(__xludf.DUMMYFUNCTION("""COMPUTED_VALUE"""),196.0)</f>
        <v>196</v>
      </c>
      <c r="E3886">
        <f>IFERROR(__xludf.DUMMYFUNCTION("""COMPUTED_VALUE"""),10.42)</f>
        <v>10.42</v>
      </c>
      <c r="F3886">
        <f>IFERROR(__xludf.DUMMYFUNCTION("""COMPUTED_VALUE"""),17.21)</f>
        <v>17.21</v>
      </c>
      <c r="G3886">
        <f>IFERROR(__xludf.DUMMYFUNCTION("""COMPUTED_VALUE"""),7.19)</f>
        <v>7.19</v>
      </c>
    </row>
    <row r="3887">
      <c r="A3887">
        <f>IFERROR(__xludf.DUMMYFUNCTION("""COMPUTED_VALUE"""),783079.0)</f>
        <v>783079</v>
      </c>
      <c r="B3887" t="str">
        <f>IFERROR(__xludf.DUMMYFUNCTION("""COMPUTED_VALUE"""),"Meat Loaf Made With Beef And Pork With Tomato-Based Sauce")</f>
        <v>Meat Loaf Made With Beef And Pork With Tomato-Based Sauce</v>
      </c>
      <c r="C3887" t="str">
        <f>IFERROR(__xludf.DUMMYFUNCTION("""COMPUTED_VALUE"""),"Meats")</f>
        <v>Meats</v>
      </c>
      <c r="D3887">
        <f>IFERROR(__xludf.DUMMYFUNCTION("""COMPUTED_VALUE"""),157.0)</f>
        <v>157</v>
      </c>
      <c r="E3887">
        <f>IFERROR(__xludf.DUMMYFUNCTION("""COMPUTED_VALUE"""),8.13)</f>
        <v>8.13</v>
      </c>
      <c r="F3887">
        <f>IFERROR(__xludf.DUMMYFUNCTION("""COMPUTED_VALUE"""),13.58)</f>
        <v>13.58</v>
      </c>
      <c r="G3887">
        <f>IFERROR(__xludf.DUMMYFUNCTION("""COMPUTED_VALUE"""),6.76)</f>
        <v>6.76</v>
      </c>
    </row>
    <row r="3888">
      <c r="A3888">
        <f>IFERROR(__xludf.DUMMYFUNCTION("""COMPUTED_VALUE"""),783081.0)</f>
        <v>783081</v>
      </c>
      <c r="B3888" t="str">
        <f>IFERROR(__xludf.DUMMYFUNCTION("""COMPUTED_VALUE"""),"Vienna Sausages Stewed With Potatoes Puerto Rican Style")</f>
        <v>Vienna Sausages Stewed With Potatoes Puerto Rican Style</v>
      </c>
      <c r="C3888" t="str">
        <f>IFERROR(__xludf.DUMMYFUNCTION("""COMPUTED_VALUE"""),"Meats")</f>
        <v>Meats</v>
      </c>
      <c r="D3888">
        <f>IFERROR(__xludf.DUMMYFUNCTION("""COMPUTED_VALUE"""),215.0)</f>
        <v>215</v>
      </c>
      <c r="E3888">
        <f>IFERROR(__xludf.DUMMYFUNCTION("""COMPUTED_VALUE"""),16.12)</f>
        <v>16.12</v>
      </c>
      <c r="F3888">
        <f>IFERROR(__xludf.DUMMYFUNCTION("""COMPUTED_VALUE"""),5.09)</f>
        <v>5.09</v>
      </c>
      <c r="G3888">
        <f>IFERROR(__xludf.DUMMYFUNCTION("""COMPUTED_VALUE"""),13.1)</f>
        <v>13.1</v>
      </c>
    </row>
    <row r="3889">
      <c r="A3889">
        <f>IFERROR(__xludf.DUMMYFUNCTION("""COMPUTED_VALUE"""),783082.0)</f>
        <v>783082</v>
      </c>
      <c r="B3889" t="str">
        <f>IFERROR(__xludf.DUMMYFUNCTION("""COMPUTED_VALUE"""),"Liver Dumpling")</f>
        <v>Liver Dumpling</v>
      </c>
      <c r="C3889" t="str">
        <f>IFERROR(__xludf.DUMMYFUNCTION("""COMPUTED_VALUE"""),"Meats")</f>
        <v>Meats</v>
      </c>
      <c r="D3889">
        <f>IFERROR(__xludf.DUMMYFUNCTION("""COMPUTED_VALUE"""),286.0)</f>
        <v>286</v>
      </c>
      <c r="E3889">
        <f>IFERROR(__xludf.DUMMYFUNCTION("""COMPUTED_VALUE"""),15.45)</f>
        <v>15.45</v>
      </c>
      <c r="F3889">
        <f>IFERROR(__xludf.DUMMYFUNCTION("""COMPUTED_VALUE"""),23.05)</f>
        <v>23.05</v>
      </c>
      <c r="G3889">
        <f>IFERROR(__xludf.DUMMYFUNCTION("""COMPUTED_VALUE"""),12.8)</f>
        <v>12.8</v>
      </c>
    </row>
    <row r="3890">
      <c r="A3890">
        <f>IFERROR(__xludf.DUMMYFUNCTION("""COMPUTED_VALUE"""),783083.0)</f>
        <v>783083</v>
      </c>
      <c r="B3890" t="str">
        <f>IFERROR(__xludf.DUMMYFUNCTION("""COMPUTED_VALUE"""),"Breaded Brains Puerto Rican Style")</f>
        <v>Breaded Brains Puerto Rican Style</v>
      </c>
      <c r="C3890" t="str">
        <f>IFERROR(__xludf.DUMMYFUNCTION("""COMPUTED_VALUE"""),"Meats")</f>
        <v>Meats</v>
      </c>
      <c r="D3890">
        <f>IFERROR(__xludf.DUMMYFUNCTION("""COMPUTED_VALUE"""),246.0)</f>
        <v>246</v>
      </c>
      <c r="E3890">
        <f>IFERROR(__xludf.DUMMYFUNCTION("""COMPUTED_VALUE"""),14.73)</f>
        <v>14.73</v>
      </c>
      <c r="F3890">
        <f>IFERROR(__xludf.DUMMYFUNCTION("""COMPUTED_VALUE"""),10.09)</f>
        <v>10.09</v>
      </c>
      <c r="G3890">
        <f>IFERROR(__xludf.DUMMYFUNCTION("""COMPUTED_VALUE"""),17.4)</f>
        <v>17.4</v>
      </c>
    </row>
    <row r="3891">
      <c r="A3891">
        <f>IFERROR(__xludf.DUMMYFUNCTION("""COMPUTED_VALUE"""),783084.0)</f>
        <v>783084</v>
      </c>
      <c r="B3891" t="str">
        <f>IFERROR(__xludf.DUMMYFUNCTION("""COMPUTED_VALUE"""),"Stewed Seasoned Ground Beef And Pork With Potatoes Mexican Style")</f>
        <v>Stewed Seasoned Ground Beef And Pork With Potatoes Mexican Style</v>
      </c>
      <c r="C3891" t="str">
        <f>IFERROR(__xludf.DUMMYFUNCTION("""COMPUTED_VALUE"""),"Meats")</f>
        <v>Meats</v>
      </c>
      <c r="D3891">
        <f>IFERROR(__xludf.DUMMYFUNCTION("""COMPUTED_VALUE"""),143.0)</f>
        <v>143</v>
      </c>
      <c r="E3891">
        <f>IFERROR(__xludf.DUMMYFUNCTION("""COMPUTED_VALUE"""),8.03)</f>
        <v>8.03</v>
      </c>
      <c r="F3891">
        <f>IFERROR(__xludf.DUMMYFUNCTION("""COMPUTED_VALUE"""),12.84)</f>
        <v>12.84</v>
      </c>
      <c r="G3891">
        <f>IFERROR(__xludf.DUMMYFUNCTION("""COMPUTED_VALUE"""),4.19)</f>
        <v>4.19</v>
      </c>
    </row>
    <row r="3892">
      <c r="A3892">
        <f>IFERROR(__xludf.DUMMYFUNCTION("""COMPUTED_VALUE"""),783085.0)</f>
        <v>783085</v>
      </c>
      <c r="B3892" t="str">
        <f>IFERROR(__xludf.DUMMYFUNCTION("""COMPUTED_VALUE"""),"Beef Potatoes And Vegetables Including Carrots Broccoli And/or Dark-Green Leafy; No Sauce")</f>
        <v>Beef Potatoes And Vegetables Including Carrots Broccoli And/or Dark-Green Leafy; No Sauce</v>
      </c>
      <c r="C3892" t="str">
        <f>IFERROR(__xludf.DUMMYFUNCTION("""COMPUTED_VALUE"""),"Meats")</f>
        <v>Meats</v>
      </c>
      <c r="D3892">
        <f>IFERROR(__xludf.DUMMYFUNCTION("""COMPUTED_VALUE"""),125.0)</f>
        <v>125</v>
      </c>
      <c r="E3892">
        <f>IFERROR(__xludf.DUMMYFUNCTION("""COMPUTED_VALUE"""),5.15)</f>
        <v>5.15</v>
      </c>
      <c r="F3892">
        <f>IFERROR(__xludf.DUMMYFUNCTION("""COMPUTED_VALUE"""),6.93)</f>
        <v>6.93</v>
      </c>
      <c r="G3892">
        <f>IFERROR(__xludf.DUMMYFUNCTION("""COMPUTED_VALUE"""),13.46)</f>
        <v>13.46</v>
      </c>
    </row>
    <row r="3893">
      <c r="A3893">
        <f>IFERROR(__xludf.DUMMYFUNCTION("""COMPUTED_VALUE"""),783086.0)</f>
        <v>783086</v>
      </c>
      <c r="B3893" t="str">
        <f>IFERROR(__xludf.DUMMYFUNCTION("""COMPUTED_VALUE"""),"Beef Potatoes And Vegetables Excluding Carrots Broccoli And Dark-Green Leafy; No Sauce")</f>
        <v>Beef Potatoes And Vegetables Excluding Carrots Broccoli And Dark-Green Leafy; No Sauce</v>
      </c>
      <c r="C3893" t="str">
        <f>IFERROR(__xludf.DUMMYFUNCTION("""COMPUTED_VALUE"""),"Meats")</f>
        <v>Meats</v>
      </c>
      <c r="D3893">
        <f>IFERROR(__xludf.DUMMYFUNCTION("""COMPUTED_VALUE"""),130.0)</f>
        <v>130</v>
      </c>
      <c r="E3893">
        <f>IFERROR(__xludf.DUMMYFUNCTION("""COMPUTED_VALUE"""),5.1)</f>
        <v>5.1</v>
      </c>
      <c r="F3893">
        <f>IFERROR(__xludf.DUMMYFUNCTION("""COMPUTED_VALUE"""),6.97)</f>
        <v>6.97</v>
      </c>
      <c r="G3893">
        <f>IFERROR(__xludf.DUMMYFUNCTION("""COMPUTED_VALUE"""),14.97)</f>
        <v>14.97</v>
      </c>
    </row>
    <row r="3894">
      <c r="A3894">
        <f>IFERROR(__xludf.DUMMYFUNCTION("""COMPUTED_VALUE"""),783087.0)</f>
        <v>783087</v>
      </c>
      <c r="B3894" t="str">
        <f>IFERROR(__xludf.DUMMYFUNCTION("""COMPUTED_VALUE"""),"Corned Beef Potatoes And Vegetables Including Carrots Broccoli And/or Dark-Green Leafy; No Sauce")</f>
        <v>Corned Beef Potatoes And Vegetables Including Carrots Broccoli And/or Dark-Green Leafy; No Sauce</v>
      </c>
      <c r="C3894" t="str">
        <f>IFERROR(__xludf.DUMMYFUNCTION("""COMPUTED_VALUE"""),"Meats")</f>
        <v>Meats</v>
      </c>
      <c r="D3894">
        <f>IFERROR(__xludf.DUMMYFUNCTION("""COMPUTED_VALUE"""),126.0)</f>
        <v>126</v>
      </c>
      <c r="E3894">
        <f>IFERROR(__xludf.DUMMYFUNCTION("""COMPUTED_VALUE"""),6.0)</f>
        <v>6</v>
      </c>
      <c r="F3894">
        <f>IFERROR(__xludf.DUMMYFUNCTION("""COMPUTED_VALUE"""),4.76)</f>
        <v>4.76</v>
      </c>
      <c r="G3894">
        <f>IFERROR(__xludf.DUMMYFUNCTION("""COMPUTED_VALUE"""),13.73)</f>
        <v>13.73</v>
      </c>
    </row>
    <row r="3895">
      <c r="A3895">
        <f>IFERROR(__xludf.DUMMYFUNCTION("""COMPUTED_VALUE"""),783088.0)</f>
        <v>783088</v>
      </c>
      <c r="B3895" t="str">
        <f>IFERROR(__xludf.DUMMYFUNCTION("""COMPUTED_VALUE"""),"Corned Beef Potatoes And Vegetables Excluding Carrots Broccoli And Dark-Green Leafy; No Sauce")</f>
        <v>Corned Beef Potatoes And Vegetables Excluding Carrots Broccoli And Dark-Green Leafy; No Sauce</v>
      </c>
      <c r="C3895" t="str">
        <f>IFERROR(__xludf.DUMMYFUNCTION("""COMPUTED_VALUE"""),"Meats")</f>
        <v>Meats</v>
      </c>
      <c r="D3895">
        <f>IFERROR(__xludf.DUMMYFUNCTION("""COMPUTED_VALUE"""),127.0)</f>
        <v>127</v>
      </c>
      <c r="E3895">
        <f>IFERROR(__xludf.DUMMYFUNCTION("""COMPUTED_VALUE"""),5.38)</f>
        <v>5.38</v>
      </c>
      <c r="F3895">
        <f>IFERROR(__xludf.DUMMYFUNCTION("""COMPUTED_VALUE"""),4.84)</f>
        <v>4.84</v>
      </c>
      <c r="G3895">
        <f>IFERROR(__xludf.DUMMYFUNCTION("""COMPUTED_VALUE"""),15.35)</f>
        <v>15.35</v>
      </c>
    </row>
    <row r="3896">
      <c r="A3896">
        <f>IFERROR(__xludf.DUMMYFUNCTION("""COMPUTED_VALUE"""),783089.0)</f>
        <v>783089</v>
      </c>
      <c r="B3896" t="str">
        <f>IFERROR(__xludf.DUMMYFUNCTION("""COMPUTED_VALUE"""),"Beef Stew With Potatoes And Vegetables Including Carrots Broccoli And/or Dark-Green Leafy; Tomato-Based Sauce")</f>
        <v>Beef Stew With Potatoes And Vegetables Including Carrots Broccoli And/or Dark-Green Leafy; Tomato-Based Sauce</v>
      </c>
      <c r="C3896" t="str">
        <f>IFERROR(__xludf.DUMMYFUNCTION("""COMPUTED_VALUE"""),"Meats")</f>
        <v>Meats</v>
      </c>
      <c r="D3896">
        <f>IFERROR(__xludf.DUMMYFUNCTION("""COMPUTED_VALUE"""),90.0)</f>
        <v>90</v>
      </c>
      <c r="E3896">
        <f>IFERROR(__xludf.DUMMYFUNCTION("""COMPUTED_VALUE"""),3.96)</f>
        <v>3.96</v>
      </c>
      <c r="F3896">
        <f>IFERROR(__xludf.DUMMYFUNCTION("""COMPUTED_VALUE"""),5.23)</f>
        <v>5.23</v>
      </c>
      <c r="G3896">
        <f>IFERROR(__xludf.DUMMYFUNCTION("""COMPUTED_VALUE"""),8.25)</f>
        <v>8.25</v>
      </c>
    </row>
    <row r="3897">
      <c r="A3897">
        <f>IFERROR(__xludf.DUMMYFUNCTION("""COMPUTED_VALUE"""),783090.0)</f>
        <v>783090</v>
      </c>
      <c r="B3897" t="str">
        <f>IFERROR(__xludf.DUMMYFUNCTION("""COMPUTED_VALUE"""),"Beef Stew With Potatoes And Vegetables Excluding Carrots Broccoli And Dark-Green Leafy; Tomato-Based Sauce")</f>
        <v>Beef Stew With Potatoes And Vegetables Excluding Carrots Broccoli And Dark-Green Leafy; Tomato-Based Sauce</v>
      </c>
      <c r="C3897" t="str">
        <f>IFERROR(__xludf.DUMMYFUNCTION("""COMPUTED_VALUE"""),"Meats")</f>
        <v>Meats</v>
      </c>
      <c r="D3897">
        <f>IFERROR(__xludf.DUMMYFUNCTION("""COMPUTED_VALUE"""),82.0)</f>
        <v>82</v>
      </c>
      <c r="E3897">
        <f>IFERROR(__xludf.DUMMYFUNCTION("""COMPUTED_VALUE"""),2.33)</f>
        <v>2.33</v>
      </c>
      <c r="F3897">
        <f>IFERROR(__xludf.DUMMYFUNCTION("""COMPUTED_VALUE"""),6.63)</f>
        <v>6.63</v>
      </c>
      <c r="G3897">
        <f>IFERROR(__xludf.DUMMYFUNCTION("""COMPUTED_VALUE"""),8.5)</f>
        <v>8.5</v>
      </c>
    </row>
    <row r="3898">
      <c r="A3898">
        <f>IFERROR(__xludf.DUMMYFUNCTION("""COMPUTED_VALUE"""),783091.0)</f>
        <v>783091</v>
      </c>
      <c r="B3898" t="str">
        <f>IFERROR(__xludf.DUMMYFUNCTION("""COMPUTED_VALUE"""),"Beef Stew With Potatoes And Vegetables Including Carrots Broccoli And/or Dark-Green Leafy; Gravy")</f>
        <v>Beef Stew With Potatoes And Vegetables Including Carrots Broccoli And/or Dark-Green Leafy; Gravy</v>
      </c>
      <c r="C3898" t="str">
        <f>IFERROR(__xludf.DUMMYFUNCTION("""COMPUTED_VALUE"""),"Meats")</f>
        <v>Meats</v>
      </c>
      <c r="D3898">
        <f>IFERROR(__xludf.DUMMYFUNCTION("""COMPUTED_VALUE"""),79.0)</f>
        <v>79</v>
      </c>
      <c r="E3898">
        <f>IFERROR(__xludf.DUMMYFUNCTION("""COMPUTED_VALUE"""),2.18)</f>
        <v>2.18</v>
      </c>
      <c r="F3898">
        <f>IFERROR(__xludf.DUMMYFUNCTION("""COMPUTED_VALUE"""),6.22)</f>
        <v>6.22</v>
      </c>
      <c r="G3898">
        <f>IFERROR(__xludf.DUMMYFUNCTION("""COMPUTED_VALUE"""),8.6)</f>
        <v>8.6</v>
      </c>
    </row>
    <row r="3899">
      <c r="A3899">
        <f>IFERROR(__xludf.DUMMYFUNCTION("""COMPUTED_VALUE"""),783092.0)</f>
        <v>783092</v>
      </c>
      <c r="B3899" t="str">
        <f>IFERROR(__xludf.DUMMYFUNCTION("""COMPUTED_VALUE"""),"Beef Stew With Potatoes And Vegetables Excluding Carrots Broccoli And Dark-Green Leafy; Gravy")</f>
        <v>Beef Stew With Potatoes And Vegetables Excluding Carrots Broccoli And Dark-Green Leafy; Gravy</v>
      </c>
      <c r="C3899" t="str">
        <f>IFERROR(__xludf.DUMMYFUNCTION("""COMPUTED_VALUE"""),"Meats")</f>
        <v>Meats</v>
      </c>
      <c r="D3899">
        <f>IFERROR(__xludf.DUMMYFUNCTION("""COMPUTED_VALUE"""),83.0)</f>
        <v>83</v>
      </c>
      <c r="E3899">
        <f>IFERROR(__xludf.DUMMYFUNCTION("""COMPUTED_VALUE"""),2.38)</f>
        <v>2.38</v>
      </c>
      <c r="F3899">
        <f>IFERROR(__xludf.DUMMYFUNCTION("""COMPUTED_VALUE"""),6.76)</f>
        <v>6.76</v>
      </c>
      <c r="G3899">
        <f>IFERROR(__xludf.DUMMYFUNCTION("""COMPUTED_VALUE"""),8.48)</f>
        <v>8.48</v>
      </c>
    </row>
    <row r="3900">
      <c r="A3900">
        <f>IFERROR(__xludf.DUMMYFUNCTION("""COMPUTED_VALUE"""),783093.0)</f>
        <v>783093</v>
      </c>
      <c r="B3900" t="str">
        <f>IFERROR(__xludf.DUMMYFUNCTION("""COMPUTED_VALUE"""),"Shepherd's Pie With Beef")</f>
        <v>Shepherd's Pie With Beef</v>
      </c>
      <c r="C3900" t="str">
        <f>IFERROR(__xludf.DUMMYFUNCTION("""COMPUTED_VALUE"""),"Meats")</f>
        <v>Meats</v>
      </c>
      <c r="D3900">
        <f>IFERROR(__xludf.DUMMYFUNCTION("""COMPUTED_VALUE"""),109.0)</f>
        <v>109</v>
      </c>
      <c r="E3900">
        <f>IFERROR(__xludf.DUMMYFUNCTION("""COMPUTED_VALUE"""),3.16)</f>
        <v>3.16</v>
      </c>
      <c r="F3900">
        <f>IFERROR(__xludf.DUMMYFUNCTION("""COMPUTED_VALUE"""),6.36)</f>
        <v>6.36</v>
      </c>
      <c r="G3900">
        <f>IFERROR(__xludf.DUMMYFUNCTION("""COMPUTED_VALUE"""),14.16)</f>
        <v>14.16</v>
      </c>
    </row>
    <row r="3901">
      <c r="A3901">
        <f>IFERROR(__xludf.DUMMYFUNCTION("""COMPUTED_VALUE"""),783094.0)</f>
        <v>783094</v>
      </c>
      <c r="B3901" t="str">
        <f>IFERROR(__xludf.DUMMYFUNCTION("""COMPUTED_VALUE"""),"Beef Potatoes And Vegetables Including Carrots Broccoli And/or Dark-Green Leafy; Gravy")</f>
        <v>Beef Potatoes And Vegetables Including Carrots Broccoli And/or Dark-Green Leafy; Gravy</v>
      </c>
      <c r="C3901" t="str">
        <f>IFERROR(__xludf.DUMMYFUNCTION("""COMPUTED_VALUE"""),"Meats")</f>
        <v>Meats</v>
      </c>
      <c r="D3901">
        <f>IFERROR(__xludf.DUMMYFUNCTION("""COMPUTED_VALUE"""),128.0)</f>
        <v>128</v>
      </c>
      <c r="E3901">
        <f>IFERROR(__xludf.DUMMYFUNCTION("""COMPUTED_VALUE"""),7.16)</f>
        <v>7.16</v>
      </c>
      <c r="F3901">
        <f>IFERROR(__xludf.DUMMYFUNCTION("""COMPUTED_VALUE"""),5.23)</f>
        <v>5.23</v>
      </c>
      <c r="G3901">
        <f>IFERROR(__xludf.DUMMYFUNCTION("""COMPUTED_VALUE"""),11.17)</f>
        <v>11.17</v>
      </c>
    </row>
    <row r="3902">
      <c r="A3902">
        <f>IFERROR(__xludf.DUMMYFUNCTION("""COMPUTED_VALUE"""),783095.0)</f>
        <v>783095</v>
      </c>
      <c r="B3902" t="str">
        <f>IFERROR(__xludf.DUMMYFUNCTION("""COMPUTED_VALUE"""),"Beef Potatoes And Vegetables Excluding Carrots Broccoli And Dark-Green Leafy; Gravy")</f>
        <v>Beef Potatoes And Vegetables Excluding Carrots Broccoli And Dark-Green Leafy; Gravy</v>
      </c>
      <c r="C3902" t="str">
        <f>IFERROR(__xludf.DUMMYFUNCTION("""COMPUTED_VALUE"""),"Meats")</f>
        <v>Meats</v>
      </c>
      <c r="D3902">
        <f>IFERROR(__xludf.DUMMYFUNCTION("""COMPUTED_VALUE"""),125.0)</f>
        <v>125</v>
      </c>
      <c r="E3902">
        <f>IFERROR(__xludf.DUMMYFUNCTION("""COMPUTED_VALUE"""),6.34)</f>
        <v>6.34</v>
      </c>
      <c r="F3902">
        <f>IFERROR(__xludf.DUMMYFUNCTION("""COMPUTED_VALUE"""),5.3)</f>
        <v>5.3</v>
      </c>
      <c r="G3902">
        <f>IFERROR(__xludf.DUMMYFUNCTION("""COMPUTED_VALUE"""),12.36)</f>
        <v>12.36</v>
      </c>
    </row>
    <row r="3903">
      <c r="A3903">
        <f>IFERROR(__xludf.DUMMYFUNCTION("""COMPUTED_VALUE"""),783096.0)</f>
        <v>783096</v>
      </c>
      <c r="B3903" t="str">
        <f>IFERROR(__xludf.DUMMYFUNCTION("""COMPUTED_VALUE"""),"Beef Potatoes And Vegetables Including Carrots Broccoli And/or Dark-Green Leafy; Cream Sauce White Sauce Or Mushroom Sauce")</f>
        <v>Beef Potatoes And Vegetables Including Carrots Broccoli And/or Dark-Green Leafy; Cream Sauce White Sauce Or Mushroom Sauce</v>
      </c>
      <c r="C3903" t="str">
        <f>IFERROR(__xludf.DUMMYFUNCTION("""COMPUTED_VALUE"""),"Meats")</f>
        <v>Meats</v>
      </c>
      <c r="D3903">
        <f>IFERROR(__xludf.DUMMYFUNCTION("""COMPUTED_VALUE"""),127.0)</f>
        <v>127</v>
      </c>
      <c r="E3903">
        <f>IFERROR(__xludf.DUMMYFUNCTION("""COMPUTED_VALUE"""),7.06)</f>
        <v>7.06</v>
      </c>
      <c r="F3903">
        <f>IFERROR(__xludf.DUMMYFUNCTION("""COMPUTED_VALUE"""),5.27)</f>
        <v>5.27</v>
      </c>
      <c r="G3903">
        <f>IFERROR(__xludf.DUMMYFUNCTION("""COMPUTED_VALUE"""),11.13)</f>
        <v>11.13</v>
      </c>
    </row>
    <row r="3904">
      <c r="A3904">
        <f>IFERROR(__xludf.DUMMYFUNCTION("""COMPUTED_VALUE"""),783097.0)</f>
        <v>783097</v>
      </c>
      <c r="B3904" t="str">
        <f>IFERROR(__xludf.DUMMYFUNCTION("""COMPUTED_VALUE"""),"Beef Potatoes And Vegetables Excluding Carrots Broccoli And Dark-Green Leafy; Cream Sauce White Sauce Or Mushroom Sauce")</f>
        <v>Beef Potatoes And Vegetables Excluding Carrots Broccoli And Dark-Green Leafy; Cream Sauce White Sauce Or Mushroom Sauce</v>
      </c>
      <c r="C3904" t="str">
        <f>IFERROR(__xludf.DUMMYFUNCTION("""COMPUTED_VALUE"""),"Meats")</f>
        <v>Meats</v>
      </c>
      <c r="D3904">
        <f>IFERROR(__xludf.DUMMYFUNCTION("""COMPUTED_VALUE"""),127.0)</f>
        <v>127</v>
      </c>
      <c r="E3904">
        <f>IFERROR(__xludf.DUMMYFUNCTION("""COMPUTED_VALUE"""),6.68)</f>
        <v>6.68</v>
      </c>
      <c r="F3904">
        <f>IFERROR(__xludf.DUMMYFUNCTION("""COMPUTED_VALUE"""),5.32)</f>
        <v>5.32</v>
      </c>
      <c r="G3904">
        <f>IFERROR(__xludf.DUMMYFUNCTION("""COMPUTED_VALUE"""),12.19)</f>
        <v>12.19</v>
      </c>
    </row>
    <row r="3905">
      <c r="A3905">
        <f>IFERROR(__xludf.DUMMYFUNCTION("""COMPUTED_VALUE"""),783098.0)</f>
        <v>783098</v>
      </c>
      <c r="B3905" t="str">
        <f>IFERROR(__xludf.DUMMYFUNCTION("""COMPUTED_VALUE"""),"Beef Potatoes And Vegetables Including Carrots Broccoli And/or Dark-Green Leafy; Tomato-Based Sauce")</f>
        <v>Beef Potatoes And Vegetables Including Carrots Broccoli And/or Dark-Green Leafy; Tomato-Based Sauce</v>
      </c>
      <c r="C3905" t="str">
        <f>IFERROR(__xludf.DUMMYFUNCTION("""COMPUTED_VALUE"""),"Meats")</f>
        <v>Meats</v>
      </c>
      <c r="D3905">
        <f>IFERROR(__xludf.DUMMYFUNCTION("""COMPUTED_VALUE"""),125.0)</f>
        <v>125</v>
      </c>
      <c r="E3905">
        <f>IFERROR(__xludf.DUMMYFUNCTION("""COMPUTED_VALUE"""),6.96)</f>
        <v>6.96</v>
      </c>
      <c r="F3905">
        <f>IFERROR(__xludf.DUMMYFUNCTION("""COMPUTED_VALUE"""),5.33)</f>
        <v>5.33</v>
      </c>
      <c r="G3905">
        <f>IFERROR(__xludf.DUMMYFUNCTION("""COMPUTED_VALUE"""),11.13)</f>
        <v>11.13</v>
      </c>
    </row>
    <row r="3906">
      <c r="A3906">
        <f>IFERROR(__xludf.DUMMYFUNCTION("""COMPUTED_VALUE"""),783099.0)</f>
        <v>783099</v>
      </c>
      <c r="B3906" t="str">
        <f>IFERROR(__xludf.DUMMYFUNCTION("""COMPUTED_VALUE"""),"Beef Potatoes And Vegetables Excluding Carrots Broccoli And Dark-Green Leafy; Tomato-Based Sauce")</f>
        <v>Beef Potatoes And Vegetables Excluding Carrots Broccoli And Dark-Green Leafy; Tomato-Based Sauce</v>
      </c>
      <c r="C3906" t="str">
        <f>IFERROR(__xludf.DUMMYFUNCTION("""COMPUTED_VALUE"""),"Meats")</f>
        <v>Meats</v>
      </c>
      <c r="D3906">
        <f>IFERROR(__xludf.DUMMYFUNCTION("""COMPUTED_VALUE"""),125.0)</f>
        <v>125</v>
      </c>
      <c r="E3906">
        <f>IFERROR(__xludf.DUMMYFUNCTION("""COMPUTED_VALUE"""),6.56)</f>
        <v>6.56</v>
      </c>
      <c r="F3906">
        <f>IFERROR(__xludf.DUMMYFUNCTION("""COMPUTED_VALUE"""),5.39)</f>
        <v>5.39</v>
      </c>
      <c r="G3906">
        <f>IFERROR(__xludf.DUMMYFUNCTION("""COMPUTED_VALUE"""),12.28)</f>
        <v>12.28</v>
      </c>
    </row>
    <row r="3907">
      <c r="A3907">
        <f>IFERROR(__xludf.DUMMYFUNCTION("""COMPUTED_VALUE"""),783100.0)</f>
        <v>783100</v>
      </c>
      <c r="B3907" t="str">
        <f>IFERROR(__xludf.DUMMYFUNCTION("""COMPUTED_VALUE"""),"Beef Potatoes And Vegetables Including Carrots Broccoli And/or Dark-Green Leafy; Cheese Sauce")</f>
        <v>Beef Potatoes And Vegetables Including Carrots Broccoli And/or Dark-Green Leafy; Cheese Sauce</v>
      </c>
      <c r="C3907" t="str">
        <f>IFERROR(__xludf.DUMMYFUNCTION("""COMPUTED_VALUE"""),"Meats")</f>
        <v>Meats</v>
      </c>
      <c r="D3907">
        <f>IFERROR(__xludf.DUMMYFUNCTION("""COMPUTED_VALUE"""),127.0)</f>
        <v>127</v>
      </c>
      <c r="E3907">
        <f>IFERROR(__xludf.DUMMYFUNCTION("""COMPUTED_VALUE"""),5.43)</f>
        <v>5.43</v>
      </c>
      <c r="F3907">
        <f>IFERROR(__xludf.DUMMYFUNCTION("""COMPUTED_VALUE"""),8.14)</f>
        <v>8.14</v>
      </c>
      <c r="G3907">
        <f>IFERROR(__xludf.DUMMYFUNCTION("""COMPUTED_VALUE"""),11.82)</f>
        <v>11.82</v>
      </c>
    </row>
    <row r="3908">
      <c r="A3908">
        <f>IFERROR(__xludf.DUMMYFUNCTION("""COMPUTED_VALUE"""),783101.0)</f>
        <v>783101</v>
      </c>
      <c r="B3908" t="str">
        <f>IFERROR(__xludf.DUMMYFUNCTION("""COMPUTED_VALUE"""),"Beef Potatoes And Vegetables Excluding Carrots Broccoli And Dark-Green Leafy; Cheese Sauce")</f>
        <v>Beef Potatoes And Vegetables Excluding Carrots Broccoli And Dark-Green Leafy; Cheese Sauce</v>
      </c>
      <c r="C3908" t="str">
        <f>IFERROR(__xludf.DUMMYFUNCTION("""COMPUTED_VALUE"""),"Meats")</f>
        <v>Meats</v>
      </c>
      <c r="D3908">
        <f>IFERROR(__xludf.DUMMYFUNCTION("""COMPUTED_VALUE"""),131.0)</f>
        <v>131</v>
      </c>
      <c r="E3908">
        <f>IFERROR(__xludf.DUMMYFUNCTION("""COMPUTED_VALUE"""),5.43)</f>
        <v>5.43</v>
      </c>
      <c r="F3908">
        <f>IFERROR(__xludf.DUMMYFUNCTION("""COMPUTED_VALUE"""),8.17)</f>
        <v>8.17</v>
      </c>
      <c r="G3908">
        <f>IFERROR(__xludf.DUMMYFUNCTION("""COMPUTED_VALUE"""),12.97)</f>
        <v>12.97</v>
      </c>
    </row>
    <row r="3909">
      <c r="A3909">
        <f>IFERROR(__xludf.DUMMYFUNCTION("""COMPUTED_VALUE"""),783104.0)</f>
        <v>783104</v>
      </c>
      <c r="B3909" t="str">
        <f>IFERROR(__xludf.DUMMYFUNCTION("""COMPUTED_VALUE"""),"Beef Noodles And Vegetables Including Carrots Broccoli And/or Dark-Green Leafy; No Sauce")</f>
        <v>Beef Noodles And Vegetables Including Carrots Broccoli And/or Dark-Green Leafy; No Sauce</v>
      </c>
      <c r="C3909" t="str">
        <f>IFERROR(__xludf.DUMMYFUNCTION("""COMPUTED_VALUE"""),"Meats")</f>
        <v>Meats</v>
      </c>
      <c r="D3909">
        <f>IFERROR(__xludf.DUMMYFUNCTION("""COMPUTED_VALUE"""),147.0)</f>
        <v>147</v>
      </c>
      <c r="E3909">
        <f>IFERROR(__xludf.DUMMYFUNCTION("""COMPUTED_VALUE"""),5.19)</f>
        <v>5.19</v>
      </c>
      <c r="F3909">
        <f>IFERROR(__xludf.DUMMYFUNCTION("""COMPUTED_VALUE"""),8.71)</f>
        <v>8.71</v>
      </c>
      <c r="G3909">
        <f>IFERROR(__xludf.DUMMYFUNCTION("""COMPUTED_VALUE"""),16.71)</f>
        <v>16.71</v>
      </c>
    </row>
    <row r="3910">
      <c r="A3910">
        <f>IFERROR(__xludf.DUMMYFUNCTION("""COMPUTED_VALUE"""),783105.0)</f>
        <v>783105</v>
      </c>
      <c r="B3910" t="str">
        <f>IFERROR(__xludf.DUMMYFUNCTION("""COMPUTED_VALUE"""),"Beef Noodles And Vegetables Excluding Carrots Broccoli And Dark-Green Leafy; No Sauce")</f>
        <v>Beef Noodles And Vegetables Excluding Carrots Broccoli And Dark-Green Leafy; No Sauce</v>
      </c>
      <c r="C3910" t="str">
        <f>IFERROR(__xludf.DUMMYFUNCTION("""COMPUTED_VALUE"""),"Meats")</f>
        <v>Meats</v>
      </c>
      <c r="D3910">
        <f>IFERROR(__xludf.DUMMYFUNCTION("""COMPUTED_VALUE"""),150.0)</f>
        <v>150</v>
      </c>
      <c r="E3910">
        <f>IFERROR(__xludf.DUMMYFUNCTION("""COMPUTED_VALUE"""),4.91)</f>
        <v>4.91</v>
      </c>
      <c r="F3910">
        <f>IFERROR(__xludf.DUMMYFUNCTION("""COMPUTED_VALUE"""),8.78)</f>
        <v>8.78</v>
      </c>
      <c r="G3910">
        <f>IFERROR(__xludf.DUMMYFUNCTION("""COMPUTED_VALUE"""),18.29)</f>
        <v>18.29</v>
      </c>
    </row>
    <row r="3911">
      <c r="A3911">
        <f>IFERROR(__xludf.DUMMYFUNCTION("""COMPUTED_VALUE"""),783109.0)</f>
        <v>783109</v>
      </c>
      <c r="B3911" t="str">
        <f>IFERROR(__xludf.DUMMYFUNCTION("""COMPUTED_VALUE"""),"Beef Noodles And Vegetables Including Carrots Broccoli And/or Dark-Green Leafy; Tomato-Based Sauce")</f>
        <v>Beef Noodles And Vegetables Including Carrots Broccoli And/or Dark-Green Leafy; Tomato-Based Sauce</v>
      </c>
      <c r="C3911" t="str">
        <f>IFERROR(__xludf.DUMMYFUNCTION("""COMPUTED_VALUE"""),"Meats")</f>
        <v>Meats</v>
      </c>
      <c r="D3911">
        <f>IFERROR(__xludf.DUMMYFUNCTION("""COMPUTED_VALUE"""),125.0)</f>
        <v>125</v>
      </c>
      <c r="E3911">
        <f>IFERROR(__xludf.DUMMYFUNCTION("""COMPUTED_VALUE"""),5.06)</f>
        <v>5.06</v>
      </c>
      <c r="F3911">
        <f>IFERROR(__xludf.DUMMYFUNCTION("""COMPUTED_VALUE"""),6.74)</f>
        <v>6.74</v>
      </c>
      <c r="G3911">
        <f>IFERROR(__xludf.DUMMYFUNCTION("""COMPUTED_VALUE"""),13.74)</f>
        <v>13.74</v>
      </c>
    </row>
    <row r="3912">
      <c r="A3912">
        <f>IFERROR(__xludf.DUMMYFUNCTION("""COMPUTED_VALUE"""),783110.0)</f>
        <v>783110</v>
      </c>
      <c r="B3912" t="str">
        <f>IFERROR(__xludf.DUMMYFUNCTION("""COMPUTED_VALUE"""),"Beef Noodles And Vegetables Excluding Carrots Broccoli And Dark-Green Leafy; Tomato-Based Sauce")</f>
        <v>Beef Noodles And Vegetables Excluding Carrots Broccoli And Dark-Green Leafy; Tomato-Based Sauce</v>
      </c>
      <c r="C3912" t="str">
        <f>IFERROR(__xludf.DUMMYFUNCTION("""COMPUTED_VALUE"""),"Meats")</f>
        <v>Meats</v>
      </c>
      <c r="D3912">
        <f>IFERROR(__xludf.DUMMYFUNCTION("""COMPUTED_VALUE"""),129.0)</f>
        <v>129</v>
      </c>
      <c r="E3912">
        <f>IFERROR(__xludf.DUMMYFUNCTION("""COMPUTED_VALUE"""),5.07)</f>
        <v>5.07</v>
      </c>
      <c r="F3912">
        <f>IFERROR(__xludf.DUMMYFUNCTION("""COMPUTED_VALUE"""),6.77)</f>
        <v>6.77</v>
      </c>
      <c r="G3912">
        <f>IFERROR(__xludf.DUMMYFUNCTION("""COMPUTED_VALUE"""),14.86)</f>
        <v>14.86</v>
      </c>
    </row>
    <row r="3913">
      <c r="A3913">
        <f>IFERROR(__xludf.DUMMYFUNCTION("""COMPUTED_VALUE"""),783111.0)</f>
        <v>783111</v>
      </c>
      <c r="B3913" t="str">
        <f>IFERROR(__xludf.DUMMYFUNCTION("""COMPUTED_VALUE"""),"Beef Noodles And Vegetables Including Carrots Broccoli And/or Dark-Green Leafy; Mushroom Sauce")</f>
        <v>Beef Noodles And Vegetables Including Carrots Broccoli And/or Dark-Green Leafy; Mushroom Sauce</v>
      </c>
      <c r="C3913" t="str">
        <f>IFERROR(__xludf.DUMMYFUNCTION("""COMPUTED_VALUE"""),"Meats")</f>
        <v>Meats</v>
      </c>
      <c r="D3913">
        <f>IFERROR(__xludf.DUMMYFUNCTION("""COMPUTED_VALUE"""),125.0)</f>
        <v>125</v>
      </c>
      <c r="E3913">
        <f>IFERROR(__xludf.DUMMYFUNCTION("""COMPUTED_VALUE"""),5.06)</f>
        <v>5.06</v>
      </c>
      <c r="F3913">
        <f>IFERROR(__xludf.DUMMYFUNCTION("""COMPUTED_VALUE"""),6.6)</f>
        <v>6.6</v>
      </c>
      <c r="G3913">
        <f>IFERROR(__xludf.DUMMYFUNCTION("""COMPUTED_VALUE"""),13.58)</f>
        <v>13.58</v>
      </c>
    </row>
    <row r="3914">
      <c r="A3914">
        <f>IFERROR(__xludf.DUMMYFUNCTION("""COMPUTED_VALUE"""),783112.0)</f>
        <v>783112</v>
      </c>
      <c r="B3914" t="str">
        <f>IFERROR(__xludf.DUMMYFUNCTION("""COMPUTED_VALUE"""),"Beef Noodles And Vegetables Excluding Carrots Broccoli And Dark-Green Leafy; Mushroom Sauce")</f>
        <v>Beef Noodles And Vegetables Excluding Carrots Broccoli And Dark-Green Leafy; Mushroom Sauce</v>
      </c>
      <c r="C3914" t="str">
        <f>IFERROR(__xludf.DUMMYFUNCTION("""COMPUTED_VALUE"""),"Meats")</f>
        <v>Meats</v>
      </c>
      <c r="D3914">
        <f>IFERROR(__xludf.DUMMYFUNCTION("""COMPUTED_VALUE"""),128.0)</f>
        <v>128</v>
      </c>
      <c r="E3914">
        <f>IFERROR(__xludf.DUMMYFUNCTION("""COMPUTED_VALUE"""),5.02)</f>
        <v>5.02</v>
      </c>
      <c r="F3914">
        <f>IFERROR(__xludf.DUMMYFUNCTION("""COMPUTED_VALUE"""),6.62)</f>
        <v>6.62</v>
      </c>
      <c r="G3914">
        <f>IFERROR(__xludf.DUMMYFUNCTION("""COMPUTED_VALUE"""),14.63)</f>
        <v>14.63</v>
      </c>
    </row>
    <row r="3915">
      <c r="A3915">
        <f>IFERROR(__xludf.DUMMYFUNCTION("""COMPUTED_VALUE"""),783113.0)</f>
        <v>783113</v>
      </c>
      <c r="B3915" t="str">
        <f>IFERROR(__xludf.DUMMYFUNCTION("""COMPUTED_VALUE"""),"Beef Noodles And Vegetables Including Carrots Broccoli And/or Dark-Green Leafy; Gravy")</f>
        <v>Beef Noodles And Vegetables Including Carrots Broccoli And/or Dark-Green Leafy; Gravy</v>
      </c>
      <c r="C3915" t="str">
        <f>IFERROR(__xludf.DUMMYFUNCTION("""COMPUTED_VALUE"""),"Meats")</f>
        <v>Meats</v>
      </c>
      <c r="D3915">
        <f>IFERROR(__xludf.DUMMYFUNCTION("""COMPUTED_VALUE"""),127.0)</f>
        <v>127</v>
      </c>
      <c r="E3915">
        <f>IFERROR(__xludf.DUMMYFUNCTION("""COMPUTED_VALUE"""),5.04)</f>
        <v>5.04</v>
      </c>
      <c r="F3915">
        <f>IFERROR(__xludf.DUMMYFUNCTION("""COMPUTED_VALUE"""),6.65)</f>
        <v>6.65</v>
      </c>
      <c r="G3915">
        <f>IFERROR(__xludf.DUMMYFUNCTION("""COMPUTED_VALUE"""),13.81)</f>
        <v>13.81</v>
      </c>
    </row>
    <row r="3916">
      <c r="A3916">
        <f>IFERROR(__xludf.DUMMYFUNCTION("""COMPUTED_VALUE"""),783114.0)</f>
        <v>783114</v>
      </c>
      <c r="B3916" t="str">
        <f>IFERROR(__xludf.DUMMYFUNCTION("""COMPUTED_VALUE"""),"Beef Noodles And Vegetables Excluding Carrots Broccoli And Dark-Green Leafy; Gravy")</f>
        <v>Beef Noodles And Vegetables Excluding Carrots Broccoli And Dark-Green Leafy; Gravy</v>
      </c>
      <c r="C3916" t="str">
        <f>IFERROR(__xludf.DUMMYFUNCTION("""COMPUTED_VALUE"""),"Meats")</f>
        <v>Meats</v>
      </c>
      <c r="D3916">
        <f>IFERROR(__xludf.DUMMYFUNCTION("""COMPUTED_VALUE"""),130.0)</f>
        <v>130</v>
      </c>
      <c r="E3916">
        <f>IFERROR(__xludf.DUMMYFUNCTION("""COMPUTED_VALUE"""),5.05)</f>
        <v>5.05</v>
      </c>
      <c r="F3916">
        <f>IFERROR(__xludf.DUMMYFUNCTION("""COMPUTED_VALUE"""),6.68)</f>
        <v>6.68</v>
      </c>
      <c r="G3916">
        <f>IFERROR(__xludf.DUMMYFUNCTION("""COMPUTED_VALUE"""),14.94)</f>
        <v>14.94</v>
      </c>
    </row>
    <row r="3917">
      <c r="A3917">
        <f>IFERROR(__xludf.DUMMYFUNCTION("""COMPUTED_VALUE"""),783115.0)</f>
        <v>783115</v>
      </c>
      <c r="B3917" t="str">
        <f>IFERROR(__xludf.DUMMYFUNCTION("""COMPUTED_VALUE"""),"Beef Rice And Vegetables Including Carrots Broccoli And/or Dark-Green Leafy; No Sauce")</f>
        <v>Beef Rice And Vegetables Including Carrots Broccoli And/or Dark-Green Leafy; No Sauce</v>
      </c>
      <c r="C3917" t="str">
        <f>IFERROR(__xludf.DUMMYFUNCTION("""COMPUTED_VALUE"""),"Meats")</f>
        <v>Meats</v>
      </c>
      <c r="D3917">
        <f>IFERROR(__xludf.DUMMYFUNCTION("""COMPUTED_VALUE"""),148.0)</f>
        <v>148</v>
      </c>
      <c r="E3917">
        <f>IFERROR(__xludf.DUMMYFUNCTION("""COMPUTED_VALUE"""),4.86)</f>
        <v>4.86</v>
      </c>
      <c r="F3917">
        <f>IFERROR(__xludf.DUMMYFUNCTION("""COMPUTED_VALUE"""),7.54)</f>
        <v>7.54</v>
      </c>
      <c r="G3917">
        <f>IFERROR(__xludf.DUMMYFUNCTION("""COMPUTED_VALUE"""),18.38)</f>
        <v>18.38</v>
      </c>
    </row>
    <row r="3918">
      <c r="A3918">
        <f>IFERROR(__xludf.DUMMYFUNCTION("""COMPUTED_VALUE"""),783116.0)</f>
        <v>783116</v>
      </c>
      <c r="B3918" t="str">
        <f>IFERROR(__xludf.DUMMYFUNCTION("""COMPUTED_VALUE"""),"Beef Rice And Vegetables Excluding Carrots Broccoli And Dark-Green Leafy; No Sauce")</f>
        <v>Beef Rice And Vegetables Excluding Carrots Broccoli And Dark-Green Leafy; No Sauce</v>
      </c>
      <c r="C3918" t="str">
        <f>IFERROR(__xludf.DUMMYFUNCTION("""COMPUTED_VALUE"""),"Meats")</f>
        <v>Meats</v>
      </c>
      <c r="D3918">
        <f>IFERROR(__xludf.DUMMYFUNCTION("""COMPUTED_VALUE"""),149.0)</f>
        <v>149</v>
      </c>
      <c r="E3918">
        <f>IFERROR(__xludf.DUMMYFUNCTION("""COMPUTED_VALUE"""),4.29)</f>
        <v>4.29</v>
      </c>
      <c r="F3918">
        <f>IFERROR(__xludf.DUMMYFUNCTION("""COMPUTED_VALUE"""),7.62)</f>
        <v>7.62</v>
      </c>
      <c r="G3918">
        <f>IFERROR(__xludf.DUMMYFUNCTION("""COMPUTED_VALUE"""),20.0)</f>
        <v>20</v>
      </c>
    </row>
    <row r="3919">
      <c r="A3919">
        <f>IFERROR(__xludf.DUMMYFUNCTION("""COMPUTED_VALUE"""),783117.0)</f>
        <v>783117</v>
      </c>
      <c r="B3919" t="str">
        <f>IFERROR(__xludf.DUMMYFUNCTION("""COMPUTED_VALUE"""),"Beef Rice And Vegetables Including Carrots Broccoli And/or Dark-Green Leafy; Tomato-Based Sauce")</f>
        <v>Beef Rice And Vegetables Including Carrots Broccoli And/or Dark-Green Leafy; Tomato-Based Sauce</v>
      </c>
      <c r="C3919" t="str">
        <f>IFERROR(__xludf.DUMMYFUNCTION("""COMPUTED_VALUE"""),"Meats")</f>
        <v>Meats</v>
      </c>
      <c r="D3919">
        <f>IFERROR(__xludf.DUMMYFUNCTION("""COMPUTED_VALUE"""),131.0)</f>
        <v>131</v>
      </c>
      <c r="E3919">
        <f>IFERROR(__xludf.DUMMYFUNCTION("""COMPUTED_VALUE"""),5.4)</f>
        <v>5.4</v>
      </c>
      <c r="F3919">
        <f>IFERROR(__xludf.DUMMYFUNCTION("""COMPUTED_VALUE"""),5.85)</f>
        <v>5.85</v>
      </c>
      <c r="G3919">
        <f>IFERROR(__xludf.DUMMYFUNCTION("""COMPUTED_VALUE"""),14.9)</f>
        <v>14.9</v>
      </c>
    </row>
    <row r="3920">
      <c r="A3920">
        <f>IFERROR(__xludf.DUMMYFUNCTION("""COMPUTED_VALUE"""),783118.0)</f>
        <v>783118</v>
      </c>
      <c r="B3920" t="str">
        <f>IFERROR(__xludf.DUMMYFUNCTION("""COMPUTED_VALUE"""),"Beef Rice And Vegetables Excluding Carrots Broccoli And/or Dark-Green Leafy; Tomato-Based Sauce")</f>
        <v>Beef Rice And Vegetables Excluding Carrots Broccoli And/or Dark-Green Leafy; Tomato-Based Sauce</v>
      </c>
      <c r="C3920" t="str">
        <f>IFERROR(__xludf.DUMMYFUNCTION("""COMPUTED_VALUE"""),"Meats")</f>
        <v>Meats</v>
      </c>
      <c r="D3920">
        <f>IFERROR(__xludf.DUMMYFUNCTION("""COMPUTED_VALUE"""),131.0)</f>
        <v>131</v>
      </c>
      <c r="E3920">
        <f>IFERROR(__xludf.DUMMYFUNCTION("""COMPUTED_VALUE"""),4.99)</f>
        <v>4.99</v>
      </c>
      <c r="F3920">
        <f>IFERROR(__xludf.DUMMYFUNCTION("""COMPUTED_VALUE"""),5.91)</f>
        <v>5.91</v>
      </c>
      <c r="G3920">
        <f>IFERROR(__xludf.DUMMYFUNCTION("""COMPUTED_VALUE"""),16.08)</f>
        <v>16.08</v>
      </c>
    </row>
    <row r="3921">
      <c r="A3921">
        <f>IFERROR(__xludf.DUMMYFUNCTION("""COMPUTED_VALUE"""),783119.0)</f>
        <v>783119</v>
      </c>
      <c r="B3921" t="str">
        <f>IFERROR(__xludf.DUMMYFUNCTION("""COMPUTED_VALUE"""),"Stuffed Cabbage Rolls With Beef And Rice")</f>
        <v>Stuffed Cabbage Rolls With Beef And Rice</v>
      </c>
      <c r="C3921" t="str">
        <f>IFERROR(__xludf.DUMMYFUNCTION("""COMPUTED_VALUE"""),"Meats")</f>
        <v>Meats</v>
      </c>
      <c r="D3921">
        <f>IFERROR(__xludf.DUMMYFUNCTION("""COMPUTED_VALUE"""),112.0)</f>
        <v>112</v>
      </c>
      <c r="E3921">
        <f>IFERROR(__xludf.DUMMYFUNCTION("""COMPUTED_VALUE"""),5.03)</f>
        <v>5.03</v>
      </c>
      <c r="F3921">
        <f>IFERROR(__xludf.DUMMYFUNCTION("""COMPUTED_VALUE"""),8.45)</f>
        <v>8.45</v>
      </c>
      <c r="G3921">
        <f>IFERROR(__xludf.DUMMYFUNCTION("""COMPUTED_VALUE"""),8.51)</f>
        <v>8.51</v>
      </c>
    </row>
    <row r="3922">
      <c r="A3922">
        <f>IFERROR(__xludf.DUMMYFUNCTION("""COMPUTED_VALUE"""),783120.0)</f>
        <v>783120</v>
      </c>
      <c r="B3922" t="str">
        <f>IFERROR(__xludf.DUMMYFUNCTION("""COMPUTED_VALUE"""),"Stuffed Grape Leaves With Beef And Rice")</f>
        <v>Stuffed Grape Leaves With Beef And Rice</v>
      </c>
      <c r="C3922" t="str">
        <f>IFERROR(__xludf.DUMMYFUNCTION("""COMPUTED_VALUE"""),"Meats")</f>
        <v>Meats</v>
      </c>
      <c r="D3922">
        <f>IFERROR(__xludf.DUMMYFUNCTION("""COMPUTED_VALUE"""),234.0)</f>
        <v>234</v>
      </c>
      <c r="E3922">
        <f>IFERROR(__xludf.DUMMYFUNCTION("""COMPUTED_VALUE"""),18.08)</f>
        <v>18.08</v>
      </c>
      <c r="F3922">
        <f>IFERROR(__xludf.DUMMYFUNCTION("""COMPUTED_VALUE"""),7.9)</f>
        <v>7.9</v>
      </c>
      <c r="G3922">
        <f>IFERROR(__xludf.DUMMYFUNCTION("""COMPUTED_VALUE"""),11.18)</f>
        <v>11.18</v>
      </c>
    </row>
    <row r="3923">
      <c r="A3923">
        <f>IFERROR(__xludf.DUMMYFUNCTION("""COMPUTED_VALUE"""),783121.0)</f>
        <v>783121</v>
      </c>
      <c r="B3923" t="str">
        <f>IFERROR(__xludf.DUMMYFUNCTION("""COMPUTED_VALUE"""),"Beef Rice And Vegetables Including Carrots Broccoli And/or Dark-Green Leafy; Mushroom Sauce")</f>
        <v>Beef Rice And Vegetables Including Carrots Broccoli And/or Dark-Green Leafy; Mushroom Sauce</v>
      </c>
      <c r="C3923" t="str">
        <f>IFERROR(__xludf.DUMMYFUNCTION("""COMPUTED_VALUE"""),"Meats")</f>
        <v>Meats</v>
      </c>
      <c r="D3923">
        <f>IFERROR(__xludf.DUMMYFUNCTION("""COMPUTED_VALUE"""),129.0)</f>
        <v>129</v>
      </c>
      <c r="E3923">
        <f>IFERROR(__xludf.DUMMYFUNCTION("""COMPUTED_VALUE"""),5.22)</f>
        <v>5.22</v>
      </c>
      <c r="F3923">
        <f>IFERROR(__xludf.DUMMYFUNCTION("""COMPUTED_VALUE"""),5.78)</f>
        <v>5.78</v>
      </c>
      <c r="G3923">
        <f>IFERROR(__xludf.DUMMYFUNCTION("""COMPUTED_VALUE"""),14.69)</f>
        <v>14.69</v>
      </c>
    </row>
    <row r="3924">
      <c r="A3924">
        <f>IFERROR(__xludf.DUMMYFUNCTION("""COMPUTED_VALUE"""),783122.0)</f>
        <v>783122</v>
      </c>
      <c r="B3924" t="str">
        <f>IFERROR(__xludf.DUMMYFUNCTION("""COMPUTED_VALUE"""),"Beef Rice And Vegetables Excluding Carrots Broccoli And Dark-Green Leafy; Mushroom Sauce")</f>
        <v>Beef Rice And Vegetables Excluding Carrots Broccoli And Dark-Green Leafy; Mushroom Sauce</v>
      </c>
      <c r="C3924" t="str">
        <f>IFERROR(__xludf.DUMMYFUNCTION("""COMPUTED_VALUE"""),"Meats")</f>
        <v>Meats</v>
      </c>
      <c r="D3924">
        <f>IFERROR(__xludf.DUMMYFUNCTION("""COMPUTED_VALUE"""),133.0)</f>
        <v>133</v>
      </c>
      <c r="E3924">
        <f>IFERROR(__xludf.DUMMYFUNCTION("""COMPUTED_VALUE"""),5.22)</f>
        <v>5.22</v>
      </c>
      <c r="F3924">
        <f>IFERROR(__xludf.DUMMYFUNCTION("""COMPUTED_VALUE"""),5.8)</f>
        <v>5.8</v>
      </c>
      <c r="G3924">
        <f>IFERROR(__xludf.DUMMYFUNCTION("""COMPUTED_VALUE"""),15.73)</f>
        <v>15.73</v>
      </c>
    </row>
    <row r="3925">
      <c r="A3925">
        <f>IFERROR(__xludf.DUMMYFUNCTION("""COMPUTED_VALUE"""),783123.0)</f>
        <v>783123</v>
      </c>
      <c r="B3925" t="str">
        <f>IFERROR(__xludf.DUMMYFUNCTION("""COMPUTED_VALUE"""),"Beef Rice And Vegetables Including Carrots Broccoli And/or Dark-Green Leafy; Cheese Sauce")</f>
        <v>Beef Rice And Vegetables Including Carrots Broccoli And/or Dark-Green Leafy; Cheese Sauce</v>
      </c>
      <c r="C3925" t="str">
        <f>IFERROR(__xludf.DUMMYFUNCTION("""COMPUTED_VALUE"""),"Meats")</f>
        <v>Meats</v>
      </c>
      <c r="D3925">
        <f>IFERROR(__xludf.DUMMYFUNCTION("""COMPUTED_VALUE"""),147.0)</f>
        <v>147</v>
      </c>
      <c r="E3925">
        <f>IFERROR(__xludf.DUMMYFUNCTION("""COMPUTED_VALUE"""),5.51)</f>
        <v>5.51</v>
      </c>
      <c r="F3925">
        <f>IFERROR(__xludf.DUMMYFUNCTION("""COMPUTED_VALUE"""),8.58)</f>
        <v>8.58</v>
      </c>
      <c r="G3925">
        <f>IFERROR(__xludf.DUMMYFUNCTION("""COMPUTED_VALUE"""),15.54)</f>
        <v>15.54</v>
      </c>
    </row>
    <row r="3926">
      <c r="A3926">
        <f>IFERROR(__xludf.DUMMYFUNCTION("""COMPUTED_VALUE"""),783124.0)</f>
        <v>783124</v>
      </c>
      <c r="B3926" t="str">
        <f>IFERROR(__xludf.DUMMYFUNCTION("""COMPUTED_VALUE"""),"Beef Rice And Vegetables Excluding Carrots Broccoli And Dark-Green Leafy; Cheese Sauce")</f>
        <v>Beef Rice And Vegetables Excluding Carrots Broccoli And Dark-Green Leafy; Cheese Sauce</v>
      </c>
      <c r="C3926" t="str">
        <f>IFERROR(__xludf.DUMMYFUNCTION("""COMPUTED_VALUE"""),"Meats")</f>
        <v>Meats</v>
      </c>
      <c r="D3926">
        <f>IFERROR(__xludf.DUMMYFUNCTION("""COMPUTED_VALUE"""),143.0)</f>
        <v>143</v>
      </c>
      <c r="E3926">
        <f>IFERROR(__xludf.DUMMYFUNCTION("""COMPUTED_VALUE"""),5.24)</f>
        <v>5.24</v>
      </c>
      <c r="F3926">
        <f>IFERROR(__xludf.DUMMYFUNCTION("""COMPUTED_VALUE"""),8.18)</f>
        <v>8.18</v>
      </c>
      <c r="G3926">
        <f>IFERROR(__xludf.DUMMYFUNCTION("""COMPUTED_VALUE"""),15.85)</f>
        <v>15.85</v>
      </c>
    </row>
    <row r="3927">
      <c r="A3927">
        <f>IFERROR(__xludf.DUMMYFUNCTION("""COMPUTED_VALUE"""),783125.0)</f>
        <v>783125</v>
      </c>
      <c r="B3927" t="str">
        <f>IFERROR(__xludf.DUMMYFUNCTION("""COMPUTED_VALUE"""),"Beef Rice And Vegetables Including Carrots Broccoli And/or Dark-Green Leafy; Gravy")</f>
        <v>Beef Rice And Vegetables Including Carrots Broccoli And/or Dark-Green Leafy; Gravy</v>
      </c>
      <c r="C3927" t="str">
        <f>IFERROR(__xludf.DUMMYFUNCTION("""COMPUTED_VALUE"""),"Meats")</f>
        <v>Meats</v>
      </c>
      <c r="D3927">
        <f>IFERROR(__xludf.DUMMYFUNCTION("""COMPUTED_VALUE"""),130.0)</f>
        <v>130</v>
      </c>
      <c r="E3927">
        <f>IFERROR(__xludf.DUMMYFUNCTION("""COMPUTED_VALUE"""),5.18)</f>
        <v>5.18</v>
      </c>
      <c r="F3927">
        <f>IFERROR(__xludf.DUMMYFUNCTION("""COMPUTED_VALUE"""),5.77)</f>
        <v>5.77</v>
      </c>
      <c r="G3927">
        <f>IFERROR(__xludf.DUMMYFUNCTION("""COMPUTED_VALUE"""),15.01)</f>
        <v>15.01</v>
      </c>
    </row>
    <row r="3928">
      <c r="A3928">
        <f>IFERROR(__xludf.DUMMYFUNCTION("""COMPUTED_VALUE"""),783126.0)</f>
        <v>783126</v>
      </c>
      <c r="B3928" t="str">
        <f>IFERROR(__xludf.DUMMYFUNCTION("""COMPUTED_VALUE"""),"Beef Rice And Vegetables Excluding Carrots Broccoli And Dark-Green Leafy; Gravy")</f>
        <v>Beef Rice And Vegetables Excluding Carrots Broccoli And Dark-Green Leafy; Gravy</v>
      </c>
      <c r="C3928" t="str">
        <f>IFERROR(__xludf.DUMMYFUNCTION("""COMPUTED_VALUE"""),"Meats")</f>
        <v>Meats</v>
      </c>
      <c r="D3928">
        <f>IFERROR(__xludf.DUMMYFUNCTION("""COMPUTED_VALUE"""),134.0)</f>
        <v>134</v>
      </c>
      <c r="E3928">
        <f>IFERROR(__xludf.DUMMYFUNCTION("""COMPUTED_VALUE"""),5.18)</f>
        <v>5.18</v>
      </c>
      <c r="F3928">
        <f>IFERROR(__xludf.DUMMYFUNCTION("""COMPUTED_VALUE"""),5.8)</f>
        <v>5.8</v>
      </c>
      <c r="G3928">
        <f>IFERROR(__xludf.DUMMYFUNCTION("""COMPUTED_VALUE"""),16.13)</f>
        <v>16.13</v>
      </c>
    </row>
    <row r="3929">
      <c r="A3929">
        <f>IFERROR(__xludf.DUMMYFUNCTION("""COMPUTED_VALUE"""),783129.0)</f>
        <v>783129</v>
      </c>
      <c r="B3929" t="str">
        <f>IFERROR(__xludf.DUMMYFUNCTION("""COMPUTED_VALUE"""),"Beef Pot Pie")</f>
        <v>Beef Pot Pie</v>
      </c>
      <c r="C3929" t="str">
        <f>IFERROR(__xludf.DUMMYFUNCTION("""COMPUTED_VALUE"""),"Meats")</f>
        <v>Meats</v>
      </c>
      <c r="D3929">
        <f>IFERROR(__xludf.DUMMYFUNCTION("""COMPUTED_VALUE"""),223.0)</f>
        <v>223</v>
      </c>
      <c r="E3929">
        <f>IFERROR(__xludf.DUMMYFUNCTION("""COMPUTED_VALUE"""),13.5)</f>
        <v>13.5</v>
      </c>
      <c r="F3929">
        <f>IFERROR(__xludf.DUMMYFUNCTION("""COMPUTED_VALUE"""),7.99)</f>
        <v>7.99</v>
      </c>
      <c r="G3929">
        <f>IFERROR(__xludf.DUMMYFUNCTION("""COMPUTED_VALUE"""),17.09)</f>
        <v>17.09</v>
      </c>
    </row>
    <row r="3930">
      <c r="A3930">
        <f>IFERROR(__xludf.DUMMYFUNCTION("""COMPUTED_VALUE"""),783130.0)</f>
        <v>783130</v>
      </c>
      <c r="B3930" t="str">
        <f>IFERROR(__xludf.DUMMYFUNCTION("""COMPUTED_VALUE"""),"Beef Dumplings And Vegetables Including Carrots Broccoli And/or Dark-Green Leafy; Gravy")</f>
        <v>Beef Dumplings And Vegetables Including Carrots Broccoli And/or Dark-Green Leafy; Gravy</v>
      </c>
      <c r="C3930" t="str">
        <f>IFERROR(__xludf.DUMMYFUNCTION("""COMPUTED_VALUE"""),"Meats")</f>
        <v>Meats</v>
      </c>
      <c r="D3930">
        <f>IFERROR(__xludf.DUMMYFUNCTION("""COMPUTED_VALUE"""),127.0)</f>
        <v>127</v>
      </c>
      <c r="E3930">
        <f>IFERROR(__xludf.DUMMYFUNCTION("""COMPUTED_VALUE"""),6.3)</f>
        <v>6.3</v>
      </c>
      <c r="F3930">
        <f>IFERROR(__xludf.DUMMYFUNCTION("""COMPUTED_VALUE"""),6.08)</f>
        <v>6.08</v>
      </c>
      <c r="G3930">
        <f>IFERROR(__xludf.DUMMYFUNCTION("""COMPUTED_VALUE"""),11.59)</f>
        <v>11.59</v>
      </c>
    </row>
    <row r="3931">
      <c r="A3931">
        <f>IFERROR(__xludf.DUMMYFUNCTION("""COMPUTED_VALUE"""),783131.0)</f>
        <v>783131</v>
      </c>
      <c r="B3931" t="str">
        <f>IFERROR(__xludf.DUMMYFUNCTION("""COMPUTED_VALUE"""),"Beef Dumplings And Vegetables Excluding Carrots Broccoli And Dark-Green Leafy; Gravy")</f>
        <v>Beef Dumplings And Vegetables Excluding Carrots Broccoli And Dark-Green Leafy; Gravy</v>
      </c>
      <c r="C3931" t="str">
        <f>IFERROR(__xludf.DUMMYFUNCTION("""COMPUTED_VALUE"""),"Meats")</f>
        <v>Meats</v>
      </c>
      <c r="D3931">
        <f>IFERROR(__xludf.DUMMYFUNCTION("""COMPUTED_VALUE"""),129.0)</f>
        <v>129</v>
      </c>
      <c r="E3931">
        <f>IFERROR(__xludf.DUMMYFUNCTION("""COMPUTED_VALUE"""),6.09)</f>
        <v>6.09</v>
      </c>
      <c r="F3931">
        <f>IFERROR(__xludf.DUMMYFUNCTION("""COMPUTED_VALUE"""),6.12)</f>
        <v>6.12</v>
      </c>
      <c r="G3931">
        <f>IFERROR(__xludf.DUMMYFUNCTION("""COMPUTED_VALUE"""),12.74)</f>
        <v>12.74</v>
      </c>
    </row>
    <row r="3932">
      <c r="A3932">
        <f>IFERROR(__xludf.DUMMYFUNCTION("""COMPUTED_VALUE"""),783132.0)</f>
        <v>783132</v>
      </c>
      <c r="B3932" t="str">
        <f>IFERROR(__xludf.DUMMYFUNCTION("""COMPUTED_VALUE"""),"Stuffed Green Pepper Puerto Rican Style")</f>
        <v>Stuffed Green Pepper Puerto Rican Style</v>
      </c>
      <c r="C3932" t="str">
        <f>IFERROR(__xludf.DUMMYFUNCTION("""COMPUTED_VALUE"""),"Meats")</f>
        <v>Meats</v>
      </c>
      <c r="D3932">
        <f>IFERROR(__xludf.DUMMYFUNCTION("""COMPUTED_VALUE"""),161.0)</f>
        <v>161</v>
      </c>
      <c r="E3932">
        <f>IFERROR(__xludf.DUMMYFUNCTION("""COMPUTED_VALUE"""),7.23)</f>
        <v>7.23</v>
      </c>
      <c r="F3932">
        <f>IFERROR(__xludf.DUMMYFUNCTION("""COMPUTED_VALUE"""),8.63)</f>
        <v>8.63</v>
      </c>
      <c r="G3932">
        <f>IFERROR(__xludf.DUMMYFUNCTION("""COMPUTED_VALUE"""),15.56)</f>
        <v>15.56</v>
      </c>
    </row>
    <row r="3933">
      <c r="A3933">
        <f>IFERROR(__xludf.DUMMYFUNCTION("""COMPUTED_VALUE"""),783133.0)</f>
        <v>783133</v>
      </c>
      <c r="B3933" t="str">
        <f>IFERROR(__xludf.DUMMYFUNCTION("""COMPUTED_VALUE"""),"Ham Pot Pie")</f>
        <v>Ham Pot Pie</v>
      </c>
      <c r="C3933" t="str">
        <f>IFERROR(__xludf.DUMMYFUNCTION("""COMPUTED_VALUE"""),"Meats")</f>
        <v>Meats</v>
      </c>
      <c r="D3933">
        <f>IFERROR(__xludf.DUMMYFUNCTION("""COMPUTED_VALUE"""),233.0)</f>
        <v>233</v>
      </c>
      <c r="E3933">
        <f>IFERROR(__xludf.DUMMYFUNCTION("""COMPUTED_VALUE"""),14.16)</f>
        <v>14.16</v>
      </c>
      <c r="F3933">
        <f>IFERROR(__xludf.DUMMYFUNCTION("""COMPUTED_VALUE"""),7.99)</f>
        <v>7.99</v>
      </c>
      <c r="G3933">
        <f>IFERROR(__xludf.DUMMYFUNCTION("""COMPUTED_VALUE"""),18.48)</f>
        <v>18.48</v>
      </c>
    </row>
    <row r="3934">
      <c r="A3934">
        <f>IFERROR(__xludf.DUMMYFUNCTION("""COMPUTED_VALUE"""),783134.0)</f>
        <v>783134</v>
      </c>
      <c r="B3934" t="str">
        <f>IFERROR(__xludf.DUMMYFUNCTION("""COMPUTED_VALUE"""),"Ham Or Pork Noodles And Vegetables Excluding Carrots Broccoli And Dark-Green Leafy; No Sauce")</f>
        <v>Ham Or Pork Noodles And Vegetables Excluding Carrots Broccoli And Dark-Green Leafy; No Sauce</v>
      </c>
      <c r="C3934" t="str">
        <f>IFERROR(__xludf.DUMMYFUNCTION("""COMPUTED_VALUE"""),"Meats")</f>
        <v>Meats</v>
      </c>
      <c r="D3934">
        <f>IFERROR(__xludf.DUMMYFUNCTION("""COMPUTED_VALUE"""),150.0)</f>
        <v>150</v>
      </c>
      <c r="E3934">
        <f>IFERROR(__xludf.DUMMYFUNCTION("""COMPUTED_VALUE"""),4.91)</f>
        <v>4.91</v>
      </c>
      <c r="F3934">
        <f>IFERROR(__xludf.DUMMYFUNCTION("""COMPUTED_VALUE"""),8.42)</f>
        <v>8.42</v>
      </c>
      <c r="G3934">
        <f>IFERROR(__xludf.DUMMYFUNCTION("""COMPUTED_VALUE"""),18.31)</f>
        <v>18.31</v>
      </c>
    </row>
    <row r="3935">
      <c r="A3935">
        <f>IFERROR(__xludf.DUMMYFUNCTION("""COMPUTED_VALUE"""),783135.0)</f>
        <v>783135</v>
      </c>
      <c r="B3935" t="str">
        <f>IFERROR(__xludf.DUMMYFUNCTION("""COMPUTED_VALUE"""),"Ham Or Pork Noodles And Vegetables Including Carrots Broccoli And/or Dark-Green Leafy; No Sauce")</f>
        <v>Ham Or Pork Noodles And Vegetables Including Carrots Broccoli And/or Dark-Green Leafy; No Sauce</v>
      </c>
      <c r="C3935" t="str">
        <f>IFERROR(__xludf.DUMMYFUNCTION("""COMPUTED_VALUE"""),"Meats")</f>
        <v>Meats</v>
      </c>
      <c r="D3935">
        <f>IFERROR(__xludf.DUMMYFUNCTION("""COMPUTED_VALUE"""),147.0)</f>
        <v>147</v>
      </c>
      <c r="E3935">
        <f>IFERROR(__xludf.DUMMYFUNCTION("""COMPUTED_VALUE"""),5.19)</f>
        <v>5.19</v>
      </c>
      <c r="F3935">
        <f>IFERROR(__xludf.DUMMYFUNCTION("""COMPUTED_VALUE"""),8.35)</f>
        <v>8.35</v>
      </c>
      <c r="G3935">
        <f>IFERROR(__xludf.DUMMYFUNCTION("""COMPUTED_VALUE"""),16.74)</f>
        <v>16.74</v>
      </c>
    </row>
    <row r="3936">
      <c r="A3936">
        <f>IFERROR(__xludf.DUMMYFUNCTION("""COMPUTED_VALUE"""),783136.0)</f>
        <v>783136</v>
      </c>
      <c r="B3936" t="str">
        <f>IFERROR(__xludf.DUMMYFUNCTION("""COMPUTED_VALUE"""),"Ham Or Pork Noodles And Vegetables Excluding Carrots Broccoli And Dark-Green Leafy; Cheese Sauce")</f>
        <v>Ham Or Pork Noodles And Vegetables Excluding Carrots Broccoli And Dark-Green Leafy; Cheese Sauce</v>
      </c>
      <c r="C3936" t="str">
        <f>IFERROR(__xludf.DUMMYFUNCTION("""COMPUTED_VALUE"""),"Meats")</f>
        <v>Meats</v>
      </c>
      <c r="D3936">
        <f>IFERROR(__xludf.DUMMYFUNCTION("""COMPUTED_VALUE"""),155.0)</f>
        <v>155</v>
      </c>
      <c r="E3936">
        <f>IFERROR(__xludf.DUMMYFUNCTION("""COMPUTED_VALUE"""),6.42)</f>
        <v>6.42</v>
      </c>
      <c r="F3936">
        <f>IFERROR(__xludf.DUMMYFUNCTION("""COMPUTED_VALUE"""),9.18)</f>
        <v>9.18</v>
      </c>
      <c r="G3936">
        <f>IFERROR(__xludf.DUMMYFUNCTION("""COMPUTED_VALUE"""),15.32)</f>
        <v>15.32</v>
      </c>
    </row>
    <row r="3937">
      <c r="A3937">
        <f>IFERROR(__xludf.DUMMYFUNCTION("""COMPUTED_VALUE"""),783137.0)</f>
        <v>783137</v>
      </c>
      <c r="B3937" t="str">
        <f>IFERROR(__xludf.DUMMYFUNCTION("""COMPUTED_VALUE"""),"Pork Potatoes And Vegetables Including Carrots Broccoli And/or Dark-Green Leafy; No Sauce")</f>
        <v>Pork Potatoes And Vegetables Including Carrots Broccoli And/or Dark-Green Leafy; No Sauce</v>
      </c>
      <c r="C3937" t="str">
        <f>IFERROR(__xludf.DUMMYFUNCTION("""COMPUTED_VALUE"""),"Meats")</f>
        <v>Meats</v>
      </c>
      <c r="D3937">
        <f>IFERROR(__xludf.DUMMYFUNCTION("""COMPUTED_VALUE"""),128.0)</f>
        <v>128</v>
      </c>
      <c r="E3937">
        <f>IFERROR(__xludf.DUMMYFUNCTION("""COMPUTED_VALUE"""),5.43)</f>
        <v>5.43</v>
      </c>
      <c r="F3937">
        <f>IFERROR(__xludf.DUMMYFUNCTION("""COMPUTED_VALUE"""),6.55)</f>
        <v>6.55</v>
      </c>
      <c r="G3937">
        <f>IFERROR(__xludf.DUMMYFUNCTION("""COMPUTED_VALUE"""),13.44)</f>
        <v>13.44</v>
      </c>
    </row>
    <row r="3938">
      <c r="A3938">
        <f>IFERROR(__xludf.DUMMYFUNCTION("""COMPUTED_VALUE"""),783138.0)</f>
        <v>783138</v>
      </c>
      <c r="B3938" t="str">
        <f>IFERROR(__xludf.DUMMYFUNCTION("""COMPUTED_VALUE"""),"Ham Or Pork Noodles And Vegetables Including Carrots Broccoli And/or Dark-Green Leafy; Tomato-Based Sauce")</f>
        <v>Ham Or Pork Noodles And Vegetables Including Carrots Broccoli And/or Dark-Green Leafy; Tomato-Based Sauce</v>
      </c>
      <c r="C3938" t="str">
        <f>IFERROR(__xludf.DUMMYFUNCTION("""COMPUTED_VALUE"""),"Meats")</f>
        <v>Meats</v>
      </c>
      <c r="D3938">
        <f>IFERROR(__xludf.DUMMYFUNCTION("""COMPUTED_VALUE"""),125.0)</f>
        <v>125</v>
      </c>
      <c r="E3938">
        <f>IFERROR(__xludf.DUMMYFUNCTION("""COMPUTED_VALUE"""),5.02)</f>
        <v>5.02</v>
      </c>
      <c r="F3938">
        <f>IFERROR(__xludf.DUMMYFUNCTION("""COMPUTED_VALUE"""),6.48)</f>
        <v>6.48</v>
      </c>
      <c r="G3938">
        <f>IFERROR(__xludf.DUMMYFUNCTION("""COMPUTED_VALUE"""),13.75)</f>
        <v>13.75</v>
      </c>
    </row>
    <row r="3939">
      <c r="A3939">
        <f>IFERROR(__xludf.DUMMYFUNCTION("""COMPUTED_VALUE"""),783139.0)</f>
        <v>783139</v>
      </c>
      <c r="B3939" t="str">
        <f>IFERROR(__xludf.DUMMYFUNCTION("""COMPUTED_VALUE"""),"Sausage Noodles And Vegetables Excluding Carrots Broccoli And Dark-Green Leafy; Tomato-Based Sauce")</f>
        <v>Sausage Noodles And Vegetables Excluding Carrots Broccoli And Dark-Green Leafy; Tomato-Based Sauce</v>
      </c>
      <c r="C3939" t="str">
        <f>IFERROR(__xludf.DUMMYFUNCTION("""COMPUTED_VALUE"""),"Meats")</f>
        <v>Meats</v>
      </c>
      <c r="D3939">
        <f>IFERROR(__xludf.DUMMYFUNCTION("""COMPUTED_VALUE"""),131.0)</f>
        <v>131</v>
      </c>
      <c r="E3939">
        <f>IFERROR(__xludf.DUMMYFUNCTION("""COMPUTED_VALUE"""),5.69)</f>
        <v>5.69</v>
      </c>
      <c r="F3939">
        <f>IFERROR(__xludf.DUMMYFUNCTION("""COMPUTED_VALUE"""),5.26)</f>
        <v>5.26</v>
      </c>
      <c r="G3939">
        <f>IFERROR(__xludf.DUMMYFUNCTION("""COMPUTED_VALUE"""),15.34)</f>
        <v>15.34</v>
      </c>
    </row>
    <row r="3940">
      <c r="A3940">
        <f>IFERROR(__xludf.DUMMYFUNCTION("""COMPUTED_VALUE"""),783140.0)</f>
        <v>783140</v>
      </c>
      <c r="B3940" t="str">
        <f>IFERROR(__xludf.DUMMYFUNCTION("""COMPUTED_VALUE"""),"Sausage Noodles And Vegetables Including Carrots Broccoli And/or Dark-Green Leafy; Tomato-Based Sauce")</f>
        <v>Sausage Noodles And Vegetables Including Carrots Broccoli And/or Dark-Green Leafy; Tomato-Based Sauce</v>
      </c>
      <c r="C3940" t="str">
        <f>IFERROR(__xludf.DUMMYFUNCTION("""COMPUTED_VALUE"""),"Meats")</f>
        <v>Meats</v>
      </c>
      <c r="D3940">
        <f>IFERROR(__xludf.DUMMYFUNCTION("""COMPUTED_VALUE"""),127.0)</f>
        <v>127</v>
      </c>
      <c r="E3940">
        <f>IFERROR(__xludf.DUMMYFUNCTION("""COMPUTED_VALUE"""),5.69)</f>
        <v>5.69</v>
      </c>
      <c r="F3940">
        <f>IFERROR(__xludf.DUMMYFUNCTION("""COMPUTED_VALUE"""),5.22)</f>
        <v>5.22</v>
      </c>
      <c r="G3940">
        <f>IFERROR(__xludf.DUMMYFUNCTION("""COMPUTED_VALUE"""),14.19)</f>
        <v>14.19</v>
      </c>
    </row>
    <row r="3941">
      <c r="A3941">
        <f>IFERROR(__xludf.DUMMYFUNCTION("""COMPUTED_VALUE"""),783141.0)</f>
        <v>783141</v>
      </c>
      <c r="B3941" t="str">
        <f>IFERROR(__xludf.DUMMYFUNCTION("""COMPUTED_VALUE"""),"Pork Potatoes And Vegetables Including Carrots Broccoli And/or Dark-Green Leafy; Tomato-Based Sauce")</f>
        <v>Pork Potatoes And Vegetables Including Carrots Broccoli And/or Dark-Green Leafy; Tomato-Based Sauce</v>
      </c>
      <c r="C3941" t="str">
        <f>IFERROR(__xludf.DUMMYFUNCTION("""COMPUTED_VALUE"""),"Meats")</f>
        <v>Meats</v>
      </c>
      <c r="D3941">
        <f>IFERROR(__xludf.DUMMYFUNCTION("""COMPUTED_VALUE"""),126.0)</f>
        <v>126</v>
      </c>
      <c r="E3941">
        <f>IFERROR(__xludf.DUMMYFUNCTION("""COMPUTED_VALUE"""),7.07)</f>
        <v>7.07</v>
      </c>
      <c r="F3941">
        <f>IFERROR(__xludf.DUMMYFUNCTION("""COMPUTED_VALUE"""),5.01)</f>
        <v>5.01</v>
      </c>
      <c r="G3941">
        <f>IFERROR(__xludf.DUMMYFUNCTION("""COMPUTED_VALUE"""),11.29)</f>
        <v>11.29</v>
      </c>
    </row>
    <row r="3942">
      <c r="A3942">
        <f>IFERROR(__xludf.DUMMYFUNCTION("""COMPUTED_VALUE"""),783142.0)</f>
        <v>783142</v>
      </c>
      <c r="B3942" t="str">
        <f>IFERROR(__xludf.DUMMYFUNCTION("""COMPUTED_VALUE"""),"Pork Potatoes And Vegetables Excluding Carrots Broccoli And Dark-Green Leafy; Tomato-Based Sauce")</f>
        <v>Pork Potatoes And Vegetables Excluding Carrots Broccoli And Dark-Green Leafy; Tomato-Based Sauce</v>
      </c>
      <c r="C3942" t="str">
        <f>IFERROR(__xludf.DUMMYFUNCTION("""COMPUTED_VALUE"""),"Meats")</f>
        <v>Meats</v>
      </c>
      <c r="D3942">
        <f>IFERROR(__xludf.DUMMYFUNCTION("""COMPUTED_VALUE"""),126.0)</f>
        <v>126</v>
      </c>
      <c r="E3942">
        <f>IFERROR(__xludf.DUMMYFUNCTION("""COMPUTED_VALUE"""),6.64)</f>
        <v>6.64</v>
      </c>
      <c r="F3942">
        <f>IFERROR(__xludf.DUMMYFUNCTION("""COMPUTED_VALUE"""),5.12)</f>
        <v>5.12</v>
      </c>
      <c r="G3942">
        <f>IFERROR(__xludf.DUMMYFUNCTION("""COMPUTED_VALUE"""),12.28)</f>
        <v>12.28</v>
      </c>
    </row>
    <row r="3943">
      <c r="A3943">
        <f>IFERROR(__xludf.DUMMYFUNCTION("""COMPUTED_VALUE"""),783143.0)</f>
        <v>783143</v>
      </c>
      <c r="B3943" t="str">
        <f>IFERROR(__xludf.DUMMYFUNCTION("""COMPUTED_VALUE"""),"Sausage Potatoes And Vegetables Including Carrots Broccoli And/or Dark-Green Leafy; Gravy")</f>
        <v>Sausage Potatoes And Vegetables Including Carrots Broccoli And/or Dark-Green Leafy; Gravy</v>
      </c>
      <c r="C3943" t="str">
        <f>IFERROR(__xludf.DUMMYFUNCTION("""COMPUTED_VALUE"""),"Meats")</f>
        <v>Meats</v>
      </c>
      <c r="D3943">
        <f>IFERROR(__xludf.DUMMYFUNCTION("""COMPUTED_VALUE"""),127.0)</f>
        <v>127</v>
      </c>
      <c r="E3943">
        <f>IFERROR(__xludf.DUMMYFUNCTION("""COMPUTED_VALUE"""),7.53)</f>
        <v>7.53</v>
      </c>
      <c r="F3943">
        <f>IFERROR(__xludf.DUMMYFUNCTION("""COMPUTED_VALUE"""),3.73)</f>
        <v>3.73</v>
      </c>
      <c r="G3943">
        <f>IFERROR(__xludf.DUMMYFUNCTION("""COMPUTED_VALUE"""),11.61)</f>
        <v>11.61</v>
      </c>
    </row>
    <row r="3944">
      <c r="A3944">
        <f>IFERROR(__xludf.DUMMYFUNCTION("""COMPUTED_VALUE"""),783144.0)</f>
        <v>783144</v>
      </c>
      <c r="B3944" t="str">
        <f>IFERROR(__xludf.DUMMYFUNCTION("""COMPUTED_VALUE"""),"Sausage Potatoes And Vegetables Excluding Carrots Broccoli And Dark-Green Leafy; Gravy")</f>
        <v>Sausage Potatoes And Vegetables Excluding Carrots Broccoli And Dark-Green Leafy; Gravy</v>
      </c>
      <c r="C3944" t="str">
        <f>IFERROR(__xludf.DUMMYFUNCTION("""COMPUTED_VALUE"""),"Meats")</f>
        <v>Meats</v>
      </c>
      <c r="D3944">
        <f>IFERROR(__xludf.DUMMYFUNCTION("""COMPUTED_VALUE"""),128.0)</f>
        <v>128</v>
      </c>
      <c r="E3944">
        <f>IFERROR(__xludf.DUMMYFUNCTION("""COMPUTED_VALUE"""),7.12)</f>
        <v>7.12</v>
      </c>
      <c r="F3944">
        <f>IFERROR(__xludf.DUMMYFUNCTION("""COMPUTED_VALUE"""),3.78)</f>
        <v>3.78</v>
      </c>
      <c r="G3944">
        <f>IFERROR(__xludf.DUMMYFUNCTION("""COMPUTED_VALUE"""),12.78)</f>
        <v>12.78</v>
      </c>
    </row>
    <row r="3945">
      <c r="A3945">
        <f>IFERROR(__xludf.DUMMYFUNCTION("""COMPUTED_VALUE"""),783145.0)</f>
        <v>783145</v>
      </c>
      <c r="B3945" t="str">
        <f>IFERROR(__xludf.DUMMYFUNCTION("""COMPUTED_VALUE"""),"Pork Potatoes And Vegetables Including Carrots Broccoli And/or Dark-Green Leafy; Gravy")</f>
        <v>Pork Potatoes And Vegetables Including Carrots Broccoli And/or Dark-Green Leafy; Gravy</v>
      </c>
      <c r="C3945" t="str">
        <f>IFERROR(__xludf.DUMMYFUNCTION("""COMPUTED_VALUE"""),"Meats")</f>
        <v>Meats</v>
      </c>
      <c r="D3945">
        <f>IFERROR(__xludf.DUMMYFUNCTION("""COMPUTED_VALUE"""),125.0)</f>
        <v>125</v>
      </c>
      <c r="E3945">
        <f>IFERROR(__xludf.DUMMYFUNCTION("""COMPUTED_VALUE"""),6.84)</f>
        <v>6.84</v>
      </c>
      <c r="F3945">
        <f>IFERROR(__xludf.DUMMYFUNCTION("""COMPUTED_VALUE"""),4.98)</f>
        <v>4.98</v>
      </c>
      <c r="G3945">
        <f>IFERROR(__xludf.DUMMYFUNCTION("""COMPUTED_VALUE"""),11.22)</f>
        <v>11.22</v>
      </c>
    </row>
    <row r="3946">
      <c r="A3946">
        <f>IFERROR(__xludf.DUMMYFUNCTION("""COMPUTED_VALUE"""),783146.0)</f>
        <v>783146</v>
      </c>
      <c r="B3946" t="str">
        <f>IFERROR(__xludf.DUMMYFUNCTION("""COMPUTED_VALUE"""),"Pork Potatoes And Vegetables Excluding Carrots Broccoli And Dark-Green Leafy; Gravy")</f>
        <v>Pork Potatoes And Vegetables Excluding Carrots Broccoli And Dark-Green Leafy; Gravy</v>
      </c>
      <c r="C3946" t="str">
        <f>IFERROR(__xludf.DUMMYFUNCTION("""COMPUTED_VALUE"""),"Meats")</f>
        <v>Meats</v>
      </c>
      <c r="D3946">
        <f>IFERROR(__xludf.DUMMYFUNCTION("""COMPUTED_VALUE"""),126.0)</f>
        <v>126</v>
      </c>
      <c r="E3946">
        <f>IFERROR(__xludf.DUMMYFUNCTION("""COMPUTED_VALUE"""),6.43)</f>
        <v>6.43</v>
      </c>
      <c r="F3946">
        <f>IFERROR(__xludf.DUMMYFUNCTION("""COMPUTED_VALUE"""),5.03)</f>
        <v>5.03</v>
      </c>
      <c r="G3946">
        <f>IFERROR(__xludf.DUMMYFUNCTION("""COMPUTED_VALUE"""),12.37)</f>
        <v>12.37</v>
      </c>
    </row>
    <row r="3947">
      <c r="A3947">
        <f>IFERROR(__xludf.DUMMYFUNCTION("""COMPUTED_VALUE"""),783147.0)</f>
        <v>783147</v>
      </c>
      <c r="B3947" t="str">
        <f>IFERROR(__xludf.DUMMYFUNCTION("""COMPUTED_VALUE"""),"Pork Potatoes And Vegetables Excluding Carrots Broccoli And Dark-Green Leafy; No Sauce")</f>
        <v>Pork Potatoes And Vegetables Excluding Carrots Broccoli And Dark-Green Leafy; No Sauce</v>
      </c>
      <c r="C3947" t="str">
        <f>IFERROR(__xludf.DUMMYFUNCTION("""COMPUTED_VALUE"""),"Meats")</f>
        <v>Meats</v>
      </c>
      <c r="D3947">
        <f>IFERROR(__xludf.DUMMYFUNCTION("""COMPUTED_VALUE"""),133.0)</f>
        <v>133</v>
      </c>
      <c r="E3947">
        <f>IFERROR(__xludf.DUMMYFUNCTION("""COMPUTED_VALUE"""),5.44)</f>
        <v>5.44</v>
      </c>
      <c r="F3947">
        <f>IFERROR(__xludf.DUMMYFUNCTION("""COMPUTED_VALUE"""),6.59)</f>
        <v>6.59</v>
      </c>
      <c r="G3947">
        <f>IFERROR(__xludf.DUMMYFUNCTION("""COMPUTED_VALUE"""),14.94)</f>
        <v>14.94</v>
      </c>
    </row>
    <row r="3948">
      <c r="A3948">
        <f>IFERROR(__xludf.DUMMYFUNCTION("""COMPUTED_VALUE"""),783151.0)</f>
        <v>783151</v>
      </c>
      <c r="B3948" t="str">
        <f>IFERROR(__xludf.DUMMYFUNCTION("""COMPUTED_VALUE"""),"Pork Rice And Vegetables Including Carrots Broccoli And/or Dark-Green Leafy; Tomato-Based Sauce")</f>
        <v>Pork Rice And Vegetables Including Carrots Broccoli And/or Dark-Green Leafy; Tomato-Based Sauce</v>
      </c>
      <c r="C3948" t="str">
        <f>IFERROR(__xludf.DUMMYFUNCTION("""COMPUTED_VALUE"""),"Meats")</f>
        <v>Meats</v>
      </c>
      <c r="D3948">
        <f>IFERROR(__xludf.DUMMYFUNCTION("""COMPUTED_VALUE"""),128.0)</f>
        <v>128</v>
      </c>
      <c r="E3948">
        <f>IFERROR(__xludf.DUMMYFUNCTION("""COMPUTED_VALUE"""),5.07)</f>
        <v>5.07</v>
      </c>
      <c r="F3948">
        <f>IFERROR(__xludf.DUMMYFUNCTION("""COMPUTED_VALUE"""),5.61)</f>
        <v>5.61</v>
      </c>
      <c r="G3948">
        <f>IFERROR(__xludf.DUMMYFUNCTION("""COMPUTED_VALUE"""),14.96)</f>
        <v>14.96</v>
      </c>
    </row>
    <row r="3949">
      <c r="A3949">
        <f>IFERROR(__xludf.DUMMYFUNCTION("""COMPUTED_VALUE"""),783152.0)</f>
        <v>783152</v>
      </c>
      <c r="B3949" t="str">
        <f>IFERROR(__xludf.DUMMYFUNCTION("""COMPUTED_VALUE"""),"Pork Rice And Vegetables Excluding Carrots Broccoli And Dark-Green Leafy; Tomato-Based Sauce")</f>
        <v>Pork Rice And Vegetables Excluding Carrots Broccoli And Dark-Green Leafy; Tomato-Based Sauce</v>
      </c>
      <c r="C3949" t="str">
        <f>IFERROR(__xludf.DUMMYFUNCTION("""COMPUTED_VALUE"""),"Meats")</f>
        <v>Meats</v>
      </c>
      <c r="D3949">
        <f>IFERROR(__xludf.DUMMYFUNCTION("""COMPUTED_VALUE"""),132.0)</f>
        <v>132</v>
      </c>
      <c r="E3949">
        <f>IFERROR(__xludf.DUMMYFUNCTION("""COMPUTED_VALUE"""),5.07)</f>
        <v>5.07</v>
      </c>
      <c r="F3949">
        <f>IFERROR(__xludf.DUMMYFUNCTION("""COMPUTED_VALUE"""),5.64)</f>
        <v>5.64</v>
      </c>
      <c r="G3949">
        <f>IFERROR(__xludf.DUMMYFUNCTION("""COMPUTED_VALUE"""),16.08)</f>
        <v>16.08</v>
      </c>
    </row>
    <row r="3950">
      <c r="A3950">
        <f>IFERROR(__xludf.DUMMYFUNCTION("""COMPUTED_VALUE"""),783153.0)</f>
        <v>783153</v>
      </c>
      <c r="B3950" t="str">
        <f>IFERROR(__xludf.DUMMYFUNCTION("""COMPUTED_VALUE"""),"Ham Potatoes And Vegetables Excluding Carrots Broccoli And Dark-Green Leafy; No Sauce")</f>
        <v>Ham Potatoes And Vegetables Excluding Carrots Broccoli And Dark-Green Leafy; No Sauce</v>
      </c>
      <c r="C3950" t="str">
        <f>IFERROR(__xludf.DUMMYFUNCTION("""COMPUTED_VALUE"""),"Meats")</f>
        <v>Meats</v>
      </c>
      <c r="D3950">
        <f>IFERROR(__xludf.DUMMYFUNCTION("""COMPUTED_VALUE"""),125.0)</f>
        <v>125</v>
      </c>
      <c r="E3950">
        <f>IFERROR(__xludf.DUMMYFUNCTION("""COMPUTED_VALUE"""),5.06)</f>
        <v>5.06</v>
      </c>
      <c r="F3950">
        <f>IFERROR(__xludf.DUMMYFUNCTION("""COMPUTED_VALUE"""),5.56)</f>
        <v>5.56</v>
      </c>
      <c r="G3950">
        <f>IFERROR(__xludf.DUMMYFUNCTION("""COMPUTED_VALUE"""),15.02)</f>
        <v>15.02</v>
      </c>
    </row>
    <row r="3951">
      <c r="A3951">
        <f>IFERROR(__xludf.DUMMYFUNCTION("""COMPUTED_VALUE"""),783154.0)</f>
        <v>783154</v>
      </c>
      <c r="B3951" t="str">
        <f>IFERROR(__xludf.DUMMYFUNCTION("""COMPUTED_VALUE"""),"Ham Potatoes And Vegetables Including Carrots Broccoli And/or Dark-Green Leafy; No Sauce")</f>
        <v>Ham Potatoes And Vegetables Including Carrots Broccoli And/or Dark-Green Leafy; No Sauce</v>
      </c>
      <c r="C3951" t="str">
        <f>IFERROR(__xludf.DUMMYFUNCTION("""COMPUTED_VALUE"""),"Meats")</f>
        <v>Meats</v>
      </c>
      <c r="D3951">
        <f>IFERROR(__xludf.DUMMYFUNCTION("""COMPUTED_VALUE"""),127.0)</f>
        <v>127</v>
      </c>
      <c r="E3951">
        <f>IFERROR(__xludf.DUMMYFUNCTION("""COMPUTED_VALUE"""),5.9)</f>
        <v>5.9</v>
      </c>
      <c r="F3951">
        <f>IFERROR(__xludf.DUMMYFUNCTION("""COMPUTED_VALUE"""),5.47)</f>
        <v>5.47</v>
      </c>
      <c r="G3951">
        <f>IFERROR(__xludf.DUMMYFUNCTION("""COMPUTED_VALUE"""),13.4)</f>
        <v>13.4</v>
      </c>
    </row>
    <row r="3952">
      <c r="A3952">
        <f>IFERROR(__xludf.DUMMYFUNCTION("""COMPUTED_VALUE"""),783156.0)</f>
        <v>783156</v>
      </c>
      <c r="B3952" t="str">
        <f>IFERROR(__xludf.DUMMYFUNCTION("""COMPUTED_VALUE"""),"Shepherd's Pie With Lamb")</f>
        <v>Shepherd's Pie With Lamb</v>
      </c>
      <c r="C3952" t="str">
        <f>IFERROR(__xludf.DUMMYFUNCTION("""COMPUTED_VALUE"""),"Meats")</f>
        <v>Meats</v>
      </c>
      <c r="D3952">
        <f>IFERROR(__xludf.DUMMYFUNCTION("""COMPUTED_VALUE"""),122.0)</f>
        <v>122</v>
      </c>
      <c r="E3952">
        <f>IFERROR(__xludf.DUMMYFUNCTION("""COMPUTED_VALUE"""),5.04)</f>
        <v>5.04</v>
      </c>
      <c r="F3952">
        <f>IFERROR(__xludf.DUMMYFUNCTION("""COMPUTED_VALUE"""),6.98)</f>
        <v>6.98</v>
      </c>
      <c r="G3952">
        <f>IFERROR(__xludf.DUMMYFUNCTION("""COMPUTED_VALUE"""),12.47)</f>
        <v>12.47</v>
      </c>
    </row>
    <row r="3953">
      <c r="A3953">
        <f>IFERROR(__xludf.DUMMYFUNCTION("""COMPUTED_VALUE"""),783157.0)</f>
        <v>783157</v>
      </c>
      <c r="B3953" t="str">
        <f>IFERROR(__xludf.DUMMYFUNCTION("""COMPUTED_VALUE"""),"Lamb Or Mutton Stew With Potatoes And Vegetables Including Carrots Broccoli And/or Dark-Green Leafy; Gravy")</f>
        <v>Lamb Or Mutton Stew With Potatoes And Vegetables Including Carrots Broccoli And/or Dark-Green Leafy; Gravy</v>
      </c>
      <c r="C3953" t="str">
        <f>IFERROR(__xludf.DUMMYFUNCTION("""COMPUTED_VALUE"""),"Meats")</f>
        <v>Meats</v>
      </c>
      <c r="D3953">
        <f>IFERROR(__xludf.DUMMYFUNCTION("""COMPUTED_VALUE"""),103.0)</f>
        <v>103</v>
      </c>
      <c r="E3953">
        <f>IFERROR(__xludf.DUMMYFUNCTION("""COMPUTED_VALUE"""),2.28)</f>
        <v>2.28</v>
      </c>
      <c r="F3953">
        <f>IFERROR(__xludf.DUMMYFUNCTION("""COMPUTED_VALUE"""),8.82)</f>
        <v>8.82</v>
      </c>
      <c r="G3953">
        <f>IFERROR(__xludf.DUMMYFUNCTION("""COMPUTED_VALUE"""),11.69)</f>
        <v>11.69</v>
      </c>
    </row>
    <row r="3954">
      <c r="A3954">
        <f>IFERROR(__xludf.DUMMYFUNCTION("""COMPUTED_VALUE"""),783158.0)</f>
        <v>783158</v>
      </c>
      <c r="B3954" t="str">
        <f>IFERROR(__xludf.DUMMYFUNCTION("""COMPUTED_VALUE"""),"Lamb Or Mutton Rice And Vegetables Excluding Carrots Broccoli And Dark-Green Leafy; Gravy")</f>
        <v>Lamb Or Mutton Rice And Vegetables Excluding Carrots Broccoli And Dark-Green Leafy; Gravy</v>
      </c>
      <c r="C3954" t="str">
        <f>IFERROR(__xludf.DUMMYFUNCTION("""COMPUTED_VALUE"""),"Meats")</f>
        <v>Meats</v>
      </c>
      <c r="D3954">
        <f>IFERROR(__xludf.DUMMYFUNCTION("""COMPUTED_VALUE"""),136.0)</f>
        <v>136</v>
      </c>
      <c r="E3954">
        <f>IFERROR(__xludf.DUMMYFUNCTION("""COMPUTED_VALUE"""),5.51)</f>
        <v>5.51</v>
      </c>
      <c r="F3954">
        <f>IFERROR(__xludf.DUMMYFUNCTION("""COMPUTED_VALUE"""),5.05)</f>
        <v>5.05</v>
      </c>
      <c r="G3954">
        <f>IFERROR(__xludf.DUMMYFUNCTION("""COMPUTED_VALUE"""),16.34)</f>
        <v>16.34</v>
      </c>
    </row>
    <row r="3955">
      <c r="A3955">
        <f>IFERROR(__xludf.DUMMYFUNCTION("""COMPUTED_VALUE"""),783159.0)</f>
        <v>783159</v>
      </c>
      <c r="B3955" t="str">
        <f>IFERROR(__xludf.DUMMYFUNCTION("""COMPUTED_VALUE"""),"Lamb Or Mutton Rice And Vegetables Including Carrots Broccoli And/or Dark-Green Leafy; Tomato-Based Sauce")</f>
        <v>Lamb Or Mutton Rice And Vegetables Including Carrots Broccoli And/or Dark-Green Leafy; Tomato-Based Sauce</v>
      </c>
      <c r="C3955" t="str">
        <f>IFERROR(__xludf.DUMMYFUNCTION("""COMPUTED_VALUE"""),"Meats")</f>
        <v>Meats</v>
      </c>
      <c r="D3955">
        <f>IFERROR(__xludf.DUMMYFUNCTION("""COMPUTED_VALUE"""),129.0)</f>
        <v>129</v>
      </c>
      <c r="E3955">
        <f>IFERROR(__xludf.DUMMYFUNCTION("""COMPUTED_VALUE"""),5.31)</f>
        <v>5.31</v>
      </c>
      <c r="F3955">
        <f>IFERROR(__xludf.DUMMYFUNCTION("""COMPUTED_VALUE"""),5.13)</f>
        <v>5.13</v>
      </c>
      <c r="G3955">
        <f>IFERROR(__xludf.DUMMYFUNCTION("""COMPUTED_VALUE"""),15.15)</f>
        <v>15.15</v>
      </c>
    </row>
    <row r="3956">
      <c r="A3956">
        <f>IFERROR(__xludf.DUMMYFUNCTION("""COMPUTED_VALUE"""),783160.0)</f>
        <v>783160</v>
      </c>
      <c r="B3956" t="str">
        <f>IFERROR(__xludf.DUMMYFUNCTION("""COMPUTED_VALUE"""),"Lamb Or Mutton Rice And Vegetables  Including Carrots Broccoli And/or Dark-Green Leafy; Gravy")</f>
        <v>Lamb Or Mutton Rice And Vegetables  Including Carrots Broccoli And/or Dark-Green Leafy; Gravy</v>
      </c>
      <c r="C3956" t="str">
        <f>IFERROR(__xludf.DUMMYFUNCTION("""COMPUTED_VALUE"""),"Meats")</f>
        <v>Meats</v>
      </c>
      <c r="D3956">
        <f>IFERROR(__xludf.DUMMYFUNCTION("""COMPUTED_VALUE"""),132.0)</f>
        <v>132</v>
      </c>
      <c r="E3956">
        <f>IFERROR(__xludf.DUMMYFUNCTION("""COMPUTED_VALUE"""),5.5)</f>
        <v>5.5</v>
      </c>
      <c r="F3956">
        <f>IFERROR(__xludf.DUMMYFUNCTION("""COMPUTED_VALUE"""),5.02)</f>
        <v>5.02</v>
      </c>
      <c r="G3956">
        <f>IFERROR(__xludf.DUMMYFUNCTION("""COMPUTED_VALUE"""),15.2)</f>
        <v>15.2</v>
      </c>
    </row>
    <row r="3957">
      <c r="A3957">
        <f>IFERROR(__xludf.DUMMYFUNCTION("""COMPUTED_VALUE"""),783161.0)</f>
        <v>783161</v>
      </c>
      <c r="B3957" t="str">
        <f>IFERROR(__xludf.DUMMYFUNCTION("""COMPUTED_VALUE"""),"Lamb Or Mutton Stew With Potatoes And Vegetables Excluding Carrots Broccoli And Dark-Green Leafy; Gravy")</f>
        <v>Lamb Or Mutton Stew With Potatoes And Vegetables Excluding Carrots Broccoli And Dark-Green Leafy; Gravy</v>
      </c>
      <c r="C3957" t="str">
        <f>IFERROR(__xludf.DUMMYFUNCTION("""COMPUTED_VALUE"""),"Meats")</f>
        <v>Meats</v>
      </c>
      <c r="D3957">
        <f>IFERROR(__xludf.DUMMYFUNCTION("""COMPUTED_VALUE"""),99.0)</f>
        <v>99</v>
      </c>
      <c r="E3957">
        <f>IFERROR(__xludf.DUMMYFUNCTION("""COMPUTED_VALUE"""),2.3)</f>
        <v>2.3</v>
      </c>
      <c r="F3957">
        <f>IFERROR(__xludf.DUMMYFUNCTION("""COMPUTED_VALUE"""),8.78)</f>
        <v>8.78</v>
      </c>
      <c r="G3957">
        <f>IFERROR(__xludf.DUMMYFUNCTION("""COMPUTED_VALUE"""),10.74)</f>
        <v>10.74</v>
      </c>
    </row>
    <row r="3958">
      <c r="A3958">
        <f>IFERROR(__xludf.DUMMYFUNCTION("""COMPUTED_VALUE"""),783162.0)</f>
        <v>783162</v>
      </c>
      <c r="B3958" t="str">
        <f>IFERROR(__xludf.DUMMYFUNCTION("""COMPUTED_VALUE"""),"Stuffed Grape Leaves With Lamb And Rice")</f>
        <v>Stuffed Grape Leaves With Lamb And Rice</v>
      </c>
      <c r="C3958" t="str">
        <f>IFERROR(__xludf.DUMMYFUNCTION("""COMPUTED_VALUE"""),"Meats")</f>
        <v>Meats</v>
      </c>
      <c r="D3958">
        <f>IFERROR(__xludf.DUMMYFUNCTION("""COMPUTED_VALUE"""),266.0)</f>
        <v>266</v>
      </c>
      <c r="E3958">
        <f>IFERROR(__xludf.DUMMYFUNCTION("""COMPUTED_VALUE"""),21.21)</f>
        <v>21.21</v>
      </c>
      <c r="F3958">
        <f>IFERROR(__xludf.DUMMYFUNCTION("""COMPUTED_VALUE"""),8.23)</f>
        <v>8.23</v>
      </c>
      <c r="G3958">
        <f>IFERROR(__xludf.DUMMYFUNCTION("""COMPUTED_VALUE"""),11.86)</f>
        <v>11.86</v>
      </c>
    </row>
    <row r="3959">
      <c r="A3959">
        <f>IFERROR(__xludf.DUMMYFUNCTION("""COMPUTED_VALUE"""),783163.0)</f>
        <v>783163</v>
      </c>
      <c r="B3959" t="str">
        <f>IFERROR(__xludf.DUMMYFUNCTION("""COMPUTED_VALUE"""),"Lamb Or Mutton Stew With Potatoes And Vegetables Including Carrots Broccoli And/or Dark-Green Leafy; Tomato-Based Sauce")</f>
        <v>Lamb Or Mutton Stew With Potatoes And Vegetables Including Carrots Broccoli And/or Dark-Green Leafy; Tomato-Based Sauce</v>
      </c>
      <c r="C3959" t="str">
        <f>IFERROR(__xludf.DUMMYFUNCTION("""COMPUTED_VALUE"""),"Meats")</f>
        <v>Meats</v>
      </c>
      <c r="D3959">
        <f>IFERROR(__xludf.DUMMYFUNCTION("""COMPUTED_VALUE"""),97.0)</f>
        <v>97</v>
      </c>
      <c r="E3959">
        <f>IFERROR(__xludf.DUMMYFUNCTION("""COMPUTED_VALUE"""),1.89)</f>
        <v>1.89</v>
      </c>
      <c r="F3959">
        <f>IFERROR(__xludf.DUMMYFUNCTION("""COMPUTED_VALUE"""),8.25)</f>
        <v>8.25</v>
      </c>
      <c r="G3959">
        <f>IFERROR(__xludf.DUMMYFUNCTION("""COMPUTED_VALUE"""),11.66)</f>
        <v>11.66</v>
      </c>
    </row>
    <row r="3960">
      <c r="A3960">
        <f>IFERROR(__xludf.DUMMYFUNCTION("""COMPUTED_VALUE"""),783164.0)</f>
        <v>783164</v>
      </c>
      <c r="B3960" t="str">
        <f>IFERROR(__xludf.DUMMYFUNCTION("""COMPUTED_VALUE"""),"Lamb Or Mutton Stew With Potatoes And Vegetables Excluding Carrots Broccoli And Dark-Green Leafy; Tomato-Based Sauce")</f>
        <v>Lamb Or Mutton Stew With Potatoes And Vegetables Excluding Carrots Broccoli And Dark-Green Leafy; Tomato-Based Sauce</v>
      </c>
      <c r="C3960" t="str">
        <f>IFERROR(__xludf.DUMMYFUNCTION("""COMPUTED_VALUE"""),"Meats")</f>
        <v>Meats</v>
      </c>
      <c r="D3960">
        <f>IFERROR(__xludf.DUMMYFUNCTION("""COMPUTED_VALUE"""),93.0)</f>
        <v>93</v>
      </c>
      <c r="E3960">
        <f>IFERROR(__xludf.DUMMYFUNCTION("""COMPUTED_VALUE"""),1.9)</f>
        <v>1.9</v>
      </c>
      <c r="F3960">
        <f>IFERROR(__xludf.DUMMYFUNCTION("""COMPUTED_VALUE"""),8.2)</f>
        <v>8.2</v>
      </c>
      <c r="G3960">
        <f>IFERROR(__xludf.DUMMYFUNCTION("""COMPUTED_VALUE"""),10.72)</f>
        <v>10.72</v>
      </c>
    </row>
    <row r="3961">
      <c r="A3961">
        <f>IFERROR(__xludf.DUMMYFUNCTION("""COMPUTED_VALUE"""),783165.0)</f>
        <v>783165</v>
      </c>
      <c r="B3961" t="str">
        <f>IFERROR(__xludf.DUMMYFUNCTION("""COMPUTED_VALUE"""),"Veal Fricassee Puerto Rican Style")</f>
        <v>Veal Fricassee Puerto Rican Style</v>
      </c>
      <c r="C3961" t="str">
        <f>IFERROR(__xludf.DUMMYFUNCTION("""COMPUTED_VALUE"""),"Meats")</f>
        <v>Meats</v>
      </c>
      <c r="D3961">
        <f>IFERROR(__xludf.DUMMYFUNCTION("""COMPUTED_VALUE"""),168.0)</f>
        <v>168</v>
      </c>
      <c r="E3961">
        <f>IFERROR(__xludf.DUMMYFUNCTION("""COMPUTED_VALUE"""),7.97)</f>
        <v>7.97</v>
      </c>
      <c r="F3961">
        <f>IFERROR(__xludf.DUMMYFUNCTION("""COMPUTED_VALUE"""),16.38)</f>
        <v>16.38</v>
      </c>
      <c r="G3961">
        <f>IFERROR(__xludf.DUMMYFUNCTION("""COMPUTED_VALUE"""),7.24)</f>
        <v>7.24</v>
      </c>
    </row>
    <row r="3962">
      <c r="A3962">
        <f>IFERROR(__xludf.DUMMYFUNCTION("""COMPUTED_VALUE"""),783166.0)</f>
        <v>783166</v>
      </c>
      <c r="B3962" t="str">
        <f>IFERROR(__xludf.DUMMYFUNCTION("""COMPUTED_VALUE"""),"Veal Stew With Potatoes And Vegetables Including Carrots Broccoli And/or Dark-Green Leafy; Tomato-Based Sauce")</f>
        <v>Veal Stew With Potatoes And Vegetables Including Carrots Broccoli And/or Dark-Green Leafy; Tomato-Based Sauce</v>
      </c>
      <c r="C3962" t="str">
        <f>IFERROR(__xludf.DUMMYFUNCTION("""COMPUTED_VALUE"""),"Meats")</f>
        <v>Meats</v>
      </c>
      <c r="D3962">
        <f>IFERROR(__xludf.DUMMYFUNCTION("""COMPUTED_VALUE"""),79.0)</f>
        <v>79</v>
      </c>
      <c r="E3962">
        <f>IFERROR(__xludf.DUMMYFUNCTION("""COMPUTED_VALUE"""),2.76)</f>
        <v>2.76</v>
      </c>
      <c r="F3962">
        <f>IFERROR(__xludf.DUMMYFUNCTION("""COMPUTED_VALUE"""),6.34)</f>
        <v>6.34</v>
      </c>
      <c r="G3962">
        <f>IFERROR(__xludf.DUMMYFUNCTION("""COMPUTED_VALUE"""),7.1)</f>
        <v>7.1</v>
      </c>
    </row>
    <row r="3963">
      <c r="A3963">
        <f>IFERROR(__xludf.DUMMYFUNCTION("""COMPUTED_VALUE"""),783167.0)</f>
        <v>783167</v>
      </c>
      <c r="B3963" t="str">
        <f>IFERROR(__xludf.DUMMYFUNCTION("""COMPUTED_VALUE"""),"Veal Stew With Potatoes And Vegetables Excluding Carrots Broccoli And/or Dark-Green Leafy; Tomato-Based Sauce")</f>
        <v>Veal Stew With Potatoes And Vegetables Excluding Carrots Broccoli And/or Dark-Green Leafy; Tomato-Based Sauce</v>
      </c>
      <c r="C3963" t="str">
        <f>IFERROR(__xludf.DUMMYFUNCTION("""COMPUTED_VALUE"""),"Meats")</f>
        <v>Meats</v>
      </c>
      <c r="D3963">
        <f>IFERROR(__xludf.DUMMYFUNCTION("""COMPUTED_VALUE"""),82.0)</f>
        <v>82</v>
      </c>
      <c r="E3963">
        <f>IFERROR(__xludf.DUMMYFUNCTION("""COMPUTED_VALUE"""),2.58)</f>
        <v>2.58</v>
      </c>
      <c r="F3963">
        <f>IFERROR(__xludf.DUMMYFUNCTION("""COMPUTED_VALUE"""),6.18)</f>
        <v>6.18</v>
      </c>
      <c r="G3963">
        <f>IFERROR(__xludf.DUMMYFUNCTION("""COMPUTED_VALUE"""),8.55)</f>
        <v>8.55</v>
      </c>
    </row>
    <row r="3964">
      <c r="A3964">
        <f>IFERROR(__xludf.DUMMYFUNCTION("""COMPUTED_VALUE"""),783168.0)</f>
        <v>783168</v>
      </c>
      <c r="B3964" t="str">
        <f>IFERROR(__xludf.DUMMYFUNCTION("""COMPUTED_VALUE"""),"Rabbit Stew With Potatoes And Vegetables")</f>
        <v>Rabbit Stew With Potatoes And Vegetables</v>
      </c>
      <c r="C3964" t="str">
        <f>IFERROR(__xludf.DUMMYFUNCTION("""COMPUTED_VALUE"""),"Meats")</f>
        <v>Meats</v>
      </c>
      <c r="D3964">
        <f>IFERROR(__xludf.DUMMYFUNCTION("""COMPUTED_VALUE"""),63.0)</f>
        <v>63</v>
      </c>
      <c r="E3964">
        <f>IFERROR(__xludf.DUMMYFUNCTION("""COMPUTED_VALUE"""),1.81)</f>
        <v>1.81</v>
      </c>
      <c r="F3964">
        <f>IFERROR(__xludf.DUMMYFUNCTION("""COMPUTED_VALUE"""),6.97)</f>
        <v>6.97</v>
      </c>
      <c r="G3964">
        <f>IFERROR(__xludf.DUMMYFUNCTION("""COMPUTED_VALUE"""),4.44)</f>
        <v>4.44</v>
      </c>
    </row>
    <row r="3965">
      <c r="A3965">
        <f>IFERROR(__xludf.DUMMYFUNCTION("""COMPUTED_VALUE"""),783169.0)</f>
        <v>783169</v>
      </c>
      <c r="B3965" t="str">
        <f>IFERROR(__xludf.DUMMYFUNCTION("""COMPUTED_VALUE"""),"Stewed Rabbit Puerto Rican Style")</f>
        <v>Stewed Rabbit Puerto Rican Style</v>
      </c>
      <c r="C3965" t="str">
        <f>IFERROR(__xludf.DUMMYFUNCTION("""COMPUTED_VALUE"""),"Meats")</f>
        <v>Meats</v>
      </c>
      <c r="D3965">
        <f>IFERROR(__xludf.DUMMYFUNCTION("""COMPUTED_VALUE"""),210.0)</f>
        <v>210</v>
      </c>
      <c r="E3965">
        <f>IFERROR(__xludf.DUMMYFUNCTION("""COMPUTED_VALUE"""),12.44)</f>
        <v>12.44</v>
      </c>
      <c r="F3965">
        <f>IFERROR(__xludf.DUMMYFUNCTION("""COMPUTED_VALUE"""),17.18)</f>
        <v>17.18</v>
      </c>
      <c r="G3965">
        <f>IFERROR(__xludf.DUMMYFUNCTION("""COMPUTED_VALUE"""),6.85)</f>
        <v>6.85</v>
      </c>
    </row>
    <row r="3966">
      <c r="A3966">
        <f>IFERROR(__xludf.DUMMYFUNCTION("""COMPUTED_VALUE"""),783170.0)</f>
        <v>783170</v>
      </c>
      <c r="B3966" t="str">
        <f>IFERROR(__xludf.DUMMYFUNCTION("""COMPUTED_VALUE"""),"Venison Or Deer Stew With Potatoes And Vegetables Including Carrots Broccoli And/or Dark-Green Leafy; Tomato-Based Sauce")</f>
        <v>Venison Or Deer Stew With Potatoes And Vegetables Including Carrots Broccoli And/or Dark-Green Leafy; Tomato-Based Sauce</v>
      </c>
      <c r="C3966" t="str">
        <f>IFERROR(__xludf.DUMMYFUNCTION("""COMPUTED_VALUE"""),"Meats")</f>
        <v>Meats</v>
      </c>
      <c r="D3966">
        <f>IFERROR(__xludf.DUMMYFUNCTION("""COMPUTED_VALUE"""),71.0)</f>
        <v>71</v>
      </c>
      <c r="E3966">
        <f>IFERROR(__xludf.DUMMYFUNCTION("""COMPUTED_VALUE"""),0.82)</f>
        <v>0.82</v>
      </c>
      <c r="F3966">
        <f>IFERROR(__xludf.DUMMYFUNCTION("""COMPUTED_VALUE"""),7.52)</f>
        <v>7.52</v>
      </c>
      <c r="G3966">
        <f>IFERROR(__xludf.DUMMYFUNCTION("""COMPUTED_VALUE"""),8.39)</f>
        <v>8.39</v>
      </c>
    </row>
    <row r="3967">
      <c r="A3967">
        <f>IFERROR(__xludf.DUMMYFUNCTION("""COMPUTED_VALUE"""),783171.0)</f>
        <v>783171</v>
      </c>
      <c r="B3967" t="str">
        <f>IFERROR(__xludf.DUMMYFUNCTION("""COMPUTED_VALUE"""),"Venison Or Deer Stew With Potatoes And Vegetables Excluding Carrots Broccoli And Dark-Green Leafy; Tomato-Based Sauce")</f>
        <v>Venison Or Deer Stew With Potatoes And Vegetables Excluding Carrots Broccoli And Dark-Green Leafy; Tomato-Based Sauce</v>
      </c>
      <c r="C3967" t="str">
        <f>IFERROR(__xludf.DUMMYFUNCTION("""COMPUTED_VALUE"""),"Meats")</f>
        <v>Meats</v>
      </c>
      <c r="D3967">
        <f>IFERROR(__xludf.DUMMYFUNCTION("""COMPUTED_VALUE"""),72.0)</f>
        <v>72</v>
      </c>
      <c r="E3967">
        <f>IFERROR(__xludf.DUMMYFUNCTION("""COMPUTED_VALUE"""),0.84)</f>
        <v>0.84</v>
      </c>
      <c r="F3967">
        <f>IFERROR(__xludf.DUMMYFUNCTION("""COMPUTED_VALUE"""),7.79)</f>
        <v>7.79</v>
      </c>
      <c r="G3967">
        <f>IFERROR(__xludf.DUMMYFUNCTION("""COMPUTED_VALUE"""),8.38)</f>
        <v>8.38</v>
      </c>
    </row>
    <row r="3968">
      <c r="A3968">
        <f>IFERROR(__xludf.DUMMYFUNCTION("""COMPUTED_VALUE"""),783172.0)</f>
        <v>783172</v>
      </c>
      <c r="B3968" t="str">
        <f>IFERROR(__xludf.DUMMYFUNCTION("""COMPUTED_VALUE"""),"Venison Or Deer Potatoes And Vegetables Including Carrots Broccoli And/or Dark-Green Leafy; Gravy")</f>
        <v>Venison Or Deer Potatoes And Vegetables Including Carrots Broccoli And/or Dark-Green Leafy; Gravy</v>
      </c>
      <c r="C3968" t="str">
        <f>IFERROR(__xludf.DUMMYFUNCTION("""COMPUTED_VALUE"""),"Meats")</f>
        <v>Meats</v>
      </c>
      <c r="D3968">
        <f>IFERROR(__xludf.DUMMYFUNCTION("""COMPUTED_VALUE"""),126.0)</f>
        <v>126</v>
      </c>
      <c r="E3968">
        <f>IFERROR(__xludf.DUMMYFUNCTION("""COMPUTED_VALUE"""),6.5)</f>
        <v>6.5</v>
      </c>
      <c r="F3968">
        <f>IFERROR(__xludf.DUMMYFUNCTION("""COMPUTED_VALUE"""),5.95)</f>
        <v>5.95</v>
      </c>
      <c r="G3968">
        <f>IFERROR(__xludf.DUMMYFUNCTION("""COMPUTED_VALUE"""),11.17)</f>
        <v>11.17</v>
      </c>
    </row>
    <row r="3969">
      <c r="A3969">
        <f>IFERROR(__xludf.DUMMYFUNCTION("""COMPUTED_VALUE"""),783173.0)</f>
        <v>783173</v>
      </c>
      <c r="B3969" t="str">
        <f>IFERROR(__xludf.DUMMYFUNCTION("""COMPUTED_VALUE"""),"Venison Or Deer Potatoes And Vegetables Excluding Carrots Broccoli And Dark-Green Leafy; Gravy")</f>
        <v>Venison Or Deer Potatoes And Vegetables Excluding Carrots Broccoli And Dark-Green Leafy; Gravy</v>
      </c>
      <c r="C3969" t="str">
        <f>IFERROR(__xludf.DUMMYFUNCTION("""COMPUTED_VALUE"""),"Meats")</f>
        <v>Meats</v>
      </c>
      <c r="D3969">
        <f>IFERROR(__xludf.DUMMYFUNCTION("""COMPUTED_VALUE"""),127.0)</f>
        <v>127</v>
      </c>
      <c r="E3969">
        <f>IFERROR(__xludf.DUMMYFUNCTION("""COMPUTED_VALUE"""),6.1)</f>
        <v>6.1</v>
      </c>
      <c r="F3969">
        <f>IFERROR(__xludf.DUMMYFUNCTION("""COMPUTED_VALUE"""),6.01)</f>
        <v>6.01</v>
      </c>
      <c r="G3969">
        <f>IFERROR(__xludf.DUMMYFUNCTION("""COMPUTED_VALUE"""),12.31)</f>
        <v>12.31</v>
      </c>
    </row>
    <row r="3970">
      <c r="A3970">
        <f>IFERROR(__xludf.DUMMYFUNCTION("""COMPUTED_VALUE"""),783174.0)</f>
        <v>783174</v>
      </c>
      <c r="B3970" t="str">
        <f>IFERROR(__xludf.DUMMYFUNCTION("""COMPUTED_VALUE"""),"Venison Or Deer Noodles And Vegetables Including Carrots Broccoli And/or Dark-Green Leafy; Tomato-Based Sauce")</f>
        <v>Venison Or Deer Noodles And Vegetables Including Carrots Broccoli And/or Dark-Green Leafy; Tomato-Based Sauce</v>
      </c>
      <c r="C3970" t="str">
        <f>IFERROR(__xludf.DUMMYFUNCTION("""COMPUTED_VALUE"""),"Meats")</f>
        <v>Meats</v>
      </c>
      <c r="D3970">
        <f>IFERROR(__xludf.DUMMYFUNCTION("""COMPUTED_VALUE"""),129.0)</f>
        <v>129</v>
      </c>
      <c r="E3970">
        <f>IFERROR(__xludf.DUMMYFUNCTION("""COMPUTED_VALUE"""),5.11)</f>
        <v>5.11</v>
      </c>
      <c r="F3970">
        <f>IFERROR(__xludf.DUMMYFUNCTION("""COMPUTED_VALUE"""),7.43)</f>
        <v>7.43</v>
      </c>
      <c r="G3970">
        <f>IFERROR(__xludf.DUMMYFUNCTION("""COMPUTED_VALUE"""),13.64)</f>
        <v>13.64</v>
      </c>
    </row>
    <row r="3971">
      <c r="A3971">
        <f>IFERROR(__xludf.DUMMYFUNCTION("""COMPUTED_VALUE"""),783175.0)</f>
        <v>783175</v>
      </c>
      <c r="B3971" t="str">
        <f>IFERROR(__xludf.DUMMYFUNCTION("""COMPUTED_VALUE"""),"Venison Or Deer Noodles And Vegetables Excluding Carrots Broccoli And Dark-Green Leafy; Tomato-Based Sauce")</f>
        <v>Venison Or Deer Noodles And Vegetables Excluding Carrots Broccoli And Dark-Green Leafy; Tomato-Based Sauce</v>
      </c>
      <c r="C3971" t="str">
        <f>IFERROR(__xludf.DUMMYFUNCTION("""COMPUTED_VALUE"""),"Meats")</f>
        <v>Meats</v>
      </c>
      <c r="D3971">
        <f>IFERROR(__xludf.DUMMYFUNCTION("""COMPUTED_VALUE"""),133.0)</f>
        <v>133</v>
      </c>
      <c r="E3971">
        <f>IFERROR(__xludf.DUMMYFUNCTION("""COMPUTED_VALUE"""),5.11)</f>
        <v>5.11</v>
      </c>
      <c r="F3971">
        <f>IFERROR(__xludf.DUMMYFUNCTION("""COMPUTED_VALUE"""),7.47)</f>
        <v>7.47</v>
      </c>
      <c r="G3971">
        <f>IFERROR(__xludf.DUMMYFUNCTION("""COMPUTED_VALUE"""),14.75)</f>
        <v>14.75</v>
      </c>
    </row>
    <row r="3972">
      <c r="A3972">
        <f>IFERROR(__xludf.DUMMYFUNCTION("""COMPUTED_VALUE"""),783176.0)</f>
        <v>783176</v>
      </c>
      <c r="B3972" t="str">
        <f>IFERROR(__xludf.DUMMYFUNCTION("""COMPUTED_VALUE"""),"Chicken Or Turkey Potatoes Corn And Cheese With Gravy")</f>
        <v>Chicken Or Turkey Potatoes Corn And Cheese With Gravy</v>
      </c>
      <c r="C3972" t="str">
        <f>IFERROR(__xludf.DUMMYFUNCTION("""COMPUTED_VALUE"""),"Meats")</f>
        <v>Meats</v>
      </c>
      <c r="D3972">
        <f>IFERROR(__xludf.DUMMYFUNCTION("""COMPUTED_VALUE"""),127.0)</f>
        <v>127</v>
      </c>
      <c r="E3972">
        <f>IFERROR(__xludf.DUMMYFUNCTION("""COMPUTED_VALUE"""),6.37)</f>
        <v>6.37</v>
      </c>
      <c r="F3972">
        <f>IFERROR(__xludf.DUMMYFUNCTION("""COMPUTED_VALUE"""),4.72)</f>
        <v>4.72</v>
      </c>
      <c r="G3972">
        <f>IFERROR(__xludf.DUMMYFUNCTION("""COMPUTED_VALUE"""),13.56)</f>
        <v>13.56</v>
      </c>
    </row>
    <row r="3973">
      <c r="A3973">
        <f>IFERROR(__xludf.DUMMYFUNCTION("""COMPUTED_VALUE"""),783177.0)</f>
        <v>783177</v>
      </c>
      <c r="B3973" t="str">
        <f>IFERROR(__xludf.DUMMYFUNCTION("""COMPUTED_VALUE"""),"Chicken Or Turkey Potatoes And Vegetables Including Carrots Broccoli And/or Dark-Green Leafy; No Sauce")</f>
        <v>Chicken Or Turkey Potatoes And Vegetables Including Carrots Broccoli And/or Dark-Green Leafy; No Sauce</v>
      </c>
      <c r="C3973" t="str">
        <f>IFERROR(__xludf.DUMMYFUNCTION("""COMPUTED_VALUE"""),"Meats")</f>
        <v>Meats</v>
      </c>
      <c r="D3973">
        <f>IFERROR(__xludf.DUMMYFUNCTION("""COMPUTED_VALUE"""),129.0)</f>
        <v>129</v>
      </c>
      <c r="E3973">
        <f>IFERROR(__xludf.DUMMYFUNCTION("""COMPUTED_VALUE"""),5.97)</f>
        <v>5.97</v>
      </c>
      <c r="F3973">
        <f>IFERROR(__xludf.DUMMYFUNCTION("""COMPUTED_VALUE"""),6.16)</f>
        <v>6.16</v>
      </c>
      <c r="G3973">
        <f>IFERROR(__xludf.DUMMYFUNCTION("""COMPUTED_VALUE"""),13.29)</f>
        <v>13.29</v>
      </c>
    </row>
    <row r="3974">
      <c r="A3974">
        <f>IFERROR(__xludf.DUMMYFUNCTION("""COMPUTED_VALUE"""),783178.0)</f>
        <v>783178</v>
      </c>
      <c r="B3974" t="str">
        <f>IFERROR(__xludf.DUMMYFUNCTION("""COMPUTED_VALUE"""),"Chicken Or Turkey Potatoes And Vegetables Excluding Carrots Broccoli And Dark-Green Leafy; No Sauce")</f>
        <v>Chicken Or Turkey Potatoes And Vegetables Excluding Carrots Broccoli And Dark-Green Leafy; No Sauce</v>
      </c>
      <c r="C3974" t="str">
        <f>IFERROR(__xludf.DUMMYFUNCTION("""COMPUTED_VALUE"""),"Meats")</f>
        <v>Meats</v>
      </c>
      <c r="D3974">
        <f>IFERROR(__xludf.DUMMYFUNCTION("""COMPUTED_VALUE"""),132.0)</f>
        <v>132</v>
      </c>
      <c r="E3974">
        <f>IFERROR(__xludf.DUMMYFUNCTION("""COMPUTED_VALUE"""),5.7)</f>
        <v>5.7</v>
      </c>
      <c r="F3974">
        <f>IFERROR(__xludf.DUMMYFUNCTION("""COMPUTED_VALUE"""),6.21)</f>
        <v>6.21</v>
      </c>
      <c r="G3974">
        <f>IFERROR(__xludf.DUMMYFUNCTION("""COMPUTED_VALUE"""),14.81)</f>
        <v>14.81</v>
      </c>
    </row>
    <row r="3975">
      <c r="A3975">
        <f>IFERROR(__xludf.DUMMYFUNCTION("""COMPUTED_VALUE"""),783179.0)</f>
        <v>783179</v>
      </c>
      <c r="B3975" t="str">
        <f>IFERROR(__xludf.DUMMYFUNCTION("""COMPUTED_VALUE"""),"Chicken Or Turkey Potatoes And Vegetables Including Carrots Broccoli And/or Dark-Green Leafy; Gravy")</f>
        <v>Chicken Or Turkey Potatoes And Vegetables Including Carrots Broccoli And/or Dark-Green Leafy; Gravy</v>
      </c>
      <c r="C3975" t="str">
        <f>IFERROR(__xludf.DUMMYFUNCTION("""COMPUTED_VALUE"""),"Meats")</f>
        <v>Meats</v>
      </c>
      <c r="D3975">
        <f>IFERROR(__xludf.DUMMYFUNCTION("""COMPUTED_VALUE"""),123.0)</f>
        <v>123</v>
      </c>
      <c r="E3975">
        <f>IFERROR(__xludf.DUMMYFUNCTION("""COMPUTED_VALUE"""),6.82)</f>
        <v>6.82</v>
      </c>
      <c r="F3975">
        <f>IFERROR(__xludf.DUMMYFUNCTION("""COMPUTED_VALUE"""),4.72)</f>
        <v>4.72</v>
      </c>
      <c r="G3975">
        <f>IFERROR(__xludf.DUMMYFUNCTION("""COMPUTED_VALUE"""),11.17)</f>
        <v>11.17</v>
      </c>
    </row>
    <row r="3976">
      <c r="A3976">
        <f>IFERROR(__xludf.DUMMYFUNCTION("""COMPUTED_VALUE"""),783180.0)</f>
        <v>783180</v>
      </c>
      <c r="B3976" t="str">
        <f>IFERROR(__xludf.DUMMYFUNCTION("""COMPUTED_VALUE"""),"Chicken Or Turkey Potatoes And Vegetables Excluding Carrots Broccoli And Dark-Green Leafy; Gravy")</f>
        <v>Chicken Or Turkey Potatoes And Vegetables Excluding Carrots Broccoli And Dark-Green Leafy; Gravy</v>
      </c>
      <c r="C3976" t="str">
        <f>IFERROR(__xludf.DUMMYFUNCTION("""COMPUTED_VALUE"""),"Meats")</f>
        <v>Meats</v>
      </c>
      <c r="D3976">
        <f>IFERROR(__xludf.DUMMYFUNCTION("""COMPUTED_VALUE"""),126.0)</f>
        <v>126</v>
      </c>
      <c r="E3976">
        <f>IFERROR(__xludf.DUMMYFUNCTION("""COMPUTED_VALUE"""),6.82)</f>
        <v>6.82</v>
      </c>
      <c r="F3976">
        <f>IFERROR(__xludf.DUMMYFUNCTION("""COMPUTED_VALUE"""),4.75)</f>
        <v>4.75</v>
      </c>
      <c r="G3976">
        <f>IFERROR(__xludf.DUMMYFUNCTION("""COMPUTED_VALUE"""),12.27)</f>
        <v>12.27</v>
      </c>
    </row>
    <row r="3977">
      <c r="A3977">
        <f>IFERROR(__xludf.DUMMYFUNCTION("""COMPUTED_VALUE"""),783181.0)</f>
        <v>783181</v>
      </c>
      <c r="B3977" t="str">
        <f>IFERROR(__xludf.DUMMYFUNCTION("""COMPUTED_VALUE"""),"Chicken Or Turkey Potatoes And Vegetables Including Carrots Broccoli And/or Dark-Green Leafy; Cream Sauce White Sauce Or Mushroom Sauce")</f>
        <v>Chicken Or Turkey Potatoes And Vegetables Including Carrots Broccoli And/or Dark-Green Leafy; Cream Sauce White Sauce Or Mushroom Sauce</v>
      </c>
      <c r="C3977" t="str">
        <f>IFERROR(__xludf.DUMMYFUNCTION("""COMPUTED_VALUE"""),"Meats")</f>
        <v>Meats</v>
      </c>
      <c r="D3977">
        <f>IFERROR(__xludf.DUMMYFUNCTION("""COMPUTED_VALUE"""),125.0)</f>
        <v>125</v>
      </c>
      <c r="E3977">
        <f>IFERROR(__xludf.DUMMYFUNCTION("""COMPUTED_VALUE"""),7.11)</f>
        <v>7.11</v>
      </c>
      <c r="F3977">
        <f>IFERROR(__xludf.DUMMYFUNCTION("""COMPUTED_VALUE"""),4.78)</f>
        <v>4.78</v>
      </c>
      <c r="G3977">
        <f>IFERROR(__xludf.DUMMYFUNCTION("""COMPUTED_VALUE"""),11.08)</f>
        <v>11.08</v>
      </c>
    </row>
    <row r="3978">
      <c r="A3978">
        <f>IFERROR(__xludf.DUMMYFUNCTION("""COMPUTED_VALUE"""),783182.0)</f>
        <v>783182</v>
      </c>
      <c r="B3978" t="str">
        <f>IFERROR(__xludf.DUMMYFUNCTION("""COMPUTED_VALUE"""),"Chicken Or Turkey Potatoes And Vegetables Excluding Carrots Broccoli And Dark-Green Leafy; Cream Sauce White Sauce Or Mushroom Sauce")</f>
        <v>Chicken Or Turkey Potatoes And Vegetables Excluding Carrots Broccoli And Dark-Green Leafy; Cream Sauce White Sauce Or Mushroom Sauce</v>
      </c>
      <c r="C3978" t="str">
        <f>IFERROR(__xludf.DUMMYFUNCTION("""COMPUTED_VALUE"""),"Meats")</f>
        <v>Meats</v>
      </c>
      <c r="D3978">
        <f>IFERROR(__xludf.DUMMYFUNCTION("""COMPUTED_VALUE"""),125.0)</f>
        <v>125</v>
      </c>
      <c r="E3978">
        <f>IFERROR(__xludf.DUMMYFUNCTION("""COMPUTED_VALUE"""),6.74)</f>
        <v>6.74</v>
      </c>
      <c r="F3978">
        <f>IFERROR(__xludf.DUMMYFUNCTION("""COMPUTED_VALUE"""),4.83)</f>
        <v>4.83</v>
      </c>
      <c r="G3978">
        <f>IFERROR(__xludf.DUMMYFUNCTION("""COMPUTED_VALUE"""),12.15)</f>
        <v>12.15</v>
      </c>
    </row>
    <row r="3979">
      <c r="A3979">
        <f>IFERROR(__xludf.DUMMYFUNCTION("""COMPUTED_VALUE"""),783183.0)</f>
        <v>783183</v>
      </c>
      <c r="B3979" t="str">
        <f>IFERROR(__xludf.DUMMYFUNCTION("""COMPUTED_VALUE"""),"Chicken Or Turkey Potatoes And Vegetables Including Carrots Broccoli And/or Dark-Green Leafy; Cheese Sauce")</f>
        <v>Chicken Or Turkey Potatoes And Vegetables Including Carrots Broccoli And/or Dark-Green Leafy; Cheese Sauce</v>
      </c>
      <c r="C3979" t="str">
        <f>IFERROR(__xludf.DUMMYFUNCTION("""COMPUTED_VALUE"""),"Meats")</f>
        <v>Meats</v>
      </c>
      <c r="D3979">
        <f>IFERROR(__xludf.DUMMYFUNCTION("""COMPUTED_VALUE"""),128.0)</f>
        <v>128</v>
      </c>
      <c r="E3979">
        <f>IFERROR(__xludf.DUMMYFUNCTION("""COMPUTED_VALUE"""),5.93)</f>
        <v>5.93</v>
      </c>
      <c r="F3979">
        <f>IFERROR(__xludf.DUMMYFUNCTION("""COMPUTED_VALUE"""),7.54)</f>
        <v>7.54</v>
      </c>
      <c r="G3979">
        <f>IFERROR(__xludf.DUMMYFUNCTION("""COMPUTED_VALUE"""),11.71)</f>
        <v>11.71</v>
      </c>
    </row>
    <row r="3980">
      <c r="A3980">
        <f>IFERROR(__xludf.DUMMYFUNCTION("""COMPUTED_VALUE"""),783184.0)</f>
        <v>783184</v>
      </c>
      <c r="B3980" t="str">
        <f>IFERROR(__xludf.DUMMYFUNCTION("""COMPUTED_VALUE"""),"Chicken Or Turkey Potatoes And Vegetables Excluding Carrots Broccoli And Dark-Green Leafy; Cheese Sauce")</f>
        <v>Chicken Or Turkey Potatoes And Vegetables Excluding Carrots Broccoli And Dark-Green Leafy; Cheese Sauce</v>
      </c>
      <c r="C3980" t="str">
        <f>IFERROR(__xludf.DUMMYFUNCTION("""COMPUTED_VALUE"""),"Meats")</f>
        <v>Meats</v>
      </c>
      <c r="D3980">
        <f>IFERROR(__xludf.DUMMYFUNCTION("""COMPUTED_VALUE"""),132.0)</f>
        <v>132</v>
      </c>
      <c r="E3980">
        <f>IFERROR(__xludf.DUMMYFUNCTION("""COMPUTED_VALUE"""),5.93)</f>
        <v>5.93</v>
      </c>
      <c r="F3980">
        <f>IFERROR(__xludf.DUMMYFUNCTION("""COMPUTED_VALUE"""),7.57)</f>
        <v>7.57</v>
      </c>
      <c r="G3980">
        <f>IFERROR(__xludf.DUMMYFUNCTION("""COMPUTED_VALUE"""),12.86)</f>
        <v>12.86</v>
      </c>
    </row>
    <row r="3981">
      <c r="A3981">
        <f>IFERROR(__xludf.DUMMYFUNCTION("""COMPUTED_VALUE"""),783185.0)</f>
        <v>783185</v>
      </c>
      <c r="B3981" t="str">
        <f>IFERROR(__xludf.DUMMYFUNCTION("""COMPUTED_VALUE"""),"Chicken Or Turkey Potatoes And Vegetables Including Carrots Broccoli And/or Dark-Green Leafy; Tomato-Based Sauce")</f>
        <v>Chicken Or Turkey Potatoes And Vegetables Including Carrots Broccoli And/or Dark-Green Leafy; Tomato-Based Sauce</v>
      </c>
      <c r="C3981" t="str">
        <f>IFERROR(__xludf.DUMMYFUNCTION("""COMPUTED_VALUE"""),"Meats")</f>
        <v>Meats</v>
      </c>
      <c r="D3981">
        <f>IFERROR(__xludf.DUMMYFUNCTION("""COMPUTED_VALUE"""),123.0)</f>
        <v>123</v>
      </c>
      <c r="E3981">
        <f>IFERROR(__xludf.DUMMYFUNCTION("""COMPUTED_VALUE"""),7.02)</f>
        <v>7.02</v>
      </c>
      <c r="F3981">
        <f>IFERROR(__xludf.DUMMYFUNCTION("""COMPUTED_VALUE"""),4.81)</f>
        <v>4.81</v>
      </c>
      <c r="G3981">
        <f>IFERROR(__xludf.DUMMYFUNCTION("""COMPUTED_VALUE"""),11.09)</f>
        <v>11.09</v>
      </c>
    </row>
    <row r="3982">
      <c r="A3982">
        <f>IFERROR(__xludf.DUMMYFUNCTION("""COMPUTED_VALUE"""),783186.0)</f>
        <v>783186</v>
      </c>
      <c r="B3982" t="str">
        <f>IFERROR(__xludf.DUMMYFUNCTION("""COMPUTED_VALUE"""),"Chicken Or Turkey Potatoes And Vegetables Excluding Carrots Broccoli And Dark-Green Leafy; Tomato-Based Sauce")</f>
        <v>Chicken Or Turkey Potatoes And Vegetables Excluding Carrots Broccoli And Dark-Green Leafy; Tomato-Based Sauce</v>
      </c>
      <c r="C3982" t="str">
        <f>IFERROR(__xludf.DUMMYFUNCTION("""COMPUTED_VALUE"""),"Meats")</f>
        <v>Meats</v>
      </c>
      <c r="D3982">
        <f>IFERROR(__xludf.DUMMYFUNCTION("""COMPUTED_VALUE"""),127.0)</f>
        <v>127</v>
      </c>
      <c r="E3982">
        <f>IFERROR(__xludf.DUMMYFUNCTION("""COMPUTED_VALUE"""),7.03)</f>
        <v>7.03</v>
      </c>
      <c r="F3982">
        <f>IFERROR(__xludf.DUMMYFUNCTION("""COMPUTED_VALUE"""),4.84)</f>
        <v>4.84</v>
      </c>
      <c r="G3982">
        <f>IFERROR(__xludf.DUMMYFUNCTION("""COMPUTED_VALUE"""),12.18)</f>
        <v>12.18</v>
      </c>
    </row>
    <row r="3983">
      <c r="A3983">
        <f>IFERROR(__xludf.DUMMYFUNCTION("""COMPUTED_VALUE"""),783187.0)</f>
        <v>783187</v>
      </c>
      <c r="B3983" t="str">
        <f>IFERROR(__xludf.DUMMYFUNCTION("""COMPUTED_VALUE"""),"Chicken Or Turkey Stew With Potatoes And Vegetables Including Carrots Broccoli And/or Dark-Green Leafy; Gravy")</f>
        <v>Chicken Or Turkey Stew With Potatoes And Vegetables Including Carrots Broccoli And/or Dark-Green Leafy; Gravy</v>
      </c>
      <c r="C3983" t="str">
        <f>IFERROR(__xludf.DUMMYFUNCTION("""COMPUTED_VALUE"""),"Meats")</f>
        <v>Meats</v>
      </c>
      <c r="D3983">
        <f>IFERROR(__xludf.DUMMYFUNCTION("""COMPUTED_VALUE"""),75.0)</f>
        <v>75</v>
      </c>
      <c r="E3983">
        <f>IFERROR(__xludf.DUMMYFUNCTION("""COMPUTED_VALUE"""),2.3)</f>
        <v>2.3</v>
      </c>
      <c r="F3983">
        <f>IFERROR(__xludf.DUMMYFUNCTION("""COMPUTED_VALUE"""),6.08)</f>
        <v>6.08</v>
      </c>
      <c r="G3983">
        <f>IFERROR(__xludf.DUMMYFUNCTION("""COMPUTED_VALUE"""),7.86)</f>
        <v>7.86</v>
      </c>
    </row>
    <row r="3984">
      <c r="A3984">
        <f>IFERROR(__xludf.DUMMYFUNCTION("""COMPUTED_VALUE"""),783188.0)</f>
        <v>783188</v>
      </c>
      <c r="B3984" t="str">
        <f>IFERROR(__xludf.DUMMYFUNCTION("""COMPUTED_VALUE"""),"Chicken Or Turkey Stew With Potatoes And Vegetables Excluding Carrots Broccoli And Dark-Green Leafy; Gravy")</f>
        <v>Chicken Or Turkey Stew With Potatoes And Vegetables Excluding Carrots Broccoli And Dark-Green Leafy; Gravy</v>
      </c>
      <c r="C3984" t="str">
        <f>IFERROR(__xludf.DUMMYFUNCTION("""COMPUTED_VALUE"""),"Meats")</f>
        <v>Meats</v>
      </c>
      <c r="D3984">
        <f>IFERROR(__xludf.DUMMYFUNCTION("""COMPUTED_VALUE"""),80.0)</f>
        <v>80</v>
      </c>
      <c r="E3984">
        <f>IFERROR(__xludf.DUMMYFUNCTION("""COMPUTED_VALUE"""),2.26)</f>
        <v>2.26</v>
      </c>
      <c r="F3984">
        <f>IFERROR(__xludf.DUMMYFUNCTION("""COMPUTED_VALUE"""),6.58)</f>
        <v>6.58</v>
      </c>
      <c r="G3984">
        <f>IFERROR(__xludf.DUMMYFUNCTION("""COMPUTED_VALUE"""),8.58)</f>
        <v>8.58</v>
      </c>
    </row>
    <row r="3985">
      <c r="A3985">
        <f>IFERROR(__xludf.DUMMYFUNCTION("""COMPUTED_VALUE"""),783189.0)</f>
        <v>783189</v>
      </c>
      <c r="B3985" t="str">
        <f>IFERROR(__xludf.DUMMYFUNCTION("""COMPUTED_VALUE"""),"Chicken Or Turkey Stew With Potatoes And Vegetables Including Carrots Broccoli And/or Dark-Green Leafy; Tomato-Based Sauce")</f>
        <v>Chicken Or Turkey Stew With Potatoes And Vegetables Including Carrots Broccoli And/or Dark-Green Leafy; Tomato-Based Sauce</v>
      </c>
      <c r="C3985" t="str">
        <f>IFERROR(__xludf.DUMMYFUNCTION("""COMPUTED_VALUE"""),"Meats")</f>
        <v>Meats</v>
      </c>
      <c r="D3985">
        <f>IFERROR(__xludf.DUMMYFUNCTION("""COMPUTED_VALUE"""),80.0)</f>
        <v>80</v>
      </c>
      <c r="E3985">
        <f>IFERROR(__xludf.DUMMYFUNCTION("""COMPUTED_VALUE"""),2.38)</f>
        <v>2.38</v>
      </c>
      <c r="F3985">
        <f>IFERROR(__xludf.DUMMYFUNCTION("""COMPUTED_VALUE"""),6.33)</f>
        <v>6.33</v>
      </c>
      <c r="G3985">
        <f>IFERROR(__xludf.DUMMYFUNCTION("""COMPUTED_VALUE"""),9.05)</f>
        <v>9.05</v>
      </c>
    </row>
    <row r="3986">
      <c r="A3986">
        <f>IFERROR(__xludf.DUMMYFUNCTION("""COMPUTED_VALUE"""),783190.0)</f>
        <v>783190</v>
      </c>
      <c r="B3986" t="str">
        <f>IFERROR(__xludf.DUMMYFUNCTION("""COMPUTED_VALUE"""),"Chicken Or Turkey Stew With Potatoes And Vegetables Excluding Carrots Broccoli And Dark-Green Leafy; Tomato- Based Sauce")</f>
        <v>Chicken Or Turkey Stew With Potatoes And Vegetables Excluding Carrots Broccoli And Dark-Green Leafy; Tomato- Based Sauce</v>
      </c>
      <c r="C3986" t="str">
        <f>IFERROR(__xludf.DUMMYFUNCTION("""COMPUTED_VALUE"""),"Meats")</f>
        <v>Meats</v>
      </c>
      <c r="D3986">
        <f>IFERROR(__xludf.DUMMYFUNCTION("""COMPUTED_VALUE"""),85.0)</f>
        <v>85</v>
      </c>
      <c r="E3986">
        <f>IFERROR(__xludf.DUMMYFUNCTION("""COMPUTED_VALUE"""),2.34)</f>
        <v>2.34</v>
      </c>
      <c r="F3986">
        <f>IFERROR(__xludf.DUMMYFUNCTION("""COMPUTED_VALUE"""),6.83)</f>
        <v>6.83</v>
      </c>
      <c r="G3986">
        <f>IFERROR(__xludf.DUMMYFUNCTION("""COMPUTED_VALUE"""),9.74)</f>
        <v>9.74</v>
      </c>
    </row>
    <row r="3987">
      <c r="A3987">
        <f>IFERROR(__xludf.DUMMYFUNCTION("""COMPUTED_VALUE"""),783191.0)</f>
        <v>783191</v>
      </c>
      <c r="B3987" t="str">
        <f>IFERROR(__xludf.DUMMYFUNCTION("""COMPUTED_VALUE"""),"Chicken Or Turkey Noodles And Vegetables Including Carrots Broccoli And/or Dark-Green Leafy; No Sauce")</f>
        <v>Chicken Or Turkey Noodles And Vegetables Including Carrots Broccoli And/or Dark-Green Leafy; No Sauce</v>
      </c>
      <c r="C3987" t="str">
        <f>IFERROR(__xludf.DUMMYFUNCTION("""COMPUTED_VALUE"""),"Meats")</f>
        <v>Meats</v>
      </c>
      <c r="D3987">
        <f>IFERROR(__xludf.DUMMYFUNCTION("""COMPUTED_VALUE"""),146.0)</f>
        <v>146</v>
      </c>
      <c r="E3987">
        <f>IFERROR(__xludf.DUMMYFUNCTION("""COMPUTED_VALUE"""),5.46)</f>
        <v>5.46</v>
      </c>
      <c r="F3987">
        <f>IFERROR(__xludf.DUMMYFUNCTION("""COMPUTED_VALUE"""),7.95)</f>
        <v>7.95</v>
      </c>
      <c r="G3987">
        <f>IFERROR(__xludf.DUMMYFUNCTION("""COMPUTED_VALUE"""),16.59)</f>
        <v>16.59</v>
      </c>
    </row>
    <row r="3988">
      <c r="A3988">
        <f>IFERROR(__xludf.DUMMYFUNCTION("""COMPUTED_VALUE"""),783192.0)</f>
        <v>783192</v>
      </c>
      <c r="B3988" t="str">
        <f>IFERROR(__xludf.DUMMYFUNCTION("""COMPUTED_VALUE"""),"Chicken Or Turkey Noodles And Vegetables Excluding Carrots Broccoli And Dark-Green Leafy; No Sauce")</f>
        <v>Chicken Or Turkey Noodles And Vegetables Excluding Carrots Broccoli And Dark-Green Leafy; No Sauce</v>
      </c>
      <c r="C3988" t="str">
        <f>IFERROR(__xludf.DUMMYFUNCTION("""COMPUTED_VALUE"""),"Meats")</f>
        <v>Meats</v>
      </c>
      <c r="D3988">
        <f>IFERROR(__xludf.DUMMYFUNCTION("""COMPUTED_VALUE"""),151.0)</f>
        <v>151</v>
      </c>
      <c r="E3988">
        <f>IFERROR(__xludf.DUMMYFUNCTION("""COMPUTED_VALUE"""),5.41)</f>
        <v>5.41</v>
      </c>
      <c r="F3988">
        <f>IFERROR(__xludf.DUMMYFUNCTION("""COMPUTED_VALUE"""),8.0)</f>
        <v>8</v>
      </c>
      <c r="G3988">
        <f>IFERROR(__xludf.DUMMYFUNCTION("""COMPUTED_VALUE"""),18.11)</f>
        <v>18.11</v>
      </c>
    </row>
    <row r="3989">
      <c r="A3989">
        <f>IFERROR(__xludf.DUMMYFUNCTION("""COMPUTED_VALUE"""),783193.0)</f>
        <v>783193</v>
      </c>
      <c r="B3989" t="str">
        <f>IFERROR(__xludf.DUMMYFUNCTION("""COMPUTED_VALUE"""),"Chicken Or Turkey Noodles And Vegetables Including Carrots Broccoli And/or Dark-Green Leafy; Gravy")</f>
        <v>Chicken Or Turkey Noodles And Vegetables Including Carrots Broccoli And/or Dark-Green Leafy; Gravy</v>
      </c>
      <c r="C3989" t="str">
        <f>IFERROR(__xludf.DUMMYFUNCTION("""COMPUTED_VALUE"""),"Meats")</f>
        <v>Meats</v>
      </c>
      <c r="D3989">
        <f>IFERROR(__xludf.DUMMYFUNCTION("""COMPUTED_VALUE"""),129.0)</f>
        <v>129</v>
      </c>
      <c r="E3989">
        <f>IFERROR(__xludf.DUMMYFUNCTION("""COMPUTED_VALUE"""),5.62)</f>
        <v>5.62</v>
      </c>
      <c r="F3989">
        <f>IFERROR(__xludf.DUMMYFUNCTION("""COMPUTED_VALUE"""),6.08)</f>
        <v>6.08</v>
      </c>
      <c r="G3989">
        <f>IFERROR(__xludf.DUMMYFUNCTION("""COMPUTED_VALUE"""),13.69)</f>
        <v>13.69</v>
      </c>
    </row>
    <row r="3990">
      <c r="A3990">
        <f>IFERROR(__xludf.DUMMYFUNCTION("""COMPUTED_VALUE"""),783194.0)</f>
        <v>783194</v>
      </c>
      <c r="B3990" t="str">
        <f>IFERROR(__xludf.DUMMYFUNCTION("""COMPUTED_VALUE"""),"Chicken Or Turkey Noodles And Vegetables Excluding Carrots Broccoli And Dark-Green Leafy; Gravy")</f>
        <v>Chicken Or Turkey Noodles And Vegetables Excluding Carrots Broccoli And Dark-Green Leafy; Gravy</v>
      </c>
      <c r="C3990" t="str">
        <f>IFERROR(__xludf.DUMMYFUNCTION("""COMPUTED_VALUE"""),"Meats")</f>
        <v>Meats</v>
      </c>
      <c r="D3990">
        <f>IFERROR(__xludf.DUMMYFUNCTION("""COMPUTED_VALUE"""),129.0)</f>
        <v>129</v>
      </c>
      <c r="E3990">
        <f>IFERROR(__xludf.DUMMYFUNCTION("""COMPUTED_VALUE"""),5.2)</f>
        <v>5.2</v>
      </c>
      <c r="F3990">
        <f>IFERROR(__xludf.DUMMYFUNCTION("""COMPUTED_VALUE"""),6.13)</f>
        <v>6.13</v>
      </c>
      <c r="G3990">
        <f>IFERROR(__xludf.DUMMYFUNCTION("""COMPUTED_VALUE"""),14.86)</f>
        <v>14.86</v>
      </c>
    </row>
    <row r="3991">
      <c r="A3991">
        <f>IFERROR(__xludf.DUMMYFUNCTION("""COMPUTED_VALUE"""),783195.0)</f>
        <v>783195</v>
      </c>
      <c r="B3991" t="str">
        <f>IFERROR(__xludf.DUMMYFUNCTION("""COMPUTED_VALUE"""),"Chicken Or Turkey Noodles And Vegetables Including Carrots Broccoli And/or Dark-Green Leafy; Cream Sauce White Sauce Or Mushroom Sauce")</f>
        <v>Chicken Or Turkey Noodles And Vegetables Including Carrots Broccoli And/or Dark-Green Leafy; Cream Sauce White Sauce Or Mushroom Sauce</v>
      </c>
      <c r="C3991" t="str">
        <f>IFERROR(__xludf.DUMMYFUNCTION("""COMPUTED_VALUE"""),"Meats")</f>
        <v>Meats</v>
      </c>
      <c r="D3991">
        <f>IFERROR(__xludf.DUMMYFUNCTION("""COMPUTED_VALUE"""),128.0)</f>
        <v>128</v>
      </c>
      <c r="E3991">
        <f>IFERROR(__xludf.DUMMYFUNCTION("""COMPUTED_VALUE"""),5.63)</f>
        <v>5.63</v>
      </c>
      <c r="F3991">
        <f>IFERROR(__xludf.DUMMYFUNCTION("""COMPUTED_VALUE"""),6.06)</f>
        <v>6.06</v>
      </c>
      <c r="G3991">
        <f>IFERROR(__xludf.DUMMYFUNCTION("""COMPUTED_VALUE"""),13.46)</f>
        <v>13.46</v>
      </c>
    </row>
    <row r="3992">
      <c r="A3992">
        <f>IFERROR(__xludf.DUMMYFUNCTION("""COMPUTED_VALUE"""),783196.0)</f>
        <v>783196</v>
      </c>
      <c r="B3992" t="str">
        <f>IFERROR(__xludf.DUMMYFUNCTION("""COMPUTED_VALUE"""),"Chicken Or Turkey Noodles And Vegetables Excluding Carrots Broccoli And/or Dark-Green Leafy; Cream Sauce White Sauce Or Mushroom Sauce")</f>
        <v>Chicken Or Turkey Noodles And Vegetables Excluding Carrots Broccoli And/or Dark-Green Leafy; Cream Sauce White Sauce Or Mushroom Sauce</v>
      </c>
      <c r="C3992" t="str">
        <f>IFERROR(__xludf.DUMMYFUNCTION("""COMPUTED_VALUE"""),"Meats")</f>
        <v>Meats</v>
      </c>
      <c r="D3992">
        <f>IFERROR(__xludf.DUMMYFUNCTION("""COMPUTED_VALUE"""),131.0)</f>
        <v>131</v>
      </c>
      <c r="E3992">
        <f>IFERROR(__xludf.DUMMYFUNCTION("""COMPUTED_VALUE"""),5.63)</f>
        <v>5.63</v>
      </c>
      <c r="F3992">
        <f>IFERROR(__xludf.DUMMYFUNCTION("""COMPUTED_VALUE"""),6.09)</f>
        <v>6.09</v>
      </c>
      <c r="G3992">
        <f>IFERROR(__xludf.DUMMYFUNCTION("""COMPUTED_VALUE"""),14.49)</f>
        <v>14.49</v>
      </c>
    </row>
    <row r="3993">
      <c r="A3993">
        <f>IFERROR(__xludf.DUMMYFUNCTION("""COMPUTED_VALUE"""),783197.0)</f>
        <v>783197</v>
      </c>
      <c r="B3993" t="str">
        <f>IFERROR(__xludf.DUMMYFUNCTION("""COMPUTED_VALUE"""),"Chicken Or Turkey Noodles And Vegetables Including Carrots Broccoli And/or Dark-Green Leafy; Tomato-Based Sauce")</f>
        <v>Chicken Or Turkey Noodles And Vegetables Including Carrots Broccoli And/or Dark-Green Leafy; Tomato-Based Sauce</v>
      </c>
      <c r="C3993" t="str">
        <f>IFERROR(__xludf.DUMMYFUNCTION("""COMPUTED_VALUE"""),"Meats")</f>
        <v>Meats</v>
      </c>
      <c r="D3993">
        <f>IFERROR(__xludf.DUMMYFUNCTION("""COMPUTED_VALUE"""),129.0)</f>
        <v>129</v>
      </c>
      <c r="E3993">
        <f>IFERROR(__xludf.DUMMYFUNCTION("""COMPUTED_VALUE"""),5.84)</f>
        <v>5.84</v>
      </c>
      <c r="F3993">
        <f>IFERROR(__xludf.DUMMYFUNCTION("""COMPUTED_VALUE"""),6.16)</f>
        <v>6.16</v>
      </c>
      <c r="G3993">
        <f>IFERROR(__xludf.DUMMYFUNCTION("""COMPUTED_VALUE"""),13.58)</f>
        <v>13.58</v>
      </c>
    </row>
    <row r="3994">
      <c r="A3994">
        <f>IFERROR(__xludf.DUMMYFUNCTION("""COMPUTED_VALUE"""),783198.0)</f>
        <v>783198</v>
      </c>
      <c r="B3994" t="str">
        <f>IFERROR(__xludf.DUMMYFUNCTION("""COMPUTED_VALUE"""),"Chicken Or Turkey Noodles And Vegetables Excluding Carrots Broccoli And Dark-Green Leafy; Tomato-Based Sauce")</f>
        <v>Chicken Or Turkey Noodles And Vegetables Excluding Carrots Broccoli And Dark-Green Leafy; Tomato-Based Sauce</v>
      </c>
      <c r="C3994" t="str">
        <f>IFERROR(__xludf.DUMMYFUNCTION("""COMPUTED_VALUE"""),"Meats")</f>
        <v>Meats</v>
      </c>
      <c r="D3994">
        <f>IFERROR(__xludf.DUMMYFUNCTION("""COMPUTED_VALUE"""),133.0)</f>
        <v>133</v>
      </c>
      <c r="E3994">
        <f>IFERROR(__xludf.DUMMYFUNCTION("""COMPUTED_VALUE"""),5.84)</f>
        <v>5.84</v>
      </c>
      <c r="F3994">
        <f>IFERROR(__xludf.DUMMYFUNCTION("""COMPUTED_VALUE"""),6.19)</f>
        <v>6.19</v>
      </c>
      <c r="G3994">
        <f>IFERROR(__xludf.DUMMYFUNCTION("""COMPUTED_VALUE"""),14.69)</f>
        <v>14.69</v>
      </c>
    </row>
    <row r="3995">
      <c r="A3995">
        <f>IFERROR(__xludf.DUMMYFUNCTION("""COMPUTED_VALUE"""),783200.0)</f>
        <v>783200</v>
      </c>
      <c r="B3995" t="str">
        <f>IFERROR(__xludf.DUMMYFUNCTION("""COMPUTED_VALUE"""),"Chicken Or Turkey Noodles And Vegetables Including Carrots Broccoli And/or Dark-Green Leafy; Cheese Sauce")</f>
        <v>Chicken Or Turkey Noodles And Vegetables Including Carrots Broccoli And/or Dark-Green Leafy; Cheese Sauce</v>
      </c>
      <c r="C3995" t="str">
        <f>IFERROR(__xludf.DUMMYFUNCTION("""COMPUTED_VALUE"""),"Meats")</f>
        <v>Meats</v>
      </c>
      <c r="D3995">
        <f>IFERROR(__xludf.DUMMYFUNCTION("""COMPUTED_VALUE"""),145.0)</f>
        <v>145</v>
      </c>
      <c r="E3995">
        <f>IFERROR(__xludf.DUMMYFUNCTION("""COMPUTED_VALUE"""),5.97)</f>
        <v>5.97</v>
      </c>
      <c r="F3995">
        <f>IFERROR(__xludf.DUMMYFUNCTION("""COMPUTED_VALUE"""),8.9)</f>
        <v>8.9</v>
      </c>
      <c r="G3995">
        <f>IFERROR(__xludf.DUMMYFUNCTION("""COMPUTED_VALUE"""),14.16)</f>
        <v>14.16</v>
      </c>
    </row>
    <row r="3996">
      <c r="A3996">
        <f>IFERROR(__xludf.DUMMYFUNCTION("""COMPUTED_VALUE"""),783201.0)</f>
        <v>783201</v>
      </c>
      <c r="B3996" t="str">
        <f>IFERROR(__xludf.DUMMYFUNCTION("""COMPUTED_VALUE"""),"Chicken Or Turkey Noodles And Vegetables Excluding Carrots Broccoli And Dark-Green Leafy; Cheese Sauce")</f>
        <v>Chicken Or Turkey Noodles And Vegetables Excluding Carrots Broccoli And Dark-Green Leafy; Cheese Sauce</v>
      </c>
      <c r="C3996" t="str">
        <f>IFERROR(__xludf.DUMMYFUNCTION("""COMPUTED_VALUE"""),"Meats")</f>
        <v>Meats</v>
      </c>
      <c r="D3996">
        <f>IFERROR(__xludf.DUMMYFUNCTION("""COMPUTED_VALUE"""),149.0)</f>
        <v>149</v>
      </c>
      <c r="E3996">
        <f>IFERROR(__xludf.DUMMYFUNCTION("""COMPUTED_VALUE"""),5.97)</f>
        <v>5.97</v>
      </c>
      <c r="F3996">
        <f>IFERROR(__xludf.DUMMYFUNCTION("""COMPUTED_VALUE"""),8.93)</f>
        <v>8.93</v>
      </c>
      <c r="G3996">
        <f>IFERROR(__xludf.DUMMYFUNCTION("""COMPUTED_VALUE"""),15.32)</f>
        <v>15.32</v>
      </c>
    </row>
    <row r="3997">
      <c r="A3997">
        <f>IFERROR(__xludf.DUMMYFUNCTION("""COMPUTED_VALUE"""),783202.0)</f>
        <v>783202</v>
      </c>
      <c r="B3997" t="str">
        <f>IFERROR(__xludf.DUMMYFUNCTION("""COMPUTED_VALUE"""),"Chicken Or Turkey Rice And Vegetables Including Carrots Broccoli And/or Dark-Green Leafy; No Sauce")</f>
        <v>Chicken Or Turkey Rice And Vegetables Including Carrots Broccoli And/or Dark-Green Leafy; No Sauce</v>
      </c>
      <c r="C3997" t="str">
        <f>IFERROR(__xludf.DUMMYFUNCTION("""COMPUTED_VALUE"""),"Meats")</f>
        <v>Meats</v>
      </c>
      <c r="D3997">
        <f>IFERROR(__xludf.DUMMYFUNCTION("""COMPUTED_VALUE"""),150.0)</f>
        <v>150</v>
      </c>
      <c r="E3997">
        <f>IFERROR(__xludf.DUMMYFUNCTION("""COMPUTED_VALUE"""),5.47)</f>
        <v>5.47</v>
      </c>
      <c r="F3997">
        <f>IFERROR(__xludf.DUMMYFUNCTION("""COMPUTED_VALUE"""),6.78)</f>
        <v>6.78</v>
      </c>
      <c r="G3997">
        <f>IFERROR(__xludf.DUMMYFUNCTION("""COMPUTED_VALUE"""),18.2)</f>
        <v>18.2</v>
      </c>
    </row>
    <row r="3998">
      <c r="A3998">
        <f>IFERROR(__xludf.DUMMYFUNCTION("""COMPUTED_VALUE"""),783203.0)</f>
        <v>783203</v>
      </c>
      <c r="B3998" t="str">
        <f>IFERROR(__xludf.DUMMYFUNCTION("""COMPUTED_VALUE"""),"Chicken Or Turkey Rice And Vegetables Excluding Carrots Broccoli And Dark-Green Leafy; No Sauce")</f>
        <v>Chicken Or Turkey Rice And Vegetables Excluding Carrots Broccoli And Dark-Green Leafy; No Sauce</v>
      </c>
      <c r="C3998" t="str">
        <f>IFERROR(__xludf.DUMMYFUNCTION("""COMPUTED_VALUE"""),"Meats")</f>
        <v>Meats</v>
      </c>
      <c r="D3998">
        <f>IFERROR(__xludf.DUMMYFUNCTION("""COMPUTED_VALUE"""),151.0)</f>
        <v>151</v>
      </c>
      <c r="E3998">
        <f>IFERROR(__xludf.DUMMYFUNCTION("""COMPUTED_VALUE"""),4.96)</f>
        <v>4.96</v>
      </c>
      <c r="F3998">
        <f>IFERROR(__xludf.DUMMYFUNCTION("""COMPUTED_VALUE"""),6.85)</f>
        <v>6.85</v>
      </c>
      <c r="G3998">
        <f>IFERROR(__xludf.DUMMYFUNCTION("""COMPUTED_VALUE"""),19.78)</f>
        <v>19.78</v>
      </c>
    </row>
    <row r="3999">
      <c r="A3999">
        <f>IFERROR(__xludf.DUMMYFUNCTION("""COMPUTED_VALUE"""),783204.0)</f>
        <v>783204</v>
      </c>
      <c r="B3999" t="str">
        <f>IFERROR(__xludf.DUMMYFUNCTION("""COMPUTED_VALUE"""),"Chicken Or Turkey Rice And Vegetables Including Carrots Broccoli And/or Dark-Green Leafy; Gravy")</f>
        <v>Chicken Or Turkey Rice And Vegetables Including Carrots Broccoli And/or Dark-Green Leafy; Gravy</v>
      </c>
      <c r="C3999" t="str">
        <f>IFERROR(__xludf.DUMMYFUNCTION("""COMPUTED_VALUE"""),"Meats")</f>
        <v>Meats</v>
      </c>
      <c r="D3999">
        <f>IFERROR(__xludf.DUMMYFUNCTION("""COMPUTED_VALUE"""),132.0)</f>
        <v>132</v>
      </c>
      <c r="E3999">
        <f>IFERROR(__xludf.DUMMYFUNCTION("""COMPUTED_VALUE"""),5.66)</f>
        <v>5.66</v>
      </c>
      <c r="F3999">
        <f>IFERROR(__xludf.DUMMYFUNCTION("""COMPUTED_VALUE"""),5.21)</f>
        <v>5.21</v>
      </c>
      <c r="G3999">
        <f>IFERROR(__xludf.DUMMYFUNCTION("""COMPUTED_VALUE"""),14.89)</f>
        <v>14.89</v>
      </c>
    </row>
    <row r="4000">
      <c r="A4000">
        <f>IFERROR(__xludf.DUMMYFUNCTION("""COMPUTED_VALUE"""),783205.0)</f>
        <v>783205</v>
      </c>
      <c r="B4000" t="str">
        <f>IFERROR(__xludf.DUMMYFUNCTION("""COMPUTED_VALUE"""),"Chicken Or Turkey Rice And Vegetables Excluding Carrots Broccoli And Dark-Green Leafy; Gravy")</f>
        <v>Chicken Or Turkey Rice And Vegetables Excluding Carrots Broccoli And Dark-Green Leafy; Gravy</v>
      </c>
      <c r="C4000" t="str">
        <f>IFERROR(__xludf.DUMMYFUNCTION("""COMPUTED_VALUE"""),"Meats")</f>
        <v>Meats</v>
      </c>
      <c r="D4000">
        <f>IFERROR(__xludf.DUMMYFUNCTION("""COMPUTED_VALUE"""),134.0)</f>
        <v>134</v>
      </c>
      <c r="E4000">
        <f>IFERROR(__xludf.DUMMYFUNCTION("""COMPUTED_VALUE"""),5.46)</f>
        <v>5.46</v>
      </c>
      <c r="F4000">
        <f>IFERROR(__xludf.DUMMYFUNCTION("""COMPUTED_VALUE"""),5.25)</f>
        <v>5.25</v>
      </c>
      <c r="G4000">
        <f>IFERROR(__xludf.DUMMYFUNCTION("""COMPUTED_VALUE"""),16.03)</f>
        <v>16.03</v>
      </c>
    </row>
    <row r="4001">
      <c r="A4001">
        <f>IFERROR(__xludf.DUMMYFUNCTION("""COMPUTED_VALUE"""),783206.0)</f>
        <v>783206</v>
      </c>
      <c r="B4001" t="str">
        <f>IFERROR(__xludf.DUMMYFUNCTION("""COMPUTED_VALUE"""),"Chicken Or Turkey Rice Corn And Cheese With Gravy")</f>
        <v>Chicken Or Turkey Rice Corn And Cheese With Gravy</v>
      </c>
      <c r="C4001" t="str">
        <f>IFERROR(__xludf.DUMMYFUNCTION("""COMPUTED_VALUE"""),"Meats")</f>
        <v>Meats</v>
      </c>
      <c r="D4001">
        <f>IFERROR(__xludf.DUMMYFUNCTION("""COMPUTED_VALUE"""),153.0)</f>
        <v>153</v>
      </c>
      <c r="E4001">
        <f>IFERROR(__xludf.DUMMYFUNCTION("""COMPUTED_VALUE"""),8.1)</f>
        <v>8.1</v>
      </c>
      <c r="F4001">
        <f>IFERROR(__xludf.DUMMYFUNCTION("""COMPUTED_VALUE"""),5.87)</f>
        <v>5.87</v>
      </c>
      <c r="G4001">
        <f>IFERROR(__xludf.DUMMYFUNCTION("""COMPUTED_VALUE"""),14.84)</f>
        <v>14.84</v>
      </c>
    </row>
    <row r="4002">
      <c r="A4002">
        <f>IFERROR(__xludf.DUMMYFUNCTION("""COMPUTED_VALUE"""),783209.0)</f>
        <v>783209</v>
      </c>
      <c r="B4002" t="str">
        <f>IFERROR(__xludf.DUMMYFUNCTION("""COMPUTED_VALUE"""),"Chicken Or Turkey Rice And Vegetables Including Carrots Broccoli And/or Dark-Green Leafy; Cream Sauce White Sauce Or Mushroom Sauce")</f>
        <v>Chicken Or Turkey Rice And Vegetables Including Carrots Broccoli And/or Dark-Green Leafy; Cream Sauce White Sauce Or Mushroom Sauce</v>
      </c>
      <c r="C4002" t="str">
        <f>IFERROR(__xludf.DUMMYFUNCTION("""COMPUTED_VALUE"""),"Meats")</f>
        <v>Meats</v>
      </c>
      <c r="D4002">
        <f>IFERROR(__xludf.DUMMYFUNCTION("""COMPUTED_VALUE"""),130.0)</f>
        <v>130</v>
      </c>
      <c r="E4002">
        <f>IFERROR(__xludf.DUMMYFUNCTION("""COMPUTED_VALUE"""),5.67)</f>
        <v>5.67</v>
      </c>
      <c r="F4002">
        <f>IFERROR(__xludf.DUMMYFUNCTION("""COMPUTED_VALUE"""),5.26)</f>
        <v>5.26</v>
      </c>
      <c r="G4002">
        <f>IFERROR(__xludf.DUMMYFUNCTION("""COMPUTED_VALUE"""),14.58)</f>
        <v>14.58</v>
      </c>
    </row>
    <row r="4003">
      <c r="A4003">
        <f>IFERROR(__xludf.DUMMYFUNCTION("""COMPUTED_VALUE"""),783210.0)</f>
        <v>783210</v>
      </c>
      <c r="B4003" t="str">
        <f>IFERROR(__xludf.DUMMYFUNCTION("""COMPUTED_VALUE"""),"Chicken Or Turkey Rice And Vegetables Excluding Carrots Broccoli And Dark-Green Leafy; Cream Sauce White Sauce Or Mushroom Sauce")</f>
        <v>Chicken Or Turkey Rice And Vegetables Excluding Carrots Broccoli And Dark-Green Leafy; Cream Sauce White Sauce Or Mushroom Sauce</v>
      </c>
      <c r="C4003" t="str">
        <f>IFERROR(__xludf.DUMMYFUNCTION("""COMPUTED_VALUE"""),"Meats")</f>
        <v>Meats</v>
      </c>
      <c r="D4003">
        <f>IFERROR(__xludf.DUMMYFUNCTION("""COMPUTED_VALUE"""),131.0)</f>
        <v>131</v>
      </c>
      <c r="E4003">
        <f>IFERROR(__xludf.DUMMYFUNCTION("""COMPUTED_VALUE"""),5.28)</f>
        <v>5.28</v>
      </c>
      <c r="F4003">
        <f>IFERROR(__xludf.DUMMYFUNCTION("""COMPUTED_VALUE"""),5.31)</f>
        <v>5.31</v>
      </c>
      <c r="G4003">
        <f>IFERROR(__xludf.DUMMYFUNCTION("""COMPUTED_VALUE"""),15.67)</f>
        <v>15.67</v>
      </c>
    </row>
    <row r="4004">
      <c r="A4004">
        <f>IFERROR(__xludf.DUMMYFUNCTION("""COMPUTED_VALUE"""),783211.0)</f>
        <v>783211</v>
      </c>
      <c r="B4004" t="str">
        <f>IFERROR(__xludf.DUMMYFUNCTION("""COMPUTED_VALUE"""),"Chicken Or Turkey Rice And Vegetables Including Carrots Broccoli And/or Dark-Green Leafy; Cheese Sauce")</f>
        <v>Chicken Or Turkey Rice And Vegetables Including Carrots Broccoli And/or Dark-Green Leafy; Cheese Sauce</v>
      </c>
      <c r="C4004" t="str">
        <f>IFERROR(__xludf.DUMMYFUNCTION("""COMPUTED_VALUE"""),"Meats")</f>
        <v>Meats</v>
      </c>
      <c r="D4004">
        <f>IFERROR(__xludf.DUMMYFUNCTION("""COMPUTED_VALUE"""),142.0)</f>
        <v>142</v>
      </c>
      <c r="E4004">
        <f>IFERROR(__xludf.DUMMYFUNCTION("""COMPUTED_VALUE"""),5.15)</f>
        <v>5.15</v>
      </c>
      <c r="F4004">
        <f>IFERROR(__xludf.DUMMYFUNCTION("""COMPUTED_VALUE"""),8.05)</f>
        <v>8.05</v>
      </c>
      <c r="G4004">
        <f>IFERROR(__xludf.DUMMYFUNCTION("""COMPUTED_VALUE"""),15.54)</f>
        <v>15.54</v>
      </c>
    </row>
    <row r="4005">
      <c r="A4005">
        <f>IFERROR(__xludf.DUMMYFUNCTION("""COMPUTED_VALUE"""),783212.0)</f>
        <v>783212</v>
      </c>
      <c r="B4005" t="str">
        <f>IFERROR(__xludf.DUMMYFUNCTION("""COMPUTED_VALUE"""),"Chicken Or Turkey Rice And Vegetables Excluding Carrots Broccoli And Dark-Green Leafy; Cheese Sauce")</f>
        <v>Chicken Or Turkey Rice And Vegetables Excluding Carrots Broccoli And Dark-Green Leafy; Cheese Sauce</v>
      </c>
      <c r="C4005" t="str">
        <f>IFERROR(__xludf.DUMMYFUNCTION("""COMPUTED_VALUE"""),"Meats")</f>
        <v>Meats</v>
      </c>
      <c r="D4005">
        <f>IFERROR(__xludf.DUMMYFUNCTION("""COMPUTED_VALUE"""),146.0)</f>
        <v>146</v>
      </c>
      <c r="E4005">
        <f>IFERROR(__xludf.DUMMYFUNCTION("""COMPUTED_VALUE"""),5.16)</f>
        <v>5.16</v>
      </c>
      <c r="F4005">
        <f>IFERROR(__xludf.DUMMYFUNCTION("""COMPUTED_VALUE"""),8.09)</f>
        <v>8.09</v>
      </c>
      <c r="G4005">
        <f>IFERROR(__xludf.DUMMYFUNCTION("""COMPUTED_VALUE"""),16.69)</f>
        <v>16.69</v>
      </c>
    </row>
    <row r="4006">
      <c r="A4006">
        <f>IFERROR(__xludf.DUMMYFUNCTION("""COMPUTED_VALUE"""),783213.0)</f>
        <v>783213</v>
      </c>
      <c r="B4006" t="str">
        <f>IFERROR(__xludf.DUMMYFUNCTION("""COMPUTED_VALUE"""),"Chicken Or Turkey Rice And Vegetables Including Carrots Broccoli And/or Dark-Green Leafy; Tomato-Based Sauce")</f>
        <v>Chicken Or Turkey Rice And Vegetables Including Carrots Broccoli And/or Dark-Green Leafy; Tomato-Based Sauce</v>
      </c>
      <c r="C4006" t="str">
        <f>IFERROR(__xludf.DUMMYFUNCTION("""COMPUTED_VALUE"""),"Meats")</f>
        <v>Meats</v>
      </c>
      <c r="D4006">
        <f>IFERROR(__xludf.DUMMYFUNCTION("""COMPUTED_VALUE"""),129.0)</f>
        <v>129</v>
      </c>
      <c r="E4006">
        <f>IFERROR(__xludf.DUMMYFUNCTION("""COMPUTED_VALUE"""),5.47)</f>
        <v>5.47</v>
      </c>
      <c r="F4006">
        <f>IFERROR(__xludf.DUMMYFUNCTION("""COMPUTED_VALUE"""),5.32)</f>
        <v>5.32</v>
      </c>
      <c r="G4006">
        <f>IFERROR(__xludf.DUMMYFUNCTION("""COMPUTED_VALUE"""),14.84)</f>
        <v>14.84</v>
      </c>
    </row>
    <row r="4007">
      <c r="A4007">
        <f>IFERROR(__xludf.DUMMYFUNCTION("""COMPUTED_VALUE"""),783214.0)</f>
        <v>783214</v>
      </c>
      <c r="B4007" t="str">
        <f>IFERROR(__xludf.DUMMYFUNCTION("""COMPUTED_VALUE"""),"Chicken Or Turkey Rice And Vegetables Excluding Carrots Broccoli And Dark-Green Leafy; Tomato-Based Sauce")</f>
        <v>Chicken Or Turkey Rice And Vegetables Excluding Carrots Broccoli And Dark-Green Leafy; Tomato-Based Sauce</v>
      </c>
      <c r="C4007" t="str">
        <f>IFERROR(__xludf.DUMMYFUNCTION("""COMPUTED_VALUE"""),"Meats")</f>
        <v>Meats</v>
      </c>
      <c r="D4007">
        <f>IFERROR(__xludf.DUMMYFUNCTION("""COMPUTED_VALUE"""),133.0)</f>
        <v>133</v>
      </c>
      <c r="E4007">
        <f>IFERROR(__xludf.DUMMYFUNCTION("""COMPUTED_VALUE"""),5.48)</f>
        <v>5.48</v>
      </c>
      <c r="F4007">
        <f>IFERROR(__xludf.DUMMYFUNCTION("""COMPUTED_VALUE"""),5.35)</f>
        <v>5.35</v>
      </c>
      <c r="G4007">
        <f>IFERROR(__xludf.DUMMYFUNCTION("""COMPUTED_VALUE"""),15.94)</f>
        <v>15.94</v>
      </c>
    </row>
    <row r="4008">
      <c r="A4008">
        <f>IFERROR(__xludf.DUMMYFUNCTION("""COMPUTED_VALUE"""),783216.0)</f>
        <v>783216</v>
      </c>
      <c r="B4008" t="str">
        <f>IFERROR(__xludf.DUMMYFUNCTION("""COMPUTED_VALUE"""),"Chicken Or Turkey Stuffing And Vegetables Including Carrots Broccoli And/or Dark-Green Leafy; No Sauce")</f>
        <v>Chicken Or Turkey Stuffing And Vegetables Including Carrots Broccoli And/or Dark-Green Leafy; No Sauce</v>
      </c>
      <c r="C4008" t="str">
        <f>IFERROR(__xludf.DUMMYFUNCTION("""COMPUTED_VALUE"""),"Meats")</f>
        <v>Meats</v>
      </c>
      <c r="D4008">
        <f>IFERROR(__xludf.DUMMYFUNCTION("""COMPUTED_VALUE"""),159.0)</f>
        <v>159</v>
      </c>
      <c r="E4008">
        <f>IFERROR(__xludf.DUMMYFUNCTION("""COMPUTED_VALUE"""),8.74)</f>
        <v>8.74</v>
      </c>
      <c r="F4008">
        <f>IFERROR(__xludf.DUMMYFUNCTION("""COMPUTED_VALUE"""),7.12)</f>
        <v>7.12</v>
      </c>
      <c r="G4008">
        <f>IFERROR(__xludf.DUMMYFUNCTION("""COMPUTED_VALUE"""),13.28)</f>
        <v>13.28</v>
      </c>
    </row>
    <row r="4009">
      <c r="A4009">
        <f>IFERROR(__xludf.DUMMYFUNCTION("""COMPUTED_VALUE"""),783217.0)</f>
        <v>783217</v>
      </c>
      <c r="B4009" t="str">
        <f>IFERROR(__xludf.DUMMYFUNCTION("""COMPUTED_VALUE"""),"Chicken Or Turkeystuffing And Vegetables Excluding Carrots Broccoli And Dark Green Leafy; No Sauce")</f>
        <v>Chicken Or Turkeystuffing And Vegetables Excluding Carrots Broccoli And Dark Green Leafy; No Sauce</v>
      </c>
      <c r="C4009" t="str">
        <f>IFERROR(__xludf.DUMMYFUNCTION("""COMPUTED_VALUE"""),"Meats")</f>
        <v>Meats</v>
      </c>
      <c r="D4009">
        <f>IFERROR(__xludf.DUMMYFUNCTION("""COMPUTED_VALUE"""),165.0)</f>
        <v>165</v>
      </c>
      <c r="E4009">
        <f>IFERROR(__xludf.DUMMYFUNCTION("""COMPUTED_VALUE"""),8.75)</f>
        <v>8.75</v>
      </c>
      <c r="F4009">
        <f>IFERROR(__xludf.DUMMYFUNCTION("""COMPUTED_VALUE"""),7.17)</f>
        <v>7.17</v>
      </c>
      <c r="G4009">
        <f>IFERROR(__xludf.DUMMYFUNCTION("""COMPUTED_VALUE"""),14.85)</f>
        <v>14.85</v>
      </c>
    </row>
    <row r="4010">
      <c r="A4010">
        <f>IFERROR(__xludf.DUMMYFUNCTION("""COMPUTED_VALUE"""),783218.0)</f>
        <v>783218</v>
      </c>
      <c r="B4010" t="str">
        <f>IFERROR(__xludf.DUMMYFUNCTION("""COMPUTED_VALUE"""),"Chicken Or Turkey Stuffing And Vegetables Including Carrots Broccoli And/or Dark-Green Leafy; Gravy")</f>
        <v>Chicken Or Turkey Stuffing And Vegetables Including Carrots Broccoli And/or Dark-Green Leafy; Gravy</v>
      </c>
      <c r="C4010" t="str">
        <f>IFERROR(__xludf.DUMMYFUNCTION("""COMPUTED_VALUE"""),"Meats")</f>
        <v>Meats</v>
      </c>
      <c r="D4010">
        <f>IFERROR(__xludf.DUMMYFUNCTION("""COMPUTED_VALUE"""),131.0)</f>
        <v>131</v>
      </c>
      <c r="E4010">
        <f>IFERROR(__xludf.DUMMYFUNCTION("""COMPUTED_VALUE"""),7.18)</f>
        <v>7.18</v>
      </c>
      <c r="F4010">
        <f>IFERROR(__xludf.DUMMYFUNCTION("""COMPUTED_VALUE"""),5.46)</f>
        <v>5.46</v>
      </c>
      <c r="G4010">
        <f>IFERROR(__xludf.DUMMYFUNCTION("""COMPUTED_VALUE"""),11.27)</f>
        <v>11.27</v>
      </c>
    </row>
    <row r="4011">
      <c r="A4011">
        <f>IFERROR(__xludf.DUMMYFUNCTION("""COMPUTED_VALUE"""),783219.0)</f>
        <v>783219</v>
      </c>
      <c r="B4011" t="str">
        <f>IFERROR(__xludf.DUMMYFUNCTION("""COMPUTED_VALUE"""),"Chicken Or Turkey Stuffing And Vegetables Excluding Carrots Broccoli And Dark-Green Leafy; Gravy")</f>
        <v>Chicken Or Turkey Stuffing And Vegetables Excluding Carrots Broccoli And Dark-Green Leafy; Gravy</v>
      </c>
      <c r="C4011" t="str">
        <f>IFERROR(__xludf.DUMMYFUNCTION("""COMPUTED_VALUE"""),"Meats")</f>
        <v>Meats</v>
      </c>
      <c r="D4011">
        <f>IFERROR(__xludf.DUMMYFUNCTION("""COMPUTED_VALUE"""),128.0)</f>
        <v>128</v>
      </c>
      <c r="E4011">
        <f>IFERROR(__xludf.DUMMYFUNCTION("""COMPUTED_VALUE"""),6.82)</f>
        <v>6.82</v>
      </c>
      <c r="F4011">
        <f>IFERROR(__xludf.DUMMYFUNCTION("""COMPUTED_VALUE"""),5.22)</f>
        <v>5.22</v>
      </c>
      <c r="G4011">
        <f>IFERROR(__xludf.DUMMYFUNCTION("""COMPUTED_VALUE"""),11.81)</f>
        <v>11.81</v>
      </c>
    </row>
    <row r="4012">
      <c r="A4012">
        <f>IFERROR(__xludf.DUMMYFUNCTION("""COMPUTED_VALUE"""),783220.0)</f>
        <v>783220</v>
      </c>
      <c r="B4012" t="str">
        <f>IFERROR(__xludf.DUMMYFUNCTION("""COMPUTED_VALUE"""),"Chicken Or Turkey Dumplings And Vegetables Including Carrots Broccoli And/or Dark Green Leafy; Gravy")</f>
        <v>Chicken Or Turkey Dumplings And Vegetables Including Carrots Broccoli And/or Dark Green Leafy; Gravy</v>
      </c>
      <c r="C4012" t="str">
        <f>IFERROR(__xludf.DUMMYFUNCTION("""COMPUTED_VALUE"""),"Meats")</f>
        <v>Meats</v>
      </c>
      <c r="D4012">
        <f>IFERROR(__xludf.DUMMYFUNCTION("""COMPUTED_VALUE"""),126.0)</f>
        <v>126</v>
      </c>
      <c r="E4012">
        <f>IFERROR(__xludf.DUMMYFUNCTION("""COMPUTED_VALUE"""),6.57)</f>
        <v>6.57</v>
      </c>
      <c r="F4012">
        <f>IFERROR(__xludf.DUMMYFUNCTION("""COMPUTED_VALUE"""),5.53)</f>
        <v>5.53</v>
      </c>
      <c r="G4012">
        <f>IFERROR(__xludf.DUMMYFUNCTION("""COMPUTED_VALUE"""),11.52)</f>
        <v>11.52</v>
      </c>
    </row>
    <row r="4013">
      <c r="A4013">
        <f>IFERROR(__xludf.DUMMYFUNCTION("""COMPUTED_VALUE"""),783221.0)</f>
        <v>783221</v>
      </c>
      <c r="B4013" t="str">
        <f>IFERROR(__xludf.DUMMYFUNCTION("""COMPUTED_VALUE"""),"Chicken Or Turkey Dumplings And Vegetables Excluding Carrots Broccoli And Dark Green Leafy; Gravy")</f>
        <v>Chicken Or Turkey Dumplings And Vegetables Excluding Carrots Broccoli And Dark Green Leafy; Gravy</v>
      </c>
      <c r="C4013" t="str">
        <f>IFERROR(__xludf.DUMMYFUNCTION("""COMPUTED_VALUE"""),"Meats")</f>
        <v>Meats</v>
      </c>
      <c r="D4013">
        <f>IFERROR(__xludf.DUMMYFUNCTION("""COMPUTED_VALUE"""),127.0)</f>
        <v>127</v>
      </c>
      <c r="E4013">
        <f>IFERROR(__xludf.DUMMYFUNCTION("""COMPUTED_VALUE"""),6.16)</f>
        <v>6.16</v>
      </c>
      <c r="F4013">
        <f>IFERROR(__xludf.DUMMYFUNCTION("""COMPUTED_VALUE"""),5.58)</f>
        <v>5.58</v>
      </c>
      <c r="G4013">
        <f>IFERROR(__xludf.DUMMYFUNCTION("""COMPUTED_VALUE"""),12.69)</f>
        <v>12.69</v>
      </c>
    </row>
    <row r="4014">
      <c r="A4014">
        <f>IFERROR(__xludf.DUMMYFUNCTION("""COMPUTED_VALUE"""),783222.0)</f>
        <v>783222</v>
      </c>
      <c r="B4014" t="str">
        <f>IFERROR(__xludf.DUMMYFUNCTION("""COMPUTED_VALUE"""),"Chicken Fricassee Puerto Rican Style")</f>
        <v>Chicken Fricassee Puerto Rican Style</v>
      </c>
      <c r="C4014" t="str">
        <f>IFERROR(__xludf.DUMMYFUNCTION("""COMPUTED_VALUE"""),"Meats")</f>
        <v>Meats</v>
      </c>
      <c r="D4014">
        <f>IFERROR(__xludf.DUMMYFUNCTION("""COMPUTED_VALUE"""),170.0)</f>
        <v>170</v>
      </c>
      <c r="E4014">
        <f>IFERROR(__xludf.DUMMYFUNCTION("""COMPUTED_VALUE"""),10.49)</f>
        <v>10.49</v>
      </c>
      <c r="F4014">
        <f>IFERROR(__xludf.DUMMYFUNCTION("""COMPUTED_VALUE"""),12.16)</f>
        <v>12.16</v>
      </c>
      <c r="G4014">
        <f>IFERROR(__xludf.DUMMYFUNCTION("""COMPUTED_VALUE"""),7.15)</f>
        <v>7.15</v>
      </c>
    </row>
    <row r="4015">
      <c r="A4015">
        <f>IFERROR(__xludf.DUMMYFUNCTION("""COMPUTED_VALUE"""),783224.0)</f>
        <v>783224</v>
      </c>
      <c r="B4015" t="str">
        <f>IFERROR(__xludf.DUMMYFUNCTION("""COMPUTED_VALUE"""),"Seafood Stew With Potatoes And Vegetables Excluding Carrots Broccoli And Dark-Green Leafy; Tomato-Based Sauce")</f>
        <v>Seafood Stew With Potatoes And Vegetables Excluding Carrots Broccoli And Dark-Green Leafy; Tomato-Based Sauce</v>
      </c>
      <c r="C4015" t="str">
        <f>IFERROR(__xludf.DUMMYFUNCTION("""COMPUTED_VALUE"""),"Fish")</f>
        <v>Fish</v>
      </c>
      <c r="D4015">
        <f>IFERROR(__xludf.DUMMYFUNCTION("""COMPUTED_VALUE"""),73.0)</f>
        <v>73</v>
      </c>
      <c r="E4015">
        <f>IFERROR(__xludf.DUMMYFUNCTION("""COMPUTED_VALUE"""),1.66)</f>
        <v>1.66</v>
      </c>
      <c r="F4015">
        <f>IFERROR(__xludf.DUMMYFUNCTION("""COMPUTED_VALUE"""),8.68)</f>
        <v>8.68</v>
      </c>
      <c r="G4015">
        <f>IFERROR(__xludf.DUMMYFUNCTION("""COMPUTED_VALUE"""),5.72)</f>
        <v>5.72</v>
      </c>
    </row>
    <row r="4016">
      <c r="A4016">
        <f>IFERROR(__xludf.DUMMYFUNCTION("""COMPUTED_VALUE"""),783226.0)</f>
        <v>783226</v>
      </c>
      <c r="B4016" t="str">
        <f>IFERROR(__xludf.DUMMYFUNCTION("""COMPUTED_VALUE"""),"Shrimp Creole With Rice")</f>
        <v>Shrimp Creole With Rice</v>
      </c>
      <c r="C4016" t="str">
        <f>IFERROR(__xludf.DUMMYFUNCTION("""COMPUTED_VALUE"""),"Fish")</f>
        <v>Fish</v>
      </c>
      <c r="D4016">
        <f>IFERROR(__xludf.DUMMYFUNCTION("""COMPUTED_VALUE"""),124.0)</f>
        <v>124</v>
      </c>
      <c r="E4016">
        <f>IFERROR(__xludf.DUMMYFUNCTION("""COMPUTED_VALUE"""),3.67)</f>
        <v>3.67</v>
      </c>
      <c r="F4016">
        <f>IFERROR(__xludf.DUMMYFUNCTION("""COMPUTED_VALUE"""),10.12)</f>
        <v>10.12</v>
      </c>
      <c r="G4016">
        <f>IFERROR(__xludf.DUMMYFUNCTION("""COMPUTED_VALUE"""),11.9)</f>
        <v>11.9</v>
      </c>
    </row>
    <row r="4017">
      <c r="A4017">
        <f>IFERROR(__xludf.DUMMYFUNCTION("""COMPUTED_VALUE"""),783227.0)</f>
        <v>783227</v>
      </c>
      <c r="B4017" t="str">
        <f>IFERROR(__xludf.DUMMYFUNCTION("""COMPUTED_VALUE"""),"Tuna Pot Pie")</f>
        <v>Tuna Pot Pie</v>
      </c>
      <c r="C4017" t="str">
        <f>IFERROR(__xludf.DUMMYFUNCTION("""COMPUTED_VALUE"""),"Fish")</f>
        <v>Fish</v>
      </c>
      <c r="D4017">
        <f>IFERROR(__xludf.DUMMYFUNCTION("""COMPUTED_VALUE"""),220.0)</f>
        <v>220</v>
      </c>
      <c r="E4017">
        <f>IFERROR(__xludf.DUMMYFUNCTION("""COMPUTED_VALUE"""),13.17)</f>
        <v>13.17</v>
      </c>
      <c r="F4017">
        <f>IFERROR(__xludf.DUMMYFUNCTION("""COMPUTED_VALUE"""),8.96)</f>
        <v>8.96</v>
      </c>
      <c r="G4017">
        <f>IFERROR(__xludf.DUMMYFUNCTION("""COMPUTED_VALUE"""),16.32)</f>
        <v>16.32</v>
      </c>
    </row>
    <row r="4018">
      <c r="A4018">
        <f>IFERROR(__xludf.DUMMYFUNCTION("""COMPUTED_VALUE"""),783228.0)</f>
        <v>783228</v>
      </c>
      <c r="B4018" t="str">
        <f>IFERROR(__xludf.DUMMYFUNCTION("""COMPUTED_VALUE"""),"Tuna Noodle Casserole With Vegetables Cream Or White Sauce")</f>
        <v>Tuna Noodle Casserole With Vegetables Cream Or White Sauce</v>
      </c>
      <c r="C4018" t="str">
        <f>IFERROR(__xludf.DUMMYFUNCTION("""COMPUTED_VALUE"""),"Fish")</f>
        <v>Fish</v>
      </c>
      <c r="D4018">
        <f>IFERROR(__xludf.DUMMYFUNCTION("""COMPUTED_VALUE"""),149.0)</f>
        <v>149</v>
      </c>
      <c r="E4018">
        <f>IFERROR(__xludf.DUMMYFUNCTION("""COMPUTED_VALUE"""),6.42)</f>
        <v>6.42</v>
      </c>
      <c r="F4018">
        <f>IFERROR(__xludf.DUMMYFUNCTION("""COMPUTED_VALUE"""),8.92)</f>
        <v>8.92</v>
      </c>
      <c r="G4018">
        <f>IFERROR(__xludf.DUMMYFUNCTION("""COMPUTED_VALUE"""),14.1)</f>
        <v>14.1</v>
      </c>
    </row>
    <row r="4019">
      <c r="A4019">
        <f>IFERROR(__xludf.DUMMYFUNCTION("""COMPUTED_VALUE"""),783229.0)</f>
        <v>783229</v>
      </c>
      <c r="B4019" t="str">
        <f>IFERROR(__xludf.DUMMYFUNCTION("""COMPUTED_VALUE"""),"Fish Noodles And Vegetables Including Carrots Broccoli And/or Dark Green Leafy; Cheese Sauce")</f>
        <v>Fish Noodles And Vegetables Including Carrots Broccoli And/or Dark Green Leafy; Cheese Sauce</v>
      </c>
      <c r="C4019" t="str">
        <f>IFERROR(__xludf.DUMMYFUNCTION("""COMPUTED_VALUE"""),"Fish")</f>
        <v>Fish</v>
      </c>
      <c r="D4019">
        <f>IFERROR(__xludf.DUMMYFUNCTION("""COMPUTED_VALUE"""),137.0)</f>
        <v>137</v>
      </c>
      <c r="E4019">
        <f>IFERROR(__xludf.DUMMYFUNCTION("""COMPUTED_VALUE"""),5.22)</f>
        <v>5.22</v>
      </c>
      <c r="F4019">
        <f>IFERROR(__xludf.DUMMYFUNCTION("""COMPUTED_VALUE"""),8.35)</f>
        <v>8.35</v>
      </c>
      <c r="G4019">
        <f>IFERROR(__xludf.DUMMYFUNCTION("""COMPUTED_VALUE"""),14.16)</f>
        <v>14.16</v>
      </c>
    </row>
    <row r="4020">
      <c r="A4020">
        <f>IFERROR(__xludf.DUMMYFUNCTION("""COMPUTED_VALUE"""),783230.0)</f>
        <v>783230</v>
      </c>
      <c r="B4020" t="str">
        <f>IFERROR(__xludf.DUMMYFUNCTION("""COMPUTED_VALUE"""),"Fish Noodles And Vegetables Excluding Carrots Broccoli And Dark-Green Leafy; Cheese Sauce")</f>
        <v>Fish Noodles And Vegetables Excluding Carrots Broccoli And Dark-Green Leafy; Cheese Sauce</v>
      </c>
      <c r="C4020" t="str">
        <f>IFERROR(__xludf.DUMMYFUNCTION("""COMPUTED_VALUE"""),"Fish")</f>
        <v>Fish</v>
      </c>
      <c r="D4020">
        <f>IFERROR(__xludf.DUMMYFUNCTION("""COMPUTED_VALUE"""),141.0)</f>
        <v>141</v>
      </c>
      <c r="E4020">
        <f>IFERROR(__xludf.DUMMYFUNCTION("""COMPUTED_VALUE"""),5.22)</f>
        <v>5.22</v>
      </c>
      <c r="F4020">
        <f>IFERROR(__xludf.DUMMYFUNCTION("""COMPUTED_VALUE"""),8.39)</f>
        <v>8.39</v>
      </c>
      <c r="G4020">
        <f>IFERROR(__xludf.DUMMYFUNCTION("""COMPUTED_VALUE"""),15.32)</f>
        <v>15.32</v>
      </c>
    </row>
    <row r="4021">
      <c r="A4021">
        <f>IFERROR(__xludf.DUMMYFUNCTION("""COMPUTED_VALUE"""),783231.0)</f>
        <v>783231</v>
      </c>
      <c r="B4021" t="str">
        <f>IFERROR(__xludf.DUMMYFUNCTION("""COMPUTED_VALUE"""),"Bouillabaisse")</f>
        <v>Bouillabaisse</v>
      </c>
      <c r="C4021" t="str">
        <f>IFERROR(__xludf.DUMMYFUNCTION("""COMPUTED_VALUE"""),"Fish")</f>
        <v>Fish</v>
      </c>
      <c r="D4021">
        <f>IFERROR(__xludf.DUMMYFUNCTION("""COMPUTED_VALUE"""),98.0)</f>
        <v>98</v>
      </c>
      <c r="E4021">
        <f>IFERROR(__xludf.DUMMYFUNCTION("""COMPUTED_VALUE"""),3.7)</f>
        <v>3.7</v>
      </c>
      <c r="F4021">
        <f>IFERROR(__xludf.DUMMYFUNCTION("""COMPUTED_VALUE"""),13.43)</f>
        <v>13.43</v>
      </c>
      <c r="G4021">
        <f>IFERROR(__xludf.DUMMYFUNCTION("""COMPUTED_VALUE"""),2.15)</f>
        <v>2.15</v>
      </c>
    </row>
    <row r="4022">
      <c r="A4022">
        <f>IFERROR(__xludf.DUMMYFUNCTION("""COMPUTED_VALUE"""),783232.0)</f>
        <v>783232</v>
      </c>
      <c r="B4022" t="str">
        <f>IFERROR(__xludf.DUMMYFUNCTION("""COMPUTED_VALUE"""),"Oyster Pie")</f>
        <v>Oyster Pie</v>
      </c>
      <c r="C4022" t="str">
        <f>IFERROR(__xludf.DUMMYFUNCTION("""COMPUTED_VALUE"""),"Fish")</f>
        <v>Fish</v>
      </c>
      <c r="D4022">
        <f>IFERROR(__xludf.DUMMYFUNCTION("""COMPUTED_VALUE"""),245.0)</f>
        <v>245</v>
      </c>
      <c r="E4022">
        <f>IFERROR(__xludf.DUMMYFUNCTION("""COMPUTED_VALUE"""),15.99)</f>
        <v>15.99</v>
      </c>
      <c r="F4022">
        <f>IFERROR(__xludf.DUMMYFUNCTION("""COMPUTED_VALUE"""),5.36)</f>
        <v>5.36</v>
      </c>
      <c r="G4022">
        <f>IFERROR(__xludf.DUMMYFUNCTION("""COMPUTED_VALUE"""),19.82)</f>
        <v>19.82</v>
      </c>
    </row>
    <row r="4023">
      <c r="A4023">
        <f>IFERROR(__xludf.DUMMYFUNCTION("""COMPUTED_VALUE"""),783233.0)</f>
        <v>783233</v>
      </c>
      <c r="B4023" t="str">
        <f>IFERROR(__xludf.DUMMYFUNCTION("""COMPUTED_VALUE"""),"Seafood Stew With Potatoes And Vegetables Including Carrots Broccoli And/or Dark-Green Leafy; Tomato-Based Sauce")</f>
        <v>Seafood Stew With Potatoes And Vegetables Including Carrots Broccoli And/or Dark-Green Leafy; Tomato-Based Sauce</v>
      </c>
      <c r="C4023" t="str">
        <f>IFERROR(__xludf.DUMMYFUNCTION("""COMPUTED_VALUE"""),"Fish")</f>
        <v>Fish</v>
      </c>
      <c r="D4023">
        <f>IFERROR(__xludf.DUMMYFUNCTION("""COMPUTED_VALUE"""),72.0)</f>
        <v>72</v>
      </c>
      <c r="E4023">
        <f>IFERROR(__xludf.DUMMYFUNCTION("""COMPUTED_VALUE"""),1.34)</f>
        <v>1.34</v>
      </c>
      <c r="F4023">
        <f>IFERROR(__xludf.DUMMYFUNCTION("""COMPUTED_VALUE"""),8.82)</f>
        <v>8.82</v>
      </c>
      <c r="G4023">
        <f>IFERROR(__xludf.DUMMYFUNCTION("""COMPUTED_VALUE"""),5.98)</f>
        <v>5.98</v>
      </c>
    </row>
    <row r="4024">
      <c r="A4024">
        <f>IFERROR(__xludf.DUMMYFUNCTION("""COMPUTED_VALUE"""),783234.0)</f>
        <v>783234</v>
      </c>
      <c r="B4024" t="str">
        <f>IFERROR(__xludf.DUMMYFUNCTION("""COMPUTED_VALUE"""),"Tuna Noodle Casserole With Vegetables And Mushroom Sauce")</f>
        <v>Tuna Noodle Casserole With Vegetables And Mushroom Sauce</v>
      </c>
      <c r="C4024" t="str">
        <f>IFERROR(__xludf.DUMMYFUNCTION("""COMPUTED_VALUE"""),"Fish")</f>
        <v>Fish</v>
      </c>
      <c r="D4024">
        <f>IFERROR(__xludf.DUMMYFUNCTION("""COMPUTED_VALUE"""),123.0)</f>
        <v>123</v>
      </c>
      <c r="E4024">
        <f>IFERROR(__xludf.DUMMYFUNCTION("""COMPUTED_VALUE"""),4.46)</f>
        <v>4.46</v>
      </c>
      <c r="F4024">
        <f>IFERROR(__xludf.DUMMYFUNCTION("""COMPUTED_VALUE"""),8.08)</f>
        <v>8.08</v>
      </c>
      <c r="G4024">
        <f>IFERROR(__xludf.DUMMYFUNCTION("""COMPUTED_VALUE"""),12.94)</f>
        <v>12.94</v>
      </c>
    </row>
    <row r="4025">
      <c r="A4025">
        <f>IFERROR(__xludf.DUMMYFUNCTION("""COMPUTED_VALUE"""),783235.0)</f>
        <v>783235</v>
      </c>
      <c r="B4025" t="str">
        <f>IFERROR(__xludf.DUMMYFUNCTION("""COMPUTED_VALUE"""),"Codfish With Starchy Vegetables Puerto Rican Style")</f>
        <v>Codfish With Starchy Vegetables Puerto Rican Style</v>
      </c>
      <c r="C4025" t="str">
        <f>IFERROR(__xludf.DUMMYFUNCTION("""COMPUTED_VALUE"""),"Fish")</f>
        <v>Fish</v>
      </c>
      <c r="D4025">
        <f>IFERROR(__xludf.DUMMYFUNCTION("""COMPUTED_VALUE"""),133.0)</f>
        <v>133</v>
      </c>
      <c r="E4025">
        <f>IFERROR(__xludf.DUMMYFUNCTION("""COMPUTED_VALUE"""),5.26)</f>
        <v>5.26</v>
      </c>
      <c r="F4025">
        <f>IFERROR(__xludf.DUMMYFUNCTION("""COMPUTED_VALUE"""),3.53)</f>
        <v>3.53</v>
      </c>
      <c r="G4025">
        <f>IFERROR(__xludf.DUMMYFUNCTION("""COMPUTED_VALUE"""),18.49)</f>
        <v>18.49</v>
      </c>
    </row>
    <row r="4026">
      <c r="A4026">
        <f>IFERROR(__xludf.DUMMYFUNCTION("""COMPUTED_VALUE"""),783236.0)</f>
        <v>783236</v>
      </c>
      <c r="B4026" t="str">
        <f>IFERROR(__xludf.DUMMYFUNCTION("""COMPUTED_VALUE"""),"Stewed Codfish Puerto Rican Style")</f>
        <v>Stewed Codfish Puerto Rican Style</v>
      </c>
      <c r="C4026" t="str">
        <f>IFERROR(__xludf.DUMMYFUNCTION("""COMPUTED_VALUE"""),"Fish")</f>
        <v>Fish</v>
      </c>
      <c r="D4026">
        <f>IFERROR(__xludf.DUMMYFUNCTION("""COMPUTED_VALUE"""),113.0)</f>
        <v>113</v>
      </c>
      <c r="E4026">
        <f>IFERROR(__xludf.DUMMYFUNCTION("""COMPUTED_VALUE"""),3.89)</f>
        <v>3.89</v>
      </c>
      <c r="F4026">
        <f>IFERROR(__xludf.DUMMYFUNCTION("""COMPUTED_VALUE"""),10.93)</f>
        <v>10.93</v>
      </c>
      <c r="G4026">
        <f>IFERROR(__xludf.DUMMYFUNCTION("""COMPUTED_VALUE"""),8.65)</f>
        <v>8.65</v>
      </c>
    </row>
    <row r="4027">
      <c r="A4027">
        <f>IFERROR(__xludf.DUMMYFUNCTION("""COMPUTED_VALUE"""),783237.0)</f>
        <v>783237</v>
      </c>
      <c r="B4027" t="str">
        <f>IFERROR(__xludf.DUMMYFUNCTION("""COMPUTED_VALUE"""),"Biscayne Codfish Puerto Rican Style")</f>
        <v>Biscayne Codfish Puerto Rican Style</v>
      </c>
      <c r="C4027" t="str">
        <f>IFERROR(__xludf.DUMMYFUNCTION("""COMPUTED_VALUE"""),"Fish")</f>
        <v>Fish</v>
      </c>
      <c r="D4027">
        <f>IFERROR(__xludf.DUMMYFUNCTION("""COMPUTED_VALUE"""),185.0)</f>
        <v>185</v>
      </c>
      <c r="E4027">
        <f>IFERROR(__xludf.DUMMYFUNCTION("""COMPUTED_VALUE"""),11.88)</f>
        <v>11.88</v>
      </c>
      <c r="F4027">
        <f>IFERROR(__xludf.DUMMYFUNCTION("""COMPUTED_VALUE"""),9.22)</f>
        <v>9.22</v>
      </c>
      <c r="G4027">
        <f>IFERROR(__xludf.DUMMYFUNCTION("""COMPUTED_VALUE"""),11.12)</f>
        <v>11.12</v>
      </c>
    </row>
    <row r="4028">
      <c r="A4028">
        <f>IFERROR(__xludf.DUMMYFUNCTION("""COMPUTED_VALUE"""),783238.0)</f>
        <v>783238</v>
      </c>
      <c r="B4028" t="str">
        <f>IFERROR(__xludf.DUMMYFUNCTION("""COMPUTED_VALUE"""),"Stew Nfs")</f>
        <v>Stew Nfs</v>
      </c>
      <c r="C4028" t="str">
        <f>IFERROR(__xludf.DUMMYFUNCTION("""COMPUTED_VALUE"""),"Meats")</f>
        <v>Meats</v>
      </c>
      <c r="D4028">
        <f>IFERROR(__xludf.DUMMYFUNCTION("""COMPUTED_VALUE"""),90.0)</f>
        <v>90</v>
      </c>
      <c r="E4028">
        <f>IFERROR(__xludf.DUMMYFUNCTION("""COMPUTED_VALUE"""),3.96)</f>
        <v>3.96</v>
      </c>
      <c r="F4028">
        <f>IFERROR(__xludf.DUMMYFUNCTION("""COMPUTED_VALUE"""),5.23)</f>
        <v>5.23</v>
      </c>
      <c r="G4028">
        <f>IFERROR(__xludf.DUMMYFUNCTION("""COMPUTED_VALUE"""),8.25)</f>
        <v>8.25</v>
      </c>
    </row>
    <row r="4029">
      <c r="A4029">
        <f>IFERROR(__xludf.DUMMYFUNCTION("""COMPUTED_VALUE"""),783239.0)</f>
        <v>783239</v>
      </c>
      <c r="B4029" t="str">
        <f>IFERROR(__xludf.DUMMYFUNCTION("""COMPUTED_VALUE"""),"Goulash Nfs")</f>
        <v>Goulash Nfs</v>
      </c>
      <c r="C4029" t="str">
        <f>IFERROR(__xludf.DUMMYFUNCTION("""COMPUTED_VALUE"""),"Meats")</f>
        <v>Meats</v>
      </c>
      <c r="D4029">
        <f>IFERROR(__xludf.DUMMYFUNCTION("""COMPUTED_VALUE"""),161.0)</f>
        <v>161</v>
      </c>
      <c r="E4029">
        <f>IFERROR(__xludf.DUMMYFUNCTION("""COMPUTED_VALUE"""),7.43)</f>
        <v>7.43</v>
      </c>
      <c r="F4029">
        <f>IFERROR(__xludf.DUMMYFUNCTION("""COMPUTED_VALUE"""),15.3)</f>
        <v>15.3</v>
      </c>
      <c r="G4029">
        <f>IFERROR(__xludf.DUMMYFUNCTION("""COMPUTED_VALUE"""),8.7)</f>
        <v>8.7</v>
      </c>
    </row>
    <row r="4030">
      <c r="A4030">
        <f>IFERROR(__xludf.DUMMYFUNCTION("""COMPUTED_VALUE"""),783243.0)</f>
        <v>783243</v>
      </c>
      <c r="B4030" t="str">
        <f>IFERROR(__xludf.DUMMYFUNCTION("""COMPUTED_VALUE"""),"Brunswick Stew")</f>
        <v>Brunswick Stew</v>
      </c>
      <c r="C4030" t="str">
        <f>IFERROR(__xludf.DUMMYFUNCTION("""COMPUTED_VALUE"""),"Meats")</f>
        <v>Meats</v>
      </c>
      <c r="D4030">
        <f>IFERROR(__xludf.DUMMYFUNCTION("""COMPUTED_VALUE"""),120.0)</f>
        <v>120</v>
      </c>
      <c r="E4030">
        <f>IFERROR(__xludf.DUMMYFUNCTION("""COMPUTED_VALUE"""),5.07)</f>
        <v>5.07</v>
      </c>
      <c r="F4030">
        <f>IFERROR(__xludf.DUMMYFUNCTION("""COMPUTED_VALUE"""),11.36)</f>
        <v>11.36</v>
      </c>
      <c r="G4030">
        <f>IFERROR(__xludf.DUMMYFUNCTION("""COMPUTED_VALUE"""),7.48)</f>
        <v>7.48</v>
      </c>
    </row>
    <row r="4031">
      <c r="A4031">
        <f>IFERROR(__xludf.DUMMYFUNCTION("""COMPUTED_VALUE"""),783245.0)</f>
        <v>783245</v>
      </c>
      <c r="B4031" t="str">
        <f>IFERROR(__xludf.DUMMYFUNCTION("""COMPUTED_VALUE"""),"Stewed Variety Meats Mostly Liver Puerto Rican Style")</f>
        <v>Stewed Variety Meats Mostly Liver Puerto Rican Style</v>
      </c>
      <c r="C4031" t="str">
        <f>IFERROR(__xludf.DUMMYFUNCTION("""COMPUTED_VALUE"""),"Meats")</f>
        <v>Meats</v>
      </c>
      <c r="D4031">
        <f>IFERROR(__xludf.DUMMYFUNCTION("""COMPUTED_VALUE"""),110.0)</f>
        <v>110</v>
      </c>
      <c r="E4031">
        <f>IFERROR(__xludf.DUMMYFUNCTION("""COMPUTED_VALUE"""),2.48)</f>
        <v>2.48</v>
      </c>
      <c r="F4031">
        <f>IFERROR(__xludf.DUMMYFUNCTION("""COMPUTED_VALUE"""),15.78)</f>
        <v>15.78</v>
      </c>
      <c r="G4031">
        <f>IFERROR(__xludf.DUMMYFUNCTION("""COMPUTED_VALUE"""),5.7)</f>
        <v>5.7</v>
      </c>
    </row>
    <row r="4032">
      <c r="A4032">
        <f>IFERROR(__xludf.DUMMYFUNCTION("""COMPUTED_VALUE"""),783246.0)</f>
        <v>783246</v>
      </c>
      <c r="B4032" t="str">
        <f>IFERROR(__xludf.DUMMYFUNCTION("""COMPUTED_VALUE"""),"Stewed Tripe With Potatoes Puerto Rican Style")</f>
        <v>Stewed Tripe With Potatoes Puerto Rican Style</v>
      </c>
      <c r="C4032" t="str">
        <f>IFERROR(__xludf.DUMMYFUNCTION("""COMPUTED_VALUE"""),"Meats")</f>
        <v>Meats</v>
      </c>
      <c r="D4032">
        <f>IFERROR(__xludf.DUMMYFUNCTION("""COMPUTED_VALUE"""),108.0)</f>
        <v>108</v>
      </c>
      <c r="E4032">
        <f>IFERROR(__xludf.DUMMYFUNCTION("""COMPUTED_VALUE"""),4.02)</f>
        <v>4.02</v>
      </c>
      <c r="F4032">
        <f>IFERROR(__xludf.DUMMYFUNCTION("""COMPUTED_VALUE"""),8.58)</f>
        <v>8.58</v>
      </c>
      <c r="G4032">
        <f>IFERROR(__xludf.DUMMYFUNCTION("""COMPUTED_VALUE"""),9.46)</f>
        <v>9.46</v>
      </c>
    </row>
    <row r="4033">
      <c r="A4033">
        <f>IFERROR(__xludf.DUMMYFUNCTION("""COMPUTED_VALUE"""),783247.0)</f>
        <v>783247</v>
      </c>
      <c r="B4033" t="str">
        <f>IFERROR(__xludf.DUMMYFUNCTION("""COMPUTED_VALUE"""),"Gumbo With Rice")</f>
        <v>Gumbo With Rice</v>
      </c>
      <c r="C4033" t="str">
        <f>IFERROR(__xludf.DUMMYFUNCTION("""COMPUTED_VALUE"""),"Fish")</f>
        <v>Fish</v>
      </c>
      <c r="D4033">
        <f>IFERROR(__xludf.DUMMYFUNCTION("""COMPUTED_VALUE"""),88.0)</f>
        <v>88</v>
      </c>
      <c r="E4033">
        <f>IFERROR(__xludf.DUMMYFUNCTION("""COMPUTED_VALUE"""),3.39)</f>
        <v>3.39</v>
      </c>
      <c r="F4033">
        <f>IFERROR(__xludf.DUMMYFUNCTION("""COMPUTED_VALUE"""),8.18)</f>
        <v>8.18</v>
      </c>
      <c r="G4033">
        <f>IFERROR(__xludf.DUMMYFUNCTION("""COMPUTED_VALUE"""),6.42)</f>
        <v>6.42</v>
      </c>
    </row>
    <row r="4034">
      <c r="A4034">
        <f>IFERROR(__xludf.DUMMYFUNCTION("""COMPUTED_VALUE"""),783249.0)</f>
        <v>783249</v>
      </c>
      <c r="B4034" t="str">
        <f>IFERROR(__xludf.DUMMYFUNCTION("""COMPUTED_VALUE"""),"Beef And Vegetables Including Carrots Broccoli And/or Dark-Green Leafy; No Potatoes No Sauce")</f>
        <v>Beef And Vegetables Including Carrots Broccoli And/or Dark-Green Leafy; No Potatoes No Sauce</v>
      </c>
      <c r="C4034" t="str">
        <f>IFERROR(__xludf.DUMMYFUNCTION("""COMPUTED_VALUE"""),"Meats")</f>
        <v>Meats</v>
      </c>
      <c r="D4034">
        <f>IFERROR(__xludf.DUMMYFUNCTION("""COMPUTED_VALUE"""),116.0)</f>
        <v>116</v>
      </c>
      <c r="E4034">
        <f>IFERROR(__xludf.DUMMYFUNCTION("""COMPUTED_VALUE"""),6.73)</f>
        <v>6.73</v>
      </c>
      <c r="F4034">
        <f>IFERROR(__xludf.DUMMYFUNCTION("""COMPUTED_VALUE"""),11.41)</f>
        <v>11.41</v>
      </c>
      <c r="G4034">
        <f>IFERROR(__xludf.DUMMYFUNCTION("""COMPUTED_VALUE"""),3.0)</f>
        <v>3</v>
      </c>
    </row>
    <row r="4035">
      <c r="A4035">
        <f>IFERROR(__xludf.DUMMYFUNCTION("""COMPUTED_VALUE"""),783250.0)</f>
        <v>783250</v>
      </c>
      <c r="B4035" t="str">
        <f>IFERROR(__xludf.DUMMYFUNCTION("""COMPUTED_VALUE"""),"Beef And Vegetables Excluding Carrots Broccoli And Dark-Green Leafy; No Potatoes No Sauce")</f>
        <v>Beef And Vegetables Excluding Carrots Broccoli And Dark-Green Leafy; No Potatoes No Sauce</v>
      </c>
      <c r="C4035" t="str">
        <f>IFERROR(__xludf.DUMMYFUNCTION("""COMPUTED_VALUE"""),"Meats")</f>
        <v>Meats</v>
      </c>
      <c r="D4035">
        <f>IFERROR(__xludf.DUMMYFUNCTION("""COMPUTED_VALUE"""),120.0)</f>
        <v>120</v>
      </c>
      <c r="E4035">
        <f>IFERROR(__xludf.DUMMYFUNCTION("""COMPUTED_VALUE"""),7.09)</f>
        <v>7.09</v>
      </c>
      <c r="F4035">
        <f>IFERROR(__xludf.DUMMYFUNCTION("""COMPUTED_VALUE"""),10.03)</f>
        <v>10.03</v>
      </c>
      <c r="G4035">
        <f>IFERROR(__xludf.DUMMYFUNCTION("""COMPUTED_VALUE"""),5.16)</f>
        <v>5.16</v>
      </c>
    </row>
    <row r="4036">
      <c r="A4036">
        <f>IFERROR(__xludf.DUMMYFUNCTION("""COMPUTED_VALUE"""),783251.0)</f>
        <v>783251</v>
      </c>
      <c r="B4036" t="str">
        <f>IFERROR(__xludf.DUMMYFUNCTION("""COMPUTED_VALUE"""),"Beef Shish Kabob With Vegetables Excluding Potatoes")</f>
        <v>Beef Shish Kabob With Vegetables Excluding Potatoes</v>
      </c>
      <c r="C4036" t="str">
        <f>IFERROR(__xludf.DUMMYFUNCTION("""COMPUTED_VALUE"""),"Meats")</f>
        <v>Meats</v>
      </c>
      <c r="D4036">
        <f>IFERROR(__xludf.DUMMYFUNCTION("""COMPUTED_VALUE"""),120.0)</f>
        <v>120</v>
      </c>
      <c r="E4036">
        <f>IFERROR(__xludf.DUMMYFUNCTION("""COMPUTED_VALUE"""),4.88)</f>
        <v>4.88</v>
      </c>
      <c r="F4036">
        <f>IFERROR(__xludf.DUMMYFUNCTION("""COMPUTED_VALUE"""),14.71)</f>
        <v>14.71</v>
      </c>
      <c r="G4036">
        <f>IFERROR(__xludf.DUMMYFUNCTION("""COMPUTED_VALUE"""),5.0)</f>
        <v>5</v>
      </c>
    </row>
    <row r="4037">
      <c r="A4037">
        <f>IFERROR(__xludf.DUMMYFUNCTION("""COMPUTED_VALUE"""),783252.0)</f>
        <v>783252</v>
      </c>
      <c r="B4037" t="str">
        <f>IFERROR(__xludf.DUMMYFUNCTION("""COMPUTED_VALUE"""),"Beef With Vegetables Including Carrots Broccoli And/or Dark-Green Leafy; No Potatoes Tomato-Based Sauce")</f>
        <v>Beef With Vegetables Including Carrots Broccoli And/or Dark-Green Leafy; No Potatoes Tomato-Based Sauce</v>
      </c>
      <c r="C4037" t="str">
        <f>IFERROR(__xludf.DUMMYFUNCTION("""COMPUTED_VALUE"""),"Meats")</f>
        <v>Meats</v>
      </c>
      <c r="D4037">
        <f>IFERROR(__xludf.DUMMYFUNCTION("""COMPUTED_VALUE"""),110.0)</f>
        <v>110</v>
      </c>
      <c r="E4037">
        <f>IFERROR(__xludf.DUMMYFUNCTION("""COMPUTED_VALUE"""),6.99)</f>
        <v>6.99</v>
      </c>
      <c r="F4037">
        <f>IFERROR(__xludf.DUMMYFUNCTION("""COMPUTED_VALUE"""),8.24)</f>
        <v>8.24</v>
      </c>
      <c r="G4037">
        <f>IFERROR(__xludf.DUMMYFUNCTION("""COMPUTED_VALUE"""),4.48)</f>
        <v>4.48</v>
      </c>
    </row>
    <row r="4038">
      <c r="A4038">
        <f>IFERROR(__xludf.DUMMYFUNCTION("""COMPUTED_VALUE"""),783253.0)</f>
        <v>783253</v>
      </c>
      <c r="B4038" t="str">
        <f>IFERROR(__xludf.DUMMYFUNCTION("""COMPUTED_VALUE"""),"Swiss Steak")</f>
        <v>Swiss Steak</v>
      </c>
      <c r="C4038" t="str">
        <f>IFERROR(__xludf.DUMMYFUNCTION("""COMPUTED_VALUE"""),"Meats")</f>
        <v>Meats</v>
      </c>
      <c r="D4038">
        <f>IFERROR(__xludf.DUMMYFUNCTION("""COMPUTED_VALUE"""),131.0)</f>
        <v>131</v>
      </c>
      <c r="E4038">
        <f>IFERROR(__xludf.DUMMYFUNCTION("""COMPUTED_VALUE"""),8.05)</f>
        <v>8.05</v>
      </c>
      <c r="F4038">
        <f>IFERROR(__xludf.DUMMYFUNCTION("""COMPUTED_VALUE"""),10.82)</f>
        <v>10.82</v>
      </c>
      <c r="G4038">
        <f>IFERROR(__xludf.DUMMYFUNCTION("""COMPUTED_VALUE"""),3.55)</f>
        <v>3.55</v>
      </c>
    </row>
    <row r="4039">
      <c r="A4039">
        <f>IFERROR(__xludf.DUMMYFUNCTION("""COMPUTED_VALUE"""),783254.0)</f>
        <v>783254</v>
      </c>
      <c r="B4039" t="str">
        <f>IFERROR(__xludf.DUMMYFUNCTION("""COMPUTED_VALUE"""),"Beef Rolls Stuffed With Vegetables Or Meat Mixture Tomato-Based Sauce")</f>
        <v>Beef Rolls Stuffed With Vegetables Or Meat Mixture Tomato-Based Sauce</v>
      </c>
      <c r="C4039" t="str">
        <f>IFERROR(__xludf.DUMMYFUNCTION("""COMPUTED_VALUE"""),"Meats")</f>
        <v>Meats</v>
      </c>
      <c r="D4039">
        <f>IFERROR(__xludf.DUMMYFUNCTION("""COMPUTED_VALUE"""),203.0)</f>
        <v>203</v>
      </c>
      <c r="E4039">
        <f>IFERROR(__xludf.DUMMYFUNCTION("""COMPUTED_VALUE"""),10.16)</f>
        <v>10.16</v>
      </c>
      <c r="F4039">
        <f>IFERROR(__xludf.DUMMYFUNCTION("""COMPUTED_VALUE"""),20.37)</f>
        <v>20.37</v>
      </c>
      <c r="G4039">
        <f>IFERROR(__xludf.DUMMYFUNCTION("""COMPUTED_VALUE"""),6.22)</f>
        <v>6.22</v>
      </c>
    </row>
    <row r="4040">
      <c r="A4040">
        <f>IFERROR(__xludf.DUMMYFUNCTION("""COMPUTED_VALUE"""),783255.0)</f>
        <v>783255</v>
      </c>
      <c r="B4040" t="str">
        <f>IFERROR(__xludf.DUMMYFUNCTION("""COMPUTED_VALUE"""),"Beef With Vegetables Excluding Carrots Broccoli And Dark-Green Leafy; No Potatoes Tomato-Based Sauce")</f>
        <v>Beef With Vegetables Excluding Carrots Broccoli And Dark-Green Leafy; No Potatoes Tomato-Based Sauce</v>
      </c>
      <c r="C4040" t="str">
        <f>IFERROR(__xludf.DUMMYFUNCTION("""COMPUTED_VALUE"""),"Meats")</f>
        <v>Meats</v>
      </c>
      <c r="D4040">
        <f>IFERROR(__xludf.DUMMYFUNCTION("""COMPUTED_VALUE"""),114.0)</f>
        <v>114</v>
      </c>
      <c r="E4040">
        <f>IFERROR(__xludf.DUMMYFUNCTION("""COMPUTED_VALUE"""),7.18)</f>
        <v>7.18</v>
      </c>
      <c r="F4040">
        <f>IFERROR(__xludf.DUMMYFUNCTION("""COMPUTED_VALUE"""),7.67)</f>
        <v>7.67</v>
      </c>
      <c r="G4040">
        <f>IFERROR(__xludf.DUMMYFUNCTION("""COMPUTED_VALUE"""),5.96)</f>
        <v>5.96</v>
      </c>
    </row>
    <row r="4041">
      <c r="A4041">
        <f>IFERROR(__xludf.DUMMYFUNCTION("""COMPUTED_VALUE"""),783256.0)</f>
        <v>783256</v>
      </c>
      <c r="B4041" t="str">
        <f>IFERROR(__xludf.DUMMYFUNCTION("""COMPUTED_VALUE"""),"Beef With Vegetables Including Carrots Broccoli And/or Dark-Green Leafy; No Potatoes Mushroom Sauce")</f>
        <v>Beef With Vegetables Including Carrots Broccoli And/or Dark-Green Leafy; No Potatoes Mushroom Sauce</v>
      </c>
      <c r="C4041" t="str">
        <f>IFERROR(__xludf.DUMMYFUNCTION("""COMPUTED_VALUE"""),"Meats")</f>
        <v>Meats</v>
      </c>
      <c r="D4041">
        <f>IFERROR(__xludf.DUMMYFUNCTION("""COMPUTED_VALUE"""),114.0)</f>
        <v>114</v>
      </c>
      <c r="E4041">
        <f>IFERROR(__xludf.DUMMYFUNCTION("""COMPUTED_VALUE"""),7.14)</f>
        <v>7.14</v>
      </c>
      <c r="F4041">
        <f>IFERROR(__xludf.DUMMYFUNCTION("""COMPUTED_VALUE"""),7.79)</f>
        <v>7.79</v>
      </c>
      <c r="G4041">
        <f>IFERROR(__xludf.DUMMYFUNCTION("""COMPUTED_VALUE"""),5.24)</f>
        <v>5.24</v>
      </c>
    </row>
    <row r="4042">
      <c r="A4042">
        <f>IFERROR(__xludf.DUMMYFUNCTION("""COMPUTED_VALUE"""),783257.0)</f>
        <v>783257</v>
      </c>
      <c r="B4042" t="str">
        <f>IFERROR(__xludf.DUMMYFUNCTION("""COMPUTED_VALUE"""),"Beef With Vegetables Excluding Carrots Broccoli And Dark-Green Leafy; No Potatoes Mushroom Sauce")</f>
        <v>Beef With Vegetables Excluding Carrots Broccoli And Dark-Green Leafy; No Potatoes Mushroom Sauce</v>
      </c>
      <c r="C4042" t="str">
        <f>IFERROR(__xludf.DUMMYFUNCTION("""COMPUTED_VALUE"""),"Meats")</f>
        <v>Meats</v>
      </c>
      <c r="D4042">
        <f>IFERROR(__xludf.DUMMYFUNCTION("""COMPUTED_VALUE"""),120.0)</f>
        <v>120</v>
      </c>
      <c r="E4042">
        <f>IFERROR(__xludf.DUMMYFUNCTION("""COMPUTED_VALUE"""),7.14)</f>
        <v>7.14</v>
      </c>
      <c r="F4042">
        <f>IFERROR(__xludf.DUMMYFUNCTION("""COMPUTED_VALUE"""),7.84)</f>
        <v>7.84</v>
      </c>
      <c r="G4042">
        <f>IFERROR(__xludf.DUMMYFUNCTION("""COMPUTED_VALUE"""),6.97)</f>
        <v>6.97</v>
      </c>
    </row>
    <row r="4043">
      <c r="A4043">
        <f>IFERROR(__xludf.DUMMYFUNCTION("""COMPUTED_VALUE"""),783267.0)</f>
        <v>783267</v>
      </c>
      <c r="B4043" t="str">
        <f>IFERROR(__xludf.DUMMYFUNCTION("""COMPUTED_VALUE"""),"Beef And Vegetables Hawaiian Style")</f>
        <v>Beef And Vegetables Hawaiian Style</v>
      </c>
      <c r="C4043" t="str">
        <f>IFERROR(__xludf.DUMMYFUNCTION("""COMPUTED_VALUE"""),"Meats")</f>
        <v>Meats</v>
      </c>
      <c r="D4043">
        <f>IFERROR(__xludf.DUMMYFUNCTION("""COMPUTED_VALUE"""),84.0)</f>
        <v>84</v>
      </c>
      <c r="E4043">
        <f>IFERROR(__xludf.DUMMYFUNCTION("""COMPUTED_VALUE"""),1.44)</f>
        <v>1.44</v>
      </c>
      <c r="F4043">
        <f>IFERROR(__xludf.DUMMYFUNCTION("""COMPUTED_VALUE"""),4.47)</f>
        <v>4.47</v>
      </c>
      <c r="G4043">
        <f>IFERROR(__xludf.DUMMYFUNCTION("""COMPUTED_VALUE"""),14.48)</f>
        <v>14.48</v>
      </c>
    </row>
    <row r="4044">
      <c r="A4044">
        <f>IFERROR(__xludf.DUMMYFUNCTION("""COMPUTED_VALUE"""),783268.0)</f>
        <v>783268</v>
      </c>
      <c r="B4044" t="str">
        <f>IFERROR(__xludf.DUMMYFUNCTION("""COMPUTED_VALUE"""),"Pepper Steak")</f>
        <v>Pepper Steak</v>
      </c>
      <c r="C4044" t="str">
        <f>IFERROR(__xludf.DUMMYFUNCTION("""COMPUTED_VALUE"""),"Meats")</f>
        <v>Meats</v>
      </c>
      <c r="D4044">
        <f>IFERROR(__xludf.DUMMYFUNCTION("""COMPUTED_VALUE"""),143.0)</f>
        <v>143</v>
      </c>
      <c r="E4044">
        <f>IFERROR(__xludf.DUMMYFUNCTION("""COMPUTED_VALUE"""),8.99)</f>
        <v>8.99</v>
      </c>
      <c r="F4044">
        <f>IFERROR(__xludf.DUMMYFUNCTION("""COMPUTED_VALUE"""),11.84)</f>
        <v>11.84</v>
      </c>
      <c r="G4044">
        <f>IFERROR(__xludf.DUMMYFUNCTION("""COMPUTED_VALUE"""),4.36)</f>
        <v>4.36</v>
      </c>
    </row>
    <row r="4045">
      <c r="A4045">
        <f>IFERROR(__xludf.DUMMYFUNCTION("""COMPUTED_VALUE"""),783269.0)</f>
        <v>783269</v>
      </c>
      <c r="B4045" t="str">
        <f>IFERROR(__xludf.DUMMYFUNCTION("""COMPUTED_VALUE"""),"Beef Ground With Egg And Onion")</f>
        <v>Beef Ground With Egg And Onion</v>
      </c>
      <c r="C4045" t="str">
        <f>IFERROR(__xludf.DUMMYFUNCTION("""COMPUTED_VALUE"""),"Meats")</f>
        <v>Meats</v>
      </c>
      <c r="D4045">
        <f>IFERROR(__xludf.DUMMYFUNCTION("""COMPUTED_VALUE"""),228.0)</f>
        <v>228</v>
      </c>
      <c r="E4045">
        <f>IFERROR(__xludf.DUMMYFUNCTION("""COMPUTED_VALUE"""),14.53)</f>
        <v>14.53</v>
      </c>
      <c r="F4045">
        <f>IFERROR(__xludf.DUMMYFUNCTION("""COMPUTED_VALUE"""),21.86)</f>
        <v>21.86</v>
      </c>
      <c r="G4045">
        <f>IFERROR(__xludf.DUMMYFUNCTION("""COMPUTED_VALUE"""),1.05)</f>
        <v>1.05</v>
      </c>
    </row>
    <row r="4046">
      <c r="A4046">
        <f>IFERROR(__xludf.DUMMYFUNCTION("""COMPUTED_VALUE"""),783270.0)</f>
        <v>783270</v>
      </c>
      <c r="B4046" t="str">
        <f>IFERROR(__xludf.DUMMYFUNCTION("""COMPUTED_VALUE"""),"Beef Salad")</f>
        <v>Beef Salad</v>
      </c>
      <c r="C4046" t="str">
        <f>IFERROR(__xludf.DUMMYFUNCTION("""COMPUTED_VALUE"""),"Meats")</f>
        <v>Meats</v>
      </c>
      <c r="D4046">
        <f>IFERROR(__xludf.DUMMYFUNCTION("""COMPUTED_VALUE"""),260.0)</f>
        <v>260</v>
      </c>
      <c r="E4046">
        <f>IFERROR(__xludf.DUMMYFUNCTION("""COMPUTED_VALUE"""),19.32)</f>
        <v>19.32</v>
      </c>
      <c r="F4046">
        <f>IFERROR(__xludf.DUMMYFUNCTION("""COMPUTED_VALUE"""),17.9)</f>
        <v>17.9</v>
      </c>
      <c r="G4046">
        <f>IFERROR(__xludf.DUMMYFUNCTION("""COMPUTED_VALUE"""),2.82)</f>
        <v>2.82</v>
      </c>
    </row>
    <row r="4047">
      <c r="A4047">
        <f>IFERROR(__xludf.DUMMYFUNCTION("""COMPUTED_VALUE"""),783273.0)</f>
        <v>783273</v>
      </c>
      <c r="B4047" t="str">
        <f>IFERROR(__xludf.DUMMYFUNCTION("""COMPUTED_VALUE"""),"Beef And Vegetables Including Carrots Broccoli And/or Dark-Green Leafy; No Potatoes Gravy")</f>
        <v>Beef And Vegetables Including Carrots Broccoli And/or Dark-Green Leafy; No Potatoes Gravy</v>
      </c>
      <c r="C4047" t="str">
        <f>IFERROR(__xludf.DUMMYFUNCTION("""COMPUTED_VALUE"""),"Meats")</f>
        <v>Meats</v>
      </c>
      <c r="D4047">
        <f>IFERROR(__xludf.DUMMYFUNCTION("""COMPUTED_VALUE"""),115.0)</f>
        <v>115</v>
      </c>
      <c r="E4047">
        <f>IFERROR(__xludf.DUMMYFUNCTION("""COMPUTED_VALUE"""),7.34)</f>
        <v>7.34</v>
      </c>
      <c r="F4047">
        <f>IFERROR(__xludf.DUMMYFUNCTION("""COMPUTED_VALUE"""),8.06)</f>
        <v>8.06</v>
      </c>
      <c r="G4047">
        <f>IFERROR(__xludf.DUMMYFUNCTION("""COMPUTED_VALUE"""),4.5)</f>
        <v>4.5</v>
      </c>
    </row>
    <row r="4048">
      <c r="A4048">
        <f>IFERROR(__xludf.DUMMYFUNCTION("""COMPUTED_VALUE"""),783274.0)</f>
        <v>783274</v>
      </c>
      <c r="B4048" t="str">
        <f>IFERROR(__xludf.DUMMYFUNCTION("""COMPUTED_VALUE"""),"Beef And Vegetables Excluding Carrots Broccoli And Dark-Green Leafy; No Potatoes Gravy")</f>
        <v>Beef And Vegetables Excluding Carrots Broccoli And Dark-Green Leafy; No Potatoes Gravy</v>
      </c>
      <c r="C4048" t="str">
        <f>IFERROR(__xludf.DUMMYFUNCTION("""COMPUTED_VALUE"""),"Meats")</f>
        <v>Meats</v>
      </c>
      <c r="D4048">
        <f>IFERROR(__xludf.DUMMYFUNCTION("""COMPUTED_VALUE"""),121.0)</f>
        <v>121</v>
      </c>
      <c r="E4048">
        <f>IFERROR(__xludf.DUMMYFUNCTION("""COMPUTED_VALUE"""),7.34)</f>
        <v>7.34</v>
      </c>
      <c r="F4048">
        <f>IFERROR(__xludf.DUMMYFUNCTION("""COMPUTED_VALUE"""),8.11)</f>
        <v>8.11</v>
      </c>
      <c r="G4048">
        <f>IFERROR(__xludf.DUMMYFUNCTION("""COMPUTED_VALUE"""),6.47)</f>
        <v>6.47</v>
      </c>
    </row>
    <row r="4049">
      <c r="A4049">
        <f>IFERROR(__xludf.DUMMYFUNCTION("""COMPUTED_VALUE"""),783275.0)</f>
        <v>783275</v>
      </c>
      <c r="B4049" t="str">
        <f>IFERROR(__xludf.DUMMYFUNCTION("""COMPUTED_VALUE"""),"Seasoned Shredded Soup Meat")</f>
        <v>Seasoned Shredded Soup Meat</v>
      </c>
      <c r="C4049" t="str">
        <f>IFERROR(__xludf.DUMMYFUNCTION("""COMPUTED_VALUE"""),"Meats")</f>
        <v>Meats</v>
      </c>
      <c r="D4049">
        <f>IFERROR(__xludf.DUMMYFUNCTION("""COMPUTED_VALUE"""),205.0)</f>
        <v>205</v>
      </c>
      <c r="E4049">
        <f>IFERROR(__xludf.DUMMYFUNCTION("""COMPUTED_VALUE"""),12.68)</f>
        <v>12.68</v>
      </c>
      <c r="F4049">
        <f>IFERROR(__xludf.DUMMYFUNCTION("""COMPUTED_VALUE"""),18.24)</f>
        <v>18.24</v>
      </c>
      <c r="G4049">
        <f>IFERROR(__xludf.DUMMYFUNCTION("""COMPUTED_VALUE"""),3.64)</f>
        <v>3.64</v>
      </c>
    </row>
    <row r="4050">
      <c r="A4050">
        <f>IFERROR(__xludf.DUMMYFUNCTION("""COMPUTED_VALUE"""),783276.0)</f>
        <v>783276</v>
      </c>
      <c r="B4050" t="str">
        <f>IFERROR(__xludf.DUMMYFUNCTION("""COMPUTED_VALUE"""),"Beef Stew With Vegetables Excluding Potatoes Puerto Rican Style")</f>
        <v>Beef Stew With Vegetables Excluding Potatoes Puerto Rican Style</v>
      </c>
      <c r="C4050" t="str">
        <f>IFERROR(__xludf.DUMMYFUNCTION("""COMPUTED_VALUE"""),"Meats")</f>
        <v>Meats</v>
      </c>
      <c r="D4050">
        <f>IFERROR(__xludf.DUMMYFUNCTION("""COMPUTED_VALUE"""),213.0)</f>
        <v>213</v>
      </c>
      <c r="E4050">
        <f>IFERROR(__xludf.DUMMYFUNCTION("""COMPUTED_VALUE"""),13.9)</f>
        <v>13.9</v>
      </c>
      <c r="F4050">
        <f>IFERROR(__xludf.DUMMYFUNCTION("""COMPUTED_VALUE"""),15.04)</f>
        <v>15.04</v>
      </c>
      <c r="G4050">
        <f>IFERROR(__xludf.DUMMYFUNCTION("""COMPUTED_VALUE"""),6.85)</f>
        <v>6.85</v>
      </c>
    </row>
    <row r="4051">
      <c r="A4051">
        <f>IFERROR(__xludf.DUMMYFUNCTION("""COMPUTED_VALUE"""),783277.0)</f>
        <v>783277</v>
      </c>
      <c r="B4051" t="str">
        <f>IFERROR(__xludf.DUMMYFUNCTION("""COMPUTED_VALUE"""),"Corned Beef With Tomato Sauce And Onion Puerto Rican Style")</f>
        <v>Corned Beef With Tomato Sauce And Onion Puerto Rican Style</v>
      </c>
      <c r="C4051" t="str">
        <f>IFERROR(__xludf.DUMMYFUNCTION("""COMPUTED_VALUE"""),"Meats")</f>
        <v>Meats</v>
      </c>
      <c r="D4051">
        <f>IFERROR(__xludf.DUMMYFUNCTION("""COMPUTED_VALUE"""),199.0)</f>
        <v>199</v>
      </c>
      <c r="E4051">
        <f>IFERROR(__xludf.DUMMYFUNCTION("""COMPUTED_VALUE"""),12.31)</f>
        <v>12.31</v>
      </c>
      <c r="F4051">
        <f>IFERROR(__xludf.DUMMYFUNCTION("""COMPUTED_VALUE"""),19.19)</f>
        <v>19.19</v>
      </c>
      <c r="G4051">
        <f>IFERROR(__xludf.DUMMYFUNCTION("""COMPUTED_VALUE"""),2.04)</f>
        <v>2.04</v>
      </c>
    </row>
    <row r="4052">
      <c r="A4052">
        <f>IFERROR(__xludf.DUMMYFUNCTION("""COMPUTED_VALUE"""),783278.0)</f>
        <v>783278</v>
      </c>
      <c r="B4052" t="str">
        <f>IFERROR(__xludf.DUMMYFUNCTION("""COMPUTED_VALUE"""),"Beef Steak With Onions Puerto Rican Style")</f>
        <v>Beef Steak With Onions Puerto Rican Style</v>
      </c>
      <c r="C4052" t="str">
        <f>IFERROR(__xludf.DUMMYFUNCTION("""COMPUTED_VALUE"""),"Meats")</f>
        <v>Meats</v>
      </c>
      <c r="D4052">
        <f>IFERROR(__xludf.DUMMYFUNCTION("""COMPUTED_VALUE"""),319.0)</f>
        <v>319</v>
      </c>
      <c r="E4052">
        <f>IFERROR(__xludf.DUMMYFUNCTION("""COMPUTED_VALUE"""),23.84)</f>
        <v>23.84</v>
      </c>
      <c r="F4052">
        <f>IFERROR(__xludf.DUMMYFUNCTION("""COMPUTED_VALUE"""),20.96)</f>
        <v>20.96</v>
      </c>
      <c r="G4052">
        <f>IFERROR(__xludf.DUMMYFUNCTION("""COMPUTED_VALUE"""),3.94)</f>
        <v>3.94</v>
      </c>
    </row>
    <row r="4053">
      <c r="A4053">
        <f>IFERROR(__xludf.DUMMYFUNCTION("""COMPUTED_VALUE"""),783279.0)</f>
        <v>783279</v>
      </c>
      <c r="B4053" t="str">
        <f>IFERROR(__xludf.DUMMYFUNCTION("""COMPUTED_VALUE"""),"Cabbage With Ham Hocks")</f>
        <v>Cabbage With Ham Hocks</v>
      </c>
      <c r="C4053" t="str">
        <f>IFERROR(__xludf.DUMMYFUNCTION("""COMPUTED_VALUE"""),"Meats")</f>
        <v>Meats</v>
      </c>
      <c r="D4053">
        <f>IFERROR(__xludf.DUMMYFUNCTION("""COMPUTED_VALUE"""),68.0)</f>
        <v>68</v>
      </c>
      <c r="E4053">
        <f>IFERROR(__xludf.DUMMYFUNCTION("""COMPUTED_VALUE"""),2.46)</f>
        <v>2.46</v>
      </c>
      <c r="F4053">
        <f>IFERROR(__xludf.DUMMYFUNCTION("""COMPUTED_VALUE"""),7.93)</f>
        <v>7.93</v>
      </c>
      <c r="G4053">
        <f>IFERROR(__xludf.DUMMYFUNCTION("""COMPUTED_VALUE"""),4.14)</f>
        <v>4.14</v>
      </c>
    </row>
    <row r="4054">
      <c r="A4054">
        <f>IFERROR(__xludf.DUMMYFUNCTION("""COMPUTED_VALUE"""),783280.0)</f>
        <v>783280</v>
      </c>
      <c r="B4054" t="str">
        <f>IFERROR(__xludf.DUMMYFUNCTION("""COMPUTED_VALUE"""),"Ham Or Pork Salad")</f>
        <v>Ham Or Pork Salad</v>
      </c>
      <c r="C4054" t="str">
        <f>IFERROR(__xludf.DUMMYFUNCTION("""COMPUTED_VALUE"""),"Meats")</f>
        <v>Meats</v>
      </c>
      <c r="D4054">
        <f>IFERROR(__xludf.DUMMYFUNCTION("""COMPUTED_VALUE"""),230.0)</f>
        <v>230</v>
      </c>
      <c r="E4054">
        <f>IFERROR(__xludf.DUMMYFUNCTION("""COMPUTED_VALUE"""),18.09)</f>
        <v>18.09</v>
      </c>
      <c r="F4054">
        <f>IFERROR(__xludf.DUMMYFUNCTION("""COMPUTED_VALUE"""),13.31)</f>
        <v>13.31</v>
      </c>
      <c r="G4054">
        <f>IFERROR(__xludf.DUMMYFUNCTION("""COMPUTED_VALUE"""),2.75)</f>
        <v>2.75</v>
      </c>
    </row>
    <row r="4055">
      <c r="A4055">
        <f>IFERROR(__xludf.DUMMYFUNCTION("""COMPUTED_VALUE"""),783281.0)</f>
        <v>783281</v>
      </c>
      <c r="B4055" t="str">
        <f>IFERROR(__xludf.DUMMYFUNCTION("""COMPUTED_VALUE"""),"Frankfurters Or Hot Dogs And Sauerkraut")</f>
        <v>Frankfurters Or Hot Dogs And Sauerkraut</v>
      </c>
      <c r="C4055" t="str">
        <f>IFERROR(__xludf.DUMMYFUNCTION("""COMPUTED_VALUE"""),"Meats")</f>
        <v>Meats</v>
      </c>
      <c r="D4055">
        <f>IFERROR(__xludf.DUMMYFUNCTION("""COMPUTED_VALUE"""),212.0)</f>
        <v>212</v>
      </c>
      <c r="E4055">
        <f>IFERROR(__xludf.DUMMYFUNCTION("""COMPUTED_VALUE"""),18.28)</f>
        <v>18.28</v>
      </c>
      <c r="F4055">
        <f>IFERROR(__xludf.DUMMYFUNCTION("""COMPUTED_VALUE"""),7.93)</f>
        <v>7.93</v>
      </c>
      <c r="G4055">
        <f>IFERROR(__xludf.DUMMYFUNCTION("""COMPUTED_VALUE"""),3.57)</f>
        <v>3.57</v>
      </c>
    </row>
    <row r="4056">
      <c r="A4056">
        <f>IFERROR(__xludf.DUMMYFUNCTION("""COMPUTED_VALUE"""),783282.0)</f>
        <v>783282</v>
      </c>
      <c r="B4056" t="str">
        <f>IFERROR(__xludf.DUMMYFUNCTION("""COMPUTED_VALUE"""),"Pork And Vegetables Including Carrots Broccoli And/or Dark-Green Leafy; No Potatoes No Sauce")</f>
        <v>Pork And Vegetables Including Carrots Broccoli And/or Dark-Green Leafy; No Potatoes No Sauce</v>
      </c>
      <c r="C4056" t="str">
        <f>IFERROR(__xludf.DUMMYFUNCTION("""COMPUTED_VALUE"""),"Meats")</f>
        <v>Meats</v>
      </c>
      <c r="D4056">
        <f>IFERROR(__xludf.DUMMYFUNCTION("""COMPUTED_VALUE"""),123.0)</f>
        <v>123</v>
      </c>
      <c r="E4056">
        <f>IFERROR(__xludf.DUMMYFUNCTION("""COMPUTED_VALUE"""),7.27)</f>
        <v>7.27</v>
      </c>
      <c r="F4056">
        <f>IFERROR(__xludf.DUMMYFUNCTION("""COMPUTED_VALUE"""),11.2)</f>
        <v>11.2</v>
      </c>
      <c r="G4056">
        <f>IFERROR(__xludf.DUMMYFUNCTION("""COMPUTED_VALUE"""),3.14)</f>
        <v>3.14</v>
      </c>
    </row>
    <row r="4057">
      <c r="A4057">
        <f>IFERROR(__xludf.DUMMYFUNCTION("""COMPUTED_VALUE"""),783290.0)</f>
        <v>783290</v>
      </c>
      <c r="B4057" t="str">
        <f>IFERROR(__xludf.DUMMYFUNCTION("""COMPUTED_VALUE"""),"Pork Hash")</f>
        <v>Pork Hash</v>
      </c>
      <c r="C4057" t="str">
        <f>IFERROR(__xludf.DUMMYFUNCTION("""COMPUTED_VALUE"""),"Meats")</f>
        <v>Meats</v>
      </c>
      <c r="D4057">
        <f>IFERROR(__xludf.DUMMYFUNCTION("""COMPUTED_VALUE"""),188.0)</f>
        <v>188</v>
      </c>
      <c r="E4057">
        <f>IFERROR(__xludf.DUMMYFUNCTION("""COMPUTED_VALUE"""),13.62)</f>
        <v>13.62</v>
      </c>
      <c r="F4057">
        <f>IFERROR(__xludf.DUMMYFUNCTION("""COMPUTED_VALUE"""),13.01)</f>
        <v>13.01</v>
      </c>
      <c r="G4057">
        <f>IFERROR(__xludf.DUMMYFUNCTION("""COMPUTED_VALUE"""),2.82)</f>
        <v>2.82</v>
      </c>
    </row>
    <row r="4058">
      <c r="A4058">
        <f>IFERROR(__xludf.DUMMYFUNCTION("""COMPUTED_VALUE"""),783291.0)</f>
        <v>783291</v>
      </c>
      <c r="B4058" t="str">
        <f>IFERROR(__xludf.DUMMYFUNCTION("""COMPUTED_VALUE"""),"Ham And Vegetables Including Carrots Broccoli And/or Dark- Green Leafy; No Potatoes No Sauce")</f>
        <v>Ham And Vegetables Including Carrots Broccoli And/or Dark- Green Leafy; No Potatoes No Sauce</v>
      </c>
      <c r="C4058" t="str">
        <f>IFERROR(__xludf.DUMMYFUNCTION("""COMPUTED_VALUE"""),"Meats")</f>
        <v>Meats</v>
      </c>
      <c r="D4058">
        <f>IFERROR(__xludf.DUMMYFUNCTION("""COMPUTED_VALUE"""),114.0)</f>
        <v>114</v>
      </c>
      <c r="E4058">
        <f>IFERROR(__xludf.DUMMYFUNCTION("""COMPUTED_VALUE"""),8.28)</f>
        <v>8.28</v>
      </c>
      <c r="F4058">
        <f>IFERROR(__xludf.DUMMYFUNCTION("""COMPUTED_VALUE"""),7.45)</f>
        <v>7.45</v>
      </c>
      <c r="G4058">
        <f>IFERROR(__xludf.DUMMYFUNCTION("""COMPUTED_VALUE"""),2.59)</f>
        <v>2.59</v>
      </c>
    </row>
    <row r="4059">
      <c r="A4059">
        <f>IFERROR(__xludf.DUMMYFUNCTION("""COMPUTED_VALUE"""),783292.0)</f>
        <v>783292</v>
      </c>
      <c r="B4059" t="str">
        <f>IFERROR(__xludf.DUMMYFUNCTION("""COMPUTED_VALUE"""),"Ham And Vegetables Excluding Carrots Broccoli And Dark-Green Leafy; No Potatoes No Sauce")</f>
        <v>Ham And Vegetables Excluding Carrots Broccoli And Dark-Green Leafy; No Potatoes No Sauce</v>
      </c>
      <c r="C4059" t="str">
        <f>IFERROR(__xludf.DUMMYFUNCTION("""COMPUTED_VALUE"""),"Meats")</f>
        <v>Meats</v>
      </c>
      <c r="D4059">
        <f>IFERROR(__xludf.DUMMYFUNCTION("""COMPUTED_VALUE"""),119.0)</f>
        <v>119</v>
      </c>
      <c r="E4059">
        <f>IFERROR(__xludf.DUMMYFUNCTION("""COMPUTED_VALUE"""),7.83)</f>
        <v>7.83</v>
      </c>
      <c r="F4059">
        <f>IFERROR(__xludf.DUMMYFUNCTION("""COMPUTED_VALUE"""),7.56)</f>
        <v>7.56</v>
      </c>
      <c r="G4059">
        <f>IFERROR(__xludf.DUMMYFUNCTION("""COMPUTED_VALUE"""),5.12)</f>
        <v>5.12</v>
      </c>
    </row>
    <row r="4060">
      <c r="A4060">
        <f>IFERROR(__xludf.DUMMYFUNCTION("""COMPUTED_VALUE"""),783293.0)</f>
        <v>783293</v>
      </c>
      <c r="B4060" t="str">
        <f>IFERROR(__xludf.DUMMYFUNCTION("""COMPUTED_VALUE"""),"Pork And Vegetables Excluding Carrots Broccoli And Dark-Green Leafy; No Potatoes No Sauce")</f>
        <v>Pork And Vegetables Excluding Carrots Broccoli And Dark-Green Leafy; No Potatoes No Sauce</v>
      </c>
      <c r="C4060" t="str">
        <f>IFERROR(__xludf.DUMMYFUNCTION("""COMPUTED_VALUE"""),"Meats")</f>
        <v>Meats</v>
      </c>
      <c r="D4060">
        <f>IFERROR(__xludf.DUMMYFUNCTION("""COMPUTED_VALUE"""),124.0)</f>
        <v>124</v>
      </c>
      <c r="E4060">
        <f>IFERROR(__xludf.DUMMYFUNCTION("""COMPUTED_VALUE"""),7.03)</f>
        <v>7.03</v>
      </c>
      <c r="F4060">
        <f>IFERROR(__xludf.DUMMYFUNCTION("""COMPUTED_VALUE"""),10.07)</f>
        <v>10.07</v>
      </c>
      <c r="G4060">
        <f>IFERROR(__xludf.DUMMYFUNCTION("""COMPUTED_VALUE"""),5.52)</f>
        <v>5.52</v>
      </c>
    </row>
    <row r="4061">
      <c r="A4061">
        <f>IFERROR(__xludf.DUMMYFUNCTION("""COMPUTED_VALUE"""),783296.0)</f>
        <v>783296</v>
      </c>
      <c r="B4061" t="str">
        <f>IFERROR(__xludf.DUMMYFUNCTION("""COMPUTED_VALUE"""),"Pork And Vegetables Including Carrots Broccoli And/or Dark-Green Leafy; No Potatoes Tomato-Based Sauce")</f>
        <v>Pork And Vegetables Including Carrots Broccoli And/or Dark-Green Leafy; No Potatoes Tomato-Based Sauce</v>
      </c>
      <c r="C4061" t="str">
        <f>IFERROR(__xludf.DUMMYFUNCTION("""COMPUTED_VALUE"""),"Meats")</f>
        <v>Meats</v>
      </c>
      <c r="D4061">
        <f>IFERROR(__xludf.DUMMYFUNCTION("""COMPUTED_VALUE"""),111.0)</f>
        <v>111</v>
      </c>
      <c r="E4061">
        <f>IFERROR(__xludf.DUMMYFUNCTION("""COMPUTED_VALUE"""),7.13)</f>
        <v>7.13</v>
      </c>
      <c r="F4061">
        <f>IFERROR(__xludf.DUMMYFUNCTION("""COMPUTED_VALUE"""),7.76)</f>
        <v>7.76</v>
      </c>
      <c r="G4061">
        <f>IFERROR(__xludf.DUMMYFUNCTION("""COMPUTED_VALUE"""),4.48)</f>
        <v>4.48</v>
      </c>
    </row>
    <row r="4062">
      <c r="A4062">
        <f>IFERROR(__xludf.DUMMYFUNCTION("""COMPUTED_VALUE"""),783297.0)</f>
        <v>783297</v>
      </c>
      <c r="B4062" t="str">
        <f>IFERROR(__xludf.DUMMYFUNCTION("""COMPUTED_VALUE"""),"Pork And Vegetables Excluding  Carrots Broccoli And Dark-Green Leafy; No Potatoes Tomato-Based Sauce")</f>
        <v>Pork And Vegetables Excluding  Carrots Broccoli And Dark-Green Leafy; No Potatoes Tomato-Based Sauce</v>
      </c>
      <c r="C4062" t="str">
        <f>IFERROR(__xludf.DUMMYFUNCTION("""COMPUTED_VALUE"""),"Meats")</f>
        <v>Meats</v>
      </c>
      <c r="D4062">
        <f>IFERROR(__xludf.DUMMYFUNCTION("""COMPUTED_VALUE"""),117.0)</f>
        <v>117</v>
      </c>
      <c r="E4062">
        <f>IFERROR(__xludf.DUMMYFUNCTION("""COMPUTED_VALUE"""),7.14)</f>
        <v>7.14</v>
      </c>
      <c r="F4062">
        <f>IFERROR(__xludf.DUMMYFUNCTION("""COMPUTED_VALUE"""),7.81)</f>
        <v>7.81</v>
      </c>
      <c r="G4062">
        <f>IFERROR(__xludf.DUMMYFUNCTION("""COMPUTED_VALUE"""),6.44)</f>
        <v>6.44</v>
      </c>
    </row>
    <row r="4063">
      <c r="A4063">
        <f>IFERROR(__xludf.DUMMYFUNCTION("""COMPUTED_VALUE"""),783298.0)</f>
        <v>783298</v>
      </c>
      <c r="B4063" t="str">
        <f>IFERROR(__xludf.DUMMYFUNCTION("""COMPUTED_VALUE"""),"Sausage And Vegetables Including  Carrots Broccoli And/or Dark-Green Leafy; No Potatoes Tomato-Based Sauce")</f>
        <v>Sausage And Vegetables Including  Carrots Broccoli And/or Dark-Green Leafy; No Potatoes Tomato-Based Sauce</v>
      </c>
      <c r="C4063" t="str">
        <f>IFERROR(__xludf.DUMMYFUNCTION("""COMPUTED_VALUE"""),"Meats")</f>
        <v>Meats</v>
      </c>
      <c r="D4063">
        <f>IFERROR(__xludf.DUMMYFUNCTION("""COMPUTED_VALUE"""),113.0)</f>
        <v>113</v>
      </c>
      <c r="E4063">
        <f>IFERROR(__xludf.DUMMYFUNCTION("""COMPUTED_VALUE"""),8.34)</f>
        <v>8.34</v>
      </c>
      <c r="F4063">
        <f>IFERROR(__xludf.DUMMYFUNCTION("""COMPUTED_VALUE"""),5.56)</f>
        <v>5.56</v>
      </c>
      <c r="G4063">
        <f>IFERROR(__xludf.DUMMYFUNCTION("""COMPUTED_VALUE"""),4.94)</f>
        <v>4.94</v>
      </c>
    </row>
    <row r="4064">
      <c r="A4064">
        <f>IFERROR(__xludf.DUMMYFUNCTION("""COMPUTED_VALUE"""),783299.0)</f>
        <v>783299</v>
      </c>
      <c r="B4064" t="str">
        <f>IFERROR(__xludf.DUMMYFUNCTION("""COMPUTED_VALUE"""),"Sausage And Vegetables Excluding Carrots Broccoli And Dark-Green Leafy; No Potatoes Tomato-Based Sauce")</f>
        <v>Sausage And Vegetables Excluding Carrots Broccoli And Dark-Green Leafy; No Potatoes Tomato-Based Sauce</v>
      </c>
      <c r="C4064" t="str">
        <f>IFERROR(__xludf.DUMMYFUNCTION("""COMPUTED_VALUE"""),"Meats")</f>
        <v>Meats</v>
      </c>
      <c r="D4064">
        <f>IFERROR(__xludf.DUMMYFUNCTION("""COMPUTED_VALUE"""),120.0)</f>
        <v>120</v>
      </c>
      <c r="E4064">
        <f>IFERROR(__xludf.DUMMYFUNCTION("""COMPUTED_VALUE"""),8.34)</f>
        <v>8.34</v>
      </c>
      <c r="F4064">
        <f>IFERROR(__xludf.DUMMYFUNCTION("""COMPUTED_VALUE"""),5.62)</f>
        <v>5.62</v>
      </c>
      <c r="G4064">
        <f>IFERROR(__xludf.DUMMYFUNCTION("""COMPUTED_VALUE"""),6.94)</f>
        <v>6.94</v>
      </c>
    </row>
    <row r="4065">
      <c r="A4065">
        <f>IFERROR(__xludf.DUMMYFUNCTION("""COMPUTED_VALUE"""),783300.0)</f>
        <v>783300</v>
      </c>
      <c r="B4065" t="str">
        <f>IFERROR(__xludf.DUMMYFUNCTION("""COMPUTED_VALUE"""),"Sausage And Peppers No Sauce")</f>
        <v>Sausage And Peppers No Sauce</v>
      </c>
      <c r="C4065" t="str">
        <f>IFERROR(__xludf.DUMMYFUNCTION("""COMPUTED_VALUE"""),"Meats")</f>
        <v>Meats</v>
      </c>
      <c r="D4065">
        <f>IFERROR(__xludf.DUMMYFUNCTION("""COMPUTED_VALUE"""),267.0)</f>
        <v>267</v>
      </c>
      <c r="E4065">
        <f>IFERROR(__xludf.DUMMYFUNCTION("""COMPUTED_VALUE"""),20.71)</f>
        <v>20.71</v>
      </c>
      <c r="F4065">
        <f>IFERROR(__xludf.DUMMYFUNCTION("""COMPUTED_VALUE"""),14.69)</f>
        <v>14.69</v>
      </c>
      <c r="G4065">
        <f>IFERROR(__xludf.DUMMYFUNCTION("""COMPUTED_VALUE"""),4.86)</f>
        <v>4.86</v>
      </c>
    </row>
    <row r="4066">
      <c r="A4066">
        <f>IFERROR(__xludf.DUMMYFUNCTION("""COMPUTED_VALUE"""),783303.0)</f>
        <v>783303</v>
      </c>
      <c r="B4066" t="str">
        <f>IFERROR(__xludf.DUMMYFUNCTION("""COMPUTED_VALUE"""),"Pork Shish Kabob With Vegetables Excluding Potatoes")</f>
        <v>Pork Shish Kabob With Vegetables Excluding Potatoes</v>
      </c>
      <c r="C4066" t="str">
        <f>IFERROR(__xludf.DUMMYFUNCTION("""COMPUTED_VALUE"""),"Meats")</f>
        <v>Meats</v>
      </c>
      <c r="D4066">
        <f>IFERROR(__xludf.DUMMYFUNCTION("""COMPUTED_VALUE"""),123.0)</f>
        <v>123</v>
      </c>
      <c r="E4066">
        <f>IFERROR(__xludf.DUMMYFUNCTION("""COMPUTED_VALUE"""),5.16)</f>
        <v>5.16</v>
      </c>
      <c r="F4066">
        <f>IFERROR(__xludf.DUMMYFUNCTION("""COMPUTED_VALUE"""),13.78)</f>
        <v>13.78</v>
      </c>
      <c r="G4066">
        <f>IFERROR(__xludf.DUMMYFUNCTION("""COMPUTED_VALUE"""),5.0)</f>
        <v>5</v>
      </c>
    </row>
    <row r="4067">
      <c r="A4067">
        <f>IFERROR(__xludf.DUMMYFUNCTION("""COMPUTED_VALUE"""),783304.0)</f>
        <v>783304</v>
      </c>
      <c r="B4067" t="str">
        <f>IFERROR(__xludf.DUMMYFUNCTION("""COMPUTED_VALUE"""),"Stuffed Christophine Puerto Rican Style")</f>
        <v>Stuffed Christophine Puerto Rican Style</v>
      </c>
      <c r="C4067" t="str">
        <f>IFERROR(__xludf.DUMMYFUNCTION("""COMPUTED_VALUE"""),"Meats")</f>
        <v>Meats</v>
      </c>
      <c r="D4067">
        <f>IFERROR(__xludf.DUMMYFUNCTION("""COMPUTED_VALUE"""),213.0)</f>
        <v>213</v>
      </c>
      <c r="E4067">
        <f>IFERROR(__xludf.DUMMYFUNCTION("""COMPUTED_VALUE"""),16.01)</f>
        <v>16.01</v>
      </c>
      <c r="F4067">
        <f>IFERROR(__xludf.DUMMYFUNCTION("""COMPUTED_VALUE"""),12.62)</f>
        <v>12.62</v>
      </c>
      <c r="G4067">
        <f>IFERROR(__xludf.DUMMYFUNCTION("""COMPUTED_VALUE"""),4.44)</f>
        <v>4.44</v>
      </c>
    </row>
    <row r="4068">
      <c r="A4068">
        <f>IFERROR(__xludf.DUMMYFUNCTION("""COMPUTED_VALUE"""),783305.0)</f>
        <v>783305</v>
      </c>
      <c r="B4068" t="str">
        <f>IFERROR(__xludf.DUMMYFUNCTION("""COMPUTED_VALUE"""),"Pork Chop Stewed With Vegetables Puerto Rican Style")</f>
        <v>Pork Chop Stewed With Vegetables Puerto Rican Style</v>
      </c>
      <c r="C4068" t="str">
        <f>IFERROR(__xludf.DUMMYFUNCTION("""COMPUTED_VALUE"""),"Meats")</f>
        <v>Meats</v>
      </c>
      <c r="D4068">
        <f>IFERROR(__xludf.DUMMYFUNCTION("""COMPUTED_VALUE"""),94.0)</f>
        <v>94</v>
      </c>
      <c r="E4068">
        <f>IFERROR(__xludf.DUMMYFUNCTION("""COMPUTED_VALUE"""),3.04)</f>
        <v>3.04</v>
      </c>
      <c r="F4068">
        <f>IFERROR(__xludf.DUMMYFUNCTION("""COMPUTED_VALUE"""),10.84)</f>
        <v>10.84</v>
      </c>
      <c r="G4068">
        <f>IFERROR(__xludf.DUMMYFUNCTION("""COMPUTED_VALUE"""),6.11)</f>
        <v>6.11</v>
      </c>
    </row>
    <row r="4069">
      <c r="A4069">
        <f>IFERROR(__xludf.DUMMYFUNCTION("""COMPUTED_VALUE"""),783306.0)</f>
        <v>783306</v>
      </c>
      <c r="B4069" t="str">
        <f>IFERROR(__xludf.DUMMYFUNCTION("""COMPUTED_VALUE"""),"Lamb Or Mutton Stew With Vegetables Including Carrots Broccoli And/or Dark-Green Leafy; No Potatoes Gravy")</f>
        <v>Lamb Or Mutton Stew With Vegetables Including Carrots Broccoli And/or Dark-Green Leafy; No Potatoes Gravy</v>
      </c>
      <c r="C4069" t="str">
        <f>IFERROR(__xludf.DUMMYFUNCTION("""COMPUTED_VALUE"""),"Meats")</f>
        <v>Meats</v>
      </c>
      <c r="D4069">
        <f>IFERROR(__xludf.DUMMYFUNCTION("""COMPUTED_VALUE"""),117.0)</f>
        <v>117</v>
      </c>
      <c r="E4069">
        <f>IFERROR(__xludf.DUMMYFUNCTION("""COMPUTED_VALUE"""),3.79)</f>
        <v>3.79</v>
      </c>
      <c r="F4069">
        <f>IFERROR(__xludf.DUMMYFUNCTION("""COMPUTED_VALUE"""),13.52)</f>
        <v>13.52</v>
      </c>
      <c r="G4069">
        <f>IFERROR(__xludf.DUMMYFUNCTION("""COMPUTED_VALUE"""),6.37)</f>
        <v>6.37</v>
      </c>
    </row>
    <row r="4070">
      <c r="A4070">
        <f>IFERROR(__xludf.DUMMYFUNCTION("""COMPUTED_VALUE"""),783307.0)</f>
        <v>783307</v>
      </c>
      <c r="B4070" t="str">
        <f>IFERROR(__xludf.DUMMYFUNCTION("""COMPUTED_VALUE"""),"Lamb Or Mutton Stew With Vegetables Excluding Carrots Broccoli And Dark-Green Leafy; No Potatoes Gravy")</f>
        <v>Lamb Or Mutton Stew With Vegetables Excluding Carrots Broccoli And Dark-Green Leafy; No Potatoes Gravy</v>
      </c>
      <c r="C4070" t="str">
        <f>IFERROR(__xludf.DUMMYFUNCTION("""COMPUTED_VALUE"""),"Meats")</f>
        <v>Meats</v>
      </c>
      <c r="D4070">
        <f>IFERROR(__xludf.DUMMYFUNCTION("""COMPUTED_VALUE"""),109.0)</f>
        <v>109</v>
      </c>
      <c r="E4070">
        <f>IFERROR(__xludf.DUMMYFUNCTION("""COMPUTED_VALUE"""),3.81)</f>
        <v>3.81</v>
      </c>
      <c r="F4070">
        <f>IFERROR(__xludf.DUMMYFUNCTION("""COMPUTED_VALUE"""),13.4)</f>
        <v>13.4</v>
      </c>
      <c r="G4070">
        <f>IFERROR(__xludf.DUMMYFUNCTION("""COMPUTED_VALUE"""),4.64)</f>
        <v>4.64</v>
      </c>
    </row>
    <row r="4071">
      <c r="A4071">
        <f>IFERROR(__xludf.DUMMYFUNCTION("""COMPUTED_VALUE"""),783308.0)</f>
        <v>783308</v>
      </c>
      <c r="B4071" t="str">
        <f>IFERROR(__xludf.DUMMYFUNCTION("""COMPUTED_VALUE"""),"Veal Goulash With Vegetables Excluding Carrots Broccoli And Dark-Green Leafy; No Potatoes Tomato-Based Sauce")</f>
        <v>Veal Goulash With Vegetables Excluding Carrots Broccoli And Dark-Green Leafy; No Potatoes Tomato-Based Sauce</v>
      </c>
      <c r="C4071" t="str">
        <f>IFERROR(__xludf.DUMMYFUNCTION("""COMPUTED_VALUE"""),"Meats")</f>
        <v>Meats</v>
      </c>
      <c r="D4071">
        <f>IFERROR(__xludf.DUMMYFUNCTION("""COMPUTED_VALUE"""),96.0)</f>
        <v>96</v>
      </c>
      <c r="E4071">
        <f>IFERROR(__xludf.DUMMYFUNCTION("""COMPUTED_VALUE"""),3.61)</f>
        <v>3.61</v>
      </c>
      <c r="F4071">
        <f>IFERROR(__xludf.DUMMYFUNCTION("""COMPUTED_VALUE"""),12.59)</f>
        <v>12.59</v>
      </c>
      <c r="G4071">
        <f>IFERROR(__xludf.DUMMYFUNCTION("""COMPUTED_VALUE"""),2.79)</f>
        <v>2.79</v>
      </c>
    </row>
    <row r="4072">
      <c r="A4072">
        <f>IFERROR(__xludf.DUMMYFUNCTION("""COMPUTED_VALUE"""),783309.0)</f>
        <v>783309</v>
      </c>
      <c r="B4072" t="str">
        <f>IFERROR(__xludf.DUMMYFUNCTION("""COMPUTED_VALUE"""),"Veal Goulash With Vegetables Including Carrots Broccoli And/or Dark-Green Leafy; No Potatoes Tomato-Based Sauce")</f>
        <v>Veal Goulash With Vegetables Including Carrots Broccoli And/or Dark-Green Leafy; No Potatoes Tomato-Based Sauce</v>
      </c>
      <c r="C4072" t="str">
        <f>IFERROR(__xludf.DUMMYFUNCTION("""COMPUTED_VALUE"""),"Meats")</f>
        <v>Meats</v>
      </c>
      <c r="D4072">
        <f>IFERROR(__xludf.DUMMYFUNCTION("""COMPUTED_VALUE"""),98.0)</f>
        <v>98</v>
      </c>
      <c r="E4072">
        <f>IFERROR(__xludf.DUMMYFUNCTION("""COMPUTED_VALUE"""),3.74)</f>
        <v>3.74</v>
      </c>
      <c r="F4072">
        <f>IFERROR(__xludf.DUMMYFUNCTION("""COMPUTED_VALUE"""),12.96)</f>
        <v>12.96</v>
      </c>
      <c r="G4072">
        <f>IFERROR(__xludf.DUMMYFUNCTION("""COMPUTED_VALUE"""),2.59)</f>
        <v>2.59</v>
      </c>
    </row>
    <row r="4073">
      <c r="A4073">
        <f>IFERROR(__xludf.DUMMYFUNCTION("""COMPUTED_VALUE"""),783310.0)</f>
        <v>783310</v>
      </c>
      <c r="B4073" t="str">
        <f>IFERROR(__xludf.DUMMYFUNCTION("""COMPUTED_VALUE"""),"Veal With Vegetables Including Carrots Broccoli And/or Dark-Green Leafy; No Potatoes Cream Or White Sauce")</f>
        <v>Veal With Vegetables Including Carrots Broccoli And/or Dark-Green Leafy; No Potatoes Cream Or White Sauce</v>
      </c>
      <c r="C4073" t="str">
        <f>IFERROR(__xludf.DUMMYFUNCTION("""COMPUTED_VALUE"""),"Meats")</f>
        <v>Meats</v>
      </c>
      <c r="D4073">
        <f>IFERROR(__xludf.DUMMYFUNCTION("""COMPUTED_VALUE"""),123.0)</f>
        <v>123</v>
      </c>
      <c r="E4073">
        <f>IFERROR(__xludf.DUMMYFUNCTION("""COMPUTED_VALUE"""),7.02)</f>
        <v>7.02</v>
      </c>
      <c r="F4073">
        <f>IFERROR(__xludf.DUMMYFUNCTION("""COMPUTED_VALUE"""),9.34)</f>
        <v>9.34</v>
      </c>
      <c r="G4073">
        <f>IFERROR(__xludf.DUMMYFUNCTION("""COMPUTED_VALUE"""),5.46)</f>
        <v>5.46</v>
      </c>
    </row>
    <row r="4074">
      <c r="A4074">
        <f>IFERROR(__xludf.DUMMYFUNCTION("""COMPUTED_VALUE"""),783311.0)</f>
        <v>783311</v>
      </c>
      <c r="B4074" t="str">
        <f>IFERROR(__xludf.DUMMYFUNCTION("""COMPUTED_VALUE"""),"Veal With Vegetables Excluding Carrots Broccoli And Dark-Green Leafy; And Potatoes Cream Or White Sauce")</f>
        <v>Veal With Vegetables Excluding Carrots Broccoli And Dark-Green Leafy; And Potatoes Cream Or White Sauce</v>
      </c>
      <c r="C4074" t="str">
        <f>IFERROR(__xludf.DUMMYFUNCTION("""COMPUTED_VALUE"""),"Meats")</f>
        <v>Meats</v>
      </c>
      <c r="D4074">
        <f>IFERROR(__xludf.DUMMYFUNCTION("""COMPUTED_VALUE"""),125.0)</f>
        <v>125</v>
      </c>
      <c r="E4074">
        <f>IFERROR(__xludf.DUMMYFUNCTION("""COMPUTED_VALUE"""),6.42)</f>
        <v>6.42</v>
      </c>
      <c r="F4074">
        <f>IFERROR(__xludf.DUMMYFUNCTION("""COMPUTED_VALUE"""),10.6)</f>
        <v>10.6</v>
      </c>
      <c r="G4074">
        <f>IFERROR(__xludf.DUMMYFUNCTION("""COMPUTED_VALUE"""),6.54)</f>
        <v>6.54</v>
      </c>
    </row>
    <row r="4075">
      <c r="A4075">
        <f>IFERROR(__xludf.DUMMYFUNCTION("""COMPUTED_VALUE"""),783312.0)</f>
        <v>783312</v>
      </c>
      <c r="B4075" t="str">
        <f>IFERROR(__xludf.DUMMYFUNCTION("""COMPUTED_VALUE"""),"Lamb Shish Kabob With Vegetables Excluding Potatoes")</f>
        <v>Lamb Shish Kabob With Vegetables Excluding Potatoes</v>
      </c>
      <c r="C4075" t="str">
        <f>IFERROR(__xludf.DUMMYFUNCTION("""COMPUTED_VALUE"""),"Meats")</f>
        <v>Meats</v>
      </c>
      <c r="D4075">
        <f>IFERROR(__xludf.DUMMYFUNCTION("""COMPUTED_VALUE"""),120.0)</f>
        <v>120</v>
      </c>
      <c r="E4075">
        <f>IFERROR(__xludf.DUMMYFUNCTION("""COMPUTED_VALUE"""),5.68)</f>
        <v>5.68</v>
      </c>
      <c r="F4075">
        <f>IFERROR(__xludf.DUMMYFUNCTION("""COMPUTED_VALUE"""),12.12)</f>
        <v>12.12</v>
      </c>
      <c r="G4075">
        <f>IFERROR(__xludf.DUMMYFUNCTION("""COMPUTED_VALUE"""),5.0)</f>
        <v>5</v>
      </c>
    </row>
    <row r="4076">
      <c r="A4076">
        <f>IFERROR(__xludf.DUMMYFUNCTION("""COMPUTED_VALUE"""),783313.0)</f>
        <v>783313</v>
      </c>
      <c r="B4076" t="str">
        <f>IFERROR(__xludf.DUMMYFUNCTION("""COMPUTED_VALUE"""),"Chicken Or Turkey And Vegetables Including Carrots Broccoli And/or Dark-Green Leafy; No Potatoes No Sauce")</f>
        <v>Chicken Or Turkey And Vegetables Including Carrots Broccoli And/or Dark-Green Leafy; No Potatoes No Sauce</v>
      </c>
      <c r="C4076" t="str">
        <f>IFERROR(__xludf.DUMMYFUNCTION("""COMPUTED_VALUE"""),"Meats")</f>
        <v>Meats</v>
      </c>
      <c r="D4076">
        <f>IFERROR(__xludf.DUMMYFUNCTION("""COMPUTED_VALUE"""),117.0)</f>
        <v>117</v>
      </c>
      <c r="E4076">
        <f>IFERROR(__xludf.DUMMYFUNCTION("""COMPUTED_VALUE"""),7.78)</f>
        <v>7.78</v>
      </c>
      <c r="F4076">
        <f>IFERROR(__xludf.DUMMYFUNCTION("""COMPUTED_VALUE"""),9.66)</f>
        <v>9.66</v>
      </c>
      <c r="G4076">
        <f>IFERROR(__xludf.DUMMYFUNCTION("""COMPUTED_VALUE"""),2.88)</f>
        <v>2.88</v>
      </c>
    </row>
    <row r="4077">
      <c r="A4077">
        <f>IFERROR(__xludf.DUMMYFUNCTION("""COMPUTED_VALUE"""),783314.0)</f>
        <v>783314</v>
      </c>
      <c r="B4077" t="str">
        <f>IFERROR(__xludf.DUMMYFUNCTION("""COMPUTED_VALUE"""),"Chicken Or Turkey And Vegetables Excluding Carrots Broccoli And Dark-Green Leafy; No Potatoes No Sauce")</f>
        <v>Chicken Or Turkey And Vegetables Excluding Carrots Broccoli And Dark-Green Leafy; No Potatoes No Sauce</v>
      </c>
      <c r="C4077" t="str">
        <f>IFERROR(__xludf.DUMMYFUNCTION("""COMPUTED_VALUE"""),"Meats")</f>
        <v>Meats</v>
      </c>
      <c r="D4077">
        <f>IFERROR(__xludf.DUMMYFUNCTION("""COMPUTED_VALUE"""),123.0)</f>
        <v>123</v>
      </c>
      <c r="E4077">
        <f>IFERROR(__xludf.DUMMYFUNCTION("""COMPUTED_VALUE"""),7.96)</f>
        <v>7.96</v>
      </c>
      <c r="F4077">
        <f>IFERROR(__xludf.DUMMYFUNCTION("""COMPUTED_VALUE"""),8.72)</f>
        <v>8.72</v>
      </c>
      <c r="G4077">
        <f>IFERROR(__xludf.DUMMYFUNCTION("""COMPUTED_VALUE"""),5.08)</f>
        <v>5.08</v>
      </c>
    </row>
    <row r="4078">
      <c r="A4078">
        <f>IFERROR(__xludf.DUMMYFUNCTION("""COMPUTED_VALUE"""),783315.0)</f>
        <v>783315</v>
      </c>
      <c r="B4078" t="str">
        <f>IFERROR(__xludf.DUMMYFUNCTION("""COMPUTED_VALUE"""),"Chicken Or Turkey Shish Kabob With Vegetables Excluding Potatoes")</f>
        <v>Chicken Or Turkey Shish Kabob With Vegetables Excluding Potatoes</v>
      </c>
      <c r="C4078" t="str">
        <f>IFERROR(__xludf.DUMMYFUNCTION("""COMPUTED_VALUE"""),"Meats")</f>
        <v>Meats</v>
      </c>
      <c r="D4078">
        <f>IFERROR(__xludf.DUMMYFUNCTION("""COMPUTED_VALUE"""),103.0)</f>
        <v>103</v>
      </c>
      <c r="E4078">
        <f>IFERROR(__xludf.DUMMYFUNCTION("""COMPUTED_VALUE"""),3.69)</f>
        <v>3.69</v>
      </c>
      <c r="F4078">
        <f>IFERROR(__xludf.DUMMYFUNCTION("""COMPUTED_VALUE"""),12.95)</f>
        <v>12.95</v>
      </c>
      <c r="G4078">
        <f>IFERROR(__xludf.DUMMYFUNCTION("""COMPUTED_VALUE"""),5.0)</f>
        <v>5</v>
      </c>
    </row>
    <row r="4079">
      <c r="A4079">
        <f>IFERROR(__xludf.DUMMYFUNCTION("""COMPUTED_VALUE"""),783316.0)</f>
        <v>783316</v>
      </c>
      <c r="B4079" t="str">
        <f>IFERROR(__xludf.DUMMYFUNCTION("""COMPUTED_VALUE"""),"Chicken Or Turkey Creole Without Rice")</f>
        <v>Chicken Or Turkey Creole Without Rice</v>
      </c>
      <c r="C4079" t="str">
        <f>IFERROR(__xludf.DUMMYFUNCTION("""COMPUTED_VALUE"""),"Meats")</f>
        <v>Meats</v>
      </c>
      <c r="D4079">
        <f>IFERROR(__xludf.DUMMYFUNCTION("""COMPUTED_VALUE"""),103.0)</f>
        <v>103</v>
      </c>
      <c r="E4079">
        <f>IFERROR(__xludf.DUMMYFUNCTION("""COMPUTED_VALUE"""),4.22)</f>
        <v>4.22</v>
      </c>
      <c r="F4079">
        <f>IFERROR(__xludf.DUMMYFUNCTION("""COMPUTED_VALUE"""),13.82)</f>
        <v>13.82</v>
      </c>
      <c r="G4079">
        <f>IFERROR(__xludf.DUMMYFUNCTION("""COMPUTED_VALUE"""),2.96)</f>
        <v>2.96</v>
      </c>
    </row>
    <row r="4080">
      <c r="A4080">
        <f>IFERROR(__xludf.DUMMYFUNCTION("""COMPUTED_VALUE"""),783317.0)</f>
        <v>783317</v>
      </c>
      <c r="B4080" t="str">
        <f>IFERROR(__xludf.DUMMYFUNCTION("""COMPUTED_VALUE"""),"Chicken Or Turkey And Vegetables Including Carrots Broccoli And/or Dark-Green Leafy; No Potatoes Gravy")</f>
        <v>Chicken Or Turkey And Vegetables Including Carrots Broccoli And/or Dark-Green Leafy; No Potatoes Gravy</v>
      </c>
      <c r="C4080" t="str">
        <f>IFERROR(__xludf.DUMMYFUNCTION("""COMPUTED_VALUE"""),"Meats")</f>
        <v>Meats</v>
      </c>
      <c r="D4080">
        <f>IFERROR(__xludf.DUMMYFUNCTION("""COMPUTED_VALUE"""),111.0)</f>
        <v>111</v>
      </c>
      <c r="E4080">
        <f>IFERROR(__xludf.DUMMYFUNCTION("""COMPUTED_VALUE"""),7.44)</f>
        <v>7.44</v>
      </c>
      <c r="F4080">
        <f>IFERROR(__xludf.DUMMYFUNCTION("""COMPUTED_VALUE"""),7.1)</f>
        <v>7.1</v>
      </c>
      <c r="G4080">
        <f>IFERROR(__xludf.DUMMYFUNCTION("""COMPUTED_VALUE"""),4.47)</f>
        <v>4.47</v>
      </c>
    </row>
    <row r="4081">
      <c r="A4081">
        <f>IFERROR(__xludf.DUMMYFUNCTION("""COMPUTED_VALUE"""),783318.0)</f>
        <v>783318</v>
      </c>
      <c r="B4081" t="str">
        <f>IFERROR(__xludf.DUMMYFUNCTION("""COMPUTED_VALUE"""),"Chicken Or Turkey And Vegetables Excluding Carrots Broccoli And Dark-Green Leafy; No Potatoes Gravy")</f>
        <v>Chicken Or Turkey And Vegetables Excluding Carrots Broccoli And Dark-Green Leafy; No Potatoes Gravy</v>
      </c>
      <c r="C4081" t="str">
        <f>IFERROR(__xludf.DUMMYFUNCTION("""COMPUTED_VALUE"""),"Meats")</f>
        <v>Meats</v>
      </c>
      <c r="D4081">
        <f>IFERROR(__xludf.DUMMYFUNCTION("""COMPUTED_VALUE"""),118.0)</f>
        <v>118</v>
      </c>
      <c r="E4081">
        <f>IFERROR(__xludf.DUMMYFUNCTION("""COMPUTED_VALUE"""),7.45)</f>
        <v>7.45</v>
      </c>
      <c r="F4081">
        <f>IFERROR(__xludf.DUMMYFUNCTION("""COMPUTED_VALUE"""),7.16)</f>
        <v>7.16</v>
      </c>
      <c r="G4081">
        <f>IFERROR(__xludf.DUMMYFUNCTION("""COMPUTED_VALUE"""),6.43)</f>
        <v>6.43</v>
      </c>
    </row>
    <row r="4082">
      <c r="A4082">
        <f>IFERROR(__xludf.DUMMYFUNCTION("""COMPUTED_VALUE"""),783319.0)</f>
        <v>783319</v>
      </c>
      <c r="B4082" t="str">
        <f>IFERROR(__xludf.DUMMYFUNCTION("""COMPUTED_VALUE"""),"Chicken Or Turkey A La King With Vegetables Including Carrots Broccoli And/or Dark-Green Leafy; No Potatoes Cream White Or Soup-Based Sauce")</f>
        <v>Chicken Or Turkey A La King With Vegetables Including Carrots Broccoli And/or Dark-Green Leafy; No Potatoes Cream White Or Soup-Based Sauce</v>
      </c>
      <c r="C4082" t="str">
        <f>IFERROR(__xludf.DUMMYFUNCTION("""COMPUTED_VALUE"""),"Meats")</f>
        <v>Meats</v>
      </c>
      <c r="D4082">
        <f>IFERROR(__xludf.DUMMYFUNCTION("""COMPUTED_VALUE"""),186.0)</f>
        <v>186</v>
      </c>
      <c r="E4082">
        <f>IFERROR(__xludf.DUMMYFUNCTION("""COMPUTED_VALUE"""),13.75)</f>
        <v>13.75</v>
      </c>
      <c r="F4082">
        <f>IFERROR(__xludf.DUMMYFUNCTION("""COMPUTED_VALUE"""),9.35)</f>
        <v>9.35</v>
      </c>
      <c r="G4082">
        <f>IFERROR(__xludf.DUMMYFUNCTION("""COMPUTED_VALUE"""),6.61)</f>
        <v>6.61</v>
      </c>
    </row>
    <row r="4083">
      <c r="A4083">
        <f>IFERROR(__xludf.DUMMYFUNCTION("""COMPUTED_VALUE"""),783320.0)</f>
        <v>783320</v>
      </c>
      <c r="B4083" t="str">
        <f>IFERROR(__xludf.DUMMYFUNCTION("""COMPUTED_VALUE"""),"Chicken Or Turkey A La King With Vegetables Excluding Carrorts Broccoli And Dark-Green Leafy; No Potatoes Cream White Or Soup-Based Sauce")</f>
        <v>Chicken Or Turkey A La King With Vegetables Excluding Carrorts Broccoli And Dark-Green Leafy; No Potatoes Cream White Or Soup-Based Sauce</v>
      </c>
      <c r="C4083" t="str">
        <f>IFERROR(__xludf.DUMMYFUNCTION("""COMPUTED_VALUE"""),"Meats")</f>
        <v>Meats</v>
      </c>
      <c r="D4083">
        <f>IFERROR(__xludf.DUMMYFUNCTION("""COMPUTED_VALUE"""),180.0)</f>
        <v>180</v>
      </c>
      <c r="E4083">
        <f>IFERROR(__xludf.DUMMYFUNCTION("""COMPUTED_VALUE"""),13.3)</f>
        <v>13.3</v>
      </c>
      <c r="F4083">
        <f>IFERROR(__xludf.DUMMYFUNCTION("""COMPUTED_VALUE"""),9.52)</f>
        <v>9.52</v>
      </c>
      <c r="G4083">
        <f>IFERROR(__xludf.DUMMYFUNCTION("""COMPUTED_VALUE"""),6.18)</f>
        <v>6.18</v>
      </c>
    </row>
    <row r="4084">
      <c r="A4084">
        <f>IFERROR(__xludf.DUMMYFUNCTION("""COMPUTED_VALUE"""),783321.0)</f>
        <v>783321</v>
      </c>
      <c r="B4084" t="str">
        <f>IFERROR(__xludf.DUMMYFUNCTION("""COMPUTED_VALUE"""),"Chicken Or Turkey Divan")</f>
        <v>Chicken Or Turkey Divan</v>
      </c>
      <c r="C4084" t="str">
        <f>IFERROR(__xludf.DUMMYFUNCTION("""COMPUTED_VALUE"""),"Meats")</f>
        <v>Meats</v>
      </c>
      <c r="D4084">
        <f>IFERROR(__xludf.DUMMYFUNCTION("""COMPUTED_VALUE"""),140.0)</f>
        <v>140</v>
      </c>
      <c r="E4084">
        <f>IFERROR(__xludf.DUMMYFUNCTION("""COMPUTED_VALUE"""),7.23)</f>
        <v>7.23</v>
      </c>
      <c r="F4084">
        <f>IFERROR(__xludf.DUMMYFUNCTION("""COMPUTED_VALUE"""),15.44)</f>
        <v>15.44</v>
      </c>
      <c r="G4084">
        <f>IFERROR(__xludf.DUMMYFUNCTION("""COMPUTED_VALUE"""),4.05)</f>
        <v>4.05</v>
      </c>
    </row>
    <row r="4085">
      <c r="A4085">
        <f>IFERROR(__xludf.DUMMYFUNCTION("""COMPUTED_VALUE"""),783324.0)</f>
        <v>783324</v>
      </c>
      <c r="B4085" t="str">
        <f>IFERROR(__xludf.DUMMYFUNCTION("""COMPUTED_VALUE"""),"Chicken Or Turkey And Vegetables Including Carrots Broccoli And/or Dark-Green Leafy; No Potatoes Tomato-Based Sauce")</f>
        <v>Chicken Or Turkey And Vegetables Including Carrots Broccoli And/or Dark-Green Leafy; No Potatoes Tomato-Based Sauce</v>
      </c>
      <c r="C4085" t="str">
        <f>IFERROR(__xludf.DUMMYFUNCTION("""COMPUTED_VALUE"""),"Meats")</f>
        <v>Meats</v>
      </c>
      <c r="D4085">
        <f>IFERROR(__xludf.DUMMYFUNCTION("""COMPUTED_VALUE"""),112.0)</f>
        <v>112</v>
      </c>
      <c r="E4085">
        <f>IFERROR(__xludf.DUMMYFUNCTION("""COMPUTED_VALUE"""),7.8)</f>
        <v>7.8</v>
      </c>
      <c r="F4085">
        <f>IFERROR(__xludf.DUMMYFUNCTION("""COMPUTED_VALUE"""),7.23)</f>
        <v>7.23</v>
      </c>
      <c r="G4085">
        <f>IFERROR(__xludf.DUMMYFUNCTION("""COMPUTED_VALUE"""),4.42)</f>
        <v>4.42</v>
      </c>
    </row>
    <row r="4086">
      <c r="A4086">
        <f>IFERROR(__xludf.DUMMYFUNCTION("""COMPUTED_VALUE"""),783325.0)</f>
        <v>783325</v>
      </c>
      <c r="B4086" t="str">
        <f>IFERROR(__xludf.DUMMYFUNCTION("""COMPUTED_VALUE"""),"Chicken Or Turkey And Vegetables Excluding Carrots Broccoli And Dark-Green Leafy; No Potatoes Tomato-Based Sauce")</f>
        <v>Chicken Or Turkey And Vegetables Excluding Carrots Broccoli And Dark-Green Leafy; No Potatoes Tomato-Based Sauce</v>
      </c>
      <c r="C4086" t="str">
        <f>IFERROR(__xludf.DUMMYFUNCTION("""COMPUTED_VALUE"""),"Meats")</f>
        <v>Meats</v>
      </c>
      <c r="D4086">
        <f>IFERROR(__xludf.DUMMYFUNCTION("""COMPUTED_VALUE"""),119.0)</f>
        <v>119</v>
      </c>
      <c r="E4086">
        <f>IFERROR(__xludf.DUMMYFUNCTION("""COMPUTED_VALUE"""),7.81)</f>
        <v>7.81</v>
      </c>
      <c r="F4086">
        <f>IFERROR(__xludf.DUMMYFUNCTION("""COMPUTED_VALUE"""),7.28)</f>
        <v>7.28</v>
      </c>
      <c r="G4086">
        <f>IFERROR(__xludf.DUMMYFUNCTION("""COMPUTED_VALUE"""),6.35)</f>
        <v>6.35</v>
      </c>
    </row>
    <row r="4087">
      <c r="A4087">
        <f>IFERROR(__xludf.DUMMYFUNCTION("""COMPUTED_VALUE"""),783331.0)</f>
        <v>783331</v>
      </c>
      <c r="B4087" t="str">
        <f>IFERROR(__xludf.DUMMYFUNCTION("""COMPUTED_VALUE"""),"Chicken Or Turkey Salad Made With Mayonnaise")</f>
        <v>Chicken Or Turkey Salad Made With Mayonnaise</v>
      </c>
      <c r="C4087" t="str">
        <f>IFERROR(__xludf.DUMMYFUNCTION("""COMPUTED_VALUE"""),"Meats")</f>
        <v>Meats</v>
      </c>
      <c r="D4087">
        <f>IFERROR(__xludf.DUMMYFUNCTION("""COMPUTED_VALUE"""),235.0)</f>
        <v>235</v>
      </c>
      <c r="E4087">
        <f>IFERROR(__xludf.DUMMYFUNCTION("""COMPUTED_VALUE"""),18.76)</f>
        <v>18.76</v>
      </c>
      <c r="F4087">
        <f>IFERROR(__xludf.DUMMYFUNCTION("""COMPUTED_VALUE"""),13.97)</f>
        <v>13.97</v>
      </c>
      <c r="G4087">
        <f>IFERROR(__xludf.DUMMYFUNCTION("""COMPUTED_VALUE"""),2.8)</f>
        <v>2.8</v>
      </c>
    </row>
    <row r="4088">
      <c r="A4088">
        <f>IFERROR(__xludf.DUMMYFUNCTION("""COMPUTED_VALUE"""),783332.0)</f>
        <v>783332</v>
      </c>
      <c r="B4088" t="str">
        <f>IFERROR(__xludf.DUMMYFUNCTION("""COMPUTED_VALUE"""),"Chicken Or Turkey Salad With Nuts And/or Fruits")</f>
        <v>Chicken Or Turkey Salad With Nuts And/or Fruits</v>
      </c>
      <c r="C4088" t="str">
        <f>IFERROR(__xludf.DUMMYFUNCTION("""COMPUTED_VALUE"""),"Meats")</f>
        <v>Meats</v>
      </c>
      <c r="D4088">
        <f>IFERROR(__xludf.DUMMYFUNCTION("""COMPUTED_VALUE"""),230.0)</f>
        <v>230</v>
      </c>
      <c r="E4088">
        <f>IFERROR(__xludf.DUMMYFUNCTION("""COMPUTED_VALUE"""),17.87)</f>
        <v>17.87</v>
      </c>
      <c r="F4088">
        <f>IFERROR(__xludf.DUMMYFUNCTION("""COMPUTED_VALUE"""),12.49)</f>
        <v>12.49</v>
      </c>
      <c r="G4088">
        <f>IFERROR(__xludf.DUMMYFUNCTION("""COMPUTED_VALUE"""),5.82)</f>
        <v>5.82</v>
      </c>
    </row>
    <row r="4089">
      <c r="A4089">
        <f>IFERROR(__xludf.DUMMYFUNCTION("""COMPUTED_VALUE"""),783333.0)</f>
        <v>783333</v>
      </c>
      <c r="B4089" t="str">
        <f>IFERROR(__xludf.DUMMYFUNCTION("""COMPUTED_VALUE"""),"Chicken Or Turkey Salad With Egg")</f>
        <v>Chicken Or Turkey Salad With Egg</v>
      </c>
      <c r="C4089" t="str">
        <f>IFERROR(__xludf.DUMMYFUNCTION("""COMPUTED_VALUE"""),"Meats")</f>
        <v>Meats</v>
      </c>
      <c r="D4089">
        <f>IFERROR(__xludf.DUMMYFUNCTION("""COMPUTED_VALUE"""),228.0)</f>
        <v>228</v>
      </c>
      <c r="E4089">
        <f>IFERROR(__xludf.DUMMYFUNCTION("""COMPUTED_VALUE"""),18.06)</f>
        <v>18.06</v>
      </c>
      <c r="F4089">
        <f>IFERROR(__xludf.DUMMYFUNCTION("""COMPUTED_VALUE"""),13.85)</f>
        <v>13.85</v>
      </c>
      <c r="G4089">
        <f>IFERROR(__xludf.DUMMYFUNCTION("""COMPUTED_VALUE"""),2.66)</f>
        <v>2.66</v>
      </c>
    </row>
    <row r="4090">
      <c r="A4090">
        <f>IFERROR(__xludf.DUMMYFUNCTION("""COMPUTED_VALUE"""),783334.0)</f>
        <v>783334</v>
      </c>
      <c r="B4090" t="str">
        <f>IFERROR(__xludf.DUMMYFUNCTION("""COMPUTED_VALUE"""),"Chicken Or Turkey Salad Made With Light Mayonnaise")</f>
        <v>Chicken Or Turkey Salad Made With Light Mayonnaise</v>
      </c>
      <c r="C4090" t="str">
        <f>IFERROR(__xludf.DUMMYFUNCTION("""COMPUTED_VALUE"""),"Meats")</f>
        <v>Meats</v>
      </c>
      <c r="D4090">
        <f>IFERROR(__xludf.DUMMYFUNCTION("""COMPUTED_VALUE"""),145.0)</f>
        <v>145</v>
      </c>
      <c r="E4090">
        <f>IFERROR(__xludf.DUMMYFUNCTION("""COMPUTED_VALUE"""),8.15)</f>
        <v>8.15</v>
      </c>
      <c r="F4090">
        <f>IFERROR(__xludf.DUMMYFUNCTION("""COMPUTED_VALUE"""),13.6)</f>
        <v>13.6</v>
      </c>
      <c r="G4090">
        <f>IFERROR(__xludf.DUMMYFUNCTION("""COMPUTED_VALUE"""),4.68)</f>
        <v>4.68</v>
      </c>
    </row>
    <row r="4091">
      <c r="A4091">
        <f>IFERROR(__xludf.DUMMYFUNCTION("""COMPUTED_VALUE"""),783335.0)</f>
        <v>783335</v>
      </c>
      <c r="B4091" t="str">
        <f>IFERROR(__xludf.DUMMYFUNCTION("""COMPUTED_VALUE"""),"Chicken Or Turkey Salad Made With Mayonnaise-Type Salad Dressing")</f>
        <v>Chicken Or Turkey Salad Made With Mayonnaise-Type Salad Dressing</v>
      </c>
      <c r="C4091" t="str">
        <f>IFERROR(__xludf.DUMMYFUNCTION("""COMPUTED_VALUE"""),"Meats")</f>
        <v>Meats</v>
      </c>
      <c r="D4091">
        <f>IFERROR(__xludf.DUMMYFUNCTION("""COMPUTED_VALUE"""),148.0)</f>
        <v>148</v>
      </c>
      <c r="E4091">
        <f>IFERROR(__xludf.DUMMYFUNCTION("""COMPUTED_VALUE"""),7.95)</f>
        <v>7.95</v>
      </c>
      <c r="F4091">
        <f>IFERROR(__xludf.DUMMYFUNCTION("""COMPUTED_VALUE"""),13.72)</f>
        <v>13.72</v>
      </c>
      <c r="G4091">
        <f>IFERROR(__xludf.DUMMYFUNCTION("""COMPUTED_VALUE"""),5.87)</f>
        <v>5.87</v>
      </c>
    </row>
    <row r="4092">
      <c r="A4092">
        <f>IFERROR(__xludf.DUMMYFUNCTION("""COMPUTED_VALUE"""),783336.0)</f>
        <v>783336</v>
      </c>
      <c r="B4092" t="str">
        <f>IFERROR(__xludf.DUMMYFUNCTION("""COMPUTED_VALUE"""),"Chicken Or Turkey Salad Made With Light Mayonnaise-Type Salad Dressing")</f>
        <v>Chicken Or Turkey Salad Made With Light Mayonnaise-Type Salad Dressing</v>
      </c>
      <c r="C4092" t="str">
        <f>IFERROR(__xludf.DUMMYFUNCTION("""COMPUTED_VALUE"""),"Meats")</f>
        <v>Meats</v>
      </c>
      <c r="D4092">
        <f>IFERROR(__xludf.DUMMYFUNCTION("""COMPUTED_VALUE"""),145.0)</f>
        <v>145</v>
      </c>
      <c r="E4092">
        <f>IFERROR(__xludf.DUMMYFUNCTION("""COMPUTED_VALUE"""),8.15)</f>
        <v>8.15</v>
      </c>
      <c r="F4092">
        <f>IFERROR(__xludf.DUMMYFUNCTION("""COMPUTED_VALUE"""),13.6)</f>
        <v>13.6</v>
      </c>
      <c r="G4092">
        <f>IFERROR(__xludf.DUMMYFUNCTION("""COMPUTED_VALUE"""),4.68)</f>
        <v>4.68</v>
      </c>
    </row>
    <row r="4093">
      <c r="A4093">
        <f>IFERROR(__xludf.DUMMYFUNCTION("""COMPUTED_VALUE"""),783337.0)</f>
        <v>783337</v>
      </c>
      <c r="B4093" t="str">
        <f>IFERROR(__xludf.DUMMYFUNCTION("""COMPUTED_VALUE"""),"Chicken Or Turkey Salad Made With Creamy Dressing")</f>
        <v>Chicken Or Turkey Salad Made With Creamy Dressing</v>
      </c>
      <c r="C4093" t="str">
        <f>IFERROR(__xludf.DUMMYFUNCTION("""COMPUTED_VALUE"""),"Meats")</f>
        <v>Meats</v>
      </c>
      <c r="D4093">
        <f>IFERROR(__xludf.DUMMYFUNCTION("""COMPUTED_VALUE"""),188.0)</f>
        <v>188</v>
      </c>
      <c r="E4093">
        <f>IFERROR(__xludf.DUMMYFUNCTION("""COMPUTED_VALUE"""),13.09)</f>
        <v>13.09</v>
      </c>
      <c r="F4093">
        <f>IFERROR(__xludf.DUMMYFUNCTION("""COMPUTED_VALUE"""),13.81)</f>
        <v>13.81</v>
      </c>
      <c r="G4093">
        <f>IFERROR(__xludf.DUMMYFUNCTION("""COMPUTED_VALUE"""),3.94)</f>
        <v>3.94</v>
      </c>
    </row>
    <row r="4094">
      <c r="A4094">
        <f>IFERROR(__xludf.DUMMYFUNCTION("""COMPUTED_VALUE"""),783338.0)</f>
        <v>783338</v>
      </c>
      <c r="B4094" t="str">
        <f>IFERROR(__xludf.DUMMYFUNCTION("""COMPUTED_VALUE"""),"Chicken Or Turkey Salad Made With Light Creamy Dressing")</f>
        <v>Chicken Or Turkey Salad Made With Light Creamy Dressing</v>
      </c>
      <c r="C4094" t="str">
        <f>IFERROR(__xludf.DUMMYFUNCTION("""COMPUTED_VALUE"""),"Meats")</f>
        <v>Meats</v>
      </c>
      <c r="D4094">
        <f>IFERROR(__xludf.DUMMYFUNCTION("""COMPUTED_VALUE"""),128.0)</f>
        <v>128</v>
      </c>
      <c r="E4094">
        <f>IFERROR(__xludf.DUMMYFUNCTION("""COMPUTED_VALUE"""),6.36)</f>
        <v>6.36</v>
      </c>
      <c r="F4094">
        <f>IFERROR(__xludf.DUMMYFUNCTION("""COMPUTED_VALUE"""),13.79)</f>
        <v>13.79</v>
      </c>
      <c r="G4094">
        <f>IFERROR(__xludf.DUMMYFUNCTION("""COMPUTED_VALUE"""),4.2)</f>
        <v>4.2</v>
      </c>
    </row>
    <row r="4095">
      <c r="A4095">
        <f>IFERROR(__xludf.DUMMYFUNCTION("""COMPUTED_VALUE"""),783339.0)</f>
        <v>783339</v>
      </c>
      <c r="B4095" t="str">
        <f>IFERROR(__xludf.DUMMYFUNCTION("""COMPUTED_VALUE"""),"Chicken Or Turkey Salad Made With Italian Dressing")</f>
        <v>Chicken Or Turkey Salad Made With Italian Dressing</v>
      </c>
      <c r="C4095" t="str">
        <f>IFERROR(__xludf.DUMMYFUNCTION("""COMPUTED_VALUE"""),"Meats")</f>
        <v>Meats</v>
      </c>
      <c r="D4095">
        <f>IFERROR(__xludf.DUMMYFUNCTION("""COMPUTED_VALUE"""),145.0)</f>
        <v>145</v>
      </c>
      <c r="E4095">
        <f>IFERROR(__xludf.DUMMYFUNCTION("""COMPUTED_VALUE"""),7.84)</f>
        <v>7.84</v>
      </c>
      <c r="F4095">
        <f>IFERROR(__xludf.DUMMYFUNCTION("""COMPUTED_VALUE"""),13.67)</f>
        <v>13.67</v>
      </c>
      <c r="G4095">
        <f>IFERROR(__xludf.DUMMYFUNCTION("""COMPUTED_VALUE"""),5.29)</f>
        <v>5.29</v>
      </c>
    </row>
    <row r="4096">
      <c r="A4096">
        <f>IFERROR(__xludf.DUMMYFUNCTION("""COMPUTED_VALUE"""),783340.0)</f>
        <v>783340</v>
      </c>
      <c r="B4096" t="str">
        <f>IFERROR(__xludf.DUMMYFUNCTION("""COMPUTED_VALUE"""),"Chicken Or Turkey Salad Made With Light Italian Dressing")</f>
        <v>Chicken Or Turkey Salad Made With Light Italian Dressing</v>
      </c>
      <c r="C4096" t="str">
        <f>IFERROR(__xludf.DUMMYFUNCTION("""COMPUTED_VALUE"""),"Meats")</f>
        <v>Meats</v>
      </c>
      <c r="D4096">
        <f>IFERROR(__xludf.DUMMYFUNCTION("""COMPUTED_VALUE"""),115.0)</f>
        <v>115</v>
      </c>
      <c r="E4096">
        <f>IFERROR(__xludf.DUMMYFUNCTION("""COMPUTED_VALUE"""),4.71)</f>
        <v>4.71</v>
      </c>
      <c r="F4096">
        <f>IFERROR(__xludf.DUMMYFUNCTION("""COMPUTED_VALUE"""),13.6)</f>
        <v>13.6</v>
      </c>
      <c r="G4096">
        <f>IFERROR(__xludf.DUMMYFUNCTION("""COMPUTED_VALUE"""),4.85)</f>
        <v>4.85</v>
      </c>
    </row>
    <row r="4097">
      <c r="A4097">
        <f>IFERROR(__xludf.DUMMYFUNCTION("""COMPUTED_VALUE"""),783341.0)</f>
        <v>783341</v>
      </c>
      <c r="B4097" t="str">
        <f>IFERROR(__xludf.DUMMYFUNCTION("""COMPUTED_VALUE"""),"Chicken Or Turkey Salad Made With Any Type Of Fat Free Dressing")</f>
        <v>Chicken Or Turkey Salad Made With Any Type Of Fat Free Dressing</v>
      </c>
      <c r="C4097" t="str">
        <f>IFERROR(__xludf.DUMMYFUNCTION("""COMPUTED_VALUE"""),"Meats")</f>
        <v>Meats</v>
      </c>
      <c r="D4097">
        <f>IFERROR(__xludf.DUMMYFUNCTION("""COMPUTED_VALUE"""),111.0)</f>
        <v>111</v>
      </c>
      <c r="E4097">
        <f>IFERROR(__xludf.DUMMYFUNCTION("""COMPUTED_VALUE"""),3.81)</f>
        <v>3.81</v>
      </c>
      <c r="F4097">
        <f>IFERROR(__xludf.DUMMYFUNCTION("""COMPUTED_VALUE"""),13.37)</f>
        <v>13.37</v>
      </c>
      <c r="G4097">
        <f>IFERROR(__xludf.DUMMYFUNCTION("""COMPUTED_VALUE"""),6.21)</f>
        <v>6.21</v>
      </c>
    </row>
    <row r="4098">
      <c r="A4098">
        <f>IFERROR(__xludf.DUMMYFUNCTION("""COMPUTED_VALUE"""),783342.0)</f>
        <v>783342</v>
      </c>
      <c r="B4098" t="str">
        <f>IFERROR(__xludf.DUMMYFUNCTION("""COMPUTED_VALUE"""),"Chicken Or Turkey Garden Salad Chicken And/or Turkey Tomato And/or Carrots Other Vegetables No Dressing")</f>
        <v>Chicken Or Turkey Garden Salad Chicken And/or Turkey Tomato And/or Carrots Other Vegetables No Dressing</v>
      </c>
      <c r="C4098" t="str">
        <f>IFERROR(__xludf.DUMMYFUNCTION("""COMPUTED_VALUE"""),"Meats")</f>
        <v>Meats</v>
      </c>
      <c r="D4098">
        <f>IFERROR(__xludf.DUMMYFUNCTION("""COMPUTED_VALUE"""),62.0)</f>
        <v>62</v>
      </c>
      <c r="E4098">
        <f>IFERROR(__xludf.DUMMYFUNCTION("""COMPUTED_VALUE"""),1.33)</f>
        <v>1.33</v>
      </c>
      <c r="F4098">
        <f>IFERROR(__xludf.DUMMYFUNCTION("""COMPUTED_VALUE"""),10.19)</f>
        <v>10.19</v>
      </c>
      <c r="G4098">
        <f>IFERROR(__xludf.DUMMYFUNCTION("""COMPUTED_VALUE"""),2.94)</f>
        <v>2.94</v>
      </c>
    </row>
    <row r="4099">
      <c r="A4099">
        <f>IFERROR(__xludf.DUMMYFUNCTION("""COMPUTED_VALUE"""),783343.0)</f>
        <v>783343</v>
      </c>
      <c r="B4099" t="str">
        <f>IFERROR(__xludf.DUMMYFUNCTION("""COMPUTED_VALUE"""),"Chicken Or Turkey Garden Salad Chicken And/or Turkey Other Vegetables Excluding Tomato And Carrots No Dressing")</f>
        <v>Chicken Or Turkey Garden Salad Chicken And/or Turkey Other Vegetables Excluding Tomato And Carrots No Dressing</v>
      </c>
      <c r="C4099" t="str">
        <f>IFERROR(__xludf.DUMMYFUNCTION("""COMPUTED_VALUE"""),"Meats")</f>
        <v>Meats</v>
      </c>
      <c r="D4099">
        <f>IFERROR(__xludf.DUMMYFUNCTION("""COMPUTED_VALUE"""),64.0)</f>
        <v>64</v>
      </c>
      <c r="E4099">
        <f>IFERROR(__xludf.DUMMYFUNCTION("""COMPUTED_VALUE"""),1.42)</f>
        <v>1.42</v>
      </c>
      <c r="F4099">
        <f>IFERROR(__xludf.DUMMYFUNCTION("""COMPUTED_VALUE"""),10.96)</f>
        <v>10.96</v>
      </c>
      <c r="G4099">
        <f>IFERROR(__xludf.DUMMYFUNCTION("""COMPUTED_VALUE"""),2.52)</f>
        <v>2.52</v>
      </c>
    </row>
    <row r="4100">
      <c r="A4100">
        <f>IFERROR(__xludf.DUMMYFUNCTION("""COMPUTED_VALUE"""),783344.0)</f>
        <v>783344</v>
      </c>
      <c r="B4100" t="str">
        <f>IFERROR(__xludf.DUMMYFUNCTION("""COMPUTED_VALUE"""),"Chicken Or Turkey Garden Salad With Bacon And Cheese Chicken And/or Turkey Bacon Cheese Lettuce And/or Greens Tomato And/or Carrots Other Vegetables No Dressing")</f>
        <v>Chicken Or Turkey Garden Salad With Bacon And Cheese Chicken And/or Turkey Bacon Cheese Lettuce And/or Greens Tomato And/or Carrots Other Vegetables No Dressing</v>
      </c>
      <c r="C4100" t="str">
        <f>IFERROR(__xludf.DUMMYFUNCTION("""COMPUTED_VALUE"""),"Meats")</f>
        <v>Meats</v>
      </c>
      <c r="D4100">
        <f>IFERROR(__xludf.DUMMYFUNCTION("""COMPUTED_VALUE"""),109.0)</f>
        <v>109</v>
      </c>
      <c r="E4100">
        <f>IFERROR(__xludf.DUMMYFUNCTION("""COMPUTED_VALUE"""),5.55)</f>
        <v>5.55</v>
      </c>
      <c r="F4100">
        <f>IFERROR(__xludf.DUMMYFUNCTION("""COMPUTED_VALUE"""),11.71)</f>
        <v>11.71</v>
      </c>
      <c r="G4100">
        <f>IFERROR(__xludf.DUMMYFUNCTION("""COMPUTED_VALUE"""),2.9)</f>
        <v>2.9</v>
      </c>
    </row>
    <row r="4101">
      <c r="A4101">
        <f>IFERROR(__xludf.DUMMYFUNCTION("""COMPUTED_VALUE"""),783345.0)</f>
        <v>783345</v>
      </c>
      <c r="B4101" t="str">
        <f>IFERROR(__xludf.DUMMYFUNCTION("""COMPUTED_VALUE"""),"Chicken Or Turkey Breaded Fried Garden Salad With Bacon And Cheese Chicken And/or Turkey Bacon Cheese Lettuce And/or Greens Tomato And/or Carrots Other Vegetables No Dressing")</f>
        <v>Chicken Or Turkey Breaded Fried Garden Salad With Bacon And Cheese Chicken And/or Turkey Bacon Cheese Lettuce And/or Greens Tomato And/or Carrots Other Vegetables No Dressing</v>
      </c>
      <c r="C4101" t="str">
        <f>IFERROR(__xludf.DUMMYFUNCTION("""COMPUTED_VALUE"""),"Meats")</f>
        <v>Meats</v>
      </c>
      <c r="D4101">
        <f>IFERROR(__xludf.DUMMYFUNCTION("""COMPUTED_VALUE"""),120.0)</f>
        <v>120</v>
      </c>
      <c r="E4101">
        <f>IFERROR(__xludf.DUMMYFUNCTION("""COMPUTED_VALUE"""),7.69)</f>
        <v>7.69</v>
      </c>
      <c r="F4101">
        <f>IFERROR(__xludf.DUMMYFUNCTION("""COMPUTED_VALUE"""),6.86)</f>
        <v>6.86</v>
      </c>
      <c r="G4101">
        <f>IFERROR(__xludf.DUMMYFUNCTION("""COMPUTED_VALUE"""),6.22)</f>
        <v>6.22</v>
      </c>
    </row>
    <row r="4102">
      <c r="A4102">
        <f>IFERROR(__xludf.DUMMYFUNCTION("""COMPUTED_VALUE"""),783346.0)</f>
        <v>783346</v>
      </c>
      <c r="B4102" t="str">
        <f>IFERROR(__xludf.DUMMYFUNCTION("""COMPUTED_VALUE"""),"Chicken Or Turkey Garden Salad With Cheese Chicken And/or Turkey Cheese Lettuce And/or Greens Tomato And/or Carrots Other Vegetables No Dressing")</f>
        <v>Chicken Or Turkey Garden Salad With Cheese Chicken And/or Turkey Cheese Lettuce And/or Greens Tomato And/or Carrots Other Vegetables No Dressing</v>
      </c>
      <c r="C4102" t="str">
        <f>IFERROR(__xludf.DUMMYFUNCTION("""COMPUTED_VALUE"""),"Meats")</f>
        <v>Meats</v>
      </c>
      <c r="D4102">
        <f>IFERROR(__xludf.DUMMYFUNCTION("""COMPUTED_VALUE"""),96.0)</f>
        <v>96</v>
      </c>
      <c r="E4102">
        <f>IFERROR(__xludf.DUMMYFUNCTION("""COMPUTED_VALUE"""),4.45)</f>
        <v>4.45</v>
      </c>
      <c r="F4102">
        <f>IFERROR(__xludf.DUMMYFUNCTION("""COMPUTED_VALUE"""),11.08)</f>
        <v>11.08</v>
      </c>
      <c r="G4102">
        <f>IFERROR(__xludf.DUMMYFUNCTION("""COMPUTED_VALUE"""),2.92)</f>
        <v>2.92</v>
      </c>
    </row>
    <row r="4103">
      <c r="A4103">
        <f>IFERROR(__xludf.DUMMYFUNCTION("""COMPUTED_VALUE"""),783347.0)</f>
        <v>783347</v>
      </c>
      <c r="B4103" t="str">
        <f>IFERROR(__xludf.DUMMYFUNCTION("""COMPUTED_VALUE"""),"Chicken Or Turkey Breaded Fried Garden Salad With Cheese Chicken And/or Turkey Cheese Lettuce And/or Greens Tomato And/or Carrots Other Vegetables No Dressing")</f>
        <v>Chicken Or Turkey Breaded Fried Garden Salad With Cheese Chicken And/or Turkey Cheese Lettuce And/or Greens Tomato And/or Carrots Other Vegetables No Dressing</v>
      </c>
      <c r="C4103" t="str">
        <f>IFERROR(__xludf.DUMMYFUNCTION("""COMPUTED_VALUE"""),"Meats")</f>
        <v>Meats</v>
      </c>
      <c r="D4103">
        <f>IFERROR(__xludf.DUMMYFUNCTION("""COMPUTED_VALUE"""),120.0)</f>
        <v>120</v>
      </c>
      <c r="E4103">
        <f>IFERROR(__xludf.DUMMYFUNCTION("""COMPUTED_VALUE"""),7.83)</f>
        <v>7.83</v>
      </c>
      <c r="F4103">
        <f>IFERROR(__xludf.DUMMYFUNCTION("""COMPUTED_VALUE"""),6.54)</f>
        <v>6.54</v>
      </c>
      <c r="G4103">
        <f>IFERROR(__xludf.DUMMYFUNCTION("""COMPUTED_VALUE"""),6.38)</f>
        <v>6.38</v>
      </c>
    </row>
    <row r="4104">
      <c r="A4104">
        <f>IFERROR(__xludf.DUMMYFUNCTION("""COMPUTED_VALUE"""),783348.0)</f>
        <v>783348</v>
      </c>
      <c r="B4104" t="str">
        <f>IFERROR(__xludf.DUMMYFUNCTION("""COMPUTED_VALUE"""),"Asian Chicken Or Turkey Garden Salad Chicken And/or Turkey Lettuce Fruit Nuts No Dressing")</f>
        <v>Asian Chicken Or Turkey Garden Salad Chicken And/or Turkey Lettuce Fruit Nuts No Dressing</v>
      </c>
      <c r="C4104" t="str">
        <f>IFERROR(__xludf.DUMMYFUNCTION("""COMPUTED_VALUE"""),"Meats")</f>
        <v>Meats</v>
      </c>
      <c r="D4104">
        <f>IFERROR(__xludf.DUMMYFUNCTION("""COMPUTED_VALUE"""),127.0)</f>
        <v>127</v>
      </c>
      <c r="E4104">
        <f>IFERROR(__xludf.DUMMYFUNCTION("""COMPUTED_VALUE"""),5.02)</f>
        <v>5.02</v>
      </c>
      <c r="F4104">
        <f>IFERROR(__xludf.DUMMYFUNCTION("""COMPUTED_VALUE"""),11.31)</f>
        <v>11.31</v>
      </c>
      <c r="G4104">
        <f>IFERROR(__xludf.DUMMYFUNCTION("""COMPUTED_VALUE"""),10.12)</f>
        <v>10.12</v>
      </c>
    </row>
    <row r="4105">
      <c r="A4105">
        <f>IFERROR(__xludf.DUMMYFUNCTION("""COMPUTED_VALUE"""),783349.0)</f>
        <v>783349</v>
      </c>
      <c r="B4105" t="str">
        <f>IFERROR(__xludf.DUMMYFUNCTION("""COMPUTED_VALUE"""),"Asian Chicken Or Turkey Garden Salad With Crispy Noodles Chicken And/or Turkey Lettuce Fruit Nuts Crispy Noodles No Dressing")</f>
        <v>Asian Chicken Or Turkey Garden Salad With Crispy Noodles Chicken And/or Turkey Lettuce Fruit Nuts Crispy Noodles No Dressing</v>
      </c>
      <c r="C4105" t="str">
        <f>IFERROR(__xludf.DUMMYFUNCTION("""COMPUTED_VALUE"""),"Meats")</f>
        <v>Meats</v>
      </c>
      <c r="D4105">
        <f>IFERROR(__xludf.DUMMYFUNCTION("""COMPUTED_VALUE"""),121.0)</f>
        <v>121</v>
      </c>
      <c r="E4105">
        <f>IFERROR(__xludf.DUMMYFUNCTION("""COMPUTED_VALUE"""),5.14)</f>
        <v>5.14</v>
      </c>
      <c r="F4105">
        <f>IFERROR(__xludf.DUMMYFUNCTION("""COMPUTED_VALUE"""),11.11)</f>
        <v>11.11</v>
      </c>
      <c r="G4105">
        <f>IFERROR(__xludf.DUMMYFUNCTION("""COMPUTED_VALUE"""),8.24)</f>
        <v>8.24</v>
      </c>
    </row>
    <row r="4106">
      <c r="A4106">
        <f>IFERROR(__xludf.DUMMYFUNCTION("""COMPUTED_VALUE"""),783350.0)</f>
        <v>783350</v>
      </c>
      <c r="B4106" t="str">
        <f>IFERROR(__xludf.DUMMYFUNCTION("""COMPUTED_VALUE"""),"Chicken Or Turkey Caesar Garden Salad Chicken And/or Turkey Lettuce Tomato Cheese No Dressing")</f>
        <v>Chicken Or Turkey Caesar Garden Salad Chicken And/or Turkey Lettuce Tomato Cheese No Dressing</v>
      </c>
      <c r="C4106" t="str">
        <f>IFERROR(__xludf.DUMMYFUNCTION("""COMPUTED_VALUE"""),"Meats")</f>
        <v>Meats</v>
      </c>
      <c r="D4106">
        <f>IFERROR(__xludf.DUMMYFUNCTION("""COMPUTED_VALUE"""),65.0)</f>
        <v>65</v>
      </c>
      <c r="E4106">
        <f>IFERROR(__xludf.DUMMYFUNCTION("""COMPUTED_VALUE"""),1.88)</f>
        <v>1.88</v>
      </c>
      <c r="F4106">
        <f>IFERROR(__xludf.DUMMYFUNCTION("""COMPUTED_VALUE"""),9.55)</f>
        <v>9.55</v>
      </c>
      <c r="G4106">
        <f>IFERROR(__xludf.DUMMYFUNCTION("""COMPUTED_VALUE"""),2.56)</f>
        <v>2.56</v>
      </c>
    </row>
    <row r="4107">
      <c r="A4107">
        <f>IFERROR(__xludf.DUMMYFUNCTION("""COMPUTED_VALUE"""),783351.0)</f>
        <v>783351</v>
      </c>
      <c r="B4107" t="str">
        <f>IFERROR(__xludf.DUMMYFUNCTION("""COMPUTED_VALUE"""),"Chicken Or Turkey Breaded Fried Caesar Garden Salad Chicken And/or Turkey Lettuce Tomatoes Cheese No Dressing")</f>
        <v>Chicken Or Turkey Breaded Fried Caesar Garden Salad Chicken And/or Turkey Lettuce Tomatoes Cheese No Dressing</v>
      </c>
      <c r="C4107" t="str">
        <f>IFERROR(__xludf.DUMMYFUNCTION("""COMPUTED_VALUE"""),"Meats")</f>
        <v>Meats</v>
      </c>
      <c r="D4107">
        <f>IFERROR(__xludf.DUMMYFUNCTION("""COMPUTED_VALUE"""),112.0)</f>
        <v>112</v>
      </c>
      <c r="E4107">
        <f>IFERROR(__xludf.DUMMYFUNCTION("""COMPUTED_VALUE"""),6.79)</f>
        <v>6.79</v>
      </c>
      <c r="F4107">
        <f>IFERROR(__xludf.DUMMYFUNCTION("""COMPUTED_VALUE"""),6.62)</f>
        <v>6.62</v>
      </c>
      <c r="G4107">
        <f>IFERROR(__xludf.DUMMYFUNCTION("""COMPUTED_VALUE"""),6.67)</f>
        <v>6.67</v>
      </c>
    </row>
    <row r="4108">
      <c r="A4108">
        <f>IFERROR(__xludf.DUMMYFUNCTION("""COMPUTED_VALUE"""),783352.0)</f>
        <v>783352</v>
      </c>
      <c r="B4108" t="str">
        <f>IFERROR(__xludf.DUMMYFUNCTION("""COMPUTED_VALUE"""),"Chicken Or Turkey And Vegetables Including Carrots Broccoli And/or Dark-Green Leafy; No Potatoes Cheese Sauce")</f>
        <v>Chicken Or Turkey And Vegetables Including Carrots Broccoli And/or Dark-Green Leafy; No Potatoes Cheese Sauce</v>
      </c>
      <c r="C4108" t="str">
        <f>IFERROR(__xludf.DUMMYFUNCTION("""COMPUTED_VALUE"""),"Meats")</f>
        <v>Meats</v>
      </c>
      <c r="D4108">
        <f>IFERROR(__xludf.DUMMYFUNCTION("""COMPUTED_VALUE"""),119.0)</f>
        <v>119</v>
      </c>
      <c r="E4108">
        <f>IFERROR(__xludf.DUMMYFUNCTION("""COMPUTED_VALUE"""),7.24)</f>
        <v>7.24</v>
      </c>
      <c r="F4108">
        <f>IFERROR(__xludf.DUMMYFUNCTION("""COMPUTED_VALUE"""),9.83)</f>
        <v>9.83</v>
      </c>
      <c r="G4108">
        <f>IFERROR(__xludf.DUMMYFUNCTION("""COMPUTED_VALUE"""),3.88)</f>
        <v>3.88</v>
      </c>
    </row>
    <row r="4109">
      <c r="A4109">
        <f>IFERROR(__xludf.DUMMYFUNCTION("""COMPUTED_VALUE"""),783353.0)</f>
        <v>783353</v>
      </c>
      <c r="B4109" t="str">
        <f>IFERROR(__xludf.DUMMYFUNCTION("""COMPUTED_VALUE"""),"Chicken Or Turkey And Vegetables Excluding Carrots Broccoli And Dark-Green Leafy; No Potatoes Cheese Sauce")</f>
        <v>Chicken Or Turkey And Vegetables Excluding Carrots Broccoli And Dark-Green Leafy; No Potatoes Cheese Sauce</v>
      </c>
      <c r="C4109" t="str">
        <f>IFERROR(__xludf.DUMMYFUNCTION("""COMPUTED_VALUE"""),"Meats")</f>
        <v>Meats</v>
      </c>
      <c r="D4109">
        <f>IFERROR(__xludf.DUMMYFUNCTION("""COMPUTED_VALUE"""),124.0)</f>
        <v>124</v>
      </c>
      <c r="E4109">
        <f>IFERROR(__xludf.DUMMYFUNCTION("""COMPUTED_VALUE"""),7.24)</f>
        <v>7.24</v>
      </c>
      <c r="F4109">
        <f>IFERROR(__xludf.DUMMYFUNCTION("""COMPUTED_VALUE"""),9.87)</f>
        <v>9.87</v>
      </c>
      <c r="G4109">
        <f>IFERROR(__xludf.DUMMYFUNCTION("""COMPUTED_VALUE"""),5.54)</f>
        <v>5.54</v>
      </c>
    </row>
    <row r="4110">
      <c r="A4110">
        <f>IFERROR(__xludf.DUMMYFUNCTION("""COMPUTED_VALUE"""),783354.0)</f>
        <v>783354</v>
      </c>
      <c r="B4110" t="str">
        <f>IFERROR(__xludf.DUMMYFUNCTION("""COMPUTED_VALUE"""),"Chicken Or Turkey Fricassee With Sauce No Potatoes Potatoes Reported Separately Puerto Rican Style")</f>
        <v>Chicken Or Turkey Fricassee With Sauce No Potatoes Potatoes Reported Separately Puerto Rican Style</v>
      </c>
      <c r="C4110" t="str">
        <f>IFERROR(__xludf.DUMMYFUNCTION("""COMPUTED_VALUE"""),"Meats")</f>
        <v>Meats</v>
      </c>
      <c r="D4110">
        <f>IFERROR(__xludf.DUMMYFUNCTION("""COMPUTED_VALUE"""),179.0)</f>
        <v>179</v>
      </c>
      <c r="E4110">
        <f>IFERROR(__xludf.DUMMYFUNCTION("""COMPUTED_VALUE"""),12.83)</f>
        <v>12.83</v>
      </c>
      <c r="F4110">
        <f>IFERROR(__xludf.DUMMYFUNCTION("""COMPUTED_VALUE"""),14.04)</f>
        <v>14.04</v>
      </c>
      <c r="G4110">
        <f>IFERROR(__xludf.DUMMYFUNCTION("""COMPUTED_VALUE"""),2.55)</f>
        <v>2.55</v>
      </c>
    </row>
    <row r="4111">
      <c r="A4111">
        <f>IFERROR(__xludf.DUMMYFUNCTION("""COMPUTED_VALUE"""),783355.0)</f>
        <v>783355</v>
      </c>
      <c r="B4111" t="str">
        <f>IFERROR(__xludf.DUMMYFUNCTION("""COMPUTED_VALUE"""),"Chicken Or Turkey Fricassee No Sauce No Potatoes Puerto Rican Style")</f>
        <v>Chicken Or Turkey Fricassee No Sauce No Potatoes Puerto Rican Style</v>
      </c>
      <c r="C4111" t="str">
        <f>IFERROR(__xludf.DUMMYFUNCTION("""COMPUTED_VALUE"""),"Meats")</f>
        <v>Meats</v>
      </c>
      <c r="D4111">
        <f>IFERROR(__xludf.DUMMYFUNCTION("""COMPUTED_VALUE"""),198.0)</f>
        <v>198</v>
      </c>
      <c r="E4111">
        <f>IFERROR(__xludf.DUMMYFUNCTION("""COMPUTED_VALUE"""),10.85)</f>
        <v>10.85</v>
      </c>
      <c r="F4111">
        <f>IFERROR(__xludf.DUMMYFUNCTION("""COMPUTED_VALUE"""),25.2)</f>
        <v>25.2</v>
      </c>
      <c r="G4111">
        <f>IFERROR(__xludf.DUMMYFUNCTION("""COMPUTED_VALUE"""),0.0)</f>
        <v>0</v>
      </c>
    </row>
    <row r="4112">
      <c r="A4112">
        <f>IFERROR(__xludf.DUMMYFUNCTION("""COMPUTED_VALUE"""),783356.0)</f>
        <v>783356</v>
      </c>
      <c r="B4112" t="str">
        <f>IFERROR(__xludf.DUMMYFUNCTION("""COMPUTED_VALUE"""),"Crab Salad")</f>
        <v>Crab Salad</v>
      </c>
      <c r="C4112" t="str">
        <f>IFERROR(__xludf.DUMMYFUNCTION("""COMPUTED_VALUE"""),"Fish")</f>
        <v>Fish</v>
      </c>
      <c r="D4112">
        <f>IFERROR(__xludf.DUMMYFUNCTION("""COMPUTED_VALUE"""),187.0)</f>
        <v>187</v>
      </c>
      <c r="E4112">
        <f>IFERROR(__xludf.DUMMYFUNCTION("""COMPUTED_VALUE"""),15.89)</f>
        <v>15.89</v>
      </c>
      <c r="F4112">
        <f>IFERROR(__xludf.DUMMYFUNCTION("""COMPUTED_VALUE"""),9.44)</f>
        <v>9.44</v>
      </c>
      <c r="G4112">
        <f>IFERROR(__xludf.DUMMYFUNCTION("""COMPUTED_VALUE"""),1.19)</f>
        <v>1.19</v>
      </c>
    </row>
    <row r="4113">
      <c r="A4113">
        <f>IFERROR(__xludf.DUMMYFUNCTION("""COMPUTED_VALUE"""),783357.0)</f>
        <v>783357</v>
      </c>
      <c r="B4113" t="str">
        <f>IFERROR(__xludf.DUMMYFUNCTION("""COMPUTED_VALUE"""),"Lobster Salad")</f>
        <v>Lobster Salad</v>
      </c>
      <c r="C4113" t="str">
        <f>IFERROR(__xludf.DUMMYFUNCTION("""COMPUTED_VALUE"""),"Fish")</f>
        <v>Fish</v>
      </c>
      <c r="D4113">
        <f>IFERROR(__xludf.DUMMYFUNCTION("""COMPUTED_VALUE"""),187.0)</f>
        <v>187</v>
      </c>
      <c r="E4113">
        <f>IFERROR(__xludf.DUMMYFUNCTION("""COMPUTED_VALUE"""),15.4)</f>
        <v>15.4</v>
      </c>
      <c r="F4113">
        <f>IFERROR(__xludf.DUMMYFUNCTION("""COMPUTED_VALUE"""),10.33)</f>
        <v>10.33</v>
      </c>
      <c r="G4113">
        <f>IFERROR(__xludf.DUMMYFUNCTION("""COMPUTED_VALUE"""),1.15)</f>
        <v>1.15</v>
      </c>
    </row>
    <row r="4114">
      <c r="A4114">
        <f>IFERROR(__xludf.DUMMYFUNCTION("""COMPUTED_VALUE"""),783358.0)</f>
        <v>783358</v>
      </c>
      <c r="B4114" t="str">
        <f>IFERROR(__xludf.DUMMYFUNCTION("""COMPUTED_VALUE"""),"Salmon Salad")</f>
        <v>Salmon Salad</v>
      </c>
      <c r="C4114" t="str">
        <f>IFERROR(__xludf.DUMMYFUNCTION("""COMPUTED_VALUE"""),"Fish")</f>
        <v>Fish</v>
      </c>
      <c r="D4114">
        <f>IFERROR(__xludf.DUMMYFUNCTION("""COMPUTED_VALUE"""),212.0)</f>
        <v>212</v>
      </c>
      <c r="E4114">
        <f>IFERROR(__xludf.DUMMYFUNCTION("""COMPUTED_VALUE"""),17.36)</f>
        <v>17.36</v>
      </c>
      <c r="F4114">
        <f>IFERROR(__xludf.DUMMYFUNCTION("""COMPUTED_VALUE"""),10.86)</f>
        <v>10.86</v>
      </c>
      <c r="G4114">
        <f>IFERROR(__xludf.DUMMYFUNCTION("""COMPUTED_VALUE"""),2.66)</f>
        <v>2.66</v>
      </c>
    </row>
    <row r="4115">
      <c r="A4115">
        <f>IFERROR(__xludf.DUMMYFUNCTION("""COMPUTED_VALUE"""),783360.0)</f>
        <v>783360</v>
      </c>
      <c r="B4115" t="str">
        <f>IFERROR(__xludf.DUMMYFUNCTION("""COMPUTED_VALUE"""),"Tuna Salad Made With Mayonnaise")</f>
        <v>Tuna Salad Made With Mayonnaise</v>
      </c>
      <c r="C4115" t="str">
        <f>IFERROR(__xludf.DUMMYFUNCTION("""COMPUTED_VALUE"""),"Fish")</f>
        <v>Fish</v>
      </c>
      <c r="D4115">
        <f>IFERROR(__xludf.DUMMYFUNCTION("""COMPUTED_VALUE"""),194.0)</f>
        <v>194</v>
      </c>
      <c r="E4115">
        <f>IFERROR(__xludf.DUMMYFUNCTION("""COMPUTED_VALUE"""),15.86)</f>
        <v>15.86</v>
      </c>
      <c r="F4115">
        <f>IFERROR(__xludf.DUMMYFUNCTION("""COMPUTED_VALUE"""),10.34)</f>
        <v>10.34</v>
      </c>
      <c r="G4115">
        <f>IFERROR(__xludf.DUMMYFUNCTION("""COMPUTED_VALUE"""),2.77)</f>
        <v>2.77</v>
      </c>
    </row>
    <row r="4116">
      <c r="A4116">
        <f>IFERROR(__xludf.DUMMYFUNCTION("""COMPUTED_VALUE"""),783361.0)</f>
        <v>783361</v>
      </c>
      <c r="B4116" t="str">
        <f>IFERROR(__xludf.DUMMYFUNCTION("""COMPUTED_VALUE"""),"Tuna Salad Made With Light Mayonnaise")</f>
        <v>Tuna Salad Made With Light Mayonnaise</v>
      </c>
      <c r="C4116" t="str">
        <f>IFERROR(__xludf.DUMMYFUNCTION("""COMPUTED_VALUE"""),"Fish")</f>
        <v>Fish</v>
      </c>
      <c r="D4116">
        <f>IFERROR(__xludf.DUMMYFUNCTION("""COMPUTED_VALUE"""),106.0)</f>
        <v>106</v>
      </c>
      <c r="E4116">
        <f>IFERROR(__xludf.DUMMYFUNCTION("""COMPUTED_VALUE"""),5.41)</f>
        <v>5.41</v>
      </c>
      <c r="F4116">
        <f>IFERROR(__xludf.DUMMYFUNCTION("""COMPUTED_VALUE"""),10.04)</f>
        <v>10.04</v>
      </c>
      <c r="G4116">
        <f>IFERROR(__xludf.DUMMYFUNCTION("""COMPUTED_VALUE"""),4.63)</f>
        <v>4.63</v>
      </c>
    </row>
    <row r="4117">
      <c r="A4117">
        <f>IFERROR(__xludf.DUMMYFUNCTION("""COMPUTED_VALUE"""),783362.0)</f>
        <v>783362</v>
      </c>
      <c r="B4117" t="str">
        <f>IFERROR(__xludf.DUMMYFUNCTION("""COMPUTED_VALUE"""),"Tuna Salad Made With Mayonnaise-Type Salad Dressing")</f>
        <v>Tuna Salad Made With Mayonnaise-Type Salad Dressing</v>
      </c>
      <c r="C4117" t="str">
        <f>IFERROR(__xludf.DUMMYFUNCTION("""COMPUTED_VALUE"""),"Fish")</f>
        <v>Fish</v>
      </c>
      <c r="D4117">
        <f>IFERROR(__xludf.DUMMYFUNCTION("""COMPUTED_VALUE"""),108.0)</f>
        <v>108</v>
      </c>
      <c r="E4117">
        <f>IFERROR(__xludf.DUMMYFUNCTION("""COMPUTED_VALUE"""),5.2)</f>
        <v>5.2</v>
      </c>
      <c r="F4117">
        <f>IFERROR(__xludf.DUMMYFUNCTION("""COMPUTED_VALUE"""),10.15)</f>
        <v>10.15</v>
      </c>
      <c r="G4117">
        <f>IFERROR(__xludf.DUMMYFUNCTION("""COMPUTED_VALUE"""),5.8)</f>
        <v>5.8</v>
      </c>
    </row>
    <row r="4118">
      <c r="A4118">
        <f>IFERROR(__xludf.DUMMYFUNCTION("""COMPUTED_VALUE"""),783363.0)</f>
        <v>783363</v>
      </c>
      <c r="B4118" t="str">
        <f>IFERROR(__xludf.DUMMYFUNCTION("""COMPUTED_VALUE"""),"Tuna Salad Made With Light Mayonnaise-Type Salad Dressing")</f>
        <v>Tuna Salad Made With Light Mayonnaise-Type Salad Dressing</v>
      </c>
      <c r="C4118" t="str">
        <f>IFERROR(__xludf.DUMMYFUNCTION("""COMPUTED_VALUE"""),"Fish")</f>
        <v>Fish</v>
      </c>
      <c r="D4118">
        <f>IFERROR(__xludf.DUMMYFUNCTION("""COMPUTED_VALUE"""),106.0)</f>
        <v>106</v>
      </c>
      <c r="E4118">
        <f>IFERROR(__xludf.DUMMYFUNCTION("""COMPUTED_VALUE"""),5.41)</f>
        <v>5.41</v>
      </c>
      <c r="F4118">
        <f>IFERROR(__xludf.DUMMYFUNCTION("""COMPUTED_VALUE"""),10.04)</f>
        <v>10.04</v>
      </c>
      <c r="G4118">
        <f>IFERROR(__xludf.DUMMYFUNCTION("""COMPUTED_VALUE"""),4.63)</f>
        <v>4.63</v>
      </c>
    </row>
    <row r="4119">
      <c r="A4119">
        <f>IFERROR(__xludf.DUMMYFUNCTION("""COMPUTED_VALUE"""),783364.0)</f>
        <v>783364</v>
      </c>
      <c r="B4119" t="str">
        <f>IFERROR(__xludf.DUMMYFUNCTION("""COMPUTED_VALUE"""),"Tuna Salad Made With Creamy Dressing")</f>
        <v>Tuna Salad Made With Creamy Dressing</v>
      </c>
      <c r="C4119" t="str">
        <f>IFERROR(__xludf.DUMMYFUNCTION("""COMPUTED_VALUE"""),"Fish")</f>
        <v>Fish</v>
      </c>
      <c r="D4119">
        <f>IFERROR(__xludf.DUMMYFUNCTION("""COMPUTED_VALUE"""),148.0)</f>
        <v>148</v>
      </c>
      <c r="E4119">
        <f>IFERROR(__xludf.DUMMYFUNCTION("""COMPUTED_VALUE"""),10.3)</f>
        <v>10.3</v>
      </c>
      <c r="F4119">
        <f>IFERROR(__xludf.DUMMYFUNCTION("""COMPUTED_VALUE"""),10.25)</f>
        <v>10.25</v>
      </c>
      <c r="G4119">
        <f>IFERROR(__xludf.DUMMYFUNCTION("""COMPUTED_VALUE"""),3.9)</f>
        <v>3.9</v>
      </c>
    </row>
    <row r="4120">
      <c r="A4120">
        <f>IFERROR(__xludf.DUMMYFUNCTION("""COMPUTED_VALUE"""),783365.0)</f>
        <v>783365</v>
      </c>
      <c r="B4120" t="str">
        <f>IFERROR(__xludf.DUMMYFUNCTION("""COMPUTED_VALUE"""),"Tuna Salad Made With Light Creamy Dressing")</f>
        <v>Tuna Salad Made With Light Creamy Dressing</v>
      </c>
      <c r="C4120" t="str">
        <f>IFERROR(__xludf.DUMMYFUNCTION("""COMPUTED_VALUE"""),"Fish")</f>
        <v>Fish</v>
      </c>
      <c r="D4120">
        <f>IFERROR(__xludf.DUMMYFUNCTION("""COMPUTED_VALUE"""),78.0)</f>
        <v>78</v>
      </c>
      <c r="E4120">
        <f>IFERROR(__xludf.DUMMYFUNCTION("""COMPUTED_VALUE"""),1.17)</f>
        <v>1.17</v>
      </c>
      <c r="F4120">
        <f>IFERROR(__xludf.DUMMYFUNCTION("""COMPUTED_VALUE"""),10.08)</f>
        <v>10.08</v>
      </c>
      <c r="G4120">
        <f>IFERROR(__xludf.DUMMYFUNCTION("""COMPUTED_VALUE"""),7.27)</f>
        <v>7.27</v>
      </c>
    </row>
    <row r="4121">
      <c r="A4121">
        <f>IFERROR(__xludf.DUMMYFUNCTION("""COMPUTED_VALUE"""),783366.0)</f>
        <v>783366</v>
      </c>
      <c r="B4121" t="str">
        <f>IFERROR(__xludf.DUMMYFUNCTION("""COMPUTED_VALUE"""),"Tuna Salad Made With Italian Dressing")</f>
        <v>Tuna Salad Made With Italian Dressing</v>
      </c>
      <c r="C4121" t="str">
        <f>IFERROR(__xludf.DUMMYFUNCTION("""COMPUTED_VALUE"""),"Fish")</f>
        <v>Fish</v>
      </c>
      <c r="D4121">
        <f>IFERROR(__xludf.DUMMYFUNCTION("""COMPUTED_VALUE"""),106.0)</f>
        <v>106</v>
      </c>
      <c r="E4121">
        <f>IFERROR(__xludf.DUMMYFUNCTION("""COMPUTED_VALUE"""),5.1)</f>
        <v>5.1</v>
      </c>
      <c r="F4121">
        <f>IFERROR(__xludf.DUMMYFUNCTION("""COMPUTED_VALUE"""),10.09)</f>
        <v>10.09</v>
      </c>
      <c r="G4121">
        <f>IFERROR(__xludf.DUMMYFUNCTION("""COMPUTED_VALUE"""),5.23)</f>
        <v>5.23</v>
      </c>
    </row>
    <row r="4122">
      <c r="A4122">
        <f>IFERROR(__xludf.DUMMYFUNCTION("""COMPUTED_VALUE"""),783367.0)</f>
        <v>783367</v>
      </c>
      <c r="B4122" t="str">
        <f>IFERROR(__xludf.DUMMYFUNCTION("""COMPUTED_VALUE"""),"Tuna Salad Made With Light Italian Dressing")</f>
        <v>Tuna Salad Made With Light Italian Dressing</v>
      </c>
      <c r="C4122" t="str">
        <f>IFERROR(__xludf.DUMMYFUNCTION("""COMPUTED_VALUE"""),"Fish")</f>
        <v>Fish</v>
      </c>
      <c r="D4122">
        <f>IFERROR(__xludf.DUMMYFUNCTION("""COMPUTED_VALUE"""),76.0)</f>
        <v>76</v>
      </c>
      <c r="E4122">
        <f>IFERROR(__xludf.DUMMYFUNCTION("""COMPUTED_VALUE"""),2.01)</f>
        <v>2.01</v>
      </c>
      <c r="F4122">
        <f>IFERROR(__xludf.DUMMYFUNCTION("""COMPUTED_VALUE"""),10.05)</f>
        <v>10.05</v>
      </c>
      <c r="G4122">
        <f>IFERROR(__xludf.DUMMYFUNCTION("""COMPUTED_VALUE"""),4.8)</f>
        <v>4.8</v>
      </c>
    </row>
    <row r="4123">
      <c r="A4123">
        <f>IFERROR(__xludf.DUMMYFUNCTION("""COMPUTED_VALUE"""),783368.0)</f>
        <v>783368</v>
      </c>
      <c r="B4123" t="str">
        <f>IFERROR(__xludf.DUMMYFUNCTION("""COMPUTED_VALUE"""),"Tuna Salad Made With Any Type Of Fat Free Dressing")</f>
        <v>Tuna Salad Made With Any Type Of Fat Free Dressing</v>
      </c>
      <c r="C4123" t="str">
        <f>IFERROR(__xludf.DUMMYFUNCTION("""COMPUTED_VALUE"""),"Fish")</f>
        <v>Fish</v>
      </c>
      <c r="D4123">
        <f>IFERROR(__xludf.DUMMYFUNCTION("""COMPUTED_VALUE"""),73.0)</f>
        <v>73</v>
      </c>
      <c r="E4123">
        <f>IFERROR(__xludf.DUMMYFUNCTION("""COMPUTED_VALUE"""),1.16)</f>
        <v>1.16</v>
      </c>
      <c r="F4123">
        <f>IFERROR(__xludf.DUMMYFUNCTION("""COMPUTED_VALUE"""),9.86)</f>
        <v>9.86</v>
      </c>
      <c r="G4123">
        <f>IFERROR(__xludf.DUMMYFUNCTION("""COMPUTED_VALUE"""),6.14)</f>
        <v>6.14</v>
      </c>
    </row>
    <row r="4124">
      <c r="A4124">
        <f>IFERROR(__xludf.DUMMYFUNCTION("""COMPUTED_VALUE"""),783369.0)</f>
        <v>783369</v>
      </c>
      <c r="B4124" t="str">
        <f>IFERROR(__xludf.DUMMYFUNCTION("""COMPUTED_VALUE"""),"Shrimp Salad")</f>
        <v>Shrimp Salad</v>
      </c>
      <c r="C4124" t="str">
        <f>IFERROR(__xludf.DUMMYFUNCTION("""COMPUTED_VALUE"""),"Fish")</f>
        <v>Fish</v>
      </c>
      <c r="D4124">
        <f>IFERROR(__xludf.DUMMYFUNCTION("""COMPUTED_VALUE"""),199.0)</f>
        <v>199</v>
      </c>
      <c r="E4124">
        <f>IFERROR(__xludf.DUMMYFUNCTION("""COMPUTED_VALUE"""),16.6)</f>
        <v>16.6</v>
      </c>
      <c r="F4124">
        <f>IFERROR(__xludf.DUMMYFUNCTION("""COMPUTED_VALUE"""),10.47)</f>
        <v>10.47</v>
      </c>
      <c r="G4124">
        <f>IFERROR(__xludf.DUMMYFUNCTION("""COMPUTED_VALUE"""),1.22)</f>
        <v>1.22</v>
      </c>
    </row>
    <row r="4125">
      <c r="A4125">
        <f>IFERROR(__xludf.DUMMYFUNCTION("""COMPUTED_VALUE"""),783370.0)</f>
        <v>783370</v>
      </c>
      <c r="B4125" t="str">
        <f>IFERROR(__xludf.DUMMYFUNCTION("""COMPUTED_VALUE"""),"Seafood Salad")</f>
        <v>Seafood Salad</v>
      </c>
      <c r="C4125" t="str">
        <f>IFERROR(__xludf.DUMMYFUNCTION("""COMPUTED_VALUE"""),"Fish")</f>
        <v>Fish</v>
      </c>
      <c r="D4125">
        <f>IFERROR(__xludf.DUMMYFUNCTION("""COMPUTED_VALUE"""),191.0)</f>
        <v>191</v>
      </c>
      <c r="E4125">
        <f>IFERROR(__xludf.DUMMYFUNCTION("""COMPUTED_VALUE"""),15.95)</f>
        <v>15.95</v>
      </c>
      <c r="F4125">
        <f>IFERROR(__xludf.DUMMYFUNCTION("""COMPUTED_VALUE"""),10.08)</f>
        <v>10.08</v>
      </c>
      <c r="G4125">
        <f>IFERROR(__xludf.DUMMYFUNCTION("""COMPUTED_VALUE"""),1.18)</f>
        <v>1.18</v>
      </c>
    </row>
    <row r="4126">
      <c r="A4126">
        <f>IFERROR(__xludf.DUMMYFUNCTION("""COMPUTED_VALUE"""),783371.0)</f>
        <v>783371</v>
      </c>
      <c r="B4126" t="str">
        <f>IFERROR(__xludf.DUMMYFUNCTION("""COMPUTED_VALUE"""),"Tuna Salad With Cheese")</f>
        <v>Tuna Salad With Cheese</v>
      </c>
      <c r="C4126" t="str">
        <f>IFERROR(__xludf.DUMMYFUNCTION("""COMPUTED_VALUE"""),"Fish")</f>
        <v>Fish</v>
      </c>
      <c r="D4126">
        <f>IFERROR(__xludf.DUMMYFUNCTION("""COMPUTED_VALUE"""),214.0)</f>
        <v>214</v>
      </c>
      <c r="E4126">
        <f>IFERROR(__xludf.DUMMYFUNCTION("""COMPUTED_VALUE"""),17.52)</f>
        <v>17.52</v>
      </c>
      <c r="F4126">
        <f>IFERROR(__xludf.DUMMYFUNCTION("""COMPUTED_VALUE"""),11.54)</f>
        <v>11.54</v>
      </c>
      <c r="G4126">
        <f>IFERROR(__xludf.DUMMYFUNCTION("""COMPUTED_VALUE"""),2.8)</f>
        <v>2.8</v>
      </c>
    </row>
    <row r="4127">
      <c r="A4127">
        <f>IFERROR(__xludf.DUMMYFUNCTION("""COMPUTED_VALUE"""),783372.0)</f>
        <v>783372</v>
      </c>
      <c r="B4127" t="str">
        <f>IFERROR(__xludf.DUMMYFUNCTION("""COMPUTED_VALUE"""),"Tuna Salad With Egg")</f>
        <v>Tuna Salad With Egg</v>
      </c>
      <c r="C4127" t="str">
        <f>IFERROR(__xludf.DUMMYFUNCTION("""COMPUTED_VALUE"""),"Fish")</f>
        <v>Fish</v>
      </c>
      <c r="D4127">
        <f>IFERROR(__xludf.DUMMYFUNCTION("""COMPUTED_VALUE"""),191.0)</f>
        <v>191</v>
      </c>
      <c r="E4127">
        <f>IFERROR(__xludf.DUMMYFUNCTION("""COMPUTED_VALUE"""),15.41)</f>
        <v>15.41</v>
      </c>
      <c r="F4127">
        <f>IFERROR(__xludf.DUMMYFUNCTION("""COMPUTED_VALUE"""),10.53)</f>
        <v>10.53</v>
      </c>
      <c r="G4127">
        <f>IFERROR(__xludf.DUMMYFUNCTION("""COMPUTED_VALUE"""),2.63)</f>
        <v>2.63</v>
      </c>
    </row>
    <row r="4128">
      <c r="A4128">
        <f>IFERROR(__xludf.DUMMYFUNCTION("""COMPUTED_VALUE"""),783373.0)</f>
        <v>783373</v>
      </c>
      <c r="B4128" t="str">
        <f>IFERROR(__xludf.DUMMYFUNCTION("""COMPUTED_VALUE"""),"Shrimp Garden Salad Shrimp Lettuce Eggs Tomato And/or Carrots Other Vegetables No Dressing")</f>
        <v>Shrimp Garden Salad Shrimp Lettuce Eggs Tomato And/or Carrots Other Vegetables No Dressing</v>
      </c>
      <c r="C4128" t="str">
        <f>IFERROR(__xludf.DUMMYFUNCTION("""COMPUTED_VALUE"""),"Fish")</f>
        <v>Fish</v>
      </c>
      <c r="D4128">
        <f>IFERROR(__xludf.DUMMYFUNCTION("""COMPUTED_VALUE"""),62.0)</f>
        <v>62</v>
      </c>
      <c r="E4128">
        <f>IFERROR(__xludf.DUMMYFUNCTION("""COMPUTED_VALUE"""),2.05)</f>
        <v>2.05</v>
      </c>
      <c r="F4128">
        <f>IFERROR(__xludf.DUMMYFUNCTION("""COMPUTED_VALUE"""),8.17)</f>
        <v>8.17</v>
      </c>
      <c r="G4128">
        <f>IFERROR(__xludf.DUMMYFUNCTION("""COMPUTED_VALUE"""),2.72)</f>
        <v>2.72</v>
      </c>
    </row>
    <row r="4129">
      <c r="A4129">
        <f>IFERROR(__xludf.DUMMYFUNCTION("""COMPUTED_VALUE"""),783374.0)</f>
        <v>783374</v>
      </c>
      <c r="B4129" t="str">
        <f>IFERROR(__xludf.DUMMYFUNCTION("""COMPUTED_VALUE"""),"Shrimp Garden Salad Shrimp Lettuce Eggs Vegetables Excluding Tomato And Carrots No Dressing")</f>
        <v>Shrimp Garden Salad Shrimp Lettuce Eggs Vegetables Excluding Tomato And Carrots No Dressing</v>
      </c>
      <c r="C4129" t="str">
        <f>IFERROR(__xludf.DUMMYFUNCTION("""COMPUTED_VALUE"""),"Fish")</f>
        <v>Fish</v>
      </c>
      <c r="D4129">
        <f>IFERROR(__xludf.DUMMYFUNCTION("""COMPUTED_VALUE"""),64.0)</f>
        <v>64</v>
      </c>
      <c r="E4129">
        <f>IFERROR(__xludf.DUMMYFUNCTION("""COMPUTED_VALUE"""),2.17)</f>
        <v>2.17</v>
      </c>
      <c r="F4129">
        <f>IFERROR(__xludf.DUMMYFUNCTION("""COMPUTED_VALUE"""),8.7)</f>
        <v>8.7</v>
      </c>
      <c r="G4129">
        <f>IFERROR(__xludf.DUMMYFUNCTION("""COMPUTED_VALUE"""),2.34)</f>
        <v>2.34</v>
      </c>
    </row>
    <row r="4130">
      <c r="A4130">
        <f>IFERROR(__xludf.DUMMYFUNCTION("""COMPUTED_VALUE"""),783375.0)</f>
        <v>783375</v>
      </c>
      <c r="B4130" t="str">
        <f>IFERROR(__xludf.DUMMYFUNCTION("""COMPUTED_VALUE"""),"Crab Salad Made With Imitation Crab")</f>
        <v>Crab Salad Made With Imitation Crab</v>
      </c>
      <c r="C4130" t="str">
        <f>IFERROR(__xludf.DUMMYFUNCTION("""COMPUTED_VALUE"""),"Fish")</f>
        <v>Fish</v>
      </c>
      <c r="D4130">
        <f>IFERROR(__xludf.DUMMYFUNCTION("""COMPUTED_VALUE"""),197.0)</f>
        <v>197</v>
      </c>
      <c r="E4130">
        <f>IFERROR(__xludf.DUMMYFUNCTION("""COMPUTED_VALUE"""),16.28)</f>
        <v>16.28</v>
      </c>
      <c r="F4130">
        <f>IFERROR(__xludf.DUMMYFUNCTION("""COMPUTED_VALUE"""),4.12)</f>
        <v>4.12</v>
      </c>
      <c r="G4130">
        <f>IFERROR(__xludf.DUMMYFUNCTION("""COMPUTED_VALUE"""),8.58)</f>
        <v>8.58</v>
      </c>
    </row>
    <row r="4131">
      <c r="A4131">
        <f>IFERROR(__xludf.DUMMYFUNCTION("""COMPUTED_VALUE"""),783376.0)</f>
        <v>783376</v>
      </c>
      <c r="B4131" t="str">
        <f>IFERROR(__xludf.DUMMYFUNCTION("""COMPUTED_VALUE"""),"Fish Tofu And Vegetables Tempura")</f>
        <v>Fish Tofu And Vegetables Tempura</v>
      </c>
      <c r="C4131" t="str">
        <f>IFERROR(__xludf.DUMMYFUNCTION("""COMPUTED_VALUE"""),"Fish")</f>
        <v>Fish</v>
      </c>
      <c r="D4131">
        <f>IFERROR(__xludf.DUMMYFUNCTION("""COMPUTED_VALUE"""),173.0)</f>
        <v>173</v>
      </c>
      <c r="E4131">
        <f>IFERROR(__xludf.DUMMYFUNCTION("""COMPUTED_VALUE"""),15.92)</f>
        <v>15.92</v>
      </c>
      <c r="F4131">
        <f>IFERROR(__xludf.DUMMYFUNCTION("""COMPUTED_VALUE"""),4.03)</f>
        <v>4.03</v>
      </c>
      <c r="G4131">
        <f>IFERROR(__xludf.DUMMYFUNCTION("""COMPUTED_VALUE"""),4.55)</f>
        <v>4.55</v>
      </c>
    </row>
    <row r="4132">
      <c r="A4132">
        <f>IFERROR(__xludf.DUMMYFUNCTION("""COMPUTED_VALUE"""),783377.0)</f>
        <v>783377</v>
      </c>
      <c r="B4132" t="str">
        <f>IFERROR(__xludf.DUMMYFUNCTION("""COMPUTED_VALUE"""),"Seafood Garden Salad With Seafood Lettuce Vegetables Excluding Tomato And Carrots No Dressing")</f>
        <v>Seafood Garden Salad With Seafood Lettuce Vegetables Excluding Tomato And Carrots No Dressing</v>
      </c>
      <c r="C4132" t="str">
        <f>IFERROR(__xludf.DUMMYFUNCTION("""COMPUTED_VALUE"""),"Fish")</f>
        <v>Fish</v>
      </c>
      <c r="D4132">
        <f>IFERROR(__xludf.DUMMYFUNCTION("""COMPUTED_VALUE"""),45.0)</f>
        <v>45</v>
      </c>
      <c r="E4132">
        <f>IFERROR(__xludf.DUMMYFUNCTION("""COMPUTED_VALUE"""),0.5)</f>
        <v>0.5</v>
      </c>
      <c r="F4132">
        <f>IFERROR(__xludf.DUMMYFUNCTION("""COMPUTED_VALUE"""),7.64)</f>
        <v>7.64</v>
      </c>
      <c r="G4132">
        <f>IFERROR(__xludf.DUMMYFUNCTION("""COMPUTED_VALUE"""),2.54)</f>
        <v>2.54</v>
      </c>
    </row>
    <row r="4133">
      <c r="A4133">
        <f>IFERROR(__xludf.DUMMYFUNCTION("""COMPUTED_VALUE"""),783378.0)</f>
        <v>783378</v>
      </c>
      <c r="B4133" t="str">
        <f>IFERROR(__xludf.DUMMYFUNCTION("""COMPUTED_VALUE"""),"Seafood Garden Salad With Seafood Lettuce Tomato And/or Carrots Other Vegetables No Dressing")</f>
        <v>Seafood Garden Salad With Seafood Lettuce Tomato And/or Carrots Other Vegetables No Dressing</v>
      </c>
      <c r="C4133" t="str">
        <f>IFERROR(__xludf.DUMMYFUNCTION("""COMPUTED_VALUE"""),"Fish")</f>
        <v>Fish</v>
      </c>
      <c r="D4133">
        <f>IFERROR(__xludf.DUMMYFUNCTION("""COMPUTED_VALUE"""),44.0)</f>
        <v>44</v>
      </c>
      <c r="E4133">
        <f>IFERROR(__xludf.DUMMYFUNCTION("""COMPUTED_VALUE"""),0.48)</f>
        <v>0.48</v>
      </c>
      <c r="F4133">
        <f>IFERROR(__xludf.DUMMYFUNCTION("""COMPUTED_VALUE"""),7.1)</f>
        <v>7.1</v>
      </c>
      <c r="G4133">
        <f>IFERROR(__xludf.DUMMYFUNCTION("""COMPUTED_VALUE"""),2.97)</f>
        <v>2.97</v>
      </c>
    </row>
    <row r="4134">
      <c r="A4134">
        <f>IFERROR(__xludf.DUMMYFUNCTION("""COMPUTED_VALUE"""),783379.0)</f>
        <v>783379</v>
      </c>
      <c r="B4134" t="str">
        <f>IFERROR(__xludf.DUMMYFUNCTION("""COMPUTED_VALUE"""),"Seafood Garden Salad With Seafood Lettuce Eggs Vegetables Excluding Tomato And Carrots No Dressing")</f>
        <v>Seafood Garden Salad With Seafood Lettuce Eggs Vegetables Excluding Tomato And Carrots No Dressing</v>
      </c>
      <c r="C4134" t="str">
        <f>IFERROR(__xludf.DUMMYFUNCTION("""COMPUTED_VALUE"""),"Fish")</f>
        <v>Fish</v>
      </c>
      <c r="D4134">
        <f>IFERROR(__xludf.DUMMYFUNCTION("""COMPUTED_VALUE"""),62.0)</f>
        <v>62</v>
      </c>
      <c r="E4134">
        <f>IFERROR(__xludf.DUMMYFUNCTION("""COMPUTED_VALUE"""),2.06)</f>
        <v>2.06</v>
      </c>
      <c r="F4134">
        <f>IFERROR(__xludf.DUMMYFUNCTION("""COMPUTED_VALUE"""),8.41)</f>
        <v>8.41</v>
      </c>
      <c r="G4134">
        <f>IFERROR(__xludf.DUMMYFUNCTION("""COMPUTED_VALUE"""),2.32)</f>
        <v>2.32</v>
      </c>
    </row>
    <row r="4135">
      <c r="A4135">
        <f>IFERROR(__xludf.DUMMYFUNCTION("""COMPUTED_VALUE"""),783380.0)</f>
        <v>783380</v>
      </c>
      <c r="B4135" t="str">
        <f>IFERROR(__xludf.DUMMYFUNCTION("""COMPUTED_VALUE"""),"Seafood Garden Salad With Seafood Lettuce Eggs Tomato And/or Carrots Other Vegetables No Dressing")</f>
        <v>Seafood Garden Salad With Seafood Lettuce Eggs Tomato And/or Carrots Other Vegetables No Dressing</v>
      </c>
      <c r="C4135" t="str">
        <f>IFERROR(__xludf.DUMMYFUNCTION("""COMPUTED_VALUE"""),"Fish")</f>
        <v>Fish</v>
      </c>
      <c r="D4135">
        <f>IFERROR(__xludf.DUMMYFUNCTION("""COMPUTED_VALUE"""),60.0)</f>
        <v>60</v>
      </c>
      <c r="E4135">
        <f>IFERROR(__xludf.DUMMYFUNCTION("""COMPUTED_VALUE"""),1.95)</f>
        <v>1.95</v>
      </c>
      <c r="F4135">
        <f>IFERROR(__xludf.DUMMYFUNCTION("""COMPUTED_VALUE"""),7.89)</f>
        <v>7.89</v>
      </c>
      <c r="G4135">
        <f>IFERROR(__xludf.DUMMYFUNCTION("""COMPUTED_VALUE"""),2.7)</f>
        <v>2.7</v>
      </c>
    </row>
    <row r="4136">
      <c r="A4136">
        <f>IFERROR(__xludf.DUMMYFUNCTION("""COMPUTED_VALUE"""),783381.0)</f>
        <v>783381</v>
      </c>
      <c r="B4136" t="str">
        <f>IFERROR(__xludf.DUMMYFUNCTION("""COMPUTED_VALUE"""),"Oysters Rockefeller")</f>
        <v>Oysters Rockefeller</v>
      </c>
      <c r="C4136" t="str">
        <f>IFERROR(__xludf.DUMMYFUNCTION("""COMPUTED_VALUE"""),"Fish")</f>
        <v>Fish</v>
      </c>
      <c r="D4136">
        <f>IFERROR(__xludf.DUMMYFUNCTION("""COMPUTED_VALUE"""),127.0)</f>
        <v>127</v>
      </c>
      <c r="E4136">
        <f>IFERROR(__xludf.DUMMYFUNCTION("""COMPUTED_VALUE"""),7.0)</f>
        <v>7</v>
      </c>
      <c r="F4136">
        <f>IFERROR(__xludf.DUMMYFUNCTION("""COMPUTED_VALUE"""),7.5)</f>
        <v>7.5</v>
      </c>
      <c r="G4136">
        <f>IFERROR(__xludf.DUMMYFUNCTION("""COMPUTED_VALUE"""),9.03)</f>
        <v>9.03</v>
      </c>
    </row>
    <row r="4137">
      <c r="A4137">
        <f>IFERROR(__xludf.DUMMYFUNCTION("""COMPUTED_VALUE"""),783382.0)</f>
        <v>783382</v>
      </c>
      <c r="B4137" t="str">
        <f>IFERROR(__xludf.DUMMYFUNCTION("""COMPUTED_VALUE"""),"Lomi Salmon")</f>
        <v>Lomi Salmon</v>
      </c>
      <c r="C4137" t="str">
        <f>IFERROR(__xludf.DUMMYFUNCTION("""COMPUTED_VALUE"""),"Fish")</f>
        <v>Fish</v>
      </c>
      <c r="D4137">
        <f>IFERROR(__xludf.DUMMYFUNCTION("""COMPUTED_VALUE"""),60.0)</f>
        <v>60</v>
      </c>
      <c r="E4137">
        <f>IFERROR(__xludf.DUMMYFUNCTION("""COMPUTED_VALUE"""),1.86)</f>
        <v>1.86</v>
      </c>
      <c r="F4137">
        <f>IFERROR(__xludf.DUMMYFUNCTION("""COMPUTED_VALUE"""),7.55)</f>
        <v>7.55</v>
      </c>
      <c r="G4137">
        <f>IFERROR(__xludf.DUMMYFUNCTION("""COMPUTED_VALUE"""),3.31)</f>
        <v>3.31</v>
      </c>
    </row>
    <row r="4138">
      <c r="A4138">
        <f>IFERROR(__xludf.DUMMYFUNCTION("""COMPUTED_VALUE"""),783383.0)</f>
        <v>783383</v>
      </c>
      <c r="B4138" t="str">
        <f>IFERROR(__xludf.DUMMYFUNCTION("""COMPUTED_VALUE"""),"Shrimp And Vegetables Including Carrots Broccoli And/or Dark-Green Leafy; No Potatoes No Sauce")</f>
        <v>Shrimp And Vegetables Including Carrots Broccoli And/or Dark-Green Leafy; No Potatoes No Sauce</v>
      </c>
      <c r="C4138" t="str">
        <f>IFERROR(__xludf.DUMMYFUNCTION("""COMPUTED_VALUE"""),"Fish")</f>
        <v>Fish</v>
      </c>
      <c r="D4138">
        <f>IFERROR(__xludf.DUMMYFUNCTION("""COMPUTED_VALUE"""),117.0)</f>
        <v>117</v>
      </c>
      <c r="E4138">
        <f>IFERROR(__xludf.DUMMYFUNCTION("""COMPUTED_VALUE"""),7.25)</f>
        <v>7.25</v>
      </c>
      <c r="F4138">
        <f>IFERROR(__xludf.DUMMYFUNCTION("""COMPUTED_VALUE"""),9.35)</f>
        <v>9.35</v>
      </c>
      <c r="G4138">
        <f>IFERROR(__xludf.DUMMYFUNCTION("""COMPUTED_VALUE"""),3.8)</f>
        <v>3.8</v>
      </c>
    </row>
    <row r="4139">
      <c r="A4139">
        <f>IFERROR(__xludf.DUMMYFUNCTION("""COMPUTED_VALUE"""),783384.0)</f>
        <v>783384</v>
      </c>
      <c r="B4139" t="str">
        <f>IFERROR(__xludf.DUMMYFUNCTION("""COMPUTED_VALUE"""),"Shrimp And Vegetables Excluding Carrots Broccoli And Dark-Green Leafy; No Potatoes No Sauce")</f>
        <v>Shrimp And Vegetables Excluding Carrots Broccoli And Dark-Green Leafy; No Potatoes No Sauce</v>
      </c>
      <c r="C4139" t="str">
        <f>IFERROR(__xludf.DUMMYFUNCTION("""COMPUTED_VALUE"""),"Fish")</f>
        <v>Fish</v>
      </c>
      <c r="D4139">
        <f>IFERROR(__xludf.DUMMYFUNCTION("""COMPUTED_VALUE"""),123.0)</f>
        <v>123</v>
      </c>
      <c r="E4139">
        <f>IFERROR(__xludf.DUMMYFUNCTION("""COMPUTED_VALUE"""),6.87)</f>
        <v>6.87</v>
      </c>
      <c r="F4139">
        <f>IFERROR(__xludf.DUMMYFUNCTION("""COMPUTED_VALUE"""),9.25)</f>
        <v>9.25</v>
      </c>
      <c r="G4139">
        <f>IFERROR(__xludf.DUMMYFUNCTION("""COMPUTED_VALUE"""),6.78)</f>
        <v>6.78</v>
      </c>
    </row>
    <row r="4140">
      <c r="A4140">
        <f>IFERROR(__xludf.DUMMYFUNCTION("""COMPUTED_VALUE"""),783387.0)</f>
        <v>783387</v>
      </c>
      <c r="B4140" t="str">
        <f>IFERROR(__xludf.DUMMYFUNCTION("""COMPUTED_VALUE"""),"Shrimp Shish Kabob With Vegetables Excluding Potatoes")</f>
        <v>Shrimp Shish Kabob With Vegetables Excluding Potatoes</v>
      </c>
      <c r="C4140" t="str">
        <f>IFERROR(__xludf.DUMMYFUNCTION("""COMPUTED_VALUE"""),"Fish")</f>
        <v>Fish</v>
      </c>
      <c r="D4140">
        <f>IFERROR(__xludf.DUMMYFUNCTION("""COMPUTED_VALUE"""),82.0)</f>
        <v>82</v>
      </c>
      <c r="E4140">
        <f>IFERROR(__xludf.DUMMYFUNCTION("""COMPUTED_VALUE"""),1.58)</f>
        <v>1.58</v>
      </c>
      <c r="F4140">
        <f>IFERROR(__xludf.DUMMYFUNCTION("""COMPUTED_VALUE"""),11.14)</f>
        <v>11.14</v>
      </c>
      <c r="G4140">
        <f>IFERROR(__xludf.DUMMYFUNCTION("""COMPUTED_VALUE"""),5.69)</f>
        <v>5.69</v>
      </c>
    </row>
    <row r="4141">
      <c r="A4141">
        <f>IFERROR(__xludf.DUMMYFUNCTION("""COMPUTED_VALUE"""),783388.0)</f>
        <v>783388</v>
      </c>
      <c r="B4141" t="str">
        <f>IFERROR(__xludf.DUMMYFUNCTION("""COMPUTED_VALUE"""),"Shrimp Creole No Rice")</f>
        <v>Shrimp Creole No Rice</v>
      </c>
      <c r="C4141" t="str">
        <f>IFERROR(__xludf.DUMMYFUNCTION("""COMPUTED_VALUE"""),"Fish")</f>
        <v>Fish</v>
      </c>
      <c r="D4141">
        <f>IFERROR(__xludf.DUMMYFUNCTION("""COMPUTED_VALUE"""),124.0)</f>
        <v>124</v>
      </c>
      <c r="E4141">
        <f>IFERROR(__xludf.DUMMYFUNCTION("""COMPUTED_VALUE"""),5.2)</f>
        <v>5.2</v>
      </c>
      <c r="F4141">
        <f>IFERROR(__xludf.DUMMYFUNCTION("""COMPUTED_VALUE"""),14.32)</f>
        <v>14.32</v>
      </c>
      <c r="G4141">
        <f>IFERROR(__xludf.DUMMYFUNCTION("""COMPUTED_VALUE"""),4.48)</f>
        <v>4.48</v>
      </c>
    </row>
    <row r="4142">
      <c r="A4142">
        <f>IFERROR(__xludf.DUMMYFUNCTION("""COMPUTED_VALUE"""),783390.0)</f>
        <v>783390</v>
      </c>
      <c r="B4142" t="str">
        <f>IFERROR(__xludf.DUMMYFUNCTION("""COMPUTED_VALUE"""),"Tuna Casserole With Vegetables And Mushroom Sauce No Noodles")</f>
        <v>Tuna Casserole With Vegetables And Mushroom Sauce No Noodles</v>
      </c>
      <c r="C4142" t="str">
        <f>IFERROR(__xludf.DUMMYFUNCTION("""COMPUTED_VALUE"""),"Fish")</f>
        <v>Fish</v>
      </c>
      <c r="D4142">
        <f>IFERROR(__xludf.DUMMYFUNCTION("""COMPUTED_VALUE"""),114.0)</f>
        <v>114</v>
      </c>
      <c r="E4142">
        <f>IFERROR(__xludf.DUMMYFUNCTION("""COMPUTED_VALUE"""),5.12)</f>
        <v>5.12</v>
      </c>
      <c r="F4142">
        <f>IFERROR(__xludf.DUMMYFUNCTION("""COMPUTED_VALUE"""),9.01)</f>
        <v>9.01</v>
      </c>
      <c r="G4142">
        <f>IFERROR(__xludf.DUMMYFUNCTION("""COMPUTED_VALUE"""),8.37)</f>
        <v>8.37</v>
      </c>
    </row>
    <row r="4143">
      <c r="A4143">
        <f>IFERROR(__xludf.DUMMYFUNCTION("""COMPUTED_VALUE"""),783393.0)</f>
        <v>783393</v>
      </c>
      <c r="B4143" t="str">
        <f>IFERROR(__xludf.DUMMYFUNCTION("""COMPUTED_VALUE"""),"Shellfish Mixture And Vegetables Including Carrots Broccoli And/or Dark-Green Leafy; No Potatoes Mushroom Sauce")</f>
        <v>Shellfish Mixture And Vegetables Including Carrots Broccoli And/or Dark-Green Leafy; No Potatoes Mushroom Sauce</v>
      </c>
      <c r="C4143" t="str">
        <f>IFERROR(__xludf.DUMMYFUNCTION("""COMPUTED_VALUE"""),"Fish")</f>
        <v>Fish</v>
      </c>
      <c r="D4143">
        <f>IFERROR(__xludf.DUMMYFUNCTION("""COMPUTED_VALUE"""),110.0)</f>
        <v>110</v>
      </c>
      <c r="E4143">
        <f>IFERROR(__xludf.DUMMYFUNCTION("""COMPUTED_VALUE"""),6.91)</f>
        <v>6.91</v>
      </c>
      <c r="F4143">
        <f>IFERROR(__xludf.DUMMYFUNCTION("""COMPUTED_VALUE"""),6.24)</f>
        <v>6.24</v>
      </c>
      <c r="G4143">
        <f>IFERROR(__xludf.DUMMYFUNCTION("""COMPUTED_VALUE"""),5.92)</f>
        <v>5.92</v>
      </c>
    </row>
    <row r="4144">
      <c r="A4144">
        <f>IFERROR(__xludf.DUMMYFUNCTION("""COMPUTED_VALUE"""),783394.0)</f>
        <v>783394</v>
      </c>
      <c r="B4144" t="str">
        <f>IFERROR(__xludf.DUMMYFUNCTION("""COMPUTED_VALUE"""),"Shellfish Mixture And Vegetables Excluding Carrots Broccoli And Dark-Green Leafy; No Potatoes Mushroom Sauce")</f>
        <v>Shellfish Mixture And Vegetables Excluding Carrots Broccoli And Dark-Green Leafy; No Potatoes Mushroom Sauce</v>
      </c>
      <c r="C4144" t="str">
        <f>IFERROR(__xludf.DUMMYFUNCTION("""COMPUTED_VALUE"""),"Fish")</f>
        <v>Fish</v>
      </c>
      <c r="D4144">
        <f>IFERROR(__xludf.DUMMYFUNCTION("""COMPUTED_VALUE"""),116.0)</f>
        <v>116</v>
      </c>
      <c r="E4144">
        <f>IFERROR(__xludf.DUMMYFUNCTION("""COMPUTED_VALUE"""),6.92)</f>
        <v>6.92</v>
      </c>
      <c r="F4144">
        <f>IFERROR(__xludf.DUMMYFUNCTION("""COMPUTED_VALUE"""),6.29)</f>
        <v>6.29</v>
      </c>
      <c r="G4144">
        <f>IFERROR(__xludf.DUMMYFUNCTION("""COMPUTED_VALUE"""),7.63)</f>
        <v>7.63</v>
      </c>
    </row>
    <row r="4145">
      <c r="A4145">
        <f>IFERROR(__xludf.DUMMYFUNCTION("""COMPUTED_VALUE"""),783395.0)</f>
        <v>783395</v>
      </c>
      <c r="B4145" t="str">
        <f>IFERROR(__xludf.DUMMYFUNCTION("""COMPUTED_VALUE"""),"Fish And Vegetables Including Carrots Broccoli And/or Dark-Green Leafy; No Potatoes Tomato-Based Sauce")</f>
        <v>Fish And Vegetables Including Carrots Broccoli And/or Dark-Green Leafy; No Potatoes Tomato-Based Sauce</v>
      </c>
      <c r="C4145" t="str">
        <f>IFERROR(__xludf.DUMMYFUNCTION("""COMPUTED_VALUE"""),"Fish")</f>
        <v>Fish</v>
      </c>
      <c r="D4145">
        <f>IFERROR(__xludf.DUMMYFUNCTION("""COMPUTED_VALUE"""),105.0)</f>
        <v>105</v>
      </c>
      <c r="E4145">
        <f>IFERROR(__xludf.DUMMYFUNCTION("""COMPUTED_VALUE"""),7.26)</f>
        <v>7.26</v>
      </c>
      <c r="F4145">
        <f>IFERROR(__xludf.DUMMYFUNCTION("""COMPUTED_VALUE"""),6.28)</f>
        <v>6.28</v>
      </c>
      <c r="G4145">
        <f>IFERROR(__xludf.DUMMYFUNCTION("""COMPUTED_VALUE"""),4.39)</f>
        <v>4.39</v>
      </c>
    </row>
    <row r="4146">
      <c r="A4146">
        <f>IFERROR(__xludf.DUMMYFUNCTION("""COMPUTED_VALUE"""),783396.0)</f>
        <v>783396</v>
      </c>
      <c r="B4146" t="str">
        <f>IFERROR(__xludf.DUMMYFUNCTION("""COMPUTED_VALUE"""),"Fish And Vegetables Excluding Carrots Broccoli And Dark- Green Leafy; No Potatoes Tomato-Based Sauce")</f>
        <v>Fish And Vegetables Excluding Carrots Broccoli And Dark- Green Leafy; No Potatoes Tomato-Based Sauce</v>
      </c>
      <c r="C4146" t="str">
        <f>IFERROR(__xludf.DUMMYFUNCTION("""COMPUTED_VALUE"""),"Fish")</f>
        <v>Fish</v>
      </c>
      <c r="D4146">
        <f>IFERROR(__xludf.DUMMYFUNCTION("""COMPUTED_VALUE"""),111.0)</f>
        <v>111</v>
      </c>
      <c r="E4146">
        <f>IFERROR(__xludf.DUMMYFUNCTION("""COMPUTED_VALUE"""),7.26)</f>
        <v>7.26</v>
      </c>
      <c r="F4146">
        <f>IFERROR(__xludf.DUMMYFUNCTION("""COMPUTED_VALUE"""),6.33)</f>
        <v>6.33</v>
      </c>
      <c r="G4146">
        <f>IFERROR(__xludf.DUMMYFUNCTION("""COMPUTED_VALUE"""),6.3)</f>
        <v>6.3</v>
      </c>
    </row>
    <row r="4147">
      <c r="A4147">
        <f>IFERROR(__xludf.DUMMYFUNCTION("""COMPUTED_VALUE"""),783399.0)</f>
        <v>783399</v>
      </c>
      <c r="B4147" t="str">
        <f>IFERROR(__xludf.DUMMYFUNCTION("""COMPUTED_VALUE"""),"Fish Shish Kabob With Vegetables Excluding Potatoes")</f>
        <v>Fish Shish Kabob With Vegetables Excluding Potatoes</v>
      </c>
      <c r="C4147" t="str">
        <f>IFERROR(__xludf.DUMMYFUNCTION("""COMPUTED_VALUE"""),"Fish")</f>
        <v>Fish</v>
      </c>
      <c r="D4147">
        <f>IFERROR(__xludf.DUMMYFUNCTION("""COMPUTED_VALUE"""),67.0)</f>
        <v>67</v>
      </c>
      <c r="E4147">
        <f>IFERROR(__xludf.DUMMYFUNCTION("""COMPUTED_VALUE"""),1.04)</f>
        <v>1.04</v>
      </c>
      <c r="F4147">
        <f>IFERROR(__xludf.DUMMYFUNCTION("""COMPUTED_VALUE"""),9.32)</f>
        <v>9.32</v>
      </c>
      <c r="G4147">
        <f>IFERROR(__xludf.DUMMYFUNCTION("""COMPUTED_VALUE"""),5.0)</f>
        <v>5</v>
      </c>
    </row>
    <row r="4148">
      <c r="A4148">
        <f>IFERROR(__xludf.DUMMYFUNCTION("""COMPUTED_VALUE"""),783400.0)</f>
        <v>783400</v>
      </c>
      <c r="B4148" t="str">
        <f>IFERROR(__xludf.DUMMYFUNCTION("""COMPUTED_VALUE"""),"Fried Fish With Sauce Puerto Rican Style")</f>
        <v>Fried Fish With Sauce Puerto Rican Style</v>
      </c>
      <c r="C4148" t="str">
        <f>IFERROR(__xludf.DUMMYFUNCTION("""COMPUTED_VALUE"""),"Fish")</f>
        <v>Fish</v>
      </c>
      <c r="D4148">
        <f>IFERROR(__xludf.DUMMYFUNCTION("""COMPUTED_VALUE"""),151.0)</f>
        <v>151</v>
      </c>
      <c r="E4148">
        <f>IFERROR(__xludf.DUMMYFUNCTION("""COMPUTED_VALUE"""),10.04)</f>
        <v>10.04</v>
      </c>
      <c r="F4148">
        <f>IFERROR(__xludf.DUMMYFUNCTION("""COMPUTED_VALUE"""),11.84)</f>
        <v>11.84</v>
      </c>
      <c r="G4148">
        <f>IFERROR(__xludf.DUMMYFUNCTION("""COMPUTED_VALUE"""),3.42)</f>
        <v>3.42</v>
      </c>
    </row>
    <row r="4149">
      <c r="A4149">
        <f>IFERROR(__xludf.DUMMYFUNCTION("""COMPUTED_VALUE"""),783401.0)</f>
        <v>783401</v>
      </c>
      <c r="B4149" t="str">
        <f>IFERROR(__xludf.DUMMYFUNCTION("""COMPUTED_VALUE"""),"Lobster With Sauce Puerto Rican Style")</f>
        <v>Lobster With Sauce Puerto Rican Style</v>
      </c>
      <c r="C4149" t="str">
        <f>IFERROR(__xludf.DUMMYFUNCTION("""COMPUTED_VALUE"""),"Fish")</f>
        <v>Fish</v>
      </c>
      <c r="D4149">
        <f>IFERROR(__xludf.DUMMYFUNCTION("""COMPUTED_VALUE"""),149.0)</f>
        <v>149</v>
      </c>
      <c r="E4149">
        <f>IFERROR(__xludf.DUMMYFUNCTION("""COMPUTED_VALUE"""),10.23)</f>
        <v>10.23</v>
      </c>
      <c r="F4149">
        <f>IFERROR(__xludf.DUMMYFUNCTION("""COMPUTED_VALUE"""),10.79)</f>
        <v>10.79</v>
      </c>
      <c r="G4149">
        <f>IFERROR(__xludf.DUMMYFUNCTION("""COMPUTED_VALUE"""),3.97)</f>
        <v>3.97</v>
      </c>
    </row>
    <row r="4150">
      <c r="A4150">
        <f>IFERROR(__xludf.DUMMYFUNCTION("""COMPUTED_VALUE"""),783402.0)</f>
        <v>783402</v>
      </c>
      <c r="B4150" t="str">
        <f>IFERROR(__xludf.DUMMYFUNCTION("""COMPUTED_VALUE"""),"Octopus Salad Puerto Rican Style")</f>
        <v>Octopus Salad Puerto Rican Style</v>
      </c>
      <c r="C4150" t="str">
        <f>IFERROR(__xludf.DUMMYFUNCTION("""COMPUTED_VALUE"""),"Fish")</f>
        <v>Fish</v>
      </c>
      <c r="D4150">
        <f>IFERROR(__xludf.DUMMYFUNCTION("""COMPUTED_VALUE"""),165.0)</f>
        <v>165</v>
      </c>
      <c r="E4150">
        <f>IFERROR(__xludf.DUMMYFUNCTION("""COMPUTED_VALUE"""),11.59)</f>
        <v>11.59</v>
      </c>
      <c r="F4150">
        <f>IFERROR(__xludf.DUMMYFUNCTION("""COMPUTED_VALUE"""),9.7)</f>
        <v>9.7</v>
      </c>
      <c r="G4150">
        <f>IFERROR(__xludf.DUMMYFUNCTION("""COMPUTED_VALUE"""),5.58)</f>
        <v>5.58</v>
      </c>
    </row>
    <row r="4151">
      <c r="A4151">
        <f>IFERROR(__xludf.DUMMYFUNCTION("""COMPUTED_VALUE"""),783403.0)</f>
        <v>783403</v>
      </c>
      <c r="B4151" t="str">
        <f>IFERROR(__xludf.DUMMYFUNCTION("""COMPUTED_VALUE"""),"Codfish Salad Puerto Rican Style Serenata")</f>
        <v>Codfish Salad Puerto Rican Style Serenata</v>
      </c>
      <c r="C4151" t="str">
        <f>IFERROR(__xludf.DUMMYFUNCTION("""COMPUTED_VALUE"""),"Fish")</f>
        <v>Fish</v>
      </c>
      <c r="D4151">
        <f>IFERROR(__xludf.DUMMYFUNCTION("""COMPUTED_VALUE"""),176.0)</f>
        <v>176</v>
      </c>
      <c r="E4151">
        <f>IFERROR(__xludf.DUMMYFUNCTION("""COMPUTED_VALUE"""),15.48)</f>
        <v>15.48</v>
      </c>
      <c r="F4151">
        <f>IFERROR(__xludf.DUMMYFUNCTION("""COMPUTED_VALUE"""),6.65)</f>
        <v>6.65</v>
      </c>
      <c r="G4151">
        <f>IFERROR(__xludf.DUMMYFUNCTION("""COMPUTED_VALUE"""),2.83)</f>
        <v>2.83</v>
      </c>
    </row>
    <row r="4152">
      <c r="A4152">
        <f>IFERROR(__xludf.DUMMYFUNCTION("""COMPUTED_VALUE"""),783405.0)</f>
        <v>783405</v>
      </c>
      <c r="B4152" t="str">
        <f>IFERROR(__xludf.DUMMYFUNCTION("""COMPUTED_VALUE"""),"Lau Lau")</f>
        <v>Lau Lau</v>
      </c>
      <c r="C4152" t="str">
        <f>IFERROR(__xludf.DUMMYFUNCTION("""COMPUTED_VALUE"""),"Fish")</f>
        <v>Fish</v>
      </c>
      <c r="D4152">
        <f>IFERROR(__xludf.DUMMYFUNCTION("""COMPUTED_VALUE"""),140.0)</f>
        <v>140</v>
      </c>
      <c r="E4152">
        <f>IFERROR(__xludf.DUMMYFUNCTION("""COMPUTED_VALUE"""),8.32)</f>
        <v>8.32</v>
      </c>
      <c r="F4152">
        <f>IFERROR(__xludf.DUMMYFUNCTION("""COMPUTED_VALUE"""),15.25)</f>
        <v>15.25</v>
      </c>
      <c r="G4152">
        <f>IFERROR(__xludf.DUMMYFUNCTION("""COMPUTED_VALUE"""),0.0)</f>
        <v>0</v>
      </c>
    </row>
    <row r="4153">
      <c r="A4153">
        <f>IFERROR(__xludf.DUMMYFUNCTION("""COMPUTED_VALUE"""),783406.0)</f>
        <v>783406</v>
      </c>
      <c r="B4153" t="str">
        <f>IFERROR(__xludf.DUMMYFUNCTION("""COMPUTED_VALUE"""),"Julienne Salad Meat Cheese Eggs Vegetables No Dressing")</f>
        <v>Julienne Salad Meat Cheese Eggs Vegetables No Dressing</v>
      </c>
      <c r="C4153" t="str">
        <f>IFERROR(__xludf.DUMMYFUNCTION("""COMPUTED_VALUE"""),"Meats")</f>
        <v>Meats</v>
      </c>
      <c r="D4153">
        <f>IFERROR(__xludf.DUMMYFUNCTION("""COMPUTED_VALUE"""),111.0)</f>
        <v>111</v>
      </c>
      <c r="E4153">
        <f>IFERROR(__xludf.DUMMYFUNCTION("""COMPUTED_VALUE"""),6.24)</f>
        <v>6.24</v>
      </c>
      <c r="F4153">
        <f>IFERROR(__xludf.DUMMYFUNCTION("""COMPUTED_VALUE"""),10.92)</f>
        <v>10.92</v>
      </c>
      <c r="G4153">
        <f>IFERROR(__xludf.DUMMYFUNCTION("""COMPUTED_VALUE"""),2.71)</f>
        <v>2.71</v>
      </c>
    </row>
    <row r="4154">
      <c r="A4154">
        <f>IFERROR(__xludf.DUMMYFUNCTION("""COMPUTED_VALUE"""),783407.0)</f>
        <v>783407</v>
      </c>
      <c r="B4154" t="str">
        <f>IFERROR(__xludf.DUMMYFUNCTION("""COMPUTED_VALUE"""),"Antipasto With Ham Fish Cheese Vegetables")</f>
        <v>Antipasto With Ham Fish Cheese Vegetables</v>
      </c>
      <c r="C4154" t="str">
        <f>IFERROR(__xludf.DUMMYFUNCTION("""COMPUTED_VALUE"""),"Meats")</f>
        <v>Meats</v>
      </c>
      <c r="D4154">
        <f>IFERROR(__xludf.DUMMYFUNCTION("""COMPUTED_VALUE"""),155.0)</f>
        <v>155</v>
      </c>
      <c r="E4154">
        <f>IFERROR(__xludf.DUMMYFUNCTION("""COMPUTED_VALUE"""),10.1)</f>
        <v>10.1</v>
      </c>
      <c r="F4154">
        <f>IFERROR(__xludf.DUMMYFUNCTION("""COMPUTED_VALUE"""),11.71)</f>
        <v>11.71</v>
      </c>
      <c r="G4154">
        <f>IFERROR(__xludf.DUMMYFUNCTION("""COMPUTED_VALUE"""),4.29)</f>
        <v>4.29</v>
      </c>
    </row>
    <row r="4155">
      <c r="A4155">
        <f>IFERROR(__xludf.DUMMYFUNCTION("""COMPUTED_VALUE"""),783408.0)</f>
        <v>783408</v>
      </c>
      <c r="B4155" t="str">
        <f>IFERROR(__xludf.DUMMYFUNCTION("""COMPUTED_VALUE"""),"Livers Chicken Chopped With Eggs And Onion")</f>
        <v>Livers Chicken Chopped With Eggs And Onion</v>
      </c>
      <c r="C4155" t="str">
        <f>IFERROR(__xludf.DUMMYFUNCTION("""COMPUTED_VALUE"""),"Meats")</f>
        <v>Meats</v>
      </c>
      <c r="D4155">
        <f>IFERROR(__xludf.DUMMYFUNCTION("""COMPUTED_VALUE"""),226.0)</f>
        <v>226</v>
      </c>
      <c r="E4155">
        <f>IFERROR(__xludf.DUMMYFUNCTION("""COMPUTED_VALUE"""),17.69)</f>
        <v>17.69</v>
      </c>
      <c r="F4155">
        <f>IFERROR(__xludf.DUMMYFUNCTION("""COMPUTED_VALUE"""),12.89)</f>
        <v>12.89</v>
      </c>
      <c r="G4155">
        <f>IFERROR(__xludf.DUMMYFUNCTION("""COMPUTED_VALUE"""),2.87)</f>
        <v>2.87</v>
      </c>
    </row>
    <row r="4156">
      <c r="A4156">
        <f>IFERROR(__xludf.DUMMYFUNCTION("""COMPUTED_VALUE"""),783409.0)</f>
        <v>783409</v>
      </c>
      <c r="B4156" t="str">
        <f>IFERROR(__xludf.DUMMYFUNCTION("""COMPUTED_VALUE"""),"Liver Beef Or Calves And Onions")</f>
        <v>Liver Beef Or Calves And Onions</v>
      </c>
      <c r="C4156" t="str">
        <f>IFERROR(__xludf.DUMMYFUNCTION("""COMPUTED_VALUE"""),"Meats")</f>
        <v>Meats</v>
      </c>
      <c r="D4156">
        <f>IFERROR(__xludf.DUMMYFUNCTION("""COMPUTED_VALUE"""),129.0)</f>
        <v>129</v>
      </c>
      <c r="E4156">
        <f>IFERROR(__xludf.DUMMYFUNCTION("""COMPUTED_VALUE"""),3.61)</f>
        <v>3.61</v>
      </c>
      <c r="F4156">
        <f>IFERROR(__xludf.DUMMYFUNCTION("""COMPUTED_VALUE"""),16.67)</f>
        <v>16.67</v>
      </c>
      <c r="G4156">
        <f>IFERROR(__xludf.DUMMYFUNCTION("""COMPUTED_VALUE"""),6.97)</f>
        <v>6.97</v>
      </c>
    </row>
    <row r="4157">
      <c r="A4157">
        <f>IFERROR(__xludf.DUMMYFUNCTION("""COMPUTED_VALUE"""),783410.0)</f>
        <v>783410</v>
      </c>
      <c r="B4157" t="str">
        <f>IFERROR(__xludf.DUMMYFUNCTION("""COMPUTED_VALUE"""),"Stewed Chitterlings Puerto Rican Style")</f>
        <v>Stewed Chitterlings Puerto Rican Style</v>
      </c>
      <c r="C4157" t="str">
        <f>IFERROR(__xludf.DUMMYFUNCTION("""COMPUTED_VALUE"""),"Meats")</f>
        <v>Meats</v>
      </c>
      <c r="D4157">
        <f>IFERROR(__xludf.DUMMYFUNCTION("""COMPUTED_VALUE"""),212.0)</f>
        <v>212</v>
      </c>
      <c r="E4157">
        <f>IFERROR(__xludf.DUMMYFUNCTION("""COMPUTED_VALUE"""),18.32)</f>
        <v>18.32</v>
      </c>
      <c r="F4157">
        <f>IFERROR(__xludf.DUMMYFUNCTION("""COMPUTED_VALUE"""),8.48)</f>
        <v>8.48</v>
      </c>
      <c r="G4157">
        <f>IFERROR(__xludf.DUMMYFUNCTION("""COMPUTED_VALUE"""),4.01)</f>
        <v>4.01</v>
      </c>
    </row>
    <row r="4158">
      <c r="A4158">
        <f>IFERROR(__xludf.DUMMYFUNCTION("""COMPUTED_VALUE"""),783411.0)</f>
        <v>783411</v>
      </c>
      <c r="B4158" t="str">
        <f>IFERROR(__xludf.DUMMYFUNCTION("""COMPUTED_VALUE"""),"Stewed Gizzards Puerto Rican Style")</f>
        <v>Stewed Gizzards Puerto Rican Style</v>
      </c>
      <c r="C4158" t="str">
        <f>IFERROR(__xludf.DUMMYFUNCTION("""COMPUTED_VALUE"""),"Meats")</f>
        <v>Meats</v>
      </c>
      <c r="D4158">
        <f>IFERROR(__xludf.DUMMYFUNCTION("""COMPUTED_VALUE"""),180.0)</f>
        <v>180</v>
      </c>
      <c r="E4158">
        <f>IFERROR(__xludf.DUMMYFUNCTION("""COMPUTED_VALUE"""),8.77)</f>
        <v>8.77</v>
      </c>
      <c r="F4158">
        <f>IFERROR(__xludf.DUMMYFUNCTION("""COMPUTED_VALUE"""),20.24)</f>
        <v>20.24</v>
      </c>
      <c r="G4158">
        <f>IFERROR(__xludf.DUMMYFUNCTION("""COMPUTED_VALUE"""),4.39)</f>
        <v>4.39</v>
      </c>
    </row>
    <row r="4159">
      <c r="A4159">
        <f>IFERROR(__xludf.DUMMYFUNCTION("""COMPUTED_VALUE"""),783412.0)</f>
        <v>783412</v>
      </c>
      <c r="B4159" t="str">
        <f>IFERROR(__xludf.DUMMYFUNCTION("""COMPUTED_VALUE"""),"Gumbo No Rice")</f>
        <v>Gumbo No Rice</v>
      </c>
      <c r="C4159" t="str">
        <f>IFERROR(__xludf.DUMMYFUNCTION("""COMPUTED_VALUE"""),"Fish")</f>
        <v>Fish</v>
      </c>
      <c r="D4159">
        <f>IFERROR(__xludf.DUMMYFUNCTION("""COMPUTED_VALUE"""),82.0)</f>
        <v>82</v>
      </c>
      <c r="E4159">
        <f>IFERROR(__xludf.DUMMYFUNCTION("""COMPUTED_VALUE"""),3.63)</f>
        <v>3.63</v>
      </c>
      <c r="F4159">
        <f>IFERROR(__xludf.DUMMYFUNCTION("""COMPUTED_VALUE"""),8.55)</f>
        <v>8.55</v>
      </c>
      <c r="G4159">
        <f>IFERROR(__xludf.DUMMYFUNCTION("""COMPUTED_VALUE"""),3.89)</f>
        <v>3.89</v>
      </c>
    </row>
    <row r="4160">
      <c r="A4160">
        <f>IFERROR(__xludf.DUMMYFUNCTION("""COMPUTED_VALUE"""),783622.0)</f>
        <v>783622</v>
      </c>
      <c r="B4160" t="str">
        <f>IFERROR(__xludf.DUMMYFUNCTION("""COMPUTED_VALUE"""),"Sausage Balls Made With Biscuit Mix And Cheese")</f>
        <v>Sausage Balls Made With Biscuit Mix And Cheese</v>
      </c>
      <c r="C4160" t="str">
        <f>IFERROR(__xludf.DUMMYFUNCTION("""COMPUTED_VALUE"""),"Meats")</f>
        <v>Meats</v>
      </c>
      <c r="D4160">
        <f>IFERROR(__xludf.DUMMYFUNCTION("""COMPUTED_VALUE"""),394.0)</f>
        <v>394</v>
      </c>
      <c r="E4160">
        <f>IFERROR(__xludf.DUMMYFUNCTION("""COMPUTED_VALUE"""),25.71)</f>
        <v>25.71</v>
      </c>
      <c r="F4160">
        <f>IFERROR(__xludf.DUMMYFUNCTION("""COMPUTED_VALUE"""),17.16)</f>
        <v>17.16</v>
      </c>
      <c r="G4160">
        <f>IFERROR(__xludf.DUMMYFUNCTION("""COMPUTED_VALUE"""),23.16)</f>
        <v>23.16</v>
      </c>
    </row>
    <row r="4161">
      <c r="A4161">
        <f>IFERROR(__xludf.DUMMYFUNCTION("""COMPUTED_VALUE"""),783739.0)</f>
        <v>783739</v>
      </c>
      <c r="B4161" t="str">
        <f>IFERROR(__xludf.DUMMYFUNCTION("""COMPUTED_VALUE"""),"Frozen Dinner Nfs")</f>
        <v>Frozen Dinner Nfs</v>
      </c>
      <c r="C4161" t="str">
        <f>IFERROR(__xludf.DUMMYFUNCTION("""COMPUTED_VALUE"""),"Meats")</f>
        <v>Meats</v>
      </c>
      <c r="D4161">
        <f>IFERROR(__xludf.DUMMYFUNCTION("""COMPUTED_VALUE"""),147.0)</f>
        <v>147</v>
      </c>
      <c r="E4161">
        <f>IFERROR(__xludf.DUMMYFUNCTION("""COMPUTED_VALUE"""),8.42)</f>
        <v>8.42</v>
      </c>
      <c r="F4161">
        <f>IFERROR(__xludf.DUMMYFUNCTION("""COMPUTED_VALUE"""),6.93)</f>
        <v>6.93</v>
      </c>
      <c r="G4161">
        <f>IFERROR(__xludf.DUMMYFUNCTION("""COMPUTED_VALUE"""),11.24)</f>
        <v>11.24</v>
      </c>
    </row>
    <row r="4162">
      <c r="A4162">
        <f>IFERROR(__xludf.DUMMYFUNCTION("""COMPUTED_VALUE"""),783740.0)</f>
        <v>783740</v>
      </c>
      <c r="B4162" t="str">
        <f>IFERROR(__xludf.DUMMYFUNCTION("""COMPUTED_VALUE"""),"Beef Dinner NFS Frozen Meal")</f>
        <v>Beef Dinner NFS Frozen Meal</v>
      </c>
      <c r="C4162" t="str">
        <f>IFERROR(__xludf.DUMMYFUNCTION("""COMPUTED_VALUE"""),"Meats")</f>
        <v>Meats</v>
      </c>
      <c r="D4162">
        <f>IFERROR(__xludf.DUMMYFUNCTION("""COMPUTED_VALUE"""),147.0)</f>
        <v>147</v>
      </c>
      <c r="E4162">
        <f>IFERROR(__xludf.DUMMYFUNCTION("""COMPUTED_VALUE"""),8.42)</f>
        <v>8.42</v>
      </c>
      <c r="F4162">
        <f>IFERROR(__xludf.DUMMYFUNCTION("""COMPUTED_VALUE"""),6.93)</f>
        <v>6.93</v>
      </c>
      <c r="G4162">
        <f>IFERROR(__xludf.DUMMYFUNCTION("""COMPUTED_VALUE"""),11.24)</f>
        <v>11.24</v>
      </c>
    </row>
    <row r="4163">
      <c r="A4163">
        <f>IFERROR(__xludf.DUMMYFUNCTION("""COMPUTED_VALUE"""),783741.0)</f>
        <v>783741</v>
      </c>
      <c r="B4163" t="str">
        <f>IFERROR(__xludf.DUMMYFUNCTION("""COMPUTED_VALUE"""),"Beef With Vegetable Diet Frozen Meal")</f>
        <v>Beef With Vegetable Diet Frozen Meal</v>
      </c>
      <c r="C4163" t="str">
        <f>IFERROR(__xludf.DUMMYFUNCTION("""COMPUTED_VALUE"""),"Meats")</f>
        <v>Meats</v>
      </c>
      <c r="D4163">
        <f>IFERROR(__xludf.DUMMYFUNCTION("""COMPUTED_VALUE"""),125.0)</f>
        <v>125</v>
      </c>
      <c r="E4163">
        <f>IFERROR(__xludf.DUMMYFUNCTION("""COMPUTED_VALUE"""),6.95)</f>
        <v>6.95</v>
      </c>
      <c r="F4163">
        <f>IFERROR(__xludf.DUMMYFUNCTION("""COMPUTED_VALUE"""),10.64)</f>
        <v>10.64</v>
      </c>
      <c r="G4163">
        <f>IFERROR(__xludf.DUMMYFUNCTION("""COMPUTED_VALUE"""),4.68)</f>
        <v>4.68</v>
      </c>
    </row>
    <row r="4164">
      <c r="A4164">
        <f>IFERROR(__xludf.DUMMYFUNCTION("""COMPUTED_VALUE"""),783742.0)</f>
        <v>783742</v>
      </c>
      <c r="B4164" t="str">
        <f>IFERROR(__xludf.DUMMYFUNCTION("""COMPUTED_VALUE"""),"Sirloin Chopped With Gravy Mashed Potatoes Vegetable Frozen Meal")</f>
        <v>Sirloin Chopped With Gravy Mashed Potatoes Vegetable Frozen Meal</v>
      </c>
      <c r="C4164" t="str">
        <f>IFERROR(__xludf.DUMMYFUNCTION("""COMPUTED_VALUE"""),"Meats")</f>
        <v>Meats</v>
      </c>
      <c r="D4164">
        <f>IFERROR(__xludf.DUMMYFUNCTION("""COMPUTED_VALUE"""),155.0)</f>
        <v>155</v>
      </c>
      <c r="E4164">
        <f>IFERROR(__xludf.DUMMYFUNCTION("""COMPUTED_VALUE"""),7.99)</f>
        <v>7.99</v>
      </c>
      <c r="F4164">
        <f>IFERROR(__xludf.DUMMYFUNCTION("""COMPUTED_VALUE"""),7.92)</f>
        <v>7.92</v>
      </c>
      <c r="G4164">
        <f>IFERROR(__xludf.DUMMYFUNCTION("""COMPUTED_VALUE"""),13.12)</f>
        <v>13.12</v>
      </c>
    </row>
    <row r="4165">
      <c r="A4165">
        <f>IFERROR(__xludf.DUMMYFUNCTION("""COMPUTED_VALUE"""),783743.0)</f>
        <v>783743</v>
      </c>
      <c r="B4165" t="str">
        <f>IFERROR(__xludf.DUMMYFUNCTION("""COMPUTED_VALUE"""),"Sirloin Tips With Gravy Potatoes Vegetable Frozen Meal")</f>
        <v>Sirloin Tips With Gravy Potatoes Vegetable Frozen Meal</v>
      </c>
      <c r="C4165" t="str">
        <f>IFERROR(__xludf.DUMMYFUNCTION("""COMPUTED_VALUE"""),"Meats")</f>
        <v>Meats</v>
      </c>
      <c r="D4165">
        <f>IFERROR(__xludf.DUMMYFUNCTION("""COMPUTED_VALUE"""),113.0)</f>
        <v>113</v>
      </c>
      <c r="E4165">
        <f>IFERROR(__xludf.DUMMYFUNCTION("""COMPUTED_VALUE"""),5.68)</f>
        <v>5.68</v>
      </c>
      <c r="F4165">
        <f>IFERROR(__xludf.DUMMYFUNCTION("""COMPUTED_VALUE"""),8.29)</f>
        <v>8.29</v>
      </c>
      <c r="G4165">
        <f>IFERROR(__xludf.DUMMYFUNCTION("""COMPUTED_VALUE"""),7.03)</f>
        <v>7.03</v>
      </c>
    </row>
    <row r="4166">
      <c r="A4166">
        <f>IFERROR(__xludf.DUMMYFUNCTION("""COMPUTED_VALUE"""),783744.0)</f>
        <v>783744</v>
      </c>
      <c r="B4166" t="str">
        <f>IFERROR(__xludf.DUMMYFUNCTION("""COMPUTED_VALUE"""),"Sirloin Beef With Gravy Potatoes Vegetable Frozen Meal")</f>
        <v>Sirloin Beef With Gravy Potatoes Vegetable Frozen Meal</v>
      </c>
      <c r="C4166" t="str">
        <f>IFERROR(__xludf.DUMMYFUNCTION("""COMPUTED_VALUE"""),"Meats")</f>
        <v>Meats</v>
      </c>
      <c r="D4166">
        <f>IFERROR(__xludf.DUMMYFUNCTION("""COMPUTED_VALUE"""),85.0)</f>
        <v>85</v>
      </c>
      <c r="E4166">
        <f>IFERROR(__xludf.DUMMYFUNCTION("""COMPUTED_VALUE"""),2.82)</f>
        <v>2.82</v>
      </c>
      <c r="F4166">
        <f>IFERROR(__xludf.DUMMYFUNCTION("""COMPUTED_VALUE"""),8.39)</f>
        <v>8.39</v>
      </c>
      <c r="G4166">
        <f>IFERROR(__xludf.DUMMYFUNCTION("""COMPUTED_VALUE"""),6.46)</f>
        <v>6.46</v>
      </c>
    </row>
    <row r="4167">
      <c r="A4167">
        <f>IFERROR(__xludf.DUMMYFUNCTION("""COMPUTED_VALUE"""),783745.0)</f>
        <v>783745</v>
      </c>
      <c r="B4167" t="str">
        <f>IFERROR(__xludf.DUMMYFUNCTION("""COMPUTED_VALUE"""),"Salisbury Steak Dinner NFS Frozen Meal")</f>
        <v>Salisbury Steak Dinner NFS Frozen Meal</v>
      </c>
      <c r="C4167" t="str">
        <f>IFERROR(__xludf.DUMMYFUNCTION("""COMPUTED_VALUE"""),"Meats")</f>
        <v>Meats</v>
      </c>
      <c r="D4167">
        <f>IFERROR(__xludf.DUMMYFUNCTION("""COMPUTED_VALUE"""),147.0)</f>
        <v>147</v>
      </c>
      <c r="E4167">
        <f>IFERROR(__xludf.DUMMYFUNCTION("""COMPUTED_VALUE"""),8.42)</f>
        <v>8.42</v>
      </c>
      <c r="F4167">
        <f>IFERROR(__xludf.DUMMYFUNCTION("""COMPUTED_VALUE"""),6.93)</f>
        <v>6.93</v>
      </c>
      <c r="G4167">
        <f>IFERROR(__xludf.DUMMYFUNCTION("""COMPUTED_VALUE"""),11.24)</f>
        <v>11.24</v>
      </c>
    </row>
    <row r="4168">
      <c r="A4168">
        <f>IFERROR(__xludf.DUMMYFUNCTION("""COMPUTED_VALUE"""),783746.0)</f>
        <v>783746</v>
      </c>
      <c r="B4168" t="str">
        <f>IFERROR(__xludf.DUMMYFUNCTION("""COMPUTED_VALUE"""),"Salisbury Steak With Gravy Potatoes Vegetable Frozen Meal")</f>
        <v>Salisbury Steak With Gravy Potatoes Vegetable Frozen Meal</v>
      </c>
      <c r="C4168" t="str">
        <f>IFERROR(__xludf.DUMMYFUNCTION("""COMPUTED_VALUE"""),"Meats")</f>
        <v>Meats</v>
      </c>
      <c r="D4168">
        <f>IFERROR(__xludf.DUMMYFUNCTION("""COMPUTED_VALUE"""),147.0)</f>
        <v>147</v>
      </c>
      <c r="E4168">
        <f>IFERROR(__xludf.DUMMYFUNCTION("""COMPUTED_VALUE"""),8.42)</f>
        <v>8.42</v>
      </c>
      <c r="F4168">
        <f>IFERROR(__xludf.DUMMYFUNCTION("""COMPUTED_VALUE"""),6.93)</f>
        <v>6.93</v>
      </c>
      <c r="G4168">
        <f>IFERROR(__xludf.DUMMYFUNCTION("""COMPUTED_VALUE"""),11.24)</f>
        <v>11.24</v>
      </c>
    </row>
    <row r="4169">
      <c r="A4169">
        <f>IFERROR(__xludf.DUMMYFUNCTION("""COMPUTED_VALUE"""),783747.0)</f>
        <v>783747</v>
      </c>
      <c r="B4169" t="str">
        <f>IFERROR(__xludf.DUMMYFUNCTION("""COMPUTED_VALUE"""),"Salisbury Steak With Gravy Whipped Potatoes Vegetable Dessert Frozen Meal")</f>
        <v>Salisbury Steak With Gravy Whipped Potatoes Vegetable Dessert Frozen Meal</v>
      </c>
      <c r="C4169" t="str">
        <f>IFERROR(__xludf.DUMMYFUNCTION("""COMPUTED_VALUE"""),"Meats")</f>
        <v>Meats</v>
      </c>
      <c r="D4169">
        <f>IFERROR(__xludf.DUMMYFUNCTION("""COMPUTED_VALUE"""),140.0)</f>
        <v>140</v>
      </c>
      <c r="E4169">
        <f>IFERROR(__xludf.DUMMYFUNCTION("""COMPUTED_VALUE"""),6.74)</f>
        <v>6.74</v>
      </c>
      <c r="F4169">
        <f>IFERROR(__xludf.DUMMYFUNCTION("""COMPUTED_VALUE"""),7.66)</f>
        <v>7.66</v>
      </c>
      <c r="G4169">
        <f>IFERROR(__xludf.DUMMYFUNCTION("""COMPUTED_VALUE"""),12.25)</f>
        <v>12.25</v>
      </c>
    </row>
    <row r="4170">
      <c r="A4170">
        <f>IFERROR(__xludf.DUMMYFUNCTION("""COMPUTED_VALUE"""),783748.0)</f>
        <v>783748</v>
      </c>
      <c r="B4170" t="str">
        <f>IFERROR(__xludf.DUMMYFUNCTION("""COMPUTED_VALUE"""),"Salisbury Steak With Gravy Potatoes Vegetable Soup Or Macaroni And Cheese Dessert Frozen Meal")</f>
        <v>Salisbury Steak With Gravy Potatoes Vegetable Soup Or Macaroni And Cheese Dessert Frozen Meal</v>
      </c>
      <c r="C4170" t="str">
        <f>IFERROR(__xludf.DUMMYFUNCTION("""COMPUTED_VALUE"""),"Meats")</f>
        <v>Meats</v>
      </c>
      <c r="D4170">
        <f>IFERROR(__xludf.DUMMYFUNCTION("""COMPUTED_VALUE"""),111.0)</f>
        <v>111</v>
      </c>
      <c r="E4170">
        <f>IFERROR(__xludf.DUMMYFUNCTION("""COMPUTED_VALUE"""),4.98)</f>
        <v>4.98</v>
      </c>
      <c r="F4170">
        <f>IFERROR(__xludf.DUMMYFUNCTION("""COMPUTED_VALUE"""),6.67)</f>
        <v>6.67</v>
      </c>
      <c r="G4170">
        <f>IFERROR(__xludf.DUMMYFUNCTION("""COMPUTED_VALUE"""),9.73)</f>
        <v>9.73</v>
      </c>
    </row>
    <row r="4171">
      <c r="A4171">
        <f>IFERROR(__xludf.DUMMYFUNCTION("""COMPUTED_VALUE"""),783749.0)</f>
        <v>783749</v>
      </c>
      <c r="B4171" t="str">
        <f>IFERROR(__xludf.DUMMYFUNCTION("""COMPUTED_VALUE"""),"Salisbury Steak With Gravy Potatoes Vegetable Dessert Frozen Meal")</f>
        <v>Salisbury Steak With Gravy Potatoes Vegetable Dessert Frozen Meal</v>
      </c>
      <c r="C4171" t="str">
        <f>IFERROR(__xludf.DUMMYFUNCTION("""COMPUTED_VALUE"""),"Meats")</f>
        <v>Meats</v>
      </c>
      <c r="D4171">
        <f>IFERROR(__xludf.DUMMYFUNCTION("""COMPUTED_VALUE"""),169.0)</f>
        <v>169</v>
      </c>
      <c r="E4171">
        <f>IFERROR(__xludf.DUMMYFUNCTION("""COMPUTED_VALUE"""),7.54)</f>
        <v>7.54</v>
      </c>
      <c r="F4171">
        <f>IFERROR(__xludf.DUMMYFUNCTION("""COMPUTED_VALUE"""),11.27)</f>
        <v>11.27</v>
      </c>
      <c r="G4171">
        <f>IFERROR(__xludf.DUMMYFUNCTION("""COMPUTED_VALUE"""),13.72)</f>
        <v>13.72</v>
      </c>
    </row>
    <row r="4172">
      <c r="A4172">
        <f>IFERROR(__xludf.DUMMYFUNCTION("""COMPUTED_VALUE"""),783750.0)</f>
        <v>783750</v>
      </c>
      <c r="B4172" t="str">
        <f>IFERROR(__xludf.DUMMYFUNCTION("""COMPUTED_VALUE"""),"Salisbury Steak With Gravy Macaroni And Cheese Vegetable Frozen Meal")</f>
        <v>Salisbury Steak With Gravy Macaroni And Cheese Vegetable Frozen Meal</v>
      </c>
      <c r="C4172" t="str">
        <f>IFERROR(__xludf.DUMMYFUNCTION("""COMPUTED_VALUE"""),"Meats")</f>
        <v>Meats</v>
      </c>
      <c r="D4172">
        <f>IFERROR(__xludf.DUMMYFUNCTION("""COMPUTED_VALUE"""),146.0)</f>
        <v>146</v>
      </c>
      <c r="E4172">
        <f>IFERROR(__xludf.DUMMYFUNCTION("""COMPUTED_VALUE"""),8.45)</f>
        <v>8.45</v>
      </c>
      <c r="F4172">
        <f>IFERROR(__xludf.DUMMYFUNCTION("""COMPUTED_VALUE"""),6.69)</f>
        <v>6.69</v>
      </c>
      <c r="G4172">
        <f>IFERROR(__xludf.DUMMYFUNCTION("""COMPUTED_VALUE"""),11.09)</f>
        <v>11.09</v>
      </c>
    </row>
    <row r="4173">
      <c r="A4173">
        <f>IFERROR(__xludf.DUMMYFUNCTION("""COMPUTED_VALUE"""),783751.0)</f>
        <v>783751</v>
      </c>
      <c r="B4173" t="str">
        <f>IFERROR(__xludf.DUMMYFUNCTION("""COMPUTED_VALUE"""),"Salisbury Steak With Gravy Macaroni And Cheese Frozen Meal")</f>
        <v>Salisbury Steak With Gravy Macaroni And Cheese Frozen Meal</v>
      </c>
      <c r="C4173" t="str">
        <f>IFERROR(__xludf.DUMMYFUNCTION("""COMPUTED_VALUE"""),"Meats")</f>
        <v>Meats</v>
      </c>
      <c r="D4173">
        <f>IFERROR(__xludf.DUMMYFUNCTION("""COMPUTED_VALUE"""),202.0)</f>
        <v>202</v>
      </c>
      <c r="E4173">
        <f>IFERROR(__xludf.DUMMYFUNCTION("""COMPUTED_VALUE"""),8.47)</f>
        <v>8.47</v>
      </c>
      <c r="F4173">
        <f>IFERROR(__xludf.DUMMYFUNCTION("""COMPUTED_VALUE"""),10.35)</f>
        <v>10.35</v>
      </c>
      <c r="G4173">
        <f>IFERROR(__xludf.DUMMYFUNCTION("""COMPUTED_VALUE"""),20.44)</f>
        <v>20.44</v>
      </c>
    </row>
    <row r="4174">
      <c r="A4174">
        <f>IFERROR(__xludf.DUMMYFUNCTION("""COMPUTED_VALUE"""),783752.0)</f>
        <v>783752</v>
      </c>
      <c r="B4174" t="str">
        <f>IFERROR(__xludf.DUMMYFUNCTION("""COMPUTED_VALUE"""),"Salisbury Steak Potatoes Vegetable Dessert Diet Frozen Meal")</f>
        <v>Salisbury Steak Potatoes Vegetable Dessert Diet Frozen Meal</v>
      </c>
      <c r="C4174" t="str">
        <f>IFERROR(__xludf.DUMMYFUNCTION("""COMPUTED_VALUE"""),"Meats")</f>
        <v>Meats</v>
      </c>
      <c r="D4174">
        <f>IFERROR(__xludf.DUMMYFUNCTION("""COMPUTED_VALUE"""),92.0)</f>
        <v>92</v>
      </c>
      <c r="E4174">
        <f>IFERROR(__xludf.DUMMYFUNCTION("""COMPUTED_VALUE"""),2.78)</f>
        <v>2.78</v>
      </c>
      <c r="F4174">
        <f>IFERROR(__xludf.DUMMYFUNCTION("""COMPUTED_VALUE"""),4.73)</f>
        <v>4.73</v>
      </c>
      <c r="G4174">
        <f>IFERROR(__xludf.DUMMYFUNCTION("""COMPUTED_VALUE"""),12.64)</f>
        <v>12.64</v>
      </c>
    </row>
    <row r="4175">
      <c r="A4175">
        <f>IFERROR(__xludf.DUMMYFUNCTION("""COMPUTED_VALUE"""),783753.0)</f>
        <v>783753</v>
      </c>
      <c r="B4175" t="str">
        <f>IFERROR(__xludf.DUMMYFUNCTION("""COMPUTED_VALUE"""),"Beef Sliced With Gravy Potatoes Vegetable Frozen Meal")</f>
        <v>Beef Sliced With Gravy Potatoes Vegetable Frozen Meal</v>
      </c>
      <c r="C4175" t="str">
        <f>IFERROR(__xludf.DUMMYFUNCTION("""COMPUTED_VALUE"""),"Meats")</f>
        <v>Meats</v>
      </c>
      <c r="D4175">
        <f>IFERROR(__xludf.DUMMYFUNCTION("""COMPUTED_VALUE"""),125.0)</f>
        <v>125</v>
      </c>
      <c r="E4175">
        <f>IFERROR(__xludf.DUMMYFUNCTION("""COMPUTED_VALUE"""),7.28)</f>
        <v>7.28</v>
      </c>
      <c r="F4175">
        <f>IFERROR(__xludf.DUMMYFUNCTION("""COMPUTED_VALUE"""),8.12)</f>
        <v>8.12</v>
      </c>
      <c r="G4175">
        <f>IFERROR(__xludf.DUMMYFUNCTION("""COMPUTED_VALUE"""),6.59)</f>
        <v>6.59</v>
      </c>
    </row>
    <row r="4176">
      <c r="A4176">
        <f>IFERROR(__xludf.DUMMYFUNCTION("""COMPUTED_VALUE"""),783754.0)</f>
        <v>783754</v>
      </c>
      <c r="B4176" t="str">
        <f>IFERROR(__xludf.DUMMYFUNCTION("""COMPUTED_VALUE"""),"Beef Short Ribs Boneless With Barbecue Sauce Potatoes Vegetable Frozen Meal")</f>
        <v>Beef Short Ribs Boneless With Barbecue Sauce Potatoes Vegetable Frozen Meal</v>
      </c>
      <c r="C4176" t="str">
        <f>IFERROR(__xludf.DUMMYFUNCTION("""COMPUTED_VALUE"""),"Meats")</f>
        <v>Meats</v>
      </c>
      <c r="D4176">
        <f>IFERROR(__xludf.DUMMYFUNCTION("""COMPUTED_VALUE"""),151.0)</f>
        <v>151</v>
      </c>
      <c r="E4176">
        <f>IFERROR(__xludf.DUMMYFUNCTION("""COMPUTED_VALUE"""),5.69)</f>
        <v>5.69</v>
      </c>
      <c r="F4176">
        <f>IFERROR(__xludf.DUMMYFUNCTION("""COMPUTED_VALUE"""),9.12)</f>
        <v>9.12</v>
      </c>
      <c r="G4176">
        <f>IFERROR(__xludf.DUMMYFUNCTION("""COMPUTED_VALUE"""),15.75)</f>
        <v>15.75</v>
      </c>
    </row>
    <row r="4177">
      <c r="A4177">
        <f>IFERROR(__xludf.DUMMYFUNCTION("""COMPUTED_VALUE"""),783755.0)</f>
        <v>783755</v>
      </c>
      <c r="B4177" t="str">
        <f>IFERROR(__xludf.DUMMYFUNCTION("""COMPUTED_VALUE"""),"Meatballs Swedish In Sauce With Noodles Frozen Meal")</f>
        <v>Meatballs Swedish In Sauce With Noodles Frozen Meal</v>
      </c>
      <c r="C4177" t="str">
        <f>IFERROR(__xludf.DUMMYFUNCTION("""COMPUTED_VALUE"""),"Meats")</f>
        <v>Meats</v>
      </c>
      <c r="D4177">
        <f>IFERROR(__xludf.DUMMYFUNCTION("""COMPUTED_VALUE"""),192.0)</f>
        <v>192</v>
      </c>
      <c r="E4177">
        <f>IFERROR(__xludf.DUMMYFUNCTION("""COMPUTED_VALUE"""),10.22)</f>
        <v>10.22</v>
      </c>
      <c r="F4177">
        <f>IFERROR(__xludf.DUMMYFUNCTION("""COMPUTED_VALUE"""),11.21)</f>
        <v>11.21</v>
      </c>
      <c r="G4177">
        <f>IFERROR(__xludf.DUMMYFUNCTION("""COMPUTED_VALUE"""),12.87)</f>
        <v>12.87</v>
      </c>
    </row>
    <row r="4178">
      <c r="A4178">
        <f>IFERROR(__xludf.DUMMYFUNCTION("""COMPUTED_VALUE"""),783756.0)</f>
        <v>783756</v>
      </c>
      <c r="B4178" t="str">
        <f>IFERROR(__xludf.DUMMYFUNCTION("""COMPUTED_VALUE"""),"Meatballs Swedish In Gravy With Noodles Diet Frozen Meal")</f>
        <v>Meatballs Swedish In Gravy With Noodles Diet Frozen Meal</v>
      </c>
      <c r="C4178" t="str">
        <f>IFERROR(__xludf.DUMMYFUNCTION("""COMPUTED_VALUE"""),"Meats")</f>
        <v>Meats</v>
      </c>
      <c r="D4178">
        <f>IFERROR(__xludf.DUMMYFUNCTION("""COMPUTED_VALUE"""),112.0)</f>
        <v>112</v>
      </c>
      <c r="E4178">
        <f>IFERROR(__xludf.DUMMYFUNCTION("""COMPUTED_VALUE"""),3.35)</f>
        <v>3.35</v>
      </c>
      <c r="F4178">
        <f>IFERROR(__xludf.DUMMYFUNCTION("""COMPUTED_VALUE"""),9.67)</f>
        <v>9.67</v>
      </c>
      <c r="G4178">
        <f>IFERROR(__xludf.DUMMYFUNCTION("""COMPUTED_VALUE"""),10.57)</f>
        <v>10.57</v>
      </c>
    </row>
    <row r="4179">
      <c r="A4179">
        <f>IFERROR(__xludf.DUMMYFUNCTION("""COMPUTED_VALUE"""),783757.0)</f>
        <v>783757</v>
      </c>
      <c r="B4179" t="str">
        <f>IFERROR(__xludf.DUMMYFUNCTION("""COMPUTED_VALUE"""),"Salisbury Steak Baked With Tomato Sauce Vegetable Diet Frozen Meal")</f>
        <v>Salisbury Steak Baked With Tomato Sauce Vegetable Diet Frozen Meal</v>
      </c>
      <c r="C4179" t="str">
        <f>IFERROR(__xludf.DUMMYFUNCTION("""COMPUTED_VALUE"""),"Meats")</f>
        <v>Meats</v>
      </c>
      <c r="D4179">
        <f>IFERROR(__xludf.DUMMYFUNCTION("""COMPUTED_VALUE"""),106.0)</f>
        <v>106</v>
      </c>
      <c r="E4179">
        <f>IFERROR(__xludf.DUMMYFUNCTION("""COMPUTED_VALUE"""),5.64)</f>
        <v>5.64</v>
      </c>
      <c r="F4179">
        <f>IFERROR(__xludf.DUMMYFUNCTION("""COMPUTED_VALUE"""),8.84)</f>
        <v>8.84</v>
      </c>
      <c r="G4179">
        <f>IFERROR(__xludf.DUMMYFUNCTION("""COMPUTED_VALUE"""),4.86)</f>
        <v>4.86</v>
      </c>
    </row>
    <row r="4180">
      <c r="A4180">
        <f>IFERROR(__xludf.DUMMYFUNCTION("""COMPUTED_VALUE"""),783758.0)</f>
        <v>783758</v>
      </c>
      <c r="B4180" t="str">
        <f>IFERROR(__xludf.DUMMYFUNCTION("""COMPUTED_VALUE"""),"Beef With Spaetzle Or Rice Vegetable Frozen Meal")</f>
        <v>Beef With Spaetzle Or Rice Vegetable Frozen Meal</v>
      </c>
      <c r="C4180" t="str">
        <f>IFERROR(__xludf.DUMMYFUNCTION("""COMPUTED_VALUE"""),"Meats")</f>
        <v>Meats</v>
      </c>
      <c r="D4180">
        <f>IFERROR(__xludf.DUMMYFUNCTION("""COMPUTED_VALUE"""),119.0)</f>
        <v>119</v>
      </c>
      <c r="E4180">
        <f>IFERROR(__xludf.DUMMYFUNCTION("""COMPUTED_VALUE"""),4.35)</f>
        <v>4.35</v>
      </c>
      <c r="F4180">
        <f>IFERROR(__xludf.DUMMYFUNCTION("""COMPUTED_VALUE"""),7.01)</f>
        <v>7.01</v>
      </c>
      <c r="G4180">
        <f>IFERROR(__xludf.DUMMYFUNCTION("""COMPUTED_VALUE"""),12.49)</f>
        <v>12.49</v>
      </c>
    </row>
    <row r="4181">
      <c r="A4181">
        <f>IFERROR(__xludf.DUMMYFUNCTION("""COMPUTED_VALUE"""),783759.0)</f>
        <v>783759</v>
      </c>
      <c r="B4181" t="str">
        <f>IFERROR(__xludf.DUMMYFUNCTION("""COMPUTED_VALUE"""),"Veal Dinner NFS Frozen Meal")</f>
        <v>Veal Dinner NFS Frozen Meal</v>
      </c>
      <c r="C4181" t="str">
        <f>IFERROR(__xludf.DUMMYFUNCTION("""COMPUTED_VALUE"""),"Meats")</f>
        <v>Meats</v>
      </c>
      <c r="D4181">
        <f>IFERROR(__xludf.DUMMYFUNCTION("""COMPUTED_VALUE"""),129.0)</f>
        <v>129</v>
      </c>
      <c r="E4181">
        <f>IFERROR(__xludf.DUMMYFUNCTION("""COMPUTED_VALUE"""),6.26)</f>
        <v>6.26</v>
      </c>
      <c r="F4181">
        <f>IFERROR(__xludf.DUMMYFUNCTION("""COMPUTED_VALUE"""),6.36)</f>
        <v>6.36</v>
      </c>
      <c r="G4181">
        <f>IFERROR(__xludf.DUMMYFUNCTION("""COMPUTED_VALUE"""),11.91)</f>
        <v>11.91</v>
      </c>
    </row>
    <row r="4182">
      <c r="A4182">
        <f>IFERROR(__xludf.DUMMYFUNCTION("""COMPUTED_VALUE"""),783760.0)</f>
        <v>783760</v>
      </c>
      <c r="B4182" t="str">
        <f>IFERROR(__xludf.DUMMYFUNCTION("""COMPUTED_VALUE"""),"Veal Breaded With Spaghetti In Tomato Sauce Frozen Meal")</f>
        <v>Veal Breaded With Spaghetti In Tomato Sauce Frozen Meal</v>
      </c>
      <c r="C4182" t="str">
        <f>IFERROR(__xludf.DUMMYFUNCTION("""COMPUTED_VALUE"""),"Meats")</f>
        <v>Meats</v>
      </c>
      <c r="D4182">
        <f>IFERROR(__xludf.DUMMYFUNCTION("""COMPUTED_VALUE"""),129.0)</f>
        <v>129</v>
      </c>
      <c r="E4182">
        <f>IFERROR(__xludf.DUMMYFUNCTION("""COMPUTED_VALUE"""),6.26)</f>
        <v>6.26</v>
      </c>
      <c r="F4182">
        <f>IFERROR(__xludf.DUMMYFUNCTION("""COMPUTED_VALUE"""),6.36)</f>
        <v>6.36</v>
      </c>
      <c r="G4182">
        <f>IFERROR(__xludf.DUMMYFUNCTION("""COMPUTED_VALUE"""),11.91)</f>
        <v>11.91</v>
      </c>
    </row>
    <row r="4183">
      <c r="A4183">
        <f>IFERROR(__xludf.DUMMYFUNCTION("""COMPUTED_VALUE"""),783761.0)</f>
        <v>783761</v>
      </c>
      <c r="B4183" t="str">
        <f>IFERROR(__xludf.DUMMYFUNCTION("""COMPUTED_VALUE"""),"Veal Parmigiana With Vegetable Fettuccine Alfredo Dessert Frozen Meal")</f>
        <v>Veal Parmigiana With Vegetable Fettuccine Alfredo Dessert Frozen Meal</v>
      </c>
      <c r="C4183" t="str">
        <f>IFERROR(__xludf.DUMMYFUNCTION("""COMPUTED_VALUE"""),"Meats")</f>
        <v>Meats</v>
      </c>
      <c r="D4183">
        <f>IFERROR(__xludf.DUMMYFUNCTION("""COMPUTED_VALUE"""),140.0)</f>
        <v>140</v>
      </c>
      <c r="E4183">
        <f>IFERROR(__xludf.DUMMYFUNCTION("""COMPUTED_VALUE"""),7.01)</f>
        <v>7.01</v>
      </c>
      <c r="F4183">
        <f>IFERROR(__xludf.DUMMYFUNCTION("""COMPUTED_VALUE"""),6.14)</f>
        <v>6.14</v>
      </c>
      <c r="G4183">
        <f>IFERROR(__xludf.DUMMYFUNCTION("""COMPUTED_VALUE"""),13.46)</f>
        <v>13.46</v>
      </c>
    </row>
    <row r="4184">
      <c r="A4184">
        <f>IFERROR(__xludf.DUMMYFUNCTION("""COMPUTED_VALUE"""),783762.0)</f>
        <v>783762</v>
      </c>
      <c r="B4184" t="str">
        <f>IFERROR(__xludf.DUMMYFUNCTION("""COMPUTED_VALUE"""),"Chicken Dinner NFS Frozen Meal")</f>
        <v>Chicken Dinner NFS Frozen Meal</v>
      </c>
      <c r="C4184" t="str">
        <f>IFERROR(__xludf.DUMMYFUNCTION("""COMPUTED_VALUE"""),"Meats")</f>
        <v>Meats</v>
      </c>
      <c r="D4184">
        <f>IFERROR(__xludf.DUMMYFUNCTION("""COMPUTED_VALUE"""),129.0)</f>
        <v>129</v>
      </c>
      <c r="E4184">
        <f>IFERROR(__xludf.DUMMYFUNCTION("""COMPUTED_VALUE"""),4.3)</f>
        <v>4.3</v>
      </c>
      <c r="F4184">
        <f>IFERROR(__xludf.DUMMYFUNCTION("""COMPUTED_VALUE"""),8.9)</f>
        <v>8.9</v>
      </c>
      <c r="G4184">
        <f>IFERROR(__xludf.DUMMYFUNCTION("""COMPUTED_VALUE"""),13.25)</f>
        <v>13.25</v>
      </c>
    </row>
    <row r="4185">
      <c r="A4185">
        <f>IFERROR(__xludf.DUMMYFUNCTION("""COMPUTED_VALUE"""),783763.0)</f>
        <v>783763</v>
      </c>
      <c r="B4185" t="str">
        <f>IFERROR(__xludf.DUMMYFUNCTION("""COMPUTED_VALUE"""),"Chicken Divan Frozen Meal")</f>
        <v>Chicken Divan Frozen Meal</v>
      </c>
      <c r="C4185" t="str">
        <f>IFERROR(__xludf.DUMMYFUNCTION("""COMPUTED_VALUE"""),"Meats")</f>
        <v>Meats</v>
      </c>
      <c r="D4185">
        <f>IFERROR(__xludf.DUMMYFUNCTION("""COMPUTED_VALUE"""),152.0)</f>
        <v>152</v>
      </c>
      <c r="E4185">
        <f>IFERROR(__xludf.DUMMYFUNCTION("""COMPUTED_VALUE"""),9.69)</f>
        <v>9.69</v>
      </c>
      <c r="F4185">
        <f>IFERROR(__xludf.DUMMYFUNCTION("""COMPUTED_VALUE"""),9.34)</f>
        <v>9.34</v>
      </c>
      <c r="G4185">
        <f>IFERROR(__xludf.DUMMYFUNCTION("""COMPUTED_VALUE"""),6.53)</f>
        <v>6.53</v>
      </c>
    </row>
    <row r="4186">
      <c r="A4186">
        <f>IFERROR(__xludf.DUMMYFUNCTION("""COMPUTED_VALUE"""),783764.0)</f>
        <v>783764</v>
      </c>
      <c r="B4186" t="str">
        <f>IFERROR(__xludf.DUMMYFUNCTION("""COMPUTED_VALUE"""),"Chicken Boneless With Gravy Dressing Rice Vegetable Dessert Frozen Meal")</f>
        <v>Chicken Boneless With Gravy Dressing Rice Vegetable Dessert Frozen Meal</v>
      </c>
      <c r="C4186" t="str">
        <f>IFERROR(__xludf.DUMMYFUNCTION("""COMPUTED_VALUE"""),"Meats")</f>
        <v>Meats</v>
      </c>
      <c r="D4186">
        <f>IFERROR(__xludf.DUMMYFUNCTION("""COMPUTED_VALUE"""),174.0)</f>
        <v>174</v>
      </c>
      <c r="E4186">
        <f>IFERROR(__xludf.DUMMYFUNCTION("""COMPUTED_VALUE"""),5.7)</f>
        <v>5.7</v>
      </c>
      <c r="F4186">
        <f>IFERROR(__xludf.DUMMYFUNCTION("""COMPUTED_VALUE"""),9.27)</f>
        <v>9.27</v>
      </c>
      <c r="G4186">
        <f>IFERROR(__xludf.DUMMYFUNCTION("""COMPUTED_VALUE"""),20.9)</f>
        <v>20.9</v>
      </c>
    </row>
    <row r="4187">
      <c r="A4187">
        <f>IFERROR(__xludf.DUMMYFUNCTION("""COMPUTED_VALUE"""),783765.0)</f>
        <v>783765</v>
      </c>
      <c r="B4187" t="str">
        <f>IFERROR(__xludf.DUMMYFUNCTION("""COMPUTED_VALUE"""),"Chicken And Noodles With Vegetable Dessert Frozen Meal")</f>
        <v>Chicken And Noodles With Vegetable Dessert Frozen Meal</v>
      </c>
      <c r="C4187" t="str">
        <f>IFERROR(__xludf.DUMMYFUNCTION("""COMPUTED_VALUE"""),"Meats")</f>
        <v>Meats</v>
      </c>
      <c r="D4187">
        <f>IFERROR(__xludf.DUMMYFUNCTION("""COMPUTED_VALUE"""),136.0)</f>
        <v>136</v>
      </c>
      <c r="E4187">
        <f>IFERROR(__xludf.DUMMYFUNCTION("""COMPUTED_VALUE"""),4.76)</f>
        <v>4.76</v>
      </c>
      <c r="F4187">
        <f>IFERROR(__xludf.DUMMYFUNCTION("""COMPUTED_VALUE"""),5.67)</f>
        <v>5.67</v>
      </c>
      <c r="G4187">
        <f>IFERROR(__xludf.DUMMYFUNCTION("""COMPUTED_VALUE"""),17.75)</f>
        <v>17.75</v>
      </c>
    </row>
    <row r="4188">
      <c r="A4188">
        <f>IFERROR(__xludf.DUMMYFUNCTION("""COMPUTED_VALUE"""),783766.0)</f>
        <v>783766</v>
      </c>
      <c r="B4188" t="str">
        <f>IFERROR(__xludf.DUMMYFUNCTION("""COMPUTED_VALUE"""),"Chicken Fried With Potatoes Vegetable Frozen Meal")</f>
        <v>Chicken Fried With Potatoes Vegetable Frozen Meal</v>
      </c>
      <c r="C4188" t="str">
        <f>IFERROR(__xludf.DUMMYFUNCTION("""COMPUTED_VALUE"""),"Meats")</f>
        <v>Meats</v>
      </c>
      <c r="D4188">
        <f>IFERROR(__xludf.DUMMYFUNCTION("""COMPUTED_VALUE"""),169.0)</f>
        <v>169</v>
      </c>
      <c r="E4188">
        <f>IFERROR(__xludf.DUMMYFUNCTION("""COMPUTED_VALUE"""),9.13)</f>
        <v>9.13</v>
      </c>
      <c r="F4188">
        <f>IFERROR(__xludf.DUMMYFUNCTION("""COMPUTED_VALUE"""),10.51)</f>
        <v>10.51</v>
      </c>
      <c r="G4188">
        <f>IFERROR(__xludf.DUMMYFUNCTION("""COMPUTED_VALUE"""),10.64)</f>
        <v>10.64</v>
      </c>
    </row>
    <row r="4189">
      <c r="A4189">
        <f>IFERROR(__xludf.DUMMYFUNCTION("""COMPUTED_VALUE"""),783767.0)</f>
        <v>783767</v>
      </c>
      <c r="B4189" t="str">
        <f>IFERROR(__xludf.DUMMYFUNCTION("""COMPUTED_VALUE"""),"Chicken Patty Or Nuggets Boneless Breaded Potatoes Vegetable Frozen Meal")</f>
        <v>Chicken Patty Or Nuggets Boneless Breaded Potatoes Vegetable Frozen Meal</v>
      </c>
      <c r="C4189" t="str">
        <f>IFERROR(__xludf.DUMMYFUNCTION("""COMPUTED_VALUE"""),"Meats")</f>
        <v>Meats</v>
      </c>
      <c r="D4189">
        <f>IFERROR(__xludf.DUMMYFUNCTION("""COMPUTED_VALUE"""),204.0)</f>
        <v>204</v>
      </c>
      <c r="E4189">
        <f>IFERROR(__xludf.DUMMYFUNCTION("""COMPUTED_VALUE"""),10.42)</f>
        <v>10.42</v>
      </c>
      <c r="F4189">
        <f>IFERROR(__xludf.DUMMYFUNCTION("""COMPUTED_VALUE"""),10.71)</f>
        <v>10.71</v>
      </c>
      <c r="G4189">
        <f>IFERROR(__xludf.DUMMYFUNCTION("""COMPUTED_VALUE"""),17.58)</f>
        <v>17.58</v>
      </c>
    </row>
    <row r="4190">
      <c r="A4190">
        <f>IFERROR(__xludf.DUMMYFUNCTION("""COMPUTED_VALUE"""),783768.0)</f>
        <v>783768</v>
      </c>
      <c r="B4190" t="str">
        <f>IFERROR(__xludf.DUMMYFUNCTION("""COMPUTED_VALUE"""),"Chicken Patty Breaded With Tomato Sauce And Cheese Fettuccine Alfredo Vegetable Frozen Meal")</f>
        <v>Chicken Patty Breaded With Tomato Sauce And Cheese Fettuccine Alfredo Vegetable Frozen Meal</v>
      </c>
      <c r="C4190" t="str">
        <f>IFERROR(__xludf.DUMMYFUNCTION("""COMPUTED_VALUE"""),"Meats")</f>
        <v>Meats</v>
      </c>
      <c r="D4190">
        <f>IFERROR(__xludf.DUMMYFUNCTION("""COMPUTED_VALUE"""),122.0)</f>
        <v>122</v>
      </c>
      <c r="E4190">
        <f>IFERROR(__xludf.DUMMYFUNCTION("""COMPUTED_VALUE"""),5.65)</f>
        <v>5.65</v>
      </c>
      <c r="F4190">
        <f>IFERROR(__xludf.DUMMYFUNCTION("""COMPUTED_VALUE"""),9.4)</f>
        <v>9.4</v>
      </c>
      <c r="G4190">
        <f>IFERROR(__xludf.DUMMYFUNCTION("""COMPUTED_VALUE"""),8.45)</f>
        <v>8.45</v>
      </c>
    </row>
    <row r="4191">
      <c r="A4191">
        <f>IFERROR(__xludf.DUMMYFUNCTION("""COMPUTED_VALUE"""),783769.0)</f>
        <v>783769</v>
      </c>
      <c r="B4191" t="str">
        <f>IFERROR(__xludf.DUMMYFUNCTION("""COMPUTED_VALUE"""),"Chicken Patty Or Nuggets Boneless Breaded With Pasta And Tomato Sauce Fruit Dessert Frozen Meal")</f>
        <v>Chicken Patty Or Nuggets Boneless Breaded With Pasta And Tomato Sauce Fruit Dessert Frozen Meal</v>
      </c>
      <c r="C4191" t="str">
        <f>IFERROR(__xludf.DUMMYFUNCTION("""COMPUTED_VALUE"""),"Meats")</f>
        <v>Meats</v>
      </c>
      <c r="D4191">
        <f>IFERROR(__xludf.DUMMYFUNCTION("""COMPUTED_VALUE"""),178.0)</f>
        <v>178</v>
      </c>
      <c r="E4191">
        <f>IFERROR(__xludf.DUMMYFUNCTION("""COMPUTED_VALUE"""),7.4)</f>
        <v>7.4</v>
      </c>
      <c r="F4191">
        <f>IFERROR(__xludf.DUMMYFUNCTION("""COMPUTED_VALUE"""),5.09)</f>
        <v>5.09</v>
      </c>
      <c r="G4191">
        <f>IFERROR(__xludf.DUMMYFUNCTION("""COMPUTED_VALUE"""),23.46)</f>
        <v>23.46</v>
      </c>
    </row>
    <row r="4192">
      <c r="A4192">
        <f>IFERROR(__xludf.DUMMYFUNCTION("""COMPUTED_VALUE"""),783770.0)</f>
        <v>783770</v>
      </c>
      <c r="B4192" t="str">
        <f>IFERROR(__xludf.DUMMYFUNCTION("""COMPUTED_VALUE"""),"Chicken Fried With Potatoes Vegetable Dessert Frozen Meal")</f>
        <v>Chicken Fried With Potatoes Vegetable Dessert Frozen Meal</v>
      </c>
      <c r="C4192" t="str">
        <f>IFERROR(__xludf.DUMMYFUNCTION("""COMPUTED_VALUE"""),"Meats")</f>
        <v>Meats</v>
      </c>
      <c r="D4192">
        <f>IFERROR(__xludf.DUMMYFUNCTION("""COMPUTED_VALUE"""),175.0)</f>
        <v>175</v>
      </c>
      <c r="E4192">
        <f>IFERROR(__xludf.DUMMYFUNCTION("""COMPUTED_VALUE"""),8.82)</f>
        <v>8.82</v>
      </c>
      <c r="F4192">
        <f>IFERROR(__xludf.DUMMYFUNCTION("""COMPUTED_VALUE"""),9.98)</f>
        <v>9.98</v>
      </c>
      <c r="G4192">
        <f>IFERROR(__xludf.DUMMYFUNCTION("""COMPUTED_VALUE"""),13.46)</f>
        <v>13.46</v>
      </c>
    </row>
    <row r="4193">
      <c r="A4193">
        <f>IFERROR(__xludf.DUMMYFUNCTION("""COMPUTED_VALUE"""),783771.0)</f>
        <v>783771</v>
      </c>
      <c r="B4193" t="str">
        <f>IFERROR(__xludf.DUMMYFUNCTION("""COMPUTED_VALUE"""),"Chicken Fried With Potatoes Vegetable Dessert Frozen Meal Large Meat Portion")</f>
        <v>Chicken Fried With Potatoes Vegetable Dessert Frozen Meal Large Meat Portion</v>
      </c>
      <c r="C4193" t="str">
        <f>IFERROR(__xludf.DUMMYFUNCTION("""COMPUTED_VALUE"""),"Meats")</f>
        <v>Meats</v>
      </c>
      <c r="D4193">
        <f>IFERROR(__xludf.DUMMYFUNCTION("""COMPUTED_VALUE"""),211.0)</f>
        <v>211</v>
      </c>
      <c r="E4193">
        <f>IFERROR(__xludf.DUMMYFUNCTION("""COMPUTED_VALUE"""),10.66)</f>
        <v>10.66</v>
      </c>
      <c r="F4193">
        <f>IFERROR(__xludf.DUMMYFUNCTION("""COMPUTED_VALUE"""),11.35)</f>
        <v>11.35</v>
      </c>
      <c r="G4193">
        <f>IFERROR(__xludf.DUMMYFUNCTION("""COMPUTED_VALUE"""),18.02)</f>
        <v>18.02</v>
      </c>
    </row>
    <row r="4194">
      <c r="A4194">
        <f>IFERROR(__xludf.DUMMYFUNCTION("""COMPUTED_VALUE"""),783772.0)</f>
        <v>783772</v>
      </c>
      <c r="B4194" t="str">
        <f>IFERROR(__xludf.DUMMYFUNCTION("""COMPUTED_VALUE"""),"Chicken Patty Parmigiana Breaded With Vegetable Diet Frozen Meal")</f>
        <v>Chicken Patty Parmigiana Breaded With Vegetable Diet Frozen Meal</v>
      </c>
      <c r="C4194" t="str">
        <f>IFERROR(__xludf.DUMMYFUNCTION("""COMPUTED_VALUE"""),"Meats")</f>
        <v>Meats</v>
      </c>
      <c r="D4194">
        <f>IFERROR(__xludf.DUMMYFUNCTION("""COMPUTED_VALUE"""),135.0)</f>
        <v>135</v>
      </c>
      <c r="E4194">
        <f>IFERROR(__xludf.DUMMYFUNCTION("""COMPUTED_VALUE"""),7.8)</f>
        <v>7.8</v>
      </c>
      <c r="F4194">
        <f>IFERROR(__xludf.DUMMYFUNCTION("""COMPUTED_VALUE"""),9.6)</f>
        <v>9.6</v>
      </c>
      <c r="G4194">
        <f>IFERROR(__xludf.DUMMYFUNCTION("""COMPUTED_VALUE"""),6.81)</f>
        <v>6.81</v>
      </c>
    </row>
    <row r="4195">
      <c r="A4195">
        <f>IFERROR(__xludf.DUMMYFUNCTION("""COMPUTED_VALUE"""),783774.0)</f>
        <v>783774</v>
      </c>
      <c r="B4195" t="str">
        <f>IFERROR(__xludf.DUMMYFUNCTION("""COMPUTED_VALUE"""),"Chicken With Rice And Vegetable Diet Frozen Meal")</f>
        <v>Chicken With Rice And Vegetable Diet Frozen Meal</v>
      </c>
      <c r="C4195" t="str">
        <f>IFERROR(__xludf.DUMMYFUNCTION("""COMPUTED_VALUE"""),"Meats")</f>
        <v>Meats</v>
      </c>
      <c r="D4195">
        <f>IFERROR(__xludf.DUMMYFUNCTION("""COMPUTED_VALUE"""),115.0)</f>
        <v>115</v>
      </c>
      <c r="E4195">
        <f>IFERROR(__xludf.DUMMYFUNCTION("""COMPUTED_VALUE"""),3.3)</f>
        <v>3.3</v>
      </c>
      <c r="F4195">
        <f>IFERROR(__xludf.DUMMYFUNCTION("""COMPUTED_VALUE"""),10.41)</f>
        <v>10.41</v>
      </c>
      <c r="G4195">
        <f>IFERROR(__xludf.DUMMYFUNCTION("""COMPUTED_VALUE"""),10.43)</f>
        <v>10.43</v>
      </c>
    </row>
    <row r="4196">
      <c r="A4196">
        <f>IFERROR(__xludf.DUMMYFUNCTION("""COMPUTED_VALUE"""),783775.0)</f>
        <v>783775</v>
      </c>
      <c r="B4196" t="str">
        <f>IFERROR(__xludf.DUMMYFUNCTION("""COMPUTED_VALUE"""),"Chicken A La King With Rice Frozen Meal")</f>
        <v>Chicken A La King With Rice Frozen Meal</v>
      </c>
      <c r="C4196" t="str">
        <f>IFERROR(__xludf.DUMMYFUNCTION("""COMPUTED_VALUE"""),"Meats")</f>
        <v>Meats</v>
      </c>
      <c r="D4196">
        <f>IFERROR(__xludf.DUMMYFUNCTION("""COMPUTED_VALUE"""),160.0)</f>
        <v>160</v>
      </c>
      <c r="E4196">
        <f>IFERROR(__xludf.DUMMYFUNCTION("""COMPUTED_VALUE"""),8.14)</f>
        <v>8.14</v>
      </c>
      <c r="F4196">
        <f>IFERROR(__xludf.DUMMYFUNCTION("""COMPUTED_VALUE"""),6.82)</f>
        <v>6.82</v>
      </c>
      <c r="G4196">
        <f>IFERROR(__xludf.DUMMYFUNCTION("""COMPUTED_VALUE"""),14.89)</f>
        <v>14.89</v>
      </c>
    </row>
    <row r="4197">
      <c r="A4197">
        <f>IFERROR(__xludf.DUMMYFUNCTION("""COMPUTED_VALUE"""),783776.0)</f>
        <v>783776</v>
      </c>
      <c r="B4197" t="str">
        <f>IFERROR(__xludf.DUMMYFUNCTION("""COMPUTED_VALUE"""),"Chicken And Vegetables In Cream Or White Sauce Diet Frozen Meal")</f>
        <v>Chicken And Vegetables In Cream Or White Sauce Diet Frozen Meal</v>
      </c>
      <c r="C4197" t="str">
        <f>IFERROR(__xludf.DUMMYFUNCTION("""COMPUTED_VALUE"""),"Meats")</f>
        <v>Meats</v>
      </c>
      <c r="D4197">
        <f>IFERROR(__xludf.DUMMYFUNCTION("""COMPUTED_VALUE"""),96.0)</f>
        <v>96</v>
      </c>
      <c r="E4197">
        <f>IFERROR(__xludf.DUMMYFUNCTION("""COMPUTED_VALUE"""),3.16)</f>
        <v>3.16</v>
      </c>
      <c r="F4197">
        <f>IFERROR(__xludf.DUMMYFUNCTION("""COMPUTED_VALUE"""),10.58)</f>
        <v>10.58</v>
      </c>
      <c r="G4197">
        <f>IFERROR(__xludf.DUMMYFUNCTION("""COMPUTED_VALUE"""),5.93)</f>
        <v>5.93</v>
      </c>
    </row>
    <row r="4198">
      <c r="A4198">
        <f>IFERROR(__xludf.DUMMYFUNCTION("""COMPUTED_VALUE"""),783777.0)</f>
        <v>783777</v>
      </c>
      <c r="B4198" t="str">
        <f>IFERROR(__xludf.DUMMYFUNCTION("""COMPUTED_VALUE"""),"Chicken And Vegetables Au Gratin With Rice Diet Frozen Entree")</f>
        <v>Chicken And Vegetables Au Gratin With Rice Diet Frozen Entree</v>
      </c>
      <c r="C4198" t="str">
        <f>IFERROR(__xludf.DUMMYFUNCTION("""COMPUTED_VALUE"""),"Meats")</f>
        <v>Meats</v>
      </c>
      <c r="D4198">
        <f>IFERROR(__xludf.DUMMYFUNCTION("""COMPUTED_VALUE"""),123.0)</f>
        <v>123</v>
      </c>
      <c r="E4198">
        <f>IFERROR(__xludf.DUMMYFUNCTION("""COMPUTED_VALUE"""),5.21)</f>
        <v>5.21</v>
      </c>
      <c r="F4198">
        <f>IFERROR(__xludf.DUMMYFUNCTION("""COMPUTED_VALUE"""),11.29)</f>
        <v>11.29</v>
      </c>
      <c r="G4198">
        <f>IFERROR(__xludf.DUMMYFUNCTION("""COMPUTED_VALUE"""),7.38)</f>
        <v>7.38</v>
      </c>
    </row>
    <row r="4199">
      <c r="A4199">
        <f>IFERROR(__xludf.DUMMYFUNCTION("""COMPUTED_VALUE"""),783778.0)</f>
        <v>783778</v>
      </c>
      <c r="B4199" t="str">
        <f>IFERROR(__xludf.DUMMYFUNCTION("""COMPUTED_VALUE"""),"Chicken And Vegetable Entree With Rice Diet Frozen Meal")</f>
        <v>Chicken And Vegetable Entree With Rice Diet Frozen Meal</v>
      </c>
      <c r="C4199" t="str">
        <f>IFERROR(__xludf.DUMMYFUNCTION("""COMPUTED_VALUE"""),"Meats")</f>
        <v>Meats</v>
      </c>
      <c r="D4199">
        <f>IFERROR(__xludf.DUMMYFUNCTION("""COMPUTED_VALUE"""),189.0)</f>
        <v>189</v>
      </c>
      <c r="E4199">
        <f>IFERROR(__xludf.DUMMYFUNCTION("""COMPUTED_VALUE"""),5.62)</f>
        <v>5.62</v>
      </c>
      <c r="F4199">
        <f>IFERROR(__xludf.DUMMYFUNCTION("""COMPUTED_VALUE"""),12.66)</f>
        <v>12.66</v>
      </c>
      <c r="G4199">
        <f>IFERROR(__xludf.DUMMYFUNCTION("""COMPUTED_VALUE"""),23.0)</f>
        <v>23</v>
      </c>
    </row>
    <row r="4200">
      <c r="A4200">
        <f>IFERROR(__xludf.DUMMYFUNCTION("""COMPUTED_VALUE"""),783780.0)</f>
        <v>783780</v>
      </c>
      <c r="B4200" t="str">
        <f>IFERROR(__xludf.DUMMYFUNCTION("""COMPUTED_VALUE"""),"Chicken With Noodles And Cheese Sauce Diet Frozen Meal")</f>
        <v>Chicken With Noodles And Cheese Sauce Diet Frozen Meal</v>
      </c>
      <c r="C4200" t="str">
        <f>IFERROR(__xludf.DUMMYFUNCTION("""COMPUTED_VALUE"""),"Meats")</f>
        <v>Meats</v>
      </c>
      <c r="D4200">
        <f>IFERROR(__xludf.DUMMYFUNCTION("""COMPUTED_VALUE"""),119.0)</f>
        <v>119</v>
      </c>
      <c r="E4200">
        <f>IFERROR(__xludf.DUMMYFUNCTION("""COMPUTED_VALUE"""),2.86)</f>
        <v>2.86</v>
      </c>
      <c r="F4200">
        <f>IFERROR(__xludf.DUMMYFUNCTION("""COMPUTED_VALUE"""),10.9)</f>
        <v>10.9</v>
      </c>
      <c r="G4200">
        <f>IFERROR(__xludf.DUMMYFUNCTION("""COMPUTED_VALUE"""),11.67)</f>
        <v>11.67</v>
      </c>
    </row>
    <row r="4201">
      <c r="A4201">
        <f>IFERROR(__xludf.DUMMYFUNCTION("""COMPUTED_VALUE"""),783781.0)</f>
        <v>783781</v>
      </c>
      <c r="B4201" t="str">
        <f>IFERROR(__xludf.DUMMYFUNCTION("""COMPUTED_VALUE"""),"Chicken Cacciatore With Noodles Diet Frozen Meal")</f>
        <v>Chicken Cacciatore With Noodles Diet Frozen Meal</v>
      </c>
      <c r="C4201" t="str">
        <f>IFERROR(__xludf.DUMMYFUNCTION("""COMPUTED_VALUE"""),"Meats")</f>
        <v>Meats</v>
      </c>
      <c r="D4201">
        <f>IFERROR(__xludf.DUMMYFUNCTION("""COMPUTED_VALUE"""),103.0)</f>
        <v>103</v>
      </c>
      <c r="E4201">
        <f>IFERROR(__xludf.DUMMYFUNCTION("""COMPUTED_VALUE"""),3.2)</f>
        <v>3.2</v>
      </c>
      <c r="F4201">
        <f>IFERROR(__xludf.DUMMYFUNCTION("""COMPUTED_VALUE"""),7.5)</f>
        <v>7.5</v>
      </c>
      <c r="G4201">
        <f>IFERROR(__xludf.DUMMYFUNCTION("""COMPUTED_VALUE"""),10.92)</f>
        <v>10.92</v>
      </c>
    </row>
    <row r="4202">
      <c r="A4202">
        <f>IFERROR(__xludf.DUMMYFUNCTION("""COMPUTED_VALUE"""),783782.0)</f>
        <v>783782</v>
      </c>
      <c r="B4202" t="str">
        <f>IFERROR(__xludf.DUMMYFUNCTION("""COMPUTED_VALUE"""),"Chicken And Vegetable Entree With Noodles Frozen Meal")</f>
        <v>Chicken And Vegetable Entree With Noodles Frozen Meal</v>
      </c>
      <c r="C4202" t="str">
        <f>IFERROR(__xludf.DUMMYFUNCTION("""COMPUTED_VALUE"""),"Meats")</f>
        <v>Meats</v>
      </c>
      <c r="D4202">
        <f>IFERROR(__xludf.DUMMYFUNCTION("""COMPUTED_VALUE"""),102.0)</f>
        <v>102</v>
      </c>
      <c r="E4202">
        <f>IFERROR(__xludf.DUMMYFUNCTION("""COMPUTED_VALUE"""),2.12)</f>
        <v>2.12</v>
      </c>
      <c r="F4202">
        <f>IFERROR(__xludf.DUMMYFUNCTION("""COMPUTED_VALUE"""),7.23)</f>
        <v>7.23</v>
      </c>
      <c r="G4202">
        <f>IFERROR(__xludf.DUMMYFUNCTION("""COMPUTED_VALUE"""),13.58)</f>
        <v>13.58</v>
      </c>
    </row>
    <row r="4203">
      <c r="A4203">
        <f>IFERROR(__xludf.DUMMYFUNCTION("""COMPUTED_VALUE"""),783783.0)</f>
        <v>783783</v>
      </c>
      <c r="B4203" t="str">
        <f>IFERROR(__xludf.DUMMYFUNCTION("""COMPUTED_VALUE"""),"Chicken And Vegetable Entree With Noodles Diet Frozen Meal")</f>
        <v>Chicken And Vegetable Entree With Noodles Diet Frozen Meal</v>
      </c>
      <c r="C4203" t="str">
        <f>IFERROR(__xludf.DUMMYFUNCTION("""COMPUTED_VALUE"""),"Meats")</f>
        <v>Meats</v>
      </c>
      <c r="D4203">
        <f>IFERROR(__xludf.DUMMYFUNCTION("""COMPUTED_VALUE"""),84.0)</f>
        <v>84</v>
      </c>
      <c r="E4203">
        <f>IFERROR(__xludf.DUMMYFUNCTION("""COMPUTED_VALUE"""),1.99)</f>
        <v>1.99</v>
      </c>
      <c r="F4203">
        <f>IFERROR(__xludf.DUMMYFUNCTION("""COMPUTED_VALUE"""),7.48)</f>
        <v>7.48</v>
      </c>
      <c r="G4203">
        <f>IFERROR(__xludf.DUMMYFUNCTION("""COMPUTED_VALUE"""),9.11)</f>
        <v>9.11</v>
      </c>
    </row>
    <row r="4204">
      <c r="A4204">
        <f>IFERROR(__xludf.DUMMYFUNCTION("""COMPUTED_VALUE"""),783784.0)</f>
        <v>783784</v>
      </c>
      <c r="B4204" t="str">
        <f>IFERROR(__xludf.DUMMYFUNCTION("""COMPUTED_VALUE"""),"Chicken In Cream Sauce With Noodles And Vegetable Frozen Meal")</f>
        <v>Chicken In Cream Sauce With Noodles And Vegetable Frozen Meal</v>
      </c>
      <c r="C4204" t="str">
        <f>IFERROR(__xludf.DUMMYFUNCTION("""COMPUTED_VALUE"""),"Meats")</f>
        <v>Meats</v>
      </c>
      <c r="D4204">
        <f>IFERROR(__xludf.DUMMYFUNCTION("""COMPUTED_VALUE"""),129.0)</f>
        <v>129</v>
      </c>
      <c r="E4204">
        <f>IFERROR(__xludf.DUMMYFUNCTION("""COMPUTED_VALUE"""),4.3)</f>
        <v>4.3</v>
      </c>
      <c r="F4204">
        <f>IFERROR(__xludf.DUMMYFUNCTION("""COMPUTED_VALUE"""),8.9)</f>
        <v>8.9</v>
      </c>
      <c r="G4204">
        <f>IFERROR(__xludf.DUMMYFUNCTION("""COMPUTED_VALUE"""),13.25)</f>
        <v>13.25</v>
      </c>
    </row>
    <row r="4205">
      <c r="A4205">
        <f>IFERROR(__xludf.DUMMYFUNCTION("""COMPUTED_VALUE"""),783785.0)</f>
        <v>783785</v>
      </c>
      <c r="B4205" t="str">
        <f>IFERROR(__xludf.DUMMYFUNCTION("""COMPUTED_VALUE"""),"Chicken In Butter Sauce With Potatoes And Vegetable Diet Frozen Meal")</f>
        <v>Chicken In Butter Sauce With Potatoes And Vegetable Diet Frozen Meal</v>
      </c>
      <c r="C4205" t="str">
        <f>IFERROR(__xludf.DUMMYFUNCTION("""COMPUTED_VALUE"""),"Meats")</f>
        <v>Meats</v>
      </c>
      <c r="D4205">
        <f>IFERROR(__xludf.DUMMYFUNCTION("""COMPUTED_VALUE"""),119.0)</f>
        <v>119</v>
      </c>
      <c r="E4205">
        <f>IFERROR(__xludf.DUMMYFUNCTION("""COMPUTED_VALUE"""),2.46)</f>
        <v>2.46</v>
      </c>
      <c r="F4205">
        <f>IFERROR(__xludf.DUMMYFUNCTION("""COMPUTED_VALUE"""),18.79)</f>
        <v>18.79</v>
      </c>
      <c r="G4205">
        <f>IFERROR(__xludf.DUMMYFUNCTION("""COMPUTED_VALUE"""),4.48)</f>
        <v>4.48</v>
      </c>
    </row>
    <row r="4206">
      <c r="A4206">
        <f>IFERROR(__xludf.DUMMYFUNCTION("""COMPUTED_VALUE"""),783786.0)</f>
        <v>783786</v>
      </c>
      <c r="B4206" t="str">
        <f>IFERROR(__xludf.DUMMYFUNCTION("""COMPUTED_VALUE"""),"Chicken In Mushroom Sauce White And Wild Rice Vegetable Frozen Meal")</f>
        <v>Chicken In Mushroom Sauce White And Wild Rice Vegetable Frozen Meal</v>
      </c>
      <c r="C4206" t="str">
        <f>IFERROR(__xludf.DUMMYFUNCTION("""COMPUTED_VALUE"""),"Meats")</f>
        <v>Meats</v>
      </c>
      <c r="D4206">
        <f>IFERROR(__xludf.DUMMYFUNCTION("""COMPUTED_VALUE"""),126.0)</f>
        <v>126</v>
      </c>
      <c r="E4206">
        <f>IFERROR(__xludf.DUMMYFUNCTION("""COMPUTED_VALUE"""),5.67)</f>
        <v>5.67</v>
      </c>
      <c r="F4206">
        <f>IFERROR(__xludf.DUMMYFUNCTION("""COMPUTED_VALUE"""),8.22)</f>
        <v>8.22</v>
      </c>
      <c r="G4206">
        <f>IFERROR(__xludf.DUMMYFUNCTION("""COMPUTED_VALUE"""),10.61)</f>
        <v>10.61</v>
      </c>
    </row>
    <row r="4207">
      <c r="A4207">
        <f>IFERROR(__xludf.DUMMYFUNCTION("""COMPUTED_VALUE"""),783789.0)</f>
        <v>783789</v>
      </c>
      <c r="B4207" t="str">
        <f>IFERROR(__xludf.DUMMYFUNCTION("""COMPUTED_VALUE"""),"Chicken And Vegetable Entree With Noodles And Cream Sauce Frozen Meal")</f>
        <v>Chicken And Vegetable Entree With Noodles And Cream Sauce Frozen Meal</v>
      </c>
      <c r="C4207" t="str">
        <f>IFERROR(__xludf.DUMMYFUNCTION("""COMPUTED_VALUE"""),"Meats")</f>
        <v>Meats</v>
      </c>
      <c r="D4207">
        <f>IFERROR(__xludf.DUMMYFUNCTION("""COMPUTED_VALUE"""),124.0)</f>
        <v>124</v>
      </c>
      <c r="E4207">
        <f>IFERROR(__xludf.DUMMYFUNCTION("""COMPUTED_VALUE"""),5.17)</f>
        <v>5.17</v>
      </c>
      <c r="F4207">
        <f>IFERROR(__xludf.DUMMYFUNCTION("""COMPUTED_VALUE"""),8.6)</f>
        <v>8.6</v>
      </c>
      <c r="G4207">
        <f>IFERROR(__xludf.DUMMYFUNCTION("""COMPUTED_VALUE"""),10.59)</f>
        <v>10.59</v>
      </c>
    </row>
    <row r="4208">
      <c r="A4208">
        <f>IFERROR(__xludf.DUMMYFUNCTION("""COMPUTED_VALUE"""),783791.0)</f>
        <v>783791</v>
      </c>
      <c r="B4208" t="str">
        <f>IFERROR(__xludf.DUMMYFUNCTION("""COMPUTED_VALUE"""),"Turkey With Gravy Dressing Vegetable And Fruit Diet Frozen Meal")</f>
        <v>Turkey With Gravy Dressing Vegetable And Fruit Diet Frozen Meal</v>
      </c>
      <c r="C4208" t="str">
        <f>IFERROR(__xludf.DUMMYFUNCTION("""COMPUTED_VALUE"""),"Meats")</f>
        <v>Meats</v>
      </c>
      <c r="D4208">
        <f>IFERROR(__xludf.DUMMYFUNCTION("""COMPUTED_VALUE"""),109.0)</f>
        <v>109</v>
      </c>
      <c r="E4208">
        <f>IFERROR(__xludf.DUMMYFUNCTION("""COMPUTED_VALUE"""),1.58)</f>
        <v>1.58</v>
      </c>
      <c r="F4208">
        <f>IFERROR(__xludf.DUMMYFUNCTION("""COMPUTED_VALUE"""),6.85)</f>
        <v>6.85</v>
      </c>
      <c r="G4208">
        <f>IFERROR(__xludf.DUMMYFUNCTION("""COMPUTED_VALUE"""),17.94)</f>
        <v>17.94</v>
      </c>
    </row>
    <row r="4209">
      <c r="A4209">
        <f>IFERROR(__xludf.DUMMYFUNCTION("""COMPUTED_VALUE"""),783792.0)</f>
        <v>783792</v>
      </c>
      <c r="B4209" t="str">
        <f>IFERROR(__xludf.DUMMYFUNCTION("""COMPUTED_VALUE"""),"Turkey With Vegetable Stuffing Diet Frozen Meal")</f>
        <v>Turkey With Vegetable Stuffing Diet Frozen Meal</v>
      </c>
      <c r="C4209" t="str">
        <f>IFERROR(__xludf.DUMMYFUNCTION("""COMPUTED_VALUE"""),"Meats")</f>
        <v>Meats</v>
      </c>
      <c r="D4209">
        <f>IFERROR(__xludf.DUMMYFUNCTION("""COMPUTED_VALUE"""),95.0)</f>
        <v>95</v>
      </c>
      <c r="E4209">
        <f>IFERROR(__xludf.DUMMYFUNCTION("""COMPUTED_VALUE"""),1.82)</f>
        <v>1.82</v>
      </c>
      <c r="F4209">
        <f>IFERROR(__xludf.DUMMYFUNCTION("""COMPUTED_VALUE"""),9.29)</f>
        <v>9.29</v>
      </c>
      <c r="G4209">
        <f>IFERROR(__xludf.DUMMYFUNCTION("""COMPUTED_VALUE"""),10.54)</f>
        <v>10.54</v>
      </c>
    </row>
    <row r="4210">
      <c r="A4210">
        <f>IFERROR(__xludf.DUMMYFUNCTION("""COMPUTED_VALUE"""),783794.0)</f>
        <v>783794</v>
      </c>
      <c r="B4210" t="str">
        <f>IFERROR(__xludf.DUMMYFUNCTION("""COMPUTED_VALUE"""),"Turkey With Gravy Dressing Potatoes Vegetable Dessert Frozen Meal")</f>
        <v>Turkey With Gravy Dressing Potatoes Vegetable Dessert Frozen Meal</v>
      </c>
      <c r="C4210" t="str">
        <f>IFERROR(__xludf.DUMMYFUNCTION("""COMPUTED_VALUE"""),"Meats")</f>
        <v>Meats</v>
      </c>
      <c r="D4210">
        <f>IFERROR(__xludf.DUMMYFUNCTION("""COMPUTED_VALUE"""),102.0)</f>
        <v>102</v>
      </c>
      <c r="E4210">
        <f>IFERROR(__xludf.DUMMYFUNCTION("""COMPUTED_VALUE"""),3.09)</f>
        <v>3.09</v>
      </c>
      <c r="F4210">
        <f>IFERROR(__xludf.DUMMYFUNCTION("""COMPUTED_VALUE"""),6.45)</f>
        <v>6.45</v>
      </c>
      <c r="G4210">
        <f>IFERROR(__xludf.DUMMYFUNCTION("""COMPUTED_VALUE"""),12.07)</f>
        <v>12.07</v>
      </c>
    </row>
    <row r="4211">
      <c r="A4211">
        <f>IFERROR(__xludf.DUMMYFUNCTION("""COMPUTED_VALUE"""),783795.0)</f>
        <v>783795</v>
      </c>
      <c r="B4211" t="str">
        <f>IFERROR(__xludf.DUMMYFUNCTION("""COMPUTED_VALUE"""),"Turkey Tetrazzini Frozen Meal")</f>
        <v>Turkey Tetrazzini Frozen Meal</v>
      </c>
      <c r="C4211" t="str">
        <f>IFERROR(__xludf.DUMMYFUNCTION("""COMPUTED_VALUE"""),"Meats")</f>
        <v>Meats</v>
      </c>
      <c r="D4211">
        <f>IFERROR(__xludf.DUMMYFUNCTION("""COMPUTED_VALUE"""),139.0)</f>
        <v>139</v>
      </c>
      <c r="E4211">
        <f>IFERROR(__xludf.DUMMYFUNCTION("""COMPUTED_VALUE"""),6.16)</f>
        <v>6.16</v>
      </c>
      <c r="F4211">
        <f>IFERROR(__xludf.DUMMYFUNCTION("""COMPUTED_VALUE"""),7.98)</f>
        <v>7.98</v>
      </c>
      <c r="G4211">
        <f>IFERROR(__xludf.DUMMYFUNCTION("""COMPUTED_VALUE"""),12.56)</f>
        <v>12.56</v>
      </c>
    </row>
    <row r="4212">
      <c r="A4212">
        <f>IFERROR(__xludf.DUMMYFUNCTION("""COMPUTED_VALUE"""),783796.0)</f>
        <v>783796</v>
      </c>
      <c r="B4212" t="str">
        <f>IFERROR(__xludf.DUMMYFUNCTION("""COMPUTED_VALUE"""),"Haddock With Chopped Spinach Diet Frozen Meal")</f>
        <v>Haddock With Chopped Spinach Diet Frozen Meal</v>
      </c>
      <c r="C4212" t="str">
        <f>IFERROR(__xludf.DUMMYFUNCTION("""COMPUTED_VALUE"""),"Fish")</f>
        <v>Fish</v>
      </c>
      <c r="D4212">
        <f>IFERROR(__xludf.DUMMYFUNCTION("""COMPUTED_VALUE"""),77.0)</f>
        <v>77</v>
      </c>
      <c r="E4212">
        <f>IFERROR(__xludf.DUMMYFUNCTION("""COMPUTED_VALUE"""),2.44)</f>
        <v>2.44</v>
      </c>
      <c r="F4212">
        <f>IFERROR(__xludf.DUMMYFUNCTION("""COMPUTED_VALUE"""),9.05)</f>
        <v>9.05</v>
      </c>
      <c r="G4212">
        <f>IFERROR(__xludf.DUMMYFUNCTION("""COMPUTED_VALUE"""),4.37)</f>
        <v>4.37</v>
      </c>
    </row>
    <row r="4213">
      <c r="A4213">
        <f>IFERROR(__xludf.DUMMYFUNCTION("""COMPUTED_VALUE"""),783797.0)</f>
        <v>783797</v>
      </c>
      <c r="B4213" t="str">
        <f>IFERROR(__xludf.DUMMYFUNCTION("""COMPUTED_VALUE"""),"Flounder With Chopped Broccoli Diet Frozen Meal")</f>
        <v>Flounder With Chopped Broccoli Diet Frozen Meal</v>
      </c>
      <c r="C4213" t="str">
        <f>IFERROR(__xludf.DUMMYFUNCTION("""COMPUTED_VALUE"""),"Fish")</f>
        <v>Fish</v>
      </c>
      <c r="D4213">
        <f>IFERROR(__xludf.DUMMYFUNCTION("""COMPUTED_VALUE"""),62.0)</f>
        <v>62</v>
      </c>
      <c r="E4213">
        <f>IFERROR(__xludf.DUMMYFUNCTION("""COMPUTED_VALUE"""),1.64)</f>
        <v>1.64</v>
      </c>
      <c r="F4213">
        <f>IFERROR(__xludf.DUMMYFUNCTION("""COMPUTED_VALUE"""),6.52)</f>
        <v>6.52</v>
      </c>
      <c r="G4213">
        <f>IFERROR(__xludf.DUMMYFUNCTION("""COMPUTED_VALUE"""),5.41)</f>
        <v>5.41</v>
      </c>
    </row>
    <row r="4214">
      <c r="A4214">
        <f>IFERROR(__xludf.DUMMYFUNCTION("""COMPUTED_VALUE"""),783798.0)</f>
        <v>783798</v>
      </c>
      <c r="B4214" t="str">
        <f>IFERROR(__xludf.DUMMYFUNCTION("""COMPUTED_VALUE"""),"Fish In Lemon-Butter Sauce With Starch Item Vegetable Frozen Meal")</f>
        <v>Fish In Lemon-Butter Sauce With Starch Item Vegetable Frozen Meal</v>
      </c>
      <c r="C4214" t="str">
        <f>IFERROR(__xludf.DUMMYFUNCTION("""COMPUTED_VALUE"""),"Fish")</f>
        <v>Fish</v>
      </c>
      <c r="D4214">
        <f>IFERROR(__xludf.DUMMYFUNCTION("""COMPUTED_VALUE"""),102.0)</f>
        <v>102</v>
      </c>
      <c r="E4214">
        <f>IFERROR(__xludf.DUMMYFUNCTION("""COMPUTED_VALUE"""),3.75)</f>
        <v>3.75</v>
      </c>
      <c r="F4214">
        <f>IFERROR(__xludf.DUMMYFUNCTION("""COMPUTED_VALUE"""),5.5)</f>
        <v>5.5</v>
      </c>
      <c r="G4214">
        <f>IFERROR(__xludf.DUMMYFUNCTION("""COMPUTED_VALUE"""),11.26)</f>
        <v>11.26</v>
      </c>
    </row>
    <row r="4215">
      <c r="A4215">
        <f>IFERROR(__xludf.DUMMYFUNCTION("""COMPUTED_VALUE"""),783799.0)</f>
        <v>783799</v>
      </c>
      <c r="B4215" t="str">
        <f>IFERROR(__xludf.DUMMYFUNCTION("""COMPUTED_VALUE"""),"Shrimp And Clams In Tomato-Based Sauce With Noodles Frozen Meal")</f>
        <v>Shrimp And Clams In Tomato-Based Sauce With Noodles Frozen Meal</v>
      </c>
      <c r="C4215" t="str">
        <f>IFERROR(__xludf.DUMMYFUNCTION("""COMPUTED_VALUE"""),"Fish")</f>
        <v>Fish</v>
      </c>
      <c r="D4215">
        <f>IFERROR(__xludf.DUMMYFUNCTION("""COMPUTED_VALUE"""),102.0)</f>
        <v>102</v>
      </c>
      <c r="E4215">
        <f>IFERROR(__xludf.DUMMYFUNCTION("""COMPUTED_VALUE"""),2.46)</f>
        <v>2.46</v>
      </c>
      <c r="F4215">
        <f>IFERROR(__xludf.DUMMYFUNCTION("""COMPUTED_VALUE"""),7.72)</f>
        <v>7.72</v>
      </c>
      <c r="G4215">
        <f>IFERROR(__xludf.DUMMYFUNCTION("""COMPUTED_VALUE"""),12.2)</f>
        <v>12.2</v>
      </c>
    </row>
    <row r="4216">
      <c r="A4216">
        <f>IFERROR(__xludf.DUMMYFUNCTION("""COMPUTED_VALUE"""),783800.0)</f>
        <v>783800</v>
      </c>
      <c r="B4216" t="str">
        <f>IFERROR(__xludf.DUMMYFUNCTION("""COMPUTED_VALUE"""),"Shrimp And Vegetables In Sauce With Noodles Diet Frozen Meal")</f>
        <v>Shrimp And Vegetables In Sauce With Noodles Diet Frozen Meal</v>
      </c>
      <c r="C4216" t="str">
        <f>IFERROR(__xludf.DUMMYFUNCTION("""COMPUTED_VALUE"""),"Fish")</f>
        <v>Fish</v>
      </c>
      <c r="D4216">
        <f>IFERROR(__xludf.DUMMYFUNCTION("""COMPUTED_VALUE"""),91.0)</f>
        <v>91</v>
      </c>
      <c r="E4216">
        <f>IFERROR(__xludf.DUMMYFUNCTION("""COMPUTED_VALUE"""),1.71)</f>
        <v>1.71</v>
      </c>
      <c r="F4216">
        <f>IFERROR(__xludf.DUMMYFUNCTION("""COMPUTED_VALUE"""),5.27)</f>
        <v>5.27</v>
      </c>
      <c r="G4216">
        <f>IFERROR(__xludf.DUMMYFUNCTION("""COMPUTED_VALUE"""),13.42)</f>
        <v>13.42</v>
      </c>
    </row>
    <row r="4217">
      <c r="A4217">
        <f>IFERROR(__xludf.DUMMYFUNCTION("""COMPUTED_VALUE"""),783801.0)</f>
        <v>783801</v>
      </c>
      <c r="B4217" t="str">
        <f>IFERROR(__xludf.DUMMYFUNCTION("""COMPUTED_VALUE"""),"Meat Loaf Dinner NFS Frozen Meal")</f>
        <v>Meat Loaf Dinner NFS Frozen Meal</v>
      </c>
      <c r="C4217" t="str">
        <f>IFERROR(__xludf.DUMMYFUNCTION("""COMPUTED_VALUE"""),"Meats")</f>
        <v>Meats</v>
      </c>
      <c r="D4217">
        <f>IFERROR(__xludf.DUMMYFUNCTION("""COMPUTED_VALUE"""),131.0)</f>
        <v>131</v>
      </c>
      <c r="E4217">
        <f>IFERROR(__xludf.DUMMYFUNCTION("""COMPUTED_VALUE"""),7.4)</f>
        <v>7.4</v>
      </c>
      <c r="F4217">
        <f>IFERROR(__xludf.DUMMYFUNCTION("""COMPUTED_VALUE"""),6.61)</f>
        <v>6.61</v>
      </c>
      <c r="G4217">
        <f>IFERROR(__xludf.DUMMYFUNCTION("""COMPUTED_VALUE"""),9.65)</f>
        <v>9.65</v>
      </c>
    </row>
    <row r="4218">
      <c r="A4218">
        <f>IFERROR(__xludf.DUMMYFUNCTION("""COMPUTED_VALUE"""),783802.0)</f>
        <v>783802</v>
      </c>
      <c r="B4218" t="str">
        <f>IFERROR(__xludf.DUMMYFUNCTION("""COMPUTED_VALUE"""),"Meat Loaf With Potatoes Vegetable Frozen Meal")</f>
        <v>Meat Loaf With Potatoes Vegetable Frozen Meal</v>
      </c>
      <c r="C4218" t="str">
        <f>IFERROR(__xludf.DUMMYFUNCTION("""COMPUTED_VALUE"""),"Meats")</f>
        <v>Meats</v>
      </c>
      <c r="D4218">
        <f>IFERROR(__xludf.DUMMYFUNCTION("""COMPUTED_VALUE"""),131.0)</f>
        <v>131</v>
      </c>
      <c r="E4218">
        <f>IFERROR(__xludf.DUMMYFUNCTION("""COMPUTED_VALUE"""),7.4)</f>
        <v>7.4</v>
      </c>
      <c r="F4218">
        <f>IFERROR(__xludf.DUMMYFUNCTION("""COMPUTED_VALUE"""),6.61)</f>
        <v>6.61</v>
      </c>
      <c r="G4218">
        <f>IFERROR(__xludf.DUMMYFUNCTION("""COMPUTED_VALUE"""),9.65)</f>
        <v>9.65</v>
      </c>
    </row>
    <row r="4219">
      <c r="A4219">
        <f>IFERROR(__xludf.DUMMYFUNCTION("""COMPUTED_VALUE"""),783804.0)</f>
        <v>783804</v>
      </c>
      <c r="B4219" t="str">
        <f>IFERROR(__xludf.DUMMYFUNCTION("""COMPUTED_VALUE"""),"Stuffed Cabbage With Meat And Tomato Sauce Diet Frozen Meal")</f>
        <v>Stuffed Cabbage With Meat And Tomato Sauce Diet Frozen Meal</v>
      </c>
      <c r="C4219" t="str">
        <f>IFERROR(__xludf.DUMMYFUNCTION("""COMPUTED_VALUE"""),"Meats")</f>
        <v>Meats</v>
      </c>
      <c r="D4219">
        <f>IFERROR(__xludf.DUMMYFUNCTION("""COMPUTED_VALUE"""),78.0)</f>
        <v>78</v>
      </c>
      <c r="E4219">
        <f>IFERROR(__xludf.DUMMYFUNCTION("""COMPUTED_VALUE"""),3.13)</f>
        <v>3.13</v>
      </c>
      <c r="F4219">
        <f>IFERROR(__xludf.DUMMYFUNCTION("""COMPUTED_VALUE"""),5.55)</f>
        <v>5.55</v>
      </c>
      <c r="G4219">
        <f>IFERROR(__xludf.DUMMYFUNCTION("""COMPUTED_VALUE"""),6.93)</f>
        <v>6.93</v>
      </c>
    </row>
    <row r="4220">
      <c r="A4220">
        <f>IFERROR(__xludf.DUMMYFUNCTION("""COMPUTED_VALUE"""),783876.0)</f>
        <v>783876</v>
      </c>
      <c r="B4220" t="str">
        <f>IFERROR(__xludf.DUMMYFUNCTION("""COMPUTED_VALUE"""),"Lobster Gumbo")</f>
        <v>Lobster Gumbo</v>
      </c>
      <c r="C4220" t="str">
        <f>IFERROR(__xludf.DUMMYFUNCTION("""COMPUTED_VALUE"""),"Fish")</f>
        <v>Fish</v>
      </c>
      <c r="D4220">
        <f>IFERROR(__xludf.DUMMYFUNCTION("""COMPUTED_VALUE"""),59.0)</f>
        <v>59</v>
      </c>
      <c r="E4220">
        <f>IFERROR(__xludf.DUMMYFUNCTION("""COMPUTED_VALUE"""),1.77)</f>
        <v>1.77</v>
      </c>
      <c r="F4220">
        <f>IFERROR(__xludf.DUMMYFUNCTION("""COMPUTED_VALUE"""),6.2)</f>
        <v>6.2</v>
      </c>
      <c r="G4220">
        <f>IFERROR(__xludf.DUMMYFUNCTION("""COMPUTED_VALUE"""),4.64)</f>
        <v>4.64</v>
      </c>
    </row>
    <row r="4221">
      <c r="A4221">
        <f>IFERROR(__xludf.DUMMYFUNCTION("""COMPUTED_VALUE"""),783882.0)</f>
        <v>783882</v>
      </c>
      <c r="B4221" t="str">
        <f>IFERROR(__xludf.DUMMYFUNCTION("""COMPUTED_VALUE"""),"Shrimp Gumbo")</f>
        <v>Shrimp Gumbo</v>
      </c>
      <c r="C4221" t="str">
        <f>IFERROR(__xludf.DUMMYFUNCTION("""COMPUTED_VALUE"""),"Fish")</f>
        <v>Fish</v>
      </c>
      <c r="D4221">
        <f>IFERROR(__xludf.DUMMYFUNCTION("""COMPUTED_VALUE"""),61.0)</f>
        <v>61</v>
      </c>
      <c r="E4221">
        <f>IFERROR(__xludf.DUMMYFUNCTION("""COMPUTED_VALUE"""),1.89)</f>
        <v>1.89</v>
      </c>
      <c r="F4221">
        <f>IFERROR(__xludf.DUMMYFUNCTION("""COMPUTED_VALUE"""),6.52)</f>
        <v>6.52</v>
      </c>
      <c r="G4221">
        <f>IFERROR(__xludf.DUMMYFUNCTION("""COMPUTED_VALUE"""),4.64)</f>
        <v>4.64</v>
      </c>
    </row>
    <row r="4222">
      <c r="A4222">
        <f>IFERROR(__xludf.DUMMYFUNCTION("""COMPUTED_VALUE"""),786010.0)</f>
        <v>786010</v>
      </c>
      <c r="B4222" t="str">
        <f>IFERROR(__xludf.DUMMYFUNCTION("""COMPUTED_VALUE"""),"Kibby Puerto Rican Style")</f>
        <v>Kibby Puerto Rican Style</v>
      </c>
      <c r="C4222" t="str">
        <f>IFERROR(__xludf.DUMMYFUNCTION("""COMPUTED_VALUE"""),"Meats")</f>
        <v>Meats</v>
      </c>
      <c r="D4222">
        <f>IFERROR(__xludf.DUMMYFUNCTION("""COMPUTED_VALUE"""),168.0)</f>
        <v>168</v>
      </c>
      <c r="E4222">
        <f>IFERROR(__xludf.DUMMYFUNCTION("""COMPUTED_VALUE"""),7.2)</f>
        <v>7.2</v>
      </c>
      <c r="F4222">
        <f>IFERROR(__xludf.DUMMYFUNCTION("""COMPUTED_VALUE"""),8.76)</f>
        <v>8.76</v>
      </c>
      <c r="G4222">
        <f>IFERROR(__xludf.DUMMYFUNCTION("""COMPUTED_VALUE"""),17.99)</f>
        <v>17.99</v>
      </c>
    </row>
    <row r="4223">
      <c r="A4223">
        <f>IFERROR(__xludf.DUMMYFUNCTION("""COMPUTED_VALUE"""),786011.0)</f>
        <v>786011</v>
      </c>
      <c r="B4223" t="str">
        <f>IFERROR(__xludf.DUMMYFUNCTION("""COMPUTED_VALUE"""),"Codfish Fritter Puerto Rican Style")</f>
        <v>Codfish Fritter Puerto Rican Style</v>
      </c>
      <c r="C4223" t="str">
        <f>IFERROR(__xludf.DUMMYFUNCTION("""COMPUTED_VALUE"""),"Fish")</f>
        <v>Fish</v>
      </c>
      <c r="D4223">
        <f>IFERROR(__xludf.DUMMYFUNCTION("""COMPUTED_VALUE"""),278.0)</f>
        <v>278</v>
      </c>
      <c r="E4223">
        <f>IFERROR(__xludf.DUMMYFUNCTION("""COMPUTED_VALUE"""),7.45)</f>
        <v>7.45</v>
      </c>
      <c r="F4223">
        <f>IFERROR(__xludf.DUMMYFUNCTION("""COMPUTED_VALUE"""),15.32)</f>
        <v>15.32</v>
      </c>
      <c r="G4223">
        <f>IFERROR(__xludf.DUMMYFUNCTION("""COMPUTED_VALUE"""),36.02)</f>
        <v>36.02</v>
      </c>
    </row>
    <row r="4224">
      <c r="A4224">
        <f>IFERROR(__xludf.DUMMYFUNCTION("""COMPUTED_VALUE"""),786012.0)</f>
        <v>786012</v>
      </c>
      <c r="B4224" t="str">
        <f>IFERROR(__xludf.DUMMYFUNCTION("""COMPUTED_VALUE"""),"Hayacas Puerto Rican Style")</f>
        <v>Hayacas Puerto Rican Style</v>
      </c>
      <c r="C4224" t="str">
        <f>IFERROR(__xludf.DUMMYFUNCTION("""COMPUTED_VALUE"""),"Meats")</f>
        <v>Meats</v>
      </c>
      <c r="D4224">
        <f>IFERROR(__xludf.DUMMYFUNCTION("""COMPUTED_VALUE"""),155.0)</f>
        <v>155</v>
      </c>
      <c r="E4224">
        <f>IFERROR(__xludf.DUMMYFUNCTION("""COMPUTED_VALUE"""),10.62)</f>
        <v>10.62</v>
      </c>
      <c r="F4224">
        <f>IFERROR(__xludf.DUMMYFUNCTION("""COMPUTED_VALUE"""),5.84)</f>
        <v>5.84</v>
      </c>
      <c r="G4224">
        <f>IFERROR(__xludf.DUMMYFUNCTION("""COMPUTED_VALUE"""),9.39)</f>
        <v>9.39</v>
      </c>
    </row>
    <row r="4225">
      <c r="A4225">
        <f>IFERROR(__xludf.DUMMYFUNCTION("""COMPUTED_VALUE"""),786065.0)</f>
        <v>786065</v>
      </c>
      <c r="B4225" t="str">
        <f>IFERROR(__xludf.DUMMYFUNCTION("""COMPUTED_VALUE"""),"Chicken Cornbread")</f>
        <v>Chicken Cornbread</v>
      </c>
      <c r="C4225" t="str">
        <f>IFERROR(__xludf.DUMMYFUNCTION("""COMPUTED_VALUE"""),"Meats")</f>
        <v>Meats</v>
      </c>
      <c r="D4225">
        <f>IFERROR(__xludf.DUMMYFUNCTION("""COMPUTED_VALUE"""),167.0)</f>
        <v>167</v>
      </c>
      <c r="E4225">
        <f>IFERROR(__xludf.DUMMYFUNCTION("""COMPUTED_VALUE"""),8.14)</f>
        <v>8.14</v>
      </c>
      <c r="F4225">
        <f>IFERROR(__xludf.DUMMYFUNCTION("""COMPUTED_VALUE"""),13.81)</f>
        <v>13.81</v>
      </c>
      <c r="G4225">
        <f>IFERROR(__xludf.DUMMYFUNCTION("""COMPUTED_VALUE"""),9.34)</f>
        <v>9.34</v>
      </c>
    </row>
    <row r="4226">
      <c r="A4226">
        <f>IFERROR(__xludf.DUMMYFUNCTION("""COMPUTED_VALUE"""),786134.0)</f>
        <v>786134</v>
      </c>
      <c r="B4226" t="str">
        <f>IFERROR(__xludf.DUMMYFUNCTION("""COMPUTED_VALUE"""),"Adobo With Noodles")</f>
        <v>Adobo With Noodles</v>
      </c>
      <c r="C4226" t="str">
        <f>IFERROR(__xludf.DUMMYFUNCTION("""COMPUTED_VALUE"""),"Meats")</f>
        <v>Meats</v>
      </c>
      <c r="D4226">
        <f>IFERROR(__xludf.DUMMYFUNCTION("""COMPUTED_VALUE"""),172.0)</f>
        <v>172</v>
      </c>
      <c r="E4226">
        <f>IFERROR(__xludf.DUMMYFUNCTION("""COMPUTED_VALUE"""),7.1)</f>
        <v>7.1</v>
      </c>
      <c r="F4226">
        <f>IFERROR(__xludf.DUMMYFUNCTION("""COMPUTED_VALUE"""),17.48)</f>
        <v>17.48</v>
      </c>
      <c r="G4226">
        <f>IFERROR(__xludf.DUMMYFUNCTION("""COMPUTED_VALUE"""),8.16)</f>
        <v>8.16</v>
      </c>
    </row>
    <row r="4227">
      <c r="A4227">
        <f>IFERROR(__xludf.DUMMYFUNCTION("""COMPUTED_VALUE"""),786286.0)</f>
        <v>786286</v>
      </c>
      <c r="B4227" t="str">
        <f>IFERROR(__xludf.DUMMYFUNCTION("""COMPUTED_VALUE"""),"Adobo With Rice")</f>
        <v>Adobo With Rice</v>
      </c>
      <c r="C4227" t="str">
        <f>IFERROR(__xludf.DUMMYFUNCTION("""COMPUTED_VALUE"""),"Meats")</f>
        <v>Meats</v>
      </c>
      <c r="D4227">
        <f>IFERROR(__xludf.DUMMYFUNCTION("""COMPUTED_VALUE"""),181.0)</f>
        <v>181</v>
      </c>
      <c r="E4227">
        <f>IFERROR(__xludf.DUMMYFUNCTION("""COMPUTED_VALUE"""),7.37)</f>
        <v>7.37</v>
      </c>
      <c r="F4227">
        <f>IFERROR(__xludf.DUMMYFUNCTION("""COMPUTED_VALUE"""),18.3)</f>
        <v>18.3</v>
      </c>
      <c r="G4227">
        <f>IFERROR(__xludf.DUMMYFUNCTION("""COMPUTED_VALUE"""),8.88)</f>
        <v>8.88</v>
      </c>
    </row>
    <row r="4228">
      <c r="A4228">
        <f>IFERROR(__xludf.DUMMYFUNCTION("""COMPUTED_VALUE"""),786479.0)</f>
        <v>786479</v>
      </c>
      <c r="B4228" t="str">
        <f>IFERROR(__xludf.DUMMYFUNCTION("""COMPUTED_VALUE"""),"Beef And Noodles With Meat Sauce And Cheese Diet Frozen Meal")</f>
        <v>Beef And Noodles With Meat Sauce And Cheese Diet Frozen Meal</v>
      </c>
      <c r="C4228" t="str">
        <f>IFERROR(__xludf.DUMMYFUNCTION("""COMPUTED_VALUE"""),"Meats")</f>
        <v>Meats</v>
      </c>
      <c r="D4228">
        <f>IFERROR(__xludf.DUMMYFUNCTION("""COMPUTED_VALUE"""),133.0)</f>
        <v>133</v>
      </c>
      <c r="E4228">
        <f>IFERROR(__xludf.DUMMYFUNCTION("""COMPUTED_VALUE"""),4.77)</f>
        <v>4.77</v>
      </c>
      <c r="F4228">
        <f>IFERROR(__xludf.DUMMYFUNCTION("""COMPUTED_VALUE"""),9.22)</f>
        <v>9.22</v>
      </c>
      <c r="G4228">
        <f>IFERROR(__xludf.DUMMYFUNCTION("""COMPUTED_VALUE"""),13.25)</f>
        <v>13.25</v>
      </c>
    </row>
    <row r="4229">
      <c r="A4229">
        <f>IFERROR(__xludf.DUMMYFUNCTION("""COMPUTED_VALUE"""),786499.0)</f>
        <v>786499</v>
      </c>
      <c r="B4229" t="str">
        <f>IFERROR(__xludf.DUMMYFUNCTION("""COMPUTED_VALUE"""),"Sausage And French Toast Frozen Meal")</f>
        <v>Sausage And French Toast Frozen Meal</v>
      </c>
      <c r="C4229" t="str">
        <f>IFERROR(__xludf.DUMMYFUNCTION("""COMPUTED_VALUE"""),"Meats")</f>
        <v>Meats</v>
      </c>
      <c r="D4229">
        <f>IFERROR(__xludf.DUMMYFUNCTION("""COMPUTED_VALUE"""),223.0)</f>
        <v>223</v>
      </c>
      <c r="E4229">
        <f>IFERROR(__xludf.DUMMYFUNCTION("""COMPUTED_VALUE"""),11.22)</f>
        <v>11.22</v>
      </c>
      <c r="F4229">
        <f>IFERROR(__xludf.DUMMYFUNCTION("""COMPUTED_VALUE"""),11.53)</f>
        <v>11.53</v>
      </c>
      <c r="G4229">
        <f>IFERROR(__xludf.DUMMYFUNCTION("""COMPUTED_VALUE"""),18.83)</f>
        <v>18.83</v>
      </c>
    </row>
    <row r="4230">
      <c r="A4230">
        <f>IFERROR(__xludf.DUMMYFUNCTION("""COMPUTED_VALUE"""),786500.0)</f>
        <v>786500</v>
      </c>
      <c r="B4230" t="str">
        <f>IFERROR(__xludf.DUMMYFUNCTION("""COMPUTED_VALUE"""),"Pancakes And Sausage Frozen Meal")</f>
        <v>Pancakes And Sausage Frozen Meal</v>
      </c>
      <c r="C4230" t="str">
        <f>IFERROR(__xludf.DUMMYFUNCTION("""COMPUTED_VALUE"""),"Meats")</f>
        <v>Meats</v>
      </c>
      <c r="D4230">
        <f>IFERROR(__xludf.DUMMYFUNCTION("""COMPUTED_VALUE"""),270.0)</f>
        <v>270</v>
      </c>
      <c r="E4230">
        <f>IFERROR(__xludf.DUMMYFUNCTION("""COMPUTED_VALUE"""),13.7)</f>
        <v>13.7</v>
      </c>
      <c r="F4230">
        <f>IFERROR(__xludf.DUMMYFUNCTION("""COMPUTED_VALUE"""),8.86)</f>
        <v>8.86</v>
      </c>
      <c r="G4230">
        <f>IFERROR(__xludf.DUMMYFUNCTION("""COMPUTED_VALUE"""),27.72)</f>
        <v>27.72</v>
      </c>
    </row>
    <row r="4231">
      <c r="A4231">
        <f>IFERROR(__xludf.DUMMYFUNCTION("""COMPUTED_VALUE"""),788965.0)</f>
        <v>788965</v>
      </c>
      <c r="B4231" t="str">
        <f>IFERROR(__xludf.DUMMYFUNCTION("""COMPUTED_VALUE"""),"Potato Chicken Pie Puerto Rican Style")</f>
        <v>Potato Chicken Pie Puerto Rican Style</v>
      </c>
      <c r="C4231" t="str">
        <f>IFERROR(__xludf.DUMMYFUNCTION("""COMPUTED_VALUE"""),"Meats")</f>
        <v>Meats</v>
      </c>
      <c r="D4231">
        <f>IFERROR(__xludf.DUMMYFUNCTION("""COMPUTED_VALUE"""),352.0)</f>
        <v>352</v>
      </c>
      <c r="E4231">
        <f>IFERROR(__xludf.DUMMYFUNCTION("""COMPUTED_VALUE"""),22.18)</f>
        <v>22.18</v>
      </c>
      <c r="F4231">
        <f>IFERROR(__xludf.DUMMYFUNCTION("""COMPUTED_VALUE"""),15.07)</f>
        <v>15.07</v>
      </c>
      <c r="G4231">
        <f>IFERROR(__xludf.DUMMYFUNCTION("""COMPUTED_VALUE"""),23.77)</f>
        <v>23.77</v>
      </c>
    </row>
    <row r="4232">
      <c r="A4232">
        <f>IFERROR(__xludf.DUMMYFUNCTION("""COMPUTED_VALUE"""),788968.0)</f>
        <v>788968</v>
      </c>
      <c r="B4232" t="str">
        <f>IFERROR(__xludf.DUMMYFUNCTION("""COMPUTED_VALUE"""),"Ripe Plantain Meat Pie Puerto Rican Style")</f>
        <v>Ripe Plantain Meat Pie Puerto Rican Style</v>
      </c>
      <c r="C4232" t="str">
        <f>IFERROR(__xludf.DUMMYFUNCTION("""COMPUTED_VALUE"""),"Meats")</f>
        <v>Meats</v>
      </c>
      <c r="D4232">
        <f>IFERROR(__xludf.DUMMYFUNCTION("""COMPUTED_VALUE"""),323.0)</f>
        <v>323</v>
      </c>
      <c r="E4232">
        <f>IFERROR(__xludf.DUMMYFUNCTION("""COMPUTED_VALUE"""),21.59)</f>
        <v>21.59</v>
      </c>
      <c r="F4232">
        <f>IFERROR(__xludf.DUMMYFUNCTION("""COMPUTED_VALUE"""),12.45)</f>
        <v>12.45</v>
      </c>
      <c r="G4232">
        <f>IFERROR(__xludf.DUMMYFUNCTION("""COMPUTED_VALUE"""),21.9)</f>
        <v>21.9</v>
      </c>
    </row>
    <row r="4233">
      <c r="A4233">
        <f>IFERROR(__xludf.DUMMYFUNCTION("""COMPUTED_VALUE"""),788969.0)</f>
        <v>788969</v>
      </c>
      <c r="B4233" t="str">
        <f>IFERROR(__xludf.DUMMYFUNCTION("""COMPUTED_VALUE"""),"Cassava Pasteles Puerto Rican Style")</f>
        <v>Cassava Pasteles Puerto Rican Style</v>
      </c>
      <c r="C4233" t="str">
        <f>IFERROR(__xludf.DUMMYFUNCTION("""COMPUTED_VALUE"""),"Meats")</f>
        <v>Meats</v>
      </c>
      <c r="D4233">
        <f>IFERROR(__xludf.DUMMYFUNCTION("""COMPUTED_VALUE"""),254.0)</f>
        <v>254</v>
      </c>
      <c r="E4233">
        <f>IFERROR(__xludf.DUMMYFUNCTION("""COMPUTED_VALUE"""),16.96)</f>
        <v>16.96</v>
      </c>
      <c r="F4233">
        <f>IFERROR(__xludf.DUMMYFUNCTION("""COMPUTED_VALUE"""),6.68)</f>
        <v>6.68</v>
      </c>
      <c r="G4233">
        <f>IFERROR(__xludf.DUMMYFUNCTION("""COMPUTED_VALUE"""),19.02)</f>
        <v>19.02</v>
      </c>
    </row>
    <row r="4234">
      <c r="A4234">
        <f>IFERROR(__xludf.DUMMYFUNCTION("""COMPUTED_VALUE"""),788970.0)</f>
        <v>788970</v>
      </c>
      <c r="B4234" t="str">
        <f>IFERROR(__xludf.DUMMYFUNCTION("""COMPUTED_VALUE"""),"Cassava Fritter Stuffed With Crab Meat Puerto Rican Style")</f>
        <v>Cassava Fritter Stuffed With Crab Meat Puerto Rican Style</v>
      </c>
      <c r="C4234" t="str">
        <f>IFERROR(__xludf.DUMMYFUNCTION("""COMPUTED_VALUE"""),"Fish")</f>
        <v>Fish</v>
      </c>
      <c r="D4234">
        <f>IFERROR(__xludf.DUMMYFUNCTION("""COMPUTED_VALUE"""),266.0)</f>
        <v>266</v>
      </c>
      <c r="E4234">
        <f>IFERROR(__xludf.DUMMYFUNCTION("""COMPUTED_VALUE"""),12.24)</f>
        <v>12.24</v>
      </c>
      <c r="F4234">
        <f>IFERROR(__xludf.DUMMYFUNCTION("""COMPUTED_VALUE"""),8.92)</f>
        <v>8.92</v>
      </c>
      <c r="G4234">
        <f>IFERROR(__xludf.DUMMYFUNCTION("""COMPUTED_VALUE"""),30.34)</f>
        <v>30.34</v>
      </c>
    </row>
    <row r="4235">
      <c r="A4235">
        <f>IFERROR(__xludf.DUMMYFUNCTION("""COMPUTED_VALUE"""),788971.0)</f>
        <v>788971</v>
      </c>
      <c r="B4235" t="str">
        <f>IFERROR(__xludf.DUMMYFUNCTION("""COMPUTED_VALUE"""),"Stuffed Tannier Fritters Puerto Rican Style")</f>
        <v>Stuffed Tannier Fritters Puerto Rican Style</v>
      </c>
      <c r="C4235" t="str">
        <f>IFERROR(__xludf.DUMMYFUNCTION("""COMPUTED_VALUE"""),"Meats")</f>
        <v>Meats</v>
      </c>
      <c r="D4235">
        <f>IFERROR(__xludf.DUMMYFUNCTION("""COMPUTED_VALUE"""),383.0)</f>
        <v>383</v>
      </c>
      <c r="E4235">
        <f>IFERROR(__xludf.DUMMYFUNCTION("""COMPUTED_VALUE"""),29.18)</f>
        <v>29.18</v>
      </c>
      <c r="F4235">
        <f>IFERROR(__xludf.DUMMYFUNCTION("""COMPUTED_VALUE"""),11.62)</f>
        <v>11.62</v>
      </c>
      <c r="G4235">
        <f>IFERROR(__xludf.DUMMYFUNCTION("""COMPUTED_VALUE"""),19.67)</f>
        <v>19.67</v>
      </c>
    </row>
    <row r="4236">
      <c r="A4236">
        <f>IFERROR(__xludf.DUMMYFUNCTION("""COMPUTED_VALUE"""),788973.0)</f>
        <v>788973</v>
      </c>
      <c r="B4236" t="str">
        <f>IFERROR(__xludf.DUMMYFUNCTION("""COMPUTED_VALUE"""),"Puerto Rican Pasteles")</f>
        <v>Puerto Rican Pasteles</v>
      </c>
      <c r="C4236" t="str">
        <f>IFERROR(__xludf.DUMMYFUNCTION("""COMPUTED_VALUE"""),"Meats")</f>
        <v>Meats</v>
      </c>
      <c r="D4236">
        <f>IFERROR(__xludf.DUMMYFUNCTION("""COMPUTED_VALUE"""),210.0)</f>
        <v>210</v>
      </c>
      <c r="E4236">
        <f>IFERROR(__xludf.DUMMYFUNCTION("""COMPUTED_VALUE"""),12.99)</f>
        <v>12.99</v>
      </c>
      <c r="F4236">
        <f>IFERROR(__xludf.DUMMYFUNCTION("""COMPUTED_VALUE"""),7.09)</f>
        <v>7.09</v>
      </c>
      <c r="G4236">
        <f>IFERROR(__xludf.DUMMYFUNCTION("""COMPUTED_VALUE"""),17.5)</f>
        <v>17.5</v>
      </c>
    </row>
    <row r="4237">
      <c r="A4237">
        <f>IFERROR(__xludf.DUMMYFUNCTION("""COMPUTED_VALUE"""),788974.0)</f>
        <v>788974</v>
      </c>
      <c r="B4237" t="str">
        <f>IFERROR(__xludf.DUMMYFUNCTION("""COMPUTED_VALUE"""),"Stuffed Cabbage With Meat Puerto Rican Style")</f>
        <v>Stuffed Cabbage With Meat Puerto Rican Style</v>
      </c>
      <c r="C4237" t="str">
        <f>IFERROR(__xludf.DUMMYFUNCTION("""COMPUTED_VALUE"""),"Meats")</f>
        <v>Meats</v>
      </c>
      <c r="D4237">
        <f>IFERROR(__xludf.DUMMYFUNCTION("""COMPUTED_VALUE"""),209.0)</f>
        <v>209</v>
      </c>
      <c r="E4237">
        <f>IFERROR(__xludf.DUMMYFUNCTION("""COMPUTED_VALUE"""),15.76)</f>
        <v>15.76</v>
      </c>
      <c r="F4237">
        <f>IFERROR(__xludf.DUMMYFUNCTION("""COMPUTED_VALUE"""),9.51)</f>
        <v>9.51</v>
      </c>
      <c r="G4237">
        <f>IFERROR(__xludf.DUMMYFUNCTION("""COMPUTED_VALUE"""),8.21)</f>
        <v>8.21</v>
      </c>
    </row>
    <row r="4238">
      <c r="A4238">
        <f>IFERROR(__xludf.DUMMYFUNCTION("""COMPUTED_VALUE"""),788975.0)</f>
        <v>788975</v>
      </c>
      <c r="B4238" t="str">
        <f>IFERROR(__xludf.DUMMYFUNCTION("""COMPUTED_VALUE"""),"Stuffed Cabbage With Meat And Rice Syrian Dish Puerto Rican Style")</f>
        <v>Stuffed Cabbage With Meat And Rice Syrian Dish Puerto Rican Style</v>
      </c>
      <c r="C4238" t="str">
        <f>IFERROR(__xludf.DUMMYFUNCTION("""COMPUTED_VALUE"""),"Meats")</f>
        <v>Meats</v>
      </c>
      <c r="D4238">
        <f>IFERROR(__xludf.DUMMYFUNCTION("""COMPUTED_VALUE"""),83.0)</f>
        <v>83</v>
      </c>
      <c r="E4238">
        <f>IFERROR(__xludf.DUMMYFUNCTION("""COMPUTED_VALUE"""),3.25)</f>
        <v>3.25</v>
      </c>
      <c r="F4238">
        <f>IFERROR(__xludf.DUMMYFUNCTION("""COMPUTED_VALUE"""),3.23)</f>
        <v>3.23</v>
      </c>
      <c r="G4238">
        <f>IFERROR(__xludf.DUMMYFUNCTION("""COMPUTED_VALUE"""),10.82)</f>
        <v>10.82</v>
      </c>
    </row>
    <row r="4239">
      <c r="A4239">
        <f>IFERROR(__xludf.DUMMYFUNCTION("""COMPUTED_VALUE"""),788976.0)</f>
        <v>788976</v>
      </c>
      <c r="B4239" t="str">
        <f>IFERROR(__xludf.DUMMYFUNCTION("""COMPUTED_VALUE"""),"Eggplant And Meat Casserole")</f>
        <v>Eggplant And Meat Casserole</v>
      </c>
      <c r="C4239" t="str">
        <f>IFERROR(__xludf.DUMMYFUNCTION("""COMPUTED_VALUE"""),"Meats")</f>
        <v>Meats</v>
      </c>
      <c r="D4239">
        <f>IFERROR(__xludf.DUMMYFUNCTION("""COMPUTED_VALUE"""),98.0)</f>
        <v>98</v>
      </c>
      <c r="E4239">
        <f>IFERROR(__xludf.DUMMYFUNCTION("""COMPUTED_VALUE"""),5.47)</f>
        <v>5.47</v>
      </c>
      <c r="F4239">
        <f>IFERROR(__xludf.DUMMYFUNCTION("""COMPUTED_VALUE"""),7.03)</f>
        <v>7.03</v>
      </c>
      <c r="G4239">
        <f>IFERROR(__xludf.DUMMYFUNCTION("""COMPUTED_VALUE"""),5.48)</f>
        <v>5.48</v>
      </c>
    </row>
    <row r="4240">
      <c r="A4240">
        <f>IFERROR(__xludf.DUMMYFUNCTION("""COMPUTED_VALUE"""),788977.0)</f>
        <v>788977</v>
      </c>
      <c r="B4240" t="str">
        <f>IFERROR(__xludf.DUMMYFUNCTION("""COMPUTED_VALUE"""),"Spanish Stew")</f>
        <v>Spanish Stew</v>
      </c>
      <c r="C4240" t="str">
        <f>IFERROR(__xludf.DUMMYFUNCTION("""COMPUTED_VALUE"""),"Meats")</f>
        <v>Meats</v>
      </c>
      <c r="D4240">
        <f>IFERROR(__xludf.DUMMYFUNCTION("""COMPUTED_VALUE"""),87.0)</f>
        <v>87</v>
      </c>
      <c r="E4240">
        <f>IFERROR(__xludf.DUMMYFUNCTION("""COMPUTED_VALUE"""),3.21)</f>
        <v>3.21</v>
      </c>
      <c r="F4240">
        <f>IFERROR(__xludf.DUMMYFUNCTION("""COMPUTED_VALUE"""),6.69)</f>
        <v>6.69</v>
      </c>
      <c r="G4240">
        <f>IFERROR(__xludf.DUMMYFUNCTION("""COMPUTED_VALUE"""),8.01)</f>
        <v>8.01</v>
      </c>
    </row>
    <row r="4241">
      <c r="A4241">
        <f>IFERROR(__xludf.DUMMYFUNCTION("""COMPUTED_VALUE"""),788978.0)</f>
        <v>788978</v>
      </c>
      <c r="B4241" t="str">
        <f>IFERROR(__xludf.DUMMYFUNCTION("""COMPUTED_VALUE"""),"Puerto Rican Stew")</f>
        <v>Puerto Rican Stew</v>
      </c>
      <c r="C4241" t="str">
        <f>IFERROR(__xludf.DUMMYFUNCTION("""COMPUTED_VALUE"""),"Meats")</f>
        <v>Meats</v>
      </c>
      <c r="D4241">
        <f>IFERROR(__xludf.DUMMYFUNCTION("""COMPUTED_VALUE"""),146.0)</f>
        <v>146</v>
      </c>
      <c r="E4241">
        <f>IFERROR(__xludf.DUMMYFUNCTION("""COMPUTED_VALUE"""),6.61)</f>
        <v>6.61</v>
      </c>
      <c r="F4241">
        <f>IFERROR(__xludf.DUMMYFUNCTION("""COMPUTED_VALUE"""),7.75)</f>
        <v>7.75</v>
      </c>
      <c r="G4241">
        <f>IFERROR(__xludf.DUMMYFUNCTION("""COMPUTED_VALUE"""),14.15)</f>
        <v>14.15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t="str">
        <f>IFERROR(__xludf.DUMMYFUNCTION("query(foods!1:14165, ""SELECT A, B, C, D, E, F, G WHERE (C='Fats and Oils') or (C='Dairy and Egg Products') or (C='Nuts and Seeds')"", 1)"),"id")</f>
        <v>id</v>
      </c>
      <c r="B1" t="str">
        <f>IFERROR(__xludf.DUMMYFUNCTION("""COMPUTED_VALUE"""),"name")</f>
        <v>name</v>
      </c>
      <c r="C1" t="str">
        <f>IFERROR(__xludf.DUMMYFUNCTION("""COMPUTED_VALUE"""),"foodgroup")</f>
        <v>foodgroup</v>
      </c>
      <c r="D1" t="str">
        <f>IFERROR(__xludf.DUMMYFUNCTION("""COMPUTED_VALUE"""),"calories")</f>
        <v>calories</v>
      </c>
      <c r="E1" t="str">
        <f>IFERROR(__xludf.DUMMYFUNCTION("""COMPUTED_VALUE"""),"fat")</f>
        <v>fat</v>
      </c>
      <c r="F1" t="str">
        <f>IFERROR(__xludf.DUMMYFUNCTION("""COMPUTED_VALUE"""),"protein")</f>
        <v>protein</v>
      </c>
      <c r="G1" t="str">
        <f>IFERROR(__xludf.DUMMYFUNCTION("""COMPUTED_VALUE"""),"carbohydrate")</f>
        <v>carbohydrate</v>
      </c>
    </row>
    <row r="2">
      <c r="A2">
        <f>IFERROR(__xludf.DUMMYFUNCTION("""COMPUTED_VALUE"""),167684.0)</f>
        <v>167684</v>
      </c>
      <c r="B2" t="str">
        <f>IFERROR(__xludf.DUMMYFUNCTION("""COMPUTED_VALUE"""),"Creamy Dressing Made With Sour Cream And/or Buttermilk And Oil Reduced Calorie")</f>
        <v>Creamy Dressing Made With Sour Cream And/or Buttermilk And Oil Reduced Calorie</v>
      </c>
      <c r="C2" t="str">
        <f>IFERROR(__xludf.DUMMYFUNCTION("""COMPUTED_VALUE"""),"Fats and Oils")</f>
        <v>Fats and Oils</v>
      </c>
      <c r="D2">
        <f>IFERROR(__xludf.DUMMYFUNCTION("""COMPUTED_VALUE"""),160.0)</f>
        <v>160</v>
      </c>
      <c r="E2">
        <f>IFERROR(__xludf.DUMMYFUNCTION("""COMPUTED_VALUE"""),14.0)</f>
        <v>14</v>
      </c>
      <c r="F2">
        <f>IFERROR(__xludf.DUMMYFUNCTION("""COMPUTED_VALUE"""),1.5)</f>
        <v>1.5</v>
      </c>
      <c r="G2">
        <f>IFERROR(__xludf.DUMMYFUNCTION("""COMPUTED_VALUE"""),7.0)</f>
        <v>7</v>
      </c>
    </row>
    <row r="3">
      <c r="A3">
        <f>IFERROR(__xludf.DUMMYFUNCTION("""COMPUTED_VALUE"""),167687.0)</f>
        <v>167687</v>
      </c>
      <c r="B3" t="str">
        <f>IFERROR(__xludf.DUMMYFUNCTION("""COMPUTED_VALUE"""),"Whipped Topping Frozen Low Fat")</f>
        <v>Whipped Topping Frozen Low Fat</v>
      </c>
      <c r="C3" t="str">
        <f>IFERROR(__xludf.DUMMYFUNCTION("""COMPUTED_VALUE"""),"Dairy and Egg Products")</f>
        <v>Dairy and Egg Products</v>
      </c>
      <c r="D3">
        <f>IFERROR(__xludf.DUMMYFUNCTION("""COMPUTED_VALUE"""),224.0)</f>
        <v>224</v>
      </c>
      <c r="E3">
        <f>IFERROR(__xludf.DUMMYFUNCTION("""COMPUTED_VALUE"""),13.1)</f>
        <v>13.1</v>
      </c>
      <c r="F3">
        <f>IFERROR(__xludf.DUMMYFUNCTION("""COMPUTED_VALUE"""),3.0)</f>
        <v>3</v>
      </c>
      <c r="G3">
        <f>IFERROR(__xludf.DUMMYFUNCTION("""COMPUTED_VALUE"""),23.6)</f>
        <v>23.6</v>
      </c>
    </row>
    <row r="4">
      <c r="A4">
        <f>IFERROR(__xludf.DUMMYFUNCTION("""COMPUTED_VALUE"""),167688.0)</f>
        <v>167688</v>
      </c>
      <c r="B4" t="str">
        <f>IFERROR(__xludf.DUMMYFUNCTION("""COMPUTED_VALUE"""),"Cream Substitute Powdered Light")</f>
        <v>Cream Substitute Powdered Light</v>
      </c>
      <c r="C4" t="str">
        <f>IFERROR(__xludf.DUMMYFUNCTION("""COMPUTED_VALUE"""),"Dairy and Egg Products")</f>
        <v>Dairy and Egg Products</v>
      </c>
      <c r="D4">
        <f>IFERROR(__xludf.DUMMYFUNCTION("""COMPUTED_VALUE"""),431.0)</f>
        <v>431</v>
      </c>
      <c r="E4">
        <f>IFERROR(__xludf.DUMMYFUNCTION("""COMPUTED_VALUE"""),15.7)</f>
        <v>15.7</v>
      </c>
      <c r="F4">
        <f>IFERROR(__xludf.DUMMYFUNCTION("""COMPUTED_VALUE"""),1.9)</f>
        <v>1.9</v>
      </c>
      <c r="G4">
        <f>IFERROR(__xludf.DUMMYFUNCTION("""COMPUTED_VALUE"""),73.4)</f>
        <v>73.4</v>
      </c>
    </row>
    <row r="5">
      <c r="A5">
        <f>IFERROR(__xludf.DUMMYFUNCTION("""COMPUTED_VALUE"""),167691.0)</f>
        <v>167691</v>
      </c>
      <c r="B5" t="str">
        <f>IFERROR(__xludf.DUMMYFUNCTION("""COMPUTED_VALUE"""),"Vegetable Oil-Butter Spread Reduced Calorie")</f>
        <v>Vegetable Oil-Butter Spread Reduced Calorie</v>
      </c>
      <c r="C5" t="str">
        <f>IFERROR(__xludf.DUMMYFUNCTION("""COMPUTED_VALUE"""),"Fats and Oils")</f>
        <v>Fats and Oils</v>
      </c>
      <c r="D5">
        <f>IFERROR(__xludf.DUMMYFUNCTION("""COMPUTED_VALUE"""),465.0)</f>
        <v>465</v>
      </c>
      <c r="E5">
        <f>IFERROR(__xludf.DUMMYFUNCTION("""COMPUTED_VALUE"""),53.0)</f>
        <v>53</v>
      </c>
      <c r="F5">
        <f>IFERROR(__xludf.DUMMYFUNCTION("""COMPUTED_VALUE"""),0.0)</f>
        <v>0</v>
      </c>
      <c r="G5">
        <f>IFERROR(__xludf.DUMMYFUNCTION("""COMPUTED_VALUE"""),0.0)</f>
        <v>0</v>
      </c>
    </row>
    <row r="6">
      <c r="A6">
        <f>IFERROR(__xludf.DUMMYFUNCTION("""COMPUTED_VALUE"""),167692.0)</f>
        <v>167692</v>
      </c>
      <c r="B6" t="str">
        <f>IFERROR(__xludf.DUMMYFUNCTION("""COMPUTED_VALUE"""),"Salad Dressing Blue Or Roquefort Cheese Dressing Light")</f>
        <v>Salad Dressing Blue Or Roquefort Cheese Dressing Light</v>
      </c>
      <c r="C6" t="str">
        <f>IFERROR(__xludf.DUMMYFUNCTION("""COMPUTED_VALUE"""),"Fats and Oils")</f>
        <v>Fats and Oils</v>
      </c>
      <c r="D6">
        <f>IFERROR(__xludf.DUMMYFUNCTION("""COMPUTED_VALUE"""),86.0)</f>
        <v>86</v>
      </c>
      <c r="E6">
        <f>IFERROR(__xludf.DUMMYFUNCTION("""COMPUTED_VALUE"""),2.7)</f>
        <v>2.7</v>
      </c>
      <c r="F6">
        <f>IFERROR(__xludf.DUMMYFUNCTION("""COMPUTED_VALUE"""),2.1)</f>
        <v>2.1</v>
      </c>
      <c r="G6">
        <f>IFERROR(__xludf.DUMMYFUNCTION("""COMPUTED_VALUE"""),13.2)</f>
        <v>13.2</v>
      </c>
    </row>
    <row r="7">
      <c r="A7">
        <f>IFERROR(__xludf.DUMMYFUNCTION("""COMPUTED_VALUE"""),167693.0)</f>
        <v>167693</v>
      </c>
      <c r="B7" t="str">
        <f>IFERROR(__xludf.DUMMYFUNCTION("""COMPUTED_VALUE"""),"Salad Dressing French Dressing Reduced Calorie")</f>
        <v>Salad Dressing French Dressing Reduced Calorie</v>
      </c>
      <c r="C7" t="str">
        <f>IFERROR(__xludf.DUMMYFUNCTION("""COMPUTED_VALUE"""),"Fats and Oils")</f>
        <v>Fats and Oils</v>
      </c>
      <c r="D7">
        <f>IFERROR(__xludf.DUMMYFUNCTION("""COMPUTED_VALUE"""),227.0)</f>
        <v>227</v>
      </c>
      <c r="E7">
        <f>IFERROR(__xludf.DUMMYFUNCTION("""COMPUTED_VALUE"""),13.0)</f>
        <v>13</v>
      </c>
      <c r="F7">
        <f>IFERROR(__xludf.DUMMYFUNCTION("""COMPUTED_VALUE"""),0.4)</f>
        <v>0.4</v>
      </c>
      <c r="G7">
        <f>IFERROR(__xludf.DUMMYFUNCTION("""COMPUTED_VALUE"""),27.0)</f>
        <v>27</v>
      </c>
    </row>
    <row r="8">
      <c r="A8">
        <f>IFERROR(__xludf.DUMMYFUNCTION("""COMPUTED_VALUE"""),167695.0)</f>
        <v>167695</v>
      </c>
      <c r="B8" t="str">
        <f>IFERROR(__xludf.DUMMYFUNCTION("""COMPUTED_VALUE"""),"Mayonnaise Made With Tofu")</f>
        <v>Mayonnaise Made With Tofu</v>
      </c>
      <c r="C8" t="str">
        <f>IFERROR(__xludf.DUMMYFUNCTION("""COMPUTED_VALUE"""),"Fats and Oils")</f>
        <v>Fats and Oils</v>
      </c>
      <c r="D8">
        <f>IFERROR(__xludf.DUMMYFUNCTION("""COMPUTED_VALUE"""),322.0)</f>
        <v>322</v>
      </c>
      <c r="E8">
        <f>IFERROR(__xludf.DUMMYFUNCTION("""COMPUTED_VALUE"""),31.79)</f>
        <v>31.79</v>
      </c>
      <c r="F8">
        <f>IFERROR(__xludf.DUMMYFUNCTION("""COMPUTED_VALUE"""),5.95)</f>
        <v>5.95</v>
      </c>
      <c r="G8">
        <f>IFERROR(__xludf.DUMMYFUNCTION("""COMPUTED_VALUE"""),3.06)</f>
        <v>3.06</v>
      </c>
    </row>
    <row r="9">
      <c r="A9">
        <f>IFERROR(__xludf.DUMMYFUNCTION("""COMPUTED_VALUE"""),167697.0)</f>
        <v>167697</v>
      </c>
      <c r="B9" t="str">
        <f>IFERROR(__xludf.DUMMYFUNCTION("""COMPUTED_VALUE"""),"Milk Buttermilk Fluid Cultured Reduced Fat")</f>
        <v>Milk Buttermilk Fluid Cultured Reduced Fat</v>
      </c>
      <c r="C9" t="str">
        <f>IFERROR(__xludf.DUMMYFUNCTION("""COMPUTED_VALUE"""),"Dairy and Egg Products")</f>
        <v>Dairy and Egg Products</v>
      </c>
      <c r="D9">
        <f>IFERROR(__xludf.DUMMYFUNCTION("""COMPUTED_VALUE"""),56.0)</f>
        <v>56</v>
      </c>
      <c r="E9">
        <f>IFERROR(__xludf.DUMMYFUNCTION("""COMPUTED_VALUE"""),2.0)</f>
        <v>2</v>
      </c>
      <c r="F9">
        <f>IFERROR(__xludf.DUMMYFUNCTION("""COMPUTED_VALUE"""),4.1)</f>
        <v>4.1</v>
      </c>
      <c r="G9">
        <f>IFERROR(__xludf.DUMMYFUNCTION("""COMPUTED_VALUE"""),5.3)</f>
        <v>5.3</v>
      </c>
    </row>
    <row r="10">
      <c r="A10">
        <f>IFERROR(__xludf.DUMMYFUNCTION("""COMPUTED_VALUE"""),167699.0)</f>
        <v>167699</v>
      </c>
      <c r="B10" t="str">
        <f>IFERROR(__xludf.DUMMYFUNCTION("""COMPUTED_VALUE"""),"Salad Dressing Blue Or Roquefort Cheese Dressing Fat-Free")</f>
        <v>Salad Dressing Blue Or Roquefort Cheese Dressing Fat-Free</v>
      </c>
      <c r="C10" t="str">
        <f>IFERROR(__xludf.DUMMYFUNCTION("""COMPUTED_VALUE"""),"Fats and Oils")</f>
        <v>Fats and Oils</v>
      </c>
      <c r="D10">
        <f>IFERROR(__xludf.DUMMYFUNCTION("""COMPUTED_VALUE"""),115.0)</f>
        <v>115</v>
      </c>
      <c r="E10">
        <f>IFERROR(__xludf.DUMMYFUNCTION("""COMPUTED_VALUE"""),1.01)</f>
        <v>1.01</v>
      </c>
      <c r="F10">
        <f>IFERROR(__xludf.DUMMYFUNCTION("""COMPUTED_VALUE"""),1.52)</f>
        <v>1.52</v>
      </c>
      <c r="G10">
        <f>IFERROR(__xludf.DUMMYFUNCTION("""COMPUTED_VALUE"""),25.6)</f>
        <v>25.6</v>
      </c>
    </row>
    <row r="11">
      <c r="A11">
        <f>IFERROR(__xludf.DUMMYFUNCTION("""COMPUTED_VALUE"""),167700.0)</f>
        <v>167700</v>
      </c>
      <c r="B11" t="str">
        <f>IFERROR(__xludf.DUMMYFUNCTION("""COMPUTED_VALUE"""),"Salad Dressing Mayonnaise-Like Fat-Free")</f>
        <v>Salad Dressing Mayonnaise-Like Fat-Free</v>
      </c>
      <c r="C11" t="str">
        <f>IFERROR(__xludf.DUMMYFUNCTION("""COMPUTED_VALUE"""),"Fats and Oils")</f>
        <v>Fats and Oils</v>
      </c>
      <c r="D11">
        <f>IFERROR(__xludf.DUMMYFUNCTION("""COMPUTED_VALUE"""),84.0)</f>
        <v>84</v>
      </c>
      <c r="E11">
        <f>IFERROR(__xludf.DUMMYFUNCTION("""COMPUTED_VALUE"""),2.7)</f>
        <v>2.7</v>
      </c>
      <c r="F11">
        <f>IFERROR(__xludf.DUMMYFUNCTION("""COMPUTED_VALUE"""),0.2)</f>
        <v>0.2</v>
      </c>
      <c r="G11">
        <f>IFERROR(__xludf.DUMMYFUNCTION("""COMPUTED_VALUE"""),15.5)</f>
        <v>15.5</v>
      </c>
    </row>
    <row r="12">
      <c r="A12">
        <f>IFERROR(__xludf.DUMMYFUNCTION("""COMPUTED_VALUE"""),167702.0)</f>
        <v>167702</v>
      </c>
      <c r="B12" t="str">
        <f>IFERROR(__xludf.DUMMYFUNCTION("""COMPUTED_VALUE"""),"Flaxseed Oil")</f>
        <v>Flaxseed Oil</v>
      </c>
      <c r="C12" t="str">
        <f>IFERROR(__xludf.DUMMYFUNCTION("""COMPUTED_VALUE"""),"Fats and Oils")</f>
        <v>Fats and Oils</v>
      </c>
      <c r="D12">
        <f>IFERROR(__xludf.DUMMYFUNCTION("""COMPUTED_VALUE"""),884.0)</f>
        <v>884</v>
      </c>
      <c r="E12">
        <f>IFERROR(__xludf.DUMMYFUNCTION("""COMPUTED_VALUE"""),99.98)</f>
        <v>99.98</v>
      </c>
      <c r="F12">
        <f>IFERROR(__xludf.DUMMYFUNCTION("""COMPUTED_VALUE"""),0.11)</f>
        <v>0.11</v>
      </c>
      <c r="G12">
        <f>IFERROR(__xludf.DUMMYFUNCTION("""COMPUTED_VALUE"""),0.0)</f>
        <v>0</v>
      </c>
    </row>
    <row r="13">
      <c r="A13">
        <f>IFERROR(__xludf.DUMMYFUNCTION("""COMPUTED_VALUE"""),167703.0)</f>
        <v>167703</v>
      </c>
      <c r="B13" t="str">
        <f>IFERROR(__xludf.DUMMYFUNCTION("""COMPUTED_VALUE"""),"Cheese Cottage Lowfat 1% Milkfat Lactose Reduced")</f>
        <v>Cheese Cottage Lowfat 1% Milkfat Lactose Reduced</v>
      </c>
      <c r="C13" t="str">
        <f>IFERROR(__xludf.DUMMYFUNCTION("""COMPUTED_VALUE"""),"Dairy and Egg Products")</f>
        <v>Dairy and Egg Products</v>
      </c>
      <c r="D13">
        <f>IFERROR(__xludf.DUMMYFUNCTION("""COMPUTED_VALUE"""),74.0)</f>
        <v>74</v>
      </c>
      <c r="E13">
        <f>IFERROR(__xludf.DUMMYFUNCTION("""COMPUTED_VALUE"""),1.0)</f>
        <v>1</v>
      </c>
      <c r="F13">
        <f>IFERROR(__xludf.DUMMYFUNCTION("""COMPUTED_VALUE"""),12.4)</f>
        <v>12.4</v>
      </c>
      <c r="G13">
        <f>IFERROR(__xludf.DUMMYFUNCTION("""COMPUTED_VALUE"""),3.2)</f>
        <v>3.2</v>
      </c>
    </row>
    <row r="14">
      <c r="A14">
        <f>IFERROR(__xludf.DUMMYFUNCTION("""COMPUTED_VALUE"""),167704.0)</f>
        <v>167704</v>
      </c>
      <c r="B14" t="str">
        <f>IFERROR(__xludf.DUMMYFUNCTION("""COMPUTED_VALUE"""),"Salad Dressing Bacon And Tomato")</f>
        <v>Salad Dressing Bacon And Tomato</v>
      </c>
      <c r="C14" t="str">
        <f>IFERROR(__xludf.DUMMYFUNCTION("""COMPUTED_VALUE"""),"Fats and Oils")</f>
        <v>Fats and Oils</v>
      </c>
      <c r="D14">
        <f>IFERROR(__xludf.DUMMYFUNCTION("""COMPUTED_VALUE"""),326.0)</f>
        <v>326</v>
      </c>
      <c r="E14">
        <f>IFERROR(__xludf.DUMMYFUNCTION("""COMPUTED_VALUE"""),35.0)</f>
        <v>35</v>
      </c>
      <c r="F14">
        <f>IFERROR(__xludf.DUMMYFUNCTION("""COMPUTED_VALUE"""),1.8)</f>
        <v>1.8</v>
      </c>
      <c r="G14">
        <f>IFERROR(__xludf.DUMMYFUNCTION("""COMPUTED_VALUE"""),2.0)</f>
        <v>2</v>
      </c>
    </row>
    <row r="15">
      <c r="A15">
        <f>IFERROR(__xludf.DUMMYFUNCTION("""COMPUTED_VALUE"""),167705.0)</f>
        <v>167705</v>
      </c>
      <c r="B15" t="str">
        <f>IFERROR(__xludf.DUMMYFUNCTION("""COMPUTED_VALUE"""),"Grated Parmesan Cheese (Low-Sodium)")</f>
        <v>Grated Parmesan Cheese (Low-Sodium)</v>
      </c>
      <c r="C15" t="str">
        <f>IFERROR(__xludf.DUMMYFUNCTION("""COMPUTED_VALUE"""),"Dairy and Egg Products")</f>
        <v>Dairy and Egg Products</v>
      </c>
      <c r="D15">
        <f>IFERROR(__xludf.DUMMYFUNCTION("""COMPUTED_VALUE"""),451.0)</f>
        <v>451</v>
      </c>
      <c r="E15">
        <f>IFERROR(__xludf.DUMMYFUNCTION("""COMPUTED_VALUE"""),29.99)</f>
        <v>29.99</v>
      </c>
      <c r="F15">
        <f>IFERROR(__xludf.DUMMYFUNCTION("""COMPUTED_VALUE"""),41.6)</f>
        <v>41.6</v>
      </c>
      <c r="G15">
        <f>IFERROR(__xludf.DUMMYFUNCTION("""COMPUTED_VALUE"""),3.7)</f>
        <v>3.7</v>
      </c>
    </row>
    <row r="16">
      <c r="A16">
        <f>IFERROR(__xludf.DUMMYFUNCTION("""COMPUTED_VALUE"""),167716.0)</f>
        <v>167716</v>
      </c>
      <c r="B16" t="str">
        <f>IFERROR(__xludf.DUMMYFUNCTION("""COMPUTED_VALUE"""),"Cheese Cottage Lowfat 1% Milkfat With Vegetables")</f>
        <v>Cheese Cottage Lowfat 1% Milkfat With Vegetables</v>
      </c>
      <c r="C16" t="str">
        <f>IFERROR(__xludf.DUMMYFUNCTION("""COMPUTED_VALUE"""),"Dairy and Egg Products")</f>
        <v>Dairy and Egg Products</v>
      </c>
      <c r="D16">
        <f>IFERROR(__xludf.DUMMYFUNCTION("""COMPUTED_VALUE"""),67.0)</f>
        <v>67</v>
      </c>
      <c r="E16">
        <f>IFERROR(__xludf.DUMMYFUNCTION("""COMPUTED_VALUE"""),1.0)</f>
        <v>1</v>
      </c>
      <c r="F16">
        <f>IFERROR(__xludf.DUMMYFUNCTION("""COMPUTED_VALUE"""),10.9)</f>
        <v>10.9</v>
      </c>
      <c r="G16">
        <f>IFERROR(__xludf.DUMMYFUNCTION("""COMPUTED_VALUE"""),3.0)</f>
        <v>3</v>
      </c>
    </row>
    <row r="17">
      <c r="A17">
        <f>IFERROR(__xludf.DUMMYFUNCTION("""COMPUTED_VALUE"""),167730.0)</f>
        <v>167730</v>
      </c>
      <c r="B17" t="str">
        <f>IFERROR(__xludf.DUMMYFUNCTION("""COMPUTED_VALUE"""),"Milk Imitation Non-Soy")</f>
        <v>Milk Imitation Non-Soy</v>
      </c>
      <c r="C17" t="str">
        <f>IFERROR(__xludf.DUMMYFUNCTION("""COMPUTED_VALUE"""),"Dairy and Egg Products")</f>
        <v>Dairy and Egg Products</v>
      </c>
      <c r="D17">
        <f>IFERROR(__xludf.DUMMYFUNCTION("""COMPUTED_VALUE"""),46.0)</f>
        <v>46</v>
      </c>
      <c r="E17">
        <f>IFERROR(__xludf.DUMMYFUNCTION("""COMPUTED_VALUE"""),2.0)</f>
        <v>2</v>
      </c>
      <c r="F17">
        <f>IFERROR(__xludf.DUMMYFUNCTION("""COMPUTED_VALUE"""),1.6)</f>
        <v>1.6</v>
      </c>
      <c r="G17">
        <f>IFERROR(__xludf.DUMMYFUNCTION("""COMPUTED_VALUE"""),5.3)</f>
        <v>5.3</v>
      </c>
    </row>
    <row r="18">
      <c r="A18">
        <f>IFERROR(__xludf.DUMMYFUNCTION("""COMPUTED_VALUE"""),167735.0)</f>
        <v>167735</v>
      </c>
      <c r="B18" t="str">
        <f>IFERROR(__xludf.DUMMYFUNCTION("""COMPUTED_VALUE"""),"Cheese Mozzarella Low Sodium")</f>
        <v>Cheese Mozzarella Low Sodium</v>
      </c>
      <c r="C18" t="str">
        <f>IFERROR(__xludf.DUMMYFUNCTION("""COMPUTED_VALUE"""),"Dairy and Egg Products")</f>
        <v>Dairy and Egg Products</v>
      </c>
      <c r="D18">
        <f>IFERROR(__xludf.DUMMYFUNCTION("""COMPUTED_VALUE"""),280.0)</f>
        <v>280</v>
      </c>
      <c r="E18">
        <f>IFERROR(__xludf.DUMMYFUNCTION("""COMPUTED_VALUE"""),17.1)</f>
        <v>17.1</v>
      </c>
      <c r="F18">
        <f>IFERROR(__xludf.DUMMYFUNCTION("""COMPUTED_VALUE"""),27.5)</f>
        <v>27.5</v>
      </c>
      <c r="G18">
        <f>IFERROR(__xludf.DUMMYFUNCTION("""COMPUTED_VALUE"""),3.1)</f>
        <v>3.1</v>
      </c>
    </row>
    <row r="19">
      <c r="A19">
        <f>IFERROR(__xludf.DUMMYFUNCTION("""COMPUTED_VALUE"""),167736.0)</f>
        <v>167736</v>
      </c>
      <c r="B19" t="str">
        <f>IFERROR(__xludf.DUMMYFUNCTION("""COMPUTED_VALUE"""),"Mayonnaise Dressing No Cholesterol")</f>
        <v>Mayonnaise Dressing No Cholesterol</v>
      </c>
      <c r="C19" t="str">
        <f>IFERROR(__xludf.DUMMYFUNCTION("""COMPUTED_VALUE"""),"Fats and Oils")</f>
        <v>Fats and Oils</v>
      </c>
      <c r="D19">
        <f>IFERROR(__xludf.DUMMYFUNCTION("""COMPUTED_VALUE"""),688.0)</f>
        <v>688</v>
      </c>
      <c r="E19">
        <f>IFERROR(__xludf.DUMMYFUNCTION("""COMPUTED_VALUE"""),77.8)</f>
        <v>77.8</v>
      </c>
      <c r="F19">
        <f>IFERROR(__xludf.DUMMYFUNCTION("""COMPUTED_VALUE"""),0.0)</f>
        <v>0</v>
      </c>
      <c r="G19">
        <f>IFERROR(__xludf.DUMMYFUNCTION("""COMPUTED_VALUE"""),0.3)</f>
        <v>0.3</v>
      </c>
    </row>
    <row r="20">
      <c r="A20">
        <f>IFERROR(__xludf.DUMMYFUNCTION("""COMPUTED_VALUE"""),167737.0)</f>
        <v>167737</v>
      </c>
      <c r="B20" t="str">
        <f>IFERROR(__xludf.DUMMYFUNCTION("""COMPUTED_VALUE"""),"Oil Corn Peanut And Olive")</f>
        <v>Oil Corn Peanut And Olive</v>
      </c>
      <c r="C20" t="str">
        <f>IFERROR(__xludf.DUMMYFUNCTION("""COMPUTED_VALUE"""),"Fats and Oils")</f>
        <v>Fats and Oils</v>
      </c>
      <c r="D20">
        <f>IFERROR(__xludf.DUMMYFUNCTION("""COMPUTED_VALUE"""),884.0)</f>
        <v>884</v>
      </c>
      <c r="E20">
        <f>IFERROR(__xludf.DUMMYFUNCTION("""COMPUTED_VALUE"""),100.0)</f>
        <v>100</v>
      </c>
      <c r="F20">
        <f>IFERROR(__xludf.DUMMYFUNCTION("""COMPUTED_VALUE"""),0.0)</f>
        <v>0</v>
      </c>
      <c r="G20">
        <f>IFERROR(__xludf.DUMMYFUNCTION("""COMPUTED_VALUE"""),0.0)</f>
        <v>0</v>
      </c>
    </row>
    <row r="21">
      <c r="A21">
        <f>IFERROR(__xludf.DUMMYFUNCTION("""COMPUTED_VALUE"""),168089.0)</f>
        <v>168089</v>
      </c>
      <c r="B21" t="str">
        <f>IFERROR(__xludf.DUMMYFUNCTION("""COMPUTED_VALUE"""),"Imitation Cheese American Or Cheddar Low Cholesterol")</f>
        <v>Imitation Cheese American Or Cheddar Low Cholesterol</v>
      </c>
      <c r="C21" t="str">
        <f>IFERROR(__xludf.DUMMYFUNCTION("""COMPUTED_VALUE"""),"Dairy and Egg Products")</f>
        <v>Dairy and Egg Products</v>
      </c>
      <c r="D21">
        <f>IFERROR(__xludf.DUMMYFUNCTION("""COMPUTED_VALUE"""),390.0)</f>
        <v>390</v>
      </c>
      <c r="E21">
        <f>IFERROR(__xludf.DUMMYFUNCTION("""COMPUTED_VALUE"""),32.0)</f>
        <v>32</v>
      </c>
      <c r="F21">
        <f>IFERROR(__xludf.DUMMYFUNCTION("""COMPUTED_VALUE"""),25.0)</f>
        <v>25</v>
      </c>
      <c r="G21">
        <f>IFERROR(__xludf.DUMMYFUNCTION("""COMPUTED_VALUE"""),1.0)</f>
        <v>1</v>
      </c>
    </row>
    <row r="22">
      <c r="A22">
        <f>IFERROR(__xludf.DUMMYFUNCTION("""COMPUTED_VALUE"""),168093.0)</f>
        <v>168093</v>
      </c>
      <c r="B22" t="str">
        <f>IFERROR(__xludf.DUMMYFUNCTION("""COMPUTED_VALUE"""),"Salad Dressing Peppercorn Dressing Commercial Regular")</f>
        <v>Salad Dressing Peppercorn Dressing Commercial Regular</v>
      </c>
      <c r="C22" t="str">
        <f>IFERROR(__xludf.DUMMYFUNCTION("""COMPUTED_VALUE"""),"Fats and Oils")</f>
        <v>Fats and Oils</v>
      </c>
      <c r="D22">
        <f>IFERROR(__xludf.DUMMYFUNCTION("""COMPUTED_VALUE"""),564.0)</f>
        <v>564</v>
      </c>
      <c r="E22">
        <f>IFERROR(__xludf.DUMMYFUNCTION("""COMPUTED_VALUE"""),61.4)</f>
        <v>61.4</v>
      </c>
      <c r="F22">
        <f>IFERROR(__xludf.DUMMYFUNCTION("""COMPUTED_VALUE"""),1.2)</f>
        <v>1.2</v>
      </c>
      <c r="G22">
        <f>IFERROR(__xludf.DUMMYFUNCTION("""COMPUTED_VALUE"""),3.5)</f>
        <v>3.5</v>
      </c>
    </row>
    <row r="23">
      <c r="A23">
        <f>IFERROR(__xludf.DUMMYFUNCTION("""COMPUTED_VALUE"""),168094.0)</f>
        <v>168094</v>
      </c>
      <c r="B23" t="str">
        <f>IFERROR(__xludf.DUMMYFUNCTION("""COMPUTED_VALUE"""),"Mayonnaise Reduced-Calorie Or Diet Cholesterol-Free")</f>
        <v>Mayonnaise Reduced-Calorie Or Diet Cholesterol-Free</v>
      </c>
      <c r="C23" t="str">
        <f>IFERROR(__xludf.DUMMYFUNCTION("""COMPUTED_VALUE"""),"Fats and Oils")</f>
        <v>Fats and Oils</v>
      </c>
      <c r="D23">
        <f>IFERROR(__xludf.DUMMYFUNCTION("""COMPUTED_VALUE"""),333.0)</f>
        <v>333</v>
      </c>
      <c r="E23">
        <f>IFERROR(__xludf.DUMMYFUNCTION("""COMPUTED_VALUE"""),33.3)</f>
        <v>33.3</v>
      </c>
      <c r="F23">
        <f>IFERROR(__xludf.DUMMYFUNCTION("""COMPUTED_VALUE"""),0.9)</f>
        <v>0.9</v>
      </c>
      <c r="G23">
        <f>IFERROR(__xludf.DUMMYFUNCTION("""COMPUTED_VALUE"""),6.7)</f>
        <v>6.7</v>
      </c>
    </row>
    <row r="24">
      <c r="A24">
        <f>IFERROR(__xludf.DUMMYFUNCTION("""COMPUTED_VALUE"""),168096.0)</f>
        <v>168096</v>
      </c>
      <c r="B24" t="str">
        <f>IFERROR(__xludf.DUMMYFUNCTION("""COMPUTED_VALUE"""),"Salad Dressing Italian Dressing Reduced Calorie")</f>
        <v>Salad Dressing Italian Dressing Reduced Calorie</v>
      </c>
      <c r="C24" t="str">
        <f>IFERROR(__xludf.DUMMYFUNCTION("""COMPUTED_VALUE"""),"Fats and Oils")</f>
        <v>Fats and Oils</v>
      </c>
      <c r="D24">
        <f>IFERROR(__xludf.DUMMYFUNCTION("""COMPUTED_VALUE"""),200.0)</f>
        <v>200</v>
      </c>
      <c r="E24">
        <f>IFERROR(__xludf.DUMMYFUNCTION("""COMPUTED_VALUE"""),20.0)</f>
        <v>20</v>
      </c>
      <c r="F24">
        <f>IFERROR(__xludf.DUMMYFUNCTION("""COMPUTED_VALUE"""),0.3)</f>
        <v>0.3</v>
      </c>
      <c r="G24">
        <f>IFERROR(__xludf.DUMMYFUNCTION("""COMPUTED_VALUE"""),6.7)</f>
        <v>6.7</v>
      </c>
    </row>
    <row r="25">
      <c r="A25">
        <f>IFERROR(__xludf.DUMMYFUNCTION("""COMPUTED_VALUE"""),168097.0)</f>
        <v>168097</v>
      </c>
      <c r="B25" t="str">
        <f>IFERROR(__xludf.DUMMYFUNCTION("""COMPUTED_VALUE"""),"Cream Substitute Liquid Light")</f>
        <v>Cream Substitute Liquid Light</v>
      </c>
      <c r="C25" t="str">
        <f>IFERROR(__xludf.DUMMYFUNCTION("""COMPUTED_VALUE"""),"Dairy and Egg Products")</f>
        <v>Dairy and Egg Products</v>
      </c>
      <c r="D25">
        <f>IFERROR(__xludf.DUMMYFUNCTION("""COMPUTED_VALUE"""),71.0)</f>
        <v>71</v>
      </c>
      <c r="E25">
        <f>IFERROR(__xludf.DUMMYFUNCTION("""COMPUTED_VALUE"""),3.5)</f>
        <v>3.5</v>
      </c>
      <c r="F25">
        <f>IFERROR(__xludf.DUMMYFUNCTION("""COMPUTED_VALUE"""),0.8)</f>
        <v>0.8</v>
      </c>
      <c r="G25">
        <f>IFERROR(__xludf.DUMMYFUNCTION("""COMPUTED_VALUE"""),9.1)</f>
        <v>9.1</v>
      </c>
    </row>
    <row r="26">
      <c r="A26">
        <f>IFERROR(__xludf.DUMMYFUNCTION("""COMPUTED_VALUE"""),168098.0)</f>
        <v>168098</v>
      </c>
      <c r="B26" t="str">
        <f>IFERROR(__xludf.DUMMYFUNCTION("""COMPUTED_VALUE"""),"Cheese Monterey Low Fat")</f>
        <v>Cheese Monterey Low Fat</v>
      </c>
      <c r="C26" t="str">
        <f>IFERROR(__xludf.DUMMYFUNCTION("""COMPUTED_VALUE"""),"Dairy and Egg Products")</f>
        <v>Dairy and Egg Products</v>
      </c>
      <c r="D26">
        <f>IFERROR(__xludf.DUMMYFUNCTION("""COMPUTED_VALUE"""),313.0)</f>
        <v>313</v>
      </c>
      <c r="E26">
        <f>IFERROR(__xludf.DUMMYFUNCTION("""COMPUTED_VALUE"""),21.6)</f>
        <v>21.6</v>
      </c>
      <c r="F26">
        <f>IFERROR(__xludf.DUMMYFUNCTION("""COMPUTED_VALUE"""),28.2)</f>
        <v>28.2</v>
      </c>
      <c r="G26">
        <f>IFERROR(__xludf.DUMMYFUNCTION("""COMPUTED_VALUE"""),0.7)</f>
        <v>0.7</v>
      </c>
    </row>
    <row r="27">
      <c r="A27">
        <f>IFERROR(__xludf.DUMMYFUNCTION("""COMPUTED_VALUE"""),168099.0)</f>
        <v>168099</v>
      </c>
      <c r="B27" t="str">
        <f>IFERROR(__xludf.DUMMYFUNCTION("""COMPUTED_VALUE"""),"Creamy Dressing Made With Sour Cream And/or Buttermilk And Oil Reduced Calorie Fat-Free")</f>
        <v>Creamy Dressing Made With Sour Cream And/or Buttermilk And Oil Reduced Calorie Fat-Free</v>
      </c>
      <c r="C27" t="str">
        <f>IFERROR(__xludf.DUMMYFUNCTION("""COMPUTED_VALUE"""),"Fats and Oils")</f>
        <v>Fats and Oils</v>
      </c>
      <c r="D27">
        <f>IFERROR(__xludf.DUMMYFUNCTION("""COMPUTED_VALUE"""),107.0)</f>
        <v>107</v>
      </c>
      <c r="E27">
        <f>IFERROR(__xludf.DUMMYFUNCTION("""COMPUTED_VALUE"""),2.7)</f>
        <v>2.7</v>
      </c>
      <c r="F27">
        <f>IFERROR(__xludf.DUMMYFUNCTION("""COMPUTED_VALUE"""),1.4)</f>
        <v>1.4</v>
      </c>
      <c r="G27">
        <f>IFERROR(__xludf.DUMMYFUNCTION("""COMPUTED_VALUE"""),20.0)</f>
        <v>20</v>
      </c>
    </row>
    <row r="28">
      <c r="A28">
        <f>IFERROR(__xludf.DUMMYFUNCTION("""COMPUTED_VALUE"""),168100.0)</f>
        <v>168100</v>
      </c>
      <c r="B28" t="str">
        <f>IFERROR(__xludf.DUMMYFUNCTION("""COMPUTED_VALUE"""),"Creamy Dressing Made With Sour Cream And/or Buttermilk And Oil Reduced Calorie Cholesterol-Free")</f>
        <v>Creamy Dressing Made With Sour Cream And/or Buttermilk And Oil Reduced Calorie Cholesterol-Free</v>
      </c>
      <c r="C28" t="str">
        <f>IFERROR(__xludf.DUMMYFUNCTION("""COMPUTED_VALUE"""),"Fats and Oils")</f>
        <v>Fats and Oils</v>
      </c>
      <c r="D28">
        <f>IFERROR(__xludf.DUMMYFUNCTION("""COMPUTED_VALUE"""),140.0)</f>
        <v>140</v>
      </c>
      <c r="E28">
        <f>IFERROR(__xludf.DUMMYFUNCTION("""COMPUTED_VALUE"""),8.0)</f>
        <v>8</v>
      </c>
      <c r="F28">
        <f>IFERROR(__xludf.DUMMYFUNCTION("""COMPUTED_VALUE"""),1.0)</f>
        <v>1</v>
      </c>
      <c r="G28">
        <f>IFERROR(__xludf.DUMMYFUNCTION("""COMPUTED_VALUE"""),16.0)</f>
        <v>16</v>
      </c>
    </row>
    <row r="29">
      <c r="A29">
        <f>IFERROR(__xludf.DUMMYFUNCTION("""COMPUTED_VALUE"""),168109.0)</f>
        <v>168109</v>
      </c>
      <c r="B29" t="str">
        <f>IFERROR(__xludf.DUMMYFUNCTION("""COMPUTED_VALUE"""),"Salad Dressing Coleslaw Dressing Reduced Fat")</f>
        <v>Salad Dressing Coleslaw Dressing Reduced Fat</v>
      </c>
      <c r="C29" t="str">
        <f>IFERROR(__xludf.DUMMYFUNCTION("""COMPUTED_VALUE"""),"Fats and Oils")</f>
        <v>Fats and Oils</v>
      </c>
      <c r="D29">
        <f>IFERROR(__xludf.DUMMYFUNCTION("""COMPUTED_VALUE"""),329.0)</f>
        <v>329</v>
      </c>
      <c r="E29">
        <f>IFERROR(__xludf.DUMMYFUNCTION("""COMPUTED_VALUE"""),20.0)</f>
        <v>20</v>
      </c>
      <c r="F29">
        <f>IFERROR(__xludf.DUMMYFUNCTION("""COMPUTED_VALUE"""),0.0)</f>
        <v>0</v>
      </c>
      <c r="G29">
        <f>IFERROR(__xludf.DUMMYFUNCTION("""COMPUTED_VALUE"""),40.0)</f>
        <v>40</v>
      </c>
    </row>
    <row r="30">
      <c r="A30">
        <f>IFERROR(__xludf.DUMMYFUNCTION("""COMPUTED_VALUE"""),168112.0)</f>
        <v>168112</v>
      </c>
      <c r="B30" t="str">
        <f>IFERROR(__xludf.DUMMYFUNCTION("""COMPUTED_VALUE"""),"Salad Dressing Mayonnaise And Mayonnaise-Type Low Calorie")</f>
        <v>Salad Dressing Mayonnaise And Mayonnaise-Type Low Calorie</v>
      </c>
      <c r="C30" t="str">
        <f>IFERROR(__xludf.DUMMYFUNCTION("""COMPUTED_VALUE"""),"Fats and Oils")</f>
        <v>Fats and Oils</v>
      </c>
      <c r="D30">
        <f>IFERROR(__xludf.DUMMYFUNCTION("""COMPUTED_VALUE"""),263.0)</f>
        <v>263</v>
      </c>
      <c r="E30">
        <f>IFERROR(__xludf.DUMMYFUNCTION("""COMPUTED_VALUE"""),19.0)</f>
        <v>19</v>
      </c>
      <c r="F30">
        <f>IFERROR(__xludf.DUMMYFUNCTION("""COMPUTED_VALUE"""),0.9)</f>
        <v>0.9</v>
      </c>
      <c r="G30">
        <f>IFERROR(__xludf.DUMMYFUNCTION("""COMPUTED_VALUE"""),23.9)</f>
        <v>23.9</v>
      </c>
    </row>
    <row r="31">
      <c r="A31">
        <f>IFERROR(__xludf.DUMMYFUNCTION("""COMPUTED_VALUE"""),168114.0)</f>
        <v>168114</v>
      </c>
      <c r="B31" t="str">
        <f>IFERROR(__xludf.DUMMYFUNCTION("""COMPUTED_VALUE"""),"Cheese Cottage Lowfat 1% Milkfat No Sodium Added")</f>
        <v>Cheese Cottage Lowfat 1% Milkfat No Sodium Added</v>
      </c>
      <c r="C31" t="str">
        <f>IFERROR(__xludf.DUMMYFUNCTION("""COMPUTED_VALUE"""),"Dairy and Egg Products")</f>
        <v>Dairy and Egg Products</v>
      </c>
      <c r="D31">
        <f>IFERROR(__xludf.DUMMYFUNCTION("""COMPUTED_VALUE"""),72.0)</f>
        <v>72</v>
      </c>
      <c r="E31">
        <f>IFERROR(__xludf.DUMMYFUNCTION("""COMPUTED_VALUE"""),1.0)</f>
        <v>1</v>
      </c>
      <c r="F31">
        <f>IFERROR(__xludf.DUMMYFUNCTION("""COMPUTED_VALUE"""),12.4)</f>
        <v>12.4</v>
      </c>
      <c r="G31">
        <f>IFERROR(__xludf.DUMMYFUNCTION("""COMPUTED_VALUE"""),2.7)</f>
        <v>2.7</v>
      </c>
    </row>
    <row r="32">
      <c r="A32">
        <f>IFERROR(__xludf.DUMMYFUNCTION("""COMPUTED_VALUE"""),168115.0)</f>
        <v>168115</v>
      </c>
      <c r="B32" t="str">
        <f>IFERROR(__xludf.DUMMYFUNCTION("""COMPUTED_VALUE"""),"Mayonnaise Low Sodium Low Calorie Or Diet")</f>
        <v>Mayonnaise Low Sodium Low Calorie Or Diet</v>
      </c>
      <c r="C32" t="str">
        <f>IFERROR(__xludf.DUMMYFUNCTION("""COMPUTED_VALUE"""),"Fats and Oils")</f>
        <v>Fats and Oils</v>
      </c>
      <c r="D32">
        <f>IFERROR(__xludf.DUMMYFUNCTION("""COMPUTED_VALUE"""),231.0)</f>
        <v>231</v>
      </c>
      <c r="E32">
        <f>IFERROR(__xludf.DUMMYFUNCTION("""COMPUTED_VALUE"""),19.2)</f>
        <v>19.2</v>
      </c>
      <c r="F32">
        <f>IFERROR(__xludf.DUMMYFUNCTION("""COMPUTED_VALUE"""),0.3)</f>
        <v>0.3</v>
      </c>
      <c r="G32">
        <f>IFERROR(__xludf.DUMMYFUNCTION("""COMPUTED_VALUE"""),16.0)</f>
        <v>16</v>
      </c>
    </row>
    <row r="33">
      <c r="A33">
        <f>IFERROR(__xludf.DUMMYFUNCTION("""COMPUTED_VALUE"""),168121.0)</f>
        <v>168121</v>
      </c>
      <c r="B33" t="str">
        <f>IFERROR(__xludf.DUMMYFUNCTION("""COMPUTED_VALUE"""),"Cheese Pasteurized Process Cheddar Or American Low Sodium")</f>
        <v>Cheese Pasteurized Process Cheddar Or American Low Sodium</v>
      </c>
      <c r="C33" t="str">
        <f>IFERROR(__xludf.DUMMYFUNCTION("""COMPUTED_VALUE"""),"Dairy and Egg Products")</f>
        <v>Dairy and Egg Products</v>
      </c>
      <c r="D33">
        <f>IFERROR(__xludf.DUMMYFUNCTION("""COMPUTED_VALUE"""),376.0)</f>
        <v>376</v>
      </c>
      <c r="E33">
        <f>IFERROR(__xludf.DUMMYFUNCTION("""COMPUTED_VALUE"""),31.19)</f>
        <v>31.19</v>
      </c>
      <c r="F33">
        <f>IFERROR(__xludf.DUMMYFUNCTION("""COMPUTED_VALUE"""),22.2)</f>
        <v>22.2</v>
      </c>
      <c r="G33">
        <f>IFERROR(__xludf.DUMMYFUNCTION("""COMPUTED_VALUE"""),1.6)</f>
        <v>1.6</v>
      </c>
    </row>
    <row r="34">
      <c r="A34">
        <f>IFERROR(__xludf.DUMMYFUNCTION("""COMPUTED_VALUE"""),168124.0)</f>
        <v>168124</v>
      </c>
      <c r="B34" t="str">
        <f>IFERROR(__xludf.DUMMYFUNCTION("""COMPUTED_VALUE"""),"Cheese Swiss Low Sodium")</f>
        <v>Cheese Swiss Low Sodium</v>
      </c>
      <c r="C34" t="str">
        <f>IFERROR(__xludf.DUMMYFUNCTION("""COMPUTED_VALUE"""),"Dairy and Egg Products")</f>
        <v>Dairy and Egg Products</v>
      </c>
      <c r="D34">
        <f>IFERROR(__xludf.DUMMYFUNCTION("""COMPUTED_VALUE"""),374.0)</f>
        <v>374</v>
      </c>
      <c r="E34">
        <f>IFERROR(__xludf.DUMMYFUNCTION("""COMPUTED_VALUE"""),27.4)</f>
        <v>27.4</v>
      </c>
      <c r="F34">
        <f>IFERROR(__xludf.DUMMYFUNCTION("""COMPUTED_VALUE"""),28.4)</f>
        <v>28.4</v>
      </c>
      <c r="G34">
        <f>IFERROR(__xludf.DUMMYFUNCTION("""COMPUTED_VALUE"""),3.4)</f>
        <v>3.4</v>
      </c>
    </row>
    <row r="35">
      <c r="A35">
        <f>IFERROR(__xludf.DUMMYFUNCTION("""COMPUTED_VALUE"""),168141.0)</f>
        <v>168141</v>
      </c>
      <c r="B35" t="str">
        <f>IFERROR(__xludf.DUMMYFUNCTION("""COMPUTED_VALUE"""),"Cheese Swiss Low Fat")</f>
        <v>Cheese Swiss Low Fat</v>
      </c>
      <c r="C35" t="str">
        <f>IFERROR(__xludf.DUMMYFUNCTION("""COMPUTED_VALUE"""),"Dairy and Egg Products")</f>
        <v>Dairy and Egg Products</v>
      </c>
      <c r="D35">
        <f>IFERROR(__xludf.DUMMYFUNCTION("""COMPUTED_VALUE"""),179.0)</f>
        <v>179</v>
      </c>
      <c r="E35">
        <f>IFERROR(__xludf.DUMMYFUNCTION("""COMPUTED_VALUE"""),5.1)</f>
        <v>5.1</v>
      </c>
      <c r="F35">
        <f>IFERROR(__xludf.DUMMYFUNCTION("""COMPUTED_VALUE"""),28.4)</f>
        <v>28.4</v>
      </c>
      <c r="G35">
        <f>IFERROR(__xludf.DUMMYFUNCTION("""COMPUTED_VALUE"""),3.4)</f>
        <v>3.4</v>
      </c>
    </row>
    <row r="36">
      <c r="A36">
        <f>IFERROR(__xludf.DUMMYFUNCTION("""COMPUTED_VALUE"""),168585.0)</f>
        <v>168585</v>
      </c>
      <c r="B36" t="str">
        <f>IFERROR(__xludf.DUMMYFUNCTION("""COMPUTED_VALUE"""),"Nuts Coconut Meat Dried (Desiccated) Creamed")</f>
        <v>Nuts Coconut Meat Dried (Desiccated) Creamed</v>
      </c>
      <c r="C36" t="str">
        <f>IFERROR(__xludf.DUMMYFUNCTION("""COMPUTED_VALUE"""),"Nuts and Seeds")</f>
        <v>Nuts and Seeds</v>
      </c>
      <c r="D36">
        <f>IFERROR(__xludf.DUMMYFUNCTION("""COMPUTED_VALUE"""),684.0)</f>
        <v>684</v>
      </c>
      <c r="E36">
        <f>IFERROR(__xludf.DUMMYFUNCTION("""COMPUTED_VALUE"""),69.08)</f>
        <v>69.08</v>
      </c>
      <c r="F36">
        <f>IFERROR(__xludf.DUMMYFUNCTION("""COMPUTED_VALUE"""),5.3)</f>
        <v>5.3</v>
      </c>
      <c r="G36">
        <f>IFERROR(__xludf.DUMMYFUNCTION("""COMPUTED_VALUE"""),21.52)</f>
        <v>21.52</v>
      </c>
    </row>
    <row r="37">
      <c r="A37">
        <f>IFERROR(__xludf.DUMMYFUNCTION("""COMPUTED_VALUE"""),168586.0)</f>
        <v>168586</v>
      </c>
      <c r="B37" t="str">
        <f>IFERROR(__xludf.DUMMYFUNCTION("""COMPUTED_VALUE"""),"Shredded Coconut Meat")</f>
        <v>Shredded Coconut Meat</v>
      </c>
      <c r="C37" t="str">
        <f>IFERROR(__xludf.DUMMYFUNCTION("""COMPUTED_VALUE"""),"Nuts and Seeds")</f>
        <v>Nuts and Seeds</v>
      </c>
      <c r="D37">
        <f>IFERROR(__xludf.DUMMYFUNCTION("""COMPUTED_VALUE"""),501.0)</f>
        <v>501</v>
      </c>
      <c r="E37">
        <f>IFERROR(__xludf.DUMMYFUNCTION("""COMPUTED_VALUE"""),35.49)</f>
        <v>35.49</v>
      </c>
      <c r="F37">
        <f>IFERROR(__xludf.DUMMYFUNCTION("""COMPUTED_VALUE"""),2.88)</f>
        <v>2.88</v>
      </c>
      <c r="G37">
        <f>IFERROR(__xludf.DUMMYFUNCTION("""COMPUTED_VALUE"""),47.67)</f>
        <v>47.67</v>
      </c>
    </row>
    <row r="38">
      <c r="A38">
        <f>IFERROR(__xludf.DUMMYFUNCTION("""COMPUTED_VALUE"""),168587.0)</f>
        <v>168587</v>
      </c>
      <c r="B38" t="str">
        <f>IFERROR(__xludf.DUMMYFUNCTION("""COMPUTED_VALUE"""),"Seeds Sisymbrium Sp. Seeds Whole Dried")</f>
        <v>Seeds Sisymbrium Sp. Seeds Whole Dried</v>
      </c>
      <c r="C38" t="str">
        <f>IFERROR(__xludf.DUMMYFUNCTION("""COMPUTED_VALUE"""),"Nuts and Seeds")</f>
        <v>Nuts and Seeds</v>
      </c>
      <c r="D38">
        <f>IFERROR(__xludf.DUMMYFUNCTION("""COMPUTED_VALUE"""),318.0)</f>
        <v>318</v>
      </c>
      <c r="E38">
        <f>IFERROR(__xludf.DUMMYFUNCTION("""COMPUTED_VALUE"""),4.6)</f>
        <v>4.6</v>
      </c>
      <c r="F38">
        <f>IFERROR(__xludf.DUMMYFUNCTION("""COMPUTED_VALUE"""),12.14)</f>
        <v>12.14</v>
      </c>
      <c r="G38">
        <f>IFERROR(__xludf.DUMMYFUNCTION("""COMPUTED_VALUE"""),58.26)</f>
        <v>58.26</v>
      </c>
    </row>
    <row r="39">
      <c r="A39">
        <f>IFERROR(__xludf.DUMMYFUNCTION("""COMPUTED_VALUE"""),168588.0)</f>
        <v>168588</v>
      </c>
      <c r="B39" t="str">
        <f>IFERROR(__xludf.DUMMYFUNCTION("""COMPUTED_VALUE"""),"Almond Butter")</f>
        <v>Almond Butter</v>
      </c>
      <c r="C39" t="str">
        <f>IFERROR(__xludf.DUMMYFUNCTION("""COMPUTED_VALUE"""),"Nuts and Seeds")</f>
        <v>Nuts and Seeds</v>
      </c>
      <c r="D39">
        <f>IFERROR(__xludf.DUMMYFUNCTION("""COMPUTED_VALUE"""),614.0)</f>
        <v>614</v>
      </c>
      <c r="E39">
        <f>IFERROR(__xludf.DUMMYFUNCTION("""COMPUTED_VALUE"""),55.5)</f>
        <v>55.5</v>
      </c>
      <c r="F39">
        <f>IFERROR(__xludf.DUMMYFUNCTION("""COMPUTED_VALUE"""),20.96)</f>
        <v>20.96</v>
      </c>
      <c r="G39">
        <f>IFERROR(__xludf.DUMMYFUNCTION("""COMPUTED_VALUE"""),18.82)</f>
        <v>18.82</v>
      </c>
    </row>
    <row r="40">
      <c r="A40">
        <f>IFERROR(__xludf.DUMMYFUNCTION("""COMPUTED_VALUE"""),168589.0)</f>
        <v>168589</v>
      </c>
      <c r="B40" t="str">
        <f>IFERROR(__xludf.DUMMYFUNCTION("""COMPUTED_VALUE"""),"Boiled Japanese Chestnuts")</f>
        <v>Boiled Japanese Chestnuts</v>
      </c>
      <c r="C40" t="str">
        <f>IFERROR(__xludf.DUMMYFUNCTION("""COMPUTED_VALUE"""),"Nuts and Seeds")</f>
        <v>Nuts and Seeds</v>
      </c>
      <c r="D40">
        <f>IFERROR(__xludf.DUMMYFUNCTION("""COMPUTED_VALUE"""),56.0)</f>
        <v>56</v>
      </c>
      <c r="E40">
        <f>IFERROR(__xludf.DUMMYFUNCTION("""COMPUTED_VALUE"""),0.19)</f>
        <v>0.19</v>
      </c>
      <c r="F40">
        <f>IFERROR(__xludf.DUMMYFUNCTION("""COMPUTED_VALUE"""),0.82)</f>
        <v>0.82</v>
      </c>
      <c r="G40">
        <f>IFERROR(__xludf.DUMMYFUNCTION("""COMPUTED_VALUE"""),12.64)</f>
        <v>12.64</v>
      </c>
    </row>
    <row r="41">
      <c r="A41">
        <f>IFERROR(__xludf.DUMMYFUNCTION("""COMPUTED_VALUE"""),168590.0)</f>
        <v>168590</v>
      </c>
      <c r="B41" t="str">
        <f>IFERROR(__xludf.DUMMYFUNCTION("""COMPUTED_VALUE"""),"Nuts Chestnuts Japanese Roasted")</f>
        <v>Nuts Chestnuts Japanese Roasted</v>
      </c>
      <c r="C41" t="str">
        <f>IFERROR(__xludf.DUMMYFUNCTION("""COMPUTED_VALUE"""),"Nuts and Seeds")</f>
        <v>Nuts and Seeds</v>
      </c>
      <c r="D41">
        <f>IFERROR(__xludf.DUMMYFUNCTION("""COMPUTED_VALUE"""),201.0)</f>
        <v>201</v>
      </c>
      <c r="E41">
        <f>IFERROR(__xludf.DUMMYFUNCTION("""COMPUTED_VALUE"""),0.8)</f>
        <v>0.8</v>
      </c>
      <c r="F41">
        <f>IFERROR(__xludf.DUMMYFUNCTION("""COMPUTED_VALUE"""),2.97)</f>
        <v>2.97</v>
      </c>
      <c r="G41">
        <f>IFERROR(__xludf.DUMMYFUNCTION("""COMPUTED_VALUE"""),45.13)</f>
        <v>45.13</v>
      </c>
    </row>
    <row r="42">
      <c r="A42">
        <f>IFERROR(__xludf.DUMMYFUNCTION("""COMPUTED_VALUE"""),168591.0)</f>
        <v>168591</v>
      </c>
      <c r="B42" t="str">
        <f>IFERROR(__xludf.DUMMYFUNCTION("""COMPUTED_VALUE"""),"Lotus Seeds")</f>
        <v>Lotus Seeds</v>
      </c>
      <c r="C42" t="str">
        <f>IFERROR(__xludf.DUMMYFUNCTION("""COMPUTED_VALUE"""),"Nuts and Seeds")</f>
        <v>Nuts and Seeds</v>
      </c>
      <c r="D42">
        <f>IFERROR(__xludf.DUMMYFUNCTION("""COMPUTED_VALUE"""),89.0)</f>
        <v>89</v>
      </c>
      <c r="E42">
        <f>IFERROR(__xludf.DUMMYFUNCTION("""COMPUTED_VALUE"""),0.53)</f>
        <v>0.53</v>
      </c>
      <c r="F42">
        <f>IFERROR(__xludf.DUMMYFUNCTION("""COMPUTED_VALUE"""),4.13)</f>
        <v>4.13</v>
      </c>
      <c r="G42">
        <f>IFERROR(__xludf.DUMMYFUNCTION("""COMPUTED_VALUE"""),17.28)</f>
        <v>17.28</v>
      </c>
    </row>
    <row r="43">
      <c r="A43">
        <f>IFERROR(__xludf.DUMMYFUNCTION("""COMPUTED_VALUE"""),168592.0)</f>
        <v>168592</v>
      </c>
      <c r="B43" t="str">
        <f>IFERROR(__xludf.DUMMYFUNCTION("""COMPUTED_VALUE"""),"Nuts Almonds Honey Roasted Unblanched")</f>
        <v>Nuts Almonds Honey Roasted Unblanched</v>
      </c>
      <c r="C43" t="str">
        <f>IFERROR(__xludf.DUMMYFUNCTION("""COMPUTED_VALUE"""),"Nuts and Seeds")</f>
        <v>Nuts and Seeds</v>
      </c>
      <c r="D43">
        <f>IFERROR(__xludf.DUMMYFUNCTION("""COMPUTED_VALUE"""),594.0)</f>
        <v>594</v>
      </c>
      <c r="E43">
        <f>IFERROR(__xludf.DUMMYFUNCTION("""COMPUTED_VALUE"""),49.9)</f>
        <v>49.9</v>
      </c>
      <c r="F43">
        <f>IFERROR(__xludf.DUMMYFUNCTION("""COMPUTED_VALUE"""),18.17)</f>
        <v>18.17</v>
      </c>
      <c r="G43">
        <f>IFERROR(__xludf.DUMMYFUNCTION("""COMPUTED_VALUE"""),27.9)</f>
        <v>27.9</v>
      </c>
    </row>
    <row r="44">
      <c r="A44">
        <f>IFERROR(__xludf.DUMMYFUNCTION("""COMPUTED_VALUE"""),168593.0)</f>
        <v>168593</v>
      </c>
      <c r="B44" t="str">
        <f>IFERROR(__xludf.DUMMYFUNCTION("""COMPUTED_VALUE"""),"Seeds Sunflower Seed Kernels Oil Roasted With Salt Added")</f>
        <v>Seeds Sunflower Seed Kernels Oil Roasted With Salt Added</v>
      </c>
      <c r="C44" t="str">
        <f>IFERROR(__xludf.DUMMYFUNCTION("""COMPUTED_VALUE"""),"Nuts and Seeds")</f>
        <v>Nuts and Seeds</v>
      </c>
      <c r="D44">
        <f>IFERROR(__xludf.DUMMYFUNCTION("""COMPUTED_VALUE"""),592.0)</f>
        <v>592</v>
      </c>
      <c r="E44">
        <f>IFERROR(__xludf.DUMMYFUNCTION("""COMPUTED_VALUE"""),51.3)</f>
        <v>51.3</v>
      </c>
      <c r="F44">
        <f>IFERROR(__xludf.DUMMYFUNCTION("""COMPUTED_VALUE"""),20.06)</f>
        <v>20.06</v>
      </c>
      <c r="G44">
        <f>IFERROR(__xludf.DUMMYFUNCTION("""COMPUTED_VALUE"""),22.89)</f>
        <v>22.89</v>
      </c>
    </row>
    <row r="45">
      <c r="A45">
        <f>IFERROR(__xludf.DUMMYFUNCTION("""COMPUTED_VALUE"""),168594.0)</f>
        <v>168594</v>
      </c>
      <c r="B45" t="str">
        <f>IFERROR(__xludf.DUMMYFUNCTION("""COMPUTED_VALUE"""),"Seeds Sunflower Seed Kernels Toasted With Salt Added")</f>
        <v>Seeds Sunflower Seed Kernels Toasted With Salt Added</v>
      </c>
      <c r="C45" t="str">
        <f>IFERROR(__xludf.DUMMYFUNCTION("""COMPUTED_VALUE"""),"Nuts and Seeds")</f>
        <v>Nuts and Seeds</v>
      </c>
      <c r="D45">
        <f>IFERROR(__xludf.DUMMYFUNCTION("""COMPUTED_VALUE"""),619.0)</f>
        <v>619</v>
      </c>
      <c r="E45">
        <f>IFERROR(__xludf.DUMMYFUNCTION("""COMPUTED_VALUE"""),56.8)</f>
        <v>56.8</v>
      </c>
      <c r="F45">
        <f>IFERROR(__xludf.DUMMYFUNCTION("""COMPUTED_VALUE"""),17.21)</f>
        <v>17.21</v>
      </c>
      <c r="G45">
        <f>IFERROR(__xludf.DUMMYFUNCTION("""COMPUTED_VALUE"""),20.59)</f>
        <v>20.59</v>
      </c>
    </row>
    <row r="46">
      <c r="A46">
        <f>IFERROR(__xludf.DUMMYFUNCTION("""COMPUTED_VALUE"""),168595.0)</f>
        <v>168595</v>
      </c>
      <c r="B46" t="str">
        <f>IFERROR(__xludf.DUMMYFUNCTION("""COMPUTED_VALUE"""),"Seeds Sunflower Seed Butter With Salt Added")</f>
        <v>Seeds Sunflower Seed Butter With Salt Added</v>
      </c>
      <c r="C46" t="str">
        <f>IFERROR(__xludf.DUMMYFUNCTION("""COMPUTED_VALUE"""),"Nuts and Seeds")</f>
        <v>Nuts and Seeds</v>
      </c>
      <c r="D46">
        <f>IFERROR(__xludf.DUMMYFUNCTION("""COMPUTED_VALUE"""),617.0)</f>
        <v>617</v>
      </c>
      <c r="E46">
        <f>IFERROR(__xludf.DUMMYFUNCTION("""COMPUTED_VALUE"""),55.2)</f>
        <v>55.2</v>
      </c>
      <c r="F46">
        <f>IFERROR(__xludf.DUMMYFUNCTION("""COMPUTED_VALUE"""),17.28)</f>
        <v>17.28</v>
      </c>
      <c r="G46">
        <f>IFERROR(__xludf.DUMMYFUNCTION("""COMPUTED_VALUE"""),23.32)</f>
        <v>23.32</v>
      </c>
    </row>
    <row r="47">
      <c r="A47">
        <f>IFERROR(__xludf.DUMMYFUNCTION("""COMPUTED_VALUE"""),168596.0)</f>
        <v>168596</v>
      </c>
      <c r="B47" t="str">
        <f>IFERROR(__xludf.DUMMYFUNCTION("""COMPUTED_VALUE"""),"Nuts Almonds Dry Roasted With Salt Added")</f>
        <v>Nuts Almonds Dry Roasted With Salt Added</v>
      </c>
      <c r="C47" t="str">
        <f>IFERROR(__xludf.DUMMYFUNCTION("""COMPUTED_VALUE"""),"Nuts and Seeds")</f>
        <v>Nuts and Seeds</v>
      </c>
      <c r="D47">
        <f>IFERROR(__xludf.DUMMYFUNCTION("""COMPUTED_VALUE"""),598.0)</f>
        <v>598</v>
      </c>
      <c r="E47">
        <f>IFERROR(__xludf.DUMMYFUNCTION("""COMPUTED_VALUE"""),52.54)</f>
        <v>52.54</v>
      </c>
      <c r="F47">
        <f>IFERROR(__xludf.DUMMYFUNCTION("""COMPUTED_VALUE"""),20.96)</f>
        <v>20.96</v>
      </c>
      <c r="G47">
        <f>IFERROR(__xludf.DUMMYFUNCTION("""COMPUTED_VALUE"""),21.01)</f>
        <v>21.01</v>
      </c>
    </row>
    <row r="48">
      <c r="A48">
        <f>IFERROR(__xludf.DUMMYFUNCTION("""COMPUTED_VALUE"""),168597.0)</f>
        <v>168597</v>
      </c>
      <c r="B48" t="str">
        <f>IFERROR(__xludf.DUMMYFUNCTION("""COMPUTED_VALUE"""),"Nuts Cashew Butter Plain With Salt Added")</f>
        <v>Nuts Cashew Butter Plain With Salt Added</v>
      </c>
      <c r="C48" t="str">
        <f>IFERROR(__xludf.DUMMYFUNCTION("""COMPUTED_VALUE"""),"Nuts and Seeds")</f>
        <v>Nuts and Seeds</v>
      </c>
      <c r="D48">
        <f>IFERROR(__xludf.DUMMYFUNCTION("""COMPUTED_VALUE"""),609.0)</f>
        <v>609</v>
      </c>
      <c r="E48">
        <f>IFERROR(__xludf.DUMMYFUNCTION("""COMPUTED_VALUE"""),53.03)</f>
        <v>53.03</v>
      </c>
      <c r="F48">
        <f>IFERROR(__xludf.DUMMYFUNCTION("""COMPUTED_VALUE"""),12.12)</f>
        <v>12.12</v>
      </c>
      <c r="G48">
        <f>IFERROR(__xludf.DUMMYFUNCTION("""COMPUTED_VALUE"""),30.3)</f>
        <v>30.3</v>
      </c>
    </row>
    <row r="49">
      <c r="A49">
        <f>IFERROR(__xludf.DUMMYFUNCTION("""COMPUTED_VALUE"""),168598.0)</f>
        <v>168598</v>
      </c>
      <c r="B49" t="str">
        <f>IFERROR(__xludf.DUMMYFUNCTION("""COMPUTED_VALUE"""),"Nuts Macadamia Nuts Dry Roasted With Salt Added")</f>
        <v>Nuts Macadamia Nuts Dry Roasted With Salt Added</v>
      </c>
      <c r="C49" t="str">
        <f>IFERROR(__xludf.DUMMYFUNCTION("""COMPUTED_VALUE"""),"Nuts and Seeds")</f>
        <v>Nuts and Seeds</v>
      </c>
      <c r="D49">
        <f>IFERROR(__xludf.DUMMYFUNCTION("""COMPUTED_VALUE"""),716.0)</f>
        <v>716</v>
      </c>
      <c r="E49">
        <f>IFERROR(__xludf.DUMMYFUNCTION("""COMPUTED_VALUE"""),76.08)</f>
        <v>76.08</v>
      </c>
      <c r="F49">
        <f>IFERROR(__xludf.DUMMYFUNCTION("""COMPUTED_VALUE"""),7.79)</f>
        <v>7.79</v>
      </c>
      <c r="G49">
        <f>IFERROR(__xludf.DUMMYFUNCTION("""COMPUTED_VALUE"""),12.83)</f>
        <v>12.83</v>
      </c>
    </row>
    <row r="50">
      <c r="A50">
        <f>IFERROR(__xludf.DUMMYFUNCTION("""COMPUTED_VALUE"""),168599.0)</f>
        <v>168599</v>
      </c>
      <c r="B50" t="str">
        <f>IFERROR(__xludf.DUMMYFUNCTION("""COMPUTED_VALUE"""),"Nuts Mixed Nuts Dry Roasted With Peanuts With Salt Added")</f>
        <v>Nuts Mixed Nuts Dry Roasted With Peanuts With Salt Added</v>
      </c>
      <c r="C50" t="str">
        <f>IFERROR(__xludf.DUMMYFUNCTION("""COMPUTED_VALUE"""),"Nuts and Seeds")</f>
        <v>Nuts and Seeds</v>
      </c>
      <c r="D50">
        <f>IFERROR(__xludf.DUMMYFUNCTION("""COMPUTED_VALUE"""),594.0)</f>
        <v>594</v>
      </c>
      <c r="E50">
        <f>IFERROR(__xludf.DUMMYFUNCTION("""COMPUTED_VALUE"""),51.45)</f>
        <v>51.45</v>
      </c>
      <c r="F50">
        <f>IFERROR(__xludf.DUMMYFUNCTION("""COMPUTED_VALUE"""),17.3)</f>
        <v>17.3</v>
      </c>
      <c r="G50">
        <f>IFERROR(__xludf.DUMMYFUNCTION("""COMPUTED_VALUE"""),25.35)</f>
        <v>25.35</v>
      </c>
    </row>
    <row r="51">
      <c r="A51">
        <f>IFERROR(__xludf.DUMMYFUNCTION("""COMPUTED_VALUE"""),168600.0)</f>
        <v>168600</v>
      </c>
      <c r="B51" t="str">
        <f>IFERROR(__xludf.DUMMYFUNCTION("""COMPUTED_VALUE"""),"Nuts Mixed Nuts Oil Roasted With Peanuts With Salt Added")</f>
        <v>Nuts Mixed Nuts Oil Roasted With Peanuts With Salt Added</v>
      </c>
      <c r="C51" t="str">
        <f>IFERROR(__xludf.DUMMYFUNCTION("""COMPUTED_VALUE"""),"Nuts and Seeds")</f>
        <v>Nuts and Seeds</v>
      </c>
      <c r="D51">
        <f>IFERROR(__xludf.DUMMYFUNCTION("""COMPUTED_VALUE"""),607.0)</f>
        <v>607</v>
      </c>
      <c r="E51">
        <f>IFERROR(__xludf.DUMMYFUNCTION("""COMPUTED_VALUE"""),53.95)</f>
        <v>53.95</v>
      </c>
      <c r="F51">
        <f>IFERROR(__xludf.DUMMYFUNCTION("""COMPUTED_VALUE"""),20.04)</f>
        <v>20.04</v>
      </c>
      <c r="G51">
        <f>IFERROR(__xludf.DUMMYFUNCTION("""COMPUTED_VALUE"""),21.05)</f>
        <v>21.05</v>
      </c>
    </row>
    <row r="52">
      <c r="A52">
        <f>IFERROR(__xludf.DUMMYFUNCTION("""COMPUTED_VALUE"""),168601.0)</f>
        <v>168601</v>
      </c>
      <c r="B52" t="str">
        <f>IFERROR(__xludf.DUMMYFUNCTION("""COMPUTED_VALUE"""),"Seeds Pumpkin And Squash Seeds Whole Roasted With Salt Added")</f>
        <v>Seeds Pumpkin And Squash Seeds Whole Roasted With Salt Added</v>
      </c>
      <c r="C52" t="str">
        <f>IFERROR(__xludf.DUMMYFUNCTION("""COMPUTED_VALUE"""),"Nuts and Seeds")</f>
        <v>Nuts and Seeds</v>
      </c>
      <c r="D52">
        <f>IFERROR(__xludf.DUMMYFUNCTION("""COMPUTED_VALUE"""),446.0)</f>
        <v>446</v>
      </c>
      <c r="E52">
        <f>IFERROR(__xludf.DUMMYFUNCTION("""COMPUTED_VALUE"""),19.4)</f>
        <v>19.4</v>
      </c>
      <c r="F52">
        <f>IFERROR(__xludf.DUMMYFUNCTION("""COMPUTED_VALUE"""),18.55)</f>
        <v>18.55</v>
      </c>
      <c r="G52">
        <f>IFERROR(__xludf.DUMMYFUNCTION("""COMPUTED_VALUE"""),53.75)</f>
        <v>53.75</v>
      </c>
    </row>
    <row r="53">
      <c r="A53">
        <f>IFERROR(__xludf.DUMMYFUNCTION("""COMPUTED_VALUE"""),168602.0)</f>
        <v>168602</v>
      </c>
      <c r="B53" t="str">
        <f>IFERROR(__xludf.DUMMYFUNCTION("""COMPUTED_VALUE"""),"Nuts Almonds Oil Roasted Lightly Salted")</f>
        <v>Nuts Almonds Oil Roasted Lightly Salted</v>
      </c>
      <c r="C53" t="str">
        <f>IFERROR(__xludf.DUMMYFUNCTION("""COMPUTED_VALUE"""),"Nuts and Seeds")</f>
        <v>Nuts and Seeds</v>
      </c>
      <c r="D53">
        <f>IFERROR(__xludf.DUMMYFUNCTION("""COMPUTED_VALUE"""),607.0)</f>
        <v>607</v>
      </c>
      <c r="E53">
        <f>IFERROR(__xludf.DUMMYFUNCTION("""COMPUTED_VALUE"""),55.17)</f>
        <v>55.17</v>
      </c>
      <c r="F53">
        <f>IFERROR(__xludf.DUMMYFUNCTION("""COMPUTED_VALUE"""),21.23)</f>
        <v>21.23</v>
      </c>
      <c r="G53">
        <f>IFERROR(__xludf.DUMMYFUNCTION("""COMPUTED_VALUE"""),17.68)</f>
        <v>17.68</v>
      </c>
    </row>
    <row r="54">
      <c r="A54">
        <f>IFERROR(__xludf.DUMMYFUNCTION("""COMPUTED_VALUE"""),168603.0)</f>
        <v>168603</v>
      </c>
      <c r="B54" t="str">
        <f>IFERROR(__xludf.DUMMYFUNCTION("""COMPUTED_VALUE"""),"Nuts Almond Butter Plain With Salt Added")</f>
        <v>Nuts Almond Butter Plain With Salt Added</v>
      </c>
      <c r="C54" t="str">
        <f>IFERROR(__xludf.DUMMYFUNCTION("""COMPUTED_VALUE"""),"Nuts and Seeds")</f>
        <v>Nuts and Seeds</v>
      </c>
      <c r="D54">
        <f>IFERROR(__xludf.DUMMYFUNCTION("""COMPUTED_VALUE"""),614.0)</f>
        <v>614</v>
      </c>
      <c r="E54">
        <f>IFERROR(__xludf.DUMMYFUNCTION("""COMPUTED_VALUE"""),55.5)</f>
        <v>55.5</v>
      </c>
      <c r="F54">
        <f>IFERROR(__xludf.DUMMYFUNCTION("""COMPUTED_VALUE"""),20.96)</f>
        <v>20.96</v>
      </c>
      <c r="G54">
        <f>IFERROR(__xludf.DUMMYFUNCTION("""COMPUTED_VALUE"""),18.82)</f>
        <v>18.82</v>
      </c>
    </row>
    <row r="55">
      <c r="A55">
        <f>IFERROR(__xludf.DUMMYFUNCTION("""COMPUTED_VALUE"""),168604.0)</f>
        <v>168604</v>
      </c>
      <c r="B55" t="str">
        <f>IFERROR(__xludf.DUMMYFUNCTION("""COMPUTED_VALUE"""),"Seeds Sesame Butter Tahini Type Of Kernels Unspecified")</f>
        <v>Seeds Sesame Butter Tahini Type Of Kernels Unspecified</v>
      </c>
      <c r="C55" t="str">
        <f>IFERROR(__xludf.DUMMYFUNCTION("""COMPUTED_VALUE"""),"Nuts and Seeds")</f>
        <v>Nuts and Seeds</v>
      </c>
      <c r="D55">
        <f>IFERROR(__xludf.DUMMYFUNCTION("""COMPUTED_VALUE"""),592.0)</f>
        <v>592</v>
      </c>
      <c r="E55">
        <f>IFERROR(__xludf.DUMMYFUNCTION("""COMPUTED_VALUE"""),53.01)</f>
        <v>53.01</v>
      </c>
      <c r="F55">
        <f>IFERROR(__xludf.DUMMYFUNCTION("""COMPUTED_VALUE"""),17.4)</f>
        <v>17.4</v>
      </c>
      <c r="G55">
        <f>IFERROR(__xludf.DUMMYFUNCTION("""COMPUTED_VALUE"""),21.5)</f>
        <v>21.5</v>
      </c>
    </row>
    <row r="56">
      <c r="A56">
        <f>IFERROR(__xludf.DUMMYFUNCTION("""COMPUTED_VALUE"""),169050.0)</f>
        <v>169050</v>
      </c>
      <c r="B56" t="str">
        <f>IFERROR(__xludf.DUMMYFUNCTION("""COMPUTED_VALUE"""),"Cheese Muenster Low Fat")</f>
        <v>Cheese Muenster Low Fat</v>
      </c>
      <c r="C56" t="str">
        <f>IFERROR(__xludf.DUMMYFUNCTION("""COMPUTED_VALUE"""),"Dairy and Egg Products")</f>
        <v>Dairy and Egg Products</v>
      </c>
      <c r="D56">
        <f>IFERROR(__xludf.DUMMYFUNCTION("""COMPUTED_VALUE"""),271.0)</f>
        <v>271</v>
      </c>
      <c r="E56">
        <f>IFERROR(__xludf.DUMMYFUNCTION("""COMPUTED_VALUE"""),17.6)</f>
        <v>17.6</v>
      </c>
      <c r="F56">
        <f>IFERROR(__xludf.DUMMYFUNCTION("""COMPUTED_VALUE"""),24.7)</f>
        <v>24.7</v>
      </c>
      <c r="G56">
        <f>IFERROR(__xludf.DUMMYFUNCTION("""COMPUTED_VALUE"""),3.5)</f>
        <v>3.5</v>
      </c>
    </row>
    <row r="57">
      <c r="A57">
        <f>IFERROR(__xludf.DUMMYFUNCTION("""COMPUTED_VALUE"""),169051.0)</f>
        <v>169051</v>
      </c>
      <c r="B57" t="str">
        <f>IFERROR(__xludf.DUMMYFUNCTION("""COMPUTED_VALUE"""),"Mozzarella Cheese (Non-Fat Or Fat Free)")</f>
        <v>Mozzarella Cheese (Non-Fat Or Fat Free)</v>
      </c>
      <c r="C57" t="str">
        <f>IFERROR(__xludf.DUMMYFUNCTION("""COMPUTED_VALUE"""),"Dairy and Egg Products")</f>
        <v>Dairy and Egg Products</v>
      </c>
      <c r="D57">
        <f>IFERROR(__xludf.DUMMYFUNCTION("""COMPUTED_VALUE"""),141.0)</f>
        <v>141</v>
      </c>
      <c r="E57">
        <f>IFERROR(__xludf.DUMMYFUNCTION("""COMPUTED_VALUE"""),0.0)</f>
        <v>0</v>
      </c>
      <c r="F57">
        <f>IFERROR(__xludf.DUMMYFUNCTION("""COMPUTED_VALUE"""),31.7)</f>
        <v>31.7</v>
      </c>
      <c r="G57">
        <f>IFERROR(__xludf.DUMMYFUNCTION("""COMPUTED_VALUE"""),3.5)</f>
        <v>3.5</v>
      </c>
    </row>
    <row r="58">
      <c r="A58">
        <f>IFERROR(__xludf.DUMMYFUNCTION("""COMPUTED_VALUE"""),169052.0)</f>
        <v>169052</v>
      </c>
      <c r="B58" t="str">
        <f>IFERROR(__xludf.DUMMYFUNCTION("""COMPUTED_VALUE"""),"Margarine-Like Butter-Margarine Blend 80% Fat Stick Without Salt")</f>
        <v>Margarine-Like Butter-Margarine Blend 80% Fat Stick Without Salt</v>
      </c>
      <c r="C58" t="str">
        <f>IFERROR(__xludf.DUMMYFUNCTION("""COMPUTED_VALUE"""),"Fats and Oils")</f>
        <v>Fats and Oils</v>
      </c>
      <c r="D58">
        <f>IFERROR(__xludf.DUMMYFUNCTION("""COMPUTED_VALUE"""),718.0)</f>
        <v>718</v>
      </c>
      <c r="E58">
        <f>IFERROR(__xludf.DUMMYFUNCTION("""COMPUTED_VALUE"""),80.7)</f>
        <v>80.7</v>
      </c>
      <c r="F58">
        <f>IFERROR(__xludf.DUMMYFUNCTION("""COMPUTED_VALUE"""),0.9)</f>
        <v>0.9</v>
      </c>
      <c r="G58">
        <f>IFERROR(__xludf.DUMMYFUNCTION("""COMPUTED_VALUE"""),0.6)</f>
        <v>0.6</v>
      </c>
    </row>
    <row r="59">
      <c r="A59">
        <f>IFERROR(__xludf.DUMMYFUNCTION("""COMPUTED_VALUE"""),169053.0)</f>
        <v>169053</v>
      </c>
      <c r="B59" t="str">
        <f>IFERROR(__xludf.DUMMYFUNCTION("""COMPUTED_VALUE"""),"Margarine-Like Vegetable Oil-Butter Spread Reduced Calorie Tub With Salt")</f>
        <v>Margarine-Like Vegetable Oil-Butter Spread Reduced Calorie Tub With Salt</v>
      </c>
      <c r="C59" t="str">
        <f>IFERROR(__xludf.DUMMYFUNCTION("""COMPUTED_VALUE"""),"Fats and Oils")</f>
        <v>Fats and Oils</v>
      </c>
      <c r="D59">
        <f>IFERROR(__xludf.DUMMYFUNCTION("""COMPUTED_VALUE"""),450.0)</f>
        <v>450</v>
      </c>
      <c r="E59">
        <f>IFERROR(__xludf.DUMMYFUNCTION("""COMPUTED_VALUE"""),50.0)</f>
        <v>50</v>
      </c>
      <c r="F59">
        <f>IFERROR(__xludf.DUMMYFUNCTION("""COMPUTED_VALUE"""),1.0)</f>
        <v>1</v>
      </c>
      <c r="G59">
        <f>IFERROR(__xludf.DUMMYFUNCTION("""COMPUTED_VALUE"""),1.0)</f>
        <v>1</v>
      </c>
    </row>
    <row r="60">
      <c r="A60">
        <f>IFERROR(__xludf.DUMMYFUNCTION("""COMPUTED_VALUE"""),169055.0)</f>
        <v>169055</v>
      </c>
      <c r="B60" t="str">
        <f>IFERROR(__xludf.DUMMYFUNCTION("""COMPUTED_VALUE"""),"Salad Dressing Caesar Dressing Regular")</f>
        <v>Salad Dressing Caesar Dressing Regular</v>
      </c>
      <c r="C60" t="str">
        <f>IFERROR(__xludf.DUMMYFUNCTION("""COMPUTED_VALUE"""),"Fats and Oils")</f>
        <v>Fats and Oils</v>
      </c>
      <c r="D60">
        <f>IFERROR(__xludf.DUMMYFUNCTION("""COMPUTED_VALUE"""),542.0)</f>
        <v>542</v>
      </c>
      <c r="E60">
        <f>IFERROR(__xludf.DUMMYFUNCTION("""COMPUTED_VALUE"""),57.85)</f>
        <v>57.85</v>
      </c>
      <c r="F60">
        <f>IFERROR(__xludf.DUMMYFUNCTION("""COMPUTED_VALUE"""),2.17)</f>
        <v>2.17</v>
      </c>
      <c r="G60">
        <f>IFERROR(__xludf.DUMMYFUNCTION("""COMPUTED_VALUE"""),3.3)</f>
        <v>3.3</v>
      </c>
    </row>
    <row r="61">
      <c r="A61">
        <f>IFERROR(__xludf.DUMMYFUNCTION("""COMPUTED_VALUE"""),169056.0)</f>
        <v>169056</v>
      </c>
      <c r="B61" t="str">
        <f>IFERROR(__xludf.DUMMYFUNCTION("""COMPUTED_VALUE"""),"Coleslaw Salad Dressing")</f>
        <v>Coleslaw Salad Dressing</v>
      </c>
      <c r="C61" t="str">
        <f>IFERROR(__xludf.DUMMYFUNCTION("""COMPUTED_VALUE"""),"Fats and Oils")</f>
        <v>Fats and Oils</v>
      </c>
      <c r="D61">
        <f>IFERROR(__xludf.DUMMYFUNCTION("""COMPUTED_VALUE"""),404.0)</f>
        <v>404</v>
      </c>
      <c r="E61">
        <f>IFERROR(__xludf.DUMMYFUNCTION("""COMPUTED_VALUE"""),34.53)</f>
        <v>34.53</v>
      </c>
      <c r="F61">
        <f>IFERROR(__xludf.DUMMYFUNCTION("""COMPUTED_VALUE"""),0.85)</f>
        <v>0.85</v>
      </c>
      <c r="G61">
        <f>IFERROR(__xludf.DUMMYFUNCTION("""COMPUTED_VALUE"""),22.4)</f>
        <v>22.4</v>
      </c>
    </row>
    <row r="62">
      <c r="A62">
        <f>IFERROR(__xludf.DUMMYFUNCTION("""COMPUTED_VALUE"""),169057.0)</f>
        <v>169057</v>
      </c>
      <c r="B62" t="str">
        <f>IFERROR(__xludf.DUMMYFUNCTION("""COMPUTED_VALUE"""),"Salad Dressing Green Goddess Regular")</f>
        <v>Salad Dressing Green Goddess Regular</v>
      </c>
      <c r="C62" t="str">
        <f>IFERROR(__xludf.DUMMYFUNCTION("""COMPUTED_VALUE"""),"Fats and Oils")</f>
        <v>Fats and Oils</v>
      </c>
      <c r="D62">
        <f>IFERROR(__xludf.DUMMYFUNCTION("""COMPUTED_VALUE"""),427.0)</f>
        <v>427</v>
      </c>
      <c r="E62">
        <f>IFERROR(__xludf.DUMMYFUNCTION("""COMPUTED_VALUE"""),43.33)</f>
        <v>43.33</v>
      </c>
      <c r="F62">
        <f>IFERROR(__xludf.DUMMYFUNCTION("""COMPUTED_VALUE"""),1.9)</f>
        <v>1.9</v>
      </c>
      <c r="G62">
        <f>IFERROR(__xludf.DUMMYFUNCTION("""COMPUTED_VALUE"""),7.36)</f>
        <v>7.36</v>
      </c>
    </row>
    <row r="63">
      <c r="A63">
        <f>IFERROR(__xludf.DUMMYFUNCTION("""COMPUTED_VALUE"""),169073.0)</f>
        <v>169073</v>
      </c>
      <c r="B63" t="str">
        <f>IFERROR(__xludf.DUMMYFUNCTION("""COMPUTED_VALUE"""),"Beverage Instant Breakfast Powder Chocolate Not Reconstituted")</f>
        <v>Beverage Instant Breakfast Powder Chocolate Not Reconstituted</v>
      </c>
      <c r="C63" t="str">
        <f>IFERROR(__xludf.DUMMYFUNCTION("""COMPUTED_VALUE"""),"Dairy and Egg Products")</f>
        <v>Dairy and Egg Products</v>
      </c>
      <c r="D63">
        <f>IFERROR(__xludf.DUMMYFUNCTION("""COMPUTED_VALUE"""),353.0)</f>
        <v>353</v>
      </c>
      <c r="E63">
        <f>IFERROR(__xludf.DUMMYFUNCTION("""COMPUTED_VALUE"""),1.4)</f>
        <v>1.4</v>
      </c>
      <c r="F63">
        <f>IFERROR(__xludf.DUMMYFUNCTION("""COMPUTED_VALUE"""),19.9)</f>
        <v>19.9</v>
      </c>
      <c r="G63">
        <f>IFERROR(__xludf.DUMMYFUNCTION("""COMPUTED_VALUE"""),66.2)</f>
        <v>66.2</v>
      </c>
    </row>
    <row r="64">
      <c r="A64">
        <f>IFERROR(__xludf.DUMMYFUNCTION("""COMPUTED_VALUE"""),169078.0)</f>
        <v>169078</v>
      </c>
      <c r="B64" t="str">
        <f>IFERROR(__xludf.DUMMYFUNCTION("""COMPUTED_VALUE"""),"Cheese Cottage With Vegetables")</f>
        <v>Cheese Cottage With Vegetables</v>
      </c>
      <c r="C64" t="str">
        <f>IFERROR(__xludf.DUMMYFUNCTION("""COMPUTED_VALUE"""),"Dairy and Egg Products")</f>
        <v>Dairy and Egg Products</v>
      </c>
      <c r="D64">
        <f>IFERROR(__xludf.DUMMYFUNCTION("""COMPUTED_VALUE"""),95.0)</f>
        <v>95</v>
      </c>
      <c r="E64">
        <f>IFERROR(__xludf.DUMMYFUNCTION("""COMPUTED_VALUE"""),4.2)</f>
        <v>4.2</v>
      </c>
      <c r="F64">
        <f>IFERROR(__xludf.DUMMYFUNCTION("""COMPUTED_VALUE"""),10.9)</f>
        <v>10.9</v>
      </c>
      <c r="G64">
        <f>IFERROR(__xludf.DUMMYFUNCTION("""COMPUTED_VALUE"""),3.0)</f>
        <v>3</v>
      </c>
    </row>
    <row r="65">
      <c r="A65">
        <f>IFERROR(__xludf.DUMMYFUNCTION("""COMPUTED_VALUE"""),169079.0)</f>
        <v>169079</v>
      </c>
      <c r="B65" t="str">
        <f>IFERROR(__xludf.DUMMYFUNCTION("""COMPUTED_VALUE"""),"Cheese Cream Low Fat")</f>
        <v>Cheese Cream Low Fat</v>
      </c>
      <c r="C65" t="str">
        <f>IFERROR(__xludf.DUMMYFUNCTION("""COMPUTED_VALUE"""),"Dairy and Egg Products")</f>
        <v>Dairy and Egg Products</v>
      </c>
      <c r="D65">
        <f>IFERROR(__xludf.DUMMYFUNCTION("""COMPUTED_VALUE"""),208.0)</f>
        <v>208</v>
      </c>
      <c r="E65">
        <f>IFERROR(__xludf.DUMMYFUNCTION("""COMPUTED_VALUE"""),16.67)</f>
        <v>16.67</v>
      </c>
      <c r="F65">
        <f>IFERROR(__xludf.DUMMYFUNCTION("""COMPUTED_VALUE"""),7.85)</f>
        <v>7.85</v>
      </c>
      <c r="G65">
        <f>IFERROR(__xludf.DUMMYFUNCTION("""COMPUTED_VALUE"""),6.73)</f>
        <v>6.73</v>
      </c>
    </row>
    <row r="66">
      <c r="A66">
        <f>IFERROR(__xludf.DUMMYFUNCTION("""COMPUTED_VALUE"""),169080.0)</f>
        <v>169080</v>
      </c>
      <c r="B66" t="str">
        <f>IFERROR(__xludf.DUMMYFUNCTION("""COMPUTED_VALUE"""),"Cheese Pasteurized Process American Low Fat")</f>
        <v>Cheese Pasteurized Process American Low Fat</v>
      </c>
      <c r="C66" t="str">
        <f>IFERROR(__xludf.DUMMYFUNCTION("""COMPUTED_VALUE"""),"Dairy and Egg Products")</f>
        <v>Dairy and Egg Products</v>
      </c>
      <c r="D66">
        <f>IFERROR(__xludf.DUMMYFUNCTION("""COMPUTED_VALUE"""),180.0)</f>
        <v>180</v>
      </c>
      <c r="E66">
        <f>IFERROR(__xludf.DUMMYFUNCTION("""COMPUTED_VALUE"""),7.0)</f>
        <v>7</v>
      </c>
      <c r="F66">
        <f>IFERROR(__xludf.DUMMYFUNCTION("""COMPUTED_VALUE"""),24.6)</f>
        <v>24.6</v>
      </c>
      <c r="G66">
        <f>IFERROR(__xludf.DUMMYFUNCTION("""COMPUTED_VALUE"""),3.5)</f>
        <v>3.5</v>
      </c>
    </row>
    <row r="67">
      <c r="A67">
        <f>IFERROR(__xludf.DUMMYFUNCTION("""COMPUTED_VALUE"""),169081.0)</f>
        <v>169081</v>
      </c>
      <c r="B67" t="str">
        <f>IFERROR(__xludf.DUMMYFUNCTION("""COMPUTED_VALUE"""),"Cheese Spread Cream Cheese Base")</f>
        <v>Cheese Spread Cream Cheese Base</v>
      </c>
      <c r="C67" t="str">
        <f>IFERROR(__xludf.DUMMYFUNCTION("""COMPUTED_VALUE"""),"Dairy and Egg Products")</f>
        <v>Dairy and Egg Products</v>
      </c>
      <c r="D67">
        <f>IFERROR(__xludf.DUMMYFUNCTION("""COMPUTED_VALUE"""),295.0)</f>
        <v>295</v>
      </c>
      <c r="E67">
        <f>IFERROR(__xludf.DUMMYFUNCTION("""COMPUTED_VALUE"""),28.6)</f>
        <v>28.6</v>
      </c>
      <c r="F67">
        <f>IFERROR(__xludf.DUMMYFUNCTION("""COMPUTED_VALUE"""),7.1)</f>
        <v>7.1</v>
      </c>
      <c r="G67">
        <f>IFERROR(__xludf.DUMMYFUNCTION("""COMPUTED_VALUE"""),3.5)</f>
        <v>3.5</v>
      </c>
    </row>
    <row r="68">
      <c r="A68">
        <f>IFERROR(__xludf.DUMMYFUNCTION("""COMPUTED_VALUE"""),169406.0)</f>
        <v>169406</v>
      </c>
      <c r="B68" t="str">
        <f>IFERROR(__xludf.DUMMYFUNCTION("""COMPUTED_VALUE"""),"Seeds Sesame Butter Tahini From Unroasted Kernels (Non-Chemically Removed Seed Coat)")</f>
        <v>Seeds Sesame Butter Tahini From Unroasted Kernels (Non-Chemically Removed Seed Coat)</v>
      </c>
      <c r="C68" t="str">
        <f>IFERROR(__xludf.DUMMYFUNCTION("""COMPUTED_VALUE"""),"Nuts and Seeds")</f>
        <v>Nuts and Seeds</v>
      </c>
      <c r="D68">
        <f>IFERROR(__xludf.DUMMYFUNCTION("""COMPUTED_VALUE"""),607.0)</f>
        <v>607</v>
      </c>
      <c r="E68">
        <f>IFERROR(__xludf.DUMMYFUNCTION("""COMPUTED_VALUE"""),56.44)</f>
        <v>56.44</v>
      </c>
      <c r="F68">
        <f>IFERROR(__xludf.DUMMYFUNCTION("""COMPUTED_VALUE"""),17.95)</f>
        <v>17.95</v>
      </c>
      <c r="G68">
        <f>IFERROR(__xludf.DUMMYFUNCTION("""COMPUTED_VALUE"""),17.89)</f>
        <v>17.89</v>
      </c>
    </row>
    <row r="69">
      <c r="A69">
        <f>IFERROR(__xludf.DUMMYFUNCTION("""COMPUTED_VALUE"""),169407.0)</f>
        <v>169407</v>
      </c>
      <c r="B69" t="str">
        <f>IFERROR(__xludf.DUMMYFUNCTION("""COMPUTED_VALUE"""),"Seeds Watermelon Seed Kernels Dried")</f>
        <v>Seeds Watermelon Seed Kernels Dried</v>
      </c>
      <c r="C69" t="str">
        <f>IFERROR(__xludf.DUMMYFUNCTION("""COMPUTED_VALUE"""),"Nuts and Seeds")</f>
        <v>Nuts and Seeds</v>
      </c>
      <c r="D69">
        <f>IFERROR(__xludf.DUMMYFUNCTION("""COMPUTED_VALUE"""),557.0)</f>
        <v>557</v>
      </c>
      <c r="E69">
        <f>IFERROR(__xludf.DUMMYFUNCTION("""COMPUTED_VALUE"""),47.37)</f>
        <v>47.37</v>
      </c>
      <c r="F69">
        <f>IFERROR(__xludf.DUMMYFUNCTION("""COMPUTED_VALUE"""),28.33)</f>
        <v>28.33</v>
      </c>
      <c r="G69">
        <f>IFERROR(__xludf.DUMMYFUNCTION("""COMPUTED_VALUE"""),15.31)</f>
        <v>15.31</v>
      </c>
    </row>
    <row r="70">
      <c r="A70">
        <f>IFERROR(__xludf.DUMMYFUNCTION("""COMPUTED_VALUE"""),169408.0)</f>
        <v>169408</v>
      </c>
      <c r="B70" t="str">
        <f>IFERROR(__xludf.DUMMYFUNCTION("""COMPUTED_VALUE"""),"Dried Japanese Chestnuts")</f>
        <v>Dried Japanese Chestnuts</v>
      </c>
      <c r="C70" t="str">
        <f>IFERROR(__xludf.DUMMYFUNCTION("""COMPUTED_VALUE"""),"Nuts and Seeds")</f>
        <v>Nuts and Seeds</v>
      </c>
      <c r="D70">
        <f>IFERROR(__xludf.DUMMYFUNCTION("""COMPUTED_VALUE"""),360.0)</f>
        <v>360</v>
      </c>
      <c r="E70">
        <f>IFERROR(__xludf.DUMMYFUNCTION("""COMPUTED_VALUE"""),1.24)</f>
        <v>1.24</v>
      </c>
      <c r="F70">
        <f>IFERROR(__xludf.DUMMYFUNCTION("""COMPUTED_VALUE"""),5.25)</f>
        <v>5.25</v>
      </c>
      <c r="G70">
        <f>IFERROR(__xludf.DUMMYFUNCTION("""COMPUTED_VALUE"""),81.43)</f>
        <v>81.43</v>
      </c>
    </row>
    <row r="71">
      <c r="A71">
        <f>IFERROR(__xludf.DUMMYFUNCTION("""COMPUTED_VALUE"""),169409.0)</f>
        <v>169409</v>
      </c>
      <c r="B71" t="str">
        <f>IFERROR(__xludf.DUMMYFUNCTION("""COMPUTED_VALUE"""),"Nuts Coconut Milk Frozen (Liquid Expressed From Grated Meat And Water)")</f>
        <v>Nuts Coconut Milk Frozen (Liquid Expressed From Grated Meat And Water)</v>
      </c>
      <c r="C71" t="str">
        <f>IFERROR(__xludf.DUMMYFUNCTION("""COMPUTED_VALUE"""),"Nuts and Seeds")</f>
        <v>Nuts and Seeds</v>
      </c>
      <c r="D71">
        <f>IFERROR(__xludf.DUMMYFUNCTION("""COMPUTED_VALUE"""),202.0)</f>
        <v>202</v>
      </c>
      <c r="E71">
        <f>IFERROR(__xludf.DUMMYFUNCTION("""COMPUTED_VALUE"""),20.8)</f>
        <v>20.8</v>
      </c>
      <c r="F71">
        <f>IFERROR(__xludf.DUMMYFUNCTION("""COMPUTED_VALUE"""),1.61)</f>
        <v>1.61</v>
      </c>
      <c r="G71">
        <f>IFERROR(__xludf.DUMMYFUNCTION("""COMPUTED_VALUE"""),5.58)</f>
        <v>5.58</v>
      </c>
    </row>
    <row r="72">
      <c r="A72">
        <f>IFERROR(__xludf.DUMMYFUNCTION("""COMPUTED_VALUE"""),169410.0)</f>
        <v>169410</v>
      </c>
      <c r="B72" t="str">
        <f>IFERROR(__xludf.DUMMYFUNCTION("""COMPUTED_VALUE"""),"Raw Sesame Butter (Tahini)")</f>
        <v>Raw Sesame Butter (Tahini)</v>
      </c>
      <c r="C72" t="str">
        <f>IFERROR(__xludf.DUMMYFUNCTION("""COMPUTED_VALUE"""),"Nuts and Seeds")</f>
        <v>Nuts and Seeds</v>
      </c>
      <c r="D72">
        <f>IFERROR(__xludf.DUMMYFUNCTION("""COMPUTED_VALUE"""),570.0)</f>
        <v>570</v>
      </c>
      <c r="E72">
        <f>IFERROR(__xludf.DUMMYFUNCTION("""COMPUTED_VALUE"""),48.0)</f>
        <v>48</v>
      </c>
      <c r="F72">
        <f>IFERROR(__xludf.DUMMYFUNCTION("""COMPUTED_VALUE"""),17.81)</f>
        <v>17.81</v>
      </c>
      <c r="G72">
        <f>IFERROR(__xludf.DUMMYFUNCTION("""COMPUTED_VALUE"""),26.19)</f>
        <v>26.19</v>
      </c>
    </row>
    <row r="73">
      <c r="A73">
        <f>IFERROR(__xludf.DUMMYFUNCTION("""COMPUTED_VALUE"""),169411.0)</f>
        <v>169411</v>
      </c>
      <c r="B73" t="str">
        <f>IFERROR(__xludf.DUMMYFUNCTION("""COMPUTED_VALUE"""),"Nuts Formulated Wheat-Based All Flavors Except Macadamia Without Salt")</f>
        <v>Nuts Formulated Wheat-Based All Flavors Except Macadamia Without Salt</v>
      </c>
      <c r="C73" t="str">
        <f>IFERROR(__xludf.DUMMYFUNCTION("""COMPUTED_VALUE"""),"Nuts and Seeds")</f>
        <v>Nuts and Seeds</v>
      </c>
      <c r="D73">
        <f>IFERROR(__xludf.DUMMYFUNCTION("""COMPUTED_VALUE"""),647.0)</f>
        <v>647</v>
      </c>
      <c r="E73">
        <f>IFERROR(__xludf.DUMMYFUNCTION("""COMPUTED_VALUE"""),62.3)</f>
        <v>62.3</v>
      </c>
      <c r="F73">
        <f>IFERROR(__xludf.DUMMYFUNCTION("""COMPUTED_VALUE"""),13.11)</f>
        <v>13.11</v>
      </c>
      <c r="G73">
        <f>IFERROR(__xludf.DUMMYFUNCTION("""COMPUTED_VALUE"""),20.79)</f>
        <v>20.79</v>
      </c>
    </row>
    <row r="74">
      <c r="A74">
        <f>IFERROR(__xludf.DUMMYFUNCTION("""COMPUTED_VALUE"""),169412.0)</f>
        <v>169412</v>
      </c>
      <c r="B74" t="str">
        <f>IFERROR(__xludf.DUMMYFUNCTION("""COMPUTED_VALUE"""),"Seeds Sesame Seed Kernels Dried (Decorticated)")</f>
        <v>Seeds Sesame Seed Kernels Dried (Decorticated)</v>
      </c>
      <c r="C74" t="str">
        <f>IFERROR(__xludf.DUMMYFUNCTION("""COMPUTED_VALUE"""),"Nuts and Seeds")</f>
        <v>Nuts and Seeds</v>
      </c>
      <c r="D74">
        <f>IFERROR(__xludf.DUMMYFUNCTION("""COMPUTED_VALUE"""),631.0)</f>
        <v>631</v>
      </c>
      <c r="E74">
        <f>IFERROR(__xludf.DUMMYFUNCTION("""COMPUTED_VALUE"""),61.21)</f>
        <v>61.21</v>
      </c>
      <c r="F74">
        <f>IFERROR(__xludf.DUMMYFUNCTION("""COMPUTED_VALUE"""),20.45)</f>
        <v>20.45</v>
      </c>
      <c r="G74">
        <f>IFERROR(__xludf.DUMMYFUNCTION("""COMPUTED_VALUE"""),11.73)</f>
        <v>11.73</v>
      </c>
    </row>
    <row r="75">
      <c r="A75">
        <f>IFERROR(__xludf.DUMMYFUNCTION("""COMPUTED_VALUE"""),169413.0)</f>
        <v>169413</v>
      </c>
      <c r="B75" t="str">
        <f>IFERROR(__xludf.DUMMYFUNCTION("""COMPUTED_VALUE"""),"Nuts Chestnuts Japanese Raw")</f>
        <v>Nuts Chestnuts Japanese Raw</v>
      </c>
      <c r="C75" t="str">
        <f>IFERROR(__xludf.DUMMYFUNCTION("""COMPUTED_VALUE"""),"Nuts and Seeds")</f>
        <v>Nuts and Seeds</v>
      </c>
      <c r="D75">
        <f>IFERROR(__xludf.DUMMYFUNCTION("""COMPUTED_VALUE"""),154.0)</f>
        <v>154</v>
      </c>
      <c r="E75">
        <f>IFERROR(__xludf.DUMMYFUNCTION("""COMPUTED_VALUE"""),0.53)</f>
        <v>0.53</v>
      </c>
      <c r="F75">
        <f>IFERROR(__xludf.DUMMYFUNCTION("""COMPUTED_VALUE"""),2.25)</f>
        <v>2.25</v>
      </c>
      <c r="G75">
        <f>IFERROR(__xludf.DUMMYFUNCTION("""COMPUTED_VALUE"""),34.91)</f>
        <v>34.91</v>
      </c>
    </row>
    <row r="76">
      <c r="A76">
        <f>IFERROR(__xludf.DUMMYFUNCTION("""COMPUTED_VALUE"""),169414.0)</f>
        <v>169414</v>
      </c>
      <c r="B76" t="str">
        <f>IFERROR(__xludf.DUMMYFUNCTION("""COMPUTED_VALUE"""),"Flax Seeds")</f>
        <v>Flax Seeds</v>
      </c>
      <c r="C76" t="str">
        <f>IFERROR(__xludf.DUMMYFUNCTION("""COMPUTED_VALUE"""),"Nuts and Seeds")</f>
        <v>Nuts and Seeds</v>
      </c>
      <c r="D76">
        <f>IFERROR(__xludf.DUMMYFUNCTION("""COMPUTED_VALUE"""),534.0)</f>
        <v>534</v>
      </c>
      <c r="E76">
        <f>IFERROR(__xludf.DUMMYFUNCTION("""COMPUTED_VALUE"""),42.16)</f>
        <v>42.16</v>
      </c>
      <c r="F76">
        <f>IFERROR(__xludf.DUMMYFUNCTION("""COMPUTED_VALUE"""),18.29)</f>
        <v>18.29</v>
      </c>
      <c r="G76">
        <f>IFERROR(__xludf.DUMMYFUNCTION("""COMPUTED_VALUE"""),28.88)</f>
        <v>28.88</v>
      </c>
    </row>
    <row r="77">
      <c r="A77">
        <f>IFERROR(__xludf.DUMMYFUNCTION("""COMPUTED_VALUE"""),169415.0)</f>
        <v>169415</v>
      </c>
      <c r="B77" t="str">
        <f>IFERROR(__xludf.DUMMYFUNCTION("""COMPUTED_VALUE"""),"Roasted Squash And Pumpkin Seeds (Salted)")</f>
        <v>Roasted Squash And Pumpkin Seeds (Salted)</v>
      </c>
      <c r="C77" t="str">
        <f>IFERROR(__xludf.DUMMYFUNCTION("""COMPUTED_VALUE"""),"Nuts and Seeds")</f>
        <v>Nuts and Seeds</v>
      </c>
      <c r="D77">
        <f>IFERROR(__xludf.DUMMYFUNCTION("""COMPUTED_VALUE"""),574.0)</f>
        <v>574</v>
      </c>
      <c r="E77">
        <f>IFERROR(__xludf.DUMMYFUNCTION("""COMPUTED_VALUE"""),49.05)</f>
        <v>49.05</v>
      </c>
      <c r="F77">
        <f>IFERROR(__xludf.DUMMYFUNCTION("""COMPUTED_VALUE"""),29.84)</f>
        <v>29.84</v>
      </c>
      <c r="G77">
        <f>IFERROR(__xludf.DUMMYFUNCTION("""COMPUTED_VALUE"""),14.71)</f>
        <v>14.71</v>
      </c>
    </row>
    <row r="78">
      <c r="A78">
        <f>IFERROR(__xludf.DUMMYFUNCTION("""COMPUTED_VALUE"""),169416.0)</f>
        <v>169416</v>
      </c>
      <c r="B78" t="str">
        <f>IFERROR(__xludf.DUMMYFUNCTION("""COMPUTED_VALUE"""),"Seeds Sesame Seed Kernels Toasted With Salt Added (Decorticated)")</f>
        <v>Seeds Sesame Seed Kernels Toasted With Salt Added (Decorticated)</v>
      </c>
      <c r="C78" t="str">
        <f>IFERROR(__xludf.DUMMYFUNCTION("""COMPUTED_VALUE"""),"Nuts and Seeds")</f>
        <v>Nuts and Seeds</v>
      </c>
      <c r="D78">
        <f>IFERROR(__xludf.DUMMYFUNCTION("""COMPUTED_VALUE"""),567.0)</f>
        <v>567</v>
      </c>
      <c r="E78">
        <f>IFERROR(__xludf.DUMMYFUNCTION("""COMPUTED_VALUE"""),48.0)</f>
        <v>48</v>
      </c>
      <c r="F78">
        <f>IFERROR(__xludf.DUMMYFUNCTION("""COMPUTED_VALUE"""),16.96)</f>
        <v>16.96</v>
      </c>
      <c r="G78">
        <f>IFERROR(__xludf.DUMMYFUNCTION("""COMPUTED_VALUE"""),26.04)</f>
        <v>26.04</v>
      </c>
    </row>
    <row r="79">
      <c r="A79">
        <f>IFERROR(__xludf.DUMMYFUNCTION("""COMPUTED_VALUE"""),169417.0)</f>
        <v>169417</v>
      </c>
      <c r="B79" t="str">
        <f>IFERROR(__xludf.DUMMYFUNCTION("""COMPUTED_VALUE"""),"Dry Roasted Sunflower Seeds (With Salt)")</f>
        <v>Dry Roasted Sunflower Seeds (With Salt)</v>
      </c>
      <c r="C79" t="str">
        <f>IFERROR(__xludf.DUMMYFUNCTION("""COMPUTED_VALUE"""),"Nuts and Seeds")</f>
        <v>Nuts and Seeds</v>
      </c>
      <c r="D79">
        <f>IFERROR(__xludf.DUMMYFUNCTION("""COMPUTED_VALUE"""),546.0)</f>
        <v>546</v>
      </c>
      <c r="E79">
        <f>IFERROR(__xludf.DUMMYFUNCTION("""COMPUTED_VALUE"""),49.8)</f>
        <v>49.8</v>
      </c>
      <c r="F79">
        <f>IFERROR(__xludf.DUMMYFUNCTION("""COMPUTED_VALUE"""),19.33)</f>
        <v>19.33</v>
      </c>
      <c r="G79">
        <f>IFERROR(__xludf.DUMMYFUNCTION("""COMPUTED_VALUE"""),15.31)</f>
        <v>15.31</v>
      </c>
    </row>
    <row r="80">
      <c r="A80">
        <f>IFERROR(__xludf.DUMMYFUNCTION("""COMPUTED_VALUE"""),169418.0)</f>
        <v>169418</v>
      </c>
      <c r="B80" t="str">
        <f>IFERROR(__xludf.DUMMYFUNCTION("""COMPUTED_VALUE"""),"Seeds Sunflower Seed Kernels Dry Roasted With Salt Added")</f>
        <v>Seeds Sunflower Seed Kernels Dry Roasted With Salt Added</v>
      </c>
      <c r="C80" t="str">
        <f>IFERROR(__xludf.DUMMYFUNCTION("""COMPUTED_VALUE"""),"Nuts and Seeds")</f>
        <v>Nuts and Seeds</v>
      </c>
      <c r="D80">
        <f>IFERROR(__xludf.DUMMYFUNCTION("""COMPUTED_VALUE"""),582.0)</f>
        <v>582</v>
      </c>
      <c r="E80">
        <f>IFERROR(__xludf.DUMMYFUNCTION("""COMPUTED_VALUE"""),49.8)</f>
        <v>49.8</v>
      </c>
      <c r="F80">
        <f>IFERROR(__xludf.DUMMYFUNCTION("""COMPUTED_VALUE"""),19.33)</f>
        <v>19.33</v>
      </c>
      <c r="G80">
        <f>IFERROR(__xludf.DUMMYFUNCTION("""COMPUTED_VALUE"""),24.07)</f>
        <v>24.07</v>
      </c>
    </row>
    <row r="81">
      <c r="A81">
        <f>IFERROR(__xludf.DUMMYFUNCTION("""COMPUTED_VALUE"""),169419.0)</f>
        <v>169419</v>
      </c>
      <c r="B81" t="str">
        <f>IFERROR(__xludf.DUMMYFUNCTION("""COMPUTED_VALUE"""),"Nuts Almonds Oil Roasted With Salt Added")</f>
        <v>Nuts Almonds Oil Roasted With Salt Added</v>
      </c>
      <c r="C81" t="str">
        <f>IFERROR(__xludf.DUMMYFUNCTION("""COMPUTED_VALUE"""),"Nuts and Seeds")</f>
        <v>Nuts and Seeds</v>
      </c>
      <c r="D81">
        <f>IFERROR(__xludf.DUMMYFUNCTION("""COMPUTED_VALUE"""),607.0)</f>
        <v>607</v>
      </c>
      <c r="E81">
        <f>IFERROR(__xludf.DUMMYFUNCTION("""COMPUTED_VALUE"""),55.17)</f>
        <v>55.17</v>
      </c>
      <c r="F81">
        <f>IFERROR(__xludf.DUMMYFUNCTION("""COMPUTED_VALUE"""),21.23)</f>
        <v>21.23</v>
      </c>
      <c r="G81">
        <f>IFERROR(__xludf.DUMMYFUNCTION("""COMPUTED_VALUE"""),17.68)</f>
        <v>17.68</v>
      </c>
    </row>
    <row r="82">
      <c r="A82">
        <f>IFERROR(__xludf.DUMMYFUNCTION("""COMPUTED_VALUE"""),169420.0)</f>
        <v>169420</v>
      </c>
      <c r="B82" t="str">
        <f>IFERROR(__xludf.DUMMYFUNCTION("""COMPUTED_VALUE"""),"Nuts Almonds Oil Roasted With Salt Added Smoke Flavor")</f>
        <v>Nuts Almonds Oil Roasted With Salt Added Smoke Flavor</v>
      </c>
      <c r="C82" t="str">
        <f>IFERROR(__xludf.DUMMYFUNCTION("""COMPUTED_VALUE"""),"Nuts and Seeds")</f>
        <v>Nuts and Seeds</v>
      </c>
      <c r="D82">
        <f>IFERROR(__xludf.DUMMYFUNCTION("""COMPUTED_VALUE"""),607.0)</f>
        <v>607</v>
      </c>
      <c r="E82">
        <f>IFERROR(__xludf.DUMMYFUNCTION("""COMPUTED_VALUE"""),55.89)</f>
        <v>55.89</v>
      </c>
      <c r="F82">
        <f>IFERROR(__xludf.DUMMYFUNCTION("""COMPUTED_VALUE"""),21.43)</f>
        <v>21.43</v>
      </c>
      <c r="G82">
        <f>IFERROR(__xludf.DUMMYFUNCTION("""COMPUTED_VALUE"""),17.86)</f>
        <v>17.86</v>
      </c>
    </row>
    <row r="83">
      <c r="A83">
        <f>IFERROR(__xludf.DUMMYFUNCTION("""COMPUTED_VALUE"""),169421.0)</f>
        <v>169421</v>
      </c>
      <c r="B83" t="str">
        <f>IFERROR(__xludf.DUMMYFUNCTION("""COMPUTED_VALUE"""),"Nuts Cashew Nuts Dry Roasted With Salt Added")</f>
        <v>Nuts Cashew Nuts Dry Roasted With Salt Added</v>
      </c>
      <c r="C83" t="str">
        <f>IFERROR(__xludf.DUMMYFUNCTION("""COMPUTED_VALUE"""),"Nuts and Seeds")</f>
        <v>Nuts and Seeds</v>
      </c>
      <c r="D83">
        <f>IFERROR(__xludf.DUMMYFUNCTION("""COMPUTED_VALUE"""),574.0)</f>
        <v>574</v>
      </c>
      <c r="E83">
        <f>IFERROR(__xludf.DUMMYFUNCTION("""COMPUTED_VALUE"""),46.35)</f>
        <v>46.35</v>
      </c>
      <c r="F83">
        <f>IFERROR(__xludf.DUMMYFUNCTION("""COMPUTED_VALUE"""),15.31)</f>
        <v>15.31</v>
      </c>
      <c r="G83">
        <f>IFERROR(__xludf.DUMMYFUNCTION("""COMPUTED_VALUE"""),32.69)</f>
        <v>32.69</v>
      </c>
    </row>
    <row r="84">
      <c r="A84">
        <f>IFERROR(__xludf.DUMMYFUNCTION("""COMPUTED_VALUE"""),169422.0)</f>
        <v>169422</v>
      </c>
      <c r="B84" t="str">
        <f>IFERROR(__xludf.DUMMYFUNCTION("""COMPUTED_VALUE"""),"Nuts Cashew Nuts Oil Roasted With Salt Added")</f>
        <v>Nuts Cashew Nuts Oil Roasted With Salt Added</v>
      </c>
      <c r="C84" t="str">
        <f>IFERROR(__xludf.DUMMYFUNCTION("""COMPUTED_VALUE"""),"Nuts and Seeds")</f>
        <v>Nuts and Seeds</v>
      </c>
      <c r="D84">
        <f>IFERROR(__xludf.DUMMYFUNCTION("""COMPUTED_VALUE"""),581.0)</f>
        <v>581</v>
      </c>
      <c r="E84">
        <f>IFERROR(__xludf.DUMMYFUNCTION("""COMPUTED_VALUE"""),47.77)</f>
        <v>47.77</v>
      </c>
      <c r="F84">
        <f>IFERROR(__xludf.DUMMYFUNCTION("""COMPUTED_VALUE"""),16.84)</f>
        <v>16.84</v>
      </c>
      <c r="G84">
        <f>IFERROR(__xludf.DUMMYFUNCTION("""COMPUTED_VALUE"""),30.16)</f>
        <v>30.16</v>
      </c>
    </row>
    <row r="85">
      <c r="A85">
        <f>IFERROR(__xludf.DUMMYFUNCTION("""COMPUTED_VALUE"""),169423.0)</f>
        <v>169423</v>
      </c>
      <c r="B85" t="str">
        <f>IFERROR(__xludf.DUMMYFUNCTION("""COMPUTED_VALUE"""),"Nuts Mixed Nuts Oil Roasted Without Peanuts With Salt Added")</f>
        <v>Nuts Mixed Nuts Oil Roasted Without Peanuts With Salt Added</v>
      </c>
      <c r="C85" t="str">
        <f>IFERROR(__xludf.DUMMYFUNCTION("""COMPUTED_VALUE"""),"Nuts and Seeds")</f>
        <v>Nuts and Seeds</v>
      </c>
      <c r="D85">
        <f>IFERROR(__xludf.DUMMYFUNCTION("""COMPUTED_VALUE"""),615.0)</f>
        <v>615</v>
      </c>
      <c r="E85">
        <f>IFERROR(__xludf.DUMMYFUNCTION("""COMPUTED_VALUE"""),56.17)</f>
        <v>56.17</v>
      </c>
      <c r="F85">
        <f>IFERROR(__xludf.DUMMYFUNCTION("""COMPUTED_VALUE"""),15.52)</f>
        <v>15.52</v>
      </c>
      <c r="G85">
        <f>IFERROR(__xludf.DUMMYFUNCTION("""COMPUTED_VALUE"""),22.27)</f>
        <v>22.27</v>
      </c>
    </row>
    <row r="86">
      <c r="A86">
        <f>IFERROR(__xludf.DUMMYFUNCTION("""COMPUTED_VALUE"""),169424.0)</f>
        <v>169424</v>
      </c>
      <c r="B86" t="str">
        <f>IFERROR(__xludf.DUMMYFUNCTION("""COMPUTED_VALUE"""),"Nuts Pecans Dry Roasted With Salt Added")</f>
        <v>Nuts Pecans Dry Roasted With Salt Added</v>
      </c>
      <c r="C86" t="str">
        <f>IFERROR(__xludf.DUMMYFUNCTION("""COMPUTED_VALUE"""),"Nuts and Seeds")</f>
        <v>Nuts and Seeds</v>
      </c>
      <c r="D86">
        <f>IFERROR(__xludf.DUMMYFUNCTION("""COMPUTED_VALUE"""),710.0)</f>
        <v>710</v>
      </c>
      <c r="E86">
        <f>IFERROR(__xludf.DUMMYFUNCTION("""COMPUTED_VALUE"""),74.27)</f>
        <v>74.27</v>
      </c>
      <c r="F86">
        <f>IFERROR(__xludf.DUMMYFUNCTION("""COMPUTED_VALUE"""),9.5)</f>
        <v>9.5</v>
      </c>
      <c r="G86">
        <f>IFERROR(__xludf.DUMMYFUNCTION("""COMPUTED_VALUE"""),13.55)</f>
        <v>13.55</v>
      </c>
    </row>
    <row r="87">
      <c r="A87">
        <f>IFERROR(__xludf.DUMMYFUNCTION("""COMPUTED_VALUE"""),169425.0)</f>
        <v>169425</v>
      </c>
      <c r="B87" t="str">
        <f>IFERROR(__xludf.DUMMYFUNCTION("""COMPUTED_VALUE"""),"Nuts Pecans Oil Roasted With Salt Added")</f>
        <v>Nuts Pecans Oil Roasted With Salt Added</v>
      </c>
      <c r="C87" t="str">
        <f>IFERROR(__xludf.DUMMYFUNCTION("""COMPUTED_VALUE"""),"Nuts and Seeds")</f>
        <v>Nuts and Seeds</v>
      </c>
      <c r="D87">
        <f>IFERROR(__xludf.DUMMYFUNCTION("""COMPUTED_VALUE"""),715.0)</f>
        <v>715</v>
      </c>
      <c r="E87">
        <f>IFERROR(__xludf.DUMMYFUNCTION("""COMPUTED_VALUE"""),75.23)</f>
        <v>75.23</v>
      </c>
      <c r="F87">
        <f>IFERROR(__xludf.DUMMYFUNCTION("""COMPUTED_VALUE"""),9.2)</f>
        <v>9.2</v>
      </c>
      <c r="G87">
        <f>IFERROR(__xludf.DUMMYFUNCTION("""COMPUTED_VALUE"""),13.01)</f>
        <v>13.01</v>
      </c>
    </row>
    <row r="88">
      <c r="A88">
        <f>IFERROR(__xludf.DUMMYFUNCTION("""COMPUTED_VALUE"""),169426.0)</f>
        <v>169426</v>
      </c>
      <c r="B88" t="str">
        <f>IFERROR(__xludf.DUMMYFUNCTION("""COMPUTED_VALUE"""),"Nuts Pistachio Nuts Dry Roasted With Salt Added")</f>
        <v>Nuts Pistachio Nuts Dry Roasted With Salt Added</v>
      </c>
      <c r="C88" t="str">
        <f>IFERROR(__xludf.DUMMYFUNCTION("""COMPUTED_VALUE"""),"Nuts and Seeds")</f>
        <v>Nuts and Seeds</v>
      </c>
      <c r="D88">
        <f>IFERROR(__xludf.DUMMYFUNCTION("""COMPUTED_VALUE"""),569.0)</f>
        <v>569</v>
      </c>
      <c r="E88">
        <f>IFERROR(__xludf.DUMMYFUNCTION("""COMPUTED_VALUE"""),45.82)</f>
        <v>45.82</v>
      </c>
      <c r="F88">
        <f>IFERROR(__xludf.DUMMYFUNCTION("""COMPUTED_VALUE"""),21.05)</f>
        <v>21.05</v>
      </c>
      <c r="G88">
        <f>IFERROR(__xludf.DUMMYFUNCTION("""COMPUTED_VALUE"""),27.55)</f>
        <v>27.55</v>
      </c>
    </row>
    <row r="89">
      <c r="A89">
        <f>IFERROR(__xludf.DUMMYFUNCTION("""COMPUTED_VALUE"""),169427.0)</f>
        <v>169427</v>
      </c>
      <c r="B89" t="str">
        <f>IFERROR(__xludf.DUMMYFUNCTION("""COMPUTED_VALUE"""),"Nuts Mixed Nuts Oil Roasted With Peanuts Lightly Salted")</f>
        <v>Nuts Mixed Nuts Oil Roasted With Peanuts Lightly Salted</v>
      </c>
      <c r="C89" t="str">
        <f>IFERROR(__xludf.DUMMYFUNCTION("""COMPUTED_VALUE"""),"Nuts and Seeds")</f>
        <v>Nuts and Seeds</v>
      </c>
      <c r="D89">
        <f>IFERROR(__xludf.DUMMYFUNCTION("""COMPUTED_VALUE"""),607.0)</f>
        <v>607</v>
      </c>
      <c r="E89">
        <f>IFERROR(__xludf.DUMMYFUNCTION("""COMPUTED_VALUE"""),53.95)</f>
        <v>53.95</v>
      </c>
      <c r="F89">
        <f>IFERROR(__xludf.DUMMYFUNCTION("""COMPUTED_VALUE"""),20.04)</f>
        <v>20.04</v>
      </c>
      <c r="G89">
        <f>IFERROR(__xludf.DUMMYFUNCTION("""COMPUTED_VALUE"""),21.05)</f>
        <v>21.05</v>
      </c>
    </row>
    <row r="90">
      <c r="A90">
        <f>IFERROR(__xludf.DUMMYFUNCTION("""COMPUTED_VALUE"""),169428.0)</f>
        <v>169428</v>
      </c>
      <c r="B90" t="str">
        <f>IFERROR(__xludf.DUMMYFUNCTION("""COMPUTED_VALUE"""),"Nuts Mixed Nuts Oil Roasted Without Peanuts Lightly Salted")</f>
        <v>Nuts Mixed Nuts Oil Roasted Without Peanuts Lightly Salted</v>
      </c>
      <c r="C90" t="str">
        <f>IFERROR(__xludf.DUMMYFUNCTION("""COMPUTED_VALUE"""),"Nuts and Seeds")</f>
        <v>Nuts and Seeds</v>
      </c>
      <c r="D90">
        <f>IFERROR(__xludf.DUMMYFUNCTION("""COMPUTED_VALUE"""),607.0)</f>
        <v>607</v>
      </c>
      <c r="E90">
        <f>IFERROR(__xludf.DUMMYFUNCTION("""COMPUTED_VALUE"""),50.0)</f>
        <v>50</v>
      </c>
      <c r="F90">
        <f>IFERROR(__xludf.DUMMYFUNCTION("""COMPUTED_VALUE"""),17.86)</f>
        <v>17.86</v>
      </c>
      <c r="G90">
        <f>IFERROR(__xludf.DUMMYFUNCTION("""COMPUTED_VALUE"""),25.0)</f>
        <v>25</v>
      </c>
    </row>
    <row r="91">
      <c r="A91">
        <f>IFERROR(__xludf.DUMMYFUNCTION("""COMPUTED_VALUE"""),169860.0)</f>
        <v>169860</v>
      </c>
      <c r="B91" t="str">
        <f>IFERROR(__xludf.DUMMYFUNCTION("""COMPUTED_VALUE"""),"Margarine-Like Vegetable Oil Spread Stick Or Tub Sweetened")</f>
        <v>Margarine-Like Vegetable Oil Spread Stick Or Tub Sweetened</v>
      </c>
      <c r="C91" t="str">
        <f>IFERROR(__xludf.DUMMYFUNCTION("""COMPUTED_VALUE"""),"Fats and Oils")</f>
        <v>Fats and Oils</v>
      </c>
      <c r="D91">
        <f>IFERROR(__xludf.DUMMYFUNCTION("""COMPUTED_VALUE"""),534.0)</f>
        <v>534</v>
      </c>
      <c r="E91">
        <f>IFERROR(__xludf.DUMMYFUNCTION("""COMPUTED_VALUE"""),52.0)</f>
        <v>52</v>
      </c>
      <c r="F91">
        <f>IFERROR(__xludf.DUMMYFUNCTION("""COMPUTED_VALUE"""),0.0)</f>
        <v>0</v>
      </c>
      <c r="G91">
        <f>IFERROR(__xludf.DUMMYFUNCTION("""COMPUTED_VALUE"""),16.7)</f>
        <v>16.7</v>
      </c>
    </row>
    <row r="92">
      <c r="A92">
        <f>IFERROR(__xludf.DUMMYFUNCTION("""COMPUTED_VALUE"""),169867.0)</f>
        <v>169867</v>
      </c>
      <c r="B92" t="str">
        <f>IFERROR(__xludf.DUMMYFUNCTION("""COMPUTED_VALUE"""),"Oil Corn And Canola")</f>
        <v>Oil Corn And Canola</v>
      </c>
      <c r="C92" t="str">
        <f>IFERROR(__xludf.DUMMYFUNCTION("""COMPUTED_VALUE"""),"Fats and Oils")</f>
        <v>Fats and Oils</v>
      </c>
      <c r="D92">
        <f>IFERROR(__xludf.DUMMYFUNCTION("""COMPUTED_VALUE"""),884.0)</f>
        <v>884</v>
      </c>
      <c r="E92">
        <f>IFERROR(__xludf.DUMMYFUNCTION("""COMPUTED_VALUE"""),100.0)</f>
        <v>100</v>
      </c>
      <c r="F92">
        <f>IFERROR(__xludf.DUMMYFUNCTION("""COMPUTED_VALUE"""),0.0)</f>
        <v>0</v>
      </c>
      <c r="G92">
        <f>IFERROR(__xludf.DUMMYFUNCTION("""COMPUTED_VALUE"""),0.0)</f>
        <v>0</v>
      </c>
    </row>
    <row r="93">
      <c r="A93">
        <f>IFERROR(__xludf.DUMMYFUNCTION("""COMPUTED_VALUE"""),169868.0)</f>
        <v>169868</v>
      </c>
      <c r="B93" t="str">
        <f>IFERROR(__xludf.DUMMYFUNCTION("""COMPUTED_VALUE"""),"Milk Fluid Nonfat Calcium Fortified (Fat Free Or Skim)")</f>
        <v>Milk Fluid Nonfat Calcium Fortified (Fat Free Or Skim)</v>
      </c>
      <c r="C93" t="str">
        <f>IFERROR(__xludf.DUMMYFUNCTION("""COMPUTED_VALUE"""),"Dairy and Egg Products")</f>
        <v>Dairy and Egg Products</v>
      </c>
      <c r="D93">
        <f>IFERROR(__xludf.DUMMYFUNCTION("""COMPUTED_VALUE"""),35.0)</f>
        <v>35</v>
      </c>
      <c r="E93">
        <f>IFERROR(__xludf.DUMMYFUNCTION("""COMPUTED_VALUE"""),0.18)</f>
        <v>0.18</v>
      </c>
      <c r="F93">
        <f>IFERROR(__xludf.DUMMYFUNCTION("""COMPUTED_VALUE"""),3.4)</f>
        <v>3.4</v>
      </c>
      <c r="G93">
        <f>IFERROR(__xludf.DUMMYFUNCTION("""COMPUTED_VALUE"""),4.85)</f>
        <v>4.85</v>
      </c>
    </row>
    <row r="94">
      <c r="A94">
        <f>IFERROR(__xludf.DUMMYFUNCTION("""COMPUTED_VALUE"""),169875.0)</f>
        <v>169875</v>
      </c>
      <c r="B94" t="str">
        <f>IFERROR(__xludf.DUMMYFUNCTION("""COMPUTED_VALUE"""),"Salad Dressing Sweet And Sour")</f>
        <v>Salad Dressing Sweet And Sour</v>
      </c>
      <c r="C94" t="str">
        <f>IFERROR(__xludf.DUMMYFUNCTION("""COMPUTED_VALUE"""),"Fats and Oils")</f>
        <v>Fats and Oils</v>
      </c>
      <c r="D94">
        <f>IFERROR(__xludf.DUMMYFUNCTION("""COMPUTED_VALUE"""),15.0)</f>
        <v>15</v>
      </c>
      <c r="E94">
        <f>IFERROR(__xludf.DUMMYFUNCTION("""COMPUTED_VALUE"""),0.0)</f>
        <v>0</v>
      </c>
      <c r="F94">
        <f>IFERROR(__xludf.DUMMYFUNCTION("""COMPUTED_VALUE"""),0.1)</f>
        <v>0.1</v>
      </c>
      <c r="G94">
        <f>IFERROR(__xludf.DUMMYFUNCTION("""COMPUTED_VALUE"""),3.7)</f>
        <v>3.7</v>
      </c>
    </row>
    <row r="95">
      <c r="A95">
        <f>IFERROR(__xludf.DUMMYFUNCTION("""COMPUTED_VALUE"""),169876.0)</f>
        <v>169876</v>
      </c>
      <c r="B95" t="str">
        <f>IFERROR(__xludf.DUMMYFUNCTION("""COMPUTED_VALUE"""),"Salad Dressing Blue Or Roquefort Cheese Low Calorie")</f>
        <v>Salad Dressing Blue Or Roquefort Cheese Low Calorie</v>
      </c>
      <c r="C95" t="str">
        <f>IFERROR(__xludf.DUMMYFUNCTION("""COMPUTED_VALUE"""),"Fats and Oils")</f>
        <v>Fats and Oils</v>
      </c>
      <c r="D95">
        <f>IFERROR(__xludf.DUMMYFUNCTION("""COMPUTED_VALUE"""),99.0)</f>
        <v>99</v>
      </c>
      <c r="E95">
        <f>IFERROR(__xludf.DUMMYFUNCTION("""COMPUTED_VALUE"""),7.2)</f>
        <v>7.2</v>
      </c>
      <c r="F95">
        <f>IFERROR(__xludf.DUMMYFUNCTION("""COMPUTED_VALUE"""),5.1)</f>
        <v>5.1</v>
      </c>
      <c r="G95">
        <f>IFERROR(__xludf.DUMMYFUNCTION("""COMPUTED_VALUE"""),2.9)</f>
        <v>2.9</v>
      </c>
    </row>
    <row r="96">
      <c r="A96">
        <f>IFERROR(__xludf.DUMMYFUNCTION("""COMPUTED_VALUE"""),169877.0)</f>
        <v>169877</v>
      </c>
      <c r="B96" t="str">
        <f>IFERROR(__xludf.DUMMYFUNCTION("""COMPUTED_VALUE"""),"Salad Dressing Caesar Low Calorie")</f>
        <v>Salad Dressing Caesar Low Calorie</v>
      </c>
      <c r="C96" t="str">
        <f>IFERROR(__xludf.DUMMYFUNCTION("""COMPUTED_VALUE"""),"Fats and Oils")</f>
        <v>Fats and Oils</v>
      </c>
      <c r="D96">
        <f>IFERROR(__xludf.DUMMYFUNCTION("""COMPUTED_VALUE"""),110.0)</f>
        <v>110</v>
      </c>
      <c r="E96">
        <f>IFERROR(__xludf.DUMMYFUNCTION("""COMPUTED_VALUE"""),4.4)</f>
        <v>4.4</v>
      </c>
      <c r="F96">
        <f>IFERROR(__xludf.DUMMYFUNCTION("""COMPUTED_VALUE"""),0.3)</f>
        <v>0.3</v>
      </c>
      <c r="G96">
        <f>IFERROR(__xludf.DUMMYFUNCTION("""COMPUTED_VALUE"""),18.6)</f>
        <v>18.6</v>
      </c>
    </row>
    <row r="97">
      <c r="A97">
        <f>IFERROR(__xludf.DUMMYFUNCTION("""COMPUTED_VALUE"""),169894.0)</f>
        <v>169894</v>
      </c>
      <c r="B97" t="str">
        <f>IFERROR(__xludf.DUMMYFUNCTION("""COMPUTED_VALUE"""),"Butter Replacement Without Fat Powder")</f>
        <v>Butter Replacement Without Fat Powder</v>
      </c>
      <c r="C97" t="str">
        <f>IFERROR(__xludf.DUMMYFUNCTION("""COMPUTED_VALUE"""),"Fats and Oils")</f>
        <v>Fats and Oils</v>
      </c>
      <c r="D97">
        <f>IFERROR(__xludf.DUMMYFUNCTION("""COMPUTED_VALUE"""),373.0)</f>
        <v>373</v>
      </c>
      <c r="E97">
        <f>IFERROR(__xludf.DUMMYFUNCTION("""COMPUTED_VALUE"""),1.0)</f>
        <v>1</v>
      </c>
      <c r="F97">
        <f>IFERROR(__xludf.DUMMYFUNCTION("""COMPUTED_VALUE"""),2.0)</f>
        <v>2</v>
      </c>
      <c r="G97">
        <f>IFERROR(__xludf.DUMMYFUNCTION("""COMPUTED_VALUE"""),89.0)</f>
        <v>89</v>
      </c>
    </row>
    <row r="98">
      <c r="A98">
        <f>IFERROR(__xludf.DUMMYFUNCTION("""COMPUTED_VALUE"""),169895.0)</f>
        <v>169895</v>
      </c>
      <c r="B98" t="str">
        <f>IFERROR(__xludf.DUMMYFUNCTION("""COMPUTED_VALUE"""),"Salad Dressing Buttermilk Lite")</f>
        <v>Salad Dressing Buttermilk Lite</v>
      </c>
      <c r="C98" t="str">
        <f>IFERROR(__xludf.DUMMYFUNCTION("""COMPUTED_VALUE"""),"Fats and Oils")</f>
        <v>Fats and Oils</v>
      </c>
      <c r="D98">
        <f>IFERROR(__xludf.DUMMYFUNCTION("""COMPUTED_VALUE"""),202.0)</f>
        <v>202</v>
      </c>
      <c r="E98">
        <f>IFERROR(__xludf.DUMMYFUNCTION("""COMPUTED_VALUE"""),12.42)</f>
        <v>12.42</v>
      </c>
      <c r="F98">
        <f>IFERROR(__xludf.DUMMYFUNCTION("""COMPUTED_VALUE"""),1.25)</f>
        <v>1.25</v>
      </c>
      <c r="G98">
        <f>IFERROR(__xludf.DUMMYFUNCTION("""COMPUTED_VALUE"""),21.33)</f>
        <v>21.33</v>
      </c>
    </row>
    <row r="99">
      <c r="A99">
        <f>IFERROR(__xludf.DUMMYFUNCTION("""COMPUTED_VALUE"""),169897.0)</f>
        <v>169897</v>
      </c>
      <c r="B99" t="str">
        <f>IFERROR(__xludf.DUMMYFUNCTION("""COMPUTED_VALUE"""),"Beverage Instant Breakfast Powder Chocolate Sugar-Free Not Reconstituted")</f>
        <v>Beverage Instant Breakfast Powder Chocolate Sugar-Free Not Reconstituted</v>
      </c>
      <c r="C99" t="str">
        <f>IFERROR(__xludf.DUMMYFUNCTION("""COMPUTED_VALUE"""),"Dairy and Egg Products")</f>
        <v>Dairy and Egg Products</v>
      </c>
      <c r="D99">
        <f>IFERROR(__xludf.DUMMYFUNCTION("""COMPUTED_VALUE"""),358.0)</f>
        <v>358</v>
      </c>
      <c r="E99">
        <f>IFERROR(__xludf.DUMMYFUNCTION("""COMPUTED_VALUE"""),5.1)</f>
        <v>5.1</v>
      </c>
      <c r="F99">
        <f>IFERROR(__xludf.DUMMYFUNCTION("""COMPUTED_VALUE"""),35.8)</f>
        <v>35.8</v>
      </c>
      <c r="G99">
        <f>IFERROR(__xludf.DUMMYFUNCTION("""COMPUTED_VALUE"""),41.0)</f>
        <v>41</v>
      </c>
    </row>
    <row r="100">
      <c r="A100">
        <f>IFERROR(__xludf.DUMMYFUNCTION("""COMPUTED_VALUE"""),169898.0)</f>
        <v>169898</v>
      </c>
      <c r="B100" t="str">
        <f>IFERROR(__xludf.DUMMYFUNCTION("""COMPUTED_VALUE"""),"Yogurt Fruit Variety Nonfat")</f>
        <v>Yogurt Fruit Variety Nonfat</v>
      </c>
      <c r="C100" t="str">
        <f>IFERROR(__xludf.DUMMYFUNCTION("""COMPUTED_VALUE"""),"Dairy and Egg Products")</f>
        <v>Dairy and Egg Products</v>
      </c>
      <c r="D100">
        <f>IFERROR(__xludf.DUMMYFUNCTION("""COMPUTED_VALUE"""),95.0)</f>
        <v>95</v>
      </c>
      <c r="E100">
        <f>IFERROR(__xludf.DUMMYFUNCTION("""COMPUTED_VALUE"""),0.2)</f>
        <v>0.2</v>
      </c>
      <c r="F100">
        <f>IFERROR(__xludf.DUMMYFUNCTION("""COMPUTED_VALUE"""),4.4)</f>
        <v>4.4</v>
      </c>
      <c r="G100">
        <f>IFERROR(__xludf.DUMMYFUNCTION("""COMPUTED_VALUE"""),19.0)</f>
        <v>19</v>
      </c>
    </row>
    <row r="101">
      <c r="A101">
        <f>IFERROR(__xludf.DUMMYFUNCTION("""COMPUTED_VALUE"""),169899.0)</f>
        <v>169899</v>
      </c>
      <c r="B101" t="str">
        <f>IFERROR(__xludf.DUMMYFUNCTION("""COMPUTED_VALUE"""),"Whipped Cream Substitute Dietetic Made From Powdered Mix")</f>
        <v>Whipped Cream Substitute Dietetic Made From Powdered Mix</v>
      </c>
      <c r="C101" t="str">
        <f>IFERROR(__xludf.DUMMYFUNCTION("""COMPUTED_VALUE"""),"Dairy and Egg Products")</f>
        <v>Dairy and Egg Products</v>
      </c>
      <c r="D101">
        <f>IFERROR(__xludf.DUMMYFUNCTION("""COMPUTED_VALUE"""),100.0)</f>
        <v>100</v>
      </c>
      <c r="E101">
        <f>IFERROR(__xludf.DUMMYFUNCTION("""COMPUTED_VALUE"""),6.0)</f>
        <v>6</v>
      </c>
      <c r="F101">
        <f>IFERROR(__xludf.DUMMYFUNCTION("""COMPUTED_VALUE"""),0.9)</f>
        <v>0.9</v>
      </c>
      <c r="G101">
        <f>IFERROR(__xludf.DUMMYFUNCTION("""COMPUTED_VALUE"""),10.6)</f>
        <v>10.6</v>
      </c>
    </row>
    <row r="102">
      <c r="A102">
        <f>IFERROR(__xludf.DUMMYFUNCTION("""COMPUTED_VALUE"""),169901.0)</f>
        <v>169901</v>
      </c>
      <c r="B102" t="str">
        <f>IFERROR(__xludf.DUMMYFUNCTION("""COMPUTED_VALUE"""),"Cheese American Cheddar Imitation")</f>
        <v>Cheese American Cheddar Imitation</v>
      </c>
      <c r="C102" t="str">
        <f>IFERROR(__xludf.DUMMYFUNCTION("""COMPUTED_VALUE"""),"Dairy and Egg Products")</f>
        <v>Dairy and Egg Products</v>
      </c>
      <c r="D102">
        <f>IFERROR(__xludf.DUMMYFUNCTION("""COMPUTED_VALUE"""),239.0)</f>
        <v>239</v>
      </c>
      <c r="E102">
        <f>IFERROR(__xludf.DUMMYFUNCTION("""COMPUTED_VALUE"""),14.0)</f>
        <v>14</v>
      </c>
      <c r="F102">
        <f>IFERROR(__xludf.DUMMYFUNCTION("""COMPUTED_VALUE"""),16.7)</f>
        <v>16.7</v>
      </c>
      <c r="G102">
        <f>IFERROR(__xludf.DUMMYFUNCTION("""COMPUTED_VALUE"""),11.6)</f>
        <v>11.6</v>
      </c>
    </row>
    <row r="103">
      <c r="A103">
        <f>IFERROR(__xludf.DUMMYFUNCTION("""COMPUTED_VALUE"""),169904.0)</f>
        <v>169904</v>
      </c>
      <c r="B103" t="str">
        <f>IFERROR(__xludf.DUMMYFUNCTION("""COMPUTED_VALUE"""),"Eggs Scrambled Frozen Mixture")</f>
        <v>Eggs Scrambled Frozen Mixture</v>
      </c>
      <c r="C103" t="str">
        <f>IFERROR(__xludf.DUMMYFUNCTION("""COMPUTED_VALUE"""),"Dairy and Egg Products")</f>
        <v>Dairy and Egg Products</v>
      </c>
      <c r="D103">
        <f>IFERROR(__xludf.DUMMYFUNCTION("""COMPUTED_VALUE"""),131.0)</f>
        <v>131</v>
      </c>
      <c r="E103">
        <f>IFERROR(__xludf.DUMMYFUNCTION("""COMPUTED_VALUE"""),5.6)</f>
        <v>5.6</v>
      </c>
      <c r="F103">
        <f>IFERROR(__xludf.DUMMYFUNCTION("""COMPUTED_VALUE"""),13.1)</f>
        <v>13.1</v>
      </c>
      <c r="G103">
        <f>IFERROR(__xludf.DUMMYFUNCTION("""COMPUTED_VALUE"""),7.5)</f>
        <v>7.5</v>
      </c>
    </row>
    <row r="104">
      <c r="A104">
        <f>IFERROR(__xludf.DUMMYFUNCTION("""COMPUTED_VALUE"""),170144.0)</f>
        <v>170144</v>
      </c>
      <c r="B104" t="str">
        <f>IFERROR(__xludf.DUMMYFUNCTION("""COMPUTED_VALUE"""),"Seeds Breadfruit Seeds Raw")</f>
        <v>Seeds Breadfruit Seeds Raw</v>
      </c>
      <c r="C104" t="str">
        <f>IFERROR(__xludf.DUMMYFUNCTION("""COMPUTED_VALUE"""),"Nuts and Seeds")</f>
        <v>Nuts and Seeds</v>
      </c>
      <c r="D104">
        <f>IFERROR(__xludf.DUMMYFUNCTION("""COMPUTED_VALUE"""),191.0)</f>
        <v>191</v>
      </c>
      <c r="E104">
        <f>IFERROR(__xludf.DUMMYFUNCTION("""COMPUTED_VALUE"""),5.59)</f>
        <v>5.59</v>
      </c>
      <c r="F104">
        <f>IFERROR(__xludf.DUMMYFUNCTION("""COMPUTED_VALUE"""),7.4)</f>
        <v>7.4</v>
      </c>
      <c r="G104">
        <f>IFERROR(__xludf.DUMMYFUNCTION("""COMPUTED_VALUE"""),29.24)</f>
        <v>29.24</v>
      </c>
    </row>
    <row r="105">
      <c r="A105">
        <f>IFERROR(__xludf.DUMMYFUNCTION("""COMPUTED_VALUE"""),170145.0)</f>
        <v>170145</v>
      </c>
      <c r="B105" t="str">
        <f>IFERROR(__xludf.DUMMYFUNCTION("""COMPUTED_VALUE"""),"Breadfruit Nuts (Seeds)")</f>
        <v>Breadfruit Nuts (Seeds)</v>
      </c>
      <c r="C105" t="str">
        <f>IFERROR(__xludf.DUMMYFUNCTION("""COMPUTED_VALUE"""),"Nuts and Seeds")</f>
        <v>Nuts and Seeds</v>
      </c>
      <c r="D105">
        <f>IFERROR(__xludf.DUMMYFUNCTION("""COMPUTED_VALUE"""),168.0)</f>
        <v>168</v>
      </c>
      <c r="E105">
        <f>IFERROR(__xludf.DUMMYFUNCTION("""COMPUTED_VALUE"""),2.3)</f>
        <v>2.3</v>
      </c>
      <c r="F105">
        <f>IFERROR(__xludf.DUMMYFUNCTION("""COMPUTED_VALUE"""),5.3)</f>
        <v>5.3</v>
      </c>
      <c r="G105">
        <f>IFERROR(__xludf.DUMMYFUNCTION("""COMPUTED_VALUE"""),32.0)</f>
        <v>32</v>
      </c>
    </row>
    <row r="106">
      <c r="A106">
        <f>IFERROR(__xludf.DUMMYFUNCTION("""COMPUTED_VALUE"""),170146.0)</f>
        <v>170146</v>
      </c>
      <c r="B106" t="str">
        <f>IFERROR(__xludf.DUMMYFUNCTION("""COMPUTED_VALUE"""),"Seeds Cottonseed Flour Low Fat (Glandless)")</f>
        <v>Seeds Cottonseed Flour Low Fat (Glandless)</v>
      </c>
      <c r="C106" t="str">
        <f>IFERROR(__xludf.DUMMYFUNCTION("""COMPUTED_VALUE"""),"Nuts and Seeds")</f>
        <v>Nuts and Seeds</v>
      </c>
      <c r="D106">
        <f>IFERROR(__xludf.DUMMYFUNCTION("""COMPUTED_VALUE"""),332.0)</f>
        <v>332</v>
      </c>
      <c r="E106">
        <f>IFERROR(__xludf.DUMMYFUNCTION("""COMPUTED_VALUE"""),1.41)</f>
        <v>1.41</v>
      </c>
      <c r="F106">
        <f>IFERROR(__xludf.DUMMYFUNCTION("""COMPUTED_VALUE"""),49.83)</f>
        <v>49.83</v>
      </c>
      <c r="G106">
        <f>IFERROR(__xludf.DUMMYFUNCTION("""COMPUTED_VALUE"""),36.1)</f>
        <v>36.1</v>
      </c>
    </row>
    <row r="107">
      <c r="A107">
        <f>IFERROR(__xludf.DUMMYFUNCTION("""COMPUTED_VALUE"""),170147.0)</f>
        <v>170147</v>
      </c>
      <c r="B107" t="str">
        <f>IFERROR(__xludf.DUMMYFUNCTION("""COMPUTED_VALUE"""),"Seeds Cottonseed Meal Partially Defatted (Glandless)")</f>
        <v>Seeds Cottonseed Meal Partially Defatted (Glandless)</v>
      </c>
      <c r="C107" t="str">
        <f>IFERROR(__xludf.DUMMYFUNCTION("""COMPUTED_VALUE"""),"Nuts and Seeds")</f>
        <v>Nuts and Seeds</v>
      </c>
      <c r="D107">
        <f>IFERROR(__xludf.DUMMYFUNCTION("""COMPUTED_VALUE"""),367.0)</f>
        <v>367</v>
      </c>
      <c r="E107">
        <f>IFERROR(__xludf.DUMMYFUNCTION("""COMPUTED_VALUE"""),4.77)</f>
        <v>4.77</v>
      </c>
      <c r="F107">
        <f>IFERROR(__xludf.DUMMYFUNCTION("""COMPUTED_VALUE"""),49.1)</f>
        <v>49.1</v>
      </c>
      <c r="G107">
        <f>IFERROR(__xludf.DUMMYFUNCTION("""COMPUTED_VALUE"""),38.43)</f>
        <v>38.43</v>
      </c>
    </row>
    <row r="108">
      <c r="A108">
        <f>IFERROR(__xludf.DUMMYFUNCTION("""COMPUTED_VALUE"""),170148.0)</f>
        <v>170148</v>
      </c>
      <c r="B108" t="str">
        <f>IFERROR(__xludf.DUMMYFUNCTION("""COMPUTED_VALUE"""),"Hemp Seeds")</f>
        <v>Hemp Seeds</v>
      </c>
      <c r="C108" t="str">
        <f>IFERROR(__xludf.DUMMYFUNCTION("""COMPUTED_VALUE"""),"Nuts and Seeds")</f>
        <v>Nuts and Seeds</v>
      </c>
      <c r="D108">
        <f>IFERROR(__xludf.DUMMYFUNCTION("""COMPUTED_VALUE"""),553.0)</f>
        <v>553</v>
      </c>
      <c r="E108">
        <f>IFERROR(__xludf.DUMMYFUNCTION("""COMPUTED_VALUE"""),48.75)</f>
        <v>48.75</v>
      </c>
      <c r="F108">
        <f>IFERROR(__xludf.DUMMYFUNCTION("""COMPUTED_VALUE"""),31.56)</f>
        <v>31.56</v>
      </c>
      <c r="G108">
        <f>IFERROR(__xludf.DUMMYFUNCTION("""COMPUTED_VALUE"""),8.67)</f>
        <v>8.67</v>
      </c>
    </row>
    <row r="109">
      <c r="A109">
        <f>IFERROR(__xludf.DUMMYFUNCTION("""COMPUTED_VALUE"""),170149.0)</f>
        <v>170149</v>
      </c>
      <c r="B109" t="str">
        <f>IFERROR(__xludf.DUMMYFUNCTION("""COMPUTED_VALUE"""),"Dried Lotus Seeds")</f>
        <v>Dried Lotus Seeds</v>
      </c>
      <c r="C109" t="str">
        <f>IFERROR(__xludf.DUMMYFUNCTION("""COMPUTED_VALUE"""),"Nuts and Seeds")</f>
        <v>Nuts and Seeds</v>
      </c>
      <c r="D109">
        <f>IFERROR(__xludf.DUMMYFUNCTION("""COMPUTED_VALUE"""),332.0)</f>
        <v>332</v>
      </c>
      <c r="E109">
        <f>IFERROR(__xludf.DUMMYFUNCTION("""COMPUTED_VALUE"""),1.97)</f>
        <v>1.97</v>
      </c>
      <c r="F109">
        <f>IFERROR(__xludf.DUMMYFUNCTION("""COMPUTED_VALUE"""),15.41)</f>
        <v>15.41</v>
      </c>
      <c r="G109">
        <f>IFERROR(__xludf.DUMMYFUNCTION("""COMPUTED_VALUE"""),64.47)</f>
        <v>64.47</v>
      </c>
    </row>
    <row r="110">
      <c r="A110">
        <f>IFERROR(__xludf.DUMMYFUNCTION("""COMPUTED_VALUE"""),170150.0)</f>
        <v>170150</v>
      </c>
      <c r="B110" t="str">
        <f>IFERROR(__xludf.DUMMYFUNCTION("""COMPUTED_VALUE"""),"Seeds Sesame Seeds Whole Dried")</f>
        <v>Seeds Sesame Seeds Whole Dried</v>
      </c>
      <c r="C110" t="str">
        <f>IFERROR(__xludf.DUMMYFUNCTION("""COMPUTED_VALUE"""),"Nuts and Seeds")</f>
        <v>Nuts and Seeds</v>
      </c>
      <c r="D110">
        <f>IFERROR(__xludf.DUMMYFUNCTION("""COMPUTED_VALUE"""),573.0)</f>
        <v>573</v>
      </c>
      <c r="E110">
        <f>IFERROR(__xludf.DUMMYFUNCTION("""COMPUTED_VALUE"""),49.67)</f>
        <v>49.67</v>
      </c>
      <c r="F110">
        <f>IFERROR(__xludf.DUMMYFUNCTION("""COMPUTED_VALUE"""),17.73)</f>
        <v>17.73</v>
      </c>
      <c r="G110">
        <f>IFERROR(__xludf.DUMMYFUNCTION("""COMPUTED_VALUE"""),23.45)</f>
        <v>23.45</v>
      </c>
    </row>
    <row r="111">
      <c r="A111">
        <f>IFERROR(__xludf.DUMMYFUNCTION("""COMPUTED_VALUE"""),170151.0)</f>
        <v>170151</v>
      </c>
      <c r="B111" t="str">
        <f>IFERROR(__xludf.DUMMYFUNCTION("""COMPUTED_VALUE"""),"Sesame Seeds (Toasted)")</f>
        <v>Sesame Seeds (Toasted)</v>
      </c>
      <c r="C111" t="str">
        <f>IFERROR(__xludf.DUMMYFUNCTION("""COMPUTED_VALUE"""),"Nuts and Seeds")</f>
        <v>Nuts and Seeds</v>
      </c>
      <c r="D111">
        <f>IFERROR(__xludf.DUMMYFUNCTION("""COMPUTED_VALUE"""),565.0)</f>
        <v>565</v>
      </c>
      <c r="E111">
        <f>IFERROR(__xludf.DUMMYFUNCTION("""COMPUTED_VALUE"""),48.0)</f>
        <v>48</v>
      </c>
      <c r="F111">
        <f>IFERROR(__xludf.DUMMYFUNCTION("""COMPUTED_VALUE"""),16.96)</f>
        <v>16.96</v>
      </c>
      <c r="G111">
        <f>IFERROR(__xludf.DUMMYFUNCTION("""COMPUTED_VALUE"""),25.74)</f>
        <v>25.74</v>
      </c>
    </row>
    <row r="112">
      <c r="A112">
        <f>IFERROR(__xludf.DUMMYFUNCTION("""COMPUTED_VALUE"""),170152.0)</f>
        <v>170152</v>
      </c>
      <c r="B112" t="str">
        <f>IFERROR(__xludf.DUMMYFUNCTION("""COMPUTED_VALUE"""),"Seeds Sesame Seed Kernels Toasted Without Salt Added (Decorticated)")</f>
        <v>Seeds Sesame Seed Kernels Toasted Without Salt Added (Decorticated)</v>
      </c>
      <c r="C112" t="str">
        <f>IFERROR(__xludf.DUMMYFUNCTION("""COMPUTED_VALUE"""),"Nuts and Seeds")</f>
        <v>Nuts and Seeds</v>
      </c>
      <c r="D112">
        <f>IFERROR(__xludf.DUMMYFUNCTION("""COMPUTED_VALUE"""),567.0)</f>
        <v>567</v>
      </c>
      <c r="E112">
        <f>IFERROR(__xludf.DUMMYFUNCTION("""COMPUTED_VALUE"""),48.0)</f>
        <v>48</v>
      </c>
      <c r="F112">
        <f>IFERROR(__xludf.DUMMYFUNCTION("""COMPUTED_VALUE"""),16.96)</f>
        <v>16.96</v>
      </c>
      <c r="G112">
        <f>IFERROR(__xludf.DUMMYFUNCTION("""COMPUTED_VALUE"""),26.04)</f>
        <v>26.04</v>
      </c>
    </row>
    <row r="113">
      <c r="A113">
        <f>IFERROR(__xludf.DUMMYFUNCTION("""COMPUTED_VALUE"""),170153.0)</f>
        <v>170153</v>
      </c>
      <c r="B113" t="str">
        <f>IFERROR(__xludf.DUMMYFUNCTION("""COMPUTED_VALUE"""),"Seeds Sesame Flour Partially Defatted")</f>
        <v>Seeds Sesame Flour Partially Defatted</v>
      </c>
      <c r="C113" t="str">
        <f>IFERROR(__xludf.DUMMYFUNCTION("""COMPUTED_VALUE"""),"Nuts and Seeds")</f>
        <v>Nuts and Seeds</v>
      </c>
      <c r="D113">
        <f>IFERROR(__xludf.DUMMYFUNCTION("""COMPUTED_VALUE"""),382.0)</f>
        <v>382</v>
      </c>
      <c r="E113">
        <f>IFERROR(__xludf.DUMMYFUNCTION("""COMPUTED_VALUE"""),11.89)</f>
        <v>11.89</v>
      </c>
      <c r="F113">
        <f>IFERROR(__xludf.DUMMYFUNCTION("""COMPUTED_VALUE"""),40.32)</f>
        <v>40.32</v>
      </c>
      <c r="G113">
        <f>IFERROR(__xludf.DUMMYFUNCTION("""COMPUTED_VALUE"""),35.14)</f>
        <v>35.14</v>
      </c>
    </row>
    <row r="114">
      <c r="A114">
        <f>IFERROR(__xludf.DUMMYFUNCTION("""COMPUTED_VALUE"""),170154.0)</f>
        <v>170154</v>
      </c>
      <c r="B114" t="str">
        <f>IFERROR(__xludf.DUMMYFUNCTION("""COMPUTED_VALUE"""),"Seeds Sunflower Seed Kernels Toasted Without Salt")</f>
        <v>Seeds Sunflower Seed Kernels Toasted Without Salt</v>
      </c>
      <c r="C114" t="str">
        <f>IFERROR(__xludf.DUMMYFUNCTION("""COMPUTED_VALUE"""),"Nuts and Seeds")</f>
        <v>Nuts and Seeds</v>
      </c>
      <c r="D114">
        <f>IFERROR(__xludf.DUMMYFUNCTION("""COMPUTED_VALUE"""),619.0)</f>
        <v>619</v>
      </c>
      <c r="E114">
        <f>IFERROR(__xludf.DUMMYFUNCTION("""COMPUTED_VALUE"""),56.8)</f>
        <v>56.8</v>
      </c>
      <c r="F114">
        <f>IFERROR(__xludf.DUMMYFUNCTION("""COMPUTED_VALUE"""),17.21)</f>
        <v>17.21</v>
      </c>
      <c r="G114">
        <f>IFERROR(__xludf.DUMMYFUNCTION("""COMPUTED_VALUE"""),20.59)</f>
        <v>20.59</v>
      </c>
    </row>
    <row r="115">
      <c r="A115">
        <f>IFERROR(__xludf.DUMMYFUNCTION("""COMPUTED_VALUE"""),170155.0)</f>
        <v>170155</v>
      </c>
      <c r="B115" t="str">
        <f>IFERROR(__xludf.DUMMYFUNCTION("""COMPUTED_VALUE"""),"Seeds Sunflower Seed Butter Without Salt")</f>
        <v>Seeds Sunflower Seed Butter Without Salt</v>
      </c>
      <c r="C115" t="str">
        <f>IFERROR(__xludf.DUMMYFUNCTION("""COMPUTED_VALUE"""),"Nuts and Seeds")</f>
        <v>Nuts and Seeds</v>
      </c>
      <c r="D115">
        <f>IFERROR(__xludf.DUMMYFUNCTION("""COMPUTED_VALUE"""),617.0)</f>
        <v>617</v>
      </c>
      <c r="E115">
        <f>IFERROR(__xludf.DUMMYFUNCTION("""COMPUTED_VALUE"""),55.2)</f>
        <v>55.2</v>
      </c>
      <c r="F115">
        <f>IFERROR(__xludf.DUMMYFUNCTION("""COMPUTED_VALUE"""),17.28)</f>
        <v>17.28</v>
      </c>
      <c r="G115">
        <f>IFERROR(__xludf.DUMMYFUNCTION("""COMPUTED_VALUE"""),23.32)</f>
        <v>23.32</v>
      </c>
    </row>
    <row r="116">
      <c r="A116">
        <f>IFERROR(__xludf.DUMMYFUNCTION("""COMPUTED_VALUE"""),170156.0)</f>
        <v>170156</v>
      </c>
      <c r="B116" t="str">
        <f>IFERROR(__xludf.DUMMYFUNCTION("""COMPUTED_VALUE"""),"Seeds Sunflower Seed Flour Partially Defatted")</f>
        <v>Seeds Sunflower Seed Flour Partially Defatted</v>
      </c>
      <c r="C116" t="str">
        <f>IFERROR(__xludf.DUMMYFUNCTION("""COMPUTED_VALUE"""),"Nuts and Seeds")</f>
        <v>Nuts and Seeds</v>
      </c>
      <c r="D116">
        <f>IFERROR(__xludf.DUMMYFUNCTION("""COMPUTED_VALUE"""),326.0)</f>
        <v>326</v>
      </c>
      <c r="E116">
        <f>IFERROR(__xludf.DUMMYFUNCTION("""COMPUTED_VALUE"""),1.61)</f>
        <v>1.61</v>
      </c>
      <c r="F116">
        <f>IFERROR(__xludf.DUMMYFUNCTION("""COMPUTED_VALUE"""),48.06)</f>
        <v>48.06</v>
      </c>
      <c r="G116">
        <f>IFERROR(__xludf.DUMMYFUNCTION("""COMPUTED_VALUE"""),35.83)</f>
        <v>35.83</v>
      </c>
    </row>
    <row r="117">
      <c r="A117">
        <f>IFERROR(__xludf.DUMMYFUNCTION("""COMPUTED_VALUE"""),170157.0)</f>
        <v>170157</v>
      </c>
      <c r="B117" t="str">
        <f>IFERROR(__xludf.DUMMYFUNCTION("""COMPUTED_VALUE"""),"Nuts Acorns Raw")</f>
        <v>Nuts Acorns Raw</v>
      </c>
      <c r="C117" t="str">
        <f>IFERROR(__xludf.DUMMYFUNCTION("""COMPUTED_VALUE"""),"Nuts and Seeds")</f>
        <v>Nuts and Seeds</v>
      </c>
      <c r="D117">
        <f>IFERROR(__xludf.DUMMYFUNCTION("""COMPUTED_VALUE"""),387.0)</f>
        <v>387</v>
      </c>
      <c r="E117">
        <f>IFERROR(__xludf.DUMMYFUNCTION("""COMPUTED_VALUE"""),23.86)</f>
        <v>23.86</v>
      </c>
      <c r="F117">
        <f>IFERROR(__xludf.DUMMYFUNCTION("""COMPUTED_VALUE"""),6.15)</f>
        <v>6.15</v>
      </c>
      <c r="G117">
        <f>IFERROR(__xludf.DUMMYFUNCTION("""COMPUTED_VALUE"""),40.75)</f>
        <v>40.75</v>
      </c>
    </row>
    <row r="118">
      <c r="A118">
        <f>IFERROR(__xludf.DUMMYFUNCTION("""COMPUTED_VALUE"""),170158.0)</f>
        <v>170158</v>
      </c>
      <c r="B118" t="str">
        <f>IFERROR(__xludf.DUMMYFUNCTION("""COMPUTED_VALUE"""),"Dry Roasted Almonds")</f>
        <v>Dry Roasted Almonds</v>
      </c>
      <c r="C118" t="str">
        <f>IFERROR(__xludf.DUMMYFUNCTION("""COMPUTED_VALUE"""),"Nuts and Seeds")</f>
        <v>Nuts and Seeds</v>
      </c>
      <c r="D118">
        <f>IFERROR(__xludf.DUMMYFUNCTION("""COMPUTED_VALUE"""),598.0)</f>
        <v>598</v>
      </c>
      <c r="E118">
        <f>IFERROR(__xludf.DUMMYFUNCTION("""COMPUTED_VALUE"""),52.54)</f>
        <v>52.54</v>
      </c>
      <c r="F118">
        <f>IFERROR(__xludf.DUMMYFUNCTION("""COMPUTED_VALUE"""),20.96)</f>
        <v>20.96</v>
      </c>
      <c r="G118">
        <f>IFERROR(__xludf.DUMMYFUNCTION("""COMPUTED_VALUE"""),21.01)</f>
        <v>21.01</v>
      </c>
    </row>
    <row r="119">
      <c r="A119">
        <f>IFERROR(__xludf.DUMMYFUNCTION("""COMPUTED_VALUE"""),170159.0)</f>
        <v>170159</v>
      </c>
      <c r="B119" t="str">
        <f>IFERROR(__xludf.DUMMYFUNCTION("""COMPUTED_VALUE"""),"Nuts Almonds Oil Roasted Without Salt Added")</f>
        <v>Nuts Almonds Oil Roasted Without Salt Added</v>
      </c>
      <c r="C119" t="str">
        <f>IFERROR(__xludf.DUMMYFUNCTION("""COMPUTED_VALUE"""),"Nuts and Seeds")</f>
        <v>Nuts and Seeds</v>
      </c>
      <c r="D119">
        <f>IFERROR(__xludf.DUMMYFUNCTION("""COMPUTED_VALUE"""),607.0)</f>
        <v>607</v>
      </c>
      <c r="E119">
        <f>IFERROR(__xludf.DUMMYFUNCTION("""COMPUTED_VALUE"""),55.17)</f>
        <v>55.17</v>
      </c>
      <c r="F119">
        <f>IFERROR(__xludf.DUMMYFUNCTION("""COMPUTED_VALUE"""),21.23)</f>
        <v>21.23</v>
      </c>
      <c r="G119">
        <f>IFERROR(__xludf.DUMMYFUNCTION("""COMPUTED_VALUE"""),17.68)</f>
        <v>17.68</v>
      </c>
    </row>
    <row r="120">
      <c r="A120">
        <f>IFERROR(__xludf.DUMMYFUNCTION("""COMPUTED_VALUE"""),170160.0)</f>
        <v>170160</v>
      </c>
      <c r="B120" t="str">
        <f>IFERROR(__xludf.DUMMYFUNCTION("""COMPUTED_VALUE"""),"Almond Paste")</f>
        <v>Almond Paste</v>
      </c>
      <c r="C120" t="str">
        <f>IFERROR(__xludf.DUMMYFUNCTION("""COMPUTED_VALUE"""),"Nuts and Seeds")</f>
        <v>Nuts and Seeds</v>
      </c>
      <c r="D120">
        <f>IFERROR(__xludf.DUMMYFUNCTION("""COMPUTED_VALUE"""),458.0)</f>
        <v>458</v>
      </c>
      <c r="E120">
        <f>IFERROR(__xludf.DUMMYFUNCTION("""COMPUTED_VALUE"""),27.74)</f>
        <v>27.74</v>
      </c>
      <c r="F120">
        <f>IFERROR(__xludf.DUMMYFUNCTION("""COMPUTED_VALUE"""),9.0)</f>
        <v>9</v>
      </c>
      <c r="G120">
        <f>IFERROR(__xludf.DUMMYFUNCTION("""COMPUTED_VALUE"""),47.81)</f>
        <v>47.81</v>
      </c>
    </row>
    <row r="121">
      <c r="A121">
        <f>IFERROR(__xludf.DUMMYFUNCTION("""COMPUTED_VALUE"""),170161.0)</f>
        <v>170161</v>
      </c>
      <c r="B121" t="str">
        <f>IFERROR(__xludf.DUMMYFUNCTION("""COMPUTED_VALUE"""),"Dried Beechnuts")</f>
        <v>Dried Beechnuts</v>
      </c>
      <c r="C121" t="str">
        <f>IFERROR(__xludf.DUMMYFUNCTION("""COMPUTED_VALUE"""),"Nuts and Seeds")</f>
        <v>Nuts and Seeds</v>
      </c>
      <c r="D121">
        <f>IFERROR(__xludf.DUMMYFUNCTION("""COMPUTED_VALUE"""),576.0)</f>
        <v>576</v>
      </c>
      <c r="E121">
        <f>IFERROR(__xludf.DUMMYFUNCTION("""COMPUTED_VALUE"""),50.0)</f>
        <v>50</v>
      </c>
      <c r="F121">
        <f>IFERROR(__xludf.DUMMYFUNCTION("""COMPUTED_VALUE"""),6.2)</f>
        <v>6.2</v>
      </c>
      <c r="G121">
        <f>IFERROR(__xludf.DUMMYFUNCTION("""COMPUTED_VALUE"""),33.5)</f>
        <v>33.5</v>
      </c>
    </row>
    <row r="122">
      <c r="A122">
        <f>IFERROR(__xludf.DUMMYFUNCTION("""COMPUTED_VALUE"""),170162.0)</f>
        <v>170162</v>
      </c>
      <c r="B122" t="str">
        <f>IFERROR(__xludf.DUMMYFUNCTION("""COMPUTED_VALUE"""),"Cashews (Raw)")</f>
        <v>Cashews (Raw)</v>
      </c>
      <c r="C122" t="str">
        <f>IFERROR(__xludf.DUMMYFUNCTION("""COMPUTED_VALUE"""),"Nuts and Seeds")</f>
        <v>Nuts and Seeds</v>
      </c>
      <c r="D122">
        <f>IFERROR(__xludf.DUMMYFUNCTION("""COMPUTED_VALUE"""),553.0)</f>
        <v>553</v>
      </c>
      <c r="E122">
        <f>IFERROR(__xludf.DUMMYFUNCTION("""COMPUTED_VALUE"""),43.85)</f>
        <v>43.85</v>
      </c>
      <c r="F122">
        <f>IFERROR(__xludf.DUMMYFUNCTION("""COMPUTED_VALUE"""),18.22)</f>
        <v>18.22</v>
      </c>
      <c r="G122">
        <f>IFERROR(__xludf.DUMMYFUNCTION("""COMPUTED_VALUE"""),30.19)</f>
        <v>30.19</v>
      </c>
    </row>
    <row r="123">
      <c r="A123">
        <f>IFERROR(__xludf.DUMMYFUNCTION("""COMPUTED_VALUE"""),170163.0)</f>
        <v>170163</v>
      </c>
      <c r="B123" t="str">
        <f>IFERROR(__xludf.DUMMYFUNCTION("""COMPUTED_VALUE"""),"Cashew Butter")</f>
        <v>Cashew Butter</v>
      </c>
      <c r="C123" t="str">
        <f>IFERROR(__xludf.DUMMYFUNCTION("""COMPUTED_VALUE"""),"Nuts and Seeds")</f>
        <v>Nuts and Seeds</v>
      </c>
      <c r="D123">
        <f>IFERROR(__xludf.DUMMYFUNCTION("""COMPUTED_VALUE"""),587.0)</f>
        <v>587</v>
      </c>
      <c r="E123">
        <f>IFERROR(__xludf.DUMMYFUNCTION("""COMPUTED_VALUE"""),49.41)</f>
        <v>49.41</v>
      </c>
      <c r="F123">
        <f>IFERROR(__xludf.DUMMYFUNCTION("""COMPUTED_VALUE"""),17.56)</f>
        <v>17.56</v>
      </c>
      <c r="G123">
        <f>IFERROR(__xludf.DUMMYFUNCTION("""COMPUTED_VALUE"""),27.57)</f>
        <v>27.57</v>
      </c>
    </row>
    <row r="124">
      <c r="A124">
        <f>IFERROR(__xludf.DUMMYFUNCTION("""COMPUTED_VALUE"""),170164.0)</f>
        <v>170164</v>
      </c>
      <c r="B124" t="str">
        <f>IFERROR(__xludf.DUMMYFUNCTION("""COMPUTED_VALUE"""),"Chinese Chestnuts")</f>
        <v>Chinese Chestnuts</v>
      </c>
      <c r="C124" t="str">
        <f>IFERROR(__xludf.DUMMYFUNCTION("""COMPUTED_VALUE"""),"Nuts and Seeds")</f>
        <v>Nuts and Seeds</v>
      </c>
      <c r="D124">
        <f>IFERROR(__xludf.DUMMYFUNCTION("""COMPUTED_VALUE"""),224.0)</f>
        <v>224</v>
      </c>
      <c r="E124">
        <f>IFERROR(__xludf.DUMMYFUNCTION("""COMPUTED_VALUE"""),1.11)</f>
        <v>1.11</v>
      </c>
      <c r="F124">
        <f>IFERROR(__xludf.DUMMYFUNCTION("""COMPUTED_VALUE"""),4.2)</f>
        <v>4.2</v>
      </c>
      <c r="G124">
        <f>IFERROR(__xludf.DUMMYFUNCTION("""COMPUTED_VALUE"""),49.07)</f>
        <v>49.07</v>
      </c>
    </row>
    <row r="125">
      <c r="A125">
        <f>IFERROR(__xludf.DUMMYFUNCTION("""COMPUTED_VALUE"""),170165.0)</f>
        <v>170165</v>
      </c>
      <c r="B125" t="str">
        <f>IFERROR(__xludf.DUMMYFUNCTION("""COMPUTED_VALUE"""),"Dried Chinese Chestnuts")</f>
        <v>Dried Chinese Chestnuts</v>
      </c>
      <c r="C125" t="str">
        <f>IFERROR(__xludf.DUMMYFUNCTION("""COMPUTED_VALUE"""),"Nuts and Seeds")</f>
        <v>Nuts and Seeds</v>
      </c>
      <c r="D125">
        <f>IFERROR(__xludf.DUMMYFUNCTION("""COMPUTED_VALUE"""),363.0)</f>
        <v>363</v>
      </c>
      <c r="E125">
        <f>IFERROR(__xludf.DUMMYFUNCTION("""COMPUTED_VALUE"""),1.81)</f>
        <v>1.81</v>
      </c>
      <c r="F125">
        <f>IFERROR(__xludf.DUMMYFUNCTION("""COMPUTED_VALUE"""),6.82)</f>
        <v>6.82</v>
      </c>
      <c r="G125">
        <f>IFERROR(__xludf.DUMMYFUNCTION("""COMPUTED_VALUE"""),79.76)</f>
        <v>79.76</v>
      </c>
    </row>
    <row r="126">
      <c r="A126">
        <f>IFERROR(__xludf.DUMMYFUNCTION("""COMPUTED_VALUE"""),170166.0)</f>
        <v>170166</v>
      </c>
      <c r="B126" t="str">
        <f>IFERROR(__xludf.DUMMYFUNCTION("""COMPUTED_VALUE"""),"Boiled Chinese Chestnuts")</f>
        <v>Boiled Chinese Chestnuts</v>
      </c>
      <c r="C126" t="str">
        <f>IFERROR(__xludf.DUMMYFUNCTION("""COMPUTED_VALUE"""),"Nuts and Seeds")</f>
        <v>Nuts and Seeds</v>
      </c>
      <c r="D126">
        <f>IFERROR(__xludf.DUMMYFUNCTION("""COMPUTED_VALUE"""),153.0)</f>
        <v>153</v>
      </c>
      <c r="E126">
        <f>IFERROR(__xludf.DUMMYFUNCTION("""COMPUTED_VALUE"""),0.76)</f>
        <v>0.76</v>
      </c>
      <c r="F126">
        <f>IFERROR(__xludf.DUMMYFUNCTION("""COMPUTED_VALUE"""),2.88)</f>
        <v>2.88</v>
      </c>
      <c r="G126">
        <f>IFERROR(__xludf.DUMMYFUNCTION("""COMPUTED_VALUE"""),33.64)</f>
        <v>33.64</v>
      </c>
    </row>
    <row r="127">
      <c r="A127">
        <f>IFERROR(__xludf.DUMMYFUNCTION("""COMPUTED_VALUE"""),170167.0)</f>
        <v>170167</v>
      </c>
      <c r="B127" t="str">
        <f>IFERROR(__xludf.DUMMYFUNCTION("""COMPUTED_VALUE"""),"Nuts Chestnuts European Dried Peeled")</f>
        <v>Nuts Chestnuts European Dried Peeled</v>
      </c>
      <c r="C127" t="str">
        <f>IFERROR(__xludf.DUMMYFUNCTION("""COMPUTED_VALUE"""),"Nuts and Seeds")</f>
        <v>Nuts and Seeds</v>
      </c>
      <c r="D127">
        <f>IFERROR(__xludf.DUMMYFUNCTION("""COMPUTED_VALUE"""),369.0)</f>
        <v>369</v>
      </c>
      <c r="E127">
        <f>IFERROR(__xludf.DUMMYFUNCTION("""COMPUTED_VALUE"""),3.91)</f>
        <v>3.91</v>
      </c>
      <c r="F127">
        <f>IFERROR(__xludf.DUMMYFUNCTION("""COMPUTED_VALUE"""),5.01)</f>
        <v>5.01</v>
      </c>
      <c r="G127">
        <f>IFERROR(__xludf.DUMMYFUNCTION("""COMPUTED_VALUE"""),78.43)</f>
        <v>78.43</v>
      </c>
    </row>
    <row r="128">
      <c r="A128">
        <f>IFERROR(__xludf.DUMMYFUNCTION("""COMPUTED_VALUE"""),170168.0)</f>
        <v>170168</v>
      </c>
      <c r="B128" t="str">
        <f>IFERROR(__xludf.DUMMYFUNCTION("""COMPUTED_VALUE"""),"Boiled Chestnuts")</f>
        <v>Boiled Chestnuts</v>
      </c>
      <c r="C128" t="str">
        <f>IFERROR(__xludf.DUMMYFUNCTION("""COMPUTED_VALUE"""),"Nuts and Seeds")</f>
        <v>Nuts and Seeds</v>
      </c>
      <c r="D128">
        <f>IFERROR(__xludf.DUMMYFUNCTION("""COMPUTED_VALUE"""),131.0)</f>
        <v>131</v>
      </c>
      <c r="E128">
        <f>IFERROR(__xludf.DUMMYFUNCTION("""COMPUTED_VALUE"""),1.38)</f>
        <v>1.38</v>
      </c>
      <c r="F128">
        <f>IFERROR(__xludf.DUMMYFUNCTION("""COMPUTED_VALUE"""),2.0)</f>
        <v>2</v>
      </c>
      <c r="G128">
        <f>IFERROR(__xludf.DUMMYFUNCTION("""COMPUTED_VALUE"""),27.76)</f>
        <v>27.76</v>
      </c>
    </row>
    <row r="129">
      <c r="A129">
        <f>IFERROR(__xludf.DUMMYFUNCTION("""COMPUTED_VALUE"""),170169.0)</f>
        <v>170169</v>
      </c>
      <c r="B129" t="str">
        <f>IFERROR(__xludf.DUMMYFUNCTION("""COMPUTED_VALUE"""),"Nuts Coconut Meat Raw")</f>
        <v>Nuts Coconut Meat Raw</v>
      </c>
      <c r="C129" t="str">
        <f>IFERROR(__xludf.DUMMYFUNCTION("""COMPUTED_VALUE"""),"Nuts and Seeds")</f>
        <v>Nuts and Seeds</v>
      </c>
      <c r="D129">
        <f>IFERROR(__xludf.DUMMYFUNCTION("""COMPUTED_VALUE"""),354.0)</f>
        <v>354</v>
      </c>
      <c r="E129">
        <f>IFERROR(__xludf.DUMMYFUNCTION("""COMPUTED_VALUE"""),33.49)</f>
        <v>33.49</v>
      </c>
      <c r="F129">
        <f>IFERROR(__xludf.DUMMYFUNCTION("""COMPUTED_VALUE"""),3.33)</f>
        <v>3.33</v>
      </c>
      <c r="G129">
        <f>IFERROR(__xludf.DUMMYFUNCTION("""COMPUTED_VALUE"""),15.23)</f>
        <v>15.23</v>
      </c>
    </row>
    <row r="130">
      <c r="A130">
        <f>IFERROR(__xludf.DUMMYFUNCTION("""COMPUTED_VALUE"""),170170.0)</f>
        <v>170170</v>
      </c>
      <c r="B130" t="str">
        <f>IFERROR(__xludf.DUMMYFUNCTION("""COMPUTED_VALUE"""),"Dried Coconut (Unsweetened)")</f>
        <v>Dried Coconut (Unsweetened)</v>
      </c>
      <c r="C130" t="str">
        <f>IFERROR(__xludf.DUMMYFUNCTION("""COMPUTED_VALUE"""),"Nuts and Seeds")</f>
        <v>Nuts and Seeds</v>
      </c>
      <c r="D130">
        <f>IFERROR(__xludf.DUMMYFUNCTION("""COMPUTED_VALUE"""),660.0)</f>
        <v>660</v>
      </c>
      <c r="E130">
        <f>IFERROR(__xludf.DUMMYFUNCTION("""COMPUTED_VALUE"""),64.53)</f>
        <v>64.53</v>
      </c>
      <c r="F130">
        <f>IFERROR(__xludf.DUMMYFUNCTION("""COMPUTED_VALUE"""),6.88)</f>
        <v>6.88</v>
      </c>
      <c r="G130">
        <f>IFERROR(__xludf.DUMMYFUNCTION("""COMPUTED_VALUE"""),23.65)</f>
        <v>23.65</v>
      </c>
    </row>
    <row r="131">
      <c r="A131">
        <f>IFERROR(__xludf.DUMMYFUNCTION("""COMPUTED_VALUE"""),170171.0)</f>
        <v>170171</v>
      </c>
      <c r="B131" t="str">
        <f>IFERROR(__xludf.DUMMYFUNCTION("""COMPUTED_VALUE"""),"Nuts Coconut Cream Canned Sweetened")</f>
        <v>Nuts Coconut Cream Canned Sweetened</v>
      </c>
      <c r="C131" t="str">
        <f>IFERROR(__xludf.DUMMYFUNCTION("""COMPUTED_VALUE"""),"Nuts and Seeds")</f>
        <v>Nuts and Seeds</v>
      </c>
      <c r="D131">
        <f>IFERROR(__xludf.DUMMYFUNCTION("""COMPUTED_VALUE"""),357.0)</f>
        <v>357</v>
      </c>
      <c r="E131">
        <f>IFERROR(__xludf.DUMMYFUNCTION("""COMPUTED_VALUE"""),16.31)</f>
        <v>16.31</v>
      </c>
      <c r="F131">
        <f>IFERROR(__xludf.DUMMYFUNCTION("""COMPUTED_VALUE"""),1.17)</f>
        <v>1.17</v>
      </c>
      <c r="G131">
        <f>IFERROR(__xludf.DUMMYFUNCTION("""COMPUTED_VALUE"""),53.21)</f>
        <v>53.21</v>
      </c>
    </row>
    <row r="132">
      <c r="A132">
        <f>IFERROR(__xludf.DUMMYFUNCTION("""COMPUTED_VALUE"""),170172.0)</f>
        <v>170172</v>
      </c>
      <c r="B132" t="str">
        <f>IFERROR(__xludf.DUMMYFUNCTION("""COMPUTED_VALUE"""),"Nuts Coconut Milk Raw (Liquid Expressed From Grated Meat And Water)")</f>
        <v>Nuts Coconut Milk Raw (Liquid Expressed From Grated Meat And Water)</v>
      </c>
      <c r="C132" t="str">
        <f>IFERROR(__xludf.DUMMYFUNCTION("""COMPUTED_VALUE"""),"Nuts and Seeds")</f>
        <v>Nuts and Seeds</v>
      </c>
      <c r="D132">
        <f>IFERROR(__xludf.DUMMYFUNCTION("""COMPUTED_VALUE"""),230.0)</f>
        <v>230</v>
      </c>
      <c r="E132">
        <f>IFERROR(__xludf.DUMMYFUNCTION("""COMPUTED_VALUE"""),23.84)</f>
        <v>23.84</v>
      </c>
      <c r="F132">
        <f>IFERROR(__xludf.DUMMYFUNCTION("""COMPUTED_VALUE"""),2.29)</f>
        <v>2.29</v>
      </c>
      <c r="G132">
        <f>IFERROR(__xludf.DUMMYFUNCTION("""COMPUTED_VALUE"""),5.54)</f>
        <v>5.54</v>
      </c>
    </row>
    <row r="133">
      <c r="A133">
        <f>IFERROR(__xludf.DUMMYFUNCTION("""COMPUTED_VALUE"""),170173.0)</f>
        <v>170173</v>
      </c>
      <c r="B133" t="str">
        <f>IFERROR(__xludf.DUMMYFUNCTION("""COMPUTED_VALUE"""),"Coconut Milk")</f>
        <v>Coconut Milk</v>
      </c>
      <c r="C133" t="str">
        <f>IFERROR(__xludf.DUMMYFUNCTION("""COMPUTED_VALUE"""),"Nuts and Seeds")</f>
        <v>Nuts and Seeds</v>
      </c>
      <c r="D133">
        <f>IFERROR(__xludf.DUMMYFUNCTION("""COMPUTED_VALUE"""),197.0)</f>
        <v>197</v>
      </c>
      <c r="E133">
        <f>IFERROR(__xludf.DUMMYFUNCTION("""COMPUTED_VALUE"""),21.33)</f>
        <v>21.33</v>
      </c>
      <c r="F133">
        <f>IFERROR(__xludf.DUMMYFUNCTION("""COMPUTED_VALUE"""),2.02)</f>
        <v>2.02</v>
      </c>
      <c r="G133">
        <f>IFERROR(__xludf.DUMMYFUNCTION("""COMPUTED_VALUE"""),2.81)</f>
        <v>2.81</v>
      </c>
    </row>
    <row r="134">
      <c r="A134">
        <f>IFERROR(__xludf.DUMMYFUNCTION("""COMPUTED_VALUE"""),170174.0)</f>
        <v>170174</v>
      </c>
      <c r="B134" t="str">
        <f>IFERROR(__xludf.DUMMYFUNCTION("""COMPUTED_VALUE"""),"Coconut Water")</f>
        <v>Coconut Water</v>
      </c>
      <c r="C134" t="str">
        <f>IFERROR(__xludf.DUMMYFUNCTION("""COMPUTED_VALUE"""),"Nuts and Seeds")</f>
        <v>Nuts and Seeds</v>
      </c>
      <c r="D134">
        <f>IFERROR(__xludf.DUMMYFUNCTION("""COMPUTED_VALUE"""),19.0)</f>
        <v>19</v>
      </c>
      <c r="E134">
        <f>IFERROR(__xludf.DUMMYFUNCTION("""COMPUTED_VALUE"""),0.2)</f>
        <v>0.2</v>
      </c>
      <c r="F134">
        <f>IFERROR(__xludf.DUMMYFUNCTION("""COMPUTED_VALUE"""),0.72)</f>
        <v>0.72</v>
      </c>
      <c r="G134">
        <f>IFERROR(__xludf.DUMMYFUNCTION("""COMPUTED_VALUE"""),3.71)</f>
        <v>3.71</v>
      </c>
    </row>
    <row r="135">
      <c r="A135">
        <f>IFERROR(__xludf.DUMMYFUNCTION("""COMPUTED_VALUE"""),170175.0)</f>
        <v>170175</v>
      </c>
      <c r="B135" t="str">
        <f>IFERROR(__xludf.DUMMYFUNCTION("""COMPUTED_VALUE"""),"Dried Ginkgo Nuts")</f>
        <v>Dried Ginkgo Nuts</v>
      </c>
      <c r="C135" t="str">
        <f>IFERROR(__xludf.DUMMYFUNCTION("""COMPUTED_VALUE"""),"Nuts and Seeds")</f>
        <v>Nuts and Seeds</v>
      </c>
      <c r="D135">
        <f>IFERROR(__xludf.DUMMYFUNCTION("""COMPUTED_VALUE"""),348.0)</f>
        <v>348</v>
      </c>
      <c r="E135">
        <f>IFERROR(__xludf.DUMMYFUNCTION("""COMPUTED_VALUE"""),2.0)</f>
        <v>2</v>
      </c>
      <c r="F135">
        <f>IFERROR(__xludf.DUMMYFUNCTION("""COMPUTED_VALUE"""),10.35)</f>
        <v>10.35</v>
      </c>
      <c r="G135">
        <f>IFERROR(__xludf.DUMMYFUNCTION("""COMPUTED_VALUE"""),72.45)</f>
        <v>72.45</v>
      </c>
    </row>
    <row r="136">
      <c r="A136">
        <f>IFERROR(__xludf.DUMMYFUNCTION("""COMPUTED_VALUE"""),170176.0)</f>
        <v>170176</v>
      </c>
      <c r="B136" t="str">
        <f>IFERROR(__xludf.DUMMYFUNCTION("""COMPUTED_VALUE"""),"Nuts Ginkgo Nuts Canned")</f>
        <v>Nuts Ginkgo Nuts Canned</v>
      </c>
      <c r="C136" t="str">
        <f>IFERROR(__xludf.DUMMYFUNCTION("""COMPUTED_VALUE"""),"Nuts and Seeds")</f>
        <v>Nuts and Seeds</v>
      </c>
      <c r="D136">
        <f>IFERROR(__xludf.DUMMYFUNCTION("""COMPUTED_VALUE"""),111.0)</f>
        <v>111</v>
      </c>
      <c r="E136">
        <f>IFERROR(__xludf.DUMMYFUNCTION("""COMPUTED_VALUE"""),1.62)</f>
        <v>1.62</v>
      </c>
      <c r="F136">
        <f>IFERROR(__xludf.DUMMYFUNCTION("""COMPUTED_VALUE"""),2.29)</f>
        <v>2.29</v>
      </c>
      <c r="G136">
        <f>IFERROR(__xludf.DUMMYFUNCTION("""COMPUTED_VALUE"""),22.1)</f>
        <v>22.1</v>
      </c>
    </row>
    <row r="137">
      <c r="A137">
        <f>IFERROR(__xludf.DUMMYFUNCTION("""COMPUTED_VALUE"""),170177.0)</f>
        <v>170177</v>
      </c>
      <c r="B137" t="str">
        <f>IFERROR(__xludf.DUMMYFUNCTION("""COMPUTED_VALUE"""),"Dried Hickorynuts")</f>
        <v>Dried Hickorynuts</v>
      </c>
      <c r="C137" t="str">
        <f>IFERROR(__xludf.DUMMYFUNCTION("""COMPUTED_VALUE"""),"Nuts and Seeds")</f>
        <v>Nuts and Seeds</v>
      </c>
      <c r="D137">
        <f>IFERROR(__xludf.DUMMYFUNCTION("""COMPUTED_VALUE"""),657.0)</f>
        <v>657</v>
      </c>
      <c r="E137">
        <f>IFERROR(__xludf.DUMMYFUNCTION("""COMPUTED_VALUE"""),64.37)</f>
        <v>64.37</v>
      </c>
      <c r="F137">
        <f>IFERROR(__xludf.DUMMYFUNCTION("""COMPUTED_VALUE"""),12.72)</f>
        <v>12.72</v>
      </c>
      <c r="G137">
        <f>IFERROR(__xludf.DUMMYFUNCTION("""COMPUTED_VALUE"""),18.25)</f>
        <v>18.25</v>
      </c>
    </row>
    <row r="138">
      <c r="A138">
        <f>IFERROR(__xludf.DUMMYFUNCTION("""COMPUTED_VALUE"""),170178.0)</f>
        <v>170178</v>
      </c>
      <c r="B138" t="str">
        <f>IFERROR(__xludf.DUMMYFUNCTION("""COMPUTED_VALUE"""),"Macadamia Nuts")</f>
        <v>Macadamia Nuts</v>
      </c>
      <c r="C138" t="str">
        <f>IFERROR(__xludf.DUMMYFUNCTION("""COMPUTED_VALUE"""),"Nuts and Seeds")</f>
        <v>Nuts and Seeds</v>
      </c>
      <c r="D138">
        <f>IFERROR(__xludf.DUMMYFUNCTION("""COMPUTED_VALUE"""),718.0)</f>
        <v>718</v>
      </c>
      <c r="E138">
        <f>IFERROR(__xludf.DUMMYFUNCTION("""COMPUTED_VALUE"""),75.77)</f>
        <v>75.77</v>
      </c>
      <c r="F138">
        <f>IFERROR(__xludf.DUMMYFUNCTION("""COMPUTED_VALUE"""),7.91)</f>
        <v>7.91</v>
      </c>
      <c r="G138">
        <f>IFERROR(__xludf.DUMMYFUNCTION("""COMPUTED_VALUE"""),13.82)</f>
        <v>13.82</v>
      </c>
    </row>
    <row r="139">
      <c r="A139">
        <f>IFERROR(__xludf.DUMMYFUNCTION("""COMPUTED_VALUE"""),170179.0)</f>
        <v>170179</v>
      </c>
      <c r="B139" t="str">
        <f>IFERROR(__xludf.DUMMYFUNCTION("""COMPUTED_VALUE"""),"Dry Roasted Macadamia Nuts")</f>
        <v>Dry Roasted Macadamia Nuts</v>
      </c>
      <c r="C139" t="str">
        <f>IFERROR(__xludf.DUMMYFUNCTION("""COMPUTED_VALUE"""),"Nuts and Seeds")</f>
        <v>Nuts and Seeds</v>
      </c>
      <c r="D139">
        <f>IFERROR(__xludf.DUMMYFUNCTION("""COMPUTED_VALUE"""),718.0)</f>
        <v>718</v>
      </c>
      <c r="E139">
        <f>IFERROR(__xludf.DUMMYFUNCTION("""COMPUTED_VALUE"""),76.08)</f>
        <v>76.08</v>
      </c>
      <c r="F139">
        <f>IFERROR(__xludf.DUMMYFUNCTION("""COMPUTED_VALUE"""),7.79)</f>
        <v>7.79</v>
      </c>
      <c r="G139">
        <f>IFERROR(__xludf.DUMMYFUNCTION("""COMPUTED_VALUE"""),13.38)</f>
        <v>13.38</v>
      </c>
    </row>
    <row r="140">
      <c r="A140">
        <f>IFERROR(__xludf.DUMMYFUNCTION("""COMPUTED_VALUE"""),170180.0)</f>
        <v>170180</v>
      </c>
      <c r="B140" t="str">
        <f>IFERROR(__xludf.DUMMYFUNCTION("""COMPUTED_VALUE"""),"Nuts Formulated Wheat-Based Unflavored With Salt Added")</f>
        <v>Nuts Formulated Wheat-Based Unflavored With Salt Added</v>
      </c>
      <c r="C140" t="str">
        <f>IFERROR(__xludf.DUMMYFUNCTION("""COMPUTED_VALUE"""),"Nuts and Seeds")</f>
        <v>Nuts and Seeds</v>
      </c>
      <c r="D140">
        <f>IFERROR(__xludf.DUMMYFUNCTION("""COMPUTED_VALUE"""),622.0)</f>
        <v>622</v>
      </c>
      <c r="E140">
        <f>IFERROR(__xludf.DUMMYFUNCTION("""COMPUTED_VALUE"""),57.7)</f>
        <v>57.7</v>
      </c>
      <c r="F140">
        <f>IFERROR(__xludf.DUMMYFUNCTION("""COMPUTED_VALUE"""),13.82)</f>
        <v>13.82</v>
      </c>
      <c r="G140">
        <f>IFERROR(__xludf.DUMMYFUNCTION("""COMPUTED_VALUE"""),23.68)</f>
        <v>23.68</v>
      </c>
    </row>
    <row r="141">
      <c r="A141">
        <f>IFERROR(__xludf.DUMMYFUNCTION("""COMPUTED_VALUE"""),170181.0)</f>
        <v>170181</v>
      </c>
      <c r="B141" t="str">
        <f>IFERROR(__xludf.DUMMYFUNCTION("""COMPUTED_VALUE"""),"Nuts Mixed Nuts Dry Roasted With Peanuts Salt Added Chosen Roaster")</f>
        <v>Nuts Mixed Nuts Dry Roasted With Peanuts Salt Added Chosen Roaster</v>
      </c>
      <c r="C141" t="str">
        <f>IFERROR(__xludf.DUMMYFUNCTION("""COMPUTED_VALUE"""),"Nuts and Seeds")</f>
        <v>Nuts and Seeds</v>
      </c>
      <c r="D141">
        <f>IFERROR(__xludf.DUMMYFUNCTION("""COMPUTED_VALUE"""),608.0)</f>
        <v>608</v>
      </c>
      <c r="E141">
        <f>IFERROR(__xludf.DUMMYFUNCTION("""COMPUTED_VALUE"""),53.2)</f>
        <v>53.2</v>
      </c>
      <c r="F141">
        <f>IFERROR(__xludf.DUMMYFUNCTION("""COMPUTED_VALUE"""),18.0)</f>
        <v>18</v>
      </c>
      <c r="G141">
        <f>IFERROR(__xludf.DUMMYFUNCTION("""COMPUTED_VALUE"""),24.62)</f>
        <v>24.62</v>
      </c>
    </row>
    <row r="142">
      <c r="A142">
        <f>IFERROR(__xludf.DUMMYFUNCTION("""COMPUTED_VALUE"""),170182.0)</f>
        <v>170182</v>
      </c>
      <c r="B142" t="str">
        <f>IFERROR(__xludf.DUMMYFUNCTION("""COMPUTED_VALUE"""),"Pecans")</f>
        <v>Pecans</v>
      </c>
      <c r="C142" t="str">
        <f>IFERROR(__xludf.DUMMYFUNCTION("""COMPUTED_VALUE"""),"Nuts and Seeds")</f>
        <v>Nuts and Seeds</v>
      </c>
      <c r="D142">
        <f>IFERROR(__xludf.DUMMYFUNCTION("""COMPUTED_VALUE"""),691.0)</f>
        <v>691</v>
      </c>
      <c r="E142">
        <f>IFERROR(__xludf.DUMMYFUNCTION("""COMPUTED_VALUE"""),71.97)</f>
        <v>71.97</v>
      </c>
      <c r="F142">
        <f>IFERROR(__xludf.DUMMYFUNCTION("""COMPUTED_VALUE"""),9.17)</f>
        <v>9.17</v>
      </c>
      <c r="G142">
        <f>IFERROR(__xludf.DUMMYFUNCTION("""COMPUTED_VALUE"""),13.86)</f>
        <v>13.86</v>
      </c>
    </row>
    <row r="143">
      <c r="A143">
        <f>IFERROR(__xludf.DUMMYFUNCTION("""COMPUTED_VALUE"""),170183.0)</f>
        <v>170183</v>
      </c>
      <c r="B143" t="str">
        <f>IFERROR(__xludf.DUMMYFUNCTION("""COMPUTED_VALUE"""),"Dry Roasted Pecans")</f>
        <v>Dry Roasted Pecans</v>
      </c>
      <c r="C143" t="str">
        <f>IFERROR(__xludf.DUMMYFUNCTION("""COMPUTED_VALUE"""),"Nuts and Seeds")</f>
        <v>Nuts and Seeds</v>
      </c>
      <c r="D143">
        <f>IFERROR(__xludf.DUMMYFUNCTION("""COMPUTED_VALUE"""),710.0)</f>
        <v>710</v>
      </c>
      <c r="E143">
        <f>IFERROR(__xludf.DUMMYFUNCTION("""COMPUTED_VALUE"""),74.27)</f>
        <v>74.27</v>
      </c>
      <c r="F143">
        <f>IFERROR(__xludf.DUMMYFUNCTION("""COMPUTED_VALUE"""),9.5)</f>
        <v>9.5</v>
      </c>
      <c r="G143">
        <f>IFERROR(__xludf.DUMMYFUNCTION("""COMPUTED_VALUE"""),13.55)</f>
        <v>13.55</v>
      </c>
    </row>
    <row r="144">
      <c r="A144">
        <f>IFERROR(__xludf.DUMMYFUNCTION("""COMPUTED_VALUE"""),170184.0)</f>
        <v>170184</v>
      </c>
      <c r="B144" t="str">
        <f>IFERROR(__xludf.DUMMYFUNCTION("""COMPUTED_VALUE"""),"Pistachio Nuts")</f>
        <v>Pistachio Nuts</v>
      </c>
      <c r="C144" t="str">
        <f>IFERROR(__xludf.DUMMYFUNCTION("""COMPUTED_VALUE"""),"Nuts and Seeds")</f>
        <v>Nuts and Seeds</v>
      </c>
      <c r="D144">
        <f>IFERROR(__xludf.DUMMYFUNCTION("""COMPUTED_VALUE"""),560.0)</f>
        <v>560</v>
      </c>
      <c r="E144">
        <f>IFERROR(__xludf.DUMMYFUNCTION("""COMPUTED_VALUE"""),45.32)</f>
        <v>45.32</v>
      </c>
      <c r="F144">
        <f>IFERROR(__xludf.DUMMYFUNCTION("""COMPUTED_VALUE"""),20.16)</f>
        <v>20.16</v>
      </c>
      <c r="G144">
        <f>IFERROR(__xludf.DUMMYFUNCTION("""COMPUTED_VALUE"""),27.17)</f>
        <v>27.17</v>
      </c>
    </row>
    <row r="145">
      <c r="A145">
        <f>IFERROR(__xludf.DUMMYFUNCTION("""COMPUTED_VALUE"""),170185.0)</f>
        <v>170185</v>
      </c>
      <c r="B145" t="str">
        <f>IFERROR(__xludf.DUMMYFUNCTION("""COMPUTED_VALUE"""),"Dry Roasted Pistachio Nuts")</f>
        <v>Dry Roasted Pistachio Nuts</v>
      </c>
      <c r="C145" t="str">
        <f>IFERROR(__xludf.DUMMYFUNCTION("""COMPUTED_VALUE"""),"Nuts and Seeds")</f>
        <v>Nuts and Seeds</v>
      </c>
      <c r="D145">
        <f>IFERROR(__xludf.DUMMYFUNCTION("""COMPUTED_VALUE"""),572.0)</f>
        <v>572</v>
      </c>
      <c r="E145">
        <f>IFERROR(__xludf.DUMMYFUNCTION("""COMPUTED_VALUE"""),45.82)</f>
        <v>45.82</v>
      </c>
      <c r="F145">
        <f>IFERROR(__xludf.DUMMYFUNCTION("""COMPUTED_VALUE"""),21.05)</f>
        <v>21.05</v>
      </c>
      <c r="G145">
        <f>IFERROR(__xludf.DUMMYFUNCTION("""COMPUTED_VALUE"""),28.28)</f>
        <v>28.28</v>
      </c>
    </row>
    <row r="146">
      <c r="A146">
        <f>IFERROR(__xludf.DUMMYFUNCTION("""COMPUTED_VALUE"""),170186.0)</f>
        <v>170186</v>
      </c>
      <c r="B146" t="str">
        <f>IFERROR(__xludf.DUMMYFUNCTION("""COMPUTED_VALUE"""),"Black Walnuts (Dried)")</f>
        <v>Black Walnuts (Dried)</v>
      </c>
      <c r="C146" t="str">
        <f>IFERROR(__xludf.DUMMYFUNCTION("""COMPUTED_VALUE"""),"Nuts and Seeds")</f>
        <v>Nuts and Seeds</v>
      </c>
      <c r="D146">
        <f>IFERROR(__xludf.DUMMYFUNCTION("""COMPUTED_VALUE"""),619.0)</f>
        <v>619</v>
      </c>
      <c r="E146">
        <f>IFERROR(__xludf.DUMMYFUNCTION("""COMPUTED_VALUE"""),59.33)</f>
        <v>59.33</v>
      </c>
      <c r="F146">
        <f>IFERROR(__xludf.DUMMYFUNCTION("""COMPUTED_VALUE"""),24.06)</f>
        <v>24.06</v>
      </c>
      <c r="G146">
        <f>IFERROR(__xludf.DUMMYFUNCTION("""COMPUTED_VALUE"""),9.58)</f>
        <v>9.58</v>
      </c>
    </row>
    <row r="147">
      <c r="A147">
        <f>IFERROR(__xludf.DUMMYFUNCTION("""COMPUTED_VALUE"""),170187.0)</f>
        <v>170187</v>
      </c>
      <c r="B147" t="str">
        <f>IFERROR(__xludf.DUMMYFUNCTION("""COMPUTED_VALUE"""),"Walnuts")</f>
        <v>Walnuts</v>
      </c>
      <c r="C147" t="str">
        <f>IFERROR(__xludf.DUMMYFUNCTION("""COMPUTED_VALUE"""),"Nuts and Seeds")</f>
        <v>Nuts and Seeds</v>
      </c>
      <c r="D147">
        <f>IFERROR(__xludf.DUMMYFUNCTION("""COMPUTED_VALUE"""),654.0)</f>
        <v>654</v>
      </c>
      <c r="E147">
        <f>IFERROR(__xludf.DUMMYFUNCTION("""COMPUTED_VALUE"""),65.21)</f>
        <v>65.21</v>
      </c>
      <c r="F147">
        <f>IFERROR(__xludf.DUMMYFUNCTION("""COMPUTED_VALUE"""),15.23)</f>
        <v>15.23</v>
      </c>
      <c r="G147">
        <f>IFERROR(__xludf.DUMMYFUNCTION("""COMPUTED_VALUE"""),13.71)</f>
        <v>13.71</v>
      </c>
    </row>
    <row r="148">
      <c r="A148">
        <f>IFERROR(__xludf.DUMMYFUNCTION("""COMPUTED_VALUE"""),170188.0)</f>
        <v>170188</v>
      </c>
      <c r="B148" t="str">
        <f>IFERROR(__xludf.DUMMYFUNCTION("""COMPUTED_VALUE"""),"Roasted Squash And Pumpkin Seeds (With Shells)")</f>
        <v>Roasted Squash And Pumpkin Seeds (With Shells)</v>
      </c>
      <c r="C148" t="str">
        <f>IFERROR(__xludf.DUMMYFUNCTION("""COMPUTED_VALUE"""),"Nuts and Seeds")</f>
        <v>Nuts and Seeds</v>
      </c>
      <c r="D148">
        <f>IFERROR(__xludf.DUMMYFUNCTION("""COMPUTED_VALUE"""),446.0)</f>
        <v>446</v>
      </c>
      <c r="E148">
        <f>IFERROR(__xludf.DUMMYFUNCTION("""COMPUTED_VALUE"""),19.4)</f>
        <v>19.4</v>
      </c>
      <c r="F148">
        <f>IFERROR(__xludf.DUMMYFUNCTION("""COMPUTED_VALUE"""),18.55)</f>
        <v>18.55</v>
      </c>
      <c r="G148">
        <f>IFERROR(__xludf.DUMMYFUNCTION("""COMPUTED_VALUE"""),53.75)</f>
        <v>53.75</v>
      </c>
    </row>
    <row r="149">
      <c r="A149">
        <f>IFERROR(__xludf.DUMMYFUNCTION("""COMPUTED_VALUE"""),170189.0)</f>
        <v>170189</v>
      </c>
      <c r="B149" t="str">
        <f>IFERROR(__xludf.DUMMYFUNCTION("""COMPUTED_VALUE"""),"Sesame Butter (Tahini)")</f>
        <v>Sesame Butter (Tahini)</v>
      </c>
      <c r="C149" t="str">
        <f>IFERROR(__xludf.DUMMYFUNCTION("""COMPUTED_VALUE"""),"Nuts and Seeds")</f>
        <v>Nuts and Seeds</v>
      </c>
      <c r="D149">
        <f>IFERROR(__xludf.DUMMYFUNCTION("""COMPUTED_VALUE"""),595.0)</f>
        <v>595</v>
      </c>
      <c r="E149">
        <f>IFERROR(__xludf.DUMMYFUNCTION("""COMPUTED_VALUE"""),53.76)</f>
        <v>53.76</v>
      </c>
      <c r="F149">
        <f>IFERROR(__xludf.DUMMYFUNCTION("""COMPUTED_VALUE"""),17.0)</f>
        <v>17</v>
      </c>
      <c r="G149">
        <f>IFERROR(__xludf.DUMMYFUNCTION("""COMPUTED_VALUE"""),21.19)</f>
        <v>21.19</v>
      </c>
    </row>
    <row r="150">
      <c r="A150">
        <f>IFERROR(__xludf.DUMMYFUNCTION("""COMPUTED_VALUE"""),170190.0)</f>
        <v>170190</v>
      </c>
      <c r="B150" t="str">
        <f>IFERROR(__xludf.DUMMYFUNCTION("""COMPUTED_VALUE"""),"Roasted Chestnuts")</f>
        <v>Roasted Chestnuts</v>
      </c>
      <c r="C150" t="str">
        <f>IFERROR(__xludf.DUMMYFUNCTION("""COMPUTED_VALUE"""),"Nuts and Seeds")</f>
        <v>Nuts and Seeds</v>
      </c>
      <c r="D150">
        <f>IFERROR(__xludf.DUMMYFUNCTION("""COMPUTED_VALUE"""),245.0)</f>
        <v>245</v>
      </c>
      <c r="E150">
        <f>IFERROR(__xludf.DUMMYFUNCTION("""COMPUTED_VALUE"""),2.2)</f>
        <v>2.2</v>
      </c>
      <c r="F150">
        <f>IFERROR(__xludf.DUMMYFUNCTION("""COMPUTED_VALUE"""),3.17)</f>
        <v>3.17</v>
      </c>
      <c r="G150">
        <f>IFERROR(__xludf.DUMMYFUNCTION("""COMPUTED_VALUE"""),52.96)</f>
        <v>52.96</v>
      </c>
    </row>
    <row r="151">
      <c r="A151">
        <f>IFERROR(__xludf.DUMMYFUNCTION("""COMPUTED_VALUE"""),170191.0)</f>
        <v>170191</v>
      </c>
      <c r="B151" t="str">
        <f>IFERROR(__xludf.DUMMYFUNCTION("""COMPUTED_VALUE"""),"Seeds Sesame Butter Paste")</f>
        <v>Seeds Sesame Butter Paste</v>
      </c>
      <c r="C151" t="str">
        <f>IFERROR(__xludf.DUMMYFUNCTION("""COMPUTED_VALUE"""),"Nuts and Seeds")</f>
        <v>Nuts and Seeds</v>
      </c>
      <c r="D151">
        <f>IFERROR(__xludf.DUMMYFUNCTION("""COMPUTED_VALUE"""),586.0)</f>
        <v>586</v>
      </c>
      <c r="E151">
        <f>IFERROR(__xludf.DUMMYFUNCTION("""COMPUTED_VALUE"""),50.87)</f>
        <v>50.87</v>
      </c>
      <c r="F151">
        <f>IFERROR(__xludf.DUMMYFUNCTION("""COMPUTED_VALUE"""),18.08)</f>
        <v>18.08</v>
      </c>
      <c r="G151">
        <f>IFERROR(__xludf.DUMMYFUNCTION("""COMPUTED_VALUE"""),24.05)</f>
        <v>24.05</v>
      </c>
    </row>
    <row r="152">
      <c r="A152">
        <f>IFERROR(__xludf.DUMMYFUNCTION("""COMPUTED_VALUE"""),170192.0)</f>
        <v>170192</v>
      </c>
      <c r="B152" t="str">
        <f>IFERROR(__xludf.DUMMYFUNCTION("""COMPUTED_VALUE"""),"Seeds Sesame Flour High-Fat")</f>
        <v>Seeds Sesame Flour High-Fat</v>
      </c>
      <c r="C152" t="str">
        <f>IFERROR(__xludf.DUMMYFUNCTION("""COMPUTED_VALUE"""),"Nuts and Seeds")</f>
        <v>Nuts and Seeds</v>
      </c>
      <c r="D152">
        <f>IFERROR(__xludf.DUMMYFUNCTION("""COMPUTED_VALUE"""),526.0)</f>
        <v>526</v>
      </c>
      <c r="E152">
        <f>IFERROR(__xludf.DUMMYFUNCTION("""COMPUTED_VALUE"""),37.1)</f>
        <v>37.1</v>
      </c>
      <c r="F152">
        <f>IFERROR(__xludf.DUMMYFUNCTION("""COMPUTED_VALUE"""),30.78)</f>
        <v>30.78</v>
      </c>
      <c r="G152">
        <f>IFERROR(__xludf.DUMMYFUNCTION("""COMPUTED_VALUE"""),26.62)</f>
        <v>26.62</v>
      </c>
    </row>
    <row r="153">
      <c r="A153">
        <f>IFERROR(__xludf.DUMMYFUNCTION("""COMPUTED_VALUE"""),170552.0)</f>
        <v>170552</v>
      </c>
      <c r="B153" t="str">
        <f>IFERROR(__xludf.DUMMYFUNCTION("""COMPUTED_VALUE"""),"Seeds Breadnut Tree Seeds Raw")</f>
        <v>Seeds Breadnut Tree Seeds Raw</v>
      </c>
      <c r="C153" t="str">
        <f>IFERROR(__xludf.DUMMYFUNCTION("""COMPUTED_VALUE"""),"Nuts and Seeds")</f>
        <v>Nuts and Seeds</v>
      </c>
      <c r="D153">
        <f>IFERROR(__xludf.DUMMYFUNCTION("""COMPUTED_VALUE"""),217.0)</f>
        <v>217</v>
      </c>
      <c r="E153">
        <f>IFERROR(__xludf.DUMMYFUNCTION("""COMPUTED_VALUE"""),0.99)</f>
        <v>0.99</v>
      </c>
      <c r="F153">
        <f>IFERROR(__xludf.DUMMYFUNCTION("""COMPUTED_VALUE"""),5.97)</f>
        <v>5.97</v>
      </c>
      <c r="G153">
        <f>IFERROR(__xludf.DUMMYFUNCTION("""COMPUTED_VALUE"""),46.28)</f>
        <v>46.28</v>
      </c>
    </row>
    <row r="154">
      <c r="A154">
        <f>IFERROR(__xludf.DUMMYFUNCTION("""COMPUTED_VALUE"""),170553.0)</f>
        <v>170553</v>
      </c>
      <c r="B154" t="str">
        <f>IFERROR(__xludf.DUMMYFUNCTION("""COMPUTED_VALUE"""),"Seeds Breadnut Tree Seeds Dried")</f>
        <v>Seeds Breadnut Tree Seeds Dried</v>
      </c>
      <c r="C154" t="str">
        <f>IFERROR(__xludf.DUMMYFUNCTION("""COMPUTED_VALUE"""),"Nuts and Seeds")</f>
        <v>Nuts and Seeds</v>
      </c>
      <c r="D154">
        <f>IFERROR(__xludf.DUMMYFUNCTION("""COMPUTED_VALUE"""),367.0)</f>
        <v>367</v>
      </c>
      <c r="E154">
        <f>IFERROR(__xludf.DUMMYFUNCTION("""COMPUTED_VALUE"""),1.68)</f>
        <v>1.68</v>
      </c>
      <c r="F154">
        <f>IFERROR(__xludf.DUMMYFUNCTION("""COMPUTED_VALUE"""),8.62)</f>
        <v>8.62</v>
      </c>
      <c r="G154">
        <f>IFERROR(__xludf.DUMMYFUNCTION("""COMPUTED_VALUE"""),79.39)</f>
        <v>79.39</v>
      </c>
    </row>
    <row r="155">
      <c r="A155">
        <f>IFERROR(__xludf.DUMMYFUNCTION("""COMPUTED_VALUE"""),170554.0)</f>
        <v>170554</v>
      </c>
      <c r="B155" t="str">
        <f>IFERROR(__xludf.DUMMYFUNCTION("""COMPUTED_VALUE"""),"Chia Seeds")</f>
        <v>Chia Seeds</v>
      </c>
      <c r="C155" t="str">
        <f>IFERROR(__xludf.DUMMYFUNCTION("""COMPUTED_VALUE"""),"Nuts and Seeds")</f>
        <v>Nuts and Seeds</v>
      </c>
      <c r="D155">
        <f>IFERROR(__xludf.DUMMYFUNCTION("""COMPUTED_VALUE"""),486.0)</f>
        <v>486</v>
      </c>
      <c r="E155">
        <f>IFERROR(__xludf.DUMMYFUNCTION("""COMPUTED_VALUE"""),30.74)</f>
        <v>30.74</v>
      </c>
      <c r="F155">
        <f>IFERROR(__xludf.DUMMYFUNCTION("""COMPUTED_VALUE"""),16.54)</f>
        <v>16.54</v>
      </c>
      <c r="G155">
        <f>IFERROR(__xludf.DUMMYFUNCTION("""COMPUTED_VALUE"""),42.12)</f>
        <v>42.12</v>
      </c>
    </row>
    <row r="156">
      <c r="A156">
        <f>IFERROR(__xludf.DUMMYFUNCTION("""COMPUTED_VALUE"""),170555.0)</f>
        <v>170555</v>
      </c>
      <c r="B156" t="str">
        <f>IFERROR(__xludf.DUMMYFUNCTION("""COMPUTED_VALUE"""),"Seeds Cottonseed Flour Partially Defatted (Glandless)")</f>
        <v>Seeds Cottonseed Flour Partially Defatted (Glandless)</v>
      </c>
      <c r="C156" t="str">
        <f>IFERROR(__xludf.DUMMYFUNCTION("""COMPUTED_VALUE"""),"Nuts and Seeds")</f>
        <v>Nuts and Seeds</v>
      </c>
      <c r="D156">
        <f>IFERROR(__xludf.DUMMYFUNCTION("""COMPUTED_VALUE"""),359.0)</f>
        <v>359</v>
      </c>
      <c r="E156">
        <f>IFERROR(__xludf.DUMMYFUNCTION("""COMPUTED_VALUE"""),6.2)</f>
        <v>6.2</v>
      </c>
      <c r="F156">
        <f>IFERROR(__xludf.DUMMYFUNCTION("""COMPUTED_VALUE"""),40.96)</f>
        <v>40.96</v>
      </c>
      <c r="G156">
        <f>IFERROR(__xludf.DUMMYFUNCTION("""COMPUTED_VALUE"""),40.54)</f>
        <v>40.54</v>
      </c>
    </row>
    <row r="157">
      <c r="A157">
        <f>IFERROR(__xludf.DUMMYFUNCTION("""COMPUTED_VALUE"""),170556.0)</f>
        <v>170556</v>
      </c>
      <c r="B157" t="str">
        <f>IFERROR(__xludf.DUMMYFUNCTION("""COMPUTED_VALUE"""),"Dried Pumpkin And Squash Seeds")</f>
        <v>Dried Pumpkin And Squash Seeds</v>
      </c>
      <c r="C157" t="str">
        <f>IFERROR(__xludf.DUMMYFUNCTION("""COMPUTED_VALUE"""),"Nuts and Seeds")</f>
        <v>Nuts and Seeds</v>
      </c>
      <c r="D157">
        <f>IFERROR(__xludf.DUMMYFUNCTION("""COMPUTED_VALUE"""),559.0)</f>
        <v>559</v>
      </c>
      <c r="E157">
        <f>IFERROR(__xludf.DUMMYFUNCTION("""COMPUTED_VALUE"""),49.05)</f>
        <v>49.05</v>
      </c>
      <c r="F157">
        <f>IFERROR(__xludf.DUMMYFUNCTION("""COMPUTED_VALUE"""),30.23)</f>
        <v>30.23</v>
      </c>
      <c r="G157">
        <f>IFERROR(__xludf.DUMMYFUNCTION("""COMPUTED_VALUE"""),10.71)</f>
        <v>10.71</v>
      </c>
    </row>
    <row r="158">
      <c r="A158">
        <f>IFERROR(__xludf.DUMMYFUNCTION("""COMPUTED_VALUE"""),170557.0)</f>
        <v>170557</v>
      </c>
      <c r="B158" t="str">
        <f>IFERROR(__xludf.DUMMYFUNCTION("""COMPUTED_VALUE"""),"Roasted Squash And Pumpkin Seeds (Unsalted)")</f>
        <v>Roasted Squash And Pumpkin Seeds (Unsalted)</v>
      </c>
      <c r="C158" t="str">
        <f>IFERROR(__xludf.DUMMYFUNCTION("""COMPUTED_VALUE"""),"Nuts and Seeds")</f>
        <v>Nuts and Seeds</v>
      </c>
      <c r="D158">
        <f>IFERROR(__xludf.DUMMYFUNCTION("""COMPUTED_VALUE"""),574.0)</f>
        <v>574</v>
      </c>
      <c r="E158">
        <f>IFERROR(__xludf.DUMMYFUNCTION("""COMPUTED_VALUE"""),49.05)</f>
        <v>49.05</v>
      </c>
      <c r="F158">
        <f>IFERROR(__xludf.DUMMYFUNCTION("""COMPUTED_VALUE"""),29.84)</f>
        <v>29.84</v>
      </c>
      <c r="G158">
        <f>IFERROR(__xludf.DUMMYFUNCTION("""COMPUTED_VALUE"""),14.71)</f>
        <v>14.71</v>
      </c>
    </row>
    <row r="159">
      <c r="A159">
        <f>IFERROR(__xludf.DUMMYFUNCTION("""COMPUTED_VALUE"""),170558.0)</f>
        <v>170558</v>
      </c>
      <c r="B159" t="str">
        <f>IFERROR(__xludf.DUMMYFUNCTION("""COMPUTED_VALUE"""),"Safflower Seeds")</f>
        <v>Safflower Seeds</v>
      </c>
      <c r="C159" t="str">
        <f>IFERROR(__xludf.DUMMYFUNCTION("""COMPUTED_VALUE"""),"Nuts and Seeds")</f>
        <v>Nuts and Seeds</v>
      </c>
      <c r="D159">
        <f>IFERROR(__xludf.DUMMYFUNCTION("""COMPUTED_VALUE"""),517.0)</f>
        <v>517</v>
      </c>
      <c r="E159">
        <f>IFERROR(__xludf.DUMMYFUNCTION("""COMPUTED_VALUE"""),38.45)</f>
        <v>38.45</v>
      </c>
      <c r="F159">
        <f>IFERROR(__xludf.DUMMYFUNCTION("""COMPUTED_VALUE"""),16.18)</f>
        <v>16.18</v>
      </c>
      <c r="G159">
        <f>IFERROR(__xludf.DUMMYFUNCTION("""COMPUTED_VALUE"""),34.29)</f>
        <v>34.29</v>
      </c>
    </row>
    <row r="160">
      <c r="A160">
        <f>IFERROR(__xludf.DUMMYFUNCTION("""COMPUTED_VALUE"""),170559.0)</f>
        <v>170559</v>
      </c>
      <c r="B160" t="str">
        <f>IFERROR(__xludf.DUMMYFUNCTION("""COMPUTED_VALUE"""),"Seeds Safflower Seed Meal Partially Defatted")</f>
        <v>Seeds Safflower Seed Meal Partially Defatted</v>
      </c>
      <c r="C160" t="str">
        <f>IFERROR(__xludf.DUMMYFUNCTION("""COMPUTED_VALUE"""),"Nuts and Seeds")</f>
        <v>Nuts and Seeds</v>
      </c>
      <c r="D160">
        <f>IFERROR(__xludf.DUMMYFUNCTION("""COMPUTED_VALUE"""),342.0)</f>
        <v>342</v>
      </c>
      <c r="E160">
        <f>IFERROR(__xludf.DUMMYFUNCTION("""COMPUTED_VALUE"""),2.39)</f>
        <v>2.39</v>
      </c>
      <c r="F160">
        <f>IFERROR(__xludf.DUMMYFUNCTION("""COMPUTED_VALUE"""),35.62)</f>
        <v>35.62</v>
      </c>
      <c r="G160">
        <f>IFERROR(__xludf.DUMMYFUNCTION("""COMPUTED_VALUE"""),48.73)</f>
        <v>48.73</v>
      </c>
    </row>
    <row r="161">
      <c r="A161">
        <f>IFERROR(__xludf.DUMMYFUNCTION("""COMPUTED_VALUE"""),170560.0)</f>
        <v>170560</v>
      </c>
      <c r="B161" t="str">
        <f>IFERROR(__xludf.DUMMYFUNCTION("""COMPUTED_VALUE"""),"Seeds Sesame Flour Low-Fat")</f>
        <v>Seeds Sesame Flour Low-Fat</v>
      </c>
      <c r="C161" t="str">
        <f>IFERROR(__xludf.DUMMYFUNCTION("""COMPUTED_VALUE"""),"Nuts and Seeds")</f>
        <v>Nuts and Seeds</v>
      </c>
      <c r="D161">
        <f>IFERROR(__xludf.DUMMYFUNCTION("""COMPUTED_VALUE"""),333.0)</f>
        <v>333</v>
      </c>
      <c r="E161">
        <f>IFERROR(__xludf.DUMMYFUNCTION("""COMPUTED_VALUE"""),1.75)</f>
        <v>1.75</v>
      </c>
      <c r="F161">
        <f>IFERROR(__xludf.DUMMYFUNCTION("""COMPUTED_VALUE"""),50.14)</f>
        <v>50.14</v>
      </c>
      <c r="G161">
        <f>IFERROR(__xludf.DUMMYFUNCTION("""COMPUTED_VALUE"""),35.51)</f>
        <v>35.51</v>
      </c>
    </row>
    <row r="162">
      <c r="A162">
        <f>IFERROR(__xludf.DUMMYFUNCTION("""COMPUTED_VALUE"""),170561.0)</f>
        <v>170561</v>
      </c>
      <c r="B162" t="str">
        <f>IFERROR(__xludf.DUMMYFUNCTION("""COMPUTED_VALUE"""),"Seeds Sesame Meal Partially Defatted")</f>
        <v>Seeds Sesame Meal Partially Defatted</v>
      </c>
      <c r="C162" t="str">
        <f>IFERROR(__xludf.DUMMYFUNCTION("""COMPUTED_VALUE"""),"Nuts and Seeds")</f>
        <v>Nuts and Seeds</v>
      </c>
      <c r="D162">
        <f>IFERROR(__xludf.DUMMYFUNCTION("""COMPUTED_VALUE"""),567.0)</f>
        <v>567</v>
      </c>
      <c r="E162">
        <f>IFERROR(__xludf.DUMMYFUNCTION("""COMPUTED_VALUE"""),48.0)</f>
        <v>48</v>
      </c>
      <c r="F162">
        <f>IFERROR(__xludf.DUMMYFUNCTION("""COMPUTED_VALUE"""),16.96)</f>
        <v>16.96</v>
      </c>
      <c r="G162">
        <f>IFERROR(__xludf.DUMMYFUNCTION("""COMPUTED_VALUE"""),26.04)</f>
        <v>26.04</v>
      </c>
    </row>
    <row r="163">
      <c r="A163">
        <f>IFERROR(__xludf.DUMMYFUNCTION("""COMPUTED_VALUE"""),170562.0)</f>
        <v>170562</v>
      </c>
      <c r="B163" t="str">
        <f>IFERROR(__xludf.DUMMYFUNCTION("""COMPUTED_VALUE"""),"Dried Sunflower Seeds")</f>
        <v>Dried Sunflower Seeds</v>
      </c>
      <c r="C163" t="str">
        <f>IFERROR(__xludf.DUMMYFUNCTION("""COMPUTED_VALUE"""),"Nuts and Seeds")</f>
        <v>Nuts and Seeds</v>
      </c>
      <c r="D163">
        <f>IFERROR(__xludf.DUMMYFUNCTION("""COMPUTED_VALUE"""),584.0)</f>
        <v>584</v>
      </c>
      <c r="E163">
        <f>IFERROR(__xludf.DUMMYFUNCTION("""COMPUTED_VALUE"""),51.46)</f>
        <v>51.46</v>
      </c>
      <c r="F163">
        <f>IFERROR(__xludf.DUMMYFUNCTION("""COMPUTED_VALUE"""),20.78)</f>
        <v>20.78</v>
      </c>
      <c r="G163">
        <f>IFERROR(__xludf.DUMMYFUNCTION("""COMPUTED_VALUE"""),20.0)</f>
        <v>20</v>
      </c>
    </row>
    <row r="164">
      <c r="A164">
        <f>IFERROR(__xludf.DUMMYFUNCTION("""COMPUTED_VALUE"""),170563.0)</f>
        <v>170563</v>
      </c>
      <c r="B164" t="str">
        <f>IFERROR(__xludf.DUMMYFUNCTION("""COMPUTED_VALUE"""),"Dry Roasted Sunflower Seeds")</f>
        <v>Dry Roasted Sunflower Seeds</v>
      </c>
      <c r="C164" t="str">
        <f>IFERROR(__xludf.DUMMYFUNCTION("""COMPUTED_VALUE"""),"Nuts and Seeds")</f>
        <v>Nuts and Seeds</v>
      </c>
      <c r="D164">
        <f>IFERROR(__xludf.DUMMYFUNCTION("""COMPUTED_VALUE"""),582.0)</f>
        <v>582</v>
      </c>
      <c r="E164">
        <f>IFERROR(__xludf.DUMMYFUNCTION("""COMPUTED_VALUE"""),49.8)</f>
        <v>49.8</v>
      </c>
      <c r="F164">
        <f>IFERROR(__xludf.DUMMYFUNCTION("""COMPUTED_VALUE"""),19.33)</f>
        <v>19.33</v>
      </c>
      <c r="G164">
        <f>IFERROR(__xludf.DUMMYFUNCTION("""COMPUTED_VALUE"""),24.07)</f>
        <v>24.07</v>
      </c>
    </row>
    <row r="165">
      <c r="A165">
        <f>IFERROR(__xludf.DUMMYFUNCTION("""COMPUTED_VALUE"""),170564.0)</f>
        <v>170564</v>
      </c>
      <c r="B165" t="str">
        <f>IFERROR(__xludf.DUMMYFUNCTION("""COMPUTED_VALUE"""),"Seeds Sunflower Seed Kernels Oil Roasted Without Salt")</f>
        <v>Seeds Sunflower Seed Kernels Oil Roasted Without Salt</v>
      </c>
      <c r="C165" t="str">
        <f>IFERROR(__xludf.DUMMYFUNCTION("""COMPUTED_VALUE"""),"Nuts and Seeds")</f>
        <v>Nuts and Seeds</v>
      </c>
      <c r="D165">
        <f>IFERROR(__xludf.DUMMYFUNCTION("""COMPUTED_VALUE"""),592.0)</f>
        <v>592</v>
      </c>
      <c r="E165">
        <f>IFERROR(__xludf.DUMMYFUNCTION("""COMPUTED_VALUE"""),51.3)</f>
        <v>51.3</v>
      </c>
      <c r="F165">
        <f>IFERROR(__xludf.DUMMYFUNCTION("""COMPUTED_VALUE"""),20.06)</f>
        <v>20.06</v>
      </c>
      <c r="G165">
        <f>IFERROR(__xludf.DUMMYFUNCTION("""COMPUTED_VALUE"""),22.89)</f>
        <v>22.89</v>
      </c>
    </row>
    <row r="166">
      <c r="A166">
        <f>IFERROR(__xludf.DUMMYFUNCTION("""COMPUTED_VALUE"""),170565.0)</f>
        <v>170565</v>
      </c>
      <c r="B166" t="str">
        <f>IFERROR(__xludf.DUMMYFUNCTION("""COMPUTED_VALUE"""),"Acorns (Dried)")</f>
        <v>Acorns (Dried)</v>
      </c>
      <c r="C166" t="str">
        <f>IFERROR(__xludf.DUMMYFUNCTION("""COMPUTED_VALUE"""),"Nuts and Seeds")</f>
        <v>Nuts and Seeds</v>
      </c>
      <c r="D166">
        <f>IFERROR(__xludf.DUMMYFUNCTION("""COMPUTED_VALUE"""),509.0)</f>
        <v>509</v>
      </c>
      <c r="E166">
        <f>IFERROR(__xludf.DUMMYFUNCTION("""COMPUTED_VALUE"""),31.41)</f>
        <v>31.41</v>
      </c>
      <c r="F166">
        <f>IFERROR(__xludf.DUMMYFUNCTION("""COMPUTED_VALUE"""),8.1)</f>
        <v>8.1</v>
      </c>
      <c r="G166">
        <f>IFERROR(__xludf.DUMMYFUNCTION("""COMPUTED_VALUE"""),53.66)</f>
        <v>53.66</v>
      </c>
    </row>
    <row r="167">
      <c r="A167">
        <f>IFERROR(__xludf.DUMMYFUNCTION("""COMPUTED_VALUE"""),170566.0)</f>
        <v>170566</v>
      </c>
      <c r="B167" t="str">
        <f>IFERROR(__xludf.DUMMYFUNCTION("""COMPUTED_VALUE"""),"Nuts Acorn Flour Full Fat")</f>
        <v>Nuts Acorn Flour Full Fat</v>
      </c>
      <c r="C167" t="str">
        <f>IFERROR(__xludf.DUMMYFUNCTION("""COMPUTED_VALUE"""),"Nuts and Seeds")</f>
        <v>Nuts and Seeds</v>
      </c>
      <c r="D167">
        <f>IFERROR(__xludf.DUMMYFUNCTION("""COMPUTED_VALUE"""),501.0)</f>
        <v>501</v>
      </c>
      <c r="E167">
        <f>IFERROR(__xludf.DUMMYFUNCTION("""COMPUTED_VALUE"""),30.17)</f>
        <v>30.17</v>
      </c>
      <c r="F167">
        <f>IFERROR(__xludf.DUMMYFUNCTION("""COMPUTED_VALUE"""),7.49)</f>
        <v>7.49</v>
      </c>
      <c r="G167">
        <f>IFERROR(__xludf.DUMMYFUNCTION("""COMPUTED_VALUE"""),54.65)</f>
        <v>54.65</v>
      </c>
    </row>
    <row r="168">
      <c r="A168">
        <f>IFERROR(__xludf.DUMMYFUNCTION("""COMPUTED_VALUE"""),170567.0)</f>
        <v>170567</v>
      </c>
      <c r="B168" t="str">
        <f>IFERROR(__xludf.DUMMYFUNCTION("""COMPUTED_VALUE"""),"Almonds")</f>
        <v>Almonds</v>
      </c>
      <c r="C168" t="str">
        <f>IFERROR(__xludf.DUMMYFUNCTION("""COMPUTED_VALUE"""),"Nuts and Seeds")</f>
        <v>Nuts and Seeds</v>
      </c>
      <c r="D168">
        <f>IFERROR(__xludf.DUMMYFUNCTION("""COMPUTED_VALUE"""),579.0)</f>
        <v>579</v>
      </c>
      <c r="E168">
        <f>IFERROR(__xludf.DUMMYFUNCTION("""COMPUTED_VALUE"""),49.93)</f>
        <v>49.93</v>
      </c>
      <c r="F168">
        <f>IFERROR(__xludf.DUMMYFUNCTION("""COMPUTED_VALUE"""),21.15)</f>
        <v>21.15</v>
      </c>
      <c r="G168">
        <f>IFERROR(__xludf.DUMMYFUNCTION("""COMPUTED_VALUE"""),21.55)</f>
        <v>21.55</v>
      </c>
    </row>
    <row r="169">
      <c r="A169">
        <f>IFERROR(__xludf.DUMMYFUNCTION("""COMPUTED_VALUE"""),170568.0)</f>
        <v>170568</v>
      </c>
      <c r="B169" t="str">
        <f>IFERROR(__xludf.DUMMYFUNCTION("""COMPUTED_VALUE"""),"Nuts Almonds Blanched")</f>
        <v>Nuts Almonds Blanched</v>
      </c>
      <c r="C169" t="str">
        <f>IFERROR(__xludf.DUMMYFUNCTION("""COMPUTED_VALUE"""),"Nuts and Seeds")</f>
        <v>Nuts and Seeds</v>
      </c>
      <c r="D169">
        <f>IFERROR(__xludf.DUMMYFUNCTION("""COMPUTED_VALUE"""),590.0)</f>
        <v>590</v>
      </c>
      <c r="E169">
        <f>IFERROR(__xludf.DUMMYFUNCTION("""COMPUTED_VALUE"""),52.52)</f>
        <v>52.52</v>
      </c>
      <c r="F169">
        <f>IFERROR(__xludf.DUMMYFUNCTION("""COMPUTED_VALUE"""),21.4)</f>
        <v>21.4</v>
      </c>
      <c r="G169">
        <f>IFERROR(__xludf.DUMMYFUNCTION("""COMPUTED_VALUE"""),18.67)</f>
        <v>18.67</v>
      </c>
    </row>
    <row r="170">
      <c r="A170">
        <f>IFERROR(__xludf.DUMMYFUNCTION("""COMPUTED_VALUE"""),170569.0)</f>
        <v>170569</v>
      </c>
      <c r="B170" t="str">
        <f>IFERROR(__xludf.DUMMYFUNCTION("""COMPUTED_VALUE"""),"Brazilnuts")</f>
        <v>Brazilnuts</v>
      </c>
      <c r="C170" t="str">
        <f>IFERROR(__xludf.DUMMYFUNCTION("""COMPUTED_VALUE"""),"Nuts and Seeds")</f>
        <v>Nuts and Seeds</v>
      </c>
      <c r="D170">
        <f>IFERROR(__xludf.DUMMYFUNCTION("""COMPUTED_VALUE"""),659.0)</f>
        <v>659</v>
      </c>
      <c r="E170">
        <f>IFERROR(__xludf.DUMMYFUNCTION("""COMPUTED_VALUE"""),67.1)</f>
        <v>67.1</v>
      </c>
      <c r="F170">
        <f>IFERROR(__xludf.DUMMYFUNCTION("""COMPUTED_VALUE"""),14.32)</f>
        <v>14.32</v>
      </c>
      <c r="G170">
        <f>IFERROR(__xludf.DUMMYFUNCTION("""COMPUTED_VALUE"""),11.74)</f>
        <v>11.74</v>
      </c>
    </row>
    <row r="171">
      <c r="A171">
        <f>IFERROR(__xludf.DUMMYFUNCTION("""COMPUTED_VALUE"""),170570.0)</f>
        <v>170570</v>
      </c>
      <c r="B171" t="str">
        <f>IFERROR(__xludf.DUMMYFUNCTION("""COMPUTED_VALUE"""),"Butternuts (Dried)")</f>
        <v>Butternuts (Dried)</v>
      </c>
      <c r="C171" t="str">
        <f>IFERROR(__xludf.DUMMYFUNCTION("""COMPUTED_VALUE"""),"Nuts and Seeds")</f>
        <v>Nuts and Seeds</v>
      </c>
      <c r="D171">
        <f>IFERROR(__xludf.DUMMYFUNCTION("""COMPUTED_VALUE"""),612.0)</f>
        <v>612</v>
      </c>
      <c r="E171">
        <f>IFERROR(__xludf.DUMMYFUNCTION("""COMPUTED_VALUE"""),56.98)</f>
        <v>56.98</v>
      </c>
      <c r="F171">
        <f>IFERROR(__xludf.DUMMYFUNCTION("""COMPUTED_VALUE"""),24.9)</f>
        <v>24.9</v>
      </c>
      <c r="G171">
        <f>IFERROR(__xludf.DUMMYFUNCTION("""COMPUTED_VALUE"""),12.05)</f>
        <v>12.05</v>
      </c>
    </row>
    <row r="172">
      <c r="A172">
        <f>IFERROR(__xludf.DUMMYFUNCTION("""COMPUTED_VALUE"""),170571.0)</f>
        <v>170571</v>
      </c>
      <c r="B172" t="str">
        <f>IFERROR(__xludf.DUMMYFUNCTION("""COMPUTED_VALUE"""),"Dry-Roasted Cashews")</f>
        <v>Dry-Roasted Cashews</v>
      </c>
      <c r="C172" t="str">
        <f>IFERROR(__xludf.DUMMYFUNCTION("""COMPUTED_VALUE"""),"Nuts and Seeds")</f>
        <v>Nuts and Seeds</v>
      </c>
      <c r="D172">
        <f>IFERROR(__xludf.DUMMYFUNCTION("""COMPUTED_VALUE"""),574.0)</f>
        <v>574</v>
      </c>
      <c r="E172">
        <f>IFERROR(__xludf.DUMMYFUNCTION("""COMPUTED_VALUE"""),46.35)</f>
        <v>46.35</v>
      </c>
      <c r="F172">
        <f>IFERROR(__xludf.DUMMYFUNCTION("""COMPUTED_VALUE"""),15.31)</f>
        <v>15.31</v>
      </c>
      <c r="G172">
        <f>IFERROR(__xludf.DUMMYFUNCTION("""COMPUTED_VALUE"""),32.69)</f>
        <v>32.69</v>
      </c>
    </row>
    <row r="173">
      <c r="A173">
        <f>IFERROR(__xludf.DUMMYFUNCTION("""COMPUTED_VALUE"""),170572.0)</f>
        <v>170572</v>
      </c>
      <c r="B173" t="str">
        <f>IFERROR(__xludf.DUMMYFUNCTION("""COMPUTED_VALUE"""),"Oil Roasted Cashews")</f>
        <v>Oil Roasted Cashews</v>
      </c>
      <c r="C173" t="str">
        <f>IFERROR(__xludf.DUMMYFUNCTION("""COMPUTED_VALUE"""),"Nuts and Seeds")</f>
        <v>Nuts and Seeds</v>
      </c>
      <c r="D173">
        <f>IFERROR(__xludf.DUMMYFUNCTION("""COMPUTED_VALUE"""),580.0)</f>
        <v>580</v>
      </c>
      <c r="E173">
        <f>IFERROR(__xludf.DUMMYFUNCTION("""COMPUTED_VALUE"""),47.77)</f>
        <v>47.77</v>
      </c>
      <c r="F173">
        <f>IFERROR(__xludf.DUMMYFUNCTION("""COMPUTED_VALUE"""),16.84)</f>
        <v>16.84</v>
      </c>
      <c r="G173">
        <f>IFERROR(__xludf.DUMMYFUNCTION("""COMPUTED_VALUE"""),29.87)</f>
        <v>29.87</v>
      </c>
    </row>
    <row r="174">
      <c r="A174">
        <f>IFERROR(__xludf.DUMMYFUNCTION("""COMPUTED_VALUE"""),170573.0)</f>
        <v>170573</v>
      </c>
      <c r="B174" t="str">
        <f>IFERROR(__xludf.DUMMYFUNCTION("""COMPUTED_VALUE"""),"Roasted Chinese Chestnuts")</f>
        <v>Roasted Chinese Chestnuts</v>
      </c>
      <c r="C174" t="str">
        <f>IFERROR(__xludf.DUMMYFUNCTION("""COMPUTED_VALUE"""),"Nuts and Seeds")</f>
        <v>Nuts and Seeds</v>
      </c>
      <c r="D174">
        <f>IFERROR(__xludf.DUMMYFUNCTION("""COMPUTED_VALUE"""),239.0)</f>
        <v>239</v>
      </c>
      <c r="E174">
        <f>IFERROR(__xludf.DUMMYFUNCTION("""COMPUTED_VALUE"""),1.19)</f>
        <v>1.19</v>
      </c>
      <c r="F174">
        <f>IFERROR(__xludf.DUMMYFUNCTION("""COMPUTED_VALUE"""),4.48)</f>
        <v>4.48</v>
      </c>
      <c r="G174">
        <f>IFERROR(__xludf.DUMMYFUNCTION("""COMPUTED_VALUE"""),52.36)</f>
        <v>52.36</v>
      </c>
    </row>
    <row r="175">
      <c r="A175">
        <f>IFERROR(__xludf.DUMMYFUNCTION("""COMPUTED_VALUE"""),170574.0)</f>
        <v>170574</v>
      </c>
      <c r="B175" t="str">
        <f>IFERROR(__xludf.DUMMYFUNCTION("""COMPUTED_VALUE"""),"Nuts Chestnuts European Raw Unpeeled")</f>
        <v>Nuts Chestnuts European Raw Unpeeled</v>
      </c>
      <c r="C175" t="str">
        <f>IFERROR(__xludf.DUMMYFUNCTION("""COMPUTED_VALUE"""),"Nuts and Seeds")</f>
        <v>Nuts and Seeds</v>
      </c>
      <c r="D175">
        <f>IFERROR(__xludf.DUMMYFUNCTION("""COMPUTED_VALUE"""),213.0)</f>
        <v>213</v>
      </c>
      <c r="E175">
        <f>IFERROR(__xludf.DUMMYFUNCTION("""COMPUTED_VALUE"""),2.26)</f>
        <v>2.26</v>
      </c>
      <c r="F175">
        <f>IFERROR(__xludf.DUMMYFUNCTION("""COMPUTED_VALUE"""),2.42)</f>
        <v>2.42</v>
      </c>
      <c r="G175">
        <f>IFERROR(__xludf.DUMMYFUNCTION("""COMPUTED_VALUE"""),45.54)</f>
        <v>45.54</v>
      </c>
    </row>
    <row r="176">
      <c r="A176">
        <f>IFERROR(__xludf.DUMMYFUNCTION("""COMPUTED_VALUE"""),170575.0)</f>
        <v>170575</v>
      </c>
      <c r="B176" t="str">
        <f>IFERROR(__xludf.DUMMYFUNCTION("""COMPUTED_VALUE"""),"Chestnuts")</f>
        <v>Chestnuts</v>
      </c>
      <c r="C176" t="str">
        <f>IFERROR(__xludf.DUMMYFUNCTION("""COMPUTED_VALUE"""),"Nuts and Seeds")</f>
        <v>Nuts and Seeds</v>
      </c>
      <c r="D176">
        <f>IFERROR(__xludf.DUMMYFUNCTION("""COMPUTED_VALUE"""),196.0)</f>
        <v>196</v>
      </c>
      <c r="E176">
        <f>IFERROR(__xludf.DUMMYFUNCTION("""COMPUTED_VALUE"""),1.25)</f>
        <v>1.25</v>
      </c>
      <c r="F176">
        <f>IFERROR(__xludf.DUMMYFUNCTION("""COMPUTED_VALUE"""),1.63)</f>
        <v>1.63</v>
      </c>
      <c r="G176">
        <f>IFERROR(__xludf.DUMMYFUNCTION("""COMPUTED_VALUE"""),44.17)</f>
        <v>44.17</v>
      </c>
    </row>
    <row r="177">
      <c r="A177">
        <f>IFERROR(__xludf.DUMMYFUNCTION("""COMPUTED_VALUE"""),170576.0)</f>
        <v>170576</v>
      </c>
      <c r="B177" t="str">
        <f>IFERROR(__xludf.DUMMYFUNCTION("""COMPUTED_VALUE"""),"Nuts Chestnuts European Dried Unpeeled")</f>
        <v>Nuts Chestnuts European Dried Unpeeled</v>
      </c>
      <c r="C177" t="str">
        <f>IFERROR(__xludf.DUMMYFUNCTION("""COMPUTED_VALUE"""),"Nuts and Seeds")</f>
        <v>Nuts and Seeds</v>
      </c>
      <c r="D177">
        <f>IFERROR(__xludf.DUMMYFUNCTION("""COMPUTED_VALUE"""),374.0)</f>
        <v>374</v>
      </c>
      <c r="E177">
        <f>IFERROR(__xludf.DUMMYFUNCTION("""COMPUTED_VALUE"""),4.45)</f>
        <v>4.45</v>
      </c>
      <c r="F177">
        <f>IFERROR(__xludf.DUMMYFUNCTION("""COMPUTED_VALUE"""),6.39)</f>
        <v>6.39</v>
      </c>
      <c r="G177">
        <f>IFERROR(__xludf.DUMMYFUNCTION("""COMPUTED_VALUE"""),77.31)</f>
        <v>77.31</v>
      </c>
    </row>
    <row r="178">
      <c r="A178">
        <f>IFERROR(__xludf.DUMMYFUNCTION("""COMPUTED_VALUE"""),170577.0)</f>
        <v>170577</v>
      </c>
      <c r="B178" t="str">
        <f>IFERROR(__xludf.DUMMYFUNCTION("""COMPUTED_VALUE"""),"Nuts Coconut Meat Dried (Desiccated) Sweetened Flaked Packaged")</f>
        <v>Nuts Coconut Meat Dried (Desiccated) Sweetened Flaked Packaged</v>
      </c>
      <c r="C178" t="str">
        <f>IFERROR(__xludf.DUMMYFUNCTION("""COMPUTED_VALUE"""),"Nuts and Seeds")</f>
        <v>Nuts and Seeds</v>
      </c>
      <c r="D178">
        <f>IFERROR(__xludf.DUMMYFUNCTION("""COMPUTED_VALUE"""),456.0)</f>
        <v>456</v>
      </c>
      <c r="E178">
        <f>IFERROR(__xludf.DUMMYFUNCTION("""COMPUTED_VALUE"""),27.99)</f>
        <v>27.99</v>
      </c>
      <c r="F178">
        <f>IFERROR(__xludf.DUMMYFUNCTION("""COMPUTED_VALUE"""),3.13)</f>
        <v>3.13</v>
      </c>
      <c r="G178">
        <f>IFERROR(__xludf.DUMMYFUNCTION("""COMPUTED_VALUE"""),51.85)</f>
        <v>51.85</v>
      </c>
    </row>
    <row r="179">
      <c r="A179">
        <f>IFERROR(__xludf.DUMMYFUNCTION("""COMPUTED_VALUE"""),170578.0)</f>
        <v>170578</v>
      </c>
      <c r="B179" t="str">
        <f>IFERROR(__xludf.DUMMYFUNCTION("""COMPUTED_VALUE"""),"Nuts Coconut Meat Dried (Desiccated) Sweetened Flaked Canned")</f>
        <v>Nuts Coconut Meat Dried (Desiccated) Sweetened Flaked Canned</v>
      </c>
      <c r="C179" t="str">
        <f>IFERROR(__xludf.DUMMYFUNCTION("""COMPUTED_VALUE"""),"Nuts and Seeds")</f>
        <v>Nuts and Seeds</v>
      </c>
      <c r="D179">
        <f>IFERROR(__xludf.DUMMYFUNCTION("""COMPUTED_VALUE"""),443.0)</f>
        <v>443</v>
      </c>
      <c r="E179">
        <f>IFERROR(__xludf.DUMMYFUNCTION("""COMPUTED_VALUE"""),31.69)</f>
        <v>31.69</v>
      </c>
      <c r="F179">
        <f>IFERROR(__xludf.DUMMYFUNCTION("""COMPUTED_VALUE"""),3.35)</f>
        <v>3.35</v>
      </c>
      <c r="G179">
        <f>IFERROR(__xludf.DUMMYFUNCTION("""COMPUTED_VALUE"""),40.91)</f>
        <v>40.91</v>
      </c>
    </row>
    <row r="180">
      <c r="A180">
        <f>IFERROR(__xludf.DUMMYFUNCTION("""COMPUTED_VALUE"""),170579.0)</f>
        <v>170579</v>
      </c>
      <c r="B180" t="str">
        <f>IFERROR(__xludf.DUMMYFUNCTION("""COMPUTED_VALUE"""),"Dried Coconut")</f>
        <v>Dried Coconut</v>
      </c>
      <c r="C180" t="str">
        <f>IFERROR(__xludf.DUMMYFUNCTION("""COMPUTED_VALUE"""),"Nuts and Seeds")</f>
        <v>Nuts and Seeds</v>
      </c>
      <c r="D180">
        <f>IFERROR(__xludf.DUMMYFUNCTION("""COMPUTED_VALUE"""),592.0)</f>
        <v>592</v>
      </c>
      <c r="E180">
        <f>IFERROR(__xludf.DUMMYFUNCTION("""COMPUTED_VALUE"""),47.0)</f>
        <v>47</v>
      </c>
      <c r="F180">
        <f>IFERROR(__xludf.DUMMYFUNCTION("""COMPUTED_VALUE"""),5.3)</f>
        <v>5.3</v>
      </c>
      <c r="G180">
        <f>IFERROR(__xludf.DUMMYFUNCTION("""COMPUTED_VALUE"""),44.4)</f>
        <v>44.4</v>
      </c>
    </row>
    <row r="181">
      <c r="A181">
        <f>IFERROR(__xludf.DUMMYFUNCTION("""COMPUTED_VALUE"""),170580.0)</f>
        <v>170580</v>
      </c>
      <c r="B181" t="str">
        <f>IFERROR(__xludf.DUMMYFUNCTION("""COMPUTED_VALUE"""),"Nuts Coconut Cream Raw (Liquid Expressed From Grated Meat)")</f>
        <v>Nuts Coconut Cream Raw (Liquid Expressed From Grated Meat)</v>
      </c>
      <c r="C181" t="str">
        <f>IFERROR(__xludf.DUMMYFUNCTION("""COMPUTED_VALUE"""),"Nuts and Seeds")</f>
        <v>Nuts and Seeds</v>
      </c>
      <c r="D181">
        <f>IFERROR(__xludf.DUMMYFUNCTION("""COMPUTED_VALUE"""),330.0)</f>
        <v>330</v>
      </c>
      <c r="E181">
        <f>IFERROR(__xludf.DUMMYFUNCTION("""COMPUTED_VALUE"""),34.68)</f>
        <v>34.68</v>
      </c>
      <c r="F181">
        <f>IFERROR(__xludf.DUMMYFUNCTION("""COMPUTED_VALUE"""),3.63)</f>
        <v>3.63</v>
      </c>
      <c r="G181">
        <f>IFERROR(__xludf.DUMMYFUNCTION("""COMPUTED_VALUE"""),6.65)</f>
        <v>6.65</v>
      </c>
    </row>
    <row r="182">
      <c r="A182">
        <f>IFERROR(__xludf.DUMMYFUNCTION("""COMPUTED_VALUE"""),170581.0)</f>
        <v>170581</v>
      </c>
      <c r="B182" t="str">
        <f>IFERROR(__xludf.DUMMYFUNCTION("""COMPUTED_VALUE"""),"Hazelnuts")</f>
        <v>Hazelnuts</v>
      </c>
      <c r="C182" t="str">
        <f>IFERROR(__xludf.DUMMYFUNCTION("""COMPUTED_VALUE"""),"Nuts and Seeds")</f>
        <v>Nuts and Seeds</v>
      </c>
      <c r="D182">
        <f>IFERROR(__xludf.DUMMYFUNCTION("""COMPUTED_VALUE"""),628.0)</f>
        <v>628</v>
      </c>
      <c r="E182">
        <f>IFERROR(__xludf.DUMMYFUNCTION("""COMPUTED_VALUE"""),60.75)</f>
        <v>60.75</v>
      </c>
      <c r="F182">
        <f>IFERROR(__xludf.DUMMYFUNCTION("""COMPUTED_VALUE"""),14.95)</f>
        <v>14.95</v>
      </c>
      <c r="G182">
        <f>IFERROR(__xludf.DUMMYFUNCTION("""COMPUTED_VALUE"""),16.7)</f>
        <v>16.7</v>
      </c>
    </row>
    <row r="183">
      <c r="A183">
        <f>IFERROR(__xludf.DUMMYFUNCTION("""COMPUTED_VALUE"""),170582.0)</f>
        <v>170582</v>
      </c>
      <c r="B183" t="str">
        <f>IFERROR(__xludf.DUMMYFUNCTION("""COMPUTED_VALUE"""),"Nuts Hazelnuts Or Filberts Blanched")</f>
        <v>Nuts Hazelnuts Or Filberts Blanched</v>
      </c>
      <c r="C183" t="str">
        <f>IFERROR(__xludf.DUMMYFUNCTION("""COMPUTED_VALUE"""),"Nuts and Seeds")</f>
        <v>Nuts and Seeds</v>
      </c>
      <c r="D183">
        <f>IFERROR(__xludf.DUMMYFUNCTION("""COMPUTED_VALUE"""),629.0)</f>
        <v>629</v>
      </c>
      <c r="E183">
        <f>IFERROR(__xludf.DUMMYFUNCTION("""COMPUTED_VALUE"""),61.15)</f>
        <v>61.15</v>
      </c>
      <c r="F183">
        <f>IFERROR(__xludf.DUMMYFUNCTION("""COMPUTED_VALUE"""),13.7)</f>
        <v>13.7</v>
      </c>
      <c r="G183">
        <f>IFERROR(__xludf.DUMMYFUNCTION("""COMPUTED_VALUE"""),17.0)</f>
        <v>17</v>
      </c>
    </row>
    <row r="184">
      <c r="A184">
        <f>IFERROR(__xludf.DUMMYFUNCTION("""COMPUTED_VALUE"""),170583.0)</f>
        <v>170583</v>
      </c>
      <c r="B184" t="str">
        <f>IFERROR(__xludf.DUMMYFUNCTION("""COMPUTED_VALUE"""),"Dry Roasted Hazelnuts")</f>
        <v>Dry Roasted Hazelnuts</v>
      </c>
      <c r="C184" t="str">
        <f>IFERROR(__xludf.DUMMYFUNCTION("""COMPUTED_VALUE"""),"Nuts and Seeds")</f>
        <v>Nuts and Seeds</v>
      </c>
      <c r="D184">
        <f>IFERROR(__xludf.DUMMYFUNCTION("""COMPUTED_VALUE"""),646.0)</f>
        <v>646</v>
      </c>
      <c r="E184">
        <f>IFERROR(__xludf.DUMMYFUNCTION("""COMPUTED_VALUE"""),62.4)</f>
        <v>62.4</v>
      </c>
      <c r="F184">
        <f>IFERROR(__xludf.DUMMYFUNCTION("""COMPUTED_VALUE"""),15.03)</f>
        <v>15.03</v>
      </c>
      <c r="G184">
        <f>IFERROR(__xludf.DUMMYFUNCTION("""COMPUTED_VALUE"""),17.6)</f>
        <v>17.6</v>
      </c>
    </row>
    <row r="185">
      <c r="A185">
        <f>IFERROR(__xludf.DUMMYFUNCTION("""COMPUTED_VALUE"""),170584.0)</f>
        <v>170584</v>
      </c>
      <c r="B185" t="str">
        <f>IFERROR(__xludf.DUMMYFUNCTION("""COMPUTED_VALUE"""),"Ginko Nuts")</f>
        <v>Ginko Nuts</v>
      </c>
      <c r="C185" t="str">
        <f>IFERROR(__xludf.DUMMYFUNCTION("""COMPUTED_VALUE"""),"Nuts and Seeds")</f>
        <v>Nuts and Seeds</v>
      </c>
      <c r="D185">
        <f>IFERROR(__xludf.DUMMYFUNCTION("""COMPUTED_VALUE"""),182.0)</f>
        <v>182</v>
      </c>
      <c r="E185">
        <f>IFERROR(__xludf.DUMMYFUNCTION("""COMPUTED_VALUE"""),1.68)</f>
        <v>1.68</v>
      </c>
      <c r="F185">
        <f>IFERROR(__xludf.DUMMYFUNCTION("""COMPUTED_VALUE"""),4.32)</f>
        <v>4.32</v>
      </c>
      <c r="G185">
        <f>IFERROR(__xludf.DUMMYFUNCTION("""COMPUTED_VALUE"""),37.6)</f>
        <v>37.6</v>
      </c>
    </row>
    <row r="186">
      <c r="A186">
        <f>IFERROR(__xludf.DUMMYFUNCTION("""COMPUTED_VALUE"""),170585.0)</f>
        <v>170585</v>
      </c>
      <c r="B186" t="str">
        <f>IFERROR(__xludf.DUMMYFUNCTION("""COMPUTED_VALUE"""),"Dry-Roasted Mixed Nuts (Salted)")</f>
        <v>Dry-Roasted Mixed Nuts (Salted)</v>
      </c>
      <c r="C186" t="str">
        <f>IFERROR(__xludf.DUMMYFUNCTION("""COMPUTED_VALUE"""),"Nuts and Seeds")</f>
        <v>Nuts and Seeds</v>
      </c>
      <c r="D186">
        <f>IFERROR(__xludf.DUMMYFUNCTION("""COMPUTED_VALUE"""),607.0)</f>
        <v>607</v>
      </c>
      <c r="E186">
        <f>IFERROR(__xludf.DUMMYFUNCTION("""COMPUTED_VALUE"""),53.5)</f>
        <v>53.5</v>
      </c>
      <c r="F186">
        <f>IFERROR(__xludf.DUMMYFUNCTION("""COMPUTED_VALUE"""),19.5)</f>
        <v>19.5</v>
      </c>
      <c r="G186">
        <f>IFERROR(__xludf.DUMMYFUNCTION("""COMPUTED_VALUE"""),22.42)</f>
        <v>22.42</v>
      </c>
    </row>
    <row r="187">
      <c r="A187">
        <f>IFERROR(__xludf.DUMMYFUNCTION("""COMPUTED_VALUE"""),170586.0)</f>
        <v>170586</v>
      </c>
      <c r="B187" t="str">
        <f>IFERROR(__xludf.DUMMYFUNCTION("""COMPUTED_VALUE"""),"Nuts Mixed Nuts Dry Roasted With Peanuts Salt Added Planters Pistachio Blend")</f>
        <v>Nuts Mixed Nuts Dry Roasted With Peanuts Salt Added Planters Pistachio Blend</v>
      </c>
      <c r="C187" t="str">
        <f>IFERROR(__xludf.DUMMYFUNCTION("""COMPUTED_VALUE"""),"Nuts and Seeds")</f>
        <v>Nuts and Seeds</v>
      </c>
      <c r="D187">
        <f>IFERROR(__xludf.DUMMYFUNCTION("""COMPUTED_VALUE"""),572.0)</f>
        <v>572</v>
      </c>
      <c r="E187">
        <f>IFERROR(__xludf.DUMMYFUNCTION("""COMPUTED_VALUE"""),47.52)</f>
        <v>47.52</v>
      </c>
      <c r="F187">
        <f>IFERROR(__xludf.DUMMYFUNCTION("""COMPUTED_VALUE"""),23.28)</f>
        <v>23.28</v>
      </c>
      <c r="G187">
        <f>IFERROR(__xludf.DUMMYFUNCTION("""COMPUTED_VALUE"""),23.07)</f>
        <v>23.07</v>
      </c>
    </row>
    <row r="188">
      <c r="A188">
        <f>IFERROR(__xludf.DUMMYFUNCTION("""COMPUTED_VALUE"""),170587.0)</f>
        <v>170587</v>
      </c>
      <c r="B188" t="str">
        <f>IFERROR(__xludf.DUMMYFUNCTION("""COMPUTED_VALUE"""),"Nuts Mixed Nuts Oil Roasted With Peanuts Without Salt Added")</f>
        <v>Nuts Mixed Nuts Oil Roasted With Peanuts Without Salt Added</v>
      </c>
      <c r="C188" t="str">
        <f>IFERROR(__xludf.DUMMYFUNCTION("""COMPUTED_VALUE"""),"Nuts and Seeds")</f>
        <v>Nuts and Seeds</v>
      </c>
      <c r="D188">
        <f>IFERROR(__xludf.DUMMYFUNCTION("""COMPUTED_VALUE"""),607.0)</f>
        <v>607</v>
      </c>
      <c r="E188">
        <f>IFERROR(__xludf.DUMMYFUNCTION("""COMPUTED_VALUE"""),53.95)</f>
        <v>53.95</v>
      </c>
      <c r="F188">
        <f>IFERROR(__xludf.DUMMYFUNCTION("""COMPUTED_VALUE"""),20.04)</f>
        <v>20.04</v>
      </c>
      <c r="G188">
        <f>IFERROR(__xludf.DUMMYFUNCTION("""COMPUTED_VALUE"""),21.05)</f>
        <v>21.05</v>
      </c>
    </row>
    <row r="189">
      <c r="A189">
        <f>IFERROR(__xludf.DUMMYFUNCTION("""COMPUTED_VALUE"""),170588.0)</f>
        <v>170588</v>
      </c>
      <c r="B189" t="str">
        <f>IFERROR(__xludf.DUMMYFUNCTION("""COMPUTED_VALUE"""),"Nuts Mixed Nuts Oil Roasted Without Peanuts Without Salt Added")</f>
        <v>Nuts Mixed Nuts Oil Roasted Without Peanuts Without Salt Added</v>
      </c>
      <c r="C189" t="str">
        <f>IFERROR(__xludf.DUMMYFUNCTION("""COMPUTED_VALUE"""),"Nuts and Seeds")</f>
        <v>Nuts and Seeds</v>
      </c>
      <c r="D189">
        <f>IFERROR(__xludf.DUMMYFUNCTION("""COMPUTED_VALUE"""),615.0)</f>
        <v>615</v>
      </c>
      <c r="E189">
        <f>IFERROR(__xludf.DUMMYFUNCTION("""COMPUTED_VALUE"""),56.17)</f>
        <v>56.17</v>
      </c>
      <c r="F189">
        <f>IFERROR(__xludf.DUMMYFUNCTION("""COMPUTED_VALUE"""),15.52)</f>
        <v>15.52</v>
      </c>
      <c r="G189">
        <f>IFERROR(__xludf.DUMMYFUNCTION("""COMPUTED_VALUE"""),22.27)</f>
        <v>22.27</v>
      </c>
    </row>
    <row r="190">
      <c r="A190">
        <f>IFERROR(__xludf.DUMMYFUNCTION("""COMPUTED_VALUE"""),170589.0)</f>
        <v>170589</v>
      </c>
      <c r="B190" t="str">
        <f>IFERROR(__xludf.DUMMYFUNCTION("""COMPUTED_VALUE"""),"Nuts Pecans Oil Roasted Without Salt Added")</f>
        <v>Nuts Pecans Oil Roasted Without Salt Added</v>
      </c>
      <c r="C190" t="str">
        <f>IFERROR(__xludf.DUMMYFUNCTION("""COMPUTED_VALUE"""),"Nuts and Seeds")</f>
        <v>Nuts and Seeds</v>
      </c>
      <c r="D190">
        <f>IFERROR(__xludf.DUMMYFUNCTION("""COMPUTED_VALUE"""),715.0)</f>
        <v>715</v>
      </c>
      <c r="E190">
        <f>IFERROR(__xludf.DUMMYFUNCTION("""COMPUTED_VALUE"""),75.23)</f>
        <v>75.23</v>
      </c>
      <c r="F190">
        <f>IFERROR(__xludf.DUMMYFUNCTION("""COMPUTED_VALUE"""),9.2)</f>
        <v>9.2</v>
      </c>
      <c r="G190">
        <f>IFERROR(__xludf.DUMMYFUNCTION("""COMPUTED_VALUE"""),13.01)</f>
        <v>13.01</v>
      </c>
    </row>
    <row r="191">
      <c r="A191">
        <f>IFERROR(__xludf.DUMMYFUNCTION("""COMPUTED_VALUE"""),170590.0)</f>
        <v>170590</v>
      </c>
      <c r="B191" t="str">
        <f>IFERROR(__xludf.DUMMYFUNCTION("""COMPUTED_VALUE"""),"Dried Pilinuts")</f>
        <v>Dried Pilinuts</v>
      </c>
      <c r="C191" t="str">
        <f>IFERROR(__xludf.DUMMYFUNCTION("""COMPUTED_VALUE"""),"Nuts and Seeds")</f>
        <v>Nuts and Seeds</v>
      </c>
      <c r="D191">
        <f>IFERROR(__xludf.DUMMYFUNCTION("""COMPUTED_VALUE"""),719.0)</f>
        <v>719</v>
      </c>
      <c r="E191">
        <f>IFERROR(__xludf.DUMMYFUNCTION("""COMPUTED_VALUE"""),79.55)</f>
        <v>79.55</v>
      </c>
      <c r="F191">
        <f>IFERROR(__xludf.DUMMYFUNCTION("""COMPUTED_VALUE"""),10.8)</f>
        <v>10.8</v>
      </c>
      <c r="G191">
        <f>IFERROR(__xludf.DUMMYFUNCTION("""COMPUTED_VALUE"""),3.98)</f>
        <v>3.98</v>
      </c>
    </row>
    <row r="192">
      <c r="A192">
        <f>IFERROR(__xludf.DUMMYFUNCTION("""COMPUTED_VALUE"""),170591.0)</f>
        <v>170591</v>
      </c>
      <c r="B192" t="str">
        <f>IFERROR(__xludf.DUMMYFUNCTION("""COMPUTED_VALUE"""),"Pine Nuts (Dried)")</f>
        <v>Pine Nuts (Dried)</v>
      </c>
      <c r="C192" t="str">
        <f>IFERROR(__xludf.DUMMYFUNCTION("""COMPUTED_VALUE"""),"Nuts and Seeds")</f>
        <v>Nuts and Seeds</v>
      </c>
      <c r="D192">
        <f>IFERROR(__xludf.DUMMYFUNCTION("""COMPUTED_VALUE"""),673.0)</f>
        <v>673</v>
      </c>
      <c r="E192">
        <f>IFERROR(__xludf.DUMMYFUNCTION("""COMPUTED_VALUE"""),68.37)</f>
        <v>68.37</v>
      </c>
      <c r="F192">
        <f>IFERROR(__xludf.DUMMYFUNCTION("""COMPUTED_VALUE"""),13.69)</f>
        <v>13.69</v>
      </c>
      <c r="G192">
        <f>IFERROR(__xludf.DUMMYFUNCTION("""COMPUTED_VALUE"""),13.08)</f>
        <v>13.08</v>
      </c>
    </row>
    <row r="193">
      <c r="A193">
        <f>IFERROR(__xludf.DUMMYFUNCTION("""COMPUTED_VALUE"""),170592.0)</f>
        <v>170592</v>
      </c>
      <c r="B193" t="str">
        <f>IFERROR(__xludf.DUMMYFUNCTION("""COMPUTED_VALUE"""),"Dried Pine Nuts")</f>
        <v>Dried Pine Nuts</v>
      </c>
      <c r="C193" t="str">
        <f>IFERROR(__xludf.DUMMYFUNCTION("""COMPUTED_VALUE"""),"Nuts and Seeds")</f>
        <v>Nuts and Seeds</v>
      </c>
      <c r="D193">
        <f>IFERROR(__xludf.DUMMYFUNCTION("""COMPUTED_VALUE"""),629.0)</f>
        <v>629</v>
      </c>
      <c r="E193">
        <f>IFERROR(__xludf.DUMMYFUNCTION("""COMPUTED_VALUE"""),60.98)</f>
        <v>60.98</v>
      </c>
      <c r="F193">
        <f>IFERROR(__xludf.DUMMYFUNCTION("""COMPUTED_VALUE"""),11.57)</f>
        <v>11.57</v>
      </c>
      <c r="G193">
        <f>IFERROR(__xludf.DUMMYFUNCTION("""COMPUTED_VALUE"""),19.3)</f>
        <v>19.3</v>
      </c>
    </row>
    <row r="194">
      <c r="A194">
        <f>IFERROR(__xludf.DUMMYFUNCTION("""COMPUTED_VALUE"""),170593.0)</f>
        <v>170593</v>
      </c>
      <c r="B194" t="str">
        <f>IFERROR(__xludf.DUMMYFUNCTION("""COMPUTED_VALUE"""),"Nuts Walnuts Glazed")</f>
        <v>Nuts Walnuts Glazed</v>
      </c>
      <c r="C194" t="str">
        <f>IFERROR(__xludf.DUMMYFUNCTION("""COMPUTED_VALUE"""),"Nuts and Seeds")</f>
        <v>Nuts and Seeds</v>
      </c>
      <c r="D194">
        <f>IFERROR(__xludf.DUMMYFUNCTION("""COMPUTED_VALUE"""),500.0)</f>
        <v>500</v>
      </c>
      <c r="E194">
        <f>IFERROR(__xludf.DUMMYFUNCTION("""COMPUTED_VALUE"""),35.71)</f>
        <v>35.71</v>
      </c>
      <c r="F194">
        <f>IFERROR(__xludf.DUMMYFUNCTION("""COMPUTED_VALUE"""),8.28)</f>
        <v>8.28</v>
      </c>
      <c r="G194">
        <f>IFERROR(__xludf.DUMMYFUNCTION("""COMPUTED_VALUE"""),47.59)</f>
        <v>47.59</v>
      </c>
    </row>
    <row r="195">
      <c r="A195">
        <f>IFERROR(__xludf.DUMMYFUNCTION("""COMPUTED_VALUE"""),170594.0)</f>
        <v>170594</v>
      </c>
      <c r="B195" t="str">
        <f>IFERROR(__xludf.DUMMYFUNCTION("""COMPUTED_VALUE"""),"Nuts Walnuts Dry Roasted With Salt Added")</f>
        <v>Nuts Walnuts Dry Roasted With Salt Added</v>
      </c>
      <c r="C195" t="str">
        <f>IFERROR(__xludf.DUMMYFUNCTION("""COMPUTED_VALUE"""),"Nuts and Seeds")</f>
        <v>Nuts and Seeds</v>
      </c>
      <c r="D195">
        <f>IFERROR(__xludf.DUMMYFUNCTION("""COMPUTED_VALUE"""),643.0)</f>
        <v>643</v>
      </c>
      <c r="E195">
        <f>IFERROR(__xludf.DUMMYFUNCTION("""COMPUTED_VALUE"""),60.71)</f>
        <v>60.71</v>
      </c>
      <c r="F195">
        <f>IFERROR(__xludf.DUMMYFUNCTION("""COMPUTED_VALUE"""),14.29)</f>
        <v>14.29</v>
      </c>
      <c r="G195">
        <f>IFERROR(__xludf.DUMMYFUNCTION("""COMPUTED_VALUE"""),17.86)</f>
        <v>17.86</v>
      </c>
    </row>
    <row r="196">
      <c r="A196">
        <f>IFERROR(__xludf.DUMMYFUNCTION("""COMPUTED_VALUE"""),170595.0)</f>
        <v>170595</v>
      </c>
      <c r="B196" t="str">
        <f>IFERROR(__xludf.DUMMYFUNCTION("""COMPUTED_VALUE"""),"Seeds Breadfruit Seeds Roasted")</f>
        <v>Seeds Breadfruit Seeds Roasted</v>
      </c>
      <c r="C196" t="str">
        <f>IFERROR(__xludf.DUMMYFUNCTION("""COMPUTED_VALUE"""),"Nuts and Seeds")</f>
        <v>Nuts and Seeds</v>
      </c>
      <c r="D196">
        <f>IFERROR(__xludf.DUMMYFUNCTION("""COMPUTED_VALUE"""),207.0)</f>
        <v>207</v>
      </c>
      <c r="E196">
        <f>IFERROR(__xludf.DUMMYFUNCTION("""COMPUTED_VALUE"""),2.7)</f>
        <v>2.7</v>
      </c>
      <c r="F196">
        <f>IFERROR(__xludf.DUMMYFUNCTION("""COMPUTED_VALUE"""),6.2)</f>
        <v>6.2</v>
      </c>
      <c r="G196">
        <f>IFERROR(__xludf.DUMMYFUNCTION("""COMPUTED_VALUE"""),40.1)</f>
        <v>40.1</v>
      </c>
    </row>
    <row r="197">
      <c r="A197">
        <f>IFERROR(__xludf.DUMMYFUNCTION("""COMPUTED_VALUE"""),170596.0)</f>
        <v>170596</v>
      </c>
      <c r="B197" t="str">
        <f>IFERROR(__xludf.DUMMYFUNCTION("""COMPUTED_VALUE"""),"Seeds Cottonseed Kernels Roasted (Glandless)")</f>
        <v>Seeds Cottonseed Kernels Roasted (Glandless)</v>
      </c>
      <c r="C197" t="str">
        <f>IFERROR(__xludf.DUMMYFUNCTION("""COMPUTED_VALUE"""),"Nuts and Seeds")</f>
        <v>Nuts and Seeds</v>
      </c>
      <c r="D197">
        <f>IFERROR(__xludf.DUMMYFUNCTION("""COMPUTED_VALUE"""),506.0)</f>
        <v>506</v>
      </c>
      <c r="E197">
        <f>IFERROR(__xludf.DUMMYFUNCTION("""COMPUTED_VALUE"""),36.29)</f>
        <v>36.29</v>
      </c>
      <c r="F197">
        <f>IFERROR(__xludf.DUMMYFUNCTION("""COMPUTED_VALUE"""),32.59)</f>
        <v>32.59</v>
      </c>
      <c r="G197">
        <f>IFERROR(__xludf.DUMMYFUNCTION("""COMPUTED_VALUE"""),21.9)</f>
        <v>21.9</v>
      </c>
    </row>
    <row r="198">
      <c r="A198">
        <f>IFERROR(__xludf.DUMMYFUNCTION("""COMPUTED_VALUE"""),170843.0)</f>
        <v>170843</v>
      </c>
      <c r="B198" t="str">
        <f>IFERROR(__xludf.DUMMYFUNCTION("""COMPUTED_VALUE"""),"Fontina Cheese")</f>
        <v>Fontina Cheese</v>
      </c>
      <c r="C198" t="str">
        <f>IFERROR(__xludf.DUMMYFUNCTION("""COMPUTED_VALUE"""),"Dairy and Egg Products")</f>
        <v>Dairy and Egg Products</v>
      </c>
      <c r="D198">
        <f>IFERROR(__xludf.DUMMYFUNCTION("""COMPUTED_VALUE"""),389.0)</f>
        <v>389</v>
      </c>
      <c r="E198">
        <f>IFERROR(__xludf.DUMMYFUNCTION("""COMPUTED_VALUE"""),31.14)</f>
        <v>31.14</v>
      </c>
      <c r="F198">
        <f>IFERROR(__xludf.DUMMYFUNCTION("""COMPUTED_VALUE"""),25.6)</f>
        <v>25.6</v>
      </c>
      <c r="G198">
        <f>IFERROR(__xludf.DUMMYFUNCTION("""COMPUTED_VALUE"""),1.55)</f>
        <v>1.55</v>
      </c>
    </row>
    <row r="199">
      <c r="A199">
        <f>IFERROR(__xludf.DUMMYFUNCTION("""COMPUTED_VALUE"""),170844.0)</f>
        <v>170844</v>
      </c>
      <c r="B199" t="str">
        <f>IFERROR(__xludf.DUMMYFUNCTION("""COMPUTED_VALUE"""),"Monterey Cheese")</f>
        <v>Monterey Cheese</v>
      </c>
      <c r="C199" t="str">
        <f>IFERROR(__xludf.DUMMYFUNCTION("""COMPUTED_VALUE"""),"Dairy and Egg Products")</f>
        <v>Dairy and Egg Products</v>
      </c>
      <c r="D199">
        <f>IFERROR(__xludf.DUMMYFUNCTION("""COMPUTED_VALUE"""),373.0)</f>
        <v>373</v>
      </c>
      <c r="E199">
        <f>IFERROR(__xludf.DUMMYFUNCTION("""COMPUTED_VALUE"""),30.28)</f>
        <v>30.28</v>
      </c>
      <c r="F199">
        <f>IFERROR(__xludf.DUMMYFUNCTION("""COMPUTED_VALUE"""),24.48)</f>
        <v>24.48</v>
      </c>
      <c r="G199">
        <f>IFERROR(__xludf.DUMMYFUNCTION("""COMPUTED_VALUE"""),0.68)</f>
        <v>0.68</v>
      </c>
    </row>
    <row r="200">
      <c r="A200">
        <f>IFERROR(__xludf.DUMMYFUNCTION("""COMPUTED_VALUE"""),170845.0)</f>
        <v>170845</v>
      </c>
      <c r="B200" t="str">
        <f>IFERROR(__xludf.DUMMYFUNCTION("""COMPUTED_VALUE"""),"Mozzarella")</f>
        <v>Mozzarella</v>
      </c>
      <c r="C200" t="str">
        <f>IFERROR(__xludf.DUMMYFUNCTION("""COMPUTED_VALUE"""),"Dairy and Egg Products")</f>
        <v>Dairy and Egg Products</v>
      </c>
      <c r="D200">
        <f>IFERROR(__xludf.DUMMYFUNCTION("""COMPUTED_VALUE"""),299.0)</f>
        <v>299</v>
      </c>
      <c r="E200">
        <f>IFERROR(__xludf.DUMMYFUNCTION("""COMPUTED_VALUE"""),22.14)</f>
        <v>22.14</v>
      </c>
      <c r="F200">
        <f>IFERROR(__xludf.DUMMYFUNCTION("""COMPUTED_VALUE"""),22.17)</f>
        <v>22.17</v>
      </c>
      <c r="G200">
        <f>IFERROR(__xludf.DUMMYFUNCTION("""COMPUTED_VALUE"""),2.4)</f>
        <v>2.4</v>
      </c>
    </row>
    <row r="201">
      <c r="A201">
        <f>IFERROR(__xludf.DUMMYFUNCTION("""COMPUTED_VALUE"""),170846.0)</f>
        <v>170846</v>
      </c>
      <c r="B201" t="str">
        <f>IFERROR(__xludf.DUMMYFUNCTION("""COMPUTED_VALUE"""),"Mozzarella (Hard)")</f>
        <v>Mozzarella (Hard)</v>
      </c>
      <c r="C201" t="str">
        <f>IFERROR(__xludf.DUMMYFUNCTION("""COMPUTED_VALUE"""),"Dairy and Egg Products")</f>
        <v>Dairy and Egg Products</v>
      </c>
      <c r="D201">
        <f>IFERROR(__xludf.DUMMYFUNCTION("""COMPUTED_VALUE"""),318.0)</f>
        <v>318</v>
      </c>
      <c r="E201">
        <f>IFERROR(__xludf.DUMMYFUNCTION("""COMPUTED_VALUE"""),24.64)</f>
        <v>24.64</v>
      </c>
      <c r="F201">
        <f>IFERROR(__xludf.DUMMYFUNCTION("""COMPUTED_VALUE"""),21.6)</f>
        <v>21.6</v>
      </c>
      <c r="G201">
        <f>IFERROR(__xludf.DUMMYFUNCTION("""COMPUTED_VALUE"""),2.47)</f>
        <v>2.47</v>
      </c>
    </row>
    <row r="202">
      <c r="A202">
        <f>IFERROR(__xludf.DUMMYFUNCTION("""COMPUTED_VALUE"""),170847.0)</f>
        <v>170847</v>
      </c>
      <c r="B202" t="str">
        <f>IFERROR(__xludf.DUMMYFUNCTION("""COMPUTED_VALUE"""),"Mozzarella (Lowfat)")</f>
        <v>Mozzarella (Lowfat)</v>
      </c>
      <c r="C202" t="str">
        <f>IFERROR(__xludf.DUMMYFUNCTION("""COMPUTED_VALUE"""),"Dairy and Egg Products")</f>
        <v>Dairy and Egg Products</v>
      </c>
      <c r="D202">
        <f>IFERROR(__xludf.DUMMYFUNCTION("""COMPUTED_VALUE"""),254.0)</f>
        <v>254</v>
      </c>
      <c r="E202">
        <f>IFERROR(__xludf.DUMMYFUNCTION("""COMPUTED_VALUE"""),15.92)</f>
        <v>15.92</v>
      </c>
      <c r="F202">
        <f>IFERROR(__xludf.DUMMYFUNCTION("""COMPUTED_VALUE"""),24.26)</f>
        <v>24.26</v>
      </c>
      <c r="G202">
        <f>IFERROR(__xludf.DUMMYFUNCTION("""COMPUTED_VALUE"""),2.77)</f>
        <v>2.77</v>
      </c>
    </row>
    <row r="203">
      <c r="A203">
        <f>IFERROR(__xludf.DUMMYFUNCTION("""COMPUTED_VALUE"""),170848.0)</f>
        <v>170848</v>
      </c>
      <c r="B203" t="str">
        <f>IFERROR(__xludf.DUMMYFUNCTION("""COMPUTED_VALUE"""),"Grated Parmesan (Hard)")</f>
        <v>Grated Parmesan (Hard)</v>
      </c>
      <c r="C203" t="str">
        <f>IFERROR(__xludf.DUMMYFUNCTION("""COMPUTED_VALUE"""),"Dairy and Egg Products")</f>
        <v>Dairy and Egg Products</v>
      </c>
      <c r="D203">
        <f>IFERROR(__xludf.DUMMYFUNCTION("""COMPUTED_VALUE"""),392.0)</f>
        <v>392</v>
      </c>
      <c r="E203">
        <f>IFERROR(__xludf.DUMMYFUNCTION("""COMPUTED_VALUE"""),25.0)</f>
        <v>25</v>
      </c>
      <c r="F203">
        <f>IFERROR(__xludf.DUMMYFUNCTION("""COMPUTED_VALUE"""),35.75)</f>
        <v>35.75</v>
      </c>
      <c r="G203">
        <f>IFERROR(__xludf.DUMMYFUNCTION("""COMPUTED_VALUE"""),3.22)</f>
        <v>3.22</v>
      </c>
    </row>
    <row r="204">
      <c r="A204">
        <f>IFERROR(__xludf.DUMMYFUNCTION("""COMPUTED_VALUE"""),170849.0)</f>
        <v>170849</v>
      </c>
      <c r="B204" t="str">
        <f>IFERROR(__xludf.DUMMYFUNCTION("""COMPUTED_VALUE"""),"Port De Salut Cheese")</f>
        <v>Port De Salut Cheese</v>
      </c>
      <c r="C204" t="str">
        <f>IFERROR(__xludf.DUMMYFUNCTION("""COMPUTED_VALUE"""),"Dairy and Egg Products")</f>
        <v>Dairy and Egg Products</v>
      </c>
      <c r="D204">
        <f>IFERROR(__xludf.DUMMYFUNCTION("""COMPUTED_VALUE"""),352.0)</f>
        <v>352</v>
      </c>
      <c r="E204">
        <f>IFERROR(__xludf.DUMMYFUNCTION("""COMPUTED_VALUE"""),28.2)</f>
        <v>28.2</v>
      </c>
      <c r="F204">
        <f>IFERROR(__xludf.DUMMYFUNCTION("""COMPUTED_VALUE"""),23.78)</f>
        <v>23.78</v>
      </c>
      <c r="G204">
        <f>IFERROR(__xludf.DUMMYFUNCTION("""COMPUTED_VALUE"""),0.57)</f>
        <v>0.57</v>
      </c>
    </row>
    <row r="205">
      <c r="A205">
        <f>IFERROR(__xludf.DUMMYFUNCTION("""COMPUTED_VALUE"""),170850.0)</f>
        <v>170850</v>
      </c>
      <c r="B205" t="str">
        <f>IFERROR(__xludf.DUMMYFUNCTION("""COMPUTED_VALUE"""),"Provolone Cheese")</f>
        <v>Provolone Cheese</v>
      </c>
      <c r="C205" t="str">
        <f>IFERROR(__xludf.DUMMYFUNCTION("""COMPUTED_VALUE"""),"Dairy and Egg Products")</f>
        <v>Dairy and Egg Products</v>
      </c>
      <c r="D205">
        <f>IFERROR(__xludf.DUMMYFUNCTION("""COMPUTED_VALUE"""),351.0)</f>
        <v>351</v>
      </c>
      <c r="E205">
        <f>IFERROR(__xludf.DUMMYFUNCTION("""COMPUTED_VALUE"""),26.62)</f>
        <v>26.62</v>
      </c>
      <c r="F205">
        <f>IFERROR(__xludf.DUMMYFUNCTION("""COMPUTED_VALUE"""),25.58)</f>
        <v>25.58</v>
      </c>
      <c r="G205">
        <f>IFERROR(__xludf.DUMMYFUNCTION("""COMPUTED_VALUE"""),2.14)</f>
        <v>2.14</v>
      </c>
    </row>
    <row r="206">
      <c r="A206">
        <f>IFERROR(__xludf.DUMMYFUNCTION("""COMPUTED_VALUE"""),170851.0)</f>
        <v>170851</v>
      </c>
      <c r="B206" t="str">
        <f>IFERROR(__xludf.DUMMYFUNCTION("""COMPUTED_VALUE"""),"Ricotta Cheese")</f>
        <v>Ricotta Cheese</v>
      </c>
      <c r="C206" t="str">
        <f>IFERROR(__xludf.DUMMYFUNCTION("""COMPUTED_VALUE"""),"Dairy and Egg Products")</f>
        <v>Dairy and Egg Products</v>
      </c>
      <c r="D206">
        <f>IFERROR(__xludf.DUMMYFUNCTION("""COMPUTED_VALUE"""),150.0)</f>
        <v>150</v>
      </c>
      <c r="E206">
        <f>IFERROR(__xludf.DUMMYFUNCTION("""COMPUTED_VALUE"""),10.18)</f>
        <v>10.18</v>
      </c>
      <c r="F206">
        <f>IFERROR(__xludf.DUMMYFUNCTION("""COMPUTED_VALUE"""),7.54)</f>
        <v>7.54</v>
      </c>
      <c r="G206">
        <f>IFERROR(__xludf.DUMMYFUNCTION("""COMPUTED_VALUE"""),7.27)</f>
        <v>7.27</v>
      </c>
    </row>
    <row r="207">
      <c r="A207">
        <f>IFERROR(__xludf.DUMMYFUNCTION("""COMPUTED_VALUE"""),170852.0)</f>
        <v>170852</v>
      </c>
      <c r="B207" t="str">
        <f>IFERROR(__xludf.DUMMYFUNCTION("""COMPUTED_VALUE"""),"Tilsit Cheese")</f>
        <v>Tilsit Cheese</v>
      </c>
      <c r="C207" t="str">
        <f>IFERROR(__xludf.DUMMYFUNCTION("""COMPUTED_VALUE"""),"Dairy and Egg Products")</f>
        <v>Dairy and Egg Products</v>
      </c>
      <c r="D207">
        <f>IFERROR(__xludf.DUMMYFUNCTION("""COMPUTED_VALUE"""),340.0)</f>
        <v>340</v>
      </c>
      <c r="E207">
        <f>IFERROR(__xludf.DUMMYFUNCTION("""COMPUTED_VALUE"""),25.98)</f>
        <v>25.98</v>
      </c>
      <c r="F207">
        <f>IFERROR(__xludf.DUMMYFUNCTION("""COMPUTED_VALUE"""),24.41)</f>
        <v>24.41</v>
      </c>
      <c r="G207">
        <f>IFERROR(__xludf.DUMMYFUNCTION("""COMPUTED_VALUE"""),1.88)</f>
        <v>1.88</v>
      </c>
    </row>
    <row r="208">
      <c r="A208">
        <f>IFERROR(__xludf.DUMMYFUNCTION("""COMPUTED_VALUE"""),170853.0)</f>
        <v>170853</v>
      </c>
      <c r="B208" t="str">
        <f>IFERROR(__xludf.DUMMYFUNCTION("""COMPUTED_VALUE"""),"Processed American Cheese (With Vitamin D)")</f>
        <v>Processed American Cheese (With Vitamin D)</v>
      </c>
      <c r="C208" t="str">
        <f>IFERROR(__xludf.DUMMYFUNCTION("""COMPUTED_VALUE"""),"Dairy and Egg Products")</f>
        <v>Dairy and Egg Products</v>
      </c>
      <c r="D208">
        <f>IFERROR(__xludf.DUMMYFUNCTION("""COMPUTED_VALUE"""),366.0)</f>
        <v>366</v>
      </c>
      <c r="E208">
        <f>IFERROR(__xludf.DUMMYFUNCTION("""COMPUTED_VALUE"""),30.71)</f>
        <v>30.71</v>
      </c>
      <c r="F208">
        <f>IFERROR(__xludf.DUMMYFUNCTION("""COMPUTED_VALUE"""),18.13)</f>
        <v>18.13</v>
      </c>
      <c r="G208">
        <f>IFERROR(__xludf.DUMMYFUNCTION("""COMPUTED_VALUE"""),4.78)</f>
        <v>4.78</v>
      </c>
    </row>
    <row r="209">
      <c r="A209">
        <f>IFERROR(__xludf.DUMMYFUNCTION("""COMPUTED_VALUE"""),170854.0)</f>
        <v>170854</v>
      </c>
      <c r="B209" t="str">
        <f>IFERROR(__xludf.DUMMYFUNCTION("""COMPUTED_VALUE"""),"Processed Pimento Cheese")</f>
        <v>Processed Pimento Cheese</v>
      </c>
      <c r="C209" t="str">
        <f>IFERROR(__xludf.DUMMYFUNCTION("""COMPUTED_VALUE"""),"Dairy and Egg Products")</f>
        <v>Dairy and Egg Products</v>
      </c>
      <c r="D209">
        <f>IFERROR(__xludf.DUMMYFUNCTION("""COMPUTED_VALUE"""),375.0)</f>
        <v>375</v>
      </c>
      <c r="E209">
        <f>IFERROR(__xludf.DUMMYFUNCTION("""COMPUTED_VALUE"""),31.2)</f>
        <v>31.2</v>
      </c>
      <c r="F209">
        <f>IFERROR(__xludf.DUMMYFUNCTION("""COMPUTED_VALUE"""),22.13)</f>
        <v>22.13</v>
      </c>
      <c r="G209">
        <f>IFERROR(__xludf.DUMMYFUNCTION("""COMPUTED_VALUE"""),1.73)</f>
        <v>1.73</v>
      </c>
    </row>
    <row r="210">
      <c r="A210">
        <f>IFERROR(__xludf.DUMMYFUNCTION("""COMPUTED_VALUE"""),170855.0)</f>
        <v>170855</v>
      </c>
      <c r="B210" t="str">
        <f>IFERROR(__xludf.DUMMYFUNCTION("""COMPUTED_VALUE"""),"Processed Swiss Cheese")</f>
        <v>Processed Swiss Cheese</v>
      </c>
      <c r="C210" t="str">
        <f>IFERROR(__xludf.DUMMYFUNCTION("""COMPUTED_VALUE"""),"Dairy and Egg Products")</f>
        <v>Dairy and Egg Products</v>
      </c>
      <c r="D210">
        <f>IFERROR(__xludf.DUMMYFUNCTION("""COMPUTED_VALUE"""),334.0)</f>
        <v>334</v>
      </c>
      <c r="E210">
        <f>IFERROR(__xludf.DUMMYFUNCTION("""COMPUTED_VALUE"""),25.01)</f>
        <v>25.01</v>
      </c>
      <c r="F210">
        <f>IFERROR(__xludf.DUMMYFUNCTION("""COMPUTED_VALUE"""),24.73)</f>
        <v>24.73</v>
      </c>
      <c r="G210">
        <f>IFERROR(__xludf.DUMMYFUNCTION("""COMPUTED_VALUE"""),2.1)</f>
        <v>2.1</v>
      </c>
    </row>
    <row r="211">
      <c r="A211">
        <f>IFERROR(__xludf.DUMMYFUNCTION("""COMPUTED_VALUE"""),170856.0)</f>
        <v>170856</v>
      </c>
      <c r="B211" t="str">
        <f>IFERROR(__xludf.DUMMYFUNCTION("""COMPUTED_VALUE"""),"Cold Pack American Cheese")</f>
        <v>Cold Pack American Cheese</v>
      </c>
      <c r="C211" t="str">
        <f>IFERROR(__xludf.DUMMYFUNCTION("""COMPUTED_VALUE"""),"Dairy and Egg Products")</f>
        <v>Dairy and Egg Products</v>
      </c>
      <c r="D211">
        <f>IFERROR(__xludf.DUMMYFUNCTION("""COMPUTED_VALUE"""),331.0)</f>
        <v>331</v>
      </c>
      <c r="E211">
        <f>IFERROR(__xludf.DUMMYFUNCTION("""COMPUTED_VALUE"""),24.46)</f>
        <v>24.46</v>
      </c>
      <c r="F211">
        <f>IFERROR(__xludf.DUMMYFUNCTION("""COMPUTED_VALUE"""),19.66)</f>
        <v>19.66</v>
      </c>
      <c r="G211">
        <f>IFERROR(__xludf.DUMMYFUNCTION("""COMPUTED_VALUE"""),8.32)</f>
        <v>8.32</v>
      </c>
    </row>
    <row r="212">
      <c r="A212">
        <f>IFERROR(__xludf.DUMMYFUNCTION("""COMPUTED_VALUE"""),170857.0)</f>
        <v>170857</v>
      </c>
      <c r="B212" t="str">
        <f>IFERROR(__xludf.DUMMYFUNCTION("""COMPUTED_VALUE"""),"Light Cream (Coffe Cream)")</f>
        <v>Light Cream (Coffe Cream)</v>
      </c>
      <c r="C212" t="str">
        <f>IFERROR(__xludf.DUMMYFUNCTION("""COMPUTED_VALUE"""),"Dairy and Egg Products")</f>
        <v>Dairy and Egg Products</v>
      </c>
      <c r="D212">
        <f>IFERROR(__xludf.DUMMYFUNCTION("""COMPUTED_VALUE"""),195.0)</f>
        <v>195</v>
      </c>
      <c r="E212">
        <f>IFERROR(__xludf.DUMMYFUNCTION("""COMPUTED_VALUE"""),19.1)</f>
        <v>19.1</v>
      </c>
      <c r="F212">
        <f>IFERROR(__xludf.DUMMYFUNCTION("""COMPUTED_VALUE"""),2.96)</f>
        <v>2.96</v>
      </c>
      <c r="G212">
        <f>IFERROR(__xludf.DUMMYFUNCTION("""COMPUTED_VALUE"""),3.66)</f>
        <v>3.66</v>
      </c>
    </row>
    <row r="213">
      <c r="A213">
        <f>IFERROR(__xludf.DUMMYFUNCTION("""COMPUTED_VALUE"""),170858.0)</f>
        <v>170858</v>
      </c>
      <c r="B213" t="str">
        <f>IFERROR(__xludf.DUMMYFUNCTION("""COMPUTED_VALUE"""),"Light Whipping Cream")</f>
        <v>Light Whipping Cream</v>
      </c>
      <c r="C213" t="str">
        <f>IFERROR(__xludf.DUMMYFUNCTION("""COMPUTED_VALUE"""),"Dairy and Egg Products")</f>
        <v>Dairy and Egg Products</v>
      </c>
      <c r="D213">
        <f>IFERROR(__xludf.DUMMYFUNCTION("""COMPUTED_VALUE"""),292.0)</f>
        <v>292</v>
      </c>
      <c r="E213">
        <f>IFERROR(__xludf.DUMMYFUNCTION("""COMPUTED_VALUE"""),30.91)</f>
        <v>30.91</v>
      </c>
      <c r="F213">
        <f>IFERROR(__xludf.DUMMYFUNCTION("""COMPUTED_VALUE"""),2.17)</f>
        <v>2.17</v>
      </c>
      <c r="G213">
        <f>IFERROR(__xludf.DUMMYFUNCTION("""COMPUTED_VALUE"""),2.96)</f>
        <v>2.96</v>
      </c>
    </row>
    <row r="214">
      <c r="A214">
        <f>IFERROR(__xludf.DUMMYFUNCTION("""COMPUTED_VALUE"""),170859.0)</f>
        <v>170859</v>
      </c>
      <c r="B214" t="str">
        <f>IFERROR(__xludf.DUMMYFUNCTION("""COMPUTED_VALUE"""),"Heavy Whipping Cream")</f>
        <v>Heavy Whipping Cream</v>
      </c>
      <c r="C214" t="str">
        <f>IFERROR(__xludf.DUMMYFUNCTION("""COMPUTED_VALUE"""),"Dairy and Egg Products")</f>
        <v>Dairy and Egg Products</v>
      </c>
      <c r="D214">
        <f>IFERROR(__xludf.DUMMYFUNCTION("""COMPUTED_VALUE"""),340.0)</f>
        <v>340</v>
      </c>
      <c r="E214">
        <f>IFERROR(__xludf.DUMMYFUNCTION("""COMPUTED_VALUE"""),36.08)</f>
        <v>36.08</v>
      </c>
      <c r="F214">
        <f>IFERROR(__xludf.DUMMYFUNCTION("""COMPUTED_VALUE"""),2.84)</f>
        <v>2.84</v>
      </c>
      <c r="G214">
        <f>IFERROR(__xludf.DUMMYFUNCTION("""COMPUTED_VALUE"""),2.84)</f>
        <v>2.84</v>
      </c>
    </row>
    <row r="215">
      <c r="A215">
        <f>IFERROR(__xludf.DUMMYFUNCTION("""COMPUTED_VALUE"""),170860.0)</f>
        <v>170860</v>
      </c>
      <c r="B215" t="str">
        <f>IFERROR(__xludf.DUMMYFUNCTION("""COMPUTED_VALUE"""),"Whipped Cream")</f>
        <v>Whipped Cream</v>
      </c>
      <c r="C215" t="str">
        <f>IFERROR(__xludf.DUMMYFUNCTION("""COMPUTED_VALUE"""),"Dairy and Egg Products")</f>
        <v>Dairy and Egg Products</v>
      </c>
      <c r="D215">
        <f>IFERROR(__xludf.DUMMYFUNCTION("""COMPUTED_VALUE"""),257.0)</f>
        <v>257</v>
      </c>
      <c r="E215">
        <f>IFERROR(__xludf.DUMMYFUNCTION("""COMPUTED_VALUE"""),22.22)</f>
        <v>22.22</v>
      </c>
      <c r="F215">
        <f>IFERROR(__xludf.DUMMYFUNCTION("""COMPUTED_VALUE"""),3.2)</f>
        <v>3.2</v>
      </c>
      <c r="G215">
        <f>IFERROR(__xludf.DUMMYFUNCTION("""COMPUTED_VALUE"""),12.49)</f>
        <v>12.49</v>
      </c>
    </row>
    <row r="216">
      <c r="A216">
        <f>IFERROR(__xludf.DUMMYFUNCTION("""COMPUTED_VALUE"""),170861.0)</f>
        <v>170861</v>
      </c>
      <c r="B216" t="str">
        <f>IFERROR(__xludf.DUMMYFUNCTION("""COMPUTED_VALUE"""),"Milk Filled Fluid With Blend Of Hydrogenated Vegetable Oils")</f>
        <v>Milk Filled Fluid With Blend Of Hydrogenated Vegetable Oils</v>
      </c>
      <c r="C216" t="str">
        <f>IFERROR(__xludf.DUMMYFUNCTION("""COMPUTED_VALUE"""),"Dairy and Egg Products")</f>
        <v>Dairy and Egg Products</v>
      </c>
      <c r="D216">
        <f>IFERROR(__xludf.DUMMYFUNCTION("""COMPUTED_VALUE"""),63.0)</f>
        <v>63</v>
      </c>
      <c r="E216">
        <f>IFERROR(__xludf.DUMMYFUNCTION("""COMPUTED_VALUE"""),3.46)</f>
        <v>3.46</v>
      </c>
      <c r="F216">
        <f>IFERROR(__xludf.DUMMYFUNCTION("""COMPUTED_VALUE"""),3.33)</f>
        <v>3.33</v>
      </c>
      <c r="G216">
        <f>IFERROR(__xludf.DUMMYFUNCTION("""COMPUTED_VALUE"""),4.74)</f>
        <v>4.74</v>
      </c>
    </row>
    <row r="217">
      <c r="A217">
        <f>IFERROR(__xludf.DUMMYFUNCTION("""COMPUTED_VALUE"""),170862.0)</f>
        <v>170862</v>
      </c>
      <c r="B217" t="str">
        <f>IFERROR(__xludf.DUMMYFUNCTION("""COMPUTED_VALUE"""),"Milk Filled Fluid With Lauric Acid Oil")</f>
        <v>Milk Filled Fluid With Lauric Acid Oil</v>
      </c>
      <c r="C217" t="str">
        <f>IFERROR(__xludf.DUMMYFUNCTION("""COMPUTED_VALUE"""),"Dairy and Egg Products")</f>
        <v>Dairy and Egg Products</v>
      </c>
      <c r="D217">
        <f>IFERROR(__xludf.DUMMYFUNCTION("""COMPUTED_VALUE"""),63.0)</f>
        <v>63</v>
      </c>
      <c r="E217">
        <f>IFERROR(__xludf.DUMMYFUNCTION("""COMPUTED_VALUE"""),3.4)</f>
        <v>3.4</v>
      </c>
      <c r="F217">
        <f>IFERROR(__xludf.DUMMYFUNCTION("""COMPUTED_VALUE"""),3.33)</f>
        <v>3.33</v>
      </c>
      <c r="G217">
        <f>IFERROR(__xludf.DUMMYFUNCTION("""COMPUTED_VALUE"""),4.74)</f>
        <v>4.74</v>
      </c>
    </row>
    <row r="218">
      <c r="A218">
        <f>IFERROR(__xludf.DUMMYFUNCTION("""COMPUTED_VALUE"""),170863.0)</f>
        <v>170863</v>
      </c>
      <c r="B218" t="str">
        <f>IFERROR(__xludf.DUMMYFUNCTION("""COMPUTED_VALUE"""),"Nonfat American Cheese")</f>
        <v>Nonfat American Cheese</v>
      </c>
      <c r="C218" t="str">
        <f>IFERROR(__xludf.DUMMYFUNCTION("""COMPUTED_VALUE"""),"Dairy and Egg Products")</f>
        <v>Dairy and Egg Products</v>
      </c>
      <c r="D218">
        <f>IFERROR(__xludf.DUMMYFUNCTION("""COMPUTED_VALUE"""),126.0)</f>
        <v>126</v>
      </c>
      <c r="E218">
        <f>IFERROR(__xludf.DUMMYFUNCTION("""COMPUTED_VALUE"""),0.0)</f>
        <v>0</v>
      </c>
      <c r="F218">
        <f>IFERROR(__xludf.DUMMYFUNCTION("""COMPUTED_VALUE"""),21.05)</f>
        <v>21.05</v>
      </c>
      <c r="G218">
        <f>IFERROR(__xludf.DUMMYFUNCTION("""COMPUTED_VALUE"""),10.53)</f>
        <v>10.53</v>
      </c>
    </row>
    <row r="219">
      <c r="A219">
        <f>IFERROR(__xludf.DUMMYFUNCTION("""COMPUTED_VALUE"""),170865.0)</f>
        <v>170865</v>
      </c>
      <c r="B219" t="str">
        <f>IFERROR(__xludf.DUMMYFUNCTION("""COMPUTED_VALUE"""),"Dessert Topping Powdered")</f>
        <v>Dessert Topping Powdered</v>
      </c>
      <c r="C219" t="str">
        <f>IFERROR(__xludf.DUMMYFUNCTION("""COMPUTED_VALUE"""),"Dairy and Egg Products")</f>
        <v>Dairy and Egg Products</v>
      </c>
      <c r="D219">
        <f>IFERROR(__xludf.DUMMYFUNCTION("""COMPUTED_VALUE"""),577.0)</f>
        <v>577</v>
      </c>
      <c r="E219">
        <f>IFERROR(__xludf.DUMMYFUNCTION("""COMPUTED_VALUE"""),39.92)</f>
        <v>39.92</v>
      </c>
      <c r="F219">
        <f>IFERROR(__xludf.DUMMYFUNCTION("""COMPUTED_VALUE"""),4.9)</f>
        <v>4.9</v>
      </c>
      <c r="G219">
        <f>IFERROR(__xludf.DUMMYFUNCTION("""COMPUTED_VALUE"""),52.54)</f>
        <v>52.54</v>
      </c>
    </row>
    <row r="220">
      <c r="A220">
        <f>IFERROR(__xludf.DUMMYFUNCTION("""COMPUTED_VALUE"""),170866.0)</f>
        <v>170866</v>
      </c>
      <c r="B220" t="str">
        <f>IFERROR(__xludf.DUMMYFUNCTION("""COMPUTED_VALUE"""),"Dessert Topping Powdered 1.5 Ounce Prepared With 1/2 Cup Milk")</f>
        <v>Dessert Topping Powdered 1.5 Ounce Prepared With 1/2 Cup Milk</v>
      </c>
      <c r="C220" t="str">
        <f>IFERROR(__xludf.DUMMYFUNCTION("""COMPUTED_VALUE"""),"Dairy and Egg Products")</f>
        <v>Dairy and Egg Products</v>
      </c>
      <c r="D220">
        <f>IFERROR(__xludf.DUMMYFUNCTION("""COMPUTED_VALUE"""),194.0)</f>
        <v>194</v>
      </c>
      <c r="E220">
        <f>IFERROR(__xludf.DUMMYFUNCTION("""COMPUTED_VALUE"""),12.72)</f>
        <v>12.72</v>
      </c>
      <c r="F220">
        <f>IFERROR(__xludf.DUMMYFUNCTION("""COMPUTED_VALUE"""),3.61)</f>
        <v>3.61</v>
      </c>
      <c r="G220">
        <f>IFERROR(__xludf.DUMMYFUNCTION("""COMPUTED_VALUE"""),17.13)</f>
        <v>17.13</v>
      </c>
    </row>
    <row r="221">
      <c r="A221">
        <f>IFERROR(__xludf.DUMMYFUNCTION("""COMPUTED_VALUE"""),170867.0)</f>
        <v>170867</v>
      </c>
      <c r="B221" t="str">
        <f>IFERROR(__xludf.DUMMYFUNCTION("""COMPUTED_VALUE"""),"Dessert Topping Pressurized")</f>
        <v>Dessert Topping Pressurized</v>
      </c>
      <c r="C221" t="str">
        <f>IFERROR(__xludf.DUMMYFUNCTION("""COMPUTED_VALUE"""),"Dairy and Egg Products")</f>
        <v>Dairy and Egg Products</v>
      </c>
      <c r="D221">
        <f>IFERROR(__xludf.DUMMYFUNCTION("""COMPUTED_VALUE"""),264.0)</f>
        <v>264</v>
      </c>
      <c r="E221">
        <f>IFERROR(__xludf.DUMMYFUNCTION("""COMPUTED_VALUE"""),22.3)</f>
        <v>22.3</v>
      </c>
      <c r="F221">
        <f>IFERROR(__xludf.DUMMYFUNCTION("""COMPUTED_VALUE"""),0.98)</f>
        <v>0.98</v>
      </c>
      <c r="G221">
        <f>IFERROR(__xludf.DUMMYFUNCTION("""COMPUTED_VALUE"""),16.07)</f>
        <v>16.07</v>
      </c>
    </row>
    <row r="222">
      <c r="A222">
        <f>IFERROR(__xludf.DUMMYFUNCTION("""COMPUTED_VALUE"""),170868.0)</f>
        <v>170868</v>
      </c>
      <c r="B222" t="str">
        <f>IFERROR(__xludf.DUMMYFUNCTION("""COMPUTED_VALUE"""),"Dessert Topping Semi Solid Frozen")</f>
        <v>Dessert Topping Semi Solid Frozen</v>
      </c>
      <c r="C222" t="str">
        <f>IFERROR(__xludf.DUMMYFUNCTION("""COMPUTED_VALUE"""),"Dairy and Egg Products")</f>
        <v>Dairy and Egg Products</v>
      </c>
      <c r="D222">
        <f>IFERROR(__xludf.DUMMYFUNCTION("""COMPUTED_VALUE"""),318.0)</f>
        <v>318</v>
      </c>
      <c r="E222">
        <f>IFERROR(__xludf.DUMMYFUNCTION("""COMPUTED_VALUE"""),25.31)</f>
        <v>25.31</v>
      </c>
      <c r="F222">
        <f>IFERROR(__xludf.DUMMYFUNCTION("""COMPUTED_VALUE"""),1.25)</f>
        <v>1.25</v>
      </c>
      <c r="G222">
        <f>IFERROR(__xludf.DUMMYFUNCTION("""COMPUTED_VALUE"""),23.05)</f>
        <v>23.05</v>
      </c>
    </row>
    <row r="223">
      <c r="A223">
        <f>IFERROR(__xludf.DUMMYFUNCTION("""COMPUTED_VALUE"""),170869.0)</f>
        <v>170869</v>
      </c>
      <c r="B223" t="str">
        <f>IFERROR(__xludf.DUMMYFUNCTION("""COMPUTED_VALUE"""),"Imitation Sour Cream")</f>
        <v>Imitation Sour Cream</v>
      </c>
      <c r="C223" t="str">
        <f>IFERROR(__xludf.DUMMYFUNCTION("""COMPUTED_VALUE"""),"Dairy and Egg Products")</f>
        <v>Dairy and Egg Products</v>
      </c>
      <c r="D223">
        <f>IFERROR(__xludf.DUMMYFUNCTION("""COMPUTED_VALUE"""),208.0)</f>
        <v>208</v>
      </c>
      <c r="E223">
        <f>IFERROR(__xludf.DUMMYFUNCTION("""COMPUTED_VALUE"""),19.52)</f>
        <v>19.52</v>
      </c>
      <c r="F223">
        <f>IFERROR(__xludf.DUMMYFUNCTION("""COMPUTED_VALUE"""),2.4)</f>
        <v>2.4</v>
      </c>
      <c r="G223">
        <f>IFERROR(__xludf.DUMMYFUNCTION("""COMPUTED_VALUE"""),6.63)</f>
        <v>6.63</v>
      </c>
    </row>
    <row r="224">
      <c r="A224">
        <f>IFERROR(__xludf.DUMMYFUNCTION("""COMPUTED_VALUE"""),170870.0)</f>
        <v>170870</v>
      </c>
      <c r="B224" t="str">
        <f>IFERROR(__xludf.DUMMYFUNCTION("""COMPUTED_VALUE"""),"Milk Reduced Fat Fluid 2% Milkfat With Added Nonfat Milk Solids And Vitamin A And Vitamin D")</f>
        <v>Milk Reduced Fat Fluid 2% Milkfat With Added Nonfat Milk Solids And Vitamin A And Vitamin D</v>
      </c>
      <c r="C224" t="str">
        <f>IFERROR(__xludf.DUMMYFUNCTION("""COMPUTED_VALUE"""),"Dairy and Egg Products")</f>
        <v>Dairy and Egg Products</v>
      </c>
      <c r="D224">
        <f>IFERROR(__xludf.DUMMYFUNCTION("""COMPUTED_VALUE"""),51.0)</f>
        <v>51</v>
      </c>
      <c r="E224">
        <f>IFERROR(__xludf.DUMMYFUNCTION("""COMPUTED_VALUE"""),1.92)</f>
        <v>1.92</v>
      </c>
      <c r="F224">
        <f>IFERROR(__xludf.DUMMYFUNCTION("""COMPUTED_VALUE"""),3.48)</f>
        <v>3.48</v>
      </c>
      <c r="G224">
        <f>IFERROR(__xludf.DUMMYFUNCTION("""COMPUTED_VALUE"""),4.97)</f>
        <v>4.97</v>
      </c>
    </row>
    <row r="225">
      <c r="A225">
        <f>IFERROR(__xludf.DUMMYFUNCTION("""COMPUTED_VALUE"""),170871.0)</f>
        <v>170871</v>
      </c>
      <c r="B225" t="str">
        <f>IFERROR(__xludf.DUMMYFUNCTION("""COMPUTED_VALUE"""),"Milk Reduced Fat Fluid 2% Milkfat Protein Fortified With Added Vitamin A And Vitamin D")</f>
        <v>Milk Reduced Fat Fluid 2% Milkfat Protein Fortified With Added Vitamin A And Vitamin D</v>
      </c>
      <c r="C225" t="str">
        <f>IFERROR(__xludf.DUMMYFUNCTION("""COMPUTED_VALUE"""),"Dairy and Egg Products")</f>
        <v>Dairy and Egg Products</v>
      </c>
      <c r="D225">
        <f>IFERROR(__xludf.DUMMYFUNCTION("""COMPUTED_VALUE"""),56.0)</f>
        <v>56</v>
      </c>
      <c r="E225">
        <f>IFERROR(__xludf.DUMMYFUNCTION("""COMPUTED_VALUE"""),1.98)</f>
        <v>1.98</v>
      </c>
      <c r="F225">
        <f>IFERROR(__xludf.DUMMYFUNCTION("""COMPUTED_VALUE"""),3.95)</f>
        <v>3.95</v>
      </c>
      <c r="G225">
        <f>IFERROR(__xludf.DUMMYFUNCTION("""COMPUTED_VALUE"""),5.49)</f>
        <v>5.49</v>
      </c>
    </row>
    <row r="226">
      <c r="A226">
        <f>IFERROR(__xludf.DUMMYFUNCTION("""COMPUTED_VALUE"""),170872.0)</f>
        <v>170872</v>
      </c>
      <c r="B226" t="str">
        <f>IFERROR(__xludf.DUMMYFUNCTION("""COMPUTED_VALUE"""),"Low-Fat Milk 1%")</f>
        <v>Low-Fat Milk 1%</v>
      </c>
      <c r="C226" t="str">
        <f>IFERROR(__xludf.DUMMYFUNCTION("""COMPUTED_VALUE"""),"Dairy and Egg Products")</f>
        <v>Dairy and Egg Products</v>
      </c>
      <c r="D226">
        <f>IFERROR(__xludf.DUMMYFUNCTION("""COMPUTED_VALUE"""),42.0)</f>
        <v>42</v>
      </c>
      <c r="E226">
        <f>IFERROR(__xludf.DUMMYFUNCTION("""COMPUTED_VALUE"""),0.97)</f>
        <v>0.97</v>
      </c>
      <c r="F226">
        <f>IFERROR(__xludf.DUMMYFUNCTION("""COMPUTED_VALUE"""),3.37)</f>
        <v>3.37</v>
      </c>
      <c r="G226">
        <f>IFERROR(__xludf.DUMMYFUNCTION("""COMPUTED_VALUE"""),4.99)</f>
        <v>4.99</v>
      </c>
    </row>
    <row r="227">
      <c r="A227">
        <f>IFERROR(__xludf.DUMMYFUNCTION("""COMPUTED_VALUE"""),170873.0)</f>
        <v>170873</v>
      </c>
      <c r="B227" t="str">
        <f>IFERROR(__xludf.DUMMYFUNCTION("""COMPUTED_VALUE"""),"Milk Lowfat Fluid 1% Milkfat With Added Nonfat Milk Solids Vitamin A And Vitamin D")</f>
        <v>Milk Lowfat Fluid 1% Milkfat With Added Nonfat Milk Solids Vitamin A And Vitamin D</v>
      </c>
      <c r="C227" t="str">
        <f>IFERROR(__xludf.DUMMYFUNCTION("""COMPUTED_VALUE"""),"Dairy and Egg Products")</f>
        <v>Dairy and Egg Products</v>
      </c>
      <c r="D227">
        <f>IFERROR(__xludf.DUMMYFUNCTION("""COMPUTED_VALUE"""),43.0)</f>
        <v>43</v>
      </c>
      <c r="E227">
        <f>IFERROR(__xludf.DUMMYFUNCTION("""COMPUTED_VALUE"""),0.97)</f>
        <v>0.97</v>
      </c>
      <c r="F227">
        <f>IFERROR(__xludf.DUMMYFUNCTION("""COMPUTED_VALUE"""),3.48)</f>
        <v>3.48</v>
      </c>
      <c r="G227">
        <f>IFERROR(__xludf.DUMMYFUNCTION("""COMPUTED_VALUE"""),4.97)</f>
        <v>4.97</v>
      </c>
    </row>
    <row r="228">
      <c r="A228">
        <f>IFERROR(__xludf.DUMMYFUNCTION("""COMPUTED_VALUE"""),170874.0)</f>
        <v>170874</v>
      </c>
      <c r="B228" t="str">
        <f>IFERROR(__xludf.DUMMYFUNCTION("""COMPUTED_VALUE"""),"Lowfat Buttermilk")</f>
        <v>Lowfat Buttermilk</v>
      </c>
      <c r="C228" t="str">
        <f>IFERROR(__xludf.DUMMYFUNCTION("""COMPUTED_VALUE"""),"Dairy and Egg Products")</f>
        <v>Dairy and Egg Products</v>
      </c>
      <c r="D228">
        <f>IFERROR(__xludf.DUMMYFUNCTION("""COMPUTED_VALUE"""),40.0)</f>
        <v>40</v>
      </c>
      <c r="E228">
        <f>IFERROR(__xludf.DUMMYFUNCTION("""COMPUTED_VALUE"""),1.07)</f>
        <v>1.07</v>
      </c>
      <c r="F228">
        <f>IFERROR(__xludf.DUMMYFUNCTION("""COMPUTED_VALUE"""),3.31)</f>
        <v>3.31</v>
      </c>
      <c r="G228">
        <f>IFERROR(__xludf.DUMMYFUNCTION("""COMPUTED_VALUE"""),4.79)</f>
        <v>4.79</v>
      </c>
    </row>
    <row r="229">
      <c r="A229">
        <f>IFERROR(__xludf.DUMMYFUNCTION("""COMPUTED_VALUE"""),170875.0)</f>
        <v>170875</v>
      </c>
      <c r="B229" t="str">
        <f>IFERROR(__xludf.DUMMYFUNCTION("""COMPUTED_VALUE"""),"Milk Low Sodium Fluid")</f>
        <v>Milk Low Sodium Fluid</v>
      </c>
      <c r="C229" t="str">
        <f>IFERROR(__xludf.DUMMYFUNCTION("""COMPUTED_VALUE"""),"Dairy and Egg Products")</f>
        <v>Dairy and Egg Products</v>
      </c>
      <c r="D229">
        <f>IFERROR(__xludf.DUMMYFUNCTION("""COMPUTED_VALUE"""),61.0)</f>
        <v>61</v>
      </c>
      <c r="E229">
        <f>IFERROR(__xludf.DUMMYFUNCTION("""COMPUTED_VALUE"""),3.46)</f>
        <v>3.46</v>
      </c>
      <c r="F229">
        <f>IFERROR(__xludf.DUMMYFUNCTION("""COMPUTED_VALUE"""),3.1)</f>
        <v>3.1</v>
      </c>
      <c r="G229">
        <f>IFERROR(__xludf.DUMMYFUNCTION("""COMPUTED_VALUE"""),4.46)</f>
        <v>4.46</v>
      </c>
    </row>
    <row r="230">
      <c r="A230">
        <f>IFERROR(__xludf.DUMMYFUNCTION("""COMPUTED_VALUE"""),170876.0)</f>
        <v>170876</v>
      </c>
      <c r="B230" t="str">
        <f>IFERROR(__xludf.DUMMYFUNCTION("""COMPUTED_VALUE"""),"Dehydrated Milk")</f>
        <v>Dehydrated Milk</v>
      </c>
      <c r="C230" t="str">
        <f>IFERROR(__xludf.DUMMYFUNCTION("""COMPUTED_VALUE"""),"Dairy and Egg Products")</f>
        <v>Dairy and Egg Products</v>
      </c>
      <c r="D230">
        <f>IFERROR(__xludf.DUMMYFUNCTION("""COMPUTED_VALUE"""),496.0)</f>
        <v>496</v>
      </c>
      <c r="E230">
        <f>IFERROR(__xludf.DUMMYFUNCTION("""COMPUTED_VALUE"""),26.71)</f>
        <v>26.71</v>
      </c>
      <c r="F230">
        <f>IFERROR(__xludf.DUMMYFUNCTION("""COMPUTED_VALUE"""),26.32)</f>
        <v>26.32</v>
      </c>
      <c r="G230">
        <f>IFERROR(__xludf.DUMMYFUNCTION("""COMPUTED_VALUE"""),38.42)</f>
        <v>38.42</v>
      </c>
    </row>
    <row r="231">
      <c r="A231">
        <f>IFERROR(__xludf.DUMMYFUNCTION("""COMPUTED_VALUE"""),170877.0)</f>
        <v>170877</v>
      </c>
      <c r="B231" t="str">
        <f>IFERROR(__xludf.DUMMYFUNCTION("""COMPUTED_VALUE"""),"Milk Dry Nonfat Regular Without Added Vitamin A And Vitamin D")</f>
        <v>Milk Dry Nonfat Regular Without Added Vitamin A And Vitamin D</v>
      </c>
      <c r="C231" t="str">
        <f>IFERROR(__xludf.DUMMYFUNCTION("""COMPUTED_VALUE"""),"Dairy and Egg Products")</f>
        <v>Dairy and Egg Products</v>
      </c>
      <c r="D231">
        <f>IFERROR(__xludf.DUMMYFUNCTION("""COMPUTED_VALUE"""),362.0)</f>
        <v>362</v>
      </c>
      <c r="E231">
        <f>IFERROR(__xludf.DUMMYFUNCTION("""COMPUTED_VALUE"""),0.77)</f>
        <v>0.77</v>
      </c>
      <c r="F231">
        <f>IFERROR(__xludf.DUMMYFUNCTION("""COMPUTED_VALUE"""),36.16)</f>
        <v>36.16</v>
      </c>
      <c r="G231">
        <f>IFERROR(__xludf.DUMMYFUNCTION("""COMPUTED_VALUE"""),51.98)</f>
        <v>51.98</v>
      </c>
    </row>
    <row r="232">
      <c r="A232">
        <f>IFERROR(__xludf.DUMMYFUNCTION("""COMPUTED_VALUE"""),170878.0)</f>
        <v>170878</v>
      </c>
      <c r="B232" t="str">
        <f>IFERROR(__xludf.DUMMYFUNCTION("""COMPUTED_VALUE"""),"Evaporated Milk")</f>
        <v>Evaporated Milk</v>
      </c>
      <c r="C232" t="str">
        <f>IFERROR(__xludf.DUMMYFUNCTION("""COMPUTED_VALUE"""),"Dairy and Egg Products")</f>
        <v>Dairy and Egg Products</v>
      </c>
      <c r="D232">
        <f>IFERROR(__xludf.DUMMYFUNCTION("""COMPUTED_VALUE"""),78.0)</f>
        <v>78</v>
      </c>
      <c r="E232">
        <f>IFERROR(__xludf.DUMMYFUNCTION("""COMPUTED_VALUE"""),0.2)</f>
        <v>0.2</v>
      </c>
      <c r="F232">
        <f>IFERROR(__xludf.DUMMYFUNCTION("""COMPUTED_VALUE"""),7.55)</f>
        <v>7.55</v>
      </c>
      <c r="G232">
        <f>IFERROR(__xludf.DUMMYFUNCTION("""COMPUTED_VALUE"""),11.35)</f>
        <v>11.35</v>
      </c>
    </row>
    <row r="233">
      <c r="A233">
        <f>IFERROR(__xludf.DUMMYFUNCTION("""COMPUTED_VALUE"""),170879.0)</f>
        <v>170879</v>
      </c>
      <c r="B233" t="str">
        <f>IFERROR(__xludf.DUMMYFUNCTION("""COMPUTED_VALUE"""),"Milk Chocolate Fluid Commercial Whole With Added Vitamin A And Vitamin D")</f>
        <v>Milk Chocolate Fluid Commercial Whole With Added Vitamin A And Vitamin D</v>
      </c>
      <c r="C233" t="str">
        <f>IFERROR(__xludf.DUMMYFUNCTION("""COMPUTED_VALUE"""),"Dairy and Egg Products")</f>
        <v>Dairy and Egg Products</v>
      </c>
      <c r="D233">
        <f>IFERROR(__xludf.DUMMYFUNCTION("""COMPUTED_VALUE"""),83.0)</f>
        <v>83</v>
      </c>
      <c r="E233">
        <f>IFERROR(__xludf.DUMMYFUNCTION("""COMPUTED_VALUE"""),3.39)</f>
        <v>3.39</v>
      </c>
      <c r="F233">
        <f>IFERROR(__xludf.DUMMYFUNCTION("""COMPUTED_VALUE"""),3.17)</f>
        <v>3.17</v>
      </c>
      <c r="G233">
        <f>IFERROR(__xludf.DUMMYFUNCTION("""COMPUTED_VALUE"""),10.34)</f>
        <v>10.34</v>
      </c>
    </row>
    <row r="234">
      <c r="A234">
        <f>IFERROR(__xludf.DUMMYFUNCTION("""COMPUTED_VALUE"""),170880.0)</f>
        <v>170880</v>
      </c>
      <c r="B234" t="str">
        <f>IFERROR(__xludf.DUMMYFUNCTION("""COMPUTED_VALUE"""),"Lowfat Chocolate Milk")</f>
        <v>Lowfat Chocolate Milk</v>
      </c>
      <c r="C234" t="str">
        <f>IFERROR(__xludf.DUMMYFUNCTION("""COMPUTED_VALUE"""),"Dairy and Egg Products")</f>
        <v>Dairy and Egg Products</v>
      </c>
      <c r="D234">
        <f>IFERROR(__xludf.DUMMYFUNCTION("""COMPUTED_VALUE"""),76.0)</f>
        <v>76</v>
      </c>
      <c r="E234">
        <f>IFERROR(__xludf.DUMMYFUNCTION("""COMPUTED_VALUE"""),1.9)</f>
        <v>1.9</v>
      </c>
      <c r="F234">
        <f>IFERROR(__xludf.DUMMYFUNCTION("""COMPUTED_VALUE"""),2.99)</f>
        <v>2.99</v>
      </c>
      <c r="G234">
        <f>IFERROR(__xludf.DUMMYFUNCTION("""COMPUTED_VALUE"""),12.13)</f>
        <v>12.13</v>
      </c>
    </row>
    <row r="235">
      <c r="A235">
        <f>IFERROR(__xludf.DUMMYFUNCTION("""COMPUTED_VALUE"""),170881.0)</f>
        <v>170881</v>
      </c>
      <c r="B235" t="str">
        <f>IFERROR(__xludf.DUMMYFUNCTION("""COMPUTED_VALUE"""),"Milk Chocolate Lowfat With Added Vitamin A And Vitamin D")</f>
        <v>Milk Chocolate Lowfat With Added Vitamin A And Vitamin D</v>
      </c>
      <c r="C235" t="str">
        <f>IFERROR(__xludf.DUMMYFUNCTION("""COMPUTED_VALUE"""),"Dairy and Egg Products")</f>
        <v>Dairy and Egg Products</v>
      </c>
      <c r="D235">
        <f>IFERROR(__xludf.DUMMYFUNCTION("""COMPUTED_VALUE"""),64.0)</f>
        <v>64</v>
      </c>
      <c r="E235">
        <f>IFERROR(__xludf.DUMMYFUNCTION("""COMPUTED_VALUE"""),1.11)</f>
        <v>1.11</v>
      </c>
      <c r="F235">
        <f>IFERROR(__xludf.DUMMYFUNCTION("""COMPUTED_VALUE"""),3.46)</f>
        <v>3.46</v>
      </c>
      <c r="G235">
        <f>IFERROR(__xludf.DUMMYFUNCTION("""COMPUTED_VALUE"""),10.15)</f>
        <v>10.15</v>
      </c>
    </row>
    <row r="236">
      <c r="A236">
        <f>IFERROR(__xludf.DUMMYFUNCTION("""COMPUTED_VALUE"""),170882.0)</f>
        <v>170882</v>
      </c>
      <c r="B236" t="str">
        <f>IFERROR(__xludf.DUMMYFUNCTION("""COMPUTED_VALUE"""),"Milk Sheep Fluid")</f>
        <v>Milk Sheep Fluid</v>
      </c>
      <c r="C236" t="str">
        <f>IFERROR(__xludf.DUMMYFUNCTION("""COMPUTED_VALUE"""),"Dairy and Egg Products")</f>
        <v>Dairy and Egg Products</v>
      </c>
      <c r="D236">
        <f>IFERROR(__xludf.DUMMYFUNCTION("""COMPUTED_VALUE"""),108.0)</f>
        <v>108</v>
      </c>
      <c r="E236">
        <f>IFERROR(__xludf.DUMMYFUNCTION("""COMPUTED_VALUE"""),7.0)</f>
        <v>7</v>
      </c>
      <c r="F236">
        <f>IFERROR(__xludf.DUMMYFUNCTION("""COMPUTED_VALUE"""),5.98)</f>
        <v>5.98</v>
      </c>
      <c r="G236">
        <f>IFERROR(__xludf.DUMMYFUNCTION("""COMPUTED_VALUE"""),5.36)</f>
        <v>5.36</v>
      </c>
    </row>
    <row r="237">
      <c r="A237">
        <f>IFERROR(__xludf.DUMMYFUNCTION("""COMPUTED_VALUE"""),170883.0)</f>
        <v>170883</v>
      </c>
      <c r="B237" t="str">
        <f>IFERROR(__xludf.DUMMYFUNCTION("""COMPUTED_VALUE"""),"Milk Shakes Thick Chocolate")</f>
        <v>Milk Shakes Thick Chocolate</v>
      </c>
      <c r="C237" t="str">
        <f>IFERROR(__xludf.DUMMYFUNCTION("""COMPUTED_VALUE"""),"Dairy and Egg Products")</f>
        <v>Dairy and Egg Products</v>
      </c>
      <c r="D237">
        <f>IFERROR(__xludf.DUMMYFUNCTION("""COMPUTED_VALUE"""),119.0)</f>
        <v>119</v>
      </c>
      <c r="E237">
        <f>IFERROR(__xludf.DUMMYFUNCTION("""COMPUTED_VALUE"""),2.7)</f>
        <v>2.7</v>
      </c>
      <c r="F237">
        <f>IFERROR(__xludf.DUMMYFUNCTION("""COMPUTED_VALUE"""),3.05)</f>
        <v>3.05</v>
      </c>
      <c r="G237">
        <f>IFERROR(__xludf.DUMMYFUNCTION("""COMPUTED_VALUE"""),21.15)</f>
        <v>21.15</v>
      </c>
    </row>
    <row r="238">
      <c r="A238">
        <f>IFERROR(__xludf.DUMMYFUNCTION("""COMPUTED_VALUE"""),170884.0)</f>
        <v>170884</v>
      </c>
      <c r="B238" t="str">
        <f>IFERROR(__xludf.DUMMYFUNCTION("""COMPUTED_VALUE"""),"Milk Shakes Thick Vanilla")</f>
        <v>Milk Shakes Thick Vanilla</v>
      </c>
      <c r="C238" t="str">
        <f>IFERROR(__xludf.DUMMYFUNCTION("""COMPUTED_VALUE"""),"Dairy and Egg Products")</f>
        <v>Dairy and Egg Products</v>
      </c>
      <c r="D238">
        <f>IFERROR(__xludf.DUMMYFUNCTION("""COMPUTED_VALUE"""),112.0)</f>
        <v>112</v>
      </c>
      <c r="E238">
        <f>IFERROR(__xludf.DUMMYFUNCTION("""COMPUTED_VALUE"""),3.03)</f>
        <v>3.03</v>
      </c>
      <c r="F238">
        <f>IFERROR(__xludf.DUMMYFUNCTION("""COMPUTED_VALUE"""),3.86)</f>
        <v>3.86</v>
      </c>
      <c r="G238">
        <f>IFERROR(__xludf.DUMMYFUNCTION("""COMPUTED_VALUE"""),17.75)</f>
        <v>17.75</v>
      </c>
    </row>
    <row r="239">
      <c r="A239">
        <f>IFERROR(__xludf.DUMMYFUNCTION("""COMPUTED_VALUE"""),170885.0)</f>
        <v>170885</v>
      </c>
      <c r="B239" t="str">
        <f>IFERROR(__xludf.DUMMYFUNCTION("""COMPUTED_VALUE"""),"Whey Acid Fluid")</f>
        <v>Whey Acid Fluid</v>
      </c>
      <c r="C239" t="str">
        <f>IFERROR(__xludf.DUMMYFUNCTION("""COMPUTED_VALUE"""),"Dairy and Egg Products")</f>
        <v>Dairy and Egg Products</v>
      </c>
      <c r="D239">
        <f>IFERROR(__xludf.DUMMYFUNCTION("""COMPUTED_VALUE"""),24.0)</f>
        <v>24</v>
      </c>
      <c r="E239">
        <f>IFERROR(__xludf.DUMMYFUNCTION("""COMPUTED_VALUE"""),0.09)</f>
        <v>0.09</v>
      </c>
      <c r="F239">
        <f>IFERROR(__xludf.DUMMYFUNCTION("""COMPUTED_VALUE"""),0.76)</f>
        <v>0.76</v>
      </c>
      <c r="G239">
        <f>IFERROR(__xludf.DUMMYFUNCTION("""COMPUTED_VALUE"""),5.12)</f>
        <v>5.12</v>
      </c>
    </row>
    <row r="240">
      <c r="A240">
        <f>IFERROR(__xludf.DUMMYFUNCTION("""COMPUTED_VALUE"""),170886.0)</f>
        <v>170886</v>
      </c>
      <c r="B240" t="str">
        <f>IFERROR(__xludf.DUMMYFUNCTION("""COMPUTED_VALUE"""),"Low-Fat Yogurt")</f>
        <v>Low-Fat Yogurt</v>
      </c>
      <c r="C240" t="str">
        <f>IFERROR(__xludf.DUMMYFUNCTION("""COMPUTED_VALUE"""),"Dairy and Egg Products")</f>
        <v>Dairy and Egg Products</v>
      </c>
      <c r="D240">
        <f>IFERROR(__xludf.DUMMYFUNCTION("""COMPUTED_VALUE"""),63.0)</f>
        <v>63</v>
      </c>
      <c r="E240">
        <f>IFERROR(__xludf.DUMMYFUNCTION("""COMPUTED_VALUE"""),1.55)</f>
        <v>1.55</v>
      </c>
      <c r="F240">
        <f>IFERROR(__xludf.DUMMYFUNCTION("""COMPUTED_VALUE"""),5.25)</f>
        <v>5.25</v>
      </c>
      <c r="G240">
        <f>IFERROR(__xludf.DUMMYFUNCTION("""COMPUTED_VALUE"""),7.04)</f>
        <v>7.04</v>
      </c>
    </row>
    <row r="241">
      <c r="A241">
        <f>IFERROR(__xludf.DUMMYFUNCTION("""COMPUTED_VALUE"""),170887.0)</f>
        <v>170887</v>
      </c>
      <c r="B241" t="str">
        <f>IFERROR(__xludf.DUMMYFUNCTION("""COMPUTED_VALUE"""),"Non-Fat Yogurt")</f>
        <v>Non-Fat Yogurt</v>
      </c>
      <c r="C241" t="str">
        <f>IFERROR(__xludf.DUMMYFUNCTION("""COMPUTED_VALUE"""),"Dairy and Egg Products")</f>
        <v>Dairy and Egg Products</v>
      </c>
      <c r="D241">
        <f>IFERROR(__xludf.DUMMYFUNCTION("""COMPUTED_VALUE"""),56.0)</f>
        <v>56</v>
      </c>
      <c r="E241">
        <f>IFERROR(__xludf.DUMMYFUNCTION("""COMPUTED_VALUE"""),0.18)</f>
        <v>0.18</v>
      </c>
      <c r="F241">
        <f>IFERROR(__xludf.DUMMYFUNCTION("""COMPUTED_VALUE"""),5.73)</f>
        <v>5.73</v>
      </c>
      <c r="G241">
        <f>IFERROR(__xludf.DUMMYFUNCTION("""COMPUTED_VALUE"""),7.68)</f>
        <v>7.68</v>
      </c>
    </row>
    <row r="242">
      <c r="A242">
        <f>IFERROR(__xludf.DUMMYFUNCTION("""COMPUTED_VALUE"""),170888.0)</f>
        <v>170888</v>
      </c>
      <c r="B242" t="str">
        <f>IFERROR(__xludf.DUMMYFUNCTION("""COMPUTED_VALUE"""),"Yogurt Vanilla Low Fat 11 Grams Protein Per 8 Ounce")</f>
        <v>Yogurt Vanilla Low Fat 11 Grams Protein Per 8 Ounce</v>
      </c>
      <c r="C242" t="str">
        <f>IFERROR(__xludf.DUMMYFUNCTION("""COMPUTED_VALUE"""),"Dairy and Egg Products")</f>
        <v>Dairy and Egg Products</v>
      </c>
      <c r="D242">
        <f>IFERROR(__xludf.DUMMYFUNCTION("""COMPUTED_VALUE"""),85.0)</f>
        <v>85</v>
      </c>
      <c r="E242">
        <f>IFERROR(__xludf.DUMMYFUNCTION("""COMPUTED_VALUE"""),1.25)</f>
        <v>1.25</v>
      </c>
      <c r="F242">
        <f>IFERROR(__xludf.DUMMYFUNCTION("""COMPUTED_VALUE"""),4.93)</f>
        <v>4.93</v>
      </c>
      <c r="G242">
        <f>IFERROR(__xludf.DUMMYFUNCTION("""COMPUTED_VALUE"""),13.8)</f>
        <v>13.8</v>
      </c>
    </row>
    <row r="243">
      <c r="A243">
        <f>IFERROR(__xludf.DUMMYFUNCTION("""COMPUTED_VALUE"""),170889.0)</f>
        <v>170889</v>
      </c>
      <c r="B243" t="str">
        <f>IFERROR(__xludf.DUMMYFUNCTION("""COMPUTED_VALUE"""),"Yogurt Fruit Low Fat 9 Grams Protein Per 8 Ounce")</f>
        <v>Yogurt Fruit Low Fat 9 Grams Protein Per 8 Ounce</v>
      </c>
      <c r="C243" t="str">
        <f>IFERROR(__xludf.DUMMYFUNCTION("""COMPUTED_VALUE"""),"Dairy and Egg Products")</f>
        <v>Dairy and Egg Products</v>
      </c>
      <c r="D243">
        <f>IFERROR(__xludf.DUMMYFUNCTION("""COMPUTED_VALUE"""),99.0)</f>
        <v>99</v>
      </c>
      <c r="E243">
        <f>IFERROR(__xludf.DUMMYFUNCTION("""COMPUTED_VALUE"""),1.15)</f>
        <v>1.15</v>
      </c>
      <c r="F243">
        <f>IFERROR(__xludf.DUMMYFUNCTION("""COMPUTED_VALUE"""),3.98)</f>
        <v>3.98</v>
      </c>
      <c r="G243">
        <f>IFERROR(__xludf.DUMMYFUNCTION("""COMPUTED_VALUE"""),18.64)</f>
        <v>18.64</v>
      </c>
    </row>
    <row r="244">
      <c r="A244">
        <f>IFERROR(__xludf.DUMMYFUNCTION("""COMPUTED_VALUE"""),170890.0)</f>
        <v>170890</v>
      </c>
      <c r="B244" t="str">
        <f>IFERROR(__xludf.DUMMYFUNCTION("""COMPUTED_VALUE"""),"Milk Dessert Bar Frozen Made From Lowfat Milk")</f>
        <v>Milk Dessert Bar Frozen Made From Lowfat Milk</v>
      </c>
      <c r="C244" t="str">
        <f>IFERROR(__xludf.DUMMYFUNCTION("""COMPUTED_VALUE"""),"Dairy and Egg Products")</f>
        <v>Dairy and Egg Products</v>
      </c>
      <c r="D244">
        <f>IFERROR(__xludf.DUMMYFUNCTION("""COMPUTED_VALUE"""),147.0)</f>
        <v>147</v>
      </c>
      <c r="E244">
        <f>IFERROR(__xludf.DUMMYFUNCTION("""COMPUTED_VALUE"""),1.47)</f>
        <v>1.47</v>
      </c>
      <c r="F244">
        <f>IFERROR(__xludf.DUMMYFUNCTION("""COMPUTED_VALUE"""),4.41)</f>
        <v>4.41</v>
      </c>
      <c r="G244">
        <f>IFERROR(__xludf.DUMMYFUNCTION("""COMPUTED_VALUE"""),32.0)</f>
        <v>32</v>
      </c>
    </row>
    <row r="245">
      <c r="A245">
        <f>IFERROR(__xludf.DUMMYFUNCTION("""COMPUTED_VALUE"""),170892.0)</f>
        <v>170892</v>
      </c>
      <c r="B245" t="str">
        <f>IFERROR(__xludf.DUMMYFUNCTION("""COMPUTED_VALUE"""),"Nutritional Supplement For People With Diabetes Liquid")</f>
        <v>Nutritional Supplement For People With Diabetes Liquid</v>
      </c>
      <c r="C245" t="str">
        <f>IFERROR(__xludf.DUMMYFUNCTION("""COMPUTED_VALUE"""),"Dairy and Egg Products")</f>
        <v>Dairy and Egg Products</v>
      </c>
      <c r="D245">
        <f>IFERROR(__xludf.DUMMYFUNCTION("""COMPUTED_VALUE"""),88.0)</f>
        <v>88</v>
      </c>
      <c r="E245">
        <f>IFERROR(__xludf.DUMMYFUNCTION("""COMPUTED_VALUE"""),3.08)</f>
        <v>3.08</v>
      </c>
      <c r="F245">
        <f>IFERROR(__xludf.DUMMYFUNCTION("""COMPUTED_VALUE"""),4.4)</f>
        <v>4.4</v>
      </c>
      <c r="G245">
        <f>IFERROR(__xludf.DUMMYFUNCTION("""COMPUTED_VALUE"""),11.88)</f>
        <v>11.88</v>
      </c>
    </row>
    <row r="246">
      <c r="A246">
        <f>IFERROR(__xludf.DUMMYFUNCTION("""COMPUTED_VALUE"""),170893.0)</f>
        <v>170893</v>
      </c>
      <c r="B246" t="str">
        <f>IFERROR(__xludf.DUMMYFUNCTION("""COMPUTED_VALUE"""),"Egg Whole Raw Frozen Salted Pasteurized")</f>
        <v>Egg Whole Raw Frozen Salted Pasteurized</v>
      </c>
      <c r="C246" t="str">
        <f>IFERROR(__xludf.DUMMYFUNCTION("""COMPUTED_VALUE"""),"Dairy and Egg Products")</f>
        <v>Dairy and Egg Products</v>
      </c>
      <c r="D246">
        <f>IFERROR(__xludf.DUMMYFUNCTION("""COMPUTED_VALUE"""),138.0)</f>
        <v>138</v>
      </c>
      <c r="E246">
        <f>IFERROR(__xludf.DUMMYFUNCTION("""COMPUTED_VALUE"""),10.07)</f>
        <v>10.07</v>
      </c>
      <c r="F246">
        <f>IFERROR(__xludf.DUMMYFUNCTION("""COMPUTED_VALUE"""),10.97)</f>
        <v>10.97</v>
      </c>
      <c r="G246">
        <f>IFERROR(__xludf.DUMMYFUNCTION("""COMPUTED_VALUE"""),0.83)</f>
        <v>0.83</v>
      </c>
    </row>
    <row r="247">
      <c r="A247">
        <f>IFERROR(__xludf.DUMMYFUNCTION("""COMPUTED_VALUE"""),170894.0)</f>
        <v>170894</v>
      </c>
      <c r="B247" t="str">
        <f>IFERROR(__xludf.DUMMYFUNCTION("""COMPUTED_VALUE"""),"Nonfat Greek Yogurt")</f>
        <v>Nonfat Greek Yogurt</v>
      </c>
      <c r="C247" t="str">
        <f>IFERROR(__xludf.DUMMYFUNCTION("""COMPUTED_VALUE"""),"Dairy and Egg Products")</f>
        <v>Dairy and Egg Products</v>
      </c>
      <c r="D247">
        <f>IFERROR(__xludf.DUMMYFUNCTION("""COMPUTED_VALUE"""),59.0)</f>
        <v>59</v>
      </c>
      <c r="E247">
        <f>IFERROR(__xludf.DUMMYFUNCTION("""COMPUTED_VALUE"""),0.39)</f>
        <v>0.39</v>
      </c>
      <c r="F247">
        <f>IFERROR(__xludf.DUMMYFUNCTION("""COMPUTED_VALUE"""),10.19)</f>
        <v>10.19</v>
      </c>
      <c r="G247">
        <f>IFERROR(__xludf.DUMMYFUNCTION("""COMPUTED_VALUE"""),3.6)</f>
        <v>3.6</v>
      </c>
    </row>
    <row r="248">
      <c r="A248">
        <f>IFERROR(__xludf.DUMMYFUNCTION("""COMPUTED_VALUE"""),170895.0)</f>
        <v>170895</v>
      </c>
      <c r="B248" t="str">
        <f>IFERROR(__xludf.DUMMYFUNCTION("""COMPUTED_VALUE"""),"Egg White Powder")</f>
        <v>Egg White Powder</v>
      </c>
      <c r="C248" t="str">
        <f>IFERROR(__xludf.DUMMYFUNCTION("""COMPUTED_VALUE"""),"Dairy and Egg Products")</f>
        <v>Dairy and Egg Products</v>
      </c>
      <c r="D248">
        <f>IFERROR(__xludf.DUMMYFUNCTION("""COMPUTED_VALUE"""),357.0)</f>
        <v>357</v>
      </c>
      <c r="E248">
        <f>IFERROR(__xludf.DUMMYFUNCTION("""COMPUTED_VALUE"""),0.32)</f>
        <v>0.32</v>
      </c>
      <c r="F248">
        <f>IFERROR(__xludf.DUMMYFUNCTION("""COMPUTED_VALUE"""),84.08)</f>
        <v>84.08</v>
      </c>
      <c r="G248">
        <f>IFERROR(__xludf.DUMMYFUNCTION("""COMPUTED_VALUE"""),4.51)</f>
        <v>4.51</v>
      </c>
    </row>
    <row r="249">
      <c r="A249">
        <f>IFERROR(__xludf.DUMMYFUNCTION("""COMPUTED_VALUE"""),170896.0)</f>
        <v>170896</v>
      </c>
      <c r="B249" t="str">
        <f>IFERROR(__xludf.DUMMYFUNCTION("""COMPUTED_VALUE"""),"Cheese Spread American Or Cheddar Cheese Base Reduced Fat")</f>
        <v>Cheese Spread American Or Cheddar Cheese Base Reduced Fat</v>
      </c>
      <c r="C249" t="str">
        <f>IFERROR(__xludf.DUMMYFUNCTION("""COMPUTED_VALUE"""),"Dairy and Egg Products")</f>
        <v>Dairy and Egg Products</v>
      </c>
      <c r="D249">
        <f>IFERROR(__xludf.DUMMYFUNCTION("""COMPUTED_VALUE"""),176.0)</f>
        <v>176</v>
      </c>
      <c r="E249">
        <f>IFERROR(__xludf.DUMMYFUNCTION("""COMPUTED_VALUE"""),8.88)</f>
        <v>8.88</v>
      </c>
      <c r="F249">
        <f>IFERROR(__xludf.DUMMYFUNCTION("""COMPUTED_VALUE"""),13.41)</f>
        <v>13.41</v>
      </c>
      <c r="G249">
        <f>IFERROR(__xludf.DUMMYFUNCTION("""COMPUTED_VALUE"""),10.71)</f>
        <v>10.71</v>
      </c>
    </row>
    <row r="250">
      <c r="A250">
        <f>IFERROR(__xludf.DUMMYFUNCTION("""COMPUTED_VALUE"""),170897.0)</f>
        <v>170897</v>
      </c>
      <c r="B250" t="str">
        <f>IFERROR(__xludf.DUMMYFUNCTION("""COMPUTED_VALUE"""),"Fatfree Swiss Cheese")</f>
        <v>Fatfree Swiss Cheese</v>
      </c>
      <c r="C250" t="str">
        <f>IFERROR(__xludf.DUMMYFUNCTION("""COMPUTED_VALUE"""),"Dairy and Egg Products")</f>
        <v>Dairy and Egg Products</v>
      </c>
      <c r="D250">
        <f>IFERROR(__xludf.DUMMYFUNCTION("""COMPUTED_VALUE"""),127.0)</f>
        <v>127</v>
      </c>
      <c r="E250">
        <f>IFERROR(__xludf.DUMMYFUNCTION("""COMPUTED_VALUE"""),0.0)</f>
        <v>0</v>
      </c>
      <c r="F250">
        <f>IFERROR(__xludf.DUMMYFUNCTION("""COMPUTED_VALUE"""),28.4)</f>
        <v>28.4</v>
      </c>
      <c r="G250">
        <f>IFERROR(__xludf.DUMMYFUNCTION("""COMPUTED_VALUE"""),3.4)</f>
        <v>3.4</v>
      </c>
    </row>
    <row r="251">
      <c r="A251">
        <f>IFERROR(__xludf.DUMMYFUNCTION("""COMPUTED_VALUE"""),170898.0)</f>
        <v>170898</v>
      </c>
      <c r="B251" t="str">
        <f>IFERROR(__xludf.DUMMYFUNCTION("""COMPUTED_VALUE"""),"Queso Cotija")</f>
        <v>Queso Cotija</v>
      </c>
      <c r="C251" t="str">
        <f>IFERROR(__xludf.DUMMYFUNCTION("""COMPUTED_VALUE"""),"Dairy and Egg Products")</f>
        <v>Dairy and Egg Products</v>
      </c>
      <c r="D251">
        <f>IFERROR(__xludf.DUMMYFUNCTION("""COMPUTED_VALUE"""),366.0)</f>
        <v>366</v>
      </c>
      <c r="E251">
        <f>IFERROR(__xludf.DUMMYFUNCTION("""COMPUTED_VALUE"""),30.0)</f>
        <v>30</v>
      </c>
      <c r="F251">
        <f>IFERROR(__xludf.DUMMYFUNCTION("""COMPUTED_VALUE"""),20.0)</f>
        <v>20</v>
      </c>
      <c r="G251">
        <f>IFERROR(__xludf.DUMMYFUNCTION("""COMPUTED_VALUE"""),3.97)</f>
        <v>3.97</v>
      </c>
    </row>
    <row r="252">
      <c r="A252">
        <f>IFERROR(__xludf.DUMMYFUNCTION("""COMPUTED_VALUE"""),170899.0)</f>
        <v>170899</v>
      </c>
      <c r="B252" t="str">
        <f>IFERROR(__xludf.DUMMYFUNCTION("""COMPUTED_VALUE"""),"Sharp Cheddar Cheese")</f>
        <v>Sharp Cheddar Cheese</v>
      </c>
      <c r="C252" t="str">
        <f>IFERROR(__xludf.DUMMYFUNCTION("""COMPUTED_VALUE"""),"Dairy and Egg Products")</f>
        <v>Dairy and Egg Products</v>
      </c>
      <c r="D252">
        <f>IFERROR(__xludf.DUMMYFUNCTION("""COMPUTED_VALUE"""),410.0)</f>
        <v>410</v>
      </c>
      <c r="E252">
        <f>IFERROR(__xludf.DUMMYFUNCTION("""COMPUTED_VALUE"""),33.82)</f>
        <v>33.82</v>
      </c>
      <c r="F252">
        <f>IFERROR(__xludf.DUMMYFUNCTION("""COMPUTED_VALUE"""),24.25)</f>
        <v>24.25</v>
      </c>
      <c r="G252">
        <f>IFERROR(__xludf.DUMMYFUNCTION("""COMPUTED_VALUE"""),2.13)</f>
        <v>2.13</v>
      </c>
    </row>
    <row r="253">
      <c r="A253">
        <f>IFERROR(__xludf.DUMMYFUNCTION("""COMPUTED_VALUE"""),170900.0)</f>
        <v>170900</v>
      </c>
      <c r="B253" t="str">
        <f>IFERROR(__xludf.DUMMYFUNCTION("""COMPUTED_VALUE"""),"Cheese Mozzarella Low Moisture Part-Skim Shredded")</f>
        <v>Cheese Mozzarella Low Moisture Part-Skim Shredded</v>
      </c>
      <c r="C253" t="str">
        <f>IFERROR(__xludf.DUMMYFUNCTION("""COMPUTED_VALUE"""),"Dairy and Egg Products")</f>
        <v>Dairy and Egg Products</v>
      </c>
      <c r="D253">
        <f>IFERROR(__xludf.DUMMYFUNCTION("""COMPUTED_VALUE"""),304.0)</f>
        <v>304</v>
      </c>
      <c r="E253">
        <f>IFERROR(__xludf.DUMMYFUNCTION("""COMPUTED_VALUE"""),19.72)</f>
        <v>19.72</v>
      </c>
      <c r="F253">
        <f>IFERROR(__xludf.DUMMYFUNCTION("""COMPUTED_VALUE"""),23.63)</f>
        <v>23.63</v>
      </c>
      <c r="G253">
        <f>IFERROR(__xludf.DUMMYFUNCTION("""COMPUTED_VALUE"""),8.06)</f>
        <v>8.06</v>
      </c>
    </row>
    <row r="254">
      <c r="A254">
        <f>IFERROR(__xludf.DUMMYFUNCTION("""COMPUTED_VALUE"""),170901.0)</f>
        <v>170901</v>
      </c>
      <c r="B254" t="str">
        <f>IFERROR(__xludf.DUMMYFUNCTION("""COMPUTED_VALUE"""),"Nonfat Greek Strawberry Yogurt")</f>
        <v>Nonfat Greek Strawberry Yogurt</v>
      </c>
      <c r="C254" t="str">
        <f>IFERROR(__xludf.DUMMYFUNCTION("""COMPUTED_VALUE"""),"Dairy and Egg Products")</f>
        <v>Dairy and Egg Products</v>
      </c>
      <c r="D254">
        <f>IFERROR(__xludf.DUMMYFUNCTION("""COMPUTED_VALUE"""),82.0)</f>
        <v>82</v>
      </c>
      <c r="E254">
        <f>IFERROR(__xludf.DUMMYFUNCTION("""COMPUTED_VALUE"""),0.15)</f>
        <v>0.15</v>
      </c>
      <c r="F254">
        <f>IFERROR(__xludf.DUMMYFUNCTION("""COMPUTED_VALUE"""),8.05)</f>
        <v>8.05</v>
      </c>
      <c r="G254">
        <f>IFERROR(__xludf.DUMMYFUNCTION("""COMPUTED_VALUE"""),12.07)</f>
        <v>12.07</v>
      </c>
    </row>
    <row r="255">
      <c r="A255">
        <f>IFERROR(__xludf.DUMMYFUNCTION("""COMPUTED_VALUE"""),170902.0)</f>
        <v>170902</v>
      </c>
      <c r="B255" t="str">
        <f>IFERROR(__xludf.DUMMYFUNCTION("""COMPUTED_VALUE"""),"Nonfat Greek Vanilla Yogurt")</f>
        <v>Nonfat Greek Vanilla Yogurt</v>
      </c>
      <c r="C255" t="str">
        <f>IFERROR(__xludf.DUMMYFUNCTION("""COMPUTED_VALUE"""),"Dairy and Egg Products")</f>
        <v>Dairy and Egg Products</v>
      </c>
      <c r="D255">
        <f>IFERROR(__xludf.DUMMYFUNCTION("""COMPUTED_VALUE"""),78.0)</f>
        <v>78</v>
      </c>
      <c r="E255">
        <f>IFERROR(__xludf.DUMMYFUNCTION("""COMPUTED_VALUE"""),0.18)</f>
        <v>0.18</v>
      </c>
      <c r="F255">
        <f>IFERROR(__xludf.DUMMYFUNCTION("""COMPUTED_VALUE"""),8.64)</f>
        <v>8.64</v>
      </c>
      <c r="G255">
        <f>IFERROR(__xludf.DUMMYFUNCTION("""COMPUTED_VALUE"""),10.37)</f>
        <v>10.37</v>
      </c>
    </row>
    <row r="256">
      <c r="A256">
        <f>IFERROR(__xludf.DUMMYFUNCTION("""COMPUTED_VALUE"""),170903.0)</f>
        <v>170903</v>
      </c>
      <c r="B256" t="str">
        <f>IFERROR(__xludf.DUMMYFUNCTION("""COMPUTED_VALUE"""),"Lowfat Greek Yogurt")</f>
        <v>Lowfat Greek Yogurt</v>
      </c>
      <c r="C256" t="str">
        <f>IFERROR(__xludf.DUMMYFUNCTION("""COMPUTED_VALUE"""),"Dairy and Egg Products")</f>
        <v>Dairy and Egg Products</v>
      </c>
      <c r="D256">
        <f>IFERROR(__xludf.DUMMYFUNCTION("""COMPUTED_VALUE"""),73.0)</f>
        <v>73</v>
      </c>
      <c r="E256">
        <f>IFERROR(__xludf.DUMMYFUNCTION("""COMPUTED_VALUE"""),1.92)</f>
        <v>1.92</v>
      </c>
      <c r="F256">
        <f>IFERROR(__xludf.DUMMYFUNCTION("""COMPUTED_VALUE"""),9.95)</f>
        <v>9.95</v>
      </c>
      <c r="G256">
        <f>IFERROR(__xludf.DUMMYFUNCTION("""COMPUTED_VALUE"""),3.94)</f>
        <v>3.94</v>
      </c>
    </row>
    <row r="257">
      <c r="A257">
        <f>IFERROR(__xludf.DUMMYFUNCTION("""COMPUTED_VALUE"""),170904.0)</f>
        <v>170904</v>
      </c>
      <c r="B257" t="str">
        <f>IFERROR(__xludf.DUMMYFUNCTION("""COMPUTED_VALUE"""),"Kefir Lowfat Plain Lifeway")</f>
        <v>Kefir Lowfat Plain Lifeway</v>
      </c>
      <c r="C257" t="str">
        <f>IFERROR(__xludf.DUMMYFUNCTION("""COMPUTED_VALUE"""),"Dairy and Egg Products")</f>
        <v>Dairy and Egg Products</v>
      </c>
      <c r="D257">
        <f>IFERROR(__xludf.DUMMYFUNCTION("""COMPUTED_VALUE"""),43.0)</f>
        <v>43</v>
      </c>
      <c r="E257">
        <f>IFERROR(__xludf.DUMMYFUNCTION("""COMPUTED_VALUE"""),1.02)</f>
        <v>1.02</v>
      </c>
      <c r="F257">
        <f>IFERROR(__xludf.DUMMYFUNCTION("""COMPUTED_VALUE"""),3.79)</f>
        <v>3.79</v>
      </c>
      <c r="G257">
        <f>IFERROR(__xludf.DUMMYFUNCTION("""COMPUTED_VALUE"""),4.77)</f>
        <v>4.77</v>
      </c>
    </row>
    <row r="258">
      <c r="A258">
        <f>IFERROR(__xludf.DUMMYFUNCTION("""COMPUTED_VALUE"""),170905.0)</f>
        <v>170905</v>
      </c>
      <c r="B258" t="str">
        <f>IFERROR(__xludf.DUMMYFUNCTION("""COMPUTED_VALUE"""),"Yogurt Greek Fruit Whole Milk")</f>
        <v>Yogurt Greek Fruit Whole Milk</v>
      </c>
      <c r="C258" t="str">
        <f>IFERROR(__xludf.DUMMYFUNCTION("""COMPUTED_VALUE"""),"Dairy and Egg Products")</f>
        <v>Dairy and Egg Products</v>
      </c>
      <c r="D258">
        <f>IFERROR(__xludf.DUMMYFUNCTION("""COMPUTED_VALUE"""),106.0)</f>
        <v>106</v>
      </c>
      <c r="E258">
        <f>IFERROR(__xludf.DUMMYFUNCTION("""COMPUTED_VALUE"""),3.0)</f>
        <v>3</v>
      </c>
      <c r="F258">
        <f>IFERROR(__xludf.DUMMYFUNCTION("""COMPUTED_VALUE"""),7.33)</f>
        <v>7.33</v>
      </c>
      <c r="G258">
        <f>IFERROR(__xludf.DUMMYFUNCTION("""COMPUTED_VALUE"""),12.29)</f>
        <v>12.29</v>
      </c>
    </row>
    <row r="259">
      <c r="A259">
        <f>IFERROR(__xludf.DUMMYFUNCTION("""COMPUTED_VALUE"""),170906.0)</f>
        <v>170906</v>
      </c>
      <c r="B259" t="str">
        <f>IFERROR(__xludf.DUMMYFUNCTION("""COMPUTED_VALUE"""),"Nonfat Vanilla Yogurt")</f>
        <v>Nonfat Vanilla Yogurt</v>
      </c>
      <c r="C259" t="str">
        <f>IFERROR(__xludf.DUMMYFUNCTION("""COMPUTED_VALUE"""),"Dairy and Egg Products")</f>
        <v>Dairy and Egg Products</v>
      </c>
      <c r="D259">
        <f>IFERROR(__xludf.DUMMYFUNCTION("""COMPUTED_VALUE"""),78.0)</f>
        <v>78</v>
      </c>
      <c r="E259">
        <f>IFERROR(__xludf.DUMMYFUNCTION("""COMPUTED_VALUE"""),0.0)</f>
        <v>0</v>
      </c>
      <c r="F259">
        <f>IFERROR(__xludf.DUMMYFUNCTION("""COMPUTED_VALUE"""),2.94)</f>
        <v>2.94</v>
      </c>
      <c r="G259">
        <f>IFERROR(__xludf.DUMMYFUNCTION("""COMPUTED_VALUE"""),17.04)</f>
        <v>17.04</v>
      </c>
    </row>
    <row r="260">
      <c r="A260">
        <f>IFERROR(__xludf.DUMMYFUNCTION("""COMPUTED_VALUE"""),170907.0)</f>
        <v>170907</v>
      </c>
      <c r="B260" t="str">
        <f>IFERROR(__xludf.DUMMYFUNCTION("""COMPUTED_VALUE"""),"Yogurt Greek Vanilla Lowfat")</f>
        <v>Yogurt Greek Vanilla Lowfat</v>
      </c>
      <c r="C260" t="str">
        <f>IFERROR(__xludf.DUMMYFUNCTION("""COMPUTED_VALUE"""),"Dairy and Egg Products")</f>
        <v>Dairy and Egg Products</v>
      </c>
      <c r="D260">
        <f>IFERROR(__xludf.DUMMYFUNCTION("""COMPUTED_VALUE"""),95.0)</f>
        <v>95</v>
      </c>
      <c r="E260">
        <f>IFERROR(__xludf.DUMMYFUNCTION("""COMPUTED_VALUE"""),2.5)</f>
        <v>2.5</v>
      </c>
      <c r="F260">
        <f>IFERROR(__xludf.DUMMYFUNCTION("""COMPUTED_VALUE"""),8.64)</f>
        <v>8.64</v>
      </c>
      <c r="G260">
        <f>IFERROR(__xludf.DUMMYFUNCTION("""COMPUTED_VALUE"""),9.54)</f>
        <v>9.54</v>
      </c>
    </row>
    <row r="261">
      <c r="A261">
        <f>IFERROR(__xludf.DUMMYFUNCTION("""COMPUTED_VALUE"""),170908.0)</f>
        <v>170908</v>
      </c>
      <c r="B261" t="str">
        <f>IFERROR(__xludf.DUMMYFUNCTION("""COMPUTED_VALUE"""),"Yogurt Frozen Flavors Other Than Chocolate Lowfat")</f>
        <v>Yogurt Frozen Flavors Other Than Chocolate Lowfat</v>
      </c>
      <c r="C261" t="str">
        <f>IFERROR(__xludf.DUMMYFUNCTION("""COMPUTED_VALUE"""),"Dairy and Egg Products")</f>
        <v>Dairy and Egg Products</v>
      </c>
      <c r="D261">
        <f>IFERROR(__xludf.DUMMYFUNCTION("""COMPUTED_VALUE"""),139.0)</f>
        <v>139</v>
      </c>
      <c r="E261">
        <f>IFERROR(__xludf.DUMMYFUNCTION("""COMPUTED_VALUE"""),2.5)</f>
        <v>2.5</v>
      </c>
      <c r="F261">
        <f>IFERROR(__xludf.DUMMYFUNCTION("""COMPUTED_VALUE"""),8.0)</f>
        <v>8</v>
      </c>
      <c r="G261">
        <f>IFERROR(__xludf.DUMMYFUNCTION("""COMPUTED_VALUE"""),21.0)</f>
        <v>21</v>
      </c>
    </row>
    <row r="262">
      <c r="A262">
        <f>IFERROR(__xludf.DUMMYFUNCTION("""COMPUTED_VALUE"""),170910.0)</f>
        <v>170910</v>
      </c>
      <c r="B262" t="str">
        <f>IFERROR(__xludf.DUMMYFUNCTION("""COMPUTED_VALUE"""),"Milk Chocolate Lowfat Reduced Sugar")</f>
        <v>Milk Chocolate Lowfat Reduced Sugar</v>
      </c>
      <c r="C262" t="str">
        <f>IFERROR(__xludf.DUMMYFUNCTION("""COMPUTED_VALUE"""),"Dairy and Egg Products")</f>
        <v>Dairy and Egg Products</v>
      </c>
      <c r="D262">
        <f>IFERROR(__xludf.DUMMYFUNCTION("""COMPUTED_VALUE"""),57.0)</f>
        <v>57</v>
      </c>
      <c r="E262">
        <f>IFERROR(__xludf.DUMMYFUNCTION("""COMPUTED_VALUE"""),1.04)</f>
        <v>1.04</v>
      </c>
      <c r="F262">
        <f>IFERROR(__xludf.DUMMYFUNCTION("""COMPUTED_VALUE"""),3.43)</f>
        <v>3.43</v>
      </c>
      <c r="G262">
        <f>IFERROR(__xludf.DUMMYFUNCTION("""COMPUTED_VALUE"""),7.68)</f>
        <v>7.68</v>
      </c>
    </row>
    <row r="263">
      <c r="A263">
        <f>IFERROR(__xludf.DUMMYFUNCTION("""COMPUTED_VALUE"""),170911.0)</f>
        <v>170911</v>
      </c>
      <c r="B263" t="str">
        <f>IFERROR(__xludf.DUMMYFUNCTION("""COMPUTED_VALUE"""),"Ice Cream Lowfat No Sugar Added Cone Added Peanuts And Chocolate Sauce")</f>
        <v>Ice Cream Lowfat No Sugar Added Cone Added Peanuts And Chocolate Sauce</v>
      </c>
      <c r="C263" t="str">
        <f>IFERROR(__xludf.DUMMYFUNCTION("""COMPUTED_VALUE"""),"Dairy and Egg Products")</f>
        <v>Dairy and Egg Products</v>
      </c>
      <c r="D263">
        <f>IFERROR(__xludf.DUMMYFUNCTION("""COMPUTED_VALUE"""),265.0)</f>
        <v>265</v>
      </c>
      <c r="E263">
        <f>IFERROR(__xludf.DUMMYFUNCTION("""COMPUTED_VALUE"""),9.33)</f>
        <v>9.33</v>
      </c>
      <c r="F263">
        <f>IFERROR(__xludf.DUMMYFUNCTION("""COMPUTED_VALUE"""),5.33)</f>
        <v>5.33</v>
      </c>
      <c r="G263">
        <f>IFERROR(__xludf.DUMMYFUNCTION("""COMPUTED_VALUE"""),40.01)</f>
        <v>40.01</v>
      </c>
    </row>
    <row r="264">
      <c r="A264">
        <f>IFERROR(__xludf.DUMMYFUNCTION("""COMPUTED_VALUE"""),171002.0)</f>
        <v>171002</v>
      </c>
      <c r="B264" t="str">
        <f>IFERROR(__xludf.DUMMYFUNCTION("""COMPUTED_VALUE"""),"Salad Dressing Kraft Mayo Light Mayonnaise")</f>
        <v>Salad Dressing Kraft Mayo Light Mayonnaise</v>
      </c>
      <c r="C264" t="str">
        <f>IFERROR(__xludf.DUMMYFUNCTION("""COMPUTED_VALUE"""),"Fats and Oils")</f>
        <v>Fats and Oils</v>
      </c>
      <c r="D264">
        <f>IFERROR(__xludf.DUMMYFUNCTION("""COMPUTED_VALUE"""),334.0)</f>
        <v>334</v>
      </c>
      <c r="E264">
        <f>IFERROR(__xludf.DUMMYFUNCTION("""COMPUTED_VALUE"""),32.9)</f>
        <v>32.9</v>
      </c>
      <c r="F264">
        <f>IFERROR(__xludf.DUMMYFUNCTION("""COMPUTED_VALUE"""),0.6)</f>
        <v>0.6</v>
      </c>
      <c r="G264">
        <f>IFERROR(__xludf.DUMMYFUNCTION("""COMPUTED_VALUE"""),8.5)</f>
        <v>8.5</v>
      </c>
    </row>
    <row r="265">
      <c r="A265">
        <f>IFERROR(__xludf.DUMMYFUNCTION("""COMPUTED_VALUE"""),171003.0)</f>
        <v>171003</v>
      </c>
      <c r="B265" t="str">
        <f>IFERROR(__xludf.DUMMYFUNCTION("""COMPUTED_VALUE"""),"Salad Dressing Kraft Mayo Fat Free Mayonnaise Dressing")</f>
        <v>Salad Dressing Kraft Mayo Fat Free Mayonnaise Dressing</v>
      </c>
      <c r="C265" t="str">
        <f>IFERROR(__xludf.DUMMYFUNCTION("""COMPUTED_VALUE"""),"Fats and Oils")</f>
        <v>Fats and Oils</v>
      </c>
      <c r="D265">
        <f>IFERROR(__xludf.DUMMYFUNCTION("""COMPUTED_VALUE"""),64.0)</f>
        <v>64</v>
      </c>
      <c r="E265">
        <f>IFERROR(__xludf.DUMMYFUNCTION("""COMPUTED_VALUE"""),0.0)</f>
        <v>0</v>
      </c>
      <c r="F265">
        <f>IFERROR(__xludf.DUMMYFUNCTION("""COMPUTED_VALUE"""),0.2)</f>
        <v>0.2</v>
      </c>
      <c r="G265">
        <f>IFERROR(__xludf.DUMMYFUNCTION("""COMPUTED_VALUE"""),15.8)</f>
        <v>15.8</v>
      </c>
    </row>
    <row r="266">
      <c r="A266">
        <f>IFERROR(__xludf.DUMMYFUNCTION("""COMPUTED_VALUE"""),171004.0)</f>
        <v>171004</v>
      </c>
      <c r="B266" t="str">
        <f>IFERROR(__xludf.DUMMYFUNCTION("""COMPUTED_VALUE"""),"Salad Dressing Kraft Miracle Whip Free Nonfat Dressing")</f>
        <v>Salad Dressing Kraft Miracle Whip Free Nonfat Dressing</v>
      </c>
      <c r="C266" t="str">
        <f>IFERROR(__xludf.DUMMYFUNCTION("""COMPUTED_VALUE"""),"Fats and Oils")</f>
        <v>Fats and Oils</v>
      </c>
      <c r="D266">
        <f>IFERROR(__xludf.DUMMYFUNCTION("""COMPUTED_VALUE"""),84.0)</f>
        <v>84</v>
      </c>
      <c r="E266">
        <f>IFERROR(__xludf.DUMMYFUNCTION("""COMPUTED_VALUE"""),2.7)</f>
        <v>2.7</v>
      </c>
      <c r="F266">
        <f>IFERROR(__xludf.DUMMYFUNCTION("""COMPUTED_VALUE"""),0.2)</f>
        <v>0.2</v>
      </c>
      <c r="G266">
        <f>IFERROR(__xludf.DUMMYFUNCTION("""COMPUTED_VALUE"""),15.5)</f>
        <v>15.5</v>
      </c>
    </row>
    <row r="267">
      <c r="A267">
        <f>IFERROR(__xludf.DUMMYFUNCTION("""COMPUTED_VALUE"""),171005.0)</f>
        <v>171005</v>
      </c>
      <c r="B267" t="str">
        <f>IFERROR(__xludf.DUMMYFUNCTION("""COMPUTED_VALUE"""),"Russian Dressing")</f>
        <v>Russian Dressing</v>
      </c>
      <c r="C267" t="str">
        <f>IFERROR(__xludf.DUMMYFUNCTION("""COMPUTED_VALUE"""),"Fats and Oils")</f>
        <v>Fats and Oils</v>
      </c>
      <c r="D267">
        <f>IFERROR(__xludf.DUMMYFUNCTION("""COMPUTED_VALUE"""),355.0)</f>
        <v>355</v>
      </c>
      <c r="E267">
        <f>IFERROR(__xludf.DUMMYFUNCTION("""COMPUTED_VALUE"""),26.18)</f>
        <v>26.18</v>
      </c>
      <c r="F267">
        <f>IFERROR(__xludf.DUMMYFUNCTION("""COMPUTED_VALUE"""),0.69)</f>
        <v>0.69</v>
      </c>
      <c r="G267">
        <f>IFERROR(__xludf.DUMMYFUNCTION("""COMPUTED_VALUE"""),31.9)</f>
        <v>31.9</v>
      </c>
    </row>
    <row r="268">
      <c r="A268">
        <f>IFERROR(__xludf.DUMMYFUNCTION("""COMPUTED_VALUE"""),171006.0)</f>
        <v>171006</v>
      </c>
      <c r="B268" t="str">
        <f>IFERROR(__xludf.DUMMYFUNCTION("""COMPUTED_VALUE"""),"Sesame Seed Dressing")</f>
        <v>Sesame Seed Dressing</v>
      </c>
      <c r="C268" t="str">
        <f>IFERROR(__xludf.DUMMYFUNCTION("""COMPUTED_VALUE"""),"Fats and Oils")</f>
        <v>Fats and Oils</v>
      </c>
      <c r="D268">
        <f>IFERROR(__xludf.DUMMYFUNCTION("""COMPUTED_VALUE"""),443.0)</f>
        <v>443</v>
      </c>
      <c r="E268">
        <f>IFERROR(__xludf.DUMMYFUNCTION("""COMPUTED_VALUE"""),45.2)</f>
        <v>45.2</v>
      </c>
      <c r="F268">
        <f>IFERROR(__xludf.DUMMYFUNCTION("""COMPUTED_VALUE"""),3.1)</f>
        <v>3.1</v>
      </c>
      <c r="G268">
        <f>IFERROR(__xludf.DUMMYFUNCTION("""COMPUTED_VALUE"""),8.6)</f>
        <v>8.6</v>
      </c>
    </row>
    <row r="269">
      <c r="A269">
        <f>IFERROR(__xludf.DUMMYFUNCTION("""COMPUTED_VALUE"""),171007.0)</f>
        <v>171007</v>
      </c>
      <c r="B269" t="str">
        <f>IFERROR(__xludf.DUMMYFUNCTION("""COMPUTED_VALUE"""),"Salad Dressing Russian Dressing Low Calorie")</f>
        <v>Salad Dressing Russian Dressing Low Calorie</v>
      </c>
      <c r="C269" t="str">
        <f>IFERROR(__xludf.DUMMYFUNCTION("""COMPUTED_VALUE"""),"Fats and Oils")</f>
        <v>Fats and Oils</v>
      </c>
      <c r="D269">
        <f>IFERROR(__xludf.DUMMYFUNCTION("""COMPUTED_VALUE"""),141.0)</f>
        <v>141</v>
      </c>
      <c r="E269">
        <f>IFERROR(__xludf.DUMMYFUNCTION("""COMPUTED_VALUE"""),4.0)</f>
        <v>4</v>
      </c>
      <c r="F269">
        <f>IFERROR(__xludf.DUMMYFUNCTION("""COMPUTED_VALUE"""),0.5)</f>
        <v>0.5</v>
      </c>
      <c r="G269">
        <f>IFERROR(__xludf.DUMMYFUNCTION("""COMPUTED_VALUE"""),27.6)</f>
        <v>27.6</v>
      </c>
    </row>
    <row r="270">
      <c r="A270">
        <f>IFERROR(__xludf.DUMMYFUNCTION("""COMPUTED_VALUE"""),171008.0)</f>
        <v>171008</v>
      </c>
      <c r="B270" t="str">
        <f>IFERROR(__xludf.DUMMYFUNCTION("""COMPUTED_VALUE"""),"Salad Dressing Thousand Island Dressing Reduced Fat")</f>
        <v>Salad Dressing Thousand Island Dressing Reduced Fat</v>
      </c>
      <c r="C270" t="str">
        <f>IFERROR(__xludf.DUMMYFUNCTION("""COMPUTED_VALUE"""),"Fats and Oils")</f>
        <v>Fats and Oils</v>
      </c>
      <c r="D270">
        <f>IFERROR(__xludf.DUMMYFUNCTION("""COMPUTED_VALUE"""),195.0)</f>
        <v>195</v>
      </c>
      <c r="E270">
        <f>IFERROR(__xludf.DUMMYFUNCTION("""COMPUTED_VALUE"""),11.32)</f>
        <v>11.32</v>
      </c>
      <c r="F270">
        <f>IFERROR(__xludf.DUMMYFUNCTION("""COMPUTED_VALUE"""),0.83)</f>
        <v>0.83</v>
      </c>
      <c r="G270">
        <f>IFERROR(__xludf.DUMMYFUNCTION("""COMPUTED_VALUE"""),24.06)</f>
        <v>24.06</v>
      </c>
    </row>
    <row r="271">
      <c r="A271">
        <f>IFERROR(__xludf.DUMMYFUNCTION("""COMPUTED_VALUE"""),171009.0)</f>
        <v>171009</v>
      </c>
      <c r="B271" t="str">
        <f>IFERROR(__xludf.DUMMYFUNCTION("""COMPUTED_VALUE"""),"Salad Dressing Mayonnaise Regular")</f>
        <v>Salad Dressing Mayonnaise Regular</v>
      </c>
      <c r="C271" t="str">
        <f>IFERROR(__xludf.DUMMYFUNCTION("""COMPUTED_VALUE"""),"Fats and Oils")</f>
        <v>Fats and Oils</v>
      </c>
      <c r="D271">
        <f>IFERROR(__xludf.DUMMYFUNCTION("""COMPUTED_VALUE"""),680.0)</f>
        <v>680</v>
      </c>
      <c r="E271">
        <f>IFERROR(__xludf.DUMMYFUNCTION("""COMPUTED_VALUE"""),74.85)</f>
        <v>74.85</v>
      </c>
      <c r="F271">
        <f>IFERROR(__xludf.DUMMYFUNCTION("""COMPUTED_VALUE"""),0.96)</f>
        <v>0.96</v>
      </c>
      <c r="G271">
        <f>IFERROR(__xludf.DUMMYFUNCTION("""COMPUTED_VALUE"""),0.57)</f>
        <v>0.57</v>
      </c>
    </row>
    <row r="272">
      <c r="A272">
        <f>IFERROR(__xludf.DUMMYFUNCTION("""COMPUTED_VALUE"""),171010.0)</f>
        <v>171010</v>
      </c>
      <c r="B272" t="str">
        <f>IFERROR(__xludf.DUMMYFUNCTION("""COMPUTED_VALUE"""),"Salad Dressing Mayonnaise Soybean And Safflower Oil With Salt")</f>
        <v>Salad Dressing Mayonnaise Soybean And Safflower Oil With Salt</v>
      </c>
      <c r="C272" t="str">
        <f>IFERROR(__xludf.DUMMYFUNCTION("""COMPUTED_VALUE"""),"Fats and Oils")</f>
        <v>Fats and Oils</v>
      </c>
      <c r="D272">
        <f>IFERROR(__xludf.DUMMYFUNCTION("""COMPUTED_VALUE"""),717.0)</f>
        <v>717</v>
      </c>
      <c r="E272">
        <f>IFERROR(__xludf.DUMMYFUNCTION("""COMPUTED_VALUE"""),79.4)</f>
        <v>79.4</v>
      </c>
      <c r="F272">
        <f>IFERROR(__xludf.DUMMYFUNCTION("""COMPUTED_VALUE"""),1.1)</f>
        <v>1.1</v>
      </c>
      <c r="G272">
        <f>IFERROR(__xludf.DUMMYFUNCTION("""COMPUTED_VALUE"""),2.7)</f>
        <v>2.7</v>
      </c>
    </row>
    <row r="273">
      <c r="A273">
        <f>IFERROR(__xludf.DUMMYFUNCTION("""COMPUTED_VALUE"""),171011.0)</f>
        <v>171011</v>
      </c>
      <c r="B273" t="str">
        <f>IFERROR(__xludf.DUMMYFUNCTION("""COMPUTED_VALUE"""),"Shortening Household Soybean (Partially Hydrogenated)-Cottonseed (Partially Hydrogenated)")</f>
        <v>Shortening Household Soybean (Partially Hydrogenated)-Cottonseed (Partially Hydrogenated)</v>
      </c>
      <c r="C273" t="str">
        <f>IFERROR(__xludf.DUMMYFUNCTION("""COMPUTED_VALUE"""),"Fats and Oils")</f>
        <v>Fats and Oils</v>
      </c>
      <c r="D273">
        <f>IFERROR(__xludf.DUMMYFUNCTION("""COMPUTED_VALUE"""),884.0)</f>
        <v>884</v>
      </c>
      <c r="E273">
        <f>IFERROR(__xludf.DUMMYFUNCTION("""COMPUTED_VALUE"""),100.0)</f>
        <v>100</v>
      </c>
      <c r="F273">
        <f>IFERROR(__xludf.DUMMYFUNCTION("""COMPUTED_VALUE"""),0.0)</f>
        <v>0</v>
      </c>
      <c r="G273">
        <f>IFERROR(__xludf.DUMMYFUNCTION("""COMPUTED_VALUE"""),0.0)</f>
        <v>0</v>
      </c>
    </row>
    <row r="274">
      <c r="A274">
        <f>IFERROR(__xludf.DUMMYFUNCTION("""COMPUTED_VALUE"""),171012.0)</f>
        <v>171012</v>
      </c>
      <c r="B274" t="str">
        <f>IFERROR(__xludf.DUMMYFUNCTION("""COMPUTED_VALUE"""),"Oil Soybean Salad Or Cooking (Partially Hydrogenated)")</f>
        <v>Oil Soybean Salad Or Cooking (Partially Hydrogenated)</v>
      </c>
      <c r="C274" t="str">
        <f>IFERROR(__xludf.DUMMYFUNCTION("""COMPUTED_VALUE"""),"Fats and Oils")</f>
        <v>Fats and Oils</v>
      </c>
      <c r="D274">
        <f>IFERROR(__xludf.DUMMYFUNCTION("""COMPUTED_VALUE"""),884.0)</f>
        <v>884</v>
      </c>
      <c r="E274">
        <f>IFERROR(__xludf.DUMMYFUNCTION("""COMPUTED_VALUE"""),100.0)</f>
        <v>100</v>
      </c>
      <c r="F274">
        <f>IFERROR(__xludf.DUMMYFUNCTION("""COMPUTED_VALUE"""),0.0)</f>
        <v>0</v>
      </c>
      <c r="G274">
        <f>IFERROR(__xludf.DUMMYFUNCTION("""COMPUTED_VALUE"""),0.0)</f>
        <v>0</v>
      </c>
    </row>
    <row r="275">
      <c r="A275">
        <f>IFERROR(__xludf.DUMMYFUNCTION("""COMPUTED_VALUE"""),171013.0)</f>
        <v>171013</v>
      </c>
      <c r="B275" t="str">
        <f>IFERROR(__xludf.DUMMYFUNCTION("""COMPUTED_VALUE"""),"Rice Bran Oil")</f>
        <v>Rice Bran Oil</v>
      </c>
      <c r="C275" t="str">
        <f>IFERROR(__xludf.DUMMYFUNCTION("""COMPUTED_VALUE"""),"Fats and Oils")</f>
        <v>Fats and Oils</v>
      </c>
      <c r="D275">
        <f>IFERROR(__xludf.DUMMYFUNCTION("""COMPUTED_VALUE"""),884.0)</f>
        <v>884</v>
      </c>
      <c r="E275">
        <f>IFERROR(__xludf.DUMMYFUNCTION("""COMPUTED_VALUE"""),100.0)</f>
        <v>100</v>
      </c>
      <c r="F275">
        <f>IFERROR(__xludf.DUMMYFUNCTION("""COMPUTED_VALUE"""),0.0)</f>
        <v>0</v>
      </c>
      <c r="G275">
        <f>IFERROR(__xludf.DUMMYFUNCTION("""COMPUTED_VALUE"""),0.0)</f>
        <v>0</v>
      </c>
    </row>
    <row r="276">
      <c r="A276">
        <f>IFERROR(__xludf.DUMMYFUNCTION("""COMPUTED_VALUE"""),171014.0)</f>
        <v>171014</v>
      </c>
      <c r="B276" t="str">
        <f>IFERROR(__xludf.DUMMYFUNCTION("""COMPUTED_VALUE"""),"Wheat Germ Oil")</f>
        <v>Wheat Germ Oil</v>
      </c>
      <c r="C276" t="str">
        <f>IFERROR(__xludf.DUMMYFUNCTION("""COMPUTED_VALUE"""),"Fats and Oils")</f>
        <v>Fats and Oils</v>
      </c>
      <c r="D276">
        <f>IFERROR(__xludf.DUMMYFUNCTION("""COMPUTED_VALUE"""),884.0)</f>
        <v>884</v>
      </c>
      <c r="E276">
        <f>IFERROR(__xludf.DUMMYFUNCTION("""COMPUTED_VALUE"""),100.0)</f>
        <v>100</v>
      </c>
      <c r="F276">
        <f>IFERROR(__xludf.DUMMYFUNCTION("""COMPUTED_VALUE"""),0.0)</f>
        <v>0</v>
      </c>
      <c r="G276">
        <f>IFERROR(__xludf.DUMMYFUNCTION("""COMPUTED_VALUE"""),0.0)</f>
        <v>0</v>
      </c>
    </row>
    <row r="277">
      <c r="A277">
        <f>IFERROR(__xludf.DUMMYFUNCTION("""COMPUTED_VALUE"""),171015.0)</f>
        <v>171015</v>
      </c>
      <c r="B277" t="str">
        <f>IFERROR(__xludf.DUMMYFUNCTION("""COMPUTED_VALUE"""),"Palm Oil")</f>
        <v>Palm Oil</v>
      </c>
      <c r="C277" t="str">
        <f>IFERROR(__xludf.DUMMYFUNCTION("""COMPUTED_VALUE"""),"Fats and Oils")</f>
        <v>Fats and Oils</v>
      </c>
      <c r="D277">
        <f>IFERROR(__xludf.DUMMYFUNCTION("""COMPUTED_VALUE"""),884.0)</f>
        <v>884</v>
      </c>
      <c r="E277">
        <f>IFERROR(__xludf.DUMMYFUNCTION("""COMPUTED_VALUE"""),100.0)</f>
        <v>100</v>
      </c>
      <c r="F277">
        <f>IFERROR(__xludf.DUMMYFUNCTION("""COMPUTED_VALUE"""),0.0)</f>
        <v>0</v>
      </c>
      <c r="G277">
        <f>IFERROR(__xludf.DUMMYFUNCTION("""COMPUTED_VALUE"""),0.0)</f>
        <v>0</v>
      </c>
    </row>
    <row r="278">
      <c r="A278">
        <f>IFERROR(__xludf.DUMMYFUNCTION("""COMPUTED_VALUE"""),171016.0)</f>
        <v>171016</v>
      </c>
      <c r="B278" t="str">
        <f>IFERROR(__xludf.DUMMYFUNCTION("""COMPUTED_VALUE"""),"Sesame Oil")</f>
        <v>Sesame Oil</v>
      </c>
      <c r="C278" t="str">
        <f>IFERROR(__xludf.DUMMYFUNCTION("""COMPUTED_VALUE"""),"Fats and Oils")</f>
        <v>Fats and Oils</v>
      </c>
      <c r="D278">
        <f>IFERROR(__xludf.DUMMYFUNCTION("""COMPUTED_VALUE"""),884.0)</f>
        <v>884</v>
      </c>
      <c r="E278">
        <f>IFERROR(__xludf.DUMMYFUNCTION("""COMPUTED_VALUE"""),100.0)</f>
        <v>100</v>
      </c>
      <c r="F278">
        <f>IFERROR(__xludf.DUMMYFUNCTION("""COMPUTED_VALUE"""),0.0)</f>
        <v>0</v>
      </c>
      <c r="G278">
        <f>IFERROR(__xludf.DUMMYFUNCTION("""COMPUTED_VALUE"""),0.0)</f>
        <v>0</v>
      </c>
    </row>
    <row r="279">
      <c r="A279">
        <f>IFERROR(__xludf.DUMMYFUNCTION("""COMPUTED_VALUE"""),171017.0)</f>
        <v>171017</v>
      </c>
      <c r="B279" t="str">
        <f>IFERROR(__xludf.DUMMYFUNCTION("""COMPUTED_VALUE"""),"Oil Sunflower Linoleic (Less Than 60%)")</f>
        <v>Oil Sunflower Linoleic (Less Than 60%)</v>
      </c>
      <c r="C279" t="str">
        <f>IFERROR(__xludf.DUMMYFUNCTION("""COMPUTED_VALUE"""),"Fats and Oils")</f>
        <v>Fats and Oils</v>
      </c>
      <c r="D279">
        <f>IFERROR(__xludf.DUMMYFUNCTION("""COMPUTED_VALUE"""),884.0)</f>
        <v>884</v>
      </c>
      <c r="E279">
        <f>IFERROR(__xludf.DUMMYFUNCTION("""COMPUTED_VALUE"""),100.0)</f>
        <v>100</v>
      </c>
      <c r="F279">
        <f>IFERROR(__xludf.DUMMYFUNCTION("""COMPUTED_VALUE"""),0.0)</f>
        <v>0</v>
      </c>
      <c r="G279">
        <f>IFERROR(__xludf.DUMMYFUNCTION("""COMPUTED_VALUE"""),0.0)</f>
        <v>0</v>
      </c>
    </row>
    <row r="280">
      <c r="A280">
        <f>IFERROR(__xludf.DUMMYFUNCTION("""COMPUTED_VALUE"""),171018.0)</f>
        <v>171018</v>
      </c>
      <c r="B280" t="str">
        <f>IFERROR(__xludf.DUMMYFUNCTION("""COMPUTED_VALUE"""),"Margarine")</f>
        <v>Margarine</v>
      </c>
      <c r="C280" t="str">
        <f>IFERROR(__xludf.DUMMYFUNCTION("""COMPUTED_VALUE"""),"Fats and Oils")</f>
        <v>Fats and Oils</v>
      </c>
      <c r="D280">
        <f>IFERROR(__xludf.DUMMYFUNCTION("""COMPUTED_VALUE"""),719.0)</f>
        <v>719</v>
      </c>
      <c r="E280">
        <f>IFERROR(__xludf.DUMMYFUNCTION("""COMPUTED_VALUE"""),80.5)</f>
        <v>80.5</v>
      </c>
      <c r="F280">
        <f>IFERROR(__xludf.DUMMYFUNCTION("""COMPUTED_VALUE"""),0.9)</f>
        <v>0.9</v>
      </c>
      <c r="G280">
        <f>IFERROR(__xludf.DUMMYFUNCTION("""COMPUTED_VALUE"""),0.9)</f>
        <v>0.9</v>
      </c>
    </row>
    <row r="281">
      <c r="A281">
        <f>IFERROR(__xludf.DUMMYFUNCTION("""COMPUTED_VALUE"""),171019.0)</f>
        <v>171019</v>
      </c>
      <c r="B281" t="str">
        <f>IFERROR(__xludf.DUMMYFUNCTION("""COMPUTED_VALUE"""),"Salad Dressing Italian Dressing Commercial Regular")</f>
        <v>Salad Dressing Italian Dressing Commercial Regular</v>
      </c>
      <c r="C281" t="str">
        <f>IFERROR(__xludf.DUMMYFUNCTION("""COMPUTED_VALUE"""),"Fats and Oils")</f>
        <v>Fats and Oils</v>
      </c>
      <c r="D281">
        <f>IFERROR(__xludf.DUMMYFUNCTION("""COMPUTED_VALUE"""),240.0)</f>
        <v>240</v>
      </c>
      <c r="E281">
        <f>IFERROR(__xludf.DUMMYFUNCTION("""COMPUTED_VALUE"""),21.12)</f>
        <v>21.12</v>
      </c>
      <c r="F281">
        <f>IFERROR(__xludf.DUMMYFUNCTION("""COMPUTED_VALUE"""),0.41)</f>
        <v>0.41</v>
      </c>
      <c r="G281">
        <f>IFERROR(__xludf.DUMMYFUNCTION("""COMPUTED_VALUE"""),12.12)</f>
        <v>12.12</v>
      </c>
    </row>
    <row r="282">
      <c r="A282">
        <f>IFERROR(__xludf.DUMMYFUNCTION("""COMPUTED_VALUE"""),171020.0)</f>
        <v>171020</v>
      </c>
      <c r="B282" t="str">
        <f>IFERROR(__xludf.DUMMYFUNCTION("""COMPUTED_VALUE"""),"Salad Dressing French Dressing Commercial Regular Without Salt")</f>
        <v>Salad Dressing French Dressing Commercial Regular Without Salt</v>
      </c>
      <c r="C282" t="str">
        <f>IFERROR(__xludf.DUMMYFUNCTION("""COMPUTED_VALUE"""),"Fats and Oils")</f>
        <v>Fats and Oils</v>
      </c>
      <c r="D282">
        <f>IFERROR(__xludf.DUMMYFUNCTION("""COMPUTED_VALUE"""),459.0)</f>
        <v>459</v>
      </c>
      <c r="E282">
        <f>IFERROR(__xludf.DUMMYFUNCTION("""COMPUTED_VALUE"""),44.81)</f>
        <v>44.81</v>
      </c>
      <c r="F282">
        <f>IFERROR(__xludf.DUMMYFUNCTION("""COMPUTED_VALUE"""),0.77)</f>
        <v>0.77</v>
      </c>
      <c r="G282">
        <f>IFERROR(__xludf.DUMMYFUNCTION("""COMPUTED_VALUE"""),15.58)</f>
        <v>15.58</v>
      </c>
    </row>
    <row r="283">
      <c r="A283">
        <f>IFERROR(__xludf.DUMMYFUNCTION("""COMPUTED_VALUE"""),171021.0)</f>
        <v>171021</v>
      </c>
      <c r="B283" t="str">
        <f>IFERROR(__xludf.DUMMYFUNCTION("""COMPUTED_VALUE"""),"Lowfat French Salad Dressing")</f>
        <v>Lowfat French Salad Dressing</v>
      </c>
      <c r="C283" t="str">
        <f>IFERROR(__xludf.DUMMYFUNCTION("""COMPUTED_VALUE"""),"Fats and Oils")</f>
        <v>Fats and Oils</v>
      </c>
      <c r="D283">
        <f>IFERROR(__xludf.DUMMYFUNCTION("""COMPUTED_VALUE"""),233.0)</f>
        <v>233</v>
      </c>
      <c r="E283">
        <f>IFERROR(__xludf.DUMMYFUNCTION("""COMPUTED_VALUE"""),13.46)</f>
        <v>13.46</v>
      </c>
      <c r="F283">
        <f>IFERROR(__xludf.DUMMYFUNCTION("""COMPUTED_VALUE"""),0.58)</f>
        <v>0.58</v>
      </c>
      <c r="G283">
        <f>IFERROR(__xludf.DUMMYFUNCTION("""COMPUTED_VALUE"""),29.28)</f>
        <v>29.28</v>
      </c>
    </row>
    <row r="284">
      <c r="A284">
        <f>IFERROR(__xludf.DUMMYFUNCTION("""COMPUTED_VALUE"""),171022.0)</f>
        <v>171022</v>
      </c>
      <c r="B284" t="str">
        <f>IFERROR(__xludf.DUMMYFUNCTION("""COMPUTED_VALUE"""),"Salad Dressing Italian Dressing Commercial Regular Without Salt")</f>
        <v>Salad Dressing Italian Dressing Commercial Regular Without Salt</v>
      </c>
      <c r="C284" t="str">
        <f>IFERROR(__xludf.DUMMYFUNCTION("""COMPUTED_VALUE"""),"Fats and Oils")</f>
        <v>Fats and Oils</v>
      </c>
      <c r="D284">
        <f>IFERROR(__xludf.DUMMYFUNCTION("""COMPUTED_VALUE"""),292.0)</f>
        <v>292</v>
      </c>
      <c r="E284">
        <f>IFERROR(__xludf.DUMMYFUNCTION("""COMPUTED_VALUE"""),28.37)</f>
        <v>28.37</v>
      </c>
      <c r="F284">
        <f>IFERROR(__xludf.DUMMYFUNCTION("""COMPUTED_VALUE"""),0.38)</f>
        <v>0.38</v>
      </c>
      <c r="G284">
        <f>IFERROR(__xludf.DUMMYFUNCTION("""COMPUTED_VALUE"""),10.43)</f>
        <v>10.43</v>
      </c>
    </row>
    <row r="285">
      <c r="A285">
        <f>IFERROR(__xludf.DUMMYFUNCTION("""COMPUTED_VALUE"""),171023.0)</f>
        <v>171023</v>
      </c>
      <c r="B285" t="str">
        <f>IFERROR(__xludf.DUMMYFUNCTION("""COMPUTED_VALUE"""),"Salad Dressing Italian Dressing Reduced Fat Without Salt")</f>
        <v>Salad Dressing Italian Dressing Reduced Fat Without Salt</v>
      </c>
      <c r="C285" t="str">
        <f>IFERROR(__xludf.DUMMYFUNCTION("""COMPUTED_VALUE"""),"Fats and Oils")</f>
        <v>Fats and Oils</v>
      </c>
      <c r="D285">
        <f>IFERROR(__xludf.DUMMYFUNCTION("""COMPUTED_VALUE"""),76.0)</f>
        <v>76</v>
      </c>
      <c r="E285">
        <f>IFERROR(__xludf.DUMMYFUNCTION("""COMPUTED_VALUE"""),6.38)</f>
        <v>6.38</v>
      </c>
      <c r="F285">
        <f>IFERROR(__xludf.DUMMYFUNCTION("""COMPUTED_VALUE"""),0.47)</f>
        <v>0.47</v>
      </c>
      <c r="G285">
        <f>IFERROR(__xludf.DUMMYFUNCTION("""COMPUTED_VALUE"""),4.57)</f>
        <v>4.57</v>
      </c>
    </row>
    <row r="286">
      <c r="A286">
        <f>IFERROR(__xludf.DUMMYFUNCTION("""COMPUTED_VALUE"""),171024.0)</f>
        <v>171024</v>
      </c>
      <c r="B286" t="str">
        <f>IFERROR(__xludf.DUMMYFUNCTION("""COMPUTED_VALUE"""),"Cottonseed Oil")</f>
        <v>Cottonseed Oil</v>
      </c>
      <c r="C286" t="str">
        <f>IFERROR(__xludf.DUMMYFUNCTION("""COMPUTED_VALUE"""),"Fats and Oils")</f>
        <v>Fats and Oils</v>
      </c>
      <c r="D286">
        <f>IFERROR(__xludf.DUMMYFUNCTION("""COMPUTED_VALUE"""),884.0)</f>
        <v>884</v>
      </c>
      <c r="E286">
        <f>IFERROR(__xludf.DUMMYFUNCTION("""COMPUTED_VALUE"""),100.0)</f>
        <v>100</v>
      </c>
      <c r="F286">
        <f>IFERROR(__xludf.DUMMYFUNCTION("""COMPUTED_VALUE"""),0.0)</f>
        <v>0</v>
      </c>
      <c r="G286">
        <f>IFERROR(__xludf.DUMMYFUNCTION("""COMPUTED_VALUE"""),0.0)</f>
        <v>0</v>
      </c>
    </row>
    <row r="287">
      <c r="A287">
        <f>IFERROR(__xludf.DUMMYFUNCTION("""COMPUTED_VALUE"""),171025.0)</f>
        <v>171025</v>
      </c>
      <c r="B287" t="str">
        <f>IFERROR(__xludf.DUMMYFUNCTION("""COMPUTED_VALUE"""),"Oil Sunflower Linoleic (Approx. 65%)")</f>
        <v>Oil Sunflower Linoleic (Approx. 65%)</v>
      </c>
      <c r="C287" t="str">
        <f>IFERROR(__xludf.DUMMYFUNCTION("""COMPUTED_VALUE"""),"Fats and Oils")</f>
        <v>Fats and Oils</v>
      </c>
      <c r="D287">
        <f>IFERROR(__xludf.DUMMYFUNCTION("""COMPUTED_VALUE"""),884.0)</f>
        <v>884</v>
      </c>
      <c r="E287">
        <f>IFERROR(__xludf.DUMMYFUNCTION("""COMPUTED_VALUE"""),100.0)</f>
        <v>100</v>
      </c>
      <c r="F287">
        <f>IFERROR(__xludf.DUMMYFUNCTION("""COMPUTED_VALUE"""),0.0)</f>
        <v>0</v>
      </c>
      <c r="G287">
        <f>IFERROR(__xludf.DUMMYFUNCTION("""COMPUTED_VALUE"""),0.0)</f>
        <v>0</v>
      </c>
    </row>
    <row r="288">
      <c r="A288">
        <f>IFERROR(__xludf.DUMMYFUNCTION("""COMPUTED_VALUE"""),171026.0)</f>
        <v>171026</v>
      </c>
      <c r="B288" t="str">
        <f>IFERROR(__xludf.DUMMYFUNCTION("""COMPUTED_VALUE"""),"Oil Safflower Salad Or Cooking Linoleic (Over 70%)")</f>
        <v>Oil Safflower Salad Or Cooking Linoleic (Over 70%)</v>
      </c>
      <c r="C288" t="str">
        <f>IFERROR(__xludf.DUMMYFUNCTION("""COMPUTED_VALUE"""),"Fats and Oils")</f>
        <v>Fats and Oils</v>
      </c>
      <c r="D288">
        <f>IFERROR(__xludf.DUMMYFUNCTION("""COMPUTED_VALUE"""),884.0)</f>
        <v>884</v>
      </c>
      <c r="E288">
        <f>IFERROR(__xludf.DUMMYFUNCTION("""COMPUTED_VALUE"""),100.0)</f>
        <v>100</v>
      </c>
      <c r="F288">
        <f>IFERROR(__xludf.DUMMYFUNCTION("""COMPUTED_VALUE"""),0.0)</f>
        <v>0</v>
      </c>
      <c r="G288">
        <f>IFERROR(__xludf.DUMMYFUNCTION("""COMPUTED_VALUE"""),0.0)</f>
        <v>0</v>
      </c>
    </row>
    <row r="289">
      <c r="A289">
        <f>IFERROR(__xludf.DUMMYFUNCTION("""COMPUTED_VALUE"""),171027.0)</f>
        <v>171027</v>
      </c>
      <c r="B289" t="str">
        <f>IFERROR(__xludf.DUMMYFUNCTION("""COMPUTED_VALUE"""),"Oil Safflower Salad Or Cooking High Oleic (Primary Safflower Oil Of Commerce)")</f>
        <v>Oil Safflower Salad Or Cooking High Oleic (Primary Safflower Oil Of Commerce)</v>
      </c>
      <c r="C289" t="str">
        <f>IFERROR(__xludf.DUMMYFUNCTION("""COMPUTED_VALUE"""),"Fats and Oils")</f>
        <v>Fats and Oils</v>
      </c>
      <c r="D289">
        <f>IFERROR(__xludf.DUMMYFUNCTION("""COMPUTED_VALUE"""),884.0)</f>
        <v>884</v>
      </c>
      <c r="E289">
        <f>IFERROR(__xludf.DUMMYFUNCTION("""COMPUTED_VALUE"""),100.0)</f>
        <v>100</v>
      </c>
      <c r="F289">
        <f>IFERROR(__xludf.DUMMYFUNCTION("""COMPUTED_VALUE"""),0.0)</f>
        <v>0</v>
      </c>
      <c r="G289">
        <f>IFERROR(__xludf.DUMMYFUNCTION("""COMPUTED_VALUE"""),0.0)</f>
        <v>0</v>
      </c>
    </row>
    <row r="290">
      <c r="A290">
        <f>IFERROR(__xludf.DUMMYFUNCTION("""COMPUTED_VALUE"""),171028.0)</f>
        <v>171028</v>
      </c>
      <c r="B290" t="str">
        <f>IFERROR(__xludf.DUMMYFUNCTION("""COMPUTED_VALUE"""),"Grapeseed Oil")</f>
        <v>Grapeseed Oil</v>
      </c>
      <c r="C290" t="str">
        <f>IFERROR(__xludf.DUMMYFUNCTION("""COMPUTED_VALUE"""),"Fats and Oils")</f>
        <v>Fats and Oils</v>
      </c>
      <c r="D290">
        <f>IFERROR(__xludf.DUMMYFUNCTION("""COMPUTED_VALUE"""),884.0)</f>
        <v>884</v>
      </c>
      <c r="E290">
        <f>IFERROR(__xludf.DUMMYFUNCTION("""COMPUTED_VALUE"""),100.0)</f>
        <v>100</v>
      </c>
      <c r="F290">
        <f>IFERROR(__xludf.DUMMYFUNCTION("""COMPUTED_VALUE"""),0.0)</f>
        <v>0</v>
      </c>
      <c r="G290">
        <f>IFERROR(__xludf.DUMMYFUNCTION("""COMPUTED_VALUE"""),0.0)</f>
        <v>0</v>
      </c>
    </row>
    <row r="291">
      <c r="A291">
        <f>IFERROR(__xludf.DUMMYFUNCTION("""COMPUTED_VALUE"""),171029.0)</f>
        <v>171029</v>
      </c>
      <c r="B291" t="str">
        <f>IFERROR(__xludf.DUMMYFUNCTION("""COMPUTED_VALUE"""),"Corn Oil")</f>
        <v>Corn Oil</v>
      </c>
      <c r="C291" t="str">
        <f>IFERROR(__xludf.DUMMYFUNCTION("""COMPUTED_VALUE"""),"Fats and Oils")</f>
        <v>Fats and Oils</v>
      </c>
      <c r="D291">
        <f>IFERROR(__xludf.DUMMYFUNCTION("""COMPUTED_VALUE"""),900.0)</f>
        <v>900</v>
      </c>
      <c r="E291">
        <f>IFERROR(__xludf.DUMMYFUNCTION("""COMPUTED_VALUE"""),100.0)</f>
        <v>100</v>
      </c>
      <c r="F291">
        <f>IFERROR(__xludf.DUMMYFUNCTION("""COMPUTED_VALUE"""),0.0)</f>
        <v>0</v>
      </c>
      <c r="G291">
        <f>IFERROR(__xludf.DUMMYFUNCTION("""COMPUTED_VALUE"""),0.0)</f>
        <v>0</v>
      </c>
    </row>
    <row r="292">
      <c r="A292">
        <f>IFERROR(__xludf.DUMMYFUNCTION("""COMPUTED_VALUE"""),171030.0)</f>
        <v>171030</v>
      </c>
      <c r="B292" t="str">
        <f>IFERROR(__xludf.DUMMYFUNCTION("""COMPUTED_VALUE"""),"Walnut Oil")</f>
        <v>Walnut Oil</v>
      </c>
      <c r="C292" t="str">
        <f>IFERROR(__xludf.DUMMYFUNCTION("""COMPUTED_VALUE"""),"Fats and Oils")</f>
        <v>Fats and Oils</v>
      </c>
      <c r="D292">
        <f>IFERROR(__xludf.DUMMYFUNCTION("""COMPUTED_VALUE"""),884.0)</f>
        <v>884</v>
      </c>
      <c r="E292">
        <f>IFERROR(__xludf.DUMMYFUNCTION("""COMPUTED_VALUE"""),100.0)</f>
        <v>100</v>
      </c>
      <c r="F292">
        <f>IFERROR(__xludf.DUMMYFUNCTION("""COMPUTED_VALUE"""),0.0)</f>
        <v>0</v>
      </c>
      <c r="G292">
        <f>IFERROR(__xludf.DUMMYFUNCTION("""COMPUTED_VALUE"""),0.0)</f>
        <v>0</v>
      </c>
    </row>
    <row r="293">
      <c r="A293">
        <f>IFERROR(__xludf.DUMMYFUNCTION("""COMPUTED_VALUE"""),171031.0)</f>
        <v>171031</v>
      </c>
      <c r="B293" t="str">
        <f>IFERROR(__xludf.DUMMYFUNCTION("""COMPUTED_VALUE"""),"Almond Oil")</f>
        <v>Almond Oil</v>
      </c>
      <c r="C293" t="str">
        <f>IFERROR(__xludf.DUMMYFUNCTION("""COMPUTED_VALUE"""),"Fats and Oils")</f>
        <v>Fats and Oils</v>
      </c>
      <c r="D293">
        <f>IFERROR(__xludf.DUMMYFUNCTION("""COMPUTED_VALUE"""),884.0)</f>
        <v>884</v>
      </c>
      <c r="E293">
        <f>IFERROR(__xludf.DUMMYFUNCTION("""COMPUTED_VALUE"""),100.0)</f>
        <v>100</v>
      </c>
      <c r="F293">
        <f>IFERROR(__xludf.DUMMYFUNCTION("""COMPUTED_VALUE"""),0.0)</f>
        <v>0</v>
      </c>
      <c r="G293">
        <f>IFERROR(__xludf.DUMMYFUNCTION("""COMPUTED_VALUE"""),0.0)</f>
        <v>0</v>
      </c>
    </row>
    <row r="294">
      <c r="A294">
        <f>IFERROR(__xludf.DUMMYFUNCTION("""COMPUTED_VALUE"""),171032.0)</f>
        <v>171032</v>
      </c>
      <c r="B294" t="str">
        <f>IFERROR(__xludf.DUMMYFUNCTION("""COMPUTED_VALUE"""),"Apricot Kernel Oil")</f>
        <v>Apricot Kernel Oil</v>
      </c>
      <c r="C294" t="str">
        <f>IFERROR(__xludf.DUMMYFUNCTION("""COMPUTED_VALUE"""),"Fats and Oils")</f>
        <v>Fats and Oils</v>
      </c>
      <c r="D294">
        <f>IFERROR(__xludf.DUMMYFUNCTION("""COMPUTED_VALUE"""),884.0)</f>
        <v>884</v>
      </c>
      <c r="E294">
        <f>IFERROR(__xludf.DUMMYFUNCTION("""COMPUTED_VALUE"""),100.0)</f>
        <v>100</v>
      </c>
      <c r="F294">
        <f>IFERROR(__xludf.DUMMYFUNCTION("""COMPUTED_VALUE"""),0.0)</f>
        <v>0</v>
      </c>
      <c r="G294">
        <f>IFERROR(__xludf.DUMMYFUNCTION("""COMPUTED_VALUE"""),0.0)</f>
        <v>0</v>
      </c>
    </row>
    <row r="295">
      <c r="A295">
        <f>IFERROR(__xludf.DUMMYFUNCTION("""COMPUTED_VALUE"""),171033.0)</f>
        <v>171033</v>
      </c>
      <c r="B295" t="str">
        <f>IFERROR(__xludf.DUMMYFUNCTION("""COMPUTED_VALUE"""),"Oil Vegetable Natreon Canola High Stability Non Trans High Oleic (70%)")</f>
        <v>Oil Vegetable Natreon Canola High Stability Non Trans High Oleic (70%)</v>
      </c>
      <c r="C295" t="str">
        <f>IFERROR(__xludf.DUMMYFUNCTION("""COMPUTED_VALUE"""),"Fats and Oils")</f>
        <v>Fats and Oils</v>
      </c>
      <c r="D295">
        <f>IFERROR(__xludf.DUMMYFUNCTION("""COMPUTED_VALUE"""),884.0)</f>
        <v>884</v>
      </c>
      <c r="E295">
        <f>IFERROR(__xludf.DUMMYFUNCTION("""COMPUTED_VALUE"""),100.0)</f>
        <v>100</v>
      </c>
      <c r="F295">
        <f>IFERROR(__xludf.DUMMYFUNCTION("""COMPUTED_VALUE"""),0.0)</f>
        <v>0</v>
      </c>
      <c r="G295">
        <f>IFERROR(__xludf.DUMMYFUNCTION("""COMPUTED_VALUE"""),0.0)</f>
        <v>0</v>
      </c>
    </row>
    <row r="296">
      <c r="A296">
        <f>IFERROR(__xludf.DUMMYFUNCTION("""COMPUTED_VALUE"""),171034.0)</f>
        <v>171034</v>
      </c>
      <c r="B296" t="str">
        <f>IFERROR(__xludf.DUMMYFUNCTION("""COMPUTED_VALUE"""),"Salad Dressing Honey Mustard Dressing Reduced Calorie")</f>
        <v>Salad Dressing Honey Mustard Dressing Reduced Calorie</v>
      </c>
      <c r="C296" t="str">
        <f>IFERROR(__xludf.DUMMYFUNCTION("""COMPUTED_VALUE"""),"Fats and Oils")</f>
        <v>Fats and Oils</v>
      </c>
      <c r="D296">
        <f>IFERROR(__xludf.DUMMYFUNCTION("""COMPUTED_VALUE"""),207.0)</f>
        <v>207</v>
      </c>
      <c r="E296">
        <f>IFERROR(__xludf.DUMMYFUNCTION("""COMPUTED_VALUE"""),10.0)</f>
        <v>10</v>
      </c>
      <c r="F296">
        <f>IFERROR(__xludf.DUMMYFUNCTION("""COMPUTED_VALUE"""),0.98)</f>
        <v>0.98</v>
      </c>
      <c r="G296">
        <f>IFERROR(__xludf.DUMMYFUNCTION("""COMPUTED_VALUE"""),28.26)</f>
        <v>28.26</v>
      </c>
    </row>
    <row r="297">
      <c r="A297">
        <f>IFERROR(__xludf.DUMMYFUNCTION("""COMPUTED_VALUE"""),171035.0)</f>
        <v>171035</v>
      </c>
      <c r="B297" t="str">
        <f>IFERROR(__xludf.DUMMYFUNCTION("""COMPUTED_VALUE"""),"Margarine-Like Spread Benecol Light Spread")</f>
        <v>Margarine-Like Spread Benecol Light Spread</v>
      </c>
      <c r="C297" t="str">
        <f>IFERROR(__xludf.DUMMYFUNCTION("""COMPUTED_VALUE"""),"Fats and Oils")</f>
        <v>Fats and Oils</v>
      </c>
      <c r="D297">
        <f>IFERROR(__xludf.DUMMYFUNCTION("""COMPUTED_VALUE"""),357.0)</f>
        <v>357</v>
      </c>
      <c r="E297">
        <f>IFERROR(__xludf.DUMMYFUNCTION("""COMPUTED_VALUE"""),38.71)</f>
        <v>38.71</v>
      </c>
      <c r="F297">
        <f>IFERROR(__xludf.DUMMYFUNCTION("""COMPUTED_VALUE"""),0.0)</f>
        <v>0</v>
      </c>
      <c r="G297">
        <f>IFERROR(__xludf.DUMMYFUNCTION("""COMPUTED_VALUE"""),5.71)</f>
        <v>5.71</v>
      </c>
    </row>
    <row r="298">
      <c r="A298">
        <f>IFERROR(__xludf.DUMMYFUNCTION("""COMPUTED_VALUE"""),171036.0)</f>
        <v>171036</v>
      </c>
      <c r="B298" t="str">
        <f>IFERROR(__xludf.DUMMYFUNCTION("""COMPUTED_VALUE"""),"Salad Dressing Spray-Style Dressing Assorted Flavors")</f>
        <v>Salad Dressing Spray-Style Dressing Assorted Flavors</v>
      </c>
      <c r="C298" t="str">
        <f>IFERROR(__xludf.DUMMYFUNCTION("""COMPUTED_VALUE"""),"Fats and Oils")</f>
        <v>Fats and Oils</v>
      </c>
      <c r="D298">
        <f>IFERROR(__xludf.DUMMYFUNCTION("""COMPUTED_VALUE"""),165.0)</f>
        <v>165</v>
      </c>
      <c r="E298">
        <f>IFERROR(__xludf.DUMMYFUNCTION("""COMPUTED_VALUE"""),10.75)</f>
        <v>10.75</v>
      </c>
      <c r="F298">
        <f>IFERROR(__xludf.DUMMYFUNCTION("""COMPUTED_VALUE"""),0.16)</f>
        <v>0.16</v>
      </c>
      <c r="G298">
        <f>IFERROR(__xludf.DUMMYFUNCTION("""COMPUTED_VALUE"""),16.6)</f>
        <v>16.6</v>
      </c>
    </row>
    <row r="299">
      <c r="A299">
        <f>IFERROR(__xludf.DUMMYFUNCTION("""COMPUTED_VALUE"""),171037.0)</f>
        <v>171037</v>
      </c>
      <c r="B299" t="str">
        <f>IFERROR(__xludf.DUMMYFUNCTION("""COMPUTED_VALUE"""),"Salad Dressing Mayonnaise Light Smart Balance Omega Plus Light")</f>
        <v>Salad Dressing Mayonnaise Light Smart Balance Omega Plus Light</v>
      </c>
      <c r="C299" t="str">
        <f>IFERROR(__xludf.DUMMYFUNCTION("""COMPUTED_VALUE"""),"Fats and Oils")</f>
        <v>Fats and Oils</v>
      </c>
      <c r="D299">
        <f>IFERROR(__xludf.DUMMYFUNCTION("""COMPUTED_VALUE"""),333.0)</f>
        <v>333</v>
      </c>
      <c r="E299">
        <f>IFERROR(__xludf.DUMMYFUNCTION("""COMPUTED_VALUE"""),34.18)</f>
        <v>34.18</v>
      </c>
      <c r="F299">
        <f>IFERROR(__xludf.DUMMYFUNCTION("""COMPUTED_VALUE"""),1.53)</f>
        <v>1.53</v>
      </c>
      <c r="G299">
        <f>IFERROR(__xludf.DUMMYFUNCTION("""COMPUTED_VALUE"""),9.39)</f>
        <v>9.39</v>
      </c>
    </row>
    <row r="300">
      <c r="A300">
        <f>IFERROR(__xludf.DUMMYFUNCTION("""COMPUTED_VALUE"""),171038.0)</f>
        <v>171038</v>
      </c>
      <c r="B300" t="str">
        <f>IFERROR(__xludf.DUMMYFUNCTION("""COMPUTED_VALUE"""),"Margarine-Like Vegetable Oil Spread 60% Fat Tub With Salt With Added Vitamin D")</f>
        <v>Margarine-Like Vegetable Oil Spread 60% Fat Tub With Salt With Added Vitamin D</v>
      </c>
      <c r="C300" t="str">
        <f>IFERROR(__xludf.DUMMYFUNCTION("""COMPUTED_VALUE"""),"Fats and Oils")</f>
        <v>Fats and Oils</v>
      </c>
      <c r="D300">
        <f>IFERROR(__xludf.DUMMYFUNCTION("""COMPUTED_VALUE"""),533.0)</f>
        <v>533</v>
      </c>
      <c r="E300">
        <f>IFERROR(__xludf.DUMMYFUNCTION("""COMPUTED_VALUE"""),59.81)</f>
        <v>59.81</v>
      </c>
      <c r="F300">
        <f>IFERROR(__xludf.DUMMYFUNCTION("""COMPUTED_VALUE"""),0.17)</f>
        <v>0.17</v>
      </c>
      <c r="G300">
        <f>IFERROR(__xludf.DUMMYFUNCTION("""COMPUTED_VALUE"""),0.86)</f>
        <v>0.86</v>
      </c>
    </row>
    <row r="301">
      <c r="A301">
        <f>IFERROR(__xludf.DUMMYFUNCTION("""COMPUTED_VALUE"""),171039.0)</f>
        <v>171039</v>
      </c>
      <c r="B301" t="str">
        <f>IFERROR(__xludf.DUMMYFUNCTION("""COMPUTED_VALUE"""),"Margarine-Like Vegetable-Oil Spread Stick/tub/bottle 60% Fat With Added Vitamin D")</f>
        <v>Margarine-Like Vegetable-Oil Spread Stick/tub/bottle 60% Fat With Added Vitamin D</v>
      </c>
      <c r="C301" t="str">
        <f>IFERROR(__xludf.DUMMYFUNCTION("""COMPUTED_VALUE"""),"Fats and Oils")</f>
        <v>Fats and Oils</v>
      </c>
      <c r="D301">
        <f>IFERROR(__xludf.DUMMYFUNCTION("""COMPUTED_VALUE"""),535.0)</f>
        <v>535</v>
      </c>
      <c r="E301">
        <f>IFERROR(__xludf.DUMMYFUNCTION("""COMPUTED_VALUE"""),59.17)</f>
        <v>59.17</v>
      </c>
      <c r="F301">
        <f>IFERROR(__xludf.DUMMYFUNCTION("""COMPUTED_VALUE"""),0.6)</f>
        <v>0.6</v>
      </c>
      <c r="G301">
        <f>IFERROR(__xludf.DUMMYFUNCTION("""COMPUTED_VALUE"""),0.0)</f>
        <v>0</v>
      </c>
    </row>
    <row r="302">
      <c r="A302">
        <f>IFERROR(__xludf.DUMMYFUNCTION("""COMPUTED_VALUE"""),171040.0)</f>
        <v>171040</v>
      </c>
      <c r="B302" t="str">
        <f>IFERROR(__xludf.DUMMYFUNCTION("""COMPUTED_VALUE"""),"Margarine Regular 80% Fat Composite Stick Without Salt With Added Vitamin D")</f>
        <v>Margarine Regular 80% Fat Composite Stick Without Salt With Added Vitamin D</v>
      </c>
      <c r="C302" t="str">
        <f>IFERROR(__xludf.DUMMYFUNCTION("""COMPUTED_VALUE"""),"Fats and Oils")</f>
        <v>Fats and Oils</v>
      </c>
      <c r="D302">
        <f>IFERROR(__xludf.DUMMYFUNCTION("""COMPUTED_VALUE"""),717.0)</f>
        <v>717</v>
      </c>
      <c r="E302">
        <f>IFERROR(__xludf.DUMMYFUNCTION("""COMPUTED_VALUE"""),80.71)</f>
        <v>80.71</v>
      </c>
      <c r="F302">
        <f>IFERROR(__xludf.DUMMYFUNCTION("""COMPUTED_VALUE"""),0.16)</f>
        <v>0.16</v>
      </c>
      <c r="G302">
        <f>IFERROR(__xludf.DUMMYFUNCTION("""COMPUTED_VALUE"""),0.7)</f>
        <v>0.7</v>
      </c>
    </row>
    <row r="303">
      <c r="A303">
        <f>IFERROR(__xludf.DUMMYFUNCTION("""COMPUTED_VALUE"""),171041.0)</f>
        <v>171041</v>
      </c>
      <c r="B303" t="str">
        <f>IFERROR(__xludf.DUMMYFUNCTION("""COMPUTED_VALUE"""),"Margarine-Like Vegetable Oil Spread 60% Fat Stick/tub/bottle Without Salt With Added Vitamin D")</f>
        <v>Margarine-Like Vegetable Oil Spread 60% Fat Stick/tub/bottle Without Salt With Added Vitamin D</v>
      </c>
      <c r="C303" t="str">
        <f>IFERROR(__xludf.DUMMYFUNCTION("""COMPUTED_VALUE"""),"Fats and Oils")</f>
        <v>Fats and Oils</v>
      </c>
      <c r="D303">
        <f>IFERROR(__xludf.DUMMYFUNCTION("""COMPUTED_VALUE"""),542.0)</f>
        <v>542</v>
      </c>
      <c r="E303">
        <f>IFERROR(__xludf.DUMMYFUNCTION("""COMPUTED_VALUE"""),59.81)</f>
        <v>59.81</v>
      </c>
      <c r="F303">
        <f>IFERROR(__xludf.DUMMYFUNCTION("""COMPUTED_VALUE"""),0.17)</f>
        <v>0.17</v>
      </c>
      <c r="G303">
        <f>IFERROR(__xludf.DUMMYFUNCTION("""COMPUTED_VALUE"""),0.86)</f>
        <v>0.86</v>
      </c>
    </row>
    <row r="304">
      <c r="A304">
        <f>IFERROR(__xludf.DUMMYFUNCTION("""COMPUTED_VALUE"""),171042.0)</f>
        <v>171042</v>
      </c>
      <c r="B304" t="str">
        <f>IFERROR(__xludf.DUMMYFUNCTION("""COMPUTED_VALUE"""),"Oil Industrial Canola High Oleic")</f>
        <v>Oil Industrial Canola High Oleic</v>
      </c>
      <c r="C304" t="str">
        <f>IFERROR(__xludf.DUMMYFUNCTION("""COMPUTED_VALUE"""),"Fats and Oils")</f>
        <v>Fats and Oils</v>
      </c>
      <c r="D304">
        <f>IFERROR(__xludf.DUMMYFUNCTION("""COMPUTED_VALUE"""),900.0)</f>
        <v>900</v>
      </c>
      <c r="E304">
        <f>IFERROR(__xludf.DUMMYFUNCTION("""COMPUTED_VALUE"""),100.0)</f>
        <v>100</v>
      </c>
      <c r="F304">
        <f>IFERROR(__xludf.DUMMYFUNCTION("""COMPUTED_VALUE"""),0.0)</f>
        <v>0</v>
      </c>
      <c r="G304">
        <f>IFERROR(__xludf.DUMMYFUNCTION("""COMPUTED_VALUE"""),0.0)</f>
        <v>0</v>
      </c>
    </row>
    <row r="305">
      <c r="A305">
        <f>IFERROR(__xludf.DUMMYFUNCTION("""COMPUTED_VALUE"""),171043.0)</f>
        <v>171043</v>
      </c>
      <c r="B305" t="str">
        <f>IFERROR(__xludf.DUMMYFUNCTION("""COMPUTED_VALUE"""),"Honey Mustard Salad Dressing")</f>
        <v>Honey Mustard Salad Dressing</v>
      </c>
      <c r="C305" t="str">
        <f>IFERROR(__xludf.DUMMYFUNCTION("""COMPUTED_VALUE"""),"Fats and Oils")</f>
        <v>Fats and Oils</v>
      </c>
      <c r="D305">
        <f>IFERROR(__xludf.DUMMYFUNCTION("""COMPUTED_VALUE"""),464.0)</f>
        <v>464</v>
      </c>
      <c r="E305">
        <f>IFERROR(__xludf.DUMMYFUNCTION("""COMPUTED_VALUE"""),40.83)</f>
        <v>40.83</v>
      </c>
      <c r="F305">
        <f>IFERROR(__xludf.DUMMYFUNCTION("""COMPUTED_VALUE"""),0.87)</f>
        <v>0.87</v>
      </c>
      <c r="G305">
        <f>IFERROR(__xludf.DUMMYFUNCTION("""COMPUTED_VALUE"""),23.33)</f>
        <v>23.33</v>
      </c>
    </row>
    <row r="306">
      <c r="A306">
        <f>IFERROR(__xludf.DUMMYFUNCTION("""COMPUTED_VALUE"""),171044.0)</f>
        <v>171044</v>
      </c>
      <c r="B306" t="str">
        <f>IFERROR(__xludf.DUMMYFUNCTION("""COMPUTED_VALUE"""),"Creamy Poppyseed Salad Dressing")</f>
        <v>Creamy Poppyseed Salad Dressing</v>
      </c>
      <c r="C306" t="str">
        <f>IFERROR(__xludf.DUMMYFUNCTION("""COMPUTED_VALUE"""),"Fats and Oils")</f>
        <v>Fats and Oils</v>
      </c>
      <c r="D306">
        <f>IFERROR(__xludf.DUMMYFUNCTION("""COMPUTED_VALUE"""),399.0)</f>
        <v>399</v>
      </c>
      <c r="E306">
        <f>IFERROR(__xludf.DUMMYFUNCTION("""COMPUTED_VALUE"""),33.33)</f>
        <v>33.33</v>
      </c>
      <c r="F306">
        <f>IFERROR(__xludf.DUMMYFUNCTION("""COMPUTED_VALUE"""),0.92)</f>
        <v>0.92</v>
      </c>
      <c r="G306">
        <f>IFERROR(__xludf.DUMMYFUNCTION("""COMPUTED_VALUE"""),23.73)</f>
        <v>23.73</v>
      </c>
    </row>
    <row r="307">
      <c r="A307">
        <f>IFERROR(__xludf.DUMMYFUNCTION("""COMPUTED_VALUE"""),171045.0)</f>
        <v>171045</v>
      </c>
      <c r="B307" t="str">
        <f>IFERROR(__xludf.DUMMYFUNCTION("""COMPUTED_VALUE"""),"Salad Dressing Caesar Fat-Free")</f>
        <v>Salad Dressing Caesar Fat-Free</v>
      </c>
      <c r="C307" t="str">
        <f>IFERROR(__xludf.DUMMYFUNCTION("""COMPUTED_VALUE"""),"Fats and Oils")</f>
        <v>Fats and Oils</v>
      </c>
      <c r="D307">
        <f>IFERROR(__xludf.DUMMYFUNCTION("""COMPUTED_VALUE"""),131.0)</f>
        <v>131</v>
      </c>
      <c r="E307">
        <f>IFERROR(__xludf.DUMMYFUNCTION("""COMPUTED_VALUE"""),0.23)</f>
        <v>0.23</v>
      </c>
      <c r="F307">
        <f>IFERROR(__xludf.DUMMYFUNCTION("""COMPUTED_VALUE"""),1.47)</f>
        <v>1.47</v>
      </c>
      <c r="G307">
        <f>IFERROR(__xludf.DUMMYFUNCTION("""COMPUTED_VALUE"""),30.73)</f>
        <v>30.73</v>
      </c>
    </row>
    <row r="308">
      <c r="A308">
        <f>IFERROR(__xludf.DUMMYFUNCTION("""COMPUTED_VALUE"""),171046.0)</f>
        <v>171046</v>
      </c>
      <c r="B308" t="str">
        <f>IFERROR(__xludf.DUMMYFUNCTION("""COMPUTED_VALUE"""),"Dressing Honey Mustard Fat-Free")</f>
        <v>Dressing Honey Mustard Fat-Free</v>
      </c>
      <c r="C308" t="str">
        <f>IFERROR(__xludf.DUMMYFUNCTION("""COMPUTED_VALUE"""),"Fats and Oils")</f>
        <v>Fats and Oils</v>
      </c>
      <c r="D308">
        <f>IFERROR(__xludf.DUMMYFUNCTION("""COMPUTED_VALUE"""),169.0)</f>
        <v>169</v>
      </c>
      <c r="E308">
        <f>IFERROR(__xludf.DUMMYFUNCTION("""COMPUTED_VALUE"""),1.47)</f>
        <v>1.47</v>
      </c>
      <c r="F308">
        <f>IFERROR(__xludf.DUMMYFUNCTION("""COMPUTED_VALUE"""),1.07)</f>
        <v>1.07</v>
      </c>
      <c r="G308">
        <f>IFERROR(__xludf.DUMMYFUNCTION("""COMPUTED_VALUE"""),38.43)</f>
        <v>38.43</v>
      </c>
    </row>
    <row r="309">
      <c r="A309">
        <f>IFERROR(__xludf.DUMMYFUNCTION("""COMPUTED_VALUE"""),171240.0)</f>
        <v>171240</v>
      </c>
      <c r="B309" t="str">
        <f>IFERROR(__xludf.DUMMYFUNCTION("""COMPUTED_VALUE"""),"Gjetost Cheese")</f>
        <v>Gjetost Cheese</v>
      </c>
      <c r="C309" t="str">
        <f>IFERROR(__xludf.DUMMYFUNCTION("""COMPUTED_VALUE"""),"Dairy and Egg Products")</f>
        <v>Dairy and Egg Products</v>
      </c>
      <c r="D309">
        <f>IFERROR(__xludf.DUMMYFUNCTION("""COMPUTED_VALUE"""),466.0)</f>
        <v>466</v>
      </c>
      <c r="E309">
        <f>IFERROR(__xludf.DUMMYFUNCTION("""COMPUTED_VALUE"""),29.51)</f>
        <v>29.51</v>
      </c>
      <c r="F309">
        <f>IFERROR(__xludf.DUMMYFUNCTION("""COMPUTED_VALUE"""),9.65)</f>
        <v>9.65</v>
      </c>
      <c r="G309">
        <f>IFERROR(__xludf.DUMMYFUNCTION("""COMPUTED_VALUE"""),42.65)</f>
        <v>42.65</v>
      </c>
    </row>
    <row r="310">
      <c r="A310">
        <f>IFERROR(__xludf.DUMMYFUNCTION("""COMPUTED_VALUE"""),171241.0)</f>
        <v>171241</v>
      </c>
      <c r="B310" t="str">
        <f>IFERROR(__xludf.DUMMYFUNCTION("""COMPUTED_VALUE"""),"Gouda Cheese")</f>
        <v>Gouda Cheese</v>
      </c>
      <c r="C310" t="str">
        <f>IFERROR(__xludf.DUMMYFUNCTION("""COMPUTED_VALUE"""),"Dairy and Egg Products")</f>
        <v>Dairy and Egg Products</v>
      </c>
      <c r="D310">
        <f>IFERROR(__xludf.DUMMYFUNCTION("""COMPUTED_VALUE"""),356.0)</f>
        <v>356</v>
      </c>
      <c r="E310">
        <f>IFERROR(__xludf.DUMMYFUNCTION("""COMPUTED_VALUE"""),27.44)</f>
        <v>27.44</v>
      </c>
      <c r="F310">
        <f>IFERROR(__xludf.DUMMYFUNCTION("""COMPUTED_VALUE"""),24.94)</f>
        <v>24.94</v>
      </c>
      <c r="G310">
        <f>IFERROR(__xludf.DUMMYFUNCTION("""COMPUTED_VALUE"""),2.22)</f>
        <v>2.22</v>
      </c>
    </row>
    <row r="311">
      <c r="A311">
        <f>IFERROR(__xludf.DUMMYFUNCTION("""COMPUTED_VALUE"""),171242.0)</f>
        <v>171242</v>
      </c>
      <c r="B311" t="str">
        <f>IFERROR(__xludf.DUMMYFUNCTION("""COMPUTED_VALUE"""),"Gruyere Cheese")</f>
        <v>Gruyere Cheese</v>
      </c>
      <c r="C311" t="str">
        <f>IFERROR(__xludf.DUMMYFUNCTION("""COMPUTED_VALUE"""),"Dairy and Egg Products")</f>
        <v>Dairy and Egg Products</v>
      </c>
      <c r="D311">
        <f>IFERROR(__xludf.DUMMYFUNCTION("""COMPUTED_VALUE"""),413.0)</f>
        <v>413</v>
      </c>
      <c r="E311">
        <f>IFERROR(__xludf.DUMMYFUNCTION("""COMPUTED_VALUE"""),32.34)</f>
        <v>32.34</v>
      </c>
      <c r="F311">
        <f>IFERROR(__xludf.DUMMYFUNCTION("""COMPUTED_VALUE"""),29.81)</f>
        <v>29.81</v>
      </c>
      <c r="G311">
        <f>IFERROR(__xludf.DUMMYFUNCTION("""COMPUTED_VALUE"""),0.36)</f>
        <v>0.36</v>
      </c>
    </row>
    <row r="312">
      <c r="A312">
        <f>IFERROR(__xludf.DUMMYFUNCTION("""COMPUTED_VALUE"""),171243.0)</f>
        <v>171243</v>
      </c>
      <c r="B312" t="str">
        <f>IFERROR(__xludf.DUMMYFUNCTION("""COMPUTED_VALUE"""),"Limburger Cheese")</f>
        <v>Limburger Cheese</v>
      </c>
      <c r="C312" t="str">
        <f>IFERROR(__xludf.DUMMYFUNCTION("""COMPUTED_VALUE"""),"Dairy and Egg Products")</f>
        <v>Dairy and Egg Products</v>
      </c>
      <c r="D312">
        <f>IFERROR(__xludf.DUMMYFUNCTION("""COMPUTED_VALUE"""),327.0)</f>
        <v>327</v>
      </c>
      <c r="E312">
        <f>IFERROR(__xludf.DUMMYFUNCTION("""COMPUTED_VALUE"""),27.25)</f>
        <v>27.25</v>
      </c>
      <c r="F312">
        <f>IFERROR(__xludf.DUMMYFUNCTION("""COMPUTED_VALUE"""),20.05)</f>
        <v>20.05</v>
      </c>
      <c r="G312">
        <f>IFERROR(__xludf.DUMMYFUNCTION("""COMPUTED_VALUE"""),0.49)</f>
        <v>0.49</v>
      </c>
    </row>
    <row r="313">
      <c r="A313">
        <f>IFERROR(__xludf.DUMMYFUNCTION("""COMPUTED_VALUE"""),171244.0)</f>
        <v>171244</v>
      </c>
      <c r="B313" t="str">
        <f>IFERROR(__xludf.DUMMYFUNCTION("""COMPUTED_VALUE"""),"Mozzarella (Hard And Lowfat)")</f>
        <v>Mozzarella (Hard And Lowfat)</v>
      </c>
      <c r="C313" t="str">
        <f>IFERROR(__xludf.DUMMYFUNCTION("""COMPUTED_VALUE"""),"Dairy and Egg Products")</f>
        <v>Dairy and Egg Products</v>
      </c>
      <c r="D313">
        <f>IFERROR(__xludf.DUMMYFUNCTION("""COMPUTED_VALUE"""),295.0)</f>
        <v>295</v>
      </c>
      <c r="E313">
        <f>IFERROR(__xludf.DUMMYFUNCTION("""COMPUTED_VALUE"""),19.78)</f>
        <v>19.78</v>
      </c>
      <c r="F313">
        <f>IFERROR(__xludf.DUMMYFUNCTION("""COMPUTED_VALUE"""),23.75)</f>
        <v>23.75</v>
      </c>
      <c r="G313">
        <f>IFERROR(__xludf.DUMMYFUNCTION("""COMPUTED_VALUE"""),5.58)</f>
        <v>5.58</v>
      </c>
    </row>
    <row r="314">
      <c r="A314">
        <f>IFERROR(__xludf.DUMMYFUNCTION("""COMPUTED_VALUE"""),171245.0)</f>
        <v>171245</v>
      </c>
      <c r="B314" t="str">
        <f>IFERROR(__xludf.DUMMYFUNCTION("""COMPUTED_VALUE"""),"Muenster Cheese")</f>
        <v>Muenster Cheese</v>
      </c>
      <c r="C314" t="str">
        <f>IFERROR(__xludf.DUMMYFUNCTION("""COMPUTED_VALUE"""),"Dairy and Egg Products")</f>
        <v>Dairy and Egg Products</v>
      </c>
      <c r="D314">
        <f>IFERROR(__xludf.DUMMYFUNCTION("""COMPUTED_VALUE"""),368.0)</f>
        <v>368</v>
      </c>
      <c r="E314">
        <f>IFERROR(__xludf.DUMMYFUNCTION("""COMPUTED_VALUE"""),30.04)</f>
        <v>30.04</v>
      </c>
      <c r="F314">
        <f>IFERROR(__xludf.DUMMYFUNCTION("""COMPUTED_VALUE"""),23.41)</f>
        <v>23.41</v>
      </c>
      <c r="G314">
        <f>IFERROR(__xludf.DUMMYFUNCTION("""COMPUTED_VALUE"""),1.12)</f>
        <v>1.12</v>
      </c>
    </row>
    <row r="315">
      <c r="A315">
        <f>IFERROR(__xludf.DUMMYFUNCTION("""COMPUTED_VALUE"""),171246.0)</f>
        <v>171246</v>
      </c>
      <c r="B315" t="str">
        <f>IFERROR(__xludf.DUMMYFUNCTION("""COMPUTED_VALUE"""),"Neufchatel Cheese")</f>
        <v>Neufchatel Cheese</v>
      </c>
      <c r="C315" t="str">
        <f>IFERROR(__xludf.DUMMYFUNCTION("""COMPUTED_VALUE"""),"Dairy and Egg Products")</f>
        <v>Dairy and Egg Products</v>
      </c>
      <c r="D315">
        <f>IFERROR(__xludf.DUMMYFUNCTION("""COMPUTED_VALUE"""),253.0)</f>
        <v>253</v>
      </c>
      <c r="E315">
        <f>IFERROR(__xludf.DUMMYFUNCTION("""COMPUTED_VALUE"""),22.78)</f>
        <v>22.78</v>
      </c>
      <c r="F315">
        <f>IFERROR(__xludf.DUMMYFUNCTION("""COMPUTED_VALUE"""),9.15)</f>
        <v>9.15</v>
      </c>
      <c r="G315">
        <f>IFERROR(__xludf.DUMMYFUNCTION("""COMPUTED_VALUE"""),3.59)</f>
        <v>3.59</v>
      </c>
    </row>
    <row r="316">
      <c r="A316">
        <f>IFERROR(__xludf.DUMMYFUNCTION("""COMPUTED_VALUE"""),171247.0)</f>
        <v>171247</v>
      </c>
      <c r="B316" t="str">
        <f>IFERROR(__xludf.DUMMYFUNCTION("""COMPUTED_VALUE"""),"Grated Parmesan")</f>
        <v>Grated Parmesan</v>
      </c>
      <c r="C316" t="str">
        <f>IFERROR(__xludf.DUMMYFUNCTION("""COMPUTED_VALUE"""),"Dairy and Egg Products")</f>
        <v>Dairy and Egg Products</v>
      </c>
      <c r="D316">
        <f>IFERROR(__xludf.DUMMYFUNCTION("""COMPUTED_VALUE"""),420.0)</f>
        <v>420</v>
      </c>
      <c r="E316">
        <f>IFERROR(__xludf.DUMMYFUNCTION("""COMPUTED_VALUE"""),27.84)</f>
        <v>27.84</v>
      </c>
      <c r="F316">
        <f>IFERROR(__xludf.DUMMYFUNCTION("""COMPUTED_VALUE"""),28.42)</f>
        <v>28.42</v>
      </c>
      <c r="G316">
        <f>IFERROR(__xludf.DUMMYFUNCTION("""COMPUTED_VALUE"""),13.91)</f>
        <v>13.91</v>
      </c>
    </row>
    <row r="317">
      <c r="A317">
        <f>IFERROR(__xludf.DUMMYFUNCTION("""COMPUTED_VALUE"""),171248.0)</f>
        <v>171248</v>
      </c>
      <c r="B317" t="str">
        <f>IFERROR(__xludf.DUMMYFUNCTION("""COMPUTED_VALUE"""),"Lowfat Ricotta")</f>
        <v>Lowfat Ricotta</v>
      </c>
      <c r="C317" t="str">
        <f>IFERROR(__xludf.DUMMYFUNCTION("""COMPUTED_VALUE"""),"Dairy and Egg Products")</f>
        <v>Dairy and Egg Products</v>
      </c>
      <c r="D317">
        <f>IFERROR(__xludf.DUMMYFUNCTION("""COMPUTED_VALUE"""),138.0)</f>
        <v>138</v>
      </c>
      <c r="E317">
        <f>IFERROR(__xludf.DUMMYFUNCTION("""COMPUTED_VALUE"""),7.91)</f>
        <v>7.91</v>
      </c>
      <c r="F317">
        <f>IFERROR(__xludf.DUMMYFUNCTION("""COMPUTED_VALUE"""),11.39)</f>
        <v>11.39</v>
      </c>
      <c r="G317">
        <f>IFERROR(__xludf.DUMMYFUNCTION("""COMPUTED_VALUE"""),5.14)</f>
        <v>5.14</v>
      </c>
    </row>
    <row r="318">
      <c r="A318">
        <f>IFERROR(__xludf.DUMMYFUNCTION("""COMPUTED_VALUE"""),171249.0)</f>
        <v>171249</v>
      </c>
      <c r="B318" t="str">
        <f>IFERROR(__xludf.DUMMYFUNCTION("""COMPUTED_VALUE"""),"Romano Cheese")</f>
        <v>Romano Cheese</v>
      </c>
      <c r="C318" t="str">
        <f>IFERROR(__xludf.DUMMYFUNCTION("""COMPUTED_VALUE"""),"Dairy and Egg Products")</f>
        <v>Dairy and Egg Products</v>
      </c>
      <c r="D318">
        <f>IFERROR(__xludf.DUMMYFUNCTION("""COMPUTED_VALUE"""),387.0)</f>
        <v>387</v>
      </c>
      <c r="E318">
        <f>IFERROR(__xludf.DUMMYFUNCTION("""COMPUTED_VALUE"""),26.94)</f>
        <v>26.94</v>
      </c>
      <c r="F318">
        <f>IFERROR(__xludf.DUMMYFUNCTION("""COMPUTED_VALUE"""),31.8)</f>
        <v>31.8</v>
      </c>
      <c r="G318">
        <f>IFERROR(__xludf.DUMMYFUNCTION("""COMPUTED_VALUE"""),3.63)</f>
        <v>3.63</v>
      </c>
    </row>
    <row r="319">
      <c r="A319">
        <f>IFERROR(__xludf.DUMMYFUNCTION("""COMPUTED_VALUE"""),171250.0)</f>
        <v>171250</v>
      </c>
      <c r="B319" t="str">
        <f>IFERROR(__xludf.DUMMYFUNCTION("""COMPUTED_VALUE"""),"Roquefort")</f>
        <v>Roquefort</v>
      </c>
      <c r="C319" t="str">
        <f>IFERROR(__xludf.DUMMYFUNCTION("""COMPUTED_VALUE"""),"Dairy and Egg Products")</f>
        <v>Dairy and Egg Products</v>
      </c>
      <c r="D319">
        <f>IFERROR(__xludf.DUMMYFUNCTION("""COMPUTED_VALUE"""),369.0)</f>
        <v>369</v>
      </c>
      <c r="E319">
        <f>IFERROR(__xludf.DUMMYFUNCTION("""COMPUTED_VALUE"""),30.64)</f>
        <v>30.64</v>
      </c>
      <c r="F319">
        <f>IFERROR(__xludf.DUMMYFUNCTION("""COMPUTED_VALUE"""),21.54)</f>
        <v>21.54</v>
      </c>
      <c r="G319">
        <f>IFERROR(__xludf.DUMMYFUNCTION("""COMPUTED_VALUE"""),2.0)</f>
        <v>2</v>
      </c>
    </row>
    <row r="320">
      <c r="A320">
        <f>IFERROR(__xludf.DUMMYFUNCTION("""COMPUTED_VALUE"""),171251.0)</f>
        <v>171251</v>
      </c>
      <c r="B320" t="str">
        <f>IFERROR(__xludf.DUMMYFUNCTION("""COMPUTED_VALUE"""),"Swiss Cheese")</f>
        <v>Swiss Cheese</v>
      </c>
      <c r="C320" t="str">
        <f>IFERROR(__xludf.DUMMYFUNCTION("""COMPUTED_VALUE"""),"Dairy and Egg Products")</f>
        <v>Dairy and Egg Products</v>
      </c>
      <c r="D320">
        <f>IFERROR(__xludf.DUMMYFUNCTION("""COMPUTED_VALUE"""),393.0)</f>
        <v>393</v>
      </c>
      <c r="E320">
        <f>IFERROR(__xludf.DUMMYFUNCTION("""COMPUTED_VALUE"""),30.99)</f>
        <v>30.99</v>
      </c>
      <c r="F320">
        <f>IFERROR(__xludf.DUMMYFUNCTION("""COMPUTED_VALUE"""),26.96)</f>
        <v>26.96</v>
      </c>
      <c r="G320">
        <f>IFERROR(__xludf.DUMMYFUNCTION("""COMPUTED_VALUE"""),1.44)</f>
        <v>1.44</v>
      </c>
    </row>
    <row r="321">
      <c r="A321">
        <f>IFERROR(__xludf.DUMMYFUNCTION("""COMPUTED_VALUE"""),171252.0)</f>
        <v>171252</v>
      </c>
      <c r="B321" t="str">
        <f>IFERROR(__xludf.DUMMYFUNCTION("""COMPUTED_VALUE"""),"American Cheese")</f>
        <v>American Cheese</v>
      </c>
      <c r="C321" t="str">
        <f>IFERROR(__xludf.DUMMYFUNCTION("""COMPUTED_VALUE"""),"Dairy and Egg Products")</f>
        <v>Dairy and Egg Products</v>
      </c>
      <c r="D321">
        <f>IFERROR(__xludf.DUMMYFUNCTION("""COMPUTED_VALUE"""),330.0)</f>
        <v>330</v>
      </c>
      <c r="E321">
        <f>IFERROR(__xludf.DUMMYFUNCTION("""COMPUTED_VALUE"""),25.63)</f>
        <v>25.63</v>
      </c>
      <c r="F321">
        <f>IFERROR(__xludf.DUMMYFUNCTION("""COMPUTED_VALUE"""),16.86)</f>
        <v>16.86</v>
      </c>
      <c r="G321">
        <f>IFERROR(__xludf.DUMMYFUNCTION("""COMPUTED_VALUE"""),8.56)</f>
        <v>8.56</v>
      </c>
    </row>
    <row r="322">
      <c r="A322">
        <f>IFERROR(__xludf.DUMMYFUNCTION("""COMPUTED_VALUE"""),171253.0)</f>
        <v>171253</v>
      </c>
      <c r="B322" t="str">
        <f>IFERROR(__xludf.DUMMYFUNCTION("""COMPUTED_VALUE"""),"Cheese Food Pasteurized Process Swiss")</f>
        <v>Cheese Food Pasteurized Process Swiss</v>
      </c>
      <c r="C322" t="str">
        <f>IFERROR(__xludf.DUMMYFUNCTION("""COMPUTED_VALUE"""),"Dairy and Egg Products")</f>
        <v>Dairy and Egg Products</v>
      </c>
      <c r="D322">
        <f>IFERROR(__xludf.DUMMYFUNCTION("""COMPUTED_VALUE"""),323.0)</f>
        <v>323</v>
      </c>
      <c r="E322">
        <f>IFERROR(__xludf.DUMMYFUNCTION("""COMPUTED_VALUE"""),24.14)</f>
        <v>24.14</v>
      </c>
      <c r="F322">
        <f>IFERROR(__xludf.DUMMYFUNCTION("""COMPUTED_VALUE"""),21.92)</f>
        <v>21.92</v>
      </c>
      <c r="G322">
        <f>IFERROR(__xludf.DUMMYFUNCTION("""COMPUTED_VALUE"""),4.5)</f>
        <v>4.5</v>
      </c>
    </row>
    <row r="323">
      <c r="A323">
        <f>IFERROR(__xludf.DUMMYFUNCTION("""COMPUTED_VALUE"""),171254.0)</f>
        <v>171254</v>
      </c>
      <c r="B323" t="str">
        <f>IFERROR(__xludf.DUMMYFUNCTION("""COMPUTED_VALUE"""),"American Cheese Spread")</f>
        <v>American Cheese Spread</v>
      </c>
      <c r="C323" t="str">
        <f>IFERROR(__xludf.DUMMYFUNCTION("""COMPUTED_VALUE"""),"Dairy and Egg Products")</f>
        <v>Dairy and Egg Products</v>
      </c>
      <c r="D323">
        <f>IFERROR(__xludf.DUMMYFUNCTION("""COMPUTED_VALUE"""),290.0)</f>
        <v>290</v>
      </c>
      <c r="E323">
        <f>IFERROR(__xludf.DUMMYFUNCTION("""COMPUTED_VALUE"""),21.23)</f>
        <v>21.23</v>
      </c>
      <c r="F323">
        <f>IFERROR(__xludf.DUMMYFUNCTION("""COMPUTED_VALUE"""),16.41)</f>
        <v>16.41</v>
      </c>
      <c r="G323">
        <f>IFERROR(__xludf.DUMMYFUNCTION("""COMPUTED_VALUE"""),8.73)</f>
        <v>8.73</v>
      </c>
    </row>
    <row r="324">
      <c r="A324">
        <f>IFERROR(__xludf.DUMMYFUNCTION("""COMPUTED_VALUE"""),171255.0)</f>
        <v>171255</v>
      </c>
      <c r="B324" t="str">
        <f>IFERROR(__xludf.DUMMYFUNCTION("""COMPUTED_VALUE"""),"Half And Half Cream")</f>
        <v>Half And Half Cream</v>
      </c>
      <c r="C324" t="str">
        <f>IFERROR(__xludf.DUMMYFUNCTION("""COMPUTED_VALUE"""),"Dairy and Egg Products")</f>
        <v>Dairy and Egg Products</v>
      </c>
      <c r="D324">
        <f>IFERROR(__xludf.DUMMYFUNCTION("""COMPUTED_VALUE"""),131.0)</f>
        <v>131</v>
      </c>
      <c r="E324">
        <f>IFERROR(__xludf.DUMMYFUNCTION("""COMPUTED_VALUE"""),11.5)</f>
        <v>11.5</v>
      </c>
      <c r="F324">
        <f>IFERROR(__xludf.DUMMYFUNCTION("""COMPUTED_VALUE"""),3.13)</f>
        <v>3.13</v>
      </c>
      <c r="G324">
        <f>IFERROR(__xludf.DUMMYFUNCTION("""COMPUTED_VALUE"""),4.3)</f>
        <v>4.3</v>
      </c>
    </row>
    <row r="325">
      <c r="A325">
        <f>IFERROR(__xludf.DUMMYFUNCTION("""COMPUTED_VALUE"""),171256.0)</f>
        <v>171256</v>
      </c>
      <c r="B325" t="str">
        <f>IFERROR(__xludf.DUMMYFUNCTION("""COMPUTED_VALUE"""),"Lowfat Sour Cream")</f>
        <v>Lowfat Sour Cream</v>
      </c>
      <c r="C325" t="str">
        <f>IFERROR(__xludf.DUMMYFUNCTION("""COMPUTED_VALUE"""),"Dairy and Egg Products")</f>
        <v>Dairy and Egg Products</v>
      </c>
      <c r="D325">
        <f>IFERROR(__xludf.DUMMYFUNCTION("""COMPUTED_VALUE"""),135.0)</f>
        <v>135</v>
      </c>
      <c r="E325">
        <f>IFERROR(__xludf.DUMMYFUNCTION("""COMPUTED_VALUE"""),12.0)</f>
        <v>12</v>
      </c>
      <c r="F325">
        <f>IFERROR(__xludf.DUMMYFUNCTION("""COMPUTED_VALUE"""),2.94)</f>
        <v>2.94</v>
      </c>
      <c r="G325">
        <f>IFERROR(__xludf.DUMMYFUNCTION("""COMPUTED_VALUE"""),4.26)</f>
        <v>4.26</v>
      </c>
    </row>
    <row r="326">
      <c r="A326">
        <f>IFERROR(__xludf.DUMMYFUNCTION("""COMPUTED_VALUE"""),171257.0)</f>
        <v>171257</v>
      </c>
      <c r="B326" t="str">
        <f>IFERROR(__xludf.DUMMYFUNCTION("""COMPUTED_VALUE"""),"Cultured Sour Cream")</f>
        <v>Cultured Sour Cream</v>
      </c>
      <c r="C326" t="str">
        <f>IFERROR(__xludf.DUMMYFUNCTION("""COMPUTED_VALUE"""),"Dairy and Egg Products")</f>
        <v>Dairy and Egg Products</v>
      </c>
      <c r="D326">
        <f>IFERROR(__xludf.DUMMYFUNCTION("""COMPUTED_VALUE"""),198.0)</f>
        <v>198</v>
      </c>
      <c r="E326">
        <f>IFERROR(__xludf.DUMMYFUNCTION("""COMPUTED_VALUE"""),19.35)</f>
        <v>19.35</v>
      </c>
      <c r="F326">
        <f>IFERROR(__xludf.DUMMYFUNCTION("""COMPUTED_VALUE"""),2.44)</f>
        <v>2.44</v>
      </c>
      <c r="G326">
        <f>IFERROR(__xludf.DUMMYFUNCTION("""COMPUTED_VALUE"""),4.63)</f>
        <v>4.63</v>
      </c>
    </row>
    <row r="327">
      <c r="A327">
        <f>IFERROR(__xludf.DUMMYFUNCTION("""COMPUTED_VALUE"""),171258.0)</f>
        <v>171258</v>
      </c>
      <c r="B327" t="str">
        <f>IFERROR(__xludf.DUMMYFUNCTION("""COMPUTED_VALUE"""),"Eggnog")</f>
        <v>Eggnog</v>
      </c>
      <c r="C327" t="str">
        <f>IFERROR(__xludf.DUMMYFUNCTION("""COMPUTED_VALUE"""),"Dairy and Egg Products")</f>
        <v>Dairy and Egg Products</v>
      </c>
      <c r="D327">
        <f>IFERROR(__xludf.DUMMYFUNCTION("""COMPUTED_VALUE"""),88.0)</f>
        <v>88</v>
      </c>
      <c r="E327">
        <f>IFERROR(__xludf.DUMMYFUNCTION("""COMPUTED_VALUE"""),4.19)</f>
        <v>4.19</v>
      </c>
      <c r="F327">
        <f>IFERROR(__xludf.DUMMYFUNCTION("""COMPUTED_VALUE"""),4.55)</f>
        <v>4.55</v>
      </c>
      <c r="G327">
        <f>IFERROR(__xludf.DUMMYFUNCTION("""COMPUTED_VALUE"""),8.05)</f>
        <v>8.05</v>
      </c>
    </row>
    <row r="328">
      <c r="A328">
        <f>IFERROR(__xludf.DUMMYFUNCTION("""COMPUTED_VALUE"""),171259.0)</f>
        <v>171259</v>
      </c>
      <c r="B328" t="str">
        <f>IFERROR(__xludf.DUMMYFUNCTION("""COMPUTED_VALUE"""),"Sour Dressing Non-Butterfat Cultured Filled Cream-Type")</f>
        <v>Sour Dressing Non-Butterfat Cultured Filled Cream-Type</v>
      </c>
      <c r="C328" t="str">
        <f>IFERROR(__xludf.DUMMYFUNCTION("""COMPUTED_VALUE"""),"Dairy and Egg Products")</f>
        <v>Dairy and Egg Products</v>
      </c>
      <c r="D328">
        <f>IFERROR(__xludf.DUMMYFUNCTION("""COMPUTED_VALUE"""),178.0)</f>
        <v>178</v>
      </c>
      <c r="E328">
        <f>IFERROR(__xludf.DUMMYFUNCTION("""COMPUTED_VALUE"""),16.57)</f>
        <v>16.57</v>
      </c>
      <c r="F328">
        <f>IFERROR(__xludf.DUMMYFUNCTION("""COMPUTED_VALUE"""),3.25)</f>
        <v>3.25</v>
      </c>
      <c r="G328">
        <f>IFERROR(__xludf.DUMMYFUNCTION("""COMPUTED_VALUE"""),4.68)</f>
        <v>4.68</v>
      </c>
    </row>
    <row r="329">
      <c r="A329">
        <f>IFERROR(__xludf.DUMMYFUNCTION("""COMPUTED_VALUE"""),171261.0)</f>
        <v>171261</v>
      </c>
      <c r="B329" t="str">
        <f>IFERROR(__xludf.DUMMYFUNCTION("""COMPUTED_VALUE"""),"Cream Substitute Liquid With Hydrogenated Vegetable Oil And Soy Protein")</f>
        <v>Cream Substitute Liquid With Hydrogenated Vegetable Oil And Soy Protein</v>
      </c>
      <c r="C329" t="str">
        <f>IFERROR(__xludf.DUMMYFUNCTION("""COMPUTED_VALUE"""),"Dairy and Egg Products")</f>
        <v>Dairy and Egg Products</v>
      </c>
      <c r="D329">
        <f>IFERROR(__xludf.DUMMYFUNCTION("""COMPUTED_VALUE"""),136.0)</f>
        <v>136</v>
      </c>
      <c r="E329">
        <f>IFERROR(__xludf.DUMMYFUNCTION("""COMPUTED_VALUE"""),9.97)</f>
        <v>9.97</v>
      </c>
      <c r="F329">
        <f>IFERROR(__xludf.DUMMYFUNCTION("""COMPUTED_VALUE"""),1.0)</f>
        <v>1</v>
      </c>
      <c r="G329">
        <f>IFERROR(__xludf.DUMMYFUNCTION("""COMPUTED_VALUE"""),11.38)</f>
        <v>11.38</v>
      </c>
    </row>
    <row r="330">
      <c r="A330">
        <f>IFERROR(__xludf.DUMMYFUNCTION("""COMPUTED_VALUE"""),171262.0)</f>
        <v>171262</v>
      </c>
      <c r="B330" t="str">
        <f>IFERROR(__xludf.DUMMYFUNCTION("""COMPUTED_VALUE"""),"Cream Substitute Liquid With Lauric Acid Oil And Sodium Caseinate")</f>
        <v>Cream Substitute Liquid With Lauric Acid Oil And Sodium Caseinate</v>
      </c>
      <c r="C330" t="str">
        <f>IFERROR(__xludf.DUMMYFUNCTION("""COMPUTED_VALUE"""),"Dairy and Egg Products")</f>
        <v>Dairy and Egg Products</v>
      </c>
      <c r="D330">
        <f>IFERROR(__xludf.DUMMYFUNCTION("""COMPUTED_VALUE"""),136.0)</f>
        <v>136</v>
      </c>
      <c r="E330">
        <f>IFERROR(__xludf.DUMMYFUNCTION("""COMPUTED_VALUE"""),9.97)</f>
        <v>9.97</v>
      </c>
      <c r="F330">
        <f>IFERROR(__xludf.DUMMYFUNCTION("""COMPUTED_VALUE"""),1.0)</f>
        <v>1</v>
      </c>
      <c r="G330">
        <f>IFERROR(__xludf.DUMMYFUNCTION("""COMPUTED_VALUE"""),11.38)</f>
        <v>11.38</v>
      </c>
    </row>
    <row r="331">
      <c r="A331">
        <f>IFERROR(__xludf.DUMMYFUNCTION("""COMPUTED_VALUE"""),171263.0)</f>
        <v>171263</v>
      </c>
      <c r="B331" t="str">
        <f>IFERROR(__xludf.DUMMYFUNCTION("""COMPUTED_VALUE"""),"Cream Substitute Powdered")</f>
        <v>Cream Substitute Powdered</v>
      </c>
      <c r="C331" t="str">
        <f>IFERROR(__xludf.DUMMYFUNCTION("""COMPUTED_VALUE"""),"Dairy and Egg Products")</f>
        <v>Dairy and Egg Products</v>
      </c>
      <c r="D331">
        <f>IFERROR(__xludf.DUMMYFUNCTION("""COMPUTED_VALUE"""),529.0)</f>
        <v>529</v>
      </c>
      <c r="E331">
        <f>IFERROR(__xludf.DUMMYFUNCTION("""COMPUTED_VALUE"""),32.92)</f>
        <v>32.92</v>
      </c>
      <c r="F331">
        <f>IFERROR(__xludf.DUMMYFUNCTION("""COMPUTED_VALUE"""),2.48)</f>
        <v>2.48</v>
      </c>
      <c r="G331">
        <f>IFERROR(__xludf.DUMMYFUNCTION("""COMPUTED_VALUE"""),59.29)</f>
        <v>59.29</v>
      </c>
    </row>
    <row r="332">
      <c r="A332">
        <f>IFERROR(__xludf.DUMMYFUNCTION("""COMPUTED_VALUE"""),171264.0)</f>
        <v>171264</v>
      </c>
      <c r="B332" t="str">
        <f>IFERROR(__xludf.DUMMYFUNCTION("""COMPUTED_VALUE"""),"Milk Substitutes Fluid With Lauric Acid Oil")</f>
        <v>Milk Substitutes Fluid With Lauric Acid Oil</v>
      </c>
      <c r="C332" t="str">
        <f>IFERROR(__xludf.DUMMYFUNCTION("""COMPUTED_VALUE"""),"Dairy and Egg Products")</f>
        <v>Dairy and Egg Products</v>
      </c>
      <c r="D332">
        <f>IFERROR(__xludf.DUMMYFUNCTION("""COMPUTED_VALUE"""),61.0)</f>
        <v>61</v>
      </c>
      <c r="E332">
        <f>IFERROR(__xludf.DUMMYFUNCTION("""COMPUTED_VALUE"""),3.41)</f>
        <v>3.41</v>
      </c>
      <c r="F332">
        <f>IFERROR(__xludf.DUMMYFUNCTION("""COMPUTED_VALUE"""),1.75)</f>
        <v>1.75</v>
      </c>
      <c r="G332">
        <f>IFERROR(__xludf.DUMMYFUNCTION("""COMPUTED_VALUE"""),6.16)</f>
        <v>6.16</v>
      </c>
    </row>
    <row r="333">
      <c r="A333">
        <f>IFERROR(__xludf.DUMMYFUNCTION("""COMPUTED_VALUE"""),171265.0)</f>
        <v>171265</v>
      </c>
      <c r="B333" t="str">
        <f>IFERROR(__xludf.DUMMYFUNCTION("""COMPUTED_VALUE"""),"Whole Milk")</f>
        <v>Whole Milk</v>
      </c>
      <c r="C333" t="str">
        <f>IFERROR(__xludf.DUMMYFUNCTION("""COMPUTED_VALUE"""),"Dairy and Egg Products")</f>
        <v>Dairy and Egg Products</v>
      </c>
      <c r="D333">
        <f>IFERROR(__xludf.DUMMYFUNCTION("""COMPUTED_VALUE"""),61.0)</f>
        <v>61</v>
      </c>
      <c r="E333">
        <f>IFERROR(__xludf.DUMMYFUNCTION("""COMPUTED_VALUE"""),3.25)</f>
        <v>3.25</v>
      </c>
      <c r="F333">
        <f>IFERROR(__xludf.DUMMYFUNCTION("""COMPUTED_VALUE"""),3.15)</f>
        <v>3.15</v>
      </c>
      <c r="G333">
        <f>IFERROR(__xludf.DUMMYFUNCTION("""COMPUTED_VALUE"""),4.8)</f>
        <v>4.8</v>
      </c>
    </row>
    <row r="334">
      <c r="A334">
        <f>IFERROR(__xludf.DUMMYFUNCTION("""COMPUTED_VALUE"""),171266.0)</f>
        <v>171266</v>
      </c>
      <c r="B334" t="str">
        <f>IFERROR(__xludf.DUMMYFUNCTION("""COMPUTED_VALUE"""),"High Fat Milk (3.7% Fat)")</f>
        <v>High Fat Milk (3.7% Fat)</v>
      </c>
      <c r="C334" t="str">
        <f>IFERROR(__xludf.DUMMYFUNCTION("""COMPUTED_VALUE"""),"Dairy and Egg Products")</f>
        <v>Dairy and Egg Products</v>
      </c>
      <c r="D334">
        <f>IFERROR(__xludf.DUMMYFUNCTION("""COMPUTED_VALUE"""),64.0)</f>
        <v>64</v>
      </c>
      <c r="E334">
        <f>IFERROR(__xludf.DUMMYFUNCTION("""COMPUTED_VALUE"""),3.66)</f>
        <v>3.66</v>
      </c>
      <c r="F334">
        <f>IFERROR(__xludf.DUMMYFUNCTION("""COMPUTED_VALUE"""),3.28)</f>
        <v>3.28</v>
      </c>
      <c r="G334">
        <f>IFERROR(__xludf.DUMMYFUNCTION("""COMPUTED_VALUE"""),4.65)</f>
        <v>4.65</v>
      </c>
    </row>
    <row r="335">
      <c r="A335">
        <f>IFERROR(__xludf.DUMMYFUNCTION("""COMPUTED_VALUE"""),171267.0)</f>
        <v>171267</v>
      </c>
      <c r="B335" t="str">
        <f>IFERROR(__xludf.DUMMYFUNCTION("""COMPUTED_VALUE"""),"Low-Fat Milk 2%")</f>
        <v>Low-Fat Milk 2%</v>
      </c>
      <c r="C335" t="str">
        <f>IFERROR(__xludf.DUMMYFUNCTION("""COMPUTED_VALUE"""),"Dairy and Egg Products")</f>
        <v>Dairy and Egg Products</v>
      </c>
      <c r="D335">
        <f>IFERROR(__xludf.DUMMYFUNCTION("""COMPUTED_VALUE"""),50.0)</f>
        <v>50</v>
      </c>
      <c r="E335">
        <f>IFERROR(__xludf.DUMMYFUNCTION("""COMPUTED_VALUE"""),1.98)</f>
        <v>1.98</v>
      </c>
      <c r="F335">
        <f>IFERROR(__xludf.DUMMYFUNCTION("""COMPUTED_VALUE"""),3.3)</f>
        <v>3.3</v>
      </c>
      <c r="G335">
        <f>IFERROR(__xludf.DUMMYFUNCTION("""COMPUTED_VALUE"""),4.8)</f>
        <v>4.8</v>
      </c>
    </row>
    <row r="336">
      <c r="A336">
        <f>IFERROR(__xludf.DUMMYFUNCTION("""COMPUTED_VALUE"""),171268.0)</f>
        <v>171268</v>
      </c>
      <c r="B336" t="str">
        <f>IFERROR(__xludf.DUMMYFUNCTION("""COMPUTED_VALUE"""),"Milk Lowfat Fluid 1% Milkfat Protein Fortified With Added Vitamin A And Vitamin D")</f>
        <v>Milk Lowfat Fluid 1% Milkfat Protein Fortified With Added Vitamin A And Vitamin D</v>
      </c>
      <c r="C336" t="str">
        <f>IFERROR(__xludf.DUMMYFUNCTION("""COMPUTED_VALUE"""),"Dairy and Egg Products")</f>
        <v>Dairy and Egg Products</v>
      </c>
      <c r="D336">
        <f>IFERROR(__xludf.DUMMYFUNCTION("""COMPUTED_VALUE"""),48.0)</f>
        <v>48</v>
      </c>
      <c r="E336">
        <f>IFERROR(__xludf.DUMMYFUNCTION("""COMPUTED_VALUE"""),1.17)</f>
        <v>1.17</v>
      </c>
      <c r="F336">
        <f>IFERROR(__xludf.DUMMYFUNCTION("""COMPUTED_VALUE"""),3.93)</f>
        <v>3.93</v>
      </c>
      <c r="G336">
        <f>IFERROR(__xludf.DUMMYFUNCTION("""COMPUTED_VALUE"""),5.52)</f>
        <v>5.52</v>
      </c>
    </row>
    <row r="337">
      <c r="A337">
        <f>IFERROR(__xludf.DUMMYFUNCTION("""COMPUTED_VALUE"""),171269.0)</f>
        <v>171269</v>
      </c>
      <c r="B337" t="str">
        <f>IFERROR(__xludf.DUMMYFUNCTION("""COMPUTED_VALUE"""),"Skim Milk")</f>
        <v>Skim Milk</v>
      </c>
      <c r="C337" t="str">
        <f>IFERROR(__xludf.DUMMYFUNCTION("""COMPUTED_VALUE"""),"Dairy and Egg Products")</f>
        <v>Dairy and Egg Products</v>
      </c>
      <c r="D337">
        <f>IFERROR(__xludf.DUMMYFUNCTION("""COMPUTED_VALUE"""),34.0)</f>
        <v>34</v>
      </c>
      <c r="E337">
        <f>IFERROR(__xludf.DUMMYFUNCTION("""COMPUTED_VALUE"""),0.08)</f>
        <v>0.08</v>
      </c>
      <c r="F337">
        <f>IFERROR(__xludf.DUMMYFUNCTION("""COMPUTED_VALUE"""),3.37)</f>
        <v>3.37</v>
      </c>
      <c r="G337">
        <f>IFERROR(__xludf.DUMMYFUNCTION("""COMPUTED_VALUE"""),4.96)</f>
        <v>4.96</v>
      </c>
    </row>
    <row r="338">
      <c r="A338">
        <f>IFERROR(__xludf.DUMMYFUNCTION("""COMPUTED_VALUE"""),171270.0)</f>
        <v>171270</v>
      </c>
      <c r="B338" t="str">
        <f>IFERROR(__xludf.DUMMYFUNCTION("""COMPUTED_VALUE"""),"Milk Nonfat Fluid With Added Nonfat Milk Solids Vitamin A And Vitamin D (Fat Free Or Skim)")</f>
        <v>Milk Nonfat Fluid With Added Nonfat Milk Solids Vitamin A And Vitamin D (Fat Free Or Skim)</v>
      </c>
      <c r="C338" t="str">
        <f>IFERROR(__xludf.DUMMYFUNCTION("""COMPUTED_VALUE"""),"Dairy and Egg Products")</f>
        <v>Dairy and Egg Products</v>
      </c>
      <c r="D338">
        <f>IFERROR(__xludf.DUMMYFUNCTION("""COMPUTED_VALUE"""),37.0)</f>
        <v>37</v>
      </c>
      <c r="E338">
        <f>IFERROR(__xludf.DUMMYFUNCTION("""COMPUTED_VALUE"""),0.25)</f>
        <v>0.25</v>
      </c>
      <c r="F338">
        <f>IFERROR(__xludf.DUMMYFUNCTION("""COMPUTED_VALUE"""),3.57)</f>
        <v>3.57</v>
      </c>
      <c r="G338">
        <f>IFERROR(__xludf.DUMMYFUNCTION("""COMPUTED_VALUE"""),5.02)</f>
        <v>5.02</v>
      </c>
    </row>
    <row r="339">
      <c r="A339">
        <f>IFERROR(__xludf.DUMMYFUNCTION("""COMPUTED_VALUE"""),171271.0)</f>
        <v>171271</v>
      </c>
      <c r="B339" t="str">
        <f>IFERROR(__xludf.DUMMYFUNCTION("""COMPUTED_VALUE"""),"Milk Nonfat Fluid Protein Fortified With Added Vitamin A And Vitamin D (Fat Free And Skim)")</f>
        <v>Milk Nonfat Fluid Protein Fortified With Added Vitamin A And Vitamin D (Fat Free And Skim)</v>
      </c>
      <c r="C339" t="str">
        <f>IFERROR(__xludf.DUMMYFUNCTION("""COMPUTED_VALUE"""),"Dairy and Egg Products")</f>
        <v>Dairy and Egg Products</v>
      </c>
      <c r="D339">
        <f>IFERROR(__xludf.DUMMYFUNCTION("""COMPUTED_VALUE"""),41.0)</f>
        <v>41</v>
      </c>
      <c r="E339">
        <f>IFERROR(__xludf.DUMMYFUNCTION("""COMPUTED_VALUE"""),0.25)</f>
        <v>0.25</v>
      </c>
      <c r="F339">
        <f>IFERROR(__xludf.DUMMYFUNCTION("""COMPUTED_VALUE"""),3.96)</f>
        <v>3.96</v>
      </c>
      <c r="G339">
        <f>IFERROR(__xludf.DUMMYFUNCTION("""COMPUTED_VALUE"""),5.56)</f>
        <v>5.56</v>
      </c>
    </row>
    <row r="340">
      <c r="A340">
        <f>IFERROR(__xludf.DUMMYFUNCTION("""COMPUTED_VALUE"""),171272.0)</f>
        <v>171272</v>
      </c>
      <c r="B340" t="str">
        <f>IFERROR(__xludf.DUMMYFUNCTION("""COMPUTED_VALUE"""),"Milk Dry Nonfat Instant With Added Vitamin A And Vitamin D")</f>
        <v>Milk Dry Nonfat Instant With Added Vitamin A And Vitamin D</v>
      </c>
      <c r="C340" t="str">
        <f>IFERROR(__xludf.DUMMYFUNCTION("""COMPUTED_VALUE"""),"Dairy and Egg Products")</f>
        <v>Dairy and Egg Products</v>
      </c>
      <c r="D340">
        <f>IFERROR(__xludf.DUMMYFUNCTION("""COMPUTED_VALUE"""),358.0)</f>
        <v>358</v>
      </c>
      <c r="E340">
        <f>IFERROR(__xludf.DUMMYFUNCTION("""COMPUTED_VALUE"""),0.72)</f>
        <v>0.72</v>
      </c>
      <c r="F340">
        <f>IFERROR(__xludf.DUMMYFUNCTION("""COMPUTED_VALUE"""),35.1)</f>
        <v>35.1</v>
      </c>
      <c r="G340">
        <f>IFERROR(__xludf.DUMMYFUNCTION("""COMPUTED_VALUE"""),52.19)</f>
        <v>52.19</v>
      </c>
    </row>
    <row r="341">
      <c r="A341">
        <f>IFERROR(__xludf.DUMMYFUNCTION("""COMPUTED_VALUE"""),171273.0)</f>
        <v>171273</v>
      </c>
      <c r="B341" t="str">
        <f>IFERROR(__xludf.DUMMYFUNCTION("""COMPUTED_VALUE"""),"Milk Dry Nonfat Calcium Reduced")</f>
        <v>Milk Dry Nonfat Calcium Reduced</v>
      </c>
      <c r="C341" t="str">
        <f>IFERROR(__xludf.DUMMYFUNCTION("""COMPUTED_VALUE"""),"Dairy and Egg Products")</f>
        <v>Dairy and Egg Products</v>
      </c>
      <c r="D341">
        <f>IFERROR(__xludf.DUMMYFUNCTION("""COMPUTED_VALUE"""),354.0)</f>
        <v>354</v>
      </c>
      <c r="E341">
        <f>IFERROR(__xludf.DUMMYFUNCTION("""COMPUTED_VALUE"""),0.2)</f>
        <v>0.2</v>
      </c>
      <c r="F341">
        <f>IFERROR(__xludf.DUMMYFUNCTION("""COMPUTED_VALUE"""),35.5)</f>
        <v>35.5</v>
      </c>
      <c r="G341">
        <f>IFERROR(__xludf.DUMMYFUNCTION("""COMPUTED_VALUE"""),51.8)</f>
        <v>51.8</v>
      </c>
    </row>
    <row r="342">
      <c r="A342">
        <f>IFERROR(__xludf.DUMMYFUNCTION("""COMPUTED_VALUE"""),171274.0)</f>
        <v>171274</v>
      </c>
      <c r="B342" t="str">
        <f>IFERROR(__xludf.DUMMYFUNCTION("""COMPUTED_VALUE"""),"Milk Buttermilk Dried")</f>
        <v>Milk Buttermilk Dried</v>
      </c>
      <c r="C342" t="str">
        <f>IFERROR(__xludf.DUMMYFUNCTION("""COMPUTED_VALUE"""),"Dairy and Egg Products")</f>
        <v>Dairy and Egg Products</v>
      </c>
      <c r="D342">
        <f>IFERROR(__xludf.DUMMYFUNCTION("""COMPUTED_VALUE"""),387.0)</f>
        <v>387</v>
      </c>
      <c r="E342">
        <f>IFERROR(__xludf.DUMMYFUNCTION("""COMPUTED_VALUE"""),5.78)</f>
        <v>5.78</v>
      </c>
      <c r="F342">
        <f>IFERROR(__xludf.DUMMYFUNCTION("""COMPUTED_VALUE"""),34.3)</f>
        <v>34.3</v>
      </c>
      <c r="G342">
        <f>IFERROR(__xludf.DUMMYFUNCTION("""COMPUTED_VALUE"""),49.0)</f>
        <v>49</v>
      </c>
    </row>
    <row r="343">
      <c r="A343">
        <f>IFERROR(__xludf.DUMMYFUNCTION("""COMPUTED_VALUE"""),171275.0)</f>
        <v>171275</v>
      </c>
      <c r="B343" t="str">
        <f>IFERROR(__xludf.DUMMYFUNCTION("""COMPUTED_VALUE"""),"Sweetened Condensed Milk")</f>
        <v>Sweetened Condensed Milk</v>
      </c>
      <c r="C343" t="str">
        <f>IFERROR(__xludf.DUMMYFUNCTION("""COMPUTED_VALUE"""),"Dairy and Egg Products")</f>
        <v>Dairy and Egg Products</v>
      </c>
      <c r="D343">
        <f>IFERROR(__xludf.DUMMYFUNCTION("""COMPUTED_VALUE"""),321.0)</f>
        <v>321</v>
      </c>
      <c r="E343">
        <f>IFERROR(__xludf.DUMMYFUNCTION("""COMPUTED_VALUE"""),8.7)</f>
        <v>8.7</v>
      </c>
      <c r="F343">
        <f>IFERROR(__xludf.DUMMYFUNCTION("""COMPUTED_VALUE"""),7.91)</f>
        <v>7.91</v>
      </c>
      <c r="G343">
        <f>IFERROR(__xludf.DUMMYFUNCTION("""COMPUTED_VALUE"""),54.4)</f>
        <v>54.4</v>
      </c>
    </row>
    <row r="344">
      <c r="A344">
        <f>IFERROR(__xludf.DUMMYFUNCTION("""COMPUTED_VALUE"""),171276.0)</f>
        <v>171276</v>
      </c>
      <c r="B344" t="str">
        <f>IFERROR(__xludf.DUMMYFUNCTION("""COMPUTED_VALUE"""),"Milk Canned Evaporated With Added Vitamin D And Without Added Vitamin A")</f>
        <v>Milk Canned Evaporated With Added Vitamin D And Without Added Vitamin A</v>
      </c>
      <c r="C344" t="str">
        <f>IFERROR(__xludf.DUMMYFUNCTION("""COMPUTED_VALUE"""),"Dairy and Egg Products")</f>
        <v>Dairy and Egg Products</v>
      </c>
      <c r="D344">
        <f>IFERROR(__xludf.DUMMYFUNCTION("""COMPUTED_VALUE"""),134.0)</f>
        <v>134</v>
      </c>
      <c r="E344">
        <f>IFERROR(__xludf.DUMMYFUNCTION("""COMPUTED_VALUE"""),7.56)</f>
        <v>7.56</v>
      </c>
      <c r="F344">
        <f>IFERROR(__xludf.DUMMYFUNCTION("""COMPUTED_VALUE"""),6.81)</f>
        <v>6.81</v>
      </c>
      <c r="G344">
        <f>IFERROR(__xludf.DUMMYFUNCTION("""COMPUTED_VALUE"""),10.04)</f>
        <v>10.04</v>
      </c>
    </row>
    <row r="345">
      <c r="A345">
        <f>IFERROR(__xludf.DUMMYFUNCTION("""COMPUTED_VALUE"""),171277.0)</f>
        <v>171277</v>
      </c>
      <c r="B345" t="str">
        <f>IFERROR(__xludf.DUMMYFUNCTION("""COMPUTED_VALUE"""),"Hot Cocoa")</f>
        <v>Hot Cocoa</v>
      </c>
      <c r="C345" t="str">
        <f>IFERROR(__xludf.DUMMYFUNCTION("""COMPUTED_VALUE"""),"Dairy and Egg Products")</f>
        <v>Dairy and Egg Products</v>
      </c>
      <c r="D345">
        <f>IFERROR(__xludf.DUMMYFUNCTION("""COMPUTED_VALUE"""),77.0)</f>
        <v>77</v>
      </c>
      <c r="E345">
        <f>IFERROR(__xludf.DUMMYFUNCTION("""COMPUTED_VALUE"""),2.34)</f>
        <v>2.34</v>
      </c>
      <c r="F345">
        <f>IFERROR(__xludf.DUMMYFUNCTION("""COMPUTED_VALUE"""),3.52)</f>
        <v>3.52</v>
      </c>
      <c r="G345">
        <f>IFERROR(__xludf.DUMMYFUNCTION("""COMPUTED_VALUE"""),10.74)</f>
        <v>10.74</v>
      </c>
    </row>
    <row r="346">
      <c r="A346">
        <f>IFERROR(__xludf.DUMMYFUNCTION("""COMPUTED_VALUE"""),171278.0)</f>
        <v>171278</v>
      </c>
      <c r="B346" t="str">
        <f>IFERROR(__xludf.DUMMYFUNCTION("""COMPUTED_VALUE"""),"Goat Milk")</f>
        <v>Goat Milk</v>
      </c>
      <c r="C346" t="str">
        <f>IFERROR(__xludf.DUMMYFUNCTION("""COMPUTED_VALUE"""),"Dairy and Egg Products")</f>
        <v>Dairy and Egg Products</v>
      </c>
      <c r="D346">
        <f>IFERROR(__xludf.DUMMYFUNCTION("""COMPUTED_VALUE"""),69.0)</f>
        <v>69</v>
      </c>
      <c r="E346">
        <f>IFERROR(__xludf.DUMMYFUNCTION("""COMPUTED_VALUE"""),4.14)</f>
        <v>4.14</v>
      </c>
      <c r="F346">
        <f>IFERROR(__xludf.DUMMYFUNCTION("""COMPUTED_VALUE"""),3.56)</f>
        <v>3.56</v>
      </c>
      <c r="G346">
        <f>IFERROR(__xludf.DUMMYFUNCTION("""COMPUTED_VALUE"""),4.45)</f>
        <v>4.45</v>
      </c>
    </row>
    <row r="347">
      <c r="A347">
        <f>IFERROR(__xludf.DUMMYFUNCTION("""COMPUTED_VALUE"""),171279.0)</f>
        <v>171279</v>
      </c>
      <c r="B347" t="str">
        <f>IFERROR(__xludf.DUMMYFUNCTION("""COMPUTED_VALUE"""),"Breast Milk (Human)")</f>
        <v>Breast Milk (Human)</v>
      </c>
      <c r="C347" t="str">
        <f>IFERROR(__xludf.DUMMYFUNCTION("""COMPUTED_VALUE"""),"Dairy and Egg Products")</f>
        <v>Dairy and Egg Products</v>
      </c>
      <c r="D347">
        <f>IFERROR(__xludf.DUMMYFUNCTION("""COMPUTED_VALUE"""),70.0)</f>
        <v>70</v>
      </c>
      <c r="E347">
        <f>IFERROR(__xludf.DUMMYFUNCTION("""COMPUTED_VALUE"""),4.38)</f>
        <v>4.38</v>
      </c>
      <c r="F347">
        <f>IFERROR(__xludf.DUMMYFUNCTION("""COMPUTED_VALUE"""),1.03)</f>
        <v>1.03</v>
      </c>
      <c r="G347">
        <f>IFERROR(__xludf.DUMMYFUNCTION("""COMPUTED_VALUE"""),6.89)</f>
        <v>6.89</v>
      </c>
    </row>
    <row r="348">
      <c r="A348">
        <f>IFERROR(__xludf.DUMMYFUNCTION("""COMPUTED_VALUE"""),171280.0)</f>
        <v>171280</v>
      </c>
      <c r="B348" t="str">
        <f>IFERROR(__xludf.DUMMYFUNCTION("""COMPUTED_VALUE"""),"Milk Indian Buffalo Fluid")</f>
        <v>Milk Indian Buffalo Fluid</v>
      </c>
      <c r="C348" t="str">
        <f>IFERROR(__xludf.DUMMYFUNCTION("""COMPUTED_VALUE"""),"Dairy and Egg Products")</f>
        <v>Dairy and Egg Products</v>
      </c>
      <c r="D348">
        <f>IFERROR(__xludf.DUMMYFUNCTION("""COMPUTED_VALUE"""),97.0)</f>
        <v>97</v>
      </c>
      <c r="E348">
        <f>IFERROR(__xludf.DUMMYFUNCTION("""COMPUTED_VALUE"""),6.89)</f>
        <v>6.89</v>
      </c>
      <c r="F348">
        <f>IFERROR(__xludf.DUMMYFUNCTION("""COMPUTED_VALUE"""),3.75)</f>
        <v>3.75</v>
      </c>
      <c r="G348">
        <f>IFERROR(__xludf.DUMMYFUNCTION("""COMPUTED_VALUE"""),5.18)</f>
        <v>5.18</v>
      </c>
    </row>
    <row r="349">
      <c r="A349">
        <f>IFERROR(__xludf.DUMMYFUNCTION("""COMPUTED_VALUE"""),171281.0)</f>
        <v>171281</v>
      </c>
      <c r="B349" t="str">
        <f>IFERROR(__xludf.DUMMYFUNCTION("""COMPUTED_VALUE"""),"Dried Whey Powder (Acid)")</f>
        <v>Dried Whey Powder (Acid)</v>
      </c>
      <c r="C349" t="str">
        <f>IFERROR(__xludf.DUMMYFUNCTION("""COMPUTED_VALUE"""),"Dairy and Egg Products")</f>
        <v>Dairy and Egg Products</v>
      </c>
      <c r="D349">
        <f>IFERROR(__xludf.DUMMYFUNCTION("""COMPUTED_VALUE"""),339.0)</f>
        <v>339</v>
      </c>
      <c r="E349">
        <f>IFERROR(__xludf.DUMMYFUNCTION("""COMPUTED_VALUE"""),0.54)</f>
        <v>0.54</v>
      </c>
      <c r="F349">
        <f>IFERROR(__xludf.DUMMYFUNCTION("""COMPUTED_VALUE"""),11.73)</f>
        <v>11.73</v>
      </c>
      <c r="G349">
        <f>IFERROR(__xludf.DUMMYFUNCTION("""COMPUTED_VALUE"""),73.45)</f>
        <v>73.45</v>
      </c>
    </row>
    <row r="350">
      <c r="A350">
        <f>IFERROR(__xludf.DUMMYFUNCTION("""COMPUTED_VALUE"""),171282.0)</f>
        <v>171282</v>
      </c>
      <c r="B350" t="str">
        <f>IFERROR(__xludf.DUMMYFUNCTION("""COMPUTED_VALUE"""),"Sweet Whey Fluid")</f>
        <v>Sweet Whey Fluid</v>
      </c>
      <c r="C350" t="str">
        <f>IFERROR(__xludf.DUMMYFUNCTION("""COMPUTED_VALUE"""),"Dairy and Egg Products")</f>
        <v>Dairy and Egg Products</v>
      </c>
      <c r="D350">
        <f>IFERROR(__xludf.DUMMYFUNCTION("""COMPUTED_VALUE"""),27.0)</f>
        <v>27</v>
      </c>
      <c r="E350">
        <f>IFERROR(__xludf.DUMMYFUNCTION("""COMPUTED_VALUE"""),0.36)</f>
        <v>0.36</v>
      </c>
      <c r="F350">
        <f>IFERROR(__xludf.DUMMYFUNCTION("""COMPUTED_VALUE"""),0.85)</f>
        <v>0.85</v>
      </c>
      <c r="G350">
        <f>IFERROR(__xludf.DUMMYFUNCTION("""COMPUTED_VALUE"""),5.14)</f>
        <v>5.14</v>
      </c>
    </row>
    <row r="351">
      <c r="A351">
        <f>IFERROR(__xludf.DUMMYFUNCTION("""COMPUTED_VALUE"""),171283.0)</f>
        <v>171283</v>
      </c>
      <c r="B351" t="str">
        <f>IFERROR(__xludf.DUMMYFUNCTION("""COMPUTED_VALUE"""),"Dried Sweet Whey Powder")</f>
        <v>Dried Sweet Whey Powder</v>
      </c>
      <c r="C351" t="str">
        <f>IFERROR(__xludf.DUMMYFUNCTION("""COMPUTED_VALUE"""),"Dairy and Egg Products")</f>
        <v>Dairy and Egg Products</v>
      </c>
      <c r="D351">
        <f>IFERROR(__xludf.DUMMYFUNCTION("""COMPUTED_VALUE"""),353.0)</f>
        <v>353</v>
      </c>
      <c r="E351">
        <f>IFERROR(__xludf.DUMMYFUNCTION("""COMPUTED_VALUE"""),1.07)</f>
        <v>1.07</v>
      </c>
      <c r="F351">
        <f>IFERROR(__xludf.DUMMYFUNCTION("""COMPUTED_VALUE"""),12.93)</f>
        <v>12.93</v>
      </c>
      <c r="G351">
        <f>IFERROR(__xludf.DUMMYFUNCTION("""COMPUTED_VALUE"""),74.46)</f>
        <v>74.46</v>
      </c>
    </row>
    <row r="352">
      <c r="A352">
        <f>IFERROR(__xludf.DUMMYFUNCTION("""COMPUTED_VALUE"""),171284.0)</f>
        <v>171284</v>
      </c>
      <c r="B352" t="str">
        <f>IFERROR(__xludf.DUMMYFUNCTION("""COMPUTED_VALUE"""),"Plain Yogurt")</f>
        <v>Plain Yogurt</v>
      </c>
      <c r="C352" t="str">
        <f>IFERROR(__xludf.DUMMYFUNCTION("""COMPUTED_VALUE"""),"Dairy and Egg Products")</f>
        <v>Dairy and Egg Products</v>
      </c>
      <c r="D352">
        <f>IFERROR(__xludf.DUMMYFUNCTION("""COMPUTED_VALUE"""),61.0)</f>
        <v>61</v>
      </c>
      <c r="E352">
        <f>IFERROR(__xludf.DUMMYFUNCTION("""COMPUTED_VALUE"""),3.25)</f>
        <v>3.25</v>
      </c>
      <c r="F352">
        <f>IFERROR(__xludf.DUMMYFUNCTION("""COMPUTED_VALUE"""),3.47)</f>
        <v>3.47</v>
      </c>
      <c r="G352">
        <f>IFERROR(__xludf.DUMMYFUNCTION("""COMPUTED_VALUE"""),4.66)</f>
        <v>4.66</v>
      </c>
    </row>
    <row r="353">
      <c r="A353">
        <f>IFERROR(__xludf.DUMMYFUNCTION("""COMPUTED_VALUE"""),171285.0)</f>
        <v>171285</v>
      </c>
      <c r="B353" t="str">
        <f>IFERROR(__xludf.DUMMYFUNCTION("""COMPUTED_VALUE"""),"Yogurt Fruit Low Fat 10 Grams Protein Per 8 Ounce")</f>
        <v>Yogurt Fruit Low Fat 10 Grams Protein Per 8 Ounce</v>
      </c>
      <c r="C353" t="str">
        <f>IFERROR(__xludf.DUMMYFUNCTION("""COMPUTED_VALUE"""),"Dairy and Egg Products")</f>
        <v>Dairy and Egg Products</v>
      </c>
      <c r="D353">
        <f>IFERROR(__xludf.DUMMYFUNCTION("""COMPUTED_VALUE"""),102.0)</f>
        <v>102</v>
      </c>
      <c r="E353">
        <f>IFERROR(__xludf.DUMMYFUNCTION("""COMPUTED_VALUE"""),1.08)</f>
        <v>1.08</v>
      </c>
      <c r="F353">
        <f>IFERROR(__xludf.DUMMYFUNCTION("""COMPUTED_VALUE"""),4.37)</f>
        <v>4.37</v>
      </c>
      <c r="G353">
        <f>IFERROR(__xludf.DUMMYFUNCTION("""COMPUTED_VALUE"""),19.05)</f>
        <v>19.05</v>
      </c>
    </row>
    <row r="354">
      <c r="A354">
        <f>IFERROR(__xludf.DUMMYFUNCTION("""COMPUTED_VALUE"""),171286.0)</f>
        <v>171286</v>
      </c>
      <c r="B354" t="str">
        <f>IFERROR(__xludf.DUMMYFUNCTION("""COMPUTED_VALUE"""),"Yogurt Fruit Low Fat 11 Grams Protein Per 8 Ounce")</f>
        <v>Yogurt Fruit Low Fat 11 Grams Protein Per 8 Ounce</v>
      </c>
      <c r="C354" t="str">
        <f>IFERROR(__xludf.DUMMYFUNCTION("""COMPUTED_VALUE"""),"Dairy and Egg Products")</f>
        <v>Dairy and Egg Products</v>
      </c>
      <c r="D354">
        <f>IFERROR(__xludf.DUMMYFUNCTION("""COMPUTED_VALUE"""),105.0)</f>
        <v>105</v>
      </c>
      <c r="E354">
        <f>IFERROR(__xludf.DUMMYFUNCTION("""COMPUTED_VALUE"""),1.41)</f>
        <v>1.41</v>
      </c>
      <c r="F354">
        <f>IFERROR(__xludf.DUMMYFUNCTION("""COMPUTED_VALUE"""),4.86)</f>
        <v>4.86</v>
      </c>
      <c r="G354">
        <f>IFERROR(__xludf.DUMMYFUNCTION("""COMPUTED_VALUE"""),18.6)</f>
        <v>18.6</v>
      </c>
    </row>
    <row r="355">
      <c r="A355">
        <f>IFERROR(__xludf.DUMMYFUNCTION("""COMPUTED_VALUE"""),171287.0)</f>
        <v>171287</v>
      </c>
      <c r="B355" t="str">
        <f>IFERROR(__xludf.DUMMYFUNCTION("""COMPUTED_VALUE"""),"Eggs (Raw)")</f>
        <v>Eggs (Raw)</v>
      </c>
      <c r="C355" t="str">
        <f>IFERROR(__xludf.DUMMYFUNCTION("""COMPUTED_VALUE"""),"Dairy and Egg Products")</f>
        <v>Dairy and Egg Products</v>
      </c>
      <c r="D355">
        <f>IFERROR(__xludf.DUMMYFUNCTION("""COMPUTED_VALUE"""),143.0)</f>
        <v>143</v>
      </c>
      <c r="E355">
        <f>IFERROR(__xludf.DUMMYFUNCTION("""COMPUTED_VALUE"""),9.51)</f>
        <v>9.51</v>
      </c>
      <c r="F355">
        <f>IFERROR(__xludf.DUMMYFUNCTION("""COMPUTED_VALUE"""),12.56)</f>
        <v>12.56</v>
      </c>
      <c r="G355">
        <f>IFERROR(__xludf.DUMMYFUNCTION("""COMPUTED_VALUE"""),0.72)</f>
        <v>0.72</v>
      </c>
    </row>
    <row r="356">
      <c r="A356">
        <f>IFERROR(__xludf.DUMMYFUNCTION("""COMPUTED_VALUE"""),171288.0)</f>
        <v>171288</v>
      </c>
      <c r="B356" t="str">
        <f>IFERROR(__xludf.DUMMYFUNCTION("""COMPUTED_VALUE"""),"Mexican Blend Cheese")</f>
        <v>Mexican Blend Cheese</v>
      </c>
      <c r="C356" t="str">
        <f>IFERROR(__xludf.DUMMYFUNCTION("""COMPUTED_VALUE"""),"Dairy and Egg Products")</f>
        <v>Dairy and Egg Products</v>
      </c>
      <c r="D356">
        <f>IFERROR(__xludf.DUMMYFUNCTION("""COMPUTED_VALUE"""),384.0)</f>
        <v>384</v>
      </c>
      <c r="E356">
        <f>IFERROR(__xludf.DUMMYFUNCTION("""COMPUTED_VALUE"""),32.14)</f>
        <v>32.14</v>
      </c>
      <c r="F356">
        <f>IFERROR(__xludf.DUMMYFUNCTION("""COMPUTED_VALUE"""),23.54)</f>
        <v>23.54</v>
      </c>
      <c r="G356">
        <f>IFERROR(__xludf.DUMMYFUNCTION("""COMPUTED_VALUE"""),0.13)</f>
        <v>0.13</v>
      </c>
    </row>
    <row r="357">
      <c r="A357">
        <f>IFERROR(__xludf.DUMMYFUNCTION("""COMPUTED_VALUE"""),171289.0)</f>
        <v>171289</v>
      </c>
      <c r="B357" t="str">
        <f>IFERROR(__xludf.DUMMYFUNCTION("""COMPUTED_VALUE"""),"Cheese Product Pasteurized Process American Vitamin D Fortified")</f>
        <v>Cheese Product Pasteurized Process American Vitamin D Fortified</v>
      </c>
      <c r="C357" t="str">
        <f>IFERROR(__xludf.DUMMYFUNCTION("""COMPUTED_VALUE"""),"Dairy and Egg Products")</f>
        <v>Dairy and Egg Products</v>
      </c>
      <c r="D357">
        <f>IFERROR(__xludf.DUMMYFUNCTION("""COMPUTED_VALUE"""),307.0)</f>
        <v>307</v>
      </c>
      <c r="E357">
        <f>IFERROR(__xludf.DUMMYFUNCTION("""COMPUTED_VALUE"""),23.06)</f>
        <v>23.06</v>
      </c>
      <c r="F357">
        <f>IFERROR(__xludf.DUMMYFUNCTION("""COMPUTED_VALUE"""),16.09)</f>
        <v>16.09</v>
      </c>
      <c r="G357">
        <f>IFERROR(__xludf.DUMMYFUNCTION("""COMPUTED_VALUE"""),8.85)</f>
        <v>8.85</v>
      </c>
    </row>
    <row r="358">
      <c r="A358">
        <f>IFERROR(__xludf.DUMMYFUNCTION("""COMPUTED_VALUE"""),171290.0)</f>
        <v>171290</v>
      </c>
      <c r="B358" t="str">
        <f>IFERROR(__xludf.DUMMYFUNCTION("""COMPUTED_VALUE"""),"Cheese Pasteurized Process American Without Added Vitamin D")</f>
        <v>Cheese Pasteurized Process American Without Added Vitamin D</v>
      </c>
      <c r="C358" t="str">
        <f>IFERROR(__xludf.DUMMYFUNCTION("""COMPUTED_VALUE"""),"Dairy and Egg Products")</f>
        <v>Dairy and Egg Products</v>
      </c>
      <c r="D358">
        <f>IFERROR(__xludf.DUMMYFUNCTION("""COMPUTED_VALUE"""),371.0)</f>
        <v>371</v>
      </c>
      <c r="E358">
        <f>IFERROR(__xludf.DUMMYFUNCTION("""COMPUTED_VALUE"""),31.79)</f>
        <v>31.79</v>
      </c>
      <c r="F358">
        <f>IFERROR(__xludf.DUMMYFUNCTION("""COMPUTED_VALUE"""),18.13)</f>
        <v>18.13</v>
      </c>
      <c r="G358">
        <f>IFERROR(__xludf.DUMMYFUNCTION("""COMPUTED_VALUE"""),3.7)</f>
        <v>3.7</v>
      </c>
    </row>
    <row r="359">
      <c r="A359">
        <f>IFERROR(__xludf.DUMMYFUNCTION("""COMPUTED_VALUE"""),171291.0)</f>
        <v>171291</v>
      </c>
      <c r="B359" t="str">
        <f>IFERROR(__xludf.DUMMYFUNCTION("""COMPUTED_VALUE"""),"Cheese Food Pasteurized Process American Without Added Vitamin D")</f>
        <v>Cheese Food Pasteurized Process American Without Added Vitamin D</v>
      </c>
      <c r="C359" t="str">
        <f>IFERROR(__xludf.DUMMYFUNCTION("""COMPUTED_VALUE"""),"Dairy and Egg Products")</f>
        <v>Dairy and Egg Products</v>
      </c>
      <c r="D359">
        <f>IFERROR(__xludf.DUMMYFUNCTION("""COMPUTED_VALUE"""),330.0)</f>
        <v>330</v>
      </c>
      <c r="E359">
        <f>IFERROR(__xludf.DUMMYFUNCTION("""COMPUTED_VALUE"""),25.63)</f>
        <v>25.63</v>
      </c>
      <c r="F359">
        <f>IFERROR(__xludf.DUMMYFUNCTION("""COMPUTED_VALUE"""),16.86)</f>
        <v>16.86</v>
      </c>
      <c r="G359">
        <f>IFERROR(__xludf.DUMMYFUNCTION("""COMPUTED_VALUE"""),8.56)</f>
        <v>8.56</v>
      </c>
    </row>
    <row r="360">
      <c r="A360">
        <f>IFERROR(__xludf.DUMMYFUNCTION("""COMPUTED_VALUE"""),171292.0)</f>
        <v>171292</v>
      </c>
      <c r="B360" t="str">
        <f>IFERROR(__xludf.DUMMYFUNCTION("""COMPUTED_VALUE"""),"Cheese Cheddar Reduced Fat")</f>
        <v>Cheese Cheddar Reduced Fat</v>
      </c>
      <c r="C360" t="str">
        <f>IFERROR(__xludf.DUMMYFUNCTION("""COMPUTED_VALUE"""),"Dairy and Egg Products")</f>
        <v>Dairy and Egg Products</v>
      </c>
      <c r="D360">
        <f>IFERROR(__xludf.DUMMYFUNCTION("""COMPUTED_VALUE"""),316.0)</f>
        <v>316</v>
      </c>
      <c r="E360">
        <f>IFERROR(__xludf.DUMMYFUNCTION("""COMPUTED_VALUE"""),20.41)</f>
        <v>20.41</v>
      </c>
      <c r="F360">
        <f>IFERROR(__xludf.DUMMYFUNCTION("""COMPUTED_VALUE"""),27.35)</f>
        <v>27.35</v>
      </c>
      <c r="G360">
        <f>IFERROR(__xludf.DUMMYFUNCTION("""COMPUTED_VALUE"""),2.67)</f>
        <v>2.67</v>
      </c>
    </row>
    <row r="361">
      <c r="A361">
        <f>IFERROR(__xludf.DUMMYFUNCTION("""COMPUTED_VALUE"""),171293.0)</f>
        <v>171293</v>
      </c>
      <c r="B361" t="str">
        <f>IFERROR(__xludf.DUMMYFUNCTION("""COMPUTED_VALUE"""),"Ice Cream Light Soft Serve Chocolate")</f>
        <v>Ice Cream Light Soft Serve Chocolate</v>
      </c>
      <c r="C361" t="str">
        <f>IFERROR(__xludf.DUMMYFUNCTION("""COMPUTED_VALUE"""),"Dairy and Egg Products")</f>
        <v>Dairy and Egg Products</v>
      </c>
      <c r="D361">
        <f>IFERROR(__xludf.DUMMYFUNCTION("""COMPUTED_VALUE"""),141.0)</f>
        <v>141</v>
      </c>
      <c r="E361">
        <f>IFERROR(__xludf.DUMMYFUNCTION("""COMPUTED_VALUE"""),3.69)</f>
        <v>3.69</v>
      </c>
      <c r="F361">
        <f>IFERROR(__xludf.DUMMYFUNCTION("""COMPUTED_VALUE"""),3.36)</f>
        <v>3.36</v>
      </c>
      <c r="G361">
        <f>IFERROR(__xludf.DUMMYFUNCTION("""COMPUTED_VALUE"""),23.15)</f>
        <v>23.15</v>
      </c>
    </row>
    <row r="362">
      <c r="A362">
        <f>IFERROR(__xludf.DUMMYFUNCTION("""COMPUTED_VALUE"""),171294.0)</f>
        <v>171294</v>
      </c>
      <c r="B362" t="str">
        <f>IFERROR(__xludf.DUMMYFUNCTION("""COMPUTED_VALUE"""),"Ice Cream Bar Stick Or Nugget With Crunch Coating")</f>
        <v>Ice Cream Bar Stick Or Nugget With Crunch Coating</v>
      </c>
      <c r="C362" t="str">
        <f>IFERROR(__xludf.DUMMYFUNCTION("""COMPUTED_VALUE"""),"Dairy and Egg Products")</f>
        <v>Dairy and Egg Products</v>
      </c>
      <c r="D362">
        <f>IFERROR(__xludf.DUMMYFUNCTION("""COMPUTED_VALUE"""),358.0)</f>
        <v>358</v>
      </c>
      <c r="E362">
        <f>IFERROR(__xludf.DUMMYFUNCTION("""COMPUTED_VALUE"""),25.26)</f>
        <v>25.26</v>
      </c>
      <c r="F362">
        <f>IFERROR(__xludf.DUMMYFUNCTION("""COMPUTED_VALUE"""),2.11)</f>
        <v>2.11</v>
      </c>
      <c r="G362">
        <f>IFERROR(__xludf.DUMMYFUNCTION("""COMPUTED_VALUE"""),37.12)</f>
        <v>37.12</v>
      </c>
    </row>
    <row r="363">
      <c r="A363">
        <f>IFERROR(__xludf.DUMMYFUNCTION("""COMPUTED_VALUE"""),171295.0)</f>
        <v>171295</v>
      </c>
      <c r="B363" t="str">
        <f>IFERROR(__xludf.DUMMYFUNCTION("""COMPUTED_VALUE"""),"Cheddar Cheese (Non-Fat Or Fat Free)")</f>
        <v>Cheddar Cheese (Non-Fat Or Fat Free)</v>
      </c>
      <c r="C363" t="str">
        <f>IFERROR(__xludf.DUMMYFUNCTION("""COMPUTED_VALUE"""),"Dairy and Egg Products")</f>
        <v>Dairy and Egg Products</v>
      </c>
      <c r="D363">
        <f>IFERROR(__xludf.DUMMYFUNCTION("""COMPUTED_VALUE"""),157.0)</f>
        <v>157</v>
      </c>
      <c r="E363">
        <f>IFERROR(__xludf.DUMMYFUNCTION("""COMPUTED_VALUE"""),0.0)</f>
        <v>0</v>
      </c>
      <c r="F363">
        <f>IFERROR(__xludf.DUMMYFUNCTION("""COMPUTED_VALUE"""),32.14)</f>
        <v>32.14</v>
      </c>
      <c r="G363">
        <f>IFERROR(__xludf.DUMMYFUNCTION("""COMPUTED_VALUE"""),7.14)</f>
        <v>7.14</v>
      </c>
    </row>
    <row r="364">
      <c r="A364">
        <f>IFERROR(__xludf.DUMMYFUNCTION("""COMPUTED_VALUE"""),171296.0)</f>
        <v>171296</v>
      </c>
      <c r="B364" t="str">
        <f>IFERROR(__xludf.DUMMYFUNCTION("""COMPUTED_VALUE"""),"Yogurt Greek Nonfat Vanilla Chobani")</f>
        <v>Yogurt Greek Nonfat Vanilla Chobani</v>
      </c>
      <c r="C364" t="str">
        <f>IFERROR(__xludf.DUMMYFUNCTION("""COMPUTED_VALUE"""),"Dairy and Egg Products")</f>
        <v>Dairy and Egg Products</v>
      </c>
      <c r="D364">
        <f>IFERROR(__xludf.DUMMYFUNCTION("""COMPUTED_VALUE"""),71.0)</f>
        <v>71</v>
      </c>
      <c r="E364">
        <f>IFERROR(__xludf.DUMMYFUNCTION("""COMPUTED_VALUE"""),0.22)</f>
        <v>0.22</v>
      </c>
      <c r="F364">
        <f>IFERROR(__xludf.DUMMYFUNCTION("""COMPUTED_VALUE"""),9.07)</f>
        <v>9.07</v>
      </c>
      <c r="G364">
        <f>IFERROR(__xludf.DUMMYFUNCTION("""COMPUTED_VALUE"""),8.09)</f>
        <v>8.09</v>
      </c>
    </row>
    <row r="365">
      <c r="A365">
        <f>IFERROR(__xludf.DUMMYFUNCTION("""COMPUTED_VALUE"""),171297.0)</f>
        <v>171297</v>
      </c>
      <c r="B365" t="str">
        <f>IFERROR(__xludf.DUMMYFUNCTION("""COMPUTED_VALUE"""),"Yogurt Greek Strawberry Dannon Oikos")</f>
        <v>Yogurt Greek Strawberry Dannon Oikos</v>
      </c>
      <c r="C365" t="str">
        <f>IFERROR(__xludf.DUMMYFUNCTION("""COMPUTED_VALUE"""),"Dairy and Egg Products")</f>
        <v>Dairy and Egg Products</v>
      </c>
      <c r="D365">
        <f>IFERROR(__xludf.DUMMYFUNCTION("""COMPUTED_VALUE"""),106.0)</f>
        <v>106</v>
      </c>
      <c r="E365">
        <f>IFERROR(__xludf.DUMMYFUNCTION("""COMPUTED_VALUE"""),2.92)</f>
        <v>2.92</v>
      </c>
      <c r="F365">
        <f>IFERROR(__xludf.DUMMYFUNCTION("""COMPUTED_VALUE"""),8.25)</f>
        <v>8.25</v>
      </c>
      <c r="G365">
        <f>IFERROR(__xludf.DUMMYFUNCTION("""COMPUTED_VALUE"""),11.67)</f>
        <v>11.67</v>
      </c>
    </row>
    <row r="366">
      <c r="A366">
        <f>IFERROR(__xludf.DUMMYFUNCTION("""COMPUTED_VALUE"""),171298.0)</f>
        <v>171298</v>
      </c>
      <c r="B366" t="str">
        <f>IFERROR(__xludf.DUMMYFUNCTION("""COMPUTED_VALUE"""),"Yogurt Greek Nonfat Vanilla Dannon Oikos")</f>
        <v>Yogurt Greek Nonfat Vanilla Dannon Oikos</v>
      </c>
      <c r="C366" t="str">
        <f>IFERROR(__xludf.DUMMYFUNCTION("""COMPUTED_VALUE"""),"Dairy and Egg Products")</f>
        <v>Dairy and Egg Products</v>
      </c>
      <c r="D366">
        <f>IFERROR(__xludf.DUMMYFUNCTION("""COMPUTED_VALUE"""),85.0)</f>
        <v>85</v>
      </c>
      <c r="E366">
        <f>IFERROR(__xludf.DUMMYFUNCTION("""COMPUTED_VALUE"""),0.14)</f>
        <v>0.14</v>
      </c>
      <c r="F366">
        <f>IFERROR(__xludf.DUMMYFUNCTION("""COMPUTED_VALUE"""),8.12)</f>
        <v>8.12</v>
      </c>
      <c r="G366">
        <f>IFERROR(__xludf.DUMMYFUNCTION("""COMPUTED_VALUE"""),12.72)</f>
        <v>12.72</v>
      </c>
    </row>
    <row r="367">
      <c r="A367">
        <f>IFERROR(__xludf.DUMMYFUNCTION("""COMPUTED_VALUE"""),171299.0)</f>
        <v>171299</v>
      </c>
      <c r="B367" t="str">
        <f>IFERROR(__xludf.DUMMYFUNCTION("""COMPUTED_VALUE"""),"Nonfat Strawberry Yogurt")</f>
        <v>Nonfat Strawberry Yogurt</v>
      </c>
      <c r="C367" t="str">
        <f>IFERROR(__xludf.DUMMYFUNCTION("""COMPUTED_VALUE"""),"Dairy and Egg Products")</f>
        <v>Dairy and Egg Products</v>
      </c>
      <c r="D367">
        <f>IFERROR(__xludf.DUMMYFUNCTION("""COMPUTED_VALUE"""),84.0)</f>
        <v>84</v>
      </c>
      <c r="E367">
        <f>IFERROR(__xludf.DUMMYFUNCTION("""COMPUTED_VALUE"""),0.22)</f>
        <v>0.22</v>
      </c>
      <c r="F367">
        <f>IFERROR(__xludf.DUMMYFUNCTION("""COMPUTED_VALUE"""),8.03)</f>
        <v>8.03</v>
      </c>
      <c r="G367">
        <f>IFERROR(__xludf.DUMMYFUNCTION("""COMPUTED_VALUE"""),12.53)</f>
        <v>12.53</v>
      </c>
    </row>
    <row r="368">
      <c r="A368">
        <f>IFERROR(__xludf.DUMMYFUNCTION("""COMPUTED_VALUE"""),171300.0)</f>
        <v>171300</v>
      </c>
      <c r="B368" t="str">
        <f>IFERROR(__xludf.DUMMYFUNCTION("""COMPUTED_VALUE"""),"Lowfat Greek Strawberry Yogurt")</f>
        <v>Lowfat Greek Strawberry Yogurt</v>
      </c>
      <c r="C368" t="str">
        <f>IFERROR(__xludf.DUMMYFUNCTION("""COMPUTED_VALUE"""),"Dairy and Egg Products")</f>
        <v>Dairy and Egg Products</v>
      </c>
      <c r="D368">
        <f>IFERROR(__xludf.DUMMYFUNCTION("""COMPUTED_VALUE"""),105.0)</f>
        <v>105</v>
      </c>
      <c r="E368">
        <f>IFERROR(__xludf.DUMMYFUNCTION("""COMPUTED_VALUE"""),2.57)</f>
        <v>2.57</v>
      </c>
      <c r="F368">
        <f>IFERROR(__xludf.DUMMYFUNCTION("""COMPUTED_VALUE"""),8.17)</f>
        <v>8.17</v>
      </c>
      <c r="G368">
        <f>IFERROR(__xludf.DUMMYFUNCTION("""COMPUTED_VALUE"""),12.29)</f>
        <v>12.29</v>
      </c>
    </row>
    <row r="369">
      <c r="A369">
        <f>IFERROR(__xludf.DUMMYFUNCTION("""COMPUTED_VALUE"""),171301.0)</f>
        <v>171301</v>
      </c>
      <c r="B369" t="str">
        <f>IFERROR(__xludf.DUMMYFUNCTION("""COMPUTED_VALUE"""),"Kefir Lowfat Strawberry Lifeway")</f>
        <v>Kefir Lowfat Strawberry Lifeway</v>
      </c>
      <c r="C369" t="str">
        <f>IFERROR(__xludf.DUMMYFUNCTION("""COMPUTED_VALUE"""),"Dairy and Egg Products")</f>
        <v>Dairy and Egg Products</v>
      </c>
      <c r="D369">
        <f>IFERROR(__xludf.DUMMYFUNCTION("""COMPUTED_VALUE"""),62.0)</f>
        <v>62</v>
      </c>
      <c r="E369">
        <f>IFERROR(__xludf.DUMMYFUNCTION("""COMPUTED_VALUE"""),0.9)</f>
        <v>0.9</v>
      </c>
      <c r="F369">
        <f>IFERROR(__xludf.DUMMYFUNCTION("""COMPUTED_VALUE"""),3.39)</f>
        <v>3.39</v>
      </c>
      <c r="G369">
        <f>IFERROR(__xludf.DUMMYFUNCTION("""COMPUTED_VALUE"""),10.2)</f>
        <v>10.2</v>
      </c>
    </row>
    <row r="370">
      <c r="A370">
        <f>IFERROR(__xludf.DUMMYFUNCTION("""COMPUTED_VALUE"""),171302.0)</f>
        <v>171302</v>
      </c>
      <c r="B370" t="str">
        <f>IFERROR(__xludf.DUMMYFUNCTION("""COMPUTED_VALUE"""),"Milk Evaporated 2% Fat With Added Vitamin A And Vitamin D")</f>
        <v>Milk Evaporated 2% Fat With Added Vitamin A And Vitamin D</v>
      </c>
      <c r="C370" t="str">
        <f>IFERROR(__xludf.DUMMYFUNCTION("""COMPUTED_VALUE"""),"Dairy and Egg Products")</f>
        <v>Dairy and Egg Products</v>
      </c>
      <c r="D370">
        <f>IFERROR(__xludf.DUMMYFUNCTION("""COMPUTED_VALUE"""),107.0)</f>
        <v>107</v>
      </c>
      <c r="E370">
        <f>IFERROR(__xludf.DUMMYFUNCTION("""COMPUTED_VALUE"""),2.0)</f>
        <v>2</v>
      </c>
      <c r="F370">
        <f>IFERROR(__xludf.DUMMYFUNCTION("""COMPUTED_VALUE"""),6.67)</f>
        <v>6.67</v>
      </c>
      <c r="G370">
        <f>IFERROR(__xludf.DUMMYFUNCTION("""COMPUTED_VALUE"""),15.74)</f>
        <v>15.74</v>
      </c>
    </row>
    <row r="371">
      <c r="A371">
        <f>IFERROR(__xludf.DUMMYFUNCTION("""COMPUTED_VALUE"""),171303.0)</f>
        <v>171303</v>
      </c>
      <c r="B371" t="str">
        <f>IFERROR(__xludf.DUMMYFUNCTION("""COMPUTED_VALUE"""),"Fatfree Chocolate Milk")</f>
        <v>Fatfree Chocolate Milk</v>
      </c>
      <c r="C371" t="str">
        <f>IFERROR(__xludf.DUMMYFUNCTION("""COMPUTED_VALUE"""),"Dairy and Egg Products")</f>
        <v>Dairy and Egg Products</v>
      </c>
      <c r="D371">
        <f>IFERROR(__xludf.DUMMYFUNCTION("""COMPUTED_VALUE"""),67.0)</f>
        <v>67</v>
      </c>
      <c r="E371">
        <f>IFERROR(__xludf.DUMMYFUNCTION("""COMPUTED_VALUE"""),0.0)</f>
        <v>0</v>
      </c>
      <c r="F371">
        <f>IFERROR(__xludf.DUMMYFUNCTION("""COMPUTED_VALUE"""),3.39)</f>
        <v>3.39</v>
      </c>
      <c r="G371">
        <f>IFERROR(__xludf.DUMMYFUNCTION("""COMPUTED_VALUE"""),13.46)</f>
        <v>13.46</v>
      </c>
    </row>
    <row r="372">
      <c r="A372">
        <f>IFERROR(__xludf.DUMMYFUNCTION("""COMPUTED_VALUE"""),171304.0)</f>
        <v>171304</v>
      </c>
      <c r="B372" t="str">
        <f>IFERROR(__xludf.DUMMYFUNCTION("""COMPUTED_VALUE"""),"Greek Yogurt (Plain)")</f>
        <v>Greek Yogurt (Plain)</v>
      </c>
      <c r="C372" t="str">
        <f>IFERROR(__xludf.DUMMYFUNCTION("""COMPUTED_VALUE"""),"Dairy and Egg Products")</f>
        <v>Dairy and Egg Products</v>
      </c>
      <c r="D372">
        <f>IFERROR(__xludf.DUMMYFUNCTION("""COMPUTED_VALUE"""),97.0)</f>
        <v>97</v>
      </c>
      <c r="E372">
        <f>IFERROR(__xludf.DUMMYFUNCTION("""COMPUTED_VALUE"""),5.0)</f>
        <v>5</v>
      </c>
      <c r="F372">
        <f>IFERROR(__xludf.DUMMYFUNCTION("""COMPUTED_VALUE"""),9.0)</f>
        <v>9</v>
      </c>
      <c r="G372">
        <f>IFERROR(__xludf.DUMMYFUNCTION("""COMPUTED_VALUE"""),3.98)</f>
        <v>3.98</v>
      </c>
    </row>
    <row r="373">
      <c r="A373">
        <f>IFERROR(__xludf.DUMMYFUNCTION("""COMPUTED_VALUE"""),171305.0)</f>
        <v>171305</v>
      </c>
      <c r="B373" t="str">
        <f>IFERROR(__xludf.DUMMYFUNCTION("""COMPUTED_VALUE"""),"Ice Cream Bar Covered With Chocolate And Nuts")</f>
        <v>Ice Cream Bar Covered With Chocolate And Nuts</v>
      </c>
      <c r="C373" t="str">
        <f>IFERROR(__xludf.DUMMYFUNCTION("""COMPUTED_VALUE"""),"Dairy and Egg Products")</f>
        <v>Dairy and Egg Products</v>
      </c>
      <c r="D373">
        <f>IFERROR(__xludf.DUMMYFUNCTION("""COMPUTED_VALUE"""),303.0)</f>
        <v>303</v>
      </c>
      <c r="E373">
        <f>IFERROR(__xludf.DUMMYFUNCTION("""COMPUTED_VALUE"""),25.84)</f>
        <v>25.84</v>
      </c>
      <c r="F373">
        <f>IFERROR(__xludf.DUMMYFUNCTION("""COMPUTED_VALUE"""),5.62)</f>
        <v>5.62</v>
      </c>
      <c r="G373">
        <f>IFERROR(__xludf.DUMMYFUNCTION("""COMPUTED_VALUE"""),11.89)</f>
        <v>11.89</v>
      </c>
    </row>
    <row r="374">
      <c r="A374">
        <f>IFERROR(__xludf.DUMMYFUNCTION("""COMPUTED_VALUE"""),171306.0)</f>
        <v>171306</v>
      </c>
      <c r="B374" t="str">
        <f>IFERROR(__xludf.DUMMYFUNCTION("""COMPUTED_VALUE"""),"Ice Cream Sundae Cone")</f>
        <v>Ice Cream Sundae Cone</v>
      </c>
      <c r="C374" t="str">
        <f>IFERROR(__xludf.DUMMYFUNCTION("""COMPUTED_VALUE"""),"Dairy and Egg Products")</f>
        <v>Dairy and Egg Products</v>
      </c>
      <c r="D374">
        <f>IFERROR(__xludf.DUMMYFUNCTION("""COMPUTED_VALUE"""),254.0)</f>
        <v>254</v>
      </c>
      <c r="E374">
        <f>IFERROR(__xludf.DUMMYFUNCTION("""COMPUTED_VALUE"""),14.0)</f>
        <v>14</v>
      </c>
      <c r="F374">
        <f>IFERROR(__xludf.DUMMYFUNCTION("""COMPUTED_VALUE"""),3.0)</f>
        <v>3</v>
      </c>
      <c r="G374">
        <f>IFERROR(__xludf.DUMMYFUNCTION("""COMPUTED_VALUE"""),28.89)</f>
        <v>28.89</v>
      </c>
    </row>
    <row r="375">
      <c r="A375">
        <f>IFERROR(__xludf.DUMMYFUNCTION("""COMPUTED_VALUE"""),171307.0)</f>
        <v>171307</v>
      </c>
      <c r="B375" t="str">
        <f>IFERROR(__xludf.DUMMYFUNCTION("""COMPUTED_VALUE"""),"Light Ice Cream Creamsicle")</f>
        <v>Light Ice Cream Creamsicle</v>
      </c>
      <c r="C375" t="str">
        <f>IFERROR(__xludf.DUMMYFUNCTION("""COMPUTED_VALUE"""),"Dairy and Egg Products")</f>
        <v>Dairy and Egg Products</v>
      </c>
      <c r="D375">
        <f>IFERROR(__xludf.DUMMYFUNCTION("""COMPUTED_VALUE"""),165.0)</f>
        <v>165</v>
      </c>
      <c r="E375">
        <f>IFERROR(__xludf.DUMMYFUNCTION("""COMPUTED_VALUE"""),3.08)</f>
        <v>3.08</v>
      </c>
      <c r="F375">
        <f>IFERROR(__xludf.DUMMYFUNCTION("""COMPUTED_VALUE"""),1.54)</f>
        <v>1.54</v>
      </c>
      <c r="G375">
        <f>IFERROR(__xludf.DUMMYFUNCTION("""COMPUTED_VALUE"""),32.75)</f>
        <v>32.75</v>
      </c>
    </row>
    <row r="376">
      <c r="A376">
        <f>IFERROR(__xludf.DUMMYFUNCTION("""COMPUTED_VALUE"""),171308.0)</f>
        <v>171308</v>
      </c>
      <c r="B376" t="str">
        <f>IFERROR(__xludf.DUMMYFUNCTION("""COMPUTED_VALUE"""),"Cream Half And Half Lowfat")</f>
        <v>Cream Half And Half Lowfat</v>
      </c>
      <c r="C376" t="str">
        <f>IFERROR(__xludf.DUMMYFUNCTION("""COMPUTED_VALUE"""),"Dairy and Egg Products")</f>
        <v>Dairy and Egg Products</v>
      </c>
      <c r="D376">
        <f>IFERROR(__xludf.DUMMYFUNCTION("""COMPUTED_VALUE"""),72.0)</f>
        <v>72</v>
      </c>
      <c r="E376">
        <f>IFERROR(__xludf.DUMMYFUNCTION("""COMPUTED_VALUE"""),5.0)</f>
        <v>5</v>
      </c>
      <c r="F376">
        <f>IFERROR(__xludf.DUMMYFUNCTION("""COMPUTED_VALUE"""),3.33)</f>
        <v>3.33</v>
      </c>
      <c r="G376">
        <f>IFERROR(__xludf.DUMMYFUNCTION("""COMPUTED_VALUE"""),3.33)</f>
        <v>3.33</v>
      </c>
    </row>
    <row r="377">
      <c r="A377">
        <f>IFERROR(__xludf.DUMMYFUNCTION("""COMPUTED_VALUE"""),171400.0)</f>
        <v>171400</v>
      </c>
      <c r="B377" t="str">
        <f>IFERROR(__xludf.DUMMYFUNCTION("""COMPUTED_VALUE"""),"Beef Tallow")</f>
        <v>Beef Tallow</v>
      </c>
      <c r="C377" t="str">
        <f>IFERROR(__xludf.DUMMYFUNCTION("""COMPUTED_VALUE"""),"Fats and Oils")</f>
        <v>Fats and Oils</v>
      </c>
      <c r="D377">
        <f>IFERROR(__xludf.DUMMYFUNCTION("""COMPUTED_VALUE"""),902.0)</f>
        <v>902</v>
      </c>
      <c r="E377">
        <f>IFERROR(__xludf.DUMMYFUNCTION("""COMPUTED_VALUE"""),100.0)</f>
        <v>100</v>
      </c>
      <c r="F377">
        <f>IFERROR(__xludf.DUMMYFUNCTION("""COMPUTED_VALUE"""),0.0)</f>
        <v>0</v>
      </c>
      <c r="G377">
        <f>IFERROR(__xludf.DUMMYFUNCTION("""COMPUTED_VALUE"""),0.0)</f>
        <v>0</v>
      </c>
    </row>
    <row r="378">
      <c r="A378">
        <f>IFERROR(__xludf.DUMMYFUNCTION("""COMPUTED_VALUE"""),171401.0)</f>
        <v>171401</v>
      </c>
      <c r="B378" t="str">
        <f>IFERROR(__xludf.DUMMYFUNCTION("""COMPUTED_VALUE"""),"Lard")</f>
        <v>Lard</v>
      </c>
      <c r="C378" t="str">
        <f>IFERROR(__xludf.DUMMYFUNCTION("""COMPUTED_VALUE"""),"Fats and Oils")</f>
        <v>Fats and Oils</v>
      </c>
      <c r="D378">
        <f>IFERROR(__xludf.DUMMYFUNCTION("""COMPUTED_VALUE"""),902.0)</f>
        <v>902</v>
      </c>
      <c r="E378">
        <f>IFERROR(__xludf.DUMMYFUNCTION("""COMPUTED_VALUE"""),100.0)</f>
        <v>100</v>
      </c>
      <c r="F378">
        <f>IFERROR(__xludf.DUMMYFUNCTION("""COMPUTED_VALUE"""),0.0)</f>
        <v>0</v>
      </c>
      <c r="G378">
        <f>IFERROR(__xludf.DUMMYFUNCTION("""COMPUTED_VALUE"""),0.0)</f>
        <v>0</v>
      </c>
    </row>
    <row r="379">
      <c r="A379">
        <f>IFERROR(__xludf.DUMMYFUNCTION("""COMPUTED_VALUE"""),171402.0)</f>
        <v>171402</v>
      </c>
      <c r="B379" t="str">
        <f>IFERROR(__xludf.DUMMYFUNCTION("""COMPUTED_VALUE"""),"Thousand Island")</f>
        <v>Thousand Island</v>
      </c>
      <c r="C379" t="str">
        <f>IFERROR(__xludf.DUMMYFUNCTION("""COMPUTED_VALUE"""),"Fats and Oils")</f>
        <v>Fats and Oils</v>
      </c>
      <c r="D379">
        <f>IFERROR(__xludf.DUMMYFUNCTION("""COMPUTED_VALUE"""),379.0)</f>
        <v>379</v>
      </c>
      <c r="E379">
        <f>IFERROR(__xludf.DUMMYFUNCTION("""COMPUTED_VALUE"""),35.06)</f>
        <v>35.06</v>
      </c>
      <c r="F379">
        <f>IFERROR(__xludf.DUMMYFUNCTION("""COMPUTED_VALUE"""),1.09)</f>
        <v>1.09</v>
      </c>
      <c r="G379">
        <f>IFERROR(__xludf.DUMMYFUNCTION("""COMPUTED_VALUE"""),14.64)</f>
        <v>14.64</v>
      </c>
    </row>
    <row r="380">
      <c r="A380">
        <f>IFERROR(__xludf.DUMMYFUNCTION("""COMPUTED_VALUE"""),171403.0)</f>
        <v>171403</v>
      </c>
      <c r="B380" t="str">
        <f>IFERROR(__xludf.DUMMYFUNCTION("""COMPUTED_VALUE"""),"Mayonnaise Salad Dressing")</f>
        <v>Mayonnaise Salad Dressing</v>
      </c>
      <c r="C380" t="str">
        <f>IFERROR(__xludf.DUMMYFUNCTION("""COMPUTED_VALUE"""),"Fats and Oils")</f>
        <v>Fats and Oils</v>
      </c>
      <c r="D380">
        <f>IFERROR(__xludf.DUMMYFUNCTION("""COMPUTED_VALUE"""),250.0)</f>
        <v>250</v>
      </c>
      <c r="E380">
        <f>IFERROR(__xludf.DUMMYFUNCTION("""COMPUTED_VALUE"""),21.6)</f>
        <v>21.6</v>
      </c>
      <c r="F380">
        <f>IFERROR(__xludf.DUMMYFUNCTION("""COMPUTED_VALUE"""),0.65)</f>
        <v>0.65</v>
      </c>
      <c r="G380">
        <f>IFERROR(__xludf.DUMMYFUNCTION("""COMPUTED_VALUE"""),14.78)</f>
        <v>14.78</v>
      </c>
    </row>
    <row r="381">
      <c r="A381">
        <f>IFERROR(__xludf.DUMMYFUNCTION("""COMPUTED_VALUE"""),171404.0)</f>
        <v>171404</v>
      </c>
      <c r="B381" t="str">
        <f>IFERROR(__xludf.DUMMYFUNCTION("""COMPUTED_VALUE"""),"Salad Dressing French Dressing Reduced Fat")</f>
        <v>Salad Dressing French Dressing Reduced Fat</v>
      </c>
      <c r="C381" t="str">
        <f>IFERROR(__xludf.DUMMYFUNCTION("""COMPUTED_VALUE"""),"Fats and Oils")</f>
        <v>Fats and Oils</v>
      </c>
      <c r="D381">
        <f>IFERROR(__xludf.DUMMYFUNCTION("""COMPUTED_VALUE"""),222.0)</f>
        <v>222</v>
      </c>
      <c r="E381">
        <f>IFERROR(__xludf.DUMMYFUNCTION("""COMPUTED_VALUE"""),11.52)</f>
        <v>11.52</v>
      </c>
      <c r="F381">
        <f>IFERROR(__xludf.DUMMYFUNCTION("""COMPUTED_VALUE"""),0.58)</f>
        <v>0.58</v>
      </c>
      <c r="G381">
        <f>IFERROR(__xludf.DUMMYFUNCTION("""COMPUTED_VALUE"""),31.22)</f>
        <v>31.22</v>
      </c>
    </row>
    <row r="382">
      <c r="A382">
        <f>IFERROR(__xludf.DUMMYFUNCTION("""COMPUTED_VALUE"""),171405.0)</f>
        <v>171405</v>
      </c>
      <c r="B382" t="str">
        <f>IFERROR(__xludf.DUMMYFUNCTION("""COMPUTED_VALUE"""),"Italian Salad Dressing")</f>
        <v>Italian Salad Dressing</v>
      </c>
      <c r="C382" t="str">
        <f>IFERROR(__xludf.DUMMYFUNCTION("""COMPUTED_VALUE"""),"Fats and Oils")</f>
        <v>Fats and Oils</v>
      </c>
      <c r="D382">
        <f>IFERROR(__xludf.DUMMYFUNCTION("""COMPUTED_VALUE"""),102.0)</f>
        <v>102</v>
      </c>
      <c r="E382">
        <f>IFERROR(__xludf.DUMMYFUNCTION("""COMPUTED_VALUE"""),6.68)</f>
        <v>6.68</v>
      </c>
      <c r="F382">
        <f>IFERROR(__xludf.DUMMYFUNCTION("""COMPUTED_VALUE"""),0.39)</f>
        <v>0.39</v>
      </c>
      <c r="G382">
        <f>IFERROR(__xludf.DUMMYFUNCTION("""COMPUTED_VALUE"""),9.99)</f>
        <v>9.99</v>
      </c>
    </row>
    <row r="383">
      <c r="A383">
        <f>IFERROR(__xludf.DUMMYFUNCTION("""COMPUTED_VALUE"""),171406.0)</f>
        <v>171406</v>
      </c>
      <c r="B383" t="str">
        <f>IFERROR(__xludf.DUMMYFUNCTION("""COMPUTED_VALUE"""),"Salad Dressing Mayonnaise Imitation Soybean")</f>
        <v>Salad Dressing Mayonnaise Imitation Soybean</v>
      </c>
      <c r="C383" t="str">
        <f>IFERROR(__xludf.DUMMYFUNCTION("""COMPUTED_VALUE"""),"Fats and Oils")</f>
        <v>Fats and Oils</v>
      </c>
      <c r="D383">
        <f>IFERROR(__xludf.DUMMYFUNCTION("""COMPUTED_VALUE"""),232.0)</f>
        <v>232</v>
      </c>
      <c r="E383">
        <f>IFERROR(__xludf.DUMMYFUNCTION("""COMPUTED_VALUE"""),19.2)</f>
        <v>19.2</v>
      </c>
      <c r="F383">
        <f>IFERROR(__xludf.DUMMYFUNCTION("""COMPUTED_VALUE"""),0.3)</f>
        <v>0.3</v>
      </c>
      <c r="G383">
        <f>IFERROR(__xludf.DUMMYFUNCTION("""COMPUTED_VALUE"""),16.0)</f>
        <v>16</v>
      </c>
    </row>
    <row r="384">
      <c r="A384">
        <f>IFERROR(__xludf.DUMMYFUNCTION("""COMPUTED_VALUE"""),171407.0)</f>
        <v>171407</v>
      </c>
      <c r="B384" t="str">
        <f>IFERROR(__xludf.DUMMYFUNCTION("""COMPUTED_VALUE"""),"Salad Dressing Mayonnaise Imitation Milk Cream")</f>
        <v>Salad Dressing Mayonnaise Imitation Milk Cream</v>
      </c>
      <c r="C384" t="str">
        <f>IFERROR(__xludf.DUMMYFUNCTION("""COMPUTED_VALUE"""),"Fats and Oils")</f>
        <v>Fats and Oils</v>
      </c>
      <c r="D384">
        <f>IFERROR(__xludf.DUMMYFUNCTION("""COMPUTED_VALUE"""),97.0)</f>
        <v>97</v>
      </c>
      <c r="E384">
        <f>IFERROR(__xludf.DUMMYFUNCTION("""COMPUTED_VALUE"""),5.1)</f>
        <v>5.1</v>
      </c>
      <c r="F384">
        <f>IFERROR(__xludf.DUMMYFUNCTION("""COMPUTED_VALUE"""),2.1)</f>
        <v>2.1</v>
      </c>
      <c r="G384">
        <f>IFERROR(__xludf.DUMMYFUNCTION("""COMPUTED_VALUE"""),11.1)</f>
        <v>11.1</v>
      </c>
    </row>
    <row r="385">
      <c r="A385">
        <f>IFERROR(__xludf.DUMMYFUNCTION("""COMPUTED_VALUE"""),171408.0)</f>
        <v>171408</v>
      </c>
      <c r="B385" t="str">
        <f>IFERROR(__xludf.DUMMYFUNCTION("""COMPUTED_VALUE"""),"Salad Dressing Mayonnaise Imitation Soybean Without Cholesterol")</f>
        <v>Salad Dressing Mayonnaise Imitation Soybean Without Cholesterol</v>
      </c>
      <c r="C385" t="str">
        <f>IFERROR(__xludf.DUMMYFUNCTION("""COMPUTED_VALUE"""),"Fats and Oils")</f>
        <v>Fats and Oils</v>
      </c>
      <c r="D385">
        <f>IFERROR(__xludf.DUMMYFUNCTION("""COMPUTED_VALUE"""),482.0)</f>
        <v>482</v>
      </c>
      <c r="E385">
        <f>IFERROR(__xludf.DUMMYFUNCTION("""COMPUTED_VALUE"""),47.7)</f>
        <v>47.7</v>
      </c>
      <c r="F385">
        <f>IFERROR(__xludf.DUMMYFUNCTION("""COMPUTED_VALUE"""),0.1)</f>
        <v>0.1</v>
      </c>
      <c r="G385">
        <f>IFERROR(__xludf.DUMMYFUNCTION("""COMPUTED_VALUE"""),15.8)</f>
        <v>15.8</v>
      </c>
    </row>
    <row r="386">
      <c r="A386">
        <f>IFERROR(__xludf.DUMMYFUNCTION("""COMPUTED_VALUE"""),171409.0)</f>
        <v>171409</v>
      </c>
      <c r="B386" t="str">
        <f>IFERROR(__xludf.DUMMYFUNCTION("""COMPUTED_VALUE"""),"Sandwich Spread With Chopped Pickle Regular Unspecified Oils")</f>
        <v>Sandwich Spread With Chopped Pickle Regular Unspecified Oils</v>
      </c>
      <c r="C386" t="str">
        <f>IFERROR(__xludf.DUMMYFUNCTION("""COMPUTED_VALUE"""),"Fats and Oils")</f>
        <v>Fats and Oils</v>
      </c>
      <c r="D386">
        <f>IFERROR(__xludf.DUMMYFUNCTION("""COMPUTED_VALUE"""),389.0)</f>
        <v>389</v>
      </c>
      <c r="E386">
        <f>IFERROR(__xludf.DUMMYFUNCTION("""COMPUTED_VALUE"""),34.0)</f>
        <v>34</v>
      </c>
      <c r="F386">
        <f>IFERROR(__xludf.DUMMYFUNCTION("""COMPUTED_VALUE"""),0.9)</f>
        <v>0.9</v>
      </c>
      <c r="G386">
        <f>IFERROR(__xludf.DUMMYFUNCTION("""COMPUTED_VALUE"""),22.4)</f>
        <v>22.4</v>
      </c>
    </row>
    <row r="387">
      <c r="A387">
        <f>IFERROR(__xludf.DUMMYFUNCTION("""COMPUTED_VALUE"""),171410.0)</f>
        <v>171410</v>
      </c>
      <c r="B387" t="str">
        <f>IFERROR(__xludf.DUMMYFUNCTION("""COMPUTED_VALUE"""),"Peanut Oil")</f>
        <v>Peanut Oil</v>
      </c>
      <c r="C387" t="str">
        <f>IFERROR(__xludf.DUMMYFUNCTION("""COMPUTED_VALUE"""),"Fats and Oils")</f>
        <v>Fats and Oils</v>
      </c>
      <c r="D387">
        <f>IFERROR(__xludf.DUMMYFUNCTION("""COMPUTED_VALUE"""),884.0)</f>
        <v>884</v>
      </c>
      <c r="E387">
        <f>IFERROR(__xludf.DUMMYFUNCTION("""COMPUTED_VALUE"""),100.0)</f>
        <v>100</v>
      </c>
      <c r="F387">
        <f>IFERROR(__xludf.DUMMYFUNCTION("""COMPUTED_VALUE"""),0.0)</f>
        <v>0</v>
      </c>
      <c r="G387">
        <f>IFERROR(__xludf.DUMMYFUNCTION("""COMPUTED_VALUE"""),0.0)</f>
        <v>0</v>
      </c>
    </row>
    <row r="388">
      <c r="A388">
        <f>IFERROR(__xludf.DUMMYFUNCTION("""COMPUTED_VALUE"""),171411.0)</f>
        <v>171411</v>
      </c>
      <c r="B388" t="str">
        <f>IFERROR(__xludf.DUMMYFUNCTION("""COMPUTED_VALUE"""),"Soybean Oil")</f>
        <v>Soybean Oil</v>
      </c>
      <c r="C388" t="str">
        <f>IFERROR(__xludf.DUMMYFUNCTION("""COMPUTED_VALUE"""),"Fats and Oils")</f>
        <v>Fats and Oils</v>
      </c>
      <c r="D388">
        <f>IFERROR(__xludf.DUMMYFUNCTION("""COMPUTED_VALUE"""),884.0)</f>
        <v>884</v>
      </c>
      <c r="E388">
        <f>IFERROR(__xludf.DUMMYFUNCTION("""COMPUTED_VALUE"""),100.0)</f>
        <v>100</v>
      </c>
      <c r="F388">
        <f>IFERROR(__xludf.DUMMYFUNCTION("""COMPUTED_VALUE"""),0.0)</f>
        <v>0</v>
      </c>
      <c r="G388">
        <f>IFERROR(__xludf.DUMMYFUNCTION("""COMPUTED_VALUE"""),0.0)</f>
        <v>0</v>
      </c>
    </row>
    <row r="389">
      <c r="A389">
        <f>IFERROR(__xludf.DUMMYFUNCTION("""COMPUTED_VALUE"""),171412.0)</f>
        <v>171412</v>
      </c>
      <c r="B389" t="str">
        <f>IFERROR(__xludf.DUMMYFUNCTION("""COMPUTED_VALUE"""),"Coconut Oil")</f>
        <v>Coconut Oil</v>
      </c>
      <c r="C389" t="str">
        <f>IFERROR(__xludf.DUMMYFUNCTION("""COMPUTED_VALUE"""),"Fats and Oils")</f>
        <v>Fats and Oils</v>
      </c>
      <c r="D389">
        <f>IFERROR(__xludf.DUMMYFUNCTION("""COMPUTED_VALUE"""),892.0)</f>
        <v>892</v>
      </c>
      <c r="E389">
        <f>IFERROR(__xludf.DUMMYFUNCTION("""COMPUTED_VALUE"""),99.06)</f>
        <v>99.06</v>
      </c>
      <c r="F389">
        <f>IFERROR(__xludf.DUMMYFUNCTION("""COMPUTED_VALUE"""),0.0)</f>
        <v>0</v>
      </c>
      <c r="G389">
        <f>IFERROR(__xludf.DUMMYFUNCTION("""COMPUTED_VALUE"""),0.0)</f>
        <v>0</v>
      </c>
    </row>
    <row r="390">
      <c r="A390">
        <f>IFERROR(__xludf.DUMMYFUNCTION("""COMPUTED_VALUE"""),171413.0)</f>
        <v>171413</v>
      </c>
      <c r="B390" t="str">
        <f>IFERROR(__xludf.DUMMYFUNCTION("""COMPUTED_VALUE"""),"Olive Oil")</f>
        <v>Olive Oil</v>
      </c>
      <c r="C390" t="str">
        <f>IFERROR(__xludf.DUMMYFUNCTION("""COMPUTED_VALUE"""),"Fats and Oils")</f>
        <v>Fats and Oils</v>
      </c>
      <c r="D390">
        <f>IFERROR(__xludf.DUMMYFUNCTION("""COMPUTED_VALUE"""),884.0)</f>
        <v>884</v>
      </c>
      <c r="E390">
        <f>IFERROR(__xludf.DUMMYFUNCTION("""COMPUTED_VALUE"""),100.0)</f>
        <v>100</v>
      </c>
      <c r="F390">
        <f>IFERROR(__xludf.DUMMYFUNCTION("""COMPUTED_VALUE"""),0.0)</f>
        <v>0</v>
      </c>
      <c r="G390">
        <f>IFERROR(__xludf.DUMMYFUNCTION("""COMPUTED_VALUE"""),0.0)</f>
        <v>0</v>
      </c>
    </row>
    <row r="391">
      <c r="A391">
        <f>IFERROR(__xludf.DUMMYFUNCTION("""COMPUTED_VALUE"""),171414.0)</f>
        <v>171414</v>
      </c>
      <c r="B391" t="str">
        <f>IFERROR(__xludf.DUMMYFUNCTION("""COMPUTED_VALUE"""),"Salad Dressing French Dressing Commercial Regular")</f>
        <v>Salad Dressing French Dressing Commercial Regular</v>
      </c>
      <c r="C391" t="str">
        <f>IFERROR(__xludf.DUMMYFUNCTION("""COMPUTED_VALUE"""),"Fats and Oils")</f>
        <v>Fats and Oils</v>
      </c>
      <c r="D391">
        <f>IFERROR(__xludf.DUMMYFUNCTION("""COMPUTED_VALUE"""),419.0)</f>
        <v>419</v>
      </c>
      <c r="E391">
        <f>IFERROR(__xludf.DUMMYFUNCTION("""COMPUTED_VALUE"""),39.07)</f>
        <v>39.07</v>
      </c>
      <c r="F391">
        <f>IFERROR(__xludf.DUMMYFUNCTION("""COMPUTED_VALUE"""),0.87)</f>
        <v>0.87</v>
      </c>
      <c r="G391">
        <f>IFERROR(__xludf.DUMMYFUNCTION("""COMPUTED_VALUE"""),18.79)</f>
        <v>18.79</v>
      </c>
    </row>
    <row r="392">
      <c r="A392">
        <f>IFERROR(__xludf.DUMMYFUNCTION("""COMPUTED_VALUE"""),171415.0)</f>
        <v>171415</v>
      </c>
      <c r="B392" t="str">
        <f>IFERROR(__xludf.DUMMYFUNCTION("""COMPUTED_VALUE"""),"Margarine-Like Vegetable Oil Spread Unspecified Oils Approximately 37% Fat With Salt")</f>
        <v>Margarine-Like Vegetable Oil Spread Unspecified Oils Approximately 37% Fat With Salt</v>
      </c>
      <c r="C392" t="str">
        <f>IFERROR(__xludf.DUMMYFUNCTION("""COMPUTED_VALUE"""),"Fats and Oils")</f>
        <v>Fats and Oils</v>
      </c>
      <c r="D392">
        <f>IFERROR(__xludf.DUMMYFUNCTION("""COMPUTED_VALUE"""),349.0)</f>
        <v>349</v>
      </c>
      <c r="E392">
        <f>IFERROR(__xludf.DUMMYFUNCTION("""COMPUTED_VALUE"""),37.98)</f>
        <v>37.98</v>
      </c>
      <c r="F392">
        <f>IFERROR(__xludf.DUMMYFUNCTION("""COMPUTED_VALUE"""),0.23)</f>
        <v>0.23</v>
      </c>
      <c r="G392">
        <f>IFERROR(__xludf.DUMMYFUNCTION("""COMPUTED_VALUE"""),1.52)</f>
        <v>1.52</v>
      </c>
    </row>
    <row r="393">
      <c r="A393">
        <f>IFERROR(__xludf.DUMMYFUNCTION("""COMPUTED_VALUE"""),171416.0)</f>
        <v>171416</v>
      </c>
      <c r="B393" t="str">
        <f>IFERROR(__xludf.DUMMYFUNCTION("""COMPUTED_VALUE"""),"Salad Dressing French Home Recipe")</f>
        <v>Salad Dressing French Home Recipe</v>
      </c>
      <c r="C393" t="str">
        <f>IFERROR(__xludf.DUMMYFUNCTION("""COMPUTED_VALUE"""),"Fats and Oils")</f>
        <v>Fats and Oils</v>
      </c>
      <c r="D393">
        <f>IFERROR(__xludf.DUMMYFUNCTION("""COMPUTED_VALUE"""),631.0)</f>
        <v>631</v>
      </c>
      <c r="E393">
        <f>IFERROR(__xludf.DUMMYFUNCTION("""COMPUTED_VALUE"""),70.2)</f>
        <v>70.2</v>
      </c>
      <c r="F393">
        <f>IFERROR(__xludf.DUMMYFUNCTION("""COMPUTED_VALUE"""),0.1)</f>
        <v>0.1</v>
      </c>
      <c r="G393">
        <f>IFERROR(__xludf.DUMMYFUNCTION("""COMPUTED_VALUE"""),3.4)</f>
        <v>3.4</v>
      </c>
    </row>
    <row r="394">
      <c r="A394">
        <f>IFERROR(__xludf.DUMMYFUNCTION("""COMPUTED_VALUE"""),171417.0)</f>
        <v>171417</v>
      </c>
      <c r="B394" t="str">
        <f>IFERROR(__xludf.DUMMYFUNCTION("""COMPUTED_VALUE"""),"Salad Dressing Home Recipe Vinegar And Oil")</f>
        <v>Salad Dressing Home Recipe Vinegar And Oil</v>
      </c>
      <c r="C394" t="str">
        <f>IFERROR(__xludf.DUMMYFUNCTION("""COMPUTED_VALUE"""),"Fats and Oils")</f>
        <v>Fats and Oils</v>
      </c>
      <c r="D394">
        <f>IFERROR(__xludf.DUMMYFUNCTION("""COMPUTED_VALUE"""),449.0)</f>
        <v>449</v>
      </c>
      <c r="E394">
        <f>IFERROR(__xludf.DUMMYFUNCTION("""COMPUTED_VALUE"""),50.1)</f>
        <v>50.1</v>
      </c>
      <c r="F394">
        <f>IFERROR(__xludf.DUMMYFUNCTION("""COMPUTED_VALUE"""),0.0)</f>
        <v>0</v>
      </c>
      <c r="G394">
        <f>IFERROR(__xludf.DUMMYFUNCTION("""COMPUTED_VALUE"""),2.5)</f>
        <v>2.5</v>
      </c>
    </row>
    <row r="395">
      <c r="A395">
        <f>IFERROR(__xludf.DUMMYFUNCTION("""COMPUTED_VALUE"""),171418.0)</f>
        <v>171418</v>
      </c>
      <c r="B395" t="str">
        <f>IFERROR(__xludf.DUMMYFUNCTION("""COMPUTED_VALUE"""),"Salad Dressing Mayonnaise Soybean Oil Without Salt")</f>
        <v>Salad Dressing Mayonnaise Soybean Oil Without Salt</v>
      </c>
      <c r="C395" t="str">
        <f>IFERROR(__xludf.DUMMYFUNCTION("""COMPUTED_VALUE"""),"Fats and Oils")</f>
        <v>Fats and Oils</v>
      </c>
      <c r="D395">
        <f>IFERROR(__xludf.DUMMYFUNCTION("""COMPUTED_VALUE"""),717.0)</f>
        <v>717</v>
      </c>
      <c r="E395">
        <f>IFERROR(__xludf.DUMMYFUNCTION("""COMPUTED_VALUE"""),79.4)</f>
        <v>79.4</v>
      </c>
      <c r="F395">
        <f>IFERROR(__xludf.DUMMYFUNCTION("""COMPUTED_VALUE"""),1.1)</f>
        <v>1.1</v>
      </c>
      <c r="G395">
        <f>IFERROR(__xludf.DUMMYFUNCTION("""COMPUTED_VALUE"""),2.7)</f>
        <v>2.7</v>
      </c>
    </row>
    <row r="396">
      <c r="A396">
        <f>IFERROR(__xludf.DUMMYFUNCTION("""COMPUTED_VALUE"""),171419.0)</f>
        <v>171419</v>
      </c>
      <c r="B396" t="str">
        <f>IFERROR(__xludf.DUMMYFUNCTION("""COMPUTED_VALUE"""),"Salad Dressing French Cottonseed Oil Home Recipe")</f>
        <v>Salad Dressing French Cottonseed Oil Home Recipe</v>
      </c>
      <c r="C396" t="str">
        <f>IFERROR(__xludf.DUMMYFUNCTION("""COMPUTED_VALUE"""),"Fats and Oils")</f>
        <v>Fats and Oils</v>
      </c>
      <c r="D396">
        <f>IFERROR(__xludf.DUMMYFUNCTION("""COMPUTED_VALUE"""),631.0)</f>
        <v>631</v>
      </c>
      <c r="E396">
        <f>IFERROR(__xludf.DUMMYFUNCTION("""COMPUTED_VALUE"""),70.2)</f>
        <v>70.2</v>
      </c>
      <c r="F396">
        <f>IFERROR(__xludf.DUMMYFUNCTION("""COMPUTED_VALUE"""),0.1)</f>
        <v>0.1</v>
      </c>
      <c r="G396">
        <f>IFERROR(__xludf.DUMMYFUNCTION("""COMPUTED_VALUE"""),3.4)</f>
        <v>3.4</v>
      </c>
    </row>
    <row r="397">
      <c r="A397">
        <f>IFERROR(__xludf.DUMMYFUNCTION("""COMPUTED_VALUE"""),171420.0)</f>
        <v>171420</v>
      </c>
      <c r="B397" t="str">
        <f>IFERROR(__xludf.DUMMYFUNCTION("""COMPUTED_VALUE"""),"Salad Dressing French Dressing Fat-Free")</f>
        <v>Salad Dressing French Dressing Fat-Free</v>
      </c>
      <c r="C397" t="str">
        <f>IFERROR(__xludf.DUMMYFUNCTION("""COMPUTED_VALUE"""),"Fats and Oils")</f>
        <v>Fats and Oils</v>
      </c>
      <c r="D397">
        <f>IFERROR(__xludf.DUMMYFUNCTION("""COMPUTED_VALUE"""),132.0)</f>
        <v>132</v>
      </c>
      <c r="E397">
        <f>IFERROR(__xludf.DUMMYFUNCTION("""COMPUTED_VALUE"""),0.27)</f>
        <v>0.27</v>
      </c>
      <c r="F397">
        <f>IFERROR(__xludf.DUMMYFUNCTION("""COMPUTED_VALUE"""),0.2)</f>
        <v>0.2</v>
      </c>
      <c r="G397">
        <f>IFERROR(__xludf.DUMMYFUNCTION("""COMPUTED_VALUE"""),32.14)</f>
        <v>32.14</v>
      </c>
    </row>
    <row r="398">
      <c r="A398">
        <f>IFERROR(__xludf.DUMMYFUNCTION("""COMPUTED_VALUE"""),171421.0)</f>
        <v>171421</v>
      </c>
      <c r="B398" t="str">
        <f>IFERROR(__xludf.DUMMYFUNCTION("""COMPUTED_VALUE"""),"Cocoa Butter")</f>
        <v>Cocoa Butter</v>
      </c>
      <c r="C398" t="str">
        <f>IFERROR(__xludf.DUMMYFUNCTION("""COMPUTED_VALUE"""),"Fats and Oils")</f>
        <v>Fats and Oils</v>
      </c>
      <c r="D398">
        <f>IFERROR(__xludf.DUMMYFUNCTION("""COMPUTED_VALUE"""),884.0)</f>
        <v>884</v>
      </c>
      <c r="E398">
        <f>IFERROR(__xludf.DUMMYFUNCTION("""COMPUTED_VALUE"""),100.0)</f>
        <v>100</v>
      </c>
      <c r="F398">
        <f>IFERROR(__xludf.DUMMYFUNCTION("""COMPUTED_VALUE"""),0.0)</f>
        <v>0</v>
      </c>
      <c r="G398">
        <f>IFERROR(__xludf.DUMMYFUNCTION("""COMPUTED_VALUE"""),0.0)</f>
        <v>0</v>
      </c>
    </row>
    <row r="399">
      <c r="A399">
        <f>IFERROR(__xludf.DUMMYFUNCTION("""COMPUTED_VALUE"""),171422.0)</f>
        <v>171422</v>
      </c>
      <c r="B399" t="str">
        <f>IFERROR(__xludf.DUMMYFUNCTION("""COMPUTED_VALUE"""),"Palm Kernel Oil")</f>
        <v>Palm Kernel Oil</v>
      </c>
      <c r="C399" t="str">
        <f>IFERROR(__xludf.DUMMYFUNCTION("""COMPUTED_VALUE"""),"Fats and Oils")</f>
        <v>Fats and Oils</v>
      </c>
      <c r="D399">
        <f>IFERROR(__xludf.DUMMYFUNCTION("""COMPUTED_VALUE"""),862.0)</f>
        <v>862</v>
      </c>
      <c r="E399">
        <f>IFERROR(__xludf.DUMMYFUNCTION("""COMPUTED_VALUE"""),100.0)</f>
        <v>100</v>
      </c>
      <c r="F399">
        <f>IFERROR(__xludf.DUMMYFUNCTION("""COMPUTED_VALUE"""),0.0)</f>
        <v>0</v>
      </c>
      <c r="G399">
        <f>IFERROR(__xludf.DUMMYFUNCTION("""COMPUTED_VALUE"""),0.0)</f>
        <v>0</v>
      </c>
    </row>
    <row r="400">
      <c r="A400">
        <f>IFERROR(__xludf.DUMMYFUNCTION("""COMPUTED_VALUE"""),171423.0)</f>
        <v>171423</v>
      </c>
      <c r="B400" t="str">
        <f>IFERROR(__xludf.DUMMYFUNCTION("""COMPUTED_VALUE"""),"Poppyseed Oil")</f>
        <v>Poppyseed Oil</v>
      </c>
      <c r="C400" t="str">
        <f>IFERROR(__xludf.DUMMYFUNCTION("""COMPUTED_VALUE"""),"Fats and Oils")</f>
        <v>Fats and Oils</v>
      </c>
      <c r="D400">
        <f>IFERROR(__xludf.DUMMYFUNCTION("""COMPUTED_VALUE"""),884.0)</f>
        <v>884</v>
      </c>
      <c r="E400">
        <f>IFERROR(__xludf.DUMMYFUNCTION("""COMPUTED_VALUE"""),100.0)</f>
        <v>100</v>
      </c>
      <c r="F400">
        <f>IFERROR(__xludf.DUMMYFUNCTION("""COMPUTED_VALUE"""),0.0)</f>
        <v>0</v>
      </c>
      <c r="G400">
        <f>IFERROR(__xludf.DUMMYFUNCTION("""COMPUTED_VALUE"""),0.0)</f>
        <v>0</v>
      </c>
    </row>
    <row r="401">
      <c r="A401">
        <f>IFERROR(__xludf.DUMMYFUNCTION("""COMPUTED_VALUE"""),171424.0)</f>
        <v>171424</v>
      </c>
      <c r="B401" t="str">
        <f>IFERROR(__xludf.DUMMYFUNCTION("""COMPUTED_VALUE"""),"Tomatoseed Oil")</f>
        <v>Tomatoseed Oil</v>
      </c>
      <c r="C401" t="str">
        <f>IFERROR(__xludf.DUMMYFUNCTION("""COMPUTED_VALUE"""),"Fats and Oils")</f>
        <v>Fats and Oils</v>
      </c>
      <c r="D401">
        <f>IFERROR(__xludf.DUMMYFUNCTION("""COMPUTED_VALUE"""),884.0)</f>
        <v>884</v>
      </c>
      <c r="E401">
        <f>IFERROR(__xludf.DUMMYFUNCTION("""COMPUTED_VALUE"""),100.0)</f>
        <v>100</v>
      </c>
      <c r="F401">
        <f>IFERROR(__xludf.DUMMYFUNCTION("""COMPUTED_VALUE"""),0.0)</f>
        <v>0</v>
      </c>
      <c r="G401">
        <f>IFERROR(__xludf.DUMMYFUNCTION("""COMPUTED_VALUE"""),0.0)</f>
        <v>0</v>
      </c>
    </row>
    <row r="402">
      <c r="A402">
        <f>IFERROR(__xludf.DUMMYFUNCTION("""COMPUTED_VALUE"""),171425.0)</f>
        <v>171425</v>
      </c>
      <c r="B402" t="str">
        <f>IFERROR(__xludf.DUMMYFUNCTION("""COMPUTED_VALUE"""),"Teaseed Oil")</f>
        <v>Teaseed Oil</v>
      </c>
      <c r="C402" t="str">
        <f>IFERROR(__xludf.DUMMYFUNCTION("""COMPUTED_VALUE"""),"Fats and Oils")</f>
        <v>Fats and Oils</v>
      </c>
      <c r="D402">
        <f>IFERROR(__xludf.DUMMYFUNCTION("""COMPUTED_VALUE"""),884.0)</f>
        <v>884</v>
      </c>
      <c r="E402">
        <f>IFERROR(__xludf.DUMMYFUNCTION("""COMPUTED_VALUE"""),100.0)</f>
        <v>100</v>
      </c>
      <c r="F402">
        <f>IFERROR(__xludf.DUMMYFUNCTION("""COMPUTED_VALUE"""),0.0)</f>
        <v>0</v>
      </c>
      <c r="G402">
        <f>IFERROR(__xludf.DUMMYFUNCTION("""COMPUTED_VALUE"""),0.0)</f>
        <v>0</v>
      </c>
    </row>
    <row r="403">
      <c r="A403">
        <f>IFERROR(__xludf.DUMMYFUNCTION("""COMPUTED_VALUE"""),171426.0)</f>
        <v>171426</v>
      </c>
      <c r="B403" t="str">
        <f>IFERROR(__xludf.DUMMYFUNCTION("""COMPUTED_VALUE"""),"Soybean Lecithin")</f>
        <v>Soybean Lecithin</v>
      </c>
      <c r="C403" t="str">
        <f>IFERROR(__xludf.DUMMYFUNCTION("""COMPUTED_VALUE"""),"Fats and Oils")</f>
        <v>Fats and Oils</v>
      </c>
      <c r="D403">
        <f>IFERROR(__xludf.DUMMYFUNCTION("""COMPUTED_VALUE"""),763.0)</f>
        <v>763</v>
      </c>
      <c r="E403">
        <f>IFERROR(__xludf.DUMMYFUNCTION("""COMPUTED_VALUE"""),100.0)</f>
        <v>100</v>
      </c>
      <c r="F403">
        <f>IFERROR(__xludf.DUMMYFUNCTION("""COMPUTED_VALUE"""),0.0)</f>
        <v>0</v>
      </c>
      <c r="G403">
        <f>IFERROR(__xludf.DUMMYFUNCTION("""COMPUTED_VALUE"""),0.0)</f>
        <v>0</v>
      </c>
    </row>
    <row r="404">
      <c r="A404">
        <f>IFERROR(__xludf.DUMMYFUNCTION("""COMPUTED_VALUE"""),171427.0)</f>
        <v>171427</v>
      </c>
      <c r="B404" t="str">
        <f>IFERROR(__xludf.DUMMYFUNCTION("""COMPUTED_VALUE"""),"Hazelnut Oil")</f>
        <v>Hazelnut Oil</v>
      </c>
      <c r="C404" t="str">
        <f>IFERROR(__xludf.DUMMYFUNCTION("""COMPUTED_VALUE"""),"Fats and Oils")</f>
        <v>Fats and Oils</v>
      </c>
      <c r="D404">
        <f>IFERROR(__xludf.DUMMYFUNCTION("""COMPUTED_VALUE"""),884.0)</f>
        <v>884</v>
      </c>
      <c r="E404">
        <f>IFERROR(__xludf.DUMMYFUNCTION("""COMPUTED_VALUE"""),100.0)</f>
        <v>100</v>
      </c>
      <c r="F404">
        <f>IFERROR(__xludf.DUMMYFUNCTION("""COMPUTED_VALUE"""),0.0)</f>
        <v>0</v>
      </c>
      <c r="G404">
        <f>IFERROR(__xludf.DUMMYFUNCTION("""COMPUTED_VALUE"""),0.0)</f>
        <v>0</v>
      </c>
    </row>
    <row r="405">
      <c r="A405">
        <f>IFERROR(__xludf.DUMMYFUNCTION("""COMPUTED_VALUE"""),171428.0)</f>
        <v>171428</v>
      </c>
      <c r="B405" t="str">
        <f>IFERROR(__xludf.DUMMYFUNCTION("""COMPUTED_VALUE"""),"Oil Babassu")</f>
        <v>Oil Babassu</v>
      </c>
      <c r="C405" t="str">
        <f>IFERROR(__xludf.DUMMYFUNCTION("""COMPUTED_VALUE"""),"Fats and Oils")</f>
        <v>Fats and Oils</v>
      </c>
      <c r="D405">
        <f>IFERROR(__xludf.DUMMYFUNCTION("""COMPUTED_VALUE"""),884.0)</f>
        <v>884</v>
      </c>
      <c r="E405">
        <f>IFERROR(__xludf.DUMMYFUNCTION("""COMPUTED_VALUE"""),100.0)</f>
        <v>100</v>
      </c>
      <c r="F405">
        <f>IFERROR(__xludf.DUMMYFUNCTION("""COMPUTED_VALUE"""),0.0)</f>
        <v>0</v>
      </c>
      <c r="G405">
        <f>IFERROR(__xludf.DUMMYFUNCTION("""COMPUTED_VALUE"""),0.0)</f>
        <v>0</v>
      </c>
    </row>
    <row r="406">
      <c r="A406">
        <f>IFERROR(__xludf.DUMMYFUNCTION("""COMPUTED_VALUE"""),171429.0)</f>
        <v>171429</v>
      </c>
      <c r="B406" t="str">
        <f>IFERROR(__xludf.DUMMYFUNCTION("""COMPUTED_VALUE"""),"Oil Sheanut")</f>
        <v>Oil Sheanut</v>
      </c>
      <c r="C406" t="str">
        <f>IFERROR(__xludf.DUMMYFUNCTION("""COMPUTED_VALUE"""),"Fats and Oils")</f>
        <v>Fats and Oils</v>
      </c>
      <c r="D406">
        <f>IFERROR(__xludf.DUMMYFUNCTION("""COMPUTED_VALUE"""),884.0)</f>
        <v>884</v>
      </c>
      <c r="E406">
        <f>IFERROR(__xludf.DUMMYFUNCTION("""COMPUTED_VALUE"""),100.0)</f>
        <v>100</v>
      </c>
      <c r="F406">
        <f>IFERROR(__xludf.DUMMYFUNCTION("""COMPUTED_VALUE"""),0.0)</f>
        <v>0</v>
      </c>
      <c r="G406">
        <f>IFERROR(__xludf.DUMMYFUNCTION("""COMPUTED_VALUE"""),0.0)</f>
        <v>0</v>
      </c>
    </row>
    <row r="407">
      <c r="A407">
        <f>IFERROR(__xludf.DUMMYFUNCTION("""COMPUTED_VALUE"""),171430.0)</f>
        <v>171430</v>
      </c>
      <c r="B407" t="str">
        <f>IFERROR(__xludf.DUMMYFUNCTION("""COMPUTED_VALUE"""),"Oil Pam Cooking Spray Original")</f>
        <v>Oil Pam Cooking Spray Original</v>
      </c>
      <c r="C407" t="str">
        <f>IFERROR(__xludf.DUMMYFUNCTION("""COMPUTED_VALUE"""),"Fats and Oils")</f>
        <v>Fats and Oils</v>
      </c>
      <c r="D407">
        <f>IFERROR(__xludf.DUMMYFUNCTION("""COMPUTED_VALUE"""),792.0)</f>
        <v>792</v>
      </c>
      <c r="E407">
        <f>IFERROR(__xludf.DUMMYFUNCTION("""COMPUTED_VALUE"""),78.69)</f>
        <v>78.69</v>
      </c>
      <c r="F407">
        <f>IFERROR(__xludf.DUMMYFUNCTION("""COMPUTED_VALUE"""),0.26)</f>
        <v>0.26</v>
      </c>
      <c r="G407">
        <f>IFERROR(__xludf.DUMMYFUNCTION("""COMPUTED_VALUE"""),20.69)</f>
        <v>20.69</v>
      </c>
    </row>
    <row r="408">
      <c r="A408">
        <f>IFERROR(__xludf.DUMMYFUNCTION("""COMPUTED_VALUE"""),171431.0)</f>
        <v>171431</v>
      </c>
      <c r="B408" t="str">
        <f>IFERROR(__xludf.DUMMYFUNCTION("""COMPUTED_VALUE"""),"Margarine Margarine-Like Vegetable Oil Spread 67-70% Fat Tub")</f>
        <v>Margarine Margarine-Like Vegetable Oil Spread 67-70% Fat Tub</v>
      </c>
      <c r="C408" t="str">
        <f>IFERROR(__xludf.DUMMYFUNCTION("""COMPUTED_VALUE"""),"Fats and Oils")</f>
        <v>Fats and Oils</v>
      </c>
      <c r="D408">
        <f>IFERROR(__xludf.DUMMYFUNCTION("""COMPUTED_VALUE"""),606.0)</f>
        <v>606</v>
      </c>
      <c r="E408">
        <f>IFERROR(__xludf.DUMMYFUNCTION("""COMPUTED_VALUE"""),68.29)</f>
        <v>68.29</v>
      </c>
      <c r="F408">
        <f>IFERROR(__xludf.DUMMYFUNCTION("""COMPUTED_VALUE"""),0.07)</f>
        <v>0.07</v>
      </c>
      <c r="G408">
        <f>IFERROR(__xludf.DUMMYFUNCTION("""COMPUTED_VALUE"""),0.59)</f>
        <v>0.59</v>
      </c>
    </row>
    <row r="409">
      <c r="A409">
        <f>IFERROR(__xludf.DUMMYFUNCTION("""COMPUTED_VALUE"""),171432.0)</f>
        <v>171432</v>
      </c>
      <c r="B409" t="str">
        <f>IFERROR(__xludf.DUMMYFUNCTION("""COMPUTED_VALUE"""),"Margarine 80% Fat Tub Canola Harvest Soft Spread (Canola Palm And Palm Kernel Oils)")</f>
        <v>Margarine 80% Fat Tub Canola Harvest Soft Spread (Canola Palm And Palm Kernel Oils)</v>
      </c>
      <c r="C409" t="str">
        <f>IFERROR(__xludf.DUMMYFUNCTION("""COMPUTED_VALUE"""),"Fats and Oils")</f>
        <v>Fats and Oils</v>
      </c>
      <c r="D409">
        <f>IFERROR(__xludf.DUMMYFUNCTION("""COMPUTED_VALUE"""),730.0)</f>
        <v>730</v>
      </c>
      <c r="E409">
        <f>IFERROR(__xludf.DUMMYFUNCTION("""COMPUTED_VALUE"""),80.32)</f>
        <v>80.32</v>
      </c>
      <c r="F409">
        <f>IFERROR(__xludf.DUMMYFUNCTION("""COMPUTED_VALUE"""),0.41)</f>
        <v>0.41</v>
      </c>
      <c r="G409">
        <f>IFERROR(__xludf.DUMMYFUNCTION("""COMPUTED_VALUE"""),1.39)</f>
        <v>1.39</v>
      </c>
    </row>
    <row r="410">
      <c r="A410">
        <f>IFERROR(__xludf.DUMMYFUNCTION("""COMPUTED_VALUE"""),171433.0)</f>
        <v>171433</v>
      </c>
      <c r="B410" t="str">
        <f>IFERROR(__xludf.DUMMYFUNCTION("""COMPUTED_VALUE"""),"Oil Cooking And Salad Enova 80% Diglycerides")</f>
        <v>Oil Cooking And Salad Enova 80% Diglycerides</v>
      </c>
      <c r="C410" t="str">
        <f>IFERROR(__xludf.DUMMYFUNCTION("""COMPUTED_VALUE"""),"Fats and Oils")</f>
        <v>Fats and Oils</v>
      </c>
      <c r="D410">
        <f>IFERROR(__xludf.DUMMYFUNCTION("""COMPUTED_VALUE"""),884.0)</f>
        <v>884</v>
      </c>
      <c r="E410">
        <f>IFERROR(__xludf.DUMMYFUNCTION("""COMPUTED_VALUE"""),100.0)</f>
        <v>100</v>
      </c>
      <c r="F410">
        <f>IFERROR(__xludf.DUMMYFUNCTION("""COMPUTED_VALUE"""),0.0)</f>
        <v>0</v>
      </c>
      <c r="G410">
        <f>IFERROR(__xludf.DUMMYFUNCTION("""COMPUTED_VALUE"""),0.0)</f>
        <v>0</v>
      </c>
    </row>
    <row r="411">
      <c r="A411">
        <f>IFERROR(__xludf.DUMMYFUNCTION("""COMPUTED_VALUE"""),171434.0)</f>
        <v>171434</v>
      </c>
      <c r="B411" t="str">
        <f>IFERROR(__xludf.DUMMYFUNCTION("""COMPUTED_VALUE"""),"Margarine-Like Vegetable Oil Spread Approximately 37% Fat Unspecified Oils With Salt With Added Vitamin D")</f>
        <v>Margarine-Like Vegetable Oil Spread Approximately 37% Fat Unspecified Oils With Salt With Added Vitamin D</v>
      </c>
      <c r="C411" t="str">
        <f>IFERROR(__xludf.DUMMYFUNCTION("""COMPUTED_VALUE"""),"Fats and Oils")</f>
        <v>Fats and Oils</v>
      </c>
      <c r="D411">
        <f>IFERROR(__xludf.DUMMYFUNCTION("""COMPUTED_VALUE"""),339.0)</f>
        <v>339</v>
      </c>
      <c r="E411">
        <f>IFERROR(__xludf.DUMMYFUNCTION("""COMPUTED_VALUE"""),37.77)</f>
        <v>37.77</v>
      </c>
      <c r="F411">
        <f>IFERROR(__xludf.DUMMYFUNCTION("""COMPUTED_VALUE"""),0.51)</f>
        <v>0.51</v>
      </c>
      <c r="G411">
        <f>IFERROR(__xludf.DUMMYFUNCTION("""COMPUTED_VALUE"""),0.66)</f>
        <v>0.66</v>
      </c>
    </row>
    <row r="412">
      <c r="A412">
        <f>IFERROR(__xludf.DUMMYFUNCTION("""COMPUTED_VALUE"""),171435.0)</f>
        <v>171435</v>
      </c>
      <c r="B412" t="str">
        <f>IFERROR(__xludf.DUMMYFUNCTION("""COMPUTED_VALUE"""),"Margarine Regular 80% Fat Composite Stick With Salt With Added Vitamin D")</f>
        <v>Margarine Regular 80% Fat Composite Stick With Salt With Added Vitamin D</v>
      </c>
      <c r="C412" t="str">
        <f>IFERROR(__xludf.DUMMYFUNCTION("""COMPUTED_VALUE"""),"Fats and Oils")</f>
        <v>Fats and Oils</v>
      </c>
      <c r="D412">
        <f>IFERROR(__xludf.DUMMYFUNCTION("""COMPUTED_VALUE"""),717.0)</f>
        <v>717</v>
      </c>
      <c r="E412">
        <f>IFERROR(__xludf.DUMMYFUNCTION("""COMPUTED_VALUE"""),80.71)</f>
        <v>80.71</v>
      </c>
      <c r="F412">
        <f>IFERROR(__xludf.DUMMYFUNCTION("""COMPUTED_VALUE"""),0.16)</f>
        <v>0.16</v>
      </c>
      <c r="G412">
        <f>IFERROR(__xludf.DUMMYFUNCTION("""COMPUTED_VALUE"""),0.7)</f>
        <v>0.7</v>
      </c>
    </row>
    <row r="413">
      <c r="A413">
        <f>IFERROR(__xludf.DUMMYFUNCTION("""COMPUTED_VALUE"""),171436.0)</f>
        <v>171436</v>
      </c>
      <c r="B413" t="str">
        <f>IFERROR(__xludf.DUMMYFUNCTION("""COMPUTED_VALUE"""),"Margarine Regular 80% Fat Composite Tub With Salt With Added Vitamin D")</f>
        <v>Margarine Regular 80% Fat Composite Tub With Salt With Added Vitamin D</v>
      </c>
      <c r="C413" t="str">
        <f>IFERROR(__xludf.DUMMYFUNCTION("""COMPUTED_VALUE"""),"Fats and Oils")</f>
        <v>Fats and Oils</v>
      </c>
      <c r="D413">
        <f>IFERROR(__xludf.DUMMYFUNCTION("""COMPUTED_VALUE"""),713.0)</f>
        <v>713</v>
      </c>
      <c r="E413">
        <f>IFERROR(__xludf.DUMMYFUNCTION("""COMPUTED_VALUE"""),80.17)</f>
        <v>80.17</v>
      </c>
      <c r="F413">
        <f>IFERROR(__xludf.DUMMYFUNCTION("""COMPUTED_VALUE"""),0.22)</f>
        <v>0.22</v>
      </c>
      <c r="G413">
        <f>IFERROR(__xludf.DUMMYFUNCTION("""COMPUTED_VALUE"""),0.75)</f>
        <v>0.75</v>
      </c>
    </row>
    <row r="414">
      <c r="A414">
        <f>IFERROR(__xludf.DUMMYFUNCTION("""COMPUTED_VALUE"""),171437.0)</f>
        <v>171437</v>
      </c>
      <c r="B414" t="str">
        <f>IFERROR(__xludf.DUMMYFUNCTION("""COMPUTED_VALUE"""),"Margarine-Like Vegetable Oil Spread 60% Fat Stick With Salt With Added Vitamin D")</f>
        <v>Margarine-Like Vegetable Oil Spread 60% Fat Stick With Salt With Added Vitamin D</v>
      </c>
      <c r="C414" t="str">
        <f>IFERROR(__xludf.DUMMYFUNCTION("""COMPUTED_VALUE"""),"Fats and Oils")</f>
        <v>Fats and Oils</v>
      </c>
      <c r="D414">
        <f>IFERROR(__xludf.DUMMYFUNCTION("""COMPUTED_VALUE"""),537.0)</f>
        <v>537</v>
      </c>
      <c r="E414">
        <f>IFERROR(__xludf.DUMMYFUNCTION("""COMPUTED_VALUE"""),60.39)</f>
        <v>60.39</v>
      </c>
      <c r="F414">
        <f>IFERROR(__xludf.DUMMYFUNCTION("""COMPUTED_VALUE"""),0.12)</f>
        <v>0.12</v>
      </c>
      <c r="G414">
        <f>IFERROR(__xludf.DUMMYFUNCTION("""COMPUTED_VALUE"""),0.69)</f>
        <v>0.69</v>
      </c>
    </row>
    <row r="415">
      <c r="A415">
        <f>IFERROR(__xludf.DUMMYFUNCTION("""COMPUTED_VALUE"""),171438.0)</f>
        <v>171438</v>
      </c>
      <c r="B415" t="str">
        <f>IFERROR(__xludf.DUMMYFUNCTION("""COMPUTED_VALUE"""),"Oil Industrial Soy Low Linolenic")</f>
        <v>Oil Industrial Soy Low Linolenic</v>
      </c>
      <c r="C415" t="str">
        <f>IFERROR(__xludf.DUMMYFUNCTION("""COMPUTED_VALUE"""),"Fats and Oils")</f>
        <v>Fats and Oils</v>
      </c>
      <c r="D415">
        <f>IFERROR(__xludf.DUMMYFUNCTION("""COMPUTED_VALUE"""),900.0)</f>
        <v>900</v>
      </c>
      <c r="E415">
        <f>IFERROR(__xludf.DUMMYFUNCTION("""COMPUTED_VALUE"""),100.0)</f>
        <v>100</v>
      </c>
      <c r="F415">
        <f>IFERROR(__xludf.DUMMYFUNCTION("""COMPUTED_VALUE"""),0.0)</f>
        <v>0</v>
      </c>
      <c r="G415">
        <f>IFERROR(__xludf.DUMMYFUNCTION("""COMPUTED_VALUE"""),0.0)</f>
        <v>0</v>
      </c>
    </row>
    <row r="416">
      <c r="A416">
        <f>IFERROR(__xludf.DUMMYFUNCTION("""COMPUTED_VALUE"""),171439.0)</f>
        <v>171439</v>
      </c>
      <c r="B416" t="str">
        <f>IFERROR(__xludf.DUMMYFUNCTION("""COMPUTED_VALUE"""),"Oil Industrial Soy Ultra Low Linolenic")</f>
        <v>Oil Industrial Soy Ultra Low Linolenic</v>
      </c>
      <c r="C416" t="str">
        <f>IFERROR(__xludf.DUMMYFUNCTION("""COMPUTED_VALUE"""),"Fats and Oils")</f>
        <v>Fats and Oils</v>
      </c>
      <c r="D416">
        <f>IFERROR(__xludf.DUMMYFUNCTION("""COMPUTED_VALUE"""),884.0)</f>
        <v>884</v>
      </c>
      <c r="E416">
        <f>IFERROR(__xludf.DUMMYFUNCTION("""COMPUTED_VALUE"""),100.0)</f>
        <v>100</v>
      </c>
      <c r="F416">
        <f>IFERROR(__xludf.DUMMYFUNCTION("""COMPUTED_VALUE"""),0.0)</f>
        <v>0</v>
      </c>
      <c r="G416">
        <f>IFERROR(__xludf.DUMMYFUNCTION("""COMPUTED_VALUE"""),0.0)</f>
        <v>0</v>
      </c>
    </row>
    <row r="417">
      <c r="A417">
        <f>IFERROR(__xludf.DUMMYFUNCTION("""COMPUTED_VALUE"""),171440.0)</f>
        <v>171440</v>
      </c>
      <c r="B417" t="str">
        <f>IFERROR(__xludf.DUMMYFUNCTION("""COMPUTED_VALUE"""),"Oil Industrial Soy Fully Hydrogenated")</f>
        <v>Oil Industrial Soy Fully Hydrogenated</v>
      </c>
      <c r="C417" t="str">
        <f>IFERROR(__xludf.DUMMYFUNCTION("""COMPUTED_VALUE"""),"Fats and Oils")</f>
        <v>Fats and Oils</v>
      </c>
      <c r="D417">
        <f>IFERROR(__xludf.DUMMYFUNCTION("""COMPUTED_VALUE"""),884.0)</f>
        <v>884</v>
      </c>
      <c r="E417">
        <f>IFERROR(__xludf.DUMMYFUNCTION("""COMPUTED_VALUE"""),100.0)</f>
        <v>100</v>
      </c>
      <c r="F417">
        <f>IFERROR(__xludf.DUMMYFUNCTION("""COMPUTED_VALUE"""),0.0)</f>
        <v>0</v>
      </c>
      <c r="G417">
        <f>IFERROR(__xludf.DUMMYFUNCTION("""COMPUTED_VALUE"""),0.0)</f>
        <v>0</v>
      </c>
    </row>
    <row r="418">
      <c r="A418">
        <f>IFERROR(__xludf.DUMMYFUNCTION("""COMPUTED_VALUE"""),171441.0)</f>
        <v>171441</v>
      </c>
      <c r="B418" t="str">
        <f>IFERROR(__xludf.DUMMYFUNCTION("""COMPUTED_VALUE"""),"Oil Industrial Cottonseed Fully Hydrogenated")</f>
        <v>Oil Industrial Cottonseed Fully Hydrogenated</v>
      </c>
      <c r="C418" t="str">
        <f>IFERROR(__xludf.DUMMYFUNCTION("""COMPUTED_VALUE"""),"Fats and Oils")</f>
        <v>Fats and Oils</v>
      </c>
      <c r="D418">
        <f>IFERROR(__xludf.DUMMYFUNCTION("""COMPUTED_VALUE"""),884.0)</f>
        <v>884</v>
      </c>
      <c r="E418">
        <f>IFERROR(__xludf.DUMMYFUNCTION("""COMPUTED_VALUE"""),100.0)</f>
        <v>100</v>
      </c>
      <c r="F418">
        <f>IFERROR(__xludf.DUMMYFUNCTION("""COMPUTED_VALUE"""),0.0)</f>
        <v>0</v>
      </c>
      <c r="G418">
        <f>IFERROR(__xludf.DUMMYFUNCTION("""COMPUTED_VALUE"""),0.0)</f>
        <v>0</v>
      </c>
    </row>
    <row r="419">
      <c r="A419">
        <f>IFERROR(__xludf.DUMMYFUNCTION("""COMPUTED_VALUE"""),171442.0)</f>
        <v>171442</v>
      </c>
      <c r="B419" t="str">
        <f>IFERROR(__xludf.DUMMYFUNCTION("""COMPUTED_VALUE"""),"Oil Flaxseed Contains Added Sliced Flaxseed")</f>
        <v>Oil Flaxseed Contains Added Sliced Flaxseed</v>
      </c>
      <c r="C419" t="str">
        <f>IFERROR(__xludf.DUMMYFUNCTION("""COMPUTED_VALUE"""),"Fats and Oils")</f>
        <v>Fats and Oils</v>
      </c>
      <c r="D419">
        <f>IFERROR(__xludf.DUMMYFUNCTION("""COMPUTED_VALUE"""),878.0)</f>
        <v>878</v>
      </c>
      <c r="E419">
        <f>IFERROR(__xludf.DUMMYFUNCTION("""COMPUTED_VALUE"""),99.01)</f>
        <v>99.01</v>
      </c>
      <c r="F419">
        <f>IFERROR(__xludf.DUMMYFUNCTION("""COMPUTED_VALUE"""),0.37)</f>
        <v>0.37</v>
      </c>
      <c r="G419">
        <f>IFERROR(__xludf.DUMMYFUNCTION("""COMPUTED_VALUE"""),0.39)</f>
        <v>0.39</v>
      </c>
    </row>
    <row r="420">
      <c r="A420">
        <f>IFERROR(__xludf.DUMMYFUNCTION("""COMPUTED_VALUE"""),171443.0)</f>
        <v>171443</v>
      </c>
      <c r="B420" t="str">
        <f>IFERROR(__xludf.DUMMYFUNCTION("""COMPUTED_VALUE"""),"Mayonnaise Reduced Fat With Olive Oil")</f>
        <v>Mayonnaise Reduced Fat With Olive Oil</v>
      </c>
      <c r="C420" t="str">
        <f>IFERROR(__xludf.DUMMYFUNCTION("""COMPUTED_VALUE"""),"Fats and Oils")</f>
        <v>Fats and Oils</v>
      </c>
      <c r="D420">
        <f>IFERROR(__xludf.DUMMYFUNCTION("""COMPUTED_VALUE"""),361.0)</f>
        <v>361</v>
      </c>
      <c r="E420">
        <f>IFERROR(__xludf.DUMMYFUNCTION("""COMPUTED_VALUE"""),40.0)</f>
        <v>40</v>
      </c>
      <c r="F420">
        <f>IFERROR(__xludf.DUMMYFUNCTION("""COMPUTED_VALUE"""),0.37)</f>
        <v>0.37</v>
      </c>
      <c r="G420">
        <f>IFERROR(__xludf.DUMMYFUNCTION("""COMPUTED_VALUE"""),0.0)</f>
        <v>0</v>
      </c>
    </row>
    <row r="421">
      <c r="A421">
        <f>IFERROR(__xludf.DUMMYFUNCTION("""COMPUTED_VALUE"""),171444.0)</f>
        <v>171444</v>
      </c>
      <c r="B421" t="str">
        <f>IFERROR(__xludf.DUMMYFUNCTION("""COMPUTED_VALUE"""),"Salad Dressing Mayonnaise-Type Light")</f>
        <v>Salad Dressing Mayonnaise-Type Light</v>
      </c>
      <c r="C421" t="str">
        <f>IFERROR(__xludf.DUMMYFUNCTION("""COMPUTED_VALUE"""),"Fats and Oils")</f>
        <v>Fats and Oils</v>
      </c>
      <c r="D421">
        <f>IFERROR(__xludf.DUMMYFUNCTION("""COMPUTED_VALUE"""),158.0)</f>
        <v>158</v>
      </c>
      <c r="E421">
        <f>IFERROR(__xludf.DUMMYFUNCTION("""COMPUTED_VALUE"""),10.0)</f>
        <v>10</v>
      </c>
      <c r="F421">
        <f>IFERROR(__xludf.DUMMYFUNCTION("""COMPUTED_VALUE"""),0.65)</f>
        <v>0.65</v>
      </c>
      <c r="G421">
        <f>IFERROR(__xludf.DUMMYFUNCTION("""COMPUTED_VALUE"""),16.4)</f>
        <v>16.4</v>
      </c>
    </row>
    <row r="422">
      <c r="A422">
        <f>IFERROR(__xludf.DUMMYFUNCTION("""COMPUTED_VALUE"""),172175.0)</f>
        <v>172175</v>
      </c>
      <c r="B422" t="str">
        <f>IFERROR(__xludf.DUMMYFUNCTION("""COMPUTED_VALUE"""),"Blue Cheese")</f>
        <v>Blue Cheese</v>
      </c>
      <c r="C422" t="str">
        <f>IFERROR(__xludf.DUMMYFUNCTION("""COMPUTED_VALUE"""),"Dairy and Egg Products")</f>
        <v>Dairy and Egg Products</v>
      </c>
      <c r="D422">
        <f>IFERROR(__xludf.DUMMYFUNCTION("""COMPUTED_VALUE"""),353.0)</f>
        <v>353</v>
      </c>
      <c r="E422">
        <f>IFERROR(__xludf.DUMMYFUNCTION("""COMPUTED_VALUE"""),28.74)</f>
        <v>28.74</v>
      </c>
      <c r="F422">
        <f>IFERROR(__xludf.DUMMYFUNCTION("""COMPUTED_VALUE"""),21.4)</f>
        <v>21.4</v>
      </c>
      <c r="G422">
        <f>IFERROR(__xludf.DUMMYFUNCTION("""COMPUTED_VALUE"""),2.34)</f>
        <v>2.34</v>
      </c>
    </row>
    <row r="423">
      <c r="A423">
        <f>IFERROR(__xludf.DUMMYFUNCTION("""COMPUTED_VALUE"""),172176.0)</f>
        <v>172176</v>
      </c>
      <c r="B423" t="str">
        <f>IFERROR(__xludf.DUMMYFUNCTION("""COMPUTED_VALUE"""),"Brick Cheese")</f>
        <v>Brick Cheese</v>
      </c>
      <c r="C423" t="str">
        <f>IFERROR(__xludf.DUMMYFUNCTION("""COMPUTED_VALUE"""),"Dairy and Egg Products")</f>
        <v>Dairy and Egg Products</v>
      </c>
      <c r="D423">
        <f>IFERROR(__xludf.DUMMYFUNCTION("""COMPUTED_VALUE"""),371.0)</f>
        <v>371</v>
      </c>
      <c r="E423">
        <f>IFERROR(__xludf.DUMMYFUNCTION("""COMPUTED_VALUE"""),29.68)</f>
        <v>29.68</v>
      </c>
      <c r="F423">
        <f>IFERROR(__xludf.DUMMYFUNCTION("""COMPUTED_VALUE"""),23.24)</f>
        <v>23.24</v>
      </c>
      <c r="G423">
        <f>IFERROR(__xludf.DUMMYFUNCTION("""COMPUTED_VALUE"""),2.79)</f>
        <v>2.79</v>
      </c>
    </row>
    <row r="424">
      <c r="A424">
        <f>IFERROR(__xludf.DUMMYFUNCTION("""COMPUTED_VALUE"""),172177.0)</f>
        <v>172177</v>
      </c>
      <c r="B424" t="str">
        <f>IFERROR(__xludf.DUMMYFUNCTION("""COMPUTED_VALUE"""),"Brie Cheese")</f>
        <v>Brie Cheese</v>
      </c>
      <c r="C424" t="str">
        <f>IFERROR(__xludf.DUMMYFUNCTION("""COMPUTED_VALUE"""),"Dairy and Egg Products")</f>
        <v>Dairy and Egg Products</v>
      </c>
      <c r="D424">
        <f>IFERROR(__xludf.DUMMYFUNCTION("""COMPUTED_VALUE"""),334.0)</f>
        <v>334</v>
      </c>
      <c r="E424">
        <f>IFERROR(__xludf.DUMMYFUNCTION("""COMPUTED_VALUE"""),27.68)</f>
        <v>27.68</v>
      </c>
      <c r="F424">
        <f>IFERROR(__xludf.DUMMYFUNCTION("""COMPUTED_VALUE"""),20.75)</f>
        <v>20.75</v>
      </c>
      <c r="G424">
        <f>IFERROR(__xludf.DUMMYFUNCTION("""COMPUTED_VALUE"""),0.45)</f>
        <v>0.45</v>
      </c>
    </row>
    <row r="425">
      <c r="A425">
        <f>IFERROR(__xludf.DUMMYFUNCTION("""COMPUTED_VALUE"""),172178.0)</f>
        <v>172178</v>
      </c>
      <c r="B425" t="str">
        <f>IFERROR(__xludf.DUMMYFUNCTION("""COMPUTED_VALUE"""),"Camambert")</f>
        <v>Camambert</v>
      </c>
      <c r="C425" t="str">
        <f>IFERROR(__xludf.DUMMYFUNCTION("""COMPUTED_VALUE"""),"Dairy and Egg Products")</f>
        <v>Dairy and Egg Products</v>
      </c>
      <c r="D425">
        <f>IFERROR(__xludf.DUMMYFUNCTION("""COMPUTED_VALUE"""),300.0)</f>
        <v>300</v>
      </c>
      <c r="E425">
        <f>IFERROR(__xludf.DUMMYFUNCTION("""COMPUTED_VALUE"""),24.26)</f>
        <v>24.26</v>
      </c>
      <c r="F425">
        <f>IFERROR(__xludf.DUMMYFUNCTION("""COMPUTED_VALUE"""),19.8)</f>
        <v>19.8</v>
      </c>
      <c r="G425">
        <f>IFERROR(__xludf.DUMMYFUNCTION("""COMPUTED_VALUE"""),0.46)</f>
        <v>0.46</v>
      </c>
    </row>
    <row r="426">
      <c r="A426">
        <f>IFERROR(__xludf.DUMMYFUNCTION("""COMPUTED_VALUE"""),172179.0)</f>
        <v>172179</v>
      </c>
      <c r="B426" t="str">
        <f>IFERROR(__xludf.DUMMYFUNCTION("""COMPUTED_VALUE"""),"Cottage Cheese (Blended)")</f>
        <v>Cottage Cheese (Blended)</v>
      </c>
      <c r="C426" t="str">
        <f>IFERROR(__xludf.DUMMYFUNCTION("""COMPUTED_VALUE"""),"Dairy and Egg Products")</f>
        <v>Dairy and Egg Products</v>
      </c>
      <c r="D426">
        <f>IFERROR(__xludf.DUMMYFUNCTION("""COMPUTED_VALUE"""),98.0)</f>
        <v>98</v>
      </c>
      <c r="E426">
        <f>IFERROR(__xludf.DUMMYFUNCTION("""COMPUTED_VALUE"""),4.3)</f>
        <v>4.3</v>
      </c>
      <c r="F426">
        <f>IFERROR(__xludf.DUMMYFUNCTION("""COMPUTED_VALUE"""),11.12)</f>
        <v>11.12</v>
      </c>
      <c r="G426">
        <f>IFERROR(__xludf.DUMMYFUNCTION("""COMPUTED_VALUE"""),3.38)</f>
        <v>3.38</v>
      </c>
    </row>
    <row r="427">
      <c r="A427">
        <f>IFERROR(__xludf.DUMMYFUNCTION("""COMPUTED_VALUE"""),172180.0)</f>
        <v>172180</v>
      </c>
      <c r="B427" t="str">
        <f>IFERROR(__xludf.DUMMYFUNCTION("""COMPUTED_VALUE"""),"Cottage Cheese (Blended With Fruit)")</f>
        <v>Cottage Cheese (Blended With Fruit)</v>
      </c>
      <c r="C427" t="str">
        <f>IFERROR(__xludf.DUMMYFUNCTION("""COMPUTED_VALUE"""),"Dairy and Egg Products")</f>
        <v>Dairy and Egg Products</v>
      </c>
      <c r="D427">
        <f>IFERROR(__xludf.DUMMYFUNCTION("""COMPUTED_VALUE"""),97.0)</f>
        <v>97</v>
      </c>
      <c r="E427">
        <f>IFERROR(__xludf.DUMMYFUNCTION("""COMPUTED_VALUE"""),3.85)</f>
        <v>3.85</v>
      </c>
      <c r="F427">
        <f>IFERROR(__xludf.DUMMYFUNCTION("""COMPUTED_VALUE"""),10.69)</f>
        <v>10.69</v>
      </c>
      <c r="G427">
        <f>IFERROR(__xludf.DUMMYFUNCTION("""COMPUTED_VALUE"""),4.61)</f>
        <v>4.61</v>
      </c>
    </row>
    <row r="428">
      <c r="A428">
        <f>IFERROR(__xludf.DUMMYFUNCTION("""COMPUTED_VALUE"""),172181.0)</f>
        <v>172181</v>
      </c>
      <c r="B428" t="str">
        <f>IFERROR(__xludf.DUMMYFUNCTION("""COMPUTED_VALUE"""),"Nonfat Cottage Cheese")</f>
        <v>Nonfat Cottage Cheese</v>
      </c>
      <c r="C428" t="str">
        <f>IFERROR(__xludf.DUMMYFUNCTION("""COMPUTED_VALUE"""),"Dairy and Egg Products")</f>
        <v>Dairy and Egg Products</v>
      </c>
      <c r="D428">
        <f>IFERROR(__xludf.DUMMYFUNCTION("""COMPUTED_VALUE"""),72.0)</f>
        <v>72</v>
      </c>
      <c r="E428">
        <f>IFERROR(__xludf.DUMMYFUNCTION("""COMPUTED_VALUE"""),0.29)</f>
        <v>0.29</v>
      </c>
      <c r="F428">
        <f>IFERROR(__xludf.DUMMYFUNCTION("""COMPUTED_VALUE"""),10.34)</f>
        <v>10.34</v>
      </c>
      <c r="G428">
        <f>IFERROR(__xludf.DUMMYFUNCTION("""COMPUTED_VALUE"""),6.66)</f>
        <v>6.66</v>
      </c>
    </row>
    <row r="429">
      <c r="A429">
        <f>IFERROR(__xludf.DUMMYFUNCTION("""COMPUTED_VALUE"""),172182.0)</f>
        <v>172182</v>
      </c>
      <c r="B429" t="str">
        <f>IFERROR(__xludf.DUMMYFUNCTION("""COMPUTED_VALUE"""),"Lowfat Cottage Cheese (2%)")</f>
        <v>Lowfat Cottage Cheese (2%)</v>
      </c>
      <c r="C429" t="str">
        <f>IFERROR(__xludf.DUMMYFUNCTION("""COMPUTED_VALUE"""),"Dairy and Egg Products")</f>
        <v>Dairy and Egg Products</v>
      </c>
      <c r="D429">
        <f>IFERROR(__xludf.DUMMYFUNCTION("""COMPUTED_VALUE"""),81.0)</f>
        <v>81</v>
      </c>
      <c r="E429">
        <f>IFERROR(__xludf.DUMMYFUNCTION("""COMPUTED_VALUE"""),2.27)</f>
        <v>2.27</v>
      </c>
      <c r="F429">
        <f>IFERROR(__xludf.DUMMYFUNCTION("""COMPUTED_VALUE"""),10.45)</f>
        <v>10.45</v>
      </c>
      <c r="G429">
        <f>IFERROR(__xludf.DUMMYFUNCTION("""COMPUTED_VALUE"""),4.76)</f>
        <v>4.76</v>
      </c>
    </row>
    <row r="430">
      <c r="A430">
        <f>IFERROR(__xludf.DUMMYFUNCTION("""COMPUTED_VALUE"""),172183.0)</f>
        <v>172183</v>
      </c>
      <c r="B430" t="str">
        <f>IFERROR(__xludf.DUMMYFUNCTION("""COMPUTED_VALUE"""),"Egg Whites (Raw)")</f>
        <v>Egg Whites (Raw)</v>
      </c>
      <c r="C430" t="str">
        <f>IFERROR(__xludf.DUMMYFUNCTION("""COMPUTED_VALUE"""),"Dairy and Egg Products")</f>
        <v>Dairy and Egg Products</v>
      </c>
      <c r="D430">
        <f>IFERROR(__xludf.DUMMYFUNCTION("""COMPUTED_VALUE"""),52.0)</f>
        <v>52</v>
      </c>
      <c r="E430">
        <f>IFERROR(__xludf.DUMMYFUNCTION("""COMPUTED_VALUE"""),0.17)</f>
        <v>0.17</v>
      </c>
      <c r="F430">
        <f>IFERROR(__xludf.DUMMYFUNCTION("""COMPUTED_VALUE"""),10.9)</f>
        <v>10.9</v>
      </c>
      <c r="G430">
        <f>IFERROR(__xludf.DUMMYFUNCTION("""COMPUTED_VALUE"""),0.73)</f>
        <v>0.73</v>
      </c>
    </row>
    <row r="431">
      <c r="A431">
        <f>IFERROR(__xludf.DUMMYFUNCTION("""COMPUTED_VALUE"""),172184.0)</f>
        <v>172184</v>
      </c>
      <c r="B431" t="str">
        <f>IFERROR(__xludf.DUMMYFUNCTION("""COMPUTED_VALUE"""),"Egg Yolks (Raw)")</f>
        <v>Egg Yolks (Raw)</v>
      </c>
      <c r="C431" t="str">
        <f>IFERROR(__xludf.DUMMYFUNCTION("""COMPUTED_VALUE"""),"Dairy and Egg Products")</f>
        <v>Dairy and Egg Products</v>
      </c>
      <c r="D431">
        <f>IFERROR(__xludf.DUMMYFUNCTION("""COMPUTED_VALUE"""),322.0)</f>
        <v>322</v>
      </c>
      <c r="E431">
        <f>IFERROR(__xludf.DUMMYFUNCTION("""COMPUTED_VALUE"""),26.54)</f>
        <v>26.54</v>
      </c>
      <c r="F431">
        <f>IFERROR(__xludf.DUMMYFUNCTION("""COMPUTED_VALUE"""),15.86)</f>
        <v>15.86</v>
      </c>
      <c r="G431">
        <f>IFERROR(__xludf.DUMMYFUNCTION("""COMPUTED_VALUE"""),3.59)</f>
        <v>3.59</v>
      </c>
    </row>
    <row r="432">
      <c r="A432">
        <f>IFERROR(__xludf.DUMMYFUNCTION("""COMPUTED_VALUE"""),172185.0)</f>
        <v>172185</v>
      </c>
      <c r="B432" t="str">
        <f>IFERROR(__xludf.DUMMYFUNCTION("""COMPUTED_VALUE"""),"Egg Omelet")</f>
        <v>Egg Omelet</v>
      </c>
      <c r="C432" t="str">
        <f>IFERROR(__xludf.DUMMYFUNCTION("""COMPUTED_VALUE"""),"Dairy and Egg Products")</f>
        <v>Dairy and Egg Products</v>
      </c>
      <c r="D432">
        <f>IFERROR(__xludf.DUMMYFUNCTION("""COMPUTED_VALUE"""),154.0)</f>
        <v>154</v>
      </c>
      <c r="E432">
        <f>IFERROR(__xludf.DUMMYFUNCTION("""COMPUTED_VALUE"""),11.66)</f>
        <v>11.66</v>
      </c>
      <c r="F432">
        <f>IFERROR(__xludf.DUMMYFUNCTION("""COMPUTED_VALUE"""),10.57)</f>
        <v>10.57</v>
      </c>
      <c r="G432">
        <f>IFERROR(__xludf.DUMMYFUNCTION("""COMPUTED_VALUE"""),0.64)</f>
        <v>0.64</v>
      </c>
    </row>
    <row r="433">
      <c r="A433">
        <f>IFERROR(__xludf.DUMMYFUNCTION("""COMPUTED_VALUE"""),172186.0)</f>
        <v>172186</v>
      </c>
      <c r="B433" t="str">
        <f>IFERROR(__xludf.DUMMYFUNCTION("""COMPUTED_VALUE"""),"Poached Eggs")</f>
        <v>Poached Eggs</v>
      </c>
      <c r="C433" t="str">
        <f>IFERROR(__xludf.DUMMYFUNCTION("""COMPUTED_VALUE"""),"Dairy and Egg Products")</f>
        <v>Dairy and Egg Products</v>
      </c>
      <c r="D433">
        <f>IFERROR(__xludf.DUMMYFUNCTION("""COMPUTED_VALUE"""),143.0)</f>
        <v>143</v>
      </c>
      <c r="E433">
        <f>IFERROR(__xludf.DUMMYFUNCTION("""COMPUTED_VALUE"""),9.47)</f>
        <v>9.47</v>
      </c>
      <c r="F433">
        <f>IFERROR(__xludf.DUMMYFUNCTION("""COMPUTED_VALUE"""),12.51)</f>
        <v>12.51</v>
      </c>
      <c r="G433">
        <f>IFERROR(__xludf.DUMMYFUNCTION("""COMPUTED_VALUE"""),0.71)</f>
        <v>0.71</v>
      </c>
    </row>
    <row r="434">
      <c r="A434">
        <f>IFERROR(__xludf.DUMMYFUNCTION("""COMPUTED_VALUE"""),172187.0)</f>
        <v>172187</v>
      </c>
      <c r="B434" t="str">
        <f>IFERROR(__xludf.DUMMYFUNCTION("""COMPUTED_VALUE"""),"Scrambled Eggs")</f>
        <v>Scrambled Eggs</v>
      </c>
      <c r="C434" t="str">
        <f>IFERROR(__xludf.DUMMYFUNCTION("""COMPUTED_VALUE"""),"Dairy and Egg Products")</f>
        <v>Dairy and Egg Products</v>
      </c>
      <c r="D434">
        <f>IFERROR(__xludf.DUMMYFUNCTION("""COMPUTED_VALUE"""),149.0)</f>
        <v>149</v>
      </c>
      <c r="E434">
        <f>IFERROR(__xludf.DUMMYFUNCTION("""COMPUTED_VALUE"""),10.98)</f>
        <v>10.98</v>
      </c>
      <c r="F434">
        <f>IFERROR(__xludf.DUMMYFUNCTION("""COMPUTED_VALUE"""),9.99)</f>
        <v>9.99</v>
      </c>
      <c r="G434">
        <f>IFERROR(__xludf.DUMMYFUNCTION("""COMPUTED_VALUE"""),1.61)</f>
        <v>1.61</v>
      </c>
    </row>
    <row r="435">
      <c r="A435">
        <f>IFERROR(__xludf.DUMMYFUNCTION("""COMPUTED_VALUE"""),172188.0)</f>
        <v>172188</v>
      </c>
      <c r="B435" t="str">
        <f>IFERROR(__xludf.DUMMYFUNCTION("""COMPUTED_VALUE"""),"Dried Eggs")</f>
        <v>Dried Eggs</v>
      </c>
      <c r="C435" t="str">
        <f>IFERROR(__xludf.DUMMYFUNCTION("""COMPUTED_VALUE"""),"Dairy and Egg Products")</f>
        <v>Dairy and Egg Products</v>
      </c>
      <c r="D435">
        <f>IFERROR(__xludf.DUMMYFUNCTION("""COMPUTED_VALUE"""),592.0)</f>
        <v>592</v>
      </c>
      <c r="E435">
        <f>IFERROR(__xludf.DUMMYFUNCTION("""COMPUTED_VALUE"""),43.9)</f>
        <v>43.9</v>
      </c>
      <c r="F435">
        <f>IFERROR(__xludf.DUMMYFUNCTION("""COMPUTED_VALUE"""),48.05)</f>
        <v>48.05</v>
      </c>
      <c r="G435">
        <f>IFERROR(__xludf.DUMMYFUNCTION("""COMPUTED_VALUE"""),1.13)</f>
        <v>1.13</v>
      </c>
    </row>
    <row r="436">
      <c r="A436">
        <f>IFERROR(__xludf.DUMMYFUNCTION("""COMPUTED_VALUE"""),172189.0)</f>
        <v>172189</v>
      </c>
      <c r="B436" t="str">
        <f>IFERROR(__xludf.DUMMYFUNCTION("""COMPUTED_VALUE"""),"Egg Duck Whole Fresh Raw")</f>
        <v>Egg Duck Whole Fresh Raw</v>
      </c>
      <c r="C436" t="str">
        <f>IFERROR(__xludf.DUMMYFUNCTION("""COMPUTED_VALUE"""),"Dairy and Egg Products")</f>
        <v>Dairy and Egg Products</v>
      </c>
      <c r="D436">
        <f>IFERROR(__xludf.DUMMYFUNCTION("""COMPUTED_VALUE"""),185.0)</f>
        <v>185</v>
      </c>
      <c r="E436">
        <f>IFERROR(__xludf.DUMMYFUNCTION("""COMPUTED_VALUE"""),13.77)</f>
        <v>13.77</v>
      </c>
      <c r="F436">
        <f>IFERROR(__xludf.DUMMYFUNCTION("""COMPUTED_VALUE"""),12.81)</f>
        <v>12.81</v>
      </c>
      <c r="G436">
        <f>IFERROR(__xludf.DUMMYFUNCTION("""COMPUTED_VALUE"""),1.45)</f>
        <v>1.45</v>
      </c>
    </row>
    <row r="437">
      <c r="A437">
        <f>IFERROR(__xludf.DUMMYFUNCTION("""COMPUTED_VALUE"""),172190.0)</f>
        <v>172190</v>
      </c>
      <c r="B437" t="str">
        <f>IFERROR(__xludf.DUMMYFUNCTION("""COMPUTED_VALUE"""),"Egg Goose Whole Fresh Raw")</f>
        <v>Egg Goose Whole Fresh Raw</v>
      </c>
      <c r="C437" t="str">
        <f>IFERROR(__xludf.DUMMYFUNCTION("""COMPUTED_VALUE"""),"Dairy and Egg Products")</f>
        <v>Dairy and Egg Products</v>
      </c>
      <c r="D437">
        <f>IFERROR(__xludf.DUMMYFUNCTION("""COMPUTED_VALUE"""),185.0)</f>
        <v>185</v>
      </c>
      <c r="E437">
        <f>IFERROR(__xludf.DUMMYFUNCTION("""COMPUTED_VALUE"""),13.27)</f>
        <v>13.27</v>
      </c>
      <c r="F437">
        <f>IFERROR(__xludf.DUMMYFUNCTION("""COMPUTED_VALUE"""),13.87)</f>
        <v>13.87</v>
      </c>
      <c r="G437">
        <f>IFERROR(__xludf.DUMMYFUNCTION("""COMPUTED_VALUE"""),1.35)</f>
        <v>1.35</v>
      </c>
    </row>
    <row r="438">
      <c r="A438">
        <f>IFERROR(__xludf.DUMMYFUNCTION("""COMPUTED_VALUE"""),172191.0)</f>
        <v>172191</v>
      </c>
      <c r="B438" t="str">
        <f>IFERROR(__xludf.DUMMYFUNCTION("""COMPUTED_VALUE"""),"Egg Quail Whole Fresh Raw")</f>
        <v>Egg Quail Whole Fresh Raw</v>
      </c>
      <c r="C438" t="str">
        <f>IFERROR(__xludf.DUMMYFUNCTION("""COMPUTED_VALUE"""),"Dairy and Egg Products")</f>
        <v>Dairy and Egg Products</v>
      </c>
      <c r="D438">
        <f>IFERROR(__xludf.DUMMYFUNCTION("""COMPUTED_VALUE"""),158.0)</f>
        <v>158</v>
      </c>
      <c r="E438">
        <f>IFERROR(__xludf.DUMMYFUNCTION("""COMPUTED_VALUE"""),11.09)</f>
        <v>11.09</v>
      </c>
      <c r="F438">
        <f>IFERROR(__xludf.DUMMYFUNCTION("""COMPUTED_VALUE"""),13.05)</f>
        <v>13.05</v>
      </c>
      <c r="G438">
        <f>IFERROR(__xludf.DUMMYFUNCTION("""COMPUTED_VALUE"""),0.41)</f>
        <v>0.41</v>
      </c>
    </row>
    <row r="439">
      <c r="A439">
        <f>IFERROR(__xludf.DUMMYFUNCTION("""COMPUTED_VALUE"""),172192.0)</f>
        <v>172192</v>
      </c>
      <c r="B439" t="str">
        <f>IFERROR(__xludf.DUMMYFUNCTION("""COMPUTED_VALUE"""),"Egg Turkey Whole Fresh Raw")</f>
        <v>Egg Turkey Whole Fresh Raw</v>
      </c>
      <c r="C439" t="str">
        <f>IFERROR(__xludf.DUMMYFUNCTION("""COMPUTED_VALUE"""),"Dairy and Egg Products")</f>
        <v>Dairy and Egg Products</v>
      </c>
      <c r="D439">
        <f>IFERROR(__xludf.DUMMYFUNCTION("""COMPUTED_VALUE"""),171.0)</f>
        <v>171</v>
      </c>
      <c r="E439">
        <f>IFERROR(__xludf.DUMMYFUNCTION("""COMPUTED_VALUE"""),11.88)</f>
        <v>11.88</v>
      </c>
      <c r="F439">
        <f>IFERROR(__xludf.DUMMYFUNCTION("""COMPUTED_VALUE"""),13.68)</f>
        <v>13.68</v>
      </c>
      <c r="G439">
        <f>IFERROR(__xludf.DUMMYFUNCTION("""COMPUTED_VALUE"""),1.15)</f>
        <v>1.15</v>
      </c>
    </row>
    <row r="440">
      <c r="A440">
        <f>IFERROR(__xludf.DUMMYFUNCTION("""COMPUTED_VALUE"""),172193.0)</f>
        <v>172193</v>
      </c>
      <c r="B440" t="str">
        <f>IFERROR(__xludf.DUMMYFUNCTION("""COMPUTED_VALUE"""),"Milk Reduced Fat Fluid 2% Milkfat With Added Nonfat Milk Solids Without Added Vitamin A")</f>
        <v>Milk Reduced Fat Fluid 2% Milkfat With Added Nonfat Milk Solids Without Added Vitamin A</v>
      </c>
      <c r="C440" t="str">
        <f>IFERROR(__xludf.DUMMYFUNCTION("""COMPUTED_VALUE"""),"Dairy and Egg Products")</f>
        <v>Dairy and Egg Products</v>
      </c>
      <c r="D440">
        <f>IFERROR(__xludf.DUMMYFUNCTION("""COMPUTED_VALUE"""),56.0)</f>
        <v>56</v>
      </c>
      <c r="E440">
        <f>IFERROR(__xludf.DUMMYFUNCTION("""COMPUTED_VALUE"""),1.98)</f>
        <v>1.98</v>
      </c>
      <c r="F440">
        <f>IFERROR(__xludf.DUMMYFUNCTION("""COMPUTED_VALUE"""),3.95)</f>
        <v>3.95</v>
      </c>
      <c r="G440">
        <f>IFERROR(__xludf.DUMMYFUNCTION("""COMPUTED_VALUE"""),5.49)</f>
        <v>5.49</v>
      </c>
    </row>
    <row r="441">
      <c r="A441">
        <f>IFERROR(__xludf.DUMMYFUNCTION("""COMPUTED_VALUE"""),172194.0)</f>
        <v>172194</v>
      </c>
      <c r="B441" t="str">
        <f>IFERROR(__xludf.DUMMYFUNCTION("""COMPUTED_VALUE"""),"Milk Canned Evaporated With Added Vitamin A")</f>
        <v>Milk Canned Evaporated With Added Vitamin A</v>
      </c>
      <c r="C441" t="str">
        <f>IFERROR(__xludf.DUMMYFUNCTION("""COMPUTED_VALUE"""),"Dairy and Egg Products")</f>
        <v>Dairy and Egg Products</v>
      </c>
      <c r="D441">
        <f>IFERROR(__xludf.DUMMYFUNCTION("""COMPUTED_VALUE"""),134.0)</f>
        <v>134</v>
      </c>
      <c r="E441">
        <f>IFERROR(__xludf.DUMMYFUNCTION("""COMPUTED_VALUE"""),7.56)</f>
        <v>7.56</v>
      </c>
      <c r="F441">
        <f>IFERROR(__xludf.DUMMYFUNCTION("""COMPUTED_VALUE"""),6.81)</f>
        <v>6.81</v>
      </c>
      <c r="G441">
        <f>IFERROR(__xludf.DUMMYFUNCTION("""COMPUTED_VALUE"""),10.04)</f>
        <v>10.04</v>
      </c>
    </row>
    <row r="442">
      <c r="A442">
        <f>IFERROR(__xludf.DUMMYFUNCTION("""COMPUTED_VALUE"""),172195.0)</f>
        <v>172195</v>
      </c>
      <c r="B442" t="str">
        <f>IFERROR(__xludf.DUMMYFUNCTION("""COMPUTED_VALUE"""),"Milk Dry Nonfat Regular With Added Vitamin A And Vitamin D")</f>
        <v>Milk Dry Nonfat Regular With Added Vitamin A And Vitamin D</v>
      </c>
      <c r="C442" t="str">
        <f>IFERROR(__xludf.DUMMYFUNCTION("""COMPUTED_VALUE"""),"Dairy and Egg Products")</f>
        <v>Dairy and Egg Products</v>
      </c>
      <c r="D442">
        <f>IFERROR(__xludf.DUMMYFUNCTION("""COMPUTED_VALUE"""),362.0)</f>
        <v>362</v>
      </c>
      <c r="E442">
        <f>IFERROR(__xludf.DUMMYFUNCTION("""COMPUTED_VALUE"""),0.77)</f>
        <v>0.77</v>
      </c>
      <c r="F442">
        <f>IFERROR(__xludf.DUMMYFUNCTION("""COMPUTED_VALUE"""),36.16)</f>
        <v>36.16</v>
      </c>
      <c r="G442">
        <f>IFERROR(__xludf.DUMMYFUNCTION("""COMPUTED_VALUE"""),51.98)</f>
        <v>51.98</v>
      </c>
    </row>
    <row r="443">
      <c r="A443">
        <f>IFERROR(__xludf.DUMMYFUNCTION("""COMPUTED_VALUE"""),172196.0)</f>
        <v>172196</v>
      </c>
      <c r="B443" t="str">
        <f>IFERROR(__xludf.DUMMYFUNCTION("""COMPUTED_VALUE"""),"Milk Dry Nonfat Instant Without Added Vitamin A And Vitamin D")</f>
        <v>Milk Dry Nonfat Instant Without Added Vitamin A And Vitamin D</v>
      </c>
      <c r="C443" t="str">
        <f>IFERROR(__xludf.DUMMYFUNCTION("""COMPUTED_VALUE"""),"Dairy and Egg Products")</f>
        <v>Dairy and Egg Products</v>
      </c>
      <c r="D443">
        <f>IFERROR(__xludf.DUMMYFUNCTION("""COMPUTED_VALUE"""),358.0)</f>
        <v>358</v>
      </c>
      <c r="E443">
        <f>IFERROR(__xludf.DUMMYFUNCTION("""COMPUTED_VALUE"""),0.72)</f>
        <v>0.72</v>
      </c>
      <c r="F443">
        <f>IFERROR(__xludf.DUMMYFUNCTION("""COMPUTED_VALUE"""),35.1)</f>
        <v>35.1</v>
      </c>
      <c r="G443">
        <f>IFERROR(__xludf.DUMMYFUNCTION("""COMPUTED_VALUE"""),52.19)</f>
        <v>52.19</v>
      </c>
    </row>
    <row r="444">
      <c r="A444">
        <f>IFERROR(__xludf.DUMMYFUNCTION("""COMPUTED_VALUE"""),172197.0)</f>
        <v>172197</v>
      </c>
      <c r="B444" t="str">
        <f>IFERROR(__xludf.DUMMYFUNCTION("""COMPUTED_VALUE"""),"Hard Goat Cheese")</f>
        <v>Hard Goat Cheese</v>
      </c>
      <c r="C444" t="str">
        <f>IFERROR(__xludf.DUMMYFUNCTION("""COMPUTED_VALUE"""),"Dairy and Egg Products")</f>
        <v>Dairy and Egg Products</v>
      </c>
      <c r="D444">
        <f>IFERROR(__xludf.DUMMYFUNCTION("""COMPUTED_VALUE"""),452.0)</f>
        <v>452</v>
      </c>
      <c r="E444">
        <f>IFERROR(__xludf.DUMMYFUNCTION("""COMPUTED_VALUE"""),35.59)</f>
        <v>35.59</v>
      </c>
      <c r="F444">
        <f>IFERROR(__xludf.DUMMYFUNCTION("""COMPUTED_VALUE"""),30.52)</f>
        <v>30.52</v>
      </c>
      <c r="G444">
        <f>IFERROR(__xludf.DUMMYFUNCTION("""COMPUTED_VALUE"""),2.17)</f>
        <v>2.17</v>
      </c>
    </row>
    <row r="445">
      <c r="A445">
        <f>IFERROR(__xludf.DUMMYFUNCTION("""COMPUTED_VALUE"""),172198.0)</f>
        <v>172198</v>
      </c>
      <c r="B445" t="str">
        <f>IFERROR(__xludf.DUMMYFUNCTION("""COMPUTED_VALUE"""),"Cheese Substitute Mozzarella")</f>
        <v>Cheese Substitute Mozzarella</v>
      </c>
      <c r="C445" t="str">
        <f>IFERROR(__xludf.DUMMYFUNCTION("""COMPUTED_VALUE"""),"Dairy and Egg Products")</f>
        <v>Dairy and Egg Products</v>
      </c>
      <c r="D445">
        <f>IFERROR(__xludf.DUMMYFUNCTION("""COMPUTED_VALUE"""),248.0)</f>
        <v>248</v>
      </c>
      <c r="E445">
        <f>IFERROR(__xludf.DUMMYFUNCTION("""COMPUTED_VALUE"""),12.22)</f>
        <v>12.22</v>
      </c>
      <c r="F445">
        <f>IFERROR(__xludf.DUMMYFUNCTION("""COMPUTED_VALUE"""),11.47)</f>
        <v>11.47</v>
      </c>
      <c r="G445">
        <f>IFERROR(__xludf.DUMMYFUNCTION("""COMPUTED_VALUE"""),23.67)</f>
        <v>23.67</v>
      </c>
    </row>
    <row r="446">
      <c r="A446">
        <f>IFERROR(__xludf.DUMMYFUNCTION("""COMPUTED_VALUE"""),172200.0)</f>
        <v>172200</v>
      </c>
      <c r="B446" t="str">
        <f>IFERROR(__xludf.DUMMYFUNCTION("""COMPUTED_VALUE"""),"Cheese Sauce Prepared From Recipe")</f>
        <v>Cheese Sauce Prepared From Recipe</v>
      </c>
      <c r="C446" t="str">
        <f>IFERROR(__xludf.DUMMYFUNCTION("""COMPUTED_VALUE"""),"Dairy and Egg Products")</f>
        <v>Dairy and Egg Products</v>
      </c>
      <c r="D446">
        <f>IFERROR(__xludf.DUMMYFUNCTION("""COMPUTED_VALUE"""),197.0)</f>
        <v>197</v>
      </c>
      <c r="E446">
        <f>IFERROR(__xludf.DUMMYFUNCTION("""COMPUTED_VALUE"""),14.92)</f>
        <v>14.92</v>
      </c>
      <c r="F446">
        <f>IFERROR(__xludf.DUMMYFUNCTION("""COMPUTED_VALUE"""),10.33)</f>
        <v>10.33</v>
      </c>
      <c r="G446">
        <f>IFERROR(__xludf.DUMMYFUNCTION("""COMPUTED_VALUE"""),5.48)</f>
        <v>5.48</v>
      </c>
    </row>
    <row r="447">
      <c r="A447">
        <f>IFERROR(__xludf.DUMMYFUNCTION("""COMPUTED_VALUE"""),172201.0)</f>
        <v>172201</v>
      </c>
      <c r="B447" t="str">
        <f>IFERROR(__xludf.DUMMYFUNCTION("""COMPUTED_VALUE"""),"Cheese Mexican Queso Anejo")</f>
        <v>Cheese Mexican Queso Anejo</v>
      </c>
      <c r="C447" t="str">
        <f>IFERROR(__xludf.DUMMYFUNCTION("""COMPUTED_VALUE"""),"Dairy and Egg Products")</f>
        <v>Dairy and Egg Products</v>
      </c>
      <c r="D447">
        <f>IFERROR(__xludf.DUMMYFUNCTION("""COMPUTED_VALUE"""),373.0)</f>
        <v>373</v>
      </c>
      <c r="E447">
        <f>IFERROR(__xludf.DUMMYFUNCTION("""COMPUTED_VALUE"""),29.98)</f>
        <v>29.98</v>
      </c>
      <c r="F447">
        <f>IFERROR(__xludf.DUMMYFUNCTION("""COMPUTED_VALUE"""),21.44)</f>
        <v>21.44</v>
      </c>
      <c r="G447">
        <f>IFERROR(__xludf.DUMMYFUNCTION("""COMPUTED_VALUE"""),4.63)</f>
        <v>4.63</v>
      </c>
    </row>
    <row r="448">
      <c r="A448">
        <f>IFERROR(__xludf.DUMMYFUNCTION("""COMPUTED_VALUE"""),172202.0)</f>
        <v>172202</v>
      </c>
      <c r="B448" t="str">
        <f>IFERROR(__xludf.DUMMYFUNCTION("""COMPUTED_VALUE"""),"Egg Whole Raw Frozen Pasteurized")</f>
        <v>Egg Whole Raw Frozen Pasteurized</v>
      </c>
      <c r="C448" t="str">
        <f>IFERROR(__xludf.DUMMYFUNCTION("""COMPUTED_VALUE"""),"Dairy and Egg Products")</f>
        <v>Dairy and Egg Products</v>
      </c>
      <c r="D448">
        <f>IFERROR(__xludf.DUMMYFUNCTION("""COMPUTED_VALUE"""),147.0)</f>
        <v>147</v>
      </c>
      <c r="E448">
        <f>IFERROR(__xludf.DUMMYFUNCTION("""COMPUTED_VALUE"""),9.95)</f>
        <v>9.95</v>
      </c>
      <c r="F448">
        <f>IFERROR(__xludf.DUMMYFUNCTION("""COMPUTED_VALUE"""),12.33)</f>
        <v>12.33</v>
      </c>
      <c r="G448">
        <f>IFERROR(__xludf.DUMMYFUNCTION("""COMPUTED_VALUE"""),1.01)</f>
        <v>1.01</v>
      </c>
    </row>
    <row r="449">
      <c r="A449">
        <f>IFERROR(__xludf.DUMMYFUNCTION("""COMPUTED_VALUE"""),172203.0)</f>
        <v>172203</v>
      </c>
      <c r="B449" t="str">
        <f>IFERROR(__xludf.DUMMYFUNCTION("""COMPUTED_VALUE"""),"Egg White Raw Frozen Pasteurized")</f>
        <v>Egg White Raw Frozen Pasteurized</v>
      </c>
      <c r="C449" t="str">
        <f>IFERROR(__xludf.DUMMYFUNCTION("""COMPUTED_VALUE"""),"Dairy and Egg Products")</f>
        <v>Dairy and Egg Products</v>
      </c>
      <c r="D449">
        <f>IFERROR(__xludf.DUMMYFUNCTION("""COMPUTED_VALUE"""),48.0)</f>
        <v>48</v>
      </c>
      <c r="E449">
        <f>IFERROR(__xludf.DUMMYFUNCTION("""COMPUTED_VALUE"""),0.0)</f>
        <v>0</v>
      </c>
      <c r="F449">
        <f>IFERROR(__xludf.DUMMYFUNCTION("""COMPUTED_VALUE"""),10.2)</f>
        <v>10.2</v>
      </c>
      <c r="G449">
        <f>IFERROR(__xludf.DUMMYFUNCTION("""COMPUTED_VALUE"""),1.04)</f>
        <v>1.04</v>
      </c>
    </row>
    <row r="450">
      <c r="A450">
        <f>IFERROR(__xludf.DUMMYFUNCTION("""COMPUTED_VALUE"""),172204.0)</f>
        <v>172204</v>
      </c>
      <c r="B450" t="str">
        <f>IFERROR(__xludf.DUMMYFUNCTION("""COMPUTED_VALUE"""),"Egg White Dried")</f>
        <v>Egg White Dried</v>
      </c>
      <c r="C450" t="str">
        <f>IFERROR(__xludf.DUMMYFUNCTION("""COMPUTED_VALUE"""),"Dairy and Egg Products")</f>
        <v>Dairy and Egg Products</v>
      </c>
      <c r="D450">
        <f>IFERROR(__xludf.DUMMYFUNCTION("""COMPUTED_VALUE"""),382.0)</f>
        <v>382</v>
      </c>
      <c r="E450">
        <f>IFERROR(__xludf.DUMMYFUNCTION("""COMPUTED_VALUE"""),0.0)</f>
        <v>0</v>
      </c>
      <c r="F450">
        <f>IFERROR(__xludf.DUMMYFUNCTION("""COMPUTED_VALUE"""),81.1)</f>
        <v>81.1</v>
      </c>
      <c r="G450">
        <f>IFERROR(__xludf.DUMMYFUNCTION("""COMPUTED_VALUE"""),7.8)</f>
        <v>7.8</v>
      </c>
    </row>
    <row r="451">
      <c r="A451">
        <f>IFERROR(__xludf.DUMMYFUNCTION("""COMPUTED_VALUE"""),172205.0)</f>
        <v>172205</v>
      </c>
      <c r="B451" t="str">
        <f>IFERROR(__xludf.DUMMYFUNCTION("""COMPUTED_VALUE"""),"Milk Reduced Fat Fluid 2% Milkfat Without Added Vitamin A And Vitamin D")</f>
        <v>Milk Reduced Fat Fluid 2% Milkfat Without Added Vitamin A And Vitamin D</v>
      </c>
      <c r="C451" t="str">
        <f>IFERROR(__xludf.DUMMYFUNCTION("""COMPUTED_VALUE"""),"Dairy and Egg Products")</f>
        <v>Dairy and Egg Products</v>
      </c>
      <c r="D451">
        <f>IFERROR(__xludf.DUMMYFUNCTION("""COMPUTED_VALUE"""),50.0)</f>
        <v>50</v>
      </c>
      <c r="E451">
        <f>IFERROR(__xludf.DUMMYFUNCTION("""COMPUTED_VALUE"""),1.98)</f>
        <v>1.98</v>
      </c>
      <c r="F451">
        <f>IFERROR(__xludf.DUMMYFUNCTION("""COMPUTED_VALUE"""),3.3)</f>
        <v>3.3</v>
      </c>
      <c r="G451">
        <f>IFERROR(__xludf.DUMMYFUNCTION("""COMPUTED_VALUE"""),4.8)</f>
        <v>4.8</v>
      </c>
    </row>
    <row r="452">
      <c r="A452">
        <f>IFERROR(__xludf.DUMMYFUNCTION("""COMPUTED_VALUE"""),172206.0)</f>
        <v>172206</v>
      </c>
      <c r="B452" t="str">
        <f>IFERROR(__xludf.DUMMYFUNCTION("""COMPUTED_VALUE"""),"Parmesan Cheese Topping Fat Free")</f>
        <v>Parmesan Cheese Topping Fat Free</v>
      </c>
      <c r="C452" t="str">
        <f>IFERROR(__xludf.DUMMYFUNCTION("""COMPUTED_VALUE"""),"Dairy and Egg Products")</f>
        <v>Dairy and Egg Products</v>
      </c>
      <c r="D452">
        <f>IFERROR(__xludf.DUMMYFUNCTION("""COMPUTED_VALUE"""),370.0)</f>
        <v>370</v>
      </c>
      <c r="E452">
        <f>IFERROR(__xludf.DUMMYFUNCTION("""COMPUTED_VALUE"""),5.0)</f>
        <v>5</v>
      </c>
      <c r="F452">
        <f>IFERROR(__xludf.DUMMYFUNCTION("""COMPUTED_VALUE"""),40.0)</f>
        <v>40</v>
      </c>
      <c r="G452">
        <f>IFERROR(__xludf.DUMMYFUNCTION("""COMPUTED_VALUE"""),40.0)</f>
        <v>40</v>
      </c>
    </row>
    <row r="453">
      <c r="A453">
        <f>IFERROR(__xludf.DUMMYFUNCTION("""COMPUTED_VALUE"""),172207.0)</f>
        <v>172207</v>
      </c>
      <c r="B453" t="str">
        <f>IFERROR(__xludf.DUMMYFUNCTION("""COMPUTED_VALUE"""),"Fat Free Cream Cheese")</f>
        <v>Fat Free Cream Cheese</v>
      </c>
      <c r="C453" t="str">
        <f>IFERROR(__xludf.DUMMYFUNCTION("""COMPUTED_VALUE"""),"Dairy and Egg Products")</f>
        <v>Dairy and Egg Products</v>
      </c>
      <c r="D453">
        <f>IFERROR(__xludf.DUMMYFUNCTION("""COMPUTED_VALUE"""),105.0)</f>
        <v>105</v>
      </c>
      <c r="E453">
        <f>IFERROR(__xludf.DUMMYFUNCTION("""COMPUTED_VALUE"""),1.0)</f>
        <v>1</v>
      </c>
      <c r="F453">
        <f>IFERROR(__xludf.DUMMYFUNCTION("""COMPUTED_VALUE"""),15.69)</f>
        <v>15.69</v>
      </c>
      <c r="G453">
        <f>IFERROR(__xludf.DUMMYFUNCTION("""COMPUTED_VALUE"""),7.66)</f>
        <v>7.66</v>
      </c>
    </row>
    <row r="454">
      <c r="A454">
        <f>IFERROR(__xludf.DUMMYFUNCTION("""COMPUTED_VALUE"""),172208.0)</f>
        <v>172208</v>
      </c>
      <c r="B454" t="str">
        <f>IFERROR(__xludf.DUMMYFUNCTION("""COMPUTED_VALUE"""),"Yogurt Chocolate Nonfat Milk")</f>
        <v>Yogurt Chocolate Nonfat Milk</v>
      </c>
      <c r="C454" t="str">
        <f>IFERROR(__xludf.DUMMYFUNCTION("""COMPUTED_VALUE"""),"Dairy and Egg Products")</f>
        <v>Dairy and Egg Products</v>
      </c>
      <c r="D454">
        <f>IFERROR(__xludf.DUMMYFUNCTION("""COMPUTED_VALUE"""),112.0)</f>
        <v>112</v>
      </c>
      <c r="E454">
        <f>IFERROR(__xludf.DUMMYFUNCTION("""COMPUTED_VALUE"""),0.0)</f>
        <v>0</v>
      </c>
      <c r="F454">
        <f>IFERROR(__xludf.DUMMYFUNCTION("""COMPUTED_VALUE"""),3.53)</f>
        <v>3.53</v>
      </c>
      <c r="G454">
        <f>IFERROR(__xludf.DUMMYFUNCTION("""COMPUTED_VALUE"""),23.53)</f>
        <v>23.53</v>
      </c>
    </row>
    <row r="455">
      <c r="A455">
        <f>IFERROR(__xludf.DUMMYFUNCTION("""COMPUTED_VALUE"""),172209.0)</f>
        <v>172209</v>
      </c>
      <c r="B455" t="str">
        <f>IFERROR(__xludf.DUMMYFUNCTION("""COMPUTED_VALUE"""),"Kraft Cheez Whiz Pasteurized Process Cheese Sauce")</f>
        <v>Kraft Cheez Whiz Pasteurized Process Cheese Sauce</v>
      </c>
      <c r="C455" t="str">
        <f>IFERROR(__xludf.DUMMYFUNCTION("""COMPUTED_VALUE"""),"Dairy and Egg Products")</f>
        <v>Dairy and Egg Products</v>
      </c>
      <c r="D455">
        <f>IFERROR(__xludf.DUMMYFUNCTION("""COMPUTED_VALUE"""),276.0)</f>
        <v>276</v>
      </c>
      <c r="E455">
        <f>IFERROR(__xludf.DUMMYFUNCTION("""COMPUTED_VALUE"""),21.0)</f>
        <v>21</v>
      </c>
      <c r="F455">
        <f>IFERROR(__xludf.DUMMYFUNCTION("""COMPUTED_VALUE"""),12.0)</f>
        <v>12</v>
      </c>
      <c r="G455">
        <f>IFERROR(__xludf.DUMMYFUNCTION("""COMPUTED_VALUE"""),9.2)</f>
        <v>9.2</v>
      </c>
    </row>
    <row r="456">
      <c r="A456">
        <f>IFERROR(__xludf.DUMMYFUNCTION("""COMPUTED_VALUE"""),172210.0)</f>
        <v>172210</v>
      </c>
      <c r="B456" t="str">
        <f>IFERROR(__xludf.DUMMYFUNCTION("""COMPUTED_VALUE"""),"Kraft Breakstones Reduced Fat Sour Cream")</f>
        <v>Kraft Breakstones Reduced Fat Sour Cream</v>
      </c>
      <c r="C456" t="str">
        <f>IFERROR(__xludf.DUMMYFUNCTION("""COMPUTED_VALUE"""),"Dairy and Egg Products")</f>
        <v>Dairy and Egg Products</v>
      </c>
      <c r="D456">
        <f>IFERROR(__xludf.DUMMYFUNCTION("""COMPUTED_VALUE"""),152.0)</f>
        <v>152</v>
      </c>
      <c r="E456">
        <f>IFERROR(__xludf.DUMMYFUNCTION("""COMPUTED_VALUE"""),12.0)</f>
        <v>12</v>
      </c>
      <c r="F456">
        <f>IFERROR(__xludf.DUMMYFUNCTION("""COMPUTED_VALUE"""),4.5)</f>
        <v>4.5</v>
      </c>
      <c r="G456">
        <f>IFERROR(__xludf.DUMMYFUNCTION("""COMPUTED_VALUE"""),6.5)</f>
        <v>6.5</v>
      </c>
    </row>
    <row r="457">
      <c r="A457">
        <f>IFERROR(__xludf.DUMMYFUNCTION("""COMPUTED_VALUE"""),172211.0)</f>
        <v>172211</v>
      </c>
      <c r="B457" t="str">
        <f>IFERROR(__xludf.DUMMYFUNCTION("""COMPUTED_VALUE"""),"Kraft Breakstones Free Fat Free Sour Cream")</f>
        <v>Kraft Breakstones Free Fat Free Sour Cream</v>
      </c>
      <c r="C457" t="str">
        <f>IFERROR(__xludf.DUMMYFUNCTION("""COMPUTED_VALUE"""),"Dairy and Egg Products")</f>
        <v>Dairy and Egg Products</v>
      </c>
      <c r="D457">
        <f>IFERROR(__xludf.DUMMYFUNCTION("""COMPUTED_VALUE"""),91.0)</f>
        <v>91</v>
      </c>
      <c r="E457">
        <f>IFERROR(__xludf.DUMMYFUNCTION("""COMPUTED_VALUE"""),1.3)</f>
        <v>1.3</v>
      </c>
      <c r="F457">
        <f>IFERROR(__xludf.DUMMYFUNCTION("""COMPUTED_VALUE"""),4.7)</f>
        <v>4.7</v>
      </c>
      <c r="G457">
        <f>IFERROR(__xludf.DUMMYFUNCTION("""COMPUTED_VALUE"""),15.1)</f>
        <v>15.1</v>
      </c>
    </row>
    <row r="458">
      <c r="A458">
        <f>IFERROR(__xludf.DUMMYFUNCTION("""COMPUTED_VALUE"""),172212.0)</f>
        <v>172212</v>
      </c>
      <c r="B458" t="str">
        <f>IFERROR(__xludf.DUMMYFUNCTION("""COMPUTED_VALUE"""),"Cream Half And Half Fat Free")</f>
        <v>Cream Half And Half Fat Free</v>
      </c>
      <c r="C458" t="str">
        <f>IFERROR(__xludf.DUMMYFUNCTION("""COMPUTED_VALUE"""),"Dairy and Egg Products")</f>
        <v>Dairy and Egg Products</v>
      </c>
      <c r="D458">
        <f>IFERROR(__xludf.DUMMYFUNCTION("""COMPUTED_VALUE"""),59.0)</f>
        <v>59</v>
      </c>
      <c r="E458">
        <f>IFERROR(__xludf.DUMMYFUNCTION("""COMPUTED_VALUE"""),1.4)</f>
        <v>1.4</v>
      </c>
      <c r="F458">
        <f>IFERROR(__xludf.DUMMYFUNCTION("""COMPUTED_VALUE"""),2.6)</f>
        <v>2.6</v>
      </c>
      <c r="G458">
        <f>IFERROR(__xludf.DUMMYFUNCTION("""COMPUTED_VALUE"""),9.0)</f>
        <v>9</v>
      </c>
    </row>
    <row r="459">
      <c r="A459">
        <f>IFERROR(__xludf.DUMMYFUNCTION("""COMPUTED_VALUE"""),172213.0)</f>
        <v>172213</v>
      </c>
      <c r="B459" t="str">
        <f>IFERROR(__xludf.DUMMYFUNCTION("""COMPUTED_VALUE"""),"Reddi Wip Fat Free Whipped Topping")</f>
        <v>Reddi Wip Fat Free Whipped Topping</v>
      </c>
      <c r="C459" t="str">
        <f>IFERROR(__xludf.DUMMYFUNCTION("""COMPUTED_VALUE"""),"Dairy and Egg Products")</f>
        <v>Dairy and Egg Products</v>
      </c>
      <c r="D459">
        <f>IFERROR(__xludf.DUMMYFUNCTION("""COMPUTED_VALUE"""),149.0)</f>
        <v>149</v>
      </c>
      <c r="E459">
        <f>IFERROR(__xludf.DUMMYFUNCTION("""COMPUTED_VALUE"""),5.0)</f>
        <v>5</v>
      </c>
      <c r="F459">
        <f>IFERROR(__xludf.DUMMYFUNCTION("""COMPUTED_VALUE"""),3.0)</f>
        <v>3</v>
      </c>
      <c r="G459">
        <f>IFERROR(__xludf.DUMMYFUNCTION("""COMPUTED_VALUE"""),25.0)</f>
        <v>25</v>
      </c>
    </row>
    <row r="460">
      <c r="A460">
        <f>IFERROR(__xludf.DUMMYFUNCTION("""COMPUTED_VALUE"""),172214.0)</f>
        <v>172214</v>
      </c>
      <c r="B460" t="str">
        <f>IFERROR(__xludf.DUMMYFUNCTION("""COMPUTED_VALUE"""),"Cream Substitute Flavored Powdered")</f>
        <v>Cream Substitute Flavored Powdered</v>
      </c>
      <c r="C460" t="str">
        <f>IFERROR(__xludf.DUMMYFUNCTION("""COMPUTED_VALUE"""),"Dairy and Egg Products")</f>
        <v>Dairy and Egg Products</v>
      </c>
      <c r="D460">
        <f>IFERROR(__xludf.DUMMYFUNCTION("""COMPUTED_VALUE"""),482.0)</f>
        <v>482</v>
      </c>
      <c r="E460">
        <f>IFERROR(__xludf.DUMMYFUNCTION("""COMPUTED_VALUE"""),21.47)</f>
        <v>21.47</v>
      </c>
      <c r="F460">
        <f>IFERROR(__xludf.DUMMYFUNCTION("""COMPUTED_VALUE"""),0.68)</f>
        <v>0.68</v>
      </c>
      <c r="G460">
        <f>IFERROR(__xludf.DUMMYFUNCTION("""COMPUTED_VALUE"""),75.42)</f>
        <v>75.42</v>
      </c>
    </row>
    <row r="461">
      <c r="A461">
        <f>IFERROR(__xludf.DUMMYFUNCTION("""COMPUTED_VALUE"""),172215.0)</f>
        <v>172215</v>
      </c>
      <c r="B461" t="str">
        <f>IFERROR(__xludf.DUMMYFUNCTION("""COMPUTED_VALUE"""),"Low Fat Provolone")</f>
        <v>Low Fat Provolone</v>
      </c>
      <c r="C461" t="str">
        <f>IFERROR(__xludf.DUMMYFUNCTION("""COMPUTED_VALUE"""),"Dairy and Egg Products")</f>
        <v>Dairy and Egg Products</v>
      </c>
      <c r="D461">
        <f>IFERROR(__xludf.DUMMYFUNCTION("""COMPUTED_VALUE"""),274.0)</f>
        <v>274</v>
      </c>
      <c r="E461">
        <f>IFERROR(__xludf.DUMMYFUNCTION("""COMPUTED_VALUE"""),17.6)</f>
        <v>17.6</v>
      </c>
      <c r="F461">
        <f>IFERROR(__xludf.DUMMYFUNCTION("""COMPUTED_VALUE"""),24.7)</f>
        <v>24.7</v>
      </c>
      <c r="G461">
        <f>IFERROR(__xludf.DUMMYFUNCTION("""COMPUTED_VALUE"""),3.5)</f>
        <v>3.5</v>
      </c>
    </row>
    <row r="462">
      <c r="A462">
        <f>IFERROR(__xludf.DUMMYFUNCTION("""COMPUTED_VALUE"""),172216.0)</f>
        <v>172216</v>
      </c>
      <c r="B462" t="str">
        <f>IFERROR(__xludf.DUMMYFUNCTION("""COMPUTED_VALUE"""),"Cheese Mexican Blend Reduced Fat")</f>
        <v>Cheese Mexican Blend Reduced Fat</v>
      </c>
      <c r="C462" t="str">
        <f>IFERROR(__xludf.DUMMYFUNCTION("""COMPUTED_VALUE"""),"Dairy and Egg Products")</f>
        <v>Dairy and Egg Products</v>
      </c>
      <c r="D462">
        <f>IFERROR(__xludf.DUMMYFUNCTION("""COMPUTED_VALUE"""),282.0)</f>
        <v>282</v>
      </c>
      <c r="E462">
        <f>IFERROR(__xludf.DUMMYFUNCTION("""COMPUTED_VALUE"""),19.4)</f>
        <v>19.4</v>
      </c>
      <c r="F462">
        <f>IFERROR(__xludf.DUMMYFUNCTION("""COMPUTED_VALUE"""),24.69)</f>
        <v>24.69</v>
      </c>
      <c r="G462">
        <f>IFERROR(__xludf.DUMMYFUNCTION("""COMPUTED_VALUE"""),3.41)</f>
        <v>3.41</v>
      </c>
    </row>
    <row r="463">
      <c r="A463">
        <f>IFERROR(__xludf.DUMMYFUNCTION("""COMPUTED_VALUE"""),172217.0)</f>
        <v>172217</v>
      </c>
      <c r="B463" t="str">
        <f>IFERROR(__xludf.DUMMYFUNCTION("""COMPUTED_VALUE"""),"Milk Whole 3.25% Milkfat Without Added Vitamin A And Vitamin D")</f>
        <v>Milk Whole 3.25% Milkfat Without Added Vitamin A And Vitamin D</v>
      </c>
      <c r="C463" t="str">
        <f>IFERROR(__xludf.DUMMYFUNCTION("""COMPUTED_VALUE"""),"Dairy and Egg Products")</f>
        <v>Dairy and Egg Products</v>
      </c>
      <c r="D463">
        <f>IFERROR(__xludf.DUMMYFUNCTION("""COMPUTED_VALUE"""),61.0)</f>
        <v>61</v>
      </c>
      <c r="E463">
        <f>IFERROR(__xludf.DUMMYFUNCTION("""COMPUTED_VALUE"""),3.27)</f>
        <v>3.27</v>
      </c>
      <c r="F463">
        <f>IFERROR(__xludf.DUMMYFUNCTION("""COMPUTED_VALUE"""),3.15)</f>
        <v>3.15</v>
      </c>
      <c r="G463">
        <f>IFERROR(__xludf.DUMMYFUNCTION("""COMPUTED_VALUE"""),4.78)</f>
        <v>4.78</v>
      </c>
    </row>
    <row r="464">
      <c r="A464">
        <f>IFERROR(__xludf.DUMMYFUNCTION("""COMPUTED_VALUE"""),172218.0)</f>
        <v>172218</v>
      </c>
      <c r="B464" t="str">
        <f>IFERROR(__xludf.DUMMYFUNCTION("""COMPUTED_VALUE"""),"Yogurt Fruit Lowfat With Low Calorie Sweetener Fortified With Vitamin D")</f>
        <v>Yogurt Fruit Lowfat With Low Calorie Sweetener Fortified With Vitamin D</v>
      </c>
      <c r="C464" t="str">
        <f>IFERROR(__xludf.DUMMYFUNCTION("""COMPUTED_VALUE"""),"Dairy and Egg Products")</f>
        <v>Dairy and Egg Products</v>
      </c>
      <c r="D464">
        <f>IFERROR(__xludf.DUMMYFUNCTION("""COMPUTED_VALUE"""),105.0)</f>
        <v>105</v>
      </c>
      <c r="E464">
        <f>IFERROR(__xludf.DUMMYFUNCTION("""COMPUTED_VALUE"""),1.41)</f>
        <v>1.41</v>
      </c>
      <c r="F464">
        <f>IFERROR(__xludf.DUMMYFUNCTION("""COMPUTED_VALUE"""),4.86)</f>
        <v>4.86</v>
      </c>
      <c r="G464">
        <f>IFERROR(__xludf.DUMMYFUNCTION("""COMPUTED_VALUE"""),18.6)</f>
        <v>18.6</v>
      </c>
    </row>
    <row r="465">
      <c r="A465">
        <f>IFERROR(__xludf.DUMMYFUNCTION("""COMPUTED_VALUE"""),172219.0)</f>
        <v>172219</v>
      </c>
      <c r="B465" t="str">
        <f>IFERROR(__xludf.DUMMYFUNCTION("""COMPUTED_VALUE"""),"Yogurt Vanilla Low Fat 11 Grams Protein Per 8 Ounce Fortified With Vitamin D")</f>
        <v>Yogurt Vanilla Low Fat 11 Grams Protein Per 8 Ounce Fortified With Vitamin D</v>
      </c>
      <c r="C465" t="str">
        <f>IFERROR(__xludf.DUMMYFUNCTION("""COMPUTED_VALUE"""),"Dairy and Egg Products")</f>
        <v>Dairy and Egg Products</v>
      </c>
      <c r="D465">
        <f>IFERROR(__xludf.DUMMYFUNCTION("""COMPUTED_VALUE"""),85.0)</f>
        <v>85</v>
      </c>
      <c r="E465">
        <f>IFERROR(__xludf.DUMMYFUNCTION("""COMPUTED_VALUE"""),1.25)</f>
        <v>1.25</v>
      </c>
      <c r="F465">
        <f>IFERROR(__xludf.DUMMYFUNCTION("""COMPUTED_VALUE"""),4.93)</f>
        <v>4.93</v>
      </c>
      <c r="G465">
        <f>IFERROR(__xludf.DUMMYFUNCTION("""COMPUTED_VALUE"""),13.8)</f>
        <v>13.8</v>
      </c>
    </row>
    <row r="466">
      <c r="A466">
        <f>IFERROR(__xludf.DUMMYFUNCTION("""COMPUTED_VALUE"""),172220.0)</f>
        <v>172220</v>
      </c>
      <c r="B466" t="str">
        <f>IFERROR(__xludf.DUMMYFUNCTION("""COMPUTED_VALUE"""),"Yogurt Vanilla Or Lemon Flavor Nonfat Milk Sweetened With Low-Calorie Sweetener Fortified With Vitamin D")</f>
        <v>Yogurt Vanilla Or Lemon Flavor Nonfat Milk Sweetened With Low-Calorie Sweetener Fortified With Vitamin D</v>
      </c>
      <c r="C466" t="str">
        <f>IFERROR(__xludf.DUMMYFUNCTION("""COMPUTED_VALUE"""),"Dairy and Egg Products")</f>
        <v>Dairy and Egg Products</v>
      </c>
      <c r="D466">
        <f>IFERROR(__xludf.DUMMYFUNCTION("""COMPUTED_VALUE"""),43.0)</f>
        <v>43</v>
      </c>
      <c r="E466">
        <f>IFERROR(__xludf.DUMMYFUNCTION("""COMPUTED_VALUE"""),0.18)</f>
        <v>0.18</v>
      </c>
      <c r="F466">
        <f>IFERROR(__xludf.DUMMYFUNCTION("""COMPUTED_VALUE"""),3.86)</f>
        <v>3.86</v>
      </c>
      <c r="G466">
        <f>IFERROR(__xludf.DUMMYFUNCTION("""COMPUTED_VALUE"""),7.5)</f>
        <v>7.5</v>
      </c>
    </row>
    <row r="467">
      <c r="A467">
        <f>IFERROR(__xludf.DUMMYFUNCTION("""COMPUTED_VALUE"""),172221.0)</f>
        <v>172221</v>
      </c>
      <c r="B467" t="str">
        <f>IFERROR(__xludf.DUMMYFUNCTION("""COMPUTED_VALUE"""),"Nonfat Chocolate Yogurt")</f>
        <v>Nonfat Chocolate Yogurt</v>
      </c>
      <c r="C467" t="str">
        <f>IFERROR(__xludf.DUMMYFUNCTION("""COMPUTED_VALUE"""),"Dairy and Egg Products")</f>
        <v>Dairy and Egg Products</v>
      </c>
      <c r="D467">
        <f>IFERROR(__xludf.DUMMYFUNCTION("""COMPUTED_VALUE"""),112.0)</f>
        <v>112</v>
      </c>
      <c r="E467">
        <f>IFERROR(__xludf.DUMMYFUNCTION("""COMPUTED_VALUE"""),0.0)</f>
        <v>0</v>
      </c>
      <c r="F467">
        <f>IFERROR(__xludf.DUMMYFUNCTION("""COMPUTED_VALUE"""),3.53)</f>
        <v>3.53</v>
      </c>
      <c r="G467">
        <f>IFERROR(__xludf.DUMMYFUNCTION("""COMPUTED_VALUE"""),23.53)</f>
        <v>23.53</v>
      </c>
    </row>
    <row r="468">
      <c r="A468">
        <f>IFERROR(__xludf.DUMMYFUNCTION("""COMPUTED_VALUE"""),172222.0)</f>
        <v>172222</v>
      </c>
      <c r="B468" t="str">
        <f>IFERROR(__xludf.DUMMYFUNCTION("""COMPUTED_VALUE"""),"Cheese Dry White Queso Seco")</f>
        <v>Cheese Dry White Queso Seco</v>
      </c>
      <c r="C468" t="str">
        <f>IFERROR(__xludf.DUMMYFUNCTION("""COMPUTED_VALUE"""),"Dairy and Egg Products")</f>
        <v>Dairy and Egg Products</v>
      </c>
      <c r="D468">
        <f>IFERROR(__xludf.DUMMYFUNCTION("""COMPUTED_VALUE"""),325.0)</f>
        <v>325</v>
      </c>
      <c r="E468">
        <f>IFERROR(__xludf.DUMMYFUNCTION("""COMPUTED_VALUE"""),24.35)</f>
        <v>24.35</v>
      </c>
      <c r="F468">
        <f>IFERROR(__xludf.DUMMYFUNCTION("""COMPUTED_VALUE"""),24.51)</f>
        <v>24.51</v>
      </c>
      <c r="G468">
        <f>IFERROR(__xludf.DUMMYFUNCTION("""COMPUTED_VALUE"""),2.04)</f>
        <v>2.04</v>
      </c>
    </row>
    <row r="469">
      <c r="A469">
        <f>IFERROR(__xludf.DUMMYFUNCTION("""COMPUTED_VALUE"""),172223.0)</f>
        <v>172223</v>
      </c>
      <c r="B469" t="str">
        <f>IFERROR(__xludf.DUMMYFUNCTION("""COMPUTED_VALUE"""),"Queso Fresco")</f>
        <v>Queso Fresco</v>
      </c>
      <c r="C469" t="str">
        <f>IFERROR(__xludf.DUMMYFUNCTION("""COMPUTED_VALUE"""),"Dairy and Egg Products")</f>
        <v>Dairy and Egg Products</v>
      </c>
      <c r="D469">
        <f>IFERROR(__xludf.DUMMYFUNCTION("""COMPUTED_VALUE"""),299.0)</f>
        <v>299</v>
      </c>
      <c r="E469">
        <f>IFERROR(__xludf.DUMMYFUNCTION("""COMPUTED_VALUE"""),23.82)</f>
        <v>23.82</v>
      </c>
      <c r="F469">
        <f>IFERROR(__xludf.DUMMYFUNCTION("""COMPUTED_VALUE"""),18.09)</f>
        <v>18.09</v>
      </c>
      <c r="G469">
        <f>IFERROR(__xludf.DUMMYFUNCTION("""COMPUTED_VALUE"""),2.98)</f>
        <v>2.98</v>
      </c>
    </row>
    <row r="470">
      <c r="A470">
        <f>IFERROR(__xludf.DUMMYFUNCTION("""COMPUTED_VALUE"""),172224.0)</f>
        <v>172224</v>
      </c>
      <c r="B470" t="str">
        <f>IFERROR(__xludf.DUMMYFUNCTION("""COMPUTED_VALUE"""),"Queso Blanco")</f>
        <v>Queso Blanco</v>
      </c>
      <c r="C470" t="str">
        <f>IFERROR(__xludf.DUMMYFUNCTION("""COMPUTED_VALUE"""),"Dairy and Egg Products")</f>
        <v>Dairy and Egg Products</v>
      </c>
      <c r="D470">
        <f>IFERROR(__xludf.DUMMYFUNCTION("""COMPUTED_VALUE"""),310.0)</f>
        <v>310</v>
      </c>
      <c r="E470">
        <f>IFERROR(__xludf.DUMMYFUNCTION("""COMPUTED_VALUE"""),24.31)</f>
        <v>24.31</v>
      </c>
      <c r="F470">
        <f>IFERROR(__xludf.DUMMYFUNCTION("""COMPUTED_VALUE"""),20.38)</f>
        <v>20.38</v>
      </c>
      <c r="G470">
        <f>IFERROR(__xludf.DUMMYFUNCTION("""COMPUTED_VALUE"""),2.53)</f>
        <v>2.53</v>
      </c>
    </row>
    <row r="471">
      <c r="A471">
        <f>IFERROR(__xludf.DUMMYFUNCTION("""COMPUTED_VALUE"""),172225.0)</f>
        <v>172225</v>
      </c>
      <c r="B471" t="str">
        <f>IFERROR(__xludf.DUMMYFUNCTION("""COMPUTED_VALUE"""),"Buttermilk")</f>
        <v>Buttermilk</v>
      </c>
      <c r="C471" t="str">
        <f>IFERROR(__xludf.DUMMYFUNCTION("""COMPUTED_VALUE"""),"Dairy and Egg Products")</f>
        <v>Dairy and Egg Products</v>
      </c>
      <c r="D471">
        <f>IFERROR(__xludf.DUMMYFUNCTION("""COMPUTED_VALUE"""),62.0)</f>
        <v>62</v>
      </c>
      <c r="E471">
        <f>IFERROR(__xludf.DUMMYFUNCTION("""COMPUTED_VALUE"""),3.31)</f>
        <v>3.31</v>
      </c>
      <c r="F471">
        <f>IFERROR(__xludf.DUMMYFUNCTION("""COMPUTED_VALUE"""),3.21)</f>
        <v>3.21</v>
      </c>
      <c r="G471">
        <f>IFERROR(__xludf.DUMMYFUNCTION("""COMPUTED_VALUE"""),4.88)</f>
        <v>4.88</v>
      </c>
    </row>
    <row r="472">
      <c r="A472">
        <f>IFERROR(__xludf.DUMMYFUNCTION("""COMPUTED_VALUE"""),172226.0)</f>
        <v>172226</v>
      </c>
      <c r="B472" t="str">
        <f>IFERROR(__xludf.DUMMYFUNCTION("""COMPUTED_VALUE"""),"Ice Cream Sandwich")</f>
        <v>Ice Cream Sandwich</v>
      </c>
      <c r="C472" t="str">
        <f>IFERROR(__xludf.DUMMYFUNCTION("""COMPUTED_VALUE"""),"Dairy and Egg Products")</f>
        <v>Dairy and Egg Products</v>
      </c>
      <c r="D472">
        <f>IFERROR(__xludf.DUMMYFUNCTION("""COMPUTED_VALUE"""),237.0)</f>
        <v>237</v>
      </c>
      <c r="E472">
        <f>IFERROR(__xludf.DUMMYFUNCTION("""COMPUTED_VALUE"""),8.57)</f>
        <v>8.57</v>
      </c>
      <c r="F472">
        <f>IFERROR(__xludf.DUMMYFUNCTION("""COMPUTED_VALUE"""),4.29)</f>
        <v>4.29</v>
      </c>
      <c r="G472">
        <f>IFERROR(__xludf.DUMMYFUNCTION("""COMPUTED_VALUE"""),37.14)</f>
        <v>37.14</v>
      </c>
    </row>
    <row r="473">
      <c r="A473">
        <f>IFERROR(__xludf.DUMMYFUNCTION("""COMPUTED_VALUE"""),172227.0)</f>
        <v>172227</v>
      </c>
      <c r="B473" t="str">
        <f>IFERROR(__xludf.DUMMYFUNCTION("""COMPUTED_VALUE"""),"Ice Cream Cookie Sandwich")</f>
        <v>Ice Cream Cookie Sandwich</v>
      </c>
      <c r="C473" t="str">
        <f>IFERROR(__xludf.DUMMYFUNCTION("""COMPUTED_VALUE"""),"Dairy and Egg Products")</f>
        <v>Dairy and Egg Products</v>
      </c>
      <c r="D473">
        <f>IFERROR(__xludf.DUMMYFUNCTION("""COMPUTED_VALUE"""),240.0)</f>
        <v>240</v>
      </c>
      <c r="E473">
        <f>IFERROR(__xludf.DUMMYFUNCTION("""COMPUTED_VALUE"""),7.4)</f>
        <v>7.4</v>
      </c>
      <c r="F473">
        <f>IFERROR(__xludf.DUMMYFUNCTION("""COMPUTED_VALUE"""),3.7)</f>
        <v>3.7</v>
      </c>
      <c r="G473">
        <f>IFERROR(__xludf.DUMMYFUNCTION("""COMPUTED_VALUE"""),39.6)</f>
        <v>39.6</v>
      </c>
    </row>
    <row r="474">
      <c r="A474">
        <f>IFERROR(__xludf.DUMMYFUNCTION("""COMPUTED_VALUE"""),172228.0)</f>
        <v>172228</v>
      </c>
      <c r="B474" t="str">
        <f>IFERROR(__xludf.DUMMYFUNCTION("""COMPUTED_VALUE"""),"Ice Cream Cone Chocolate Covered With Nuts Flavors Other Than Chocolate")</f>
        <v>Ice Cream Cone Chocolate Covered With Nuts Flavors Other Than Chocolate</v>
      </c>
      <c r="C474" t="str">
        <f>IFERROR(__xludf.DUMMYFUNCTION("""COMPUTED_VALUE"""),"Dairy and Egg Products")</f>
        <v>Dairy and Egg Products</v>
      </c>
      <c r="D474">
        <f>IFERROR(__xludf.DUMMYFUNCTION("""COMPUTED_VALUE"""),354.0)</f>
        <v>354</v>
      </c>
      <c r="E474">
        <f>IFERROR(__xludf.DUMMYFUNCTION("""COMPUTED_VALUE"""),21.88)</f>
        <v>21.88</v>
      </c>
      <c r="F474">
        <f>IFERROR(__xludf.DUMMYFUNCTION("""COMPUTED_VALUE"""),5.21)</f>
        <v>5.21</v>
      </c>
      <c r="G474">
        <f>IFERROR(__xludf.DUMMYFUNCTION("""COMPUTED_VALUE"""),34.38)</f>
        <v>34.38</v>
      </c>
    </row>
    <row r="475">
      <c r="A475">
        <f>IFERROR(__xludf.DUMMYFUNCTION("""COMPUTED_VALUE"""),172229.0)</f>
        <v>172229</v>
      </c>
      <c r="B475" t="str">
        <f>IFERROR(__xludf.DUMMYFUNCTION("""COMPUTED_VALUE"""),"Ice Cream Sandwich Made With Light Ice Cream Vanilla")</f>
        <v>Ice Cream Sandwich Made With Light Ice Cream Vanilla</v>
      </c>
      <c r="C475" t="str">
        <f>IFERROR(__xludf.DUMMYFUNCTION("""COMPUTED_VALUE"""),"Dairy and Egg Products")</f>
        <v>Dairy and Egg Products</v>
      </c>
      <c r="D475">
        <f>IFERROR(__xludf.DUMMYFUNCTION("""COMPUTED_VALUE"""),186.0)</f>
        <v>186</v>
      </c>
      <c r="E475">
        <f>IFERROR(__xludf.DUMMYFUNCTION("""COMPUTED_VALUE"""),3.04)</f>
        <v>3.04</v>
      </c>
      <c r="F475">
        <f>IFERROR(__xludf.DUMMYFUNCTION("""COMPUTED_VALUE"""),4.29)</f>
        <v>4.29</v>
      </c>
      <c r="G475">
        <f>IFERROR(__xludf.DUMMYFUNCTION("""COMPUTED_VALUE"""),39.64)</f>
        <v>39.64</v>
      </c>
    </row>
    <row r="476">
      <c r="A476">
        <f>IFERROR(__xludf.DUMMYFUNCTION("""COMPUTED_VALUE"""),172230.0)</f>
        <v>172230</v>
      </c>
      <c r="B476" t="str">
        <f>IFERROR(__xludf.DUMMYFUNCTION("""COMPUTED_VALUE"""),"Ice Cream Sandwich Vanilla Light No Sugar Added")</f>
        <v>Ice Cream Sandwich Vanilla Light No Sugar Added</v>
      </c>
      <c r="C476" t="str">
        <f>IFERROR(__xludf.DUMMYFUNCTION("""COMPUTED_VALUE"""),"Dairy and Egg Products")</f>
        <v>Dairy and Egg Products</v>
      </c>
      <c r="D476">
        <f>IFERROR(__xludf.DUMMYFUNCTION("""COMPUTED_VALUE"""),200.0)</f>
        <v>200</v>
      </c>
      <c r="E476">
        <f>IFERROR(__xludf.DUMMYFUNCTION("""COMPUTED_VALUE"""),2.86)</f>
        <v>2.86</v>
      </c>
      <c r="F476">
        <f>IFERROR(__xludf.DUMMYFUNCTION("""COMPUTED_VALUE"""),5.71)</f>
        <v>5.71</v>
      </c>
      <c r="G476">
        <f>IFERROR(__xludf.DUMMYFUNCTION("""COMPUTED_VALUE"""),42.86)</f>
        <v>42.86</v>
      </c>
    </row>
    <row r="477">
      <c r="A477">
        <f>IFERROR(__xludf.DUMMYFUNCTION("""COMPUTED_VALUE"""),172327.0)</f>
        <v>172327</v>
      </c>
      <c r="B477" t="str">
        <f>IFERROR(__xludf.DUMMYFUNCTION("""COMPUTED_VALUE"""),"Shortening Household Lard And Vegetable Oil")</f>
        <v>Shortening Household Lard And Vegetable Oil</v>
      </c>
      <c r="C477" t="str">
        <f>IFERROR(__xludf.DUMMYFUNCTION("""COMPUTED_VALUE"""),"Fats and Oils")</f>
        <v>Fats and Oils</v>
      </c>
      <c r="D477">
        <f>IFERROR(__xludf.DUMMYFUNCTION("""COMPUTED_VALUE"""),900.0)</f>
        <v>900</v>
      </c>
      <c r="E477">
        <f>IFERROR(__xludf.DUMMYFUNCTION("""COMPUTED_VALUE"""),100.0)</f>
        <v>100</v>
      </c>
      <c r="F477">
        <f>IFERROR(__xludf.DUMMYFUNCTION("""COMPUTED_VALUE"""),0.0)</f>
        <v>0</v>
      </c>
      <c r="G477">
        <f>IFERROR(__xludf.DUMMYFUNCTION("""COMPUTED_VALUE"""),0.0)</f>
        <v>0</v>
      </c>
    </row>
    <row r="478">
      <c r="A478">
        <f>IFERROR(__xludf.DUMMYFUNCTION("""COMPUTED_VALUE"""),172328.0)</f>
        <v>172328</v>
      </c>
      <c r="B478" t="str">
        <f>IFERROR(__xludf.DUMMYFUNCTION("""COMPUTED_VALUE"""),"Oil Sunflower Linoleic (Partially Hydrogenated)")</f>
        <v>Oil Sunflower Linoleic (Partially Hydrogenated)</v>
      </c>
      <c r="C478" t="str">
        <f>IFERROR(__xludf.DUMMYFUNCTION("""COMPUTED_VALUE"""),"Fats and Oils")</f>
        <v>Fats and Oils</v>
      </c>
      <c r="D478">
        <f>IFERROR(__xludf.DUMMYFUNCTION("""COMPUTED_VALUE"""),884.0)</f>
        <v>884</v>
      </c>
      <c r="E478">
        <f>IFERROR(__xludf.DUMMYFUNCTION("""COMPUTED_VALUE"""),100.0)</f>
        <v>100</v>
      </c>
      <c r="F478">
        <f>IFERROR(__xludf.DUMMYFUNCTION("""COMPUTED_VALUE"""),0.0)</f>
        <v>0</v>
      </c>
      <c r="G478">
        <f>IFERROR(__xludf.DUMMYFUNCTION("""COMPUTED_VALUE"""),0.0)</f>
        <v>0</v>
      </c>
    </row>
    <row r="479">
      <c r="A479">
        <f>IFERROR(__xludf.DUMMYFUNCTION("""COMPUTED_VALUE"""),172329.0)</f>
        <v>172329</v>
      </c>
      <c r="B479" t="str">
        <f>IFERROR(__xludf.DUMMYFUNCTION("""COMPUTED_VALUE"""),"Shortening Bread Soybean (Hydrogenated) And Cottonseed")</f>
        <v>Shortening Bread Soybean (Hydrogenated) And Cottonseed</v>
      </c>
      <c r="C479" t="str">
        <f>IFERROR(__xludf.DUMMYFUNCTION("""COMPUTED_VALUE"""),"Fats and Oils")</f>
        <v>Fats and Oils</v>
      </c>
      <c r="D479">
        <f>IFERROR(__xludf.DUMMYFUNCTION("""COMPUTED_VALUE"""),884.0)</f>
        <v>884</v>
      </c>
      <c r="E479">
        <f>IFERROR(__xludf.DUMMYFUNCTION("""COMPUTED_VALUE"""),100.0)</f>
        <v>100</v>
      </c>
      <c r="F479">
        <f>IFERROR(__xludf.DUMMYFUNCTION("""COMPUTED_VALUE"""),0.0)</f>
        <v>0</v>
      </c>
      <c r="G479">
        <f>IFERROR(__xludf.DUMMYFUNCTION("""COMPUTED_VALUE"""),0.0)</f>
        <v>0</v>
      </c>
    </row>
    <row r="480">
      <c r="A480">
        <f>IFERROR(__xludf.DUMMYFUNCTION("""COMPUTED_VALUE"""),172330.0)</f>
        <v>172330</v>
      </c>
      <c r="B480" t="str">
        <f>IFERROR(__xludf.DUMMYFUNCTION("""COMPUTED_VALUE"""),"Shortening Cake Mix Soybean (Hydrogenated) And Cottonseed (Hydrogenated)")</f>
        <v>Shortening Cake Mix Soybean (Hydrogenated) And Cottonseed (Hydrogenated)</v>
      </c>
      <c r="C480" t="str">
        <f>IFERROR(__xludf.DUMMYFUNCTION("""COMPUTED_VALUE"""),"Fats and Oils")</f>
        <v>Fats and Oils</v>
      </c>
      <c r="D480">
        <f>IFERROR(__xludf.DUMMYFUNCTION("""COMPUTED_VALUE"""),884.0)</f>
        <v>884</v>
      </c>
      <c r="E480">
        <f>IFERROR(__xludf.DUMMYFUNCTION("""COMPUTED_VALUE"""),100.0)</f>
        <v>100</v>
      </c>
      <c r="F480">
        <f>IFERROR(__xludf.DUMMYFUNCTION("""COMPUTED_VALUE"""),0.0)</f>
        <v>0</v>
      </c>
      <c r="G480">
        <f>IFERROR(__xludf.DUMMYFUNCTION("""COMPUTED_VALUE"""),0.0)</f>
        <v>0</v>
      </c>
    </row>
    <row r="481">
      <c r="A481">
        <f>IFERROR(__xludf.DUMMYFUNCTION("""COMPUTED_VALUE"""),172331.0)</f>
        <v>172331</v>
      </c>
      <c r="B481" t="str">
        <f>IFERROR(__xludf.DUMMYFUNCTION("""COMPUTED_VALUE"""),"Shortening Frying (Heavy Duty) Palm (Hydrogenated)")</f>
        <v>Shortening Frying (Heavy Duty) Palm (Hydrogenated)</v>
      </c>
      <c r="C481" t="str">
        <f>IFERROR(__xludf.DUMMYFUNCTION("""COMPUTED_VALUE"""),"Fats and Oils")</f>
        <v>Fats and Oils</v>
      </c>
      <c r="D481">
        <f>IFERROR(__xludf.DUMMYFUNCTION("""COMPUTED_VALUE"""),884.0)</f>
        <v>884</v>
      </c>
      <c r="E481">
        <f>IFERROR(__xludf.DUMMYFUNCTION("""COMPUTED_VALUE"""),100.0)</f>
        <v>100</v>
      </c>
      <c r="F481">
        <f>IFERROR(__xludf.DUMMYFUNCTION("""COMPUTED_VALUE"""),0.0)</f>
        <v>0</v>
      </c>
      <c r="G481">
        <f>IFERROR(__xludf.DUMMYFUNCTION("""COMPUTED_VALUE"""),0.0)</f>
        <v>0</v>
      </c>
    </row>
    <row r="482">
      <c r="A482">
        <f>IFERROR(__xludf.DUMMYFUNCTION("""COMPUTED_VALUE"""),172332.0)</f>
        <v>172332</v>
      </c>
      <c r="B482" t="str">
        <f>IFERROR(__xludf.DUMMYFUNCTION("""COMPUTED_VALUE"""),"Shortening Household Soybean (Hydrogenated) And Palm")</f>
        <v>Shortening Household Soybean (Hydrogenated) And Palm</v>
      </c>
      <c r="C482" t="str">
        <f>IFERROR(__xludf.DUMMYFUNCTION("""COMPUTED_VALUE"""),"Fats and Oils")</f>
        <v>Fats and Oils</v>
      </c>
      <c r="D482">
        <f>IFERROR(__xludf.DUMMYFUNCTION("""COMPUTED_VALUE"""),884.0)</f>
        <v>884</v>
      </c>
      <c r="E482">
        <f>IFERROR(__xludf.DUMMYFUNCTION("""COMPUTED_VALUE"""),100.0)</f>
        <v>100</v>
      </c>
      <c r="F482">
        <f>IFERROR(__xludf.DUMMYFUNCTION("""COMPUTED_VALUE"""),0.0)</f>
        <v>0</v>
      </c>
      <c r="G482">
        <f>IFERROR(__xludf.DUMMYFUNCTION("""COMPUTED_VALUE"""),0.0)</f>
        <v>0</v>
      </c>
    </row>
    <row r="483">
      <c r="A483">
        <f>IFERROR(__xludf.DUMMYFUNCTION("""COMPUTED_VALUE"""),172333.0)</f>
        <v>172333</v>
      </c>
      <c r="B483" t="str">
        <f>IFERROR(__xludf.DUMMYFUNCTION("""COMPUTED_VALUE"""),"Shortening Frying (Heavy Duty) Soybean (Hydrogenated) Linoleic (Less Than 1%)")</f>
        <v>Shortening Frying (Heavy Duty) Soybean (Hydrogenated) Linoleic (Less Than 1%)</v>
      </c>
      <c r="C483" t="str">
        <f>IFERROR(__xludf.DUMMYFUNCTION("""COMPUTED_VALUE"""),"Fats and Oils")</f>
        <v>Fats and Oils</v>
      </c>
      <c r="D483">
        <f>IFERROR(__xludf.DUMMYFUNCTION("""COMPUTED_VALUE"""),884.0)</f>
        <v>884</v>
      </c>
      <c r="E483">
        <f>IFERROR(__xludf.DUMMYFUNCTION("""COMPUTED_VALUE"""),100.0)</f>
        <v>100</v>
      </c>
      <c r="F483">
        <f>IFERROR(__xludf.DUMMYFUNCTION("""COMPUTED_VALUE"""),0.0)</f>
        <v>0</v>
      </c>
      <c r="G483">
        <f>IFERROR(__xludf.DUMMYFUNCTION("""COMPUTED_VALUE"""),0.0)</f>
        <v>0</v>
      </c>
    </row>
    <row r="484">
      <c r="A484">
        <f>IFERROR(__xludf.DUMMYFUNCTION("""COMPUTED_VALUE"""),172334.0)</f>
        <v>172334</v>
      </c>
      <c r="B484" t="str">
        <f>IFERROR(__xludf.DUMMYFUNCTION("""COMPUTED_VALUE"""),"Shortening Confectionery Fractionated Palm")</f>
        <v>Shortening Confectionery Fractionated Palm</v>
      </c>
      <c r="C484" t="str">
        <f>IFERROR(__xludf.DUMMYFUNCTION("""COMPUTED_VALUE"""),"Fats and Oils")</f>
        <v>Fats and Oils</v>
      </c>
      <c r="D484">
        <f>IFERROR(__xludf.DUMMYFUNCTION("""COMPUTED_VALUE"""),884.0)</f>
        <v>884</v>
      </c>
      <c r="E484">
        <f>IFERROR(__xludf.DUMMYFUNCTION("""COMPUTED_VALUE"""),100.0)</f>
        <v>100</v>
      </c>
      <c r="F484">
        <f>IFERROR(__xludf.DUMMYFUNCTION("""COMPUTED_VALUE"""),0.0)</f>
        <v>0</v>
      </c>
      <c r="G484">
        <f>IFERROR(__xludf.DUMMYFUNCTION("""COMPUTED_VALUE"""),0.0)</f>
        <v>0</v>
      </c>
    </row>
    <row r="485">
      <c r="A485">
        <f>IFERROR(__xludf.DUMMYFUNCTION("""COMPUTED_VALUE"""),172335.0)</f>
        <v>172335</v>
      </c>
      <c r="B485" t="str">
        <f>IFERROR(__xludf.DUMMYFUNCTION("""COMPUTED_VALUE"""),"Oil Nutmeg Butter")</f>
        <v>Oil Nutmeg Butter</v>
      </c>
      <c r="C485" t="str">
        <f>IFERROR(__xludf.DUMMYFUNCTION("""COMPUTED_VALUE"""),"Fats and Oils")</f>
        <v>Fats and Oils</v>
      </c>
      <c r="D485">
        <f>IFERROR(__xludf.DUMMYFUNCTION("""COMPUTED_VALUE"""),884.0)</f>
        <v>884</v>
      </c>
      <c r="E485">
        <f>IFERROR(__xludf.DUMMYFUNCTION("""COMPUTED_VALUE"""),100.0)</f>
        <v>100</v>
      </c>
      <c r="F485">
        <f>IFERROR(__xludf.DUMMYFUNCTION("""COMPUTED_VALUE"""),0.0)</f>
        <v>0</v>
      </c>
      <c r="G485">
        <f>IFERROR(__xludf.DUMMYFUNCTION("""COMPUTED_VALUE"""),0.0)</f>
        <v>0</v>
      </c>
    </row>
    <row r="486">
      <c r="A486">
        <f>IFERROR(__xludf.DUMMYFUNCTION("""COMPUTED_VALUE"""),172336.0)</f>
        <v>172336</v>
      </c>
      <c r="B486" t="str">
        <f>IFERROR(__xludf.DUMMYFUNCTION("""COMPUTED_VALUE"""),"Canola Oil")</f>
        <v>Canola Oil</v>
      </c>
      <c r="C486" t="str">
        <f>IFERROR(__xludf.DUMMYFUNCTION("""COMPUTED_VALUE"""),"Fats and Oils")</f>
        <v>Fats and Oils</v>
      </c>
      <c r="D486">
        <f>IFERROR(__xludf.DUMMYFUNCTION("""COMPUTED_VALUE"""),884.0)</f>
        <v>884</v>
      </c>
      <c r="E486">
        <f>IFERROR(__xludf.DUMMYFUNCTION("""COMPUTED_VALUE"""),100.0)</f>
        <v>100</v>
      </c>
      <c r="F486">
        <f>IFERROR(__xludf.DUMMYFUNCTION("""COMPUTED_VALUE"""),0.0)</f>
        <v>0</v>
      </c>
      <c r="G486">
        <f>IFERROR(__xludf.DUMMYFUNCTION("""COMPUTED_VALUE"""),0.0)</f>
        <v>0</v>
      </c>
    </row>
    <row r="487">
      <c r="A487">
        <f>IFERROR(__xludf.DUMMYFUNCTION("""COMPUTED_VALUE"""),172337.0)</f>
        <v>172337</v>
      </c>
      <c r="B487" t="str">
        <f>IFERROR(__xludf.DUMMYFUNCTION("""COMPUTED_VALUE"""),"Mustard Oil")</f>
        <v>Mustard Oil</v>
      </c>
      <c r="C487" t="str">
        <f>IFERROR(__xludf.DUMMYFUNCTION("""COMPUTED_VALUE"""),"Fats and Oils")</f>
        <v>Fats and Oils</v>
      </c>
      <c r="D487">
        <f>IFERROR(__xludf.DUMMYFUNCTION("""COMPUTED_VALUE"""),884.0)</f>
        <v>884</v>
      </c>
      <c r="E487">
        <f>IFERROR(__xludf.DUMMYFUNCTION("""COMPUTED_VALUE"""),100.0)</f>
        <v>100</v>
      </c>
      <c r="F487">
        <f>IFERROR(__xludf.DUMMYFUNCTION("""COMPUTED_VALUE"""),0.0)</f>
        <v>0</v>
      </c>
      <c r="G487">
        <f>IFERROR(__xludf.DUMMYFUNCTION("""COMPUTED_VALUE"""),0.0)</f>
        <v>0</v>
      </c>
    </row>
    <row r="488">
      <c r="A488">
        <f>IFERROR(__xludf.DUMMYFUNCTION("""COMPUTED_VALUE"""),172338.0)</f>
        <v>172338</v>
      </c>
      <c r="B488" t="str">
        <f>IFERROR(__xludf.DUMMYFUNCTION("""COMPUTED_VALUE"""),"Oil Sunflower High Oleic (70% And Over)")</f>
        <v>Oil Sunflower High Oleic (70% And Over)</v>
      </c>
      <c r="C488" t="str">
        <f>IFERROR(__xludf.DUMMYFUNCTION("""COMPUTED_VALUE"""),"Fats and Oils")</f>
        <v>Fats and Oils</v>
      </c>
      <c r="D488">
        <f>IFERROR(__xludf.DUMMYFUNCTION("""COMPUTED_VALUE"""),884.0)</f>
        <v>884</v>
      </c>
      <c r="E488">
        <f>IFERROR(__xludf.DUMMYFUNCTION("""COMPUTED_VALUE"""),100.0)</f>
        <v>100</v>
      </c>
      <c r="F488">
        <f>IFERROR(__xludf.DUMMYFUNCTION("""COMPUTED_VALUE"""),0.0)</f>
        <v>0</v>
      </c>
      <c r="G488">
        <f>IFERROR(__xludf.DUMMYFUNCTION("""COMPUTED_VALUE"""),0.0)</f>
        <v>0</v>
      </c>
    </row>
    <row r="489">
      <c r="A489">
        <f>IFERROR(__xludf.DUMMYFUNCTION("""COMPUTED_VALUE"""),172339.0)</f>
        <v>172339</v>
      </c>
      <c r="B489" t="str">
        <f>IFERROR(__xludf.DUMMYFUNCTION("""COMPUTED_VALUE"""),"Margarine-Like Margarine-Butter Blend Soybean Oil And Butter")</f>
        <v>Margarine-Like Margarine-Butter Blend Soybean Oil And Butter</v>
      </c>
      <c r="C489" t="str">
        <f>IFERROR(__xludf.DUMMYFUNCTION("""COMPUTED_VALUE"""),"Fats and Oils")</f>
        <v>Fats and Oils</v>
      </c>
      <c r="D489">
        <f>IFERROR(__xludf.DUMMYFUNCTION("""COMPUTED_VALUE"""),727.0)</f>
        <v>727</v>
      </c>
      <c r="E489">
        <f>IFERROR(__xludf.DUMMYFUNCTION("""COMPUTED_VALUE"""),80.32)</f>
        <v>80.32</v>
      </c>
      <c r="F489">
        <f>IFERROR(__xludf.DUMMYFUNCTION("""COMPUTED_VALUE"""),0.31)</f>
        <v>0.31</v>
      </c>
      <c r="G489">
        <f>IFERROR(__xludf.DUMMYFUNCTION("""COMPUTED_VALUE"""),0.77)</f>
        <v>0.77</v>
      </c>
    </row>
    <row r="490">
      <c r="A490">
        <f>IFERROR(__xludf.DUMMYFUNCTION("""COMPUTED_VALUE"""),172340.0)</f>
        <v>172340</v>
      </c>
      <c r="B490" t="str">
        <f>IFERROR(__xludf.DUMMYFUNCTION("""COMPUTED_VALUE"""),"Herring Oil")</f>
        <v>Herring Oil</v>
      </c>
      <c r="C490" t="str">
        <f>IFERROR(__xludf.DUMMYFUNCTION("""COMPUTED_VALUE"""),"Fats and Oils")</f>
        <v>Fats and Oils</v>
      </c>
      <c r="D490">
        <f>IFERROR(__xludf.DUMMYFUNCTION("""COMPUTED_VALUE"""),902.0)</f>
        <v>902</v>
      </c>
      <c r="E490">
        <f>IFERROR(__xludf.DUMMYFUNCTION("""COMPUTED_VALUE"""),100.0)</f>
        <v>100</v>
      </c>
      <c r="F490">
        <f>IFERROR(__xludf.DUMMYFUNCTION("""COMPUTED_VALUE"""),0.0)</f>
        <v>0</v>
      </c>
      <c r="G490">
        <f>IFERROR(__xludf.DUMMYFUNCTION("""COMPUTED_VALUE"""),0.0)</f>
        <v>0</v>
      </c>
    </row>
    <row r="491">
      <c r="A491">
        <f>IFERROR(__xludf.DUMMYFUNCTION("""COMPUTED_VALUE"""),172341.0)</f>
        <v>172341</v>
      </c>
      <c r="B491" t="str">
        <f>IFERROR(__xludf.DUMMYFUNCTION("""COMPUTED_VALUE"""),"Menhaden Oil")</f>
        <v>Menhaden Oil</v>
      </c>
      <c r="C491" t="str">
        <f>IFERROR(__xludf.DUMMYFUNCTION("""COMPUTED_VALUE"""),"Fats and Oils")</f>
        <v>Fats and Oils</v>
      </c>
      <c r="D491">
        <f>IFERROR(__xludf.DUMMYFUNCTION("""COMPUTED_VALUE"""),902.0)</f>
        <v>902</v>
      </c>
      <c r="E491">
        <f>IFERROR(__xludf.DUMMYFUNCTION("""COMPUTED_VALUE"""),100.0)</f>
        <v>100</v>
      </c>
      <c r="F491">
        <f>IFERROR(__xludf.DUMMYFUNCTION("""COMPUTED_VALUE"""),0.0)</f>
        <v>0</v>
      </c>
      <c r="G491">
        <f>IFERROR(__xludf.DUMMYFUNCTION("""COMPUTED_VALUE"""),0.0)</f>
        <v>0</v>
      </c>
    </row>
    <row r="492">
      <c r="A492">
        <f>IFERROR(__xludf.DUMMYFUNCTION("""COMPUTED_VALUE"""),172342.0)</f>
        <v>172342</v>
      </c>
      <c r="B492" t="str">
        <f>IFERROR(__xludf.DUMMYFUNCTION("""COMPUTED_VALUE"""),"Fish Oil Menhaden Fully Hydrogenated")</f>
        <v>Fish Oil Menhaden Fully Hydrogenated</v>
      </c>
      <c r="C492" t="str">
        <f>IFERROR(__xludf.DUMMYFUNCTION("""COMPUTED_VALUE"""),"Fats and Oils")</f>
        <v>Fats and Oils</v>
      </c>
      <c r="D492">
        <f>IFERROR(__xludf.DUMMYFUNCTION("""COMPUTED_VALUE"""),902.0)</f>
        <v>902</v>
      </c>
      <c r="E492">
        <f>IFERROR(__xludf.DUMMYFUNCTION("""COMPUTED_VALUE"""),100.0)</f>
        <v>100</v>
      </c>
      <c r="F492">
        <f>IFERROR(__xludf.DUMMYFUNCTION("""COMPUTED_VALUE"""),0.0)</f>
        <v>0</v>
      </c>
      <c r="G492">
        <f>IFERROR(__xludf.DUMMYFUNCTION("""COMPUTED_VALUE"""),0.0)</f>
        <v>0</v>
      </c>
    </row>
    <row r="493">
      <c r="A493">
        <f>IFERROR(__xludf.DUMMYFUNCTION("""COMPUTED_VALUE"""),172343.0)</f>
        <v>172343</v>
      </c>
      <c r="B493" t="str">
        <f>IFERROR(__xludf.DUMMYFUNCTION("""COMPUTED_VALUE"""),"Salmon Oil")</f>
        <v>Salmon Oil</v>
      </c>
      <c r="C493" t="str">
        <f>IFERROR(__xludf.DUMMYFUNCTION("""COMPUTED_VALUE"""),"Fats and Oils")</f>
        <v>Fats and Oils</v>
      </c>
      <c r="D493">
        <f>IFERROR(__xludf.DUMMYFUNCTION("""COMPUTED_VALUE"""),902.0)</f>
        <v>902</v>
      </c>
      <c r="E493">
        <f>IFERROR(__xludf.DUMMYFUNCTION("""COMPUTED_VALUE"""),100.0)</f>
        <v>100</v>
      </c>
      <c r="F493">
        <f>IFERROR(__xludf.DUMMYFUNCTION("""COMPUTED_VALUE"""),0.0)</f>
        <v>0</v>
      </c>
      <c r="G493">
        <f>IFERROR(__xludf.DUMMYFUNCTION("""COMPUTED_VALUE"""),0.0)</f>
        <v>0</v>
      </c>
    </row>
    <row r="494">
      <c r="A494">
        <f>IFERROR(__xludf.DUMMYFUNCTION("""COMPUTED_VALUE"""),172344.0)</f>
        <v>172344</v>
      </c>
      <c r="B494" t="str">
        <f>IFERROR(__xludf.DUMMYFUNCTION("""COMPUTED_VALUE"""),"Butter Light Stick Without Salt")</f>
        <v>Butter Light Stick Without Salt</v>
      </c>
      <c r="C494" t="str">
        <f>IFERROR(__xludf.DUMMYFUNCTION("""COMPUTED_VALUE"""),"Fats and Oils")</f>
        <v>Fats and Oils</v>
      </c>
      <c r="D494">
        <f>IFERROR(__xludf.DUMMYFUNCTION("""COMPUTED_VALUE"""),499.0)</f>
        <v>499</v>
      </c>
      <c r="E494">
        <f>IFERROR(__xludf.DUMMYFUNCTION("""COMPUTED_VALUE"""),55.1)</f>
        <v>55.1</v>
      </c>
      <c r="F494">
        <f>IFERROR(__xludf.DUMMYFUNCTION("""COMPUTED_VALUE"""),3.3)</f>
        <v>3.3</v>
      </c>
      <c r="G494">
        <f>IFERROR(__xludf.DUMMYFUNCTION("""COMPUTED_VALUE"""),0.0)</f>
        <v>0</v>
      </c>
    </row>
    <row r="495">
      <c r="A495">
        <f>IFERROR(__xludf.DUMMYFUNCTION("""COMPUTED_VALUE"""),172345.0)</f>
        <v>172345</v>
      </c>
      <c r="B495" t="str">
        <f>IFERROR(__xludf.DUMMYFUNCTION("""COMPUTED_VALUE"""),"Bacon Grease")</f>
        <v>Bacon Grease</v>
      </c>
      <c r="C495" t="str">
        <f>IFERROR(__xludf.DUMMYFUNCTION("""COMPUTED_VALUE"""),"Fats and Oils")</f>
        <v>Fats and Oils</v>
      </c>
      <c r="D495">
        <f>IFERROR(__xludf.DUMMYFUNCTION("""COMPUTED_VALUE"""),897.0)</f>
        <v>897</v>
      </c>
      <c r="E495">
        <f>IFERROR(__xludf.DUMMYFUNCTION("""COMPUTED_VALUE"""),99.5)</f>
        <v>99.5</v>
      </c>
      <c r="F495">
        <f>IFERROR(__xludf.DUMMYFUNCTION("""COMPUTED_VALUE"""),0.0)</f>
        <v>0</v>
      </c>
      <c r="G495">
        <f>IFERROR(__xludf.DUMMYFUNCTION("""COMPUTED_VALUE"""),0.0)</f>
        <v>0</v>
      </c>
    </row>
    <row r="496">
      <c r="A496">
        <f>IFERROR(__xludf.DUMMYFUNCTION("""COMPUTED_VALUE"""),172346.0)</f>
        <v>172346</v>
      </c>
      <c r="B496" t="str">
        <f>IFERROR(__xludf.DUMMYFUNCTION("""COMPUTED_VALUE"""),"Margarine Regular 80% Fat Composite Stick With Salt")</f>
        <v>Margarine Regular 80% Fat Composite Stick With Salt</v>
      </c>
      <c r="C496" t="str">
        <f>IFERROR(__xludf.DUMMYFUNCTION("""COMPUTED_VALUE"""),"Fats and Oils")</f>
        <v>Fats and Oils</v>
      </c>
      <c r="D496">
        <f>IFERROR(__xludf.DUMMYFUNCTION("""COMPUTED_VALUE"""),717.0)</f>
        <v>717</v>
      </c>
      <c r="E496">
        <f>IFERROR(__xludf.DUMMYFUNCTION("""COMPUTED_VALUE"""),80.71)</f>
        <v>80.71</v>
      </c>
      <c r="F496">
        <f>IFERROR(__xludf.DUMMYFUNCTION("""COMPUTED_VALUE"""),0.16)</f>
        <v>0.16</v>
      </c>
      <c r="G496">
        <f>IFERROR(__xludf.DUMMYFUNCTION("""COMPUTED_VALUE"""),0.7)</f>
        <v>0.7</v>
      </c>
    </row>
    <row r="497">
      <c r="A497">
        <f>IFERROR(__xludf.DUMMYFUNCTION("""COMPUTED_VALUE"""),172347.0)</f>
        <v>172347</v>
      </c>
      <c r="B497" t="str">
        <f>IFERROR(__xludf.DUMMYFUNCTION("""COMPUTED_VALUE"""),"Margarine Regular 80% Fat Composite Tub With Salt")</f>
        <v>Margarine Regular 80% Fat Composite Tub With Salt</v>
      </c>
      <c r="C497" t="str">
        <f>IFERROR(__xludf.DUMMYFUNCTION("""COMPUTED_VALUE"""),"Fats and Oils")</f>
        <v>Fats and Oils</v>
      </c>
      <c r="D497">
        <f>IFERROR(__xludf.DUMMYFUNCTION("""COMPUTED_VALUE"""),713.0)</f>
        <v>713</v>
      </c>
      <c r="E497">
        <f>IFERROR(__xludf.DUMMYFUNCTION("""COMPUTED_VALUE"""),80.17)</f>
        <v>80.17</v>
      </c>
      <c r="F497">
        <f>IFERROR(__xludf.DUMMYFUNCTION("""COMPUTED_VALUE"""),0.22)</f>
        <v>0.22</v>
      </c>
      <c r="G497">
        <f>IFERROR(__xludf.DUMMYFUNCTION("""COMPUTED_VALUE"""),0.75)</f>
        <v>0.75</v>
      </c>
    </row>
    <row r="498">
      <c r="A498">
        <f>IFERROR(__xludf.DUMMYFUNCTION("""COMPUTED_VALUE"""),172348.0)</f>
        <v>172348</v>
      </c>
      <c r="B498" t="str">
        <f>IFERROR(__xludf.DUMMYFUNCTION("""COMPUTED_VALUE"""),"Margarine-Like Vegetable Oil Spread 60% Fat Stick With Salt")</f>
        <v>Margarine-Like Vegetable Oil Spread 60% Fat Stick With Salt</v>
      </c>
      <c r="C498" t="str">
        <f>IFERROR(__xludf.DUMMYFUNCTION("""COMPUTED_VALUE"""),"Fats and Oils")</f>
        <v>Fats and Oils</v>
      </c>
      <c r="D498">
        <f>IFERROR(__xludf.DUMMYFUNCTION("""COMPUTED_VALUE"""),537.0)</f>
        <v>537</v>
      </c>
      <c r="E498">
        <f>IFERROR(__xludf.DUMMYFUNCTION("""COMPUTED_VALUE"""),60.39)</f>
        <v>60.39</v>
      </c>
      <c r="F498">
        <f>IFERROR(__xludf.DUMMYFUNCTION("""COMPUTED_VALUE"""),0.12)</f>
        <v>0.12</v>
      </c>
      <c r="G498">
        <f>IFERROR(__xludf.DUMMYFUNCTION("""COMPUTED_VALUE"""),0.69)</f>
        <v>0.69</v>
      </c>
    </row>
    <row r="499">
      <c r="A499">
        <f>IFERROR(__xludf.DUMMYFUNCTION("""COMPUTED_VALUE"""),172349.0)</f>
        <v>172349</v>
      </c>
      <c r="B499" t="str">
        <f>IFERROR(__xludf.DUMMYFUNCTION("""COMPUTED_VALUE"""),"Margarine Regular 80% Fat Composite Tub Without Salt")</f>
        <v>Margarine Regular 80% Fat Composite Tub Without Salt</v>
      </c>
      <c r="C499" t="str">
        <f>IFERROR(__xludf.DUMMYFUNCTION("""COMPUTED_VALUE"""),"Fats and Oils")</f>
        <v>Fats and Oils</v>
      </c>
      <c r="D499">
        <f>IFERROR(__xludf.DUMMYFUNCTION("""COMPUTED_VALUE"""),713.0)</f>
        <v>713</v>
      </c>
      <c r="E499">
        <f>IFERROR(__xludf.DUMMYFUNCTION("""COMPUTED_VALUE"""),80.17)</f>
        <v>80.17</v>
      </c>
      <c r="F499">
        <f>IFERROR(__xludf.DUMMYFUNCTION("""COMPUTED_VALUE"""),0.22)</f>
        <v>0.22</v>
      </c>
      <c r="G499">
        <f>IFERROR(__xludf.DUMMYFUNCTION("""COMPUTED_VALUE"""),0.75)</f>
        <v>0.75</v>
      </c>
    </row>
    <row r="500">
      <c r="A500">
        <f>IFERROR(__xludf.DUMMYFUNCTION("""COMPUTED_VALUE"""),172350.0)</f>
        <v>172350</v>
      </c>
      <c r="B500" t="str">
        <f>IFERROR(__xludf.DUMMYFUNCTION("""COMPUTED_VALUE"""),"Margarine-Like Vegetable Oil Spread 60% Fat Stick/tub/bottle Without Salt")</f>
        <v>Margarine-Like Vegetable Oil Spread 60% Fat Stick/tub/bottle Without Salt</v>
      </c>
      <c r="C500" t="str">
        <f>IFERROR(__xludf.DUMMYFUNCTION("""COMPUTED_VALUE"""),"Fats and Oils")</f>
        <v>Fats and Oils</v>
      </c>
      <c r="D500">
        <f>IFERROR(__xludf.DUMMYFUNCTION("""COMPUTED_VALUE"""),533.0)</f>
        <v>533</v>
      </c>
      <c r="E500">
        <f>IFERROR(__xludf.DUMMYFUNCTION("""COMPUTED_VALUE"""),59.81)</f>
        <v>59.81</v>
      </c>
      <c r="F500">
        <f>IFERROR(__xludf.DUMMYFUNCTION("""COMPUTED_VALUE"""),0.17)</f>
        <v>0.17</v>
      </c>
      <c r="G500">
        <f>IFERROR(__xludf.DUMMYFUNCTION("""COMPUTED_VALUE"""),0.86)</f>
        <v>0.86</v>
      </c>
    </row>
    <row r="501">
      <c r="A501">
        <f>IFERROR(__xludf.DUMMYFUNCTION("""COMPUTED_VALUE"""),172351.0)</f>
        <v>172351</v>
      </c>
      <c r="B501" t="str">
        <f>IFERROR(__xludf.DUMMYFUNCTION("""COMPUTED_VALUE"""),"Margarine-Like Vegetable Oil Spread Fat Free Liquid With Salt")</f>
        <v>Margarine-Like Vegetable Oil Spread Fat Free Liquid With Salt</v>
      </c>
      <c r="C501" t="str">
        <f>IFERROR(__xludf.DUMMYFUNCTION("""COMPUTED_VALUE"""),"Fats and Oils")</f>
        <v>Fats and Oils</v>
      </c>
      <c r="D501">
        <f>IFERROR(__xludf.DUMMYFUNCTION("""COMPUTED_VALUE"""),43.0)</f>
        <v>43</v>
      </c>
      <c r="E501">
        <f>IFERROR(__xludf.DUMMYFUNCTION("""COMPUTED_VALUE"""),3.0)</f>
        <v>3</v>
      </c>
      <c r="F501">
        <f>IFERROR(__xludf.DUMMYFUNCTION("""COMPUTED_VALUE"""),1.5)</f>
        <v>1.5</v>
      </c>
      <c r="G501">
        <f>IFERROR(__xludf.DUMMYFUNCTION("""COMPUTED_VALUE"""),2.5)</f>
        <v>2.5</v>
      </c>
    </row>
    <row r="502">
      <c r="A502">
        <f>IFERROR(__xludf.DUMMYFUNCTION("""COMPUTED_VALUE"""),172352.0)</f>
        <v>172352</v>
      </c>
      <c r="B502" t="str">
        <f>IFERROR(__xludf.DUMMYFUNCTION("""COMPUTED_VALUE"""),"Margarine-Like Spread With Yogurt 70% Fat Stick With Salt")</f>
        <v>Margarine-Like Spread With Yogurt 70% Fat Stick With Salt</v>
      </c>
      <c r="C502" t="str">
        <f>IFERROR(__xludf.DUMMYFUNCTION("""COMPUTED_VALUE"""),"Fats and Oils")</f>
        <v>Fats and Oils</v>
      </c>
      <c r="D502">
        <f>IFERROR(__xludf.DUMMYFUNCTION("""COMPUTED_VALUE"""),630.0)</f>
        <v>630</v>
      </c>
      <c r="E502">
        <f>IFERROR(__xludf.DUMMYFUNCTION("""COMPUTED_VALUE"""),70.0)</f>
        <v>70</v>
      </c>
      <c r="F502">
        <f>IFERROR(__xludf.DUMMYFUNCTION("""COMPUTED_VALUE"""),0.3)</f>
        <v>0.3</v>
      </c>
      <c r="G502">
        <f>IFERROR(__xludf.DUMMYFUNCTION("""COMPUTED_VALUE"""),0.5)</f>
        <v>0.5</v>
      </c>
    </row>
    <row r="503">
      <c r="A503">
        <f>IFERROR(__xludf.DUMMYFUNCTION("""COMPUTED_VALUE"""),172353.0)</f>
        <v>172353</v>
      </c>
      <c r="B503" t="str">
        <f>IFERROR(__xludf.DUMMYFUNCTION("""COMPUTED_VALUE"""),"Margarine-Like Vegetable Oil Spread Fat-Free Tub")</f>
        <v>Margarine-Like Vegetable Oil Spread Fat-Free Tub</v>
      </c>
      <c r="C503" t="str">
        <f>IFERROR(__xludf.DUMMYFUNCTION("""COMPUTED_VALUE"""),"Fats and Oils")</f>
        <v>Fats and Oils</v>
      </c>
      <c r="D503">
        <f>IFERROR(__xludf.DUMMYFUNCTION("""COMPUTED_VALUE"""),44.0)</f>
        <v>44</v>
      </c>
      <c r="E503">
        <f>IFERROR(__xludf.DUMMYFUNCTION("""COMPUTED_VALUE"""),3.04)</f>
        <v>3.04</v>
      </c>
      <c r="F503">
        <f>IFERROR(__xludf.DUMMYFUNCTION("""COMPUTED_VALUE"""),0.1)</f>
        <v>0.1</v>
      </c>
      <c r="G503">
        <f>IFERROR(__xludf.DUMMYFUNCTION("""COMPUTED_VALUE"""),4.34)</f>
        <v>4.34</v>
      </c>
    </row>
    <row r="504">
      <c r="A504">
        <f>IFERROR(__xludf.DUMMYFUNCTION("""COMPUTED_VALUE"""),172354.0)</f>
        <v>172354</v>
      </c>
      <c r="B504" t="str">
        <f>IFERROR(__xludf.DUMMYFUNCTION("""COMPUTED_VALUE"""),"Margarine-Like Vegetable Oil Spread 20% Fat With Salt")</f>
        <v>Margarine-Like Vegetable Oil Spread 20% Fat With Salt</v>
      </c>
      <c r="C504" t="str">
        <f>IFERROR(__xludf.DUMMYFUNCTION("""COMPUTED_VALUE"""),"Fats and Oils")</f>
        <v>Fats and Oils</v>
      </c>
      <c r="D504">
        <f>IFERROR(__xludf.DUMMYFUNCTION("""COMPUTED_VALUE"""),175.0)</f>
        <v>175</v>
      </c>
      <c r="E504">
        <f>IFERROR(__xludf.DUMMYFUNCTION("""COMPUTED_VALUE"""),19.5)</f>
        <v>19.5</v>
      </c>
      <c r="F504">
        <f>IFERROR(__xludf.DUMMYFUNCTION("""COMPUTED_VALUE"""),0.0)</f>
        <v>0</v>
      </c>
      <c r="G504">
        <f>IFERROR(__xludf.DUMMYFUNCTION("""COMPUTED_VALUE"""),0.4)</f>
        <v>0.4</v>
      </c>
    </row>
    <row r="505">
      <c r="A505">
        <f>IFERROR(__xludf.DUMMYFUNCTION("""COMPUTED_VALUE"""),172355.0)</f>
        <v>172355</v>
      </c>
      <c r="B505" t="str">
        <f>IFERROR(__xludf.DUMMYFUNCTION("""COMPUTED_VALUE"""),"Margarine-Like Vegetable Oil Spread 20% Fat Without Salt")</f>
        <v>Margarine-Like Vegetable Oil Spread 20% Fat Without Salt</v>
      </c>
      <c r="C505" t="str">
        <f>IFERROR(__xludf.DUMMYFUNCTION("""COMPUTED_VALUE"""),"Fats and Oils")</f>
        <v>Fats and Oils</v>
      </c>
      <c r="D505">
        <f>IFERROR(__xludf.DUMMYFUNCTION("""COMPUTED_VALUE"""),175.0)</f>
        <v>175</v>
      </c>
      <c r="E505">
        <f>IFERROR(__xludf.DUMMYFUNCTION("""COMPUTED_VALUE"""),19.5)</f>
        <v>19.5</v>
      </c>
      <c r="F505">
        <f>IFERROR(__xludf.DUMMYFUNCTION("""COMPUTED_VALUE"""),0.0)</f>
        <v>0</v>
      </c>
      <c r="G505">
        <f>IFERROR(__xludf.DUMMYFUNCTION("""COMPUTED_VALUE"""),0.4)</f>
        <v>0.4</v>
      </c>
    </row>
    <row r="506">
      <c r="A506">
        <f>IFERROR(__xludf.DUMMYFUNCTION("""COMPUTED_VALUE"""),172356.0)</f>
        <v>172356</v>
      </c>
      <c r="B506" t="str">
        <f>IFERROR(__xludf.DUMMYFUNCTION("""COMPUTED_VALUE"""),"Salad Dressing Thousand Island Dressing Fat-Free")</f>
        <v>Salad Dressing Thousand Island Dressing Fat-Free</v>
      </c>
      <c r="C506" t="str">
        <f>IFERROR(__xludf.DUMMYFUNCTION("""COMPUTED_VALUE"""),"Fats and Oils")</f>
        <v>Fats and Oils</v>
      </c>
      <c r="D506">
        <f>IFERROR(__xludf.DUMMYFUNCTION("""COMPUTED_VALUE"""),132.0)</f>
        <v>132</v>
      </c>
      <c r="E506">
        <f>IFERROR(__xludf.DUMMYFUNCTION("""COMPUTED_VALUE"""),1.45)</f>
        <v>1.45</v>
      </c>
      <c r="F506">
        <f>IFERROR(__xludf.DUMMYFUNCTION("""COMPUTED_VALUE"""),0.55)</f>
        <v>0.55</v>
      </c>
      <c r="G506">
        <f>IFERROR(__xludf.DUMMYFUNCTION("""COMPUTED_VALUE"""),29.27)</f>
        <v>29.27</v>
      </c>
    </row>
    <row r="507">
      <c r="A507">
        <f>IFERROR(__xludf.DUMMYFUNCTION("""COMPUTED_VALUE"""),172357.0)</f>
        <v>172357</v>
      </c>
      <c r="B507" t="str">
        <f>IFERROR(__xludf.DUMMYFUNCTION("""COMPUTED_VALUE"""),"Oil Industrial Mid-Oleic Sunflower")</f>
        <v>Oil Industrial Mid-Oleic Sunflower</v>
      </c>
      <c r="C507" t="str">
        <f>IFERROR(__xludf.DUMMYFUNCTION("""COMPUTED_VALUE"""),"Fats and Oils")</f>
        <v>Fats and Oils</v>
      </c>
      <c r="D507">
        <f>IFERROR(__xludf.DUMMYFUNCTION("""COMPUTED_VALUE"""),884.0)</f>
        <v>884</v>
      </c>
      <c r="E507">
        <f>IFERROR(__xludf.DUMMYFUNCTION("""COMPUTED_VALUE"""),100.0)</f>
        <v>100</v>
      </c>
      <c r="F507">
        <f>IFERROR(__xludf.DUMMYFUNCTION("""COMPUTED_VALUE"""),0.0)</f>
        <v>0</v>
      </c>
      <c r="G507">
        <f>IFERROR(__xludf.DUMMYFUNCTION("""COMPUTED_VALUE"""),0.0)</f>
        <v>0</v>
      </c>
    </row>
    <row r="508">
      <c r="A508">
        <f>IFERROR(__xludf.DUMMYFUNCTION("""COMPUTED_VALUE"""),172358.0)</f>
        <v>172358</v>
      </c>
      <c r="B508" t="str">
        <f>IFERROR(__xludf.DUMMYFUNCTION("""COMPUTED_VALUE"""),"Oil Industrial Canola With Antifoaming Agent Principal Uses Salads Woks And Light Frying")</f>
        <v>Oil Industrial Canola With Antifoaming Agent Principal Uses Salads Woks And Light Frying</v>
      </c>
      <c r="C508" t="str">
        <f>IFERROR(__xludf.DUMMYFUNCTION("""COMPUTED_VALUE"""),"Fats and Oils")</f>
        <v>Fats and Oils</v>
      </c>
      <c r="D508">
        <f>IFERROR(__xludf.DUMMYFUNCTION("""COMPUTED_VALUE"""),884.0)</f>
        <v>884</v>
      </c>
      <c r="E508">
        <f>IFERROR(__xludf.DUMMYFUNCTION("""COMPUTED_VALUE"""),100.0)</f>
        <v>100</v>
      </c>
      <c r="F508">
        <f>IFERROR(__xludf.DUMMYFUNCTION("""COMPUTED_VALUE"""),0.0)</f>
        <v>0</v>
      </c>
      <c r="G508">
        <f>IFERROR(__xludf.DUMMYFUNCTION("""COMPUTED_VALUE"""),0.0)</f>
        <v>0</v>
      </c>
    </row>
    <row r="509">
      <c r="A509">
        <f>IFERROR(__xludf.DUMMYFUNCTION("""COMPUTED_VALUE"""),172359.0)</f>
        <v>172359</v>
      </c>
      <c r="B509" t="str">
        <f>IFERROR(__xludf.DUMMYFUNCTION("""COMPUTED_VALUE"""),"Oil Industrial Canola For Salads Woks And Light Frying")</f>
        <v>Oil Industrial Canola For Salads Woks And Light Frying</v>
      </c>
      <c r="C509" t="str">
        <f>IFERROR(__xludf.DUMMYFUNCTION("""COMPUTED_VALUE"""),"Fats and Oils")</f>
        <v>Fats and Oils</v>
      </c>
      <c r="D509">
        <f>IFERROR(__xludf.DUMMYFUNCTION("""COMPUTED_VALUE"""),884.0)</f>
        <v>884</v>
      </c>
      <c r="E509">
        <f>IFERROR(__xludf.DUMMYFUNCTION("""COMPUTED_VALUE"""),100.0)</f>
        <v>100</v>
      </c>
      <c r="F509">
        <f>IFERROR(__xludf.DUMMYFUNCTION("""COMPUTED_VALUE"""),0.0)</f>
        <v>0</v>
      </c>
      <c r="G509">
        <f>IFERROR(__xludf.DUMMYFUNCTION("""COMPUTED_VALUE"""),0.0)</f>
        <v>0</v>
      </c>
    </row>
    <row r="510">
      <c r="A510">
        <f>IFERROR(__xludf.DUMMYFUNCTION("""COMPUTED_VALUE"""),172360.0)</f>
        <v>172360</v>
      </c>
      <c r="B510" t="str">
        <f>IFERROR(__xludf.DUMMYFUNCTION("""COMPUTED_VALUE"""),"Oil Industrial Canola (Partially Hydrogenated) Oil For Deep Fat Frying")</f>
        <v>Oil Industrial Canola (Partially Hydrogenated) Oil For Deep Fat Frying</v>
      </c>
      <c r="C510" t="str">
        <f>IFERROR(__xludf.DUMMYFUNCTION("""COMPUTED_VALUE"""),"Fats and Oils")</f>
        <v>Fats and Oils</v>
      </c>
      <c r="D510">
        <f>IFERROR(__xludf.DUMMYFUNCTION("""COMPUTED_VALUE"""),884.0)</f>
        <v>884</v>
      </c>
      <c r="E510">
        <f>IFERROR(__xludf.DUMMYFUNCTION("""COMPUTED_VALUE"""),100.0)</f>
        <v>100</v>
      </c>
      <c r="F510">
        <f>IFERROR(__xludf.DUMMYFUNCTION("""COMPUTED_VALUE"""),0.0)</f>
        <v>0</v>
      </c>
      <c r="G510">
        <f>IFERROR(__xludf.DUMMYFUNCTION("""COMPUTED_VALUE"""),0.0)</f>
        <v>0</v>
      </c>
    </row>
    <row r="511">
      <c r="A511">
        <f>IFERROR(__xludf.DUMMYFUNCTION("""COMPUTED_VALUE"""),172361.0)</f>
        <v>172361</v>
      </c>
      <c r="B511" t="str">
        <f>IFERROR(__xludf.DUMMYFUNCTION("""COMPUTED_VALUE"""),"Oil Industrial Soy (Partially Hydrogenated) Multiuse For Non-Dairy Butter Flavor")</f>
        <v>Oil Industrial Soy (Partially Hydrogenated) Multiuse For Non-Dairy Butter Flavor</v>
      </c>
      <c r="C511" t="str">
        <f>IFERROR(__xludf.DUMMYFUNCTION("""COMPUTED_VALUE"""),"Fats and Oils")</f>
        <v>Fats and Oils</v>
      </c>
      <c r="D511">
        <f>IFERROR(__xludf.DUMMYFUNCTION("""COMPUTED_VALUE"""),884.0)</f>
        <v>884</v>
      </c>
      <c r="E511">
        <f>IFERROR(__xludf.DUMMYFUNCTION("""COMPUTED_VALUE"""),100.0)</f>
        <v>100</v>
      </c>
      <c r="F511">
        <f>IFERROR(__xludf.DUMMYFUNCTION("""COMPUTED_VALUE"""),0.0)</f>
        <v>0</v>
      </c>
      <c r="G511">
        <f>IFERROR(__xludf.DUMMYFUNCTION("""COMPUTED_VALUE"""),0.0)</f>
        <v>0</v>
      </c>
    </row>
    <row r="512">
      <c r="A512">
        <f>IFERROR(__xludf.DUMMYFUNCTION("""COMPUTED_VALUE"""),172362.0)</f>
        <v>172362</v>
      </c>
      <c r="B512" t="str">
        <f>IFERROR(__xludf.DUMMYFUNCTION("""COMPUTED_VALUE"""),"Oil Industrial Soy ( Partially Hydrogenated) All Purpose")</f>
        <v>Oil Industrial Soy ( Partially Hydrogenated) All Purpose</v>
      </c>
      <c r="C512" t="str">
        <f>IFERROR(__xludf.DUMMYFUNCTION("""COMPUTED_VALUE"""),"Fats and Oils")</f>
        <v>Fats and Oils</v>
      </c>
      <c r="D512">
        <f>IFERROR(__xludf.DUMMYFUNCTION("""COMPUTED_VALUE"""),884.0)</f>
        <v>884</v>
      </c>
      <c r="E512">
        <f>IFERROR(__xludf.DUMMYFUNCTION("""COMPUTED_VALUE"""),100.0)</f>
        <v>100</v>
      </c>
      <c r="F512">
        <f>IFERROR(__xludf.DUMMYFUNCTION("""COMPUTED_VALUE"""),0.0)</f>
        <v>0</v>
      </c>
      <c r="G512">
        <f>IFERROR(__xludf.DUMMYFUNCTION("""COMPUTED_VALUE"""),0.0)</f>
        <v>0</v>
      </c>
    </row>
    <row r="513">
      <c r="A513">
        <f>IFERROR(__xludf.DUMMYFUNCTION("""COMPUTED_VALUE"""),172363.0)</f>
        <v>172363</v>
      </c>
      <c r="B513" t="str">
        <f>IFERROR(__xludf.DUMMYFUNCTION("""COMPUTED_VALUE"""),"Oil Industrial Soy (Partially Hydrogenated ) And Soy (Winterized) Pourable Clear Fry")</f>
        <v>Oil Industrial Soy (Partially Hydrogenated ) And Soy (Winterized) Pourable Clear Fry</v>
      </c>
      <c r="C513" t="str">
        <f>IFERROR(__xludf.DUMMYFUNCTION("""COMPUTED_VALUE"""),"Fats and Oils")</f>
        <v>Fats and Oils</v>
      </c>
      <c r="D513">
        <f>IFERROR(__xludf.DUMMYFUNCTION("""COMPUTED_VALUE"""),884.0)</f>
        <v>884</v>
      </c>
      <c r="E513">
        <f>IFERROR(__xludf.DUMMYFUNCTION("""COMPUTED_VALUE"""),100.0)</f>
        <v>100</v>
      </c>
      <c r="F513">
        <f>IFERROR(__xludf.DUMMYFUNCTION("""COMPUTED_VALUE"""),0.0)</f>
        <v>0</v>
      </c>
      <c r="G513">
        <f>IFERROR(__xludf.DUMMYFUNCTION("""COMPUTED_VALUE"""),0.0)</f>
        <v>0</v>
      </c>
    </row>
    <row r="514">
      <c r="A514">
        <f>IFERROR(__xludf.DUMMYFUNCTION("""COMPUTED_VALUE"""),172364.0)</f>
        <v>172364</v>
      </c>
      <c r="B514" t="str">
        <f>IFERROR(__xludf.DUMMYFUNCTION("""COMPUTED_VALUE"""),"Oil Industrial Soy (Partially Hydrogenated)  And Cottonseed Principal Use As A Tortilla Shortening")</f>
        <v>Oil Industrial Soy (Partially Hydrogenated)  And Cottonseed Principal Use As A Tortilla Shortening</v>
      </c>
      <c r="C514" t="str">
        <f>IFERROR(__xludf.DUMMYFUNCTION("""COMPUTED_VALUE"""),"Fats and Oils")</f>
        <v>Fats and Oils</v>
      </c>
      <c r="D514">
        <f>IFERROR(__xludf.DUMMYFUNCTION("""COMPUTED_VALUE"""),884.0)</f>
        <v>884</v>
      </c>
      <c r="E514">
        <f>IFERROR(__xludf.DUMMYFUNCTION("""COMPUTED_VALUE"""),100.0)</f>
        <v>100</v>
      </c>
      <c r="F514">
        <f>IFERROR(__xludf.DUMMYFUNCTION("""COMPUTED_VALUE"""),0.0)</f>
        <v>0</v>
      </c>
      <c r="G514">
        <f>IFERROR(__xludf.DUMMYFUNCTION("""COMPUTED_VALUE"""),0.0)</f>
        <v>0</v>
      </c>
    </row>
    <row r="515">
      <c r="A515">
        <f>IFERROR(__xludf.DUMMYFUNCTION("""COMPUTED_VALUE"""),172365.0)</f>
        <v>172365</v>
      </c>
      <c r="B515" t="str">
        <f>IFERROR(__xludf.DUMMYFUNCTION("""COMPUTED_VALUE"""),"Oil Industrial Coconut Confection Fat Typical Basis For Ice Cream Coatings")</f>
        <v>Oil Industrial Coconut Confection Fat Typical Basis For Ice Cream Coatings</v>
      </c>
      <c r="C515" t="str">
        <f>IFERROR(__xludf.DUMMYFUNCTION("""COMPUTED_VALUE"""),"Fats and Oils")</f>
        <v>Fats and Oils</v>
      </c>
      <c r="D515">
        <f>IFERROR(__xludf.DUMMYFUNCTION("""COMPUTED_VALUE"""),884.0)</f>
        <v>884</v>
      </c>
      <c r="E515">
        <f>IFERROR(__xludf.DUMMYFUNCTION("""COMPUTED_VALUE"""),100.0)</f>
        <v>100</v>
      </c>
      <c r="F515">
        <f>IFERROR(__xludf.DUMMYFUNCTION("""COMPUTED_VALUE"""),0.0)</f>
        <v>0</v>
      </c>
      <c r="G515">
        <f>IFERROR(__xludf.DUMMYFUNCTION("""COMPUTED_VALUE"""),0.0)</f>
        <v>0</v>
      </c>
    </row>
    <row r="516">
      <c r="A516">
        <f>IFERROR(__xludf.DUMMYFUNCTION("""COMPUTED_VALUE"""),172366.0)</f>
        <v>172366</v>
      </c>
      <c r="B516" t="str">
        <f>IFERROR(__xludf.DUMMYFUNCTION("""COMPUTED_VALUE"""),"Oil Industrial Palm Kernel (Hydrogenated)  Used For Whipped Toppings Non-Dairy")</f>
        <v>Oil Industrial Palm Kernel (Hydrogenated)  Used For Whipped Toppings Non-Dairy</v>
      </c>
      <c r="C516" t="str">
        <f>IFERROR(__xludf.DUMMYFUNCTION("""COMPUTED_VALUE"""),"Fats and Oils")</f>
        <v>Fats and Oils</v>
      </c>
      <c r="D516">
        <f>IFERROR(__xludf.DUMMYFUNCTION("""COMPUTED_VALUE"""),884.0)</f>
        <v>884</v>
      </c>
      <c r="E516">
        <f>IFERROR(__xludf.DUMMYFUNCTION("""COMPUTED_VALUE"""),100.0)</f>
        <v>100</v>
      </c>
      <c r="F516">
        <f>IFERROR(__xludf.DUMMYFUNCTION("""COMPUTED_VALUE"""),0.0)</f>
        <v>0</v>
      </c>
      <c r="G516">
        <f>IFERROR(__xludf.DUMMYFUNCTION("""COMPUTED_VALUE"""),0.0)</f>
        <v>0</v>
      </c>
    </row>
    <row r="517">
      <c r="A517">
        <f>IFERROR(__xludf.DUMMYFUNCTION("""COMPUTED_VALUE"""),172367.0)</f>
        <v>172367</v>
      </c>
      <c r="B517" t="str">
        <f>IFERROR(__xludf.DUMMYFUNCTION("""COMPUTED_VALUE"""),"Oil Industrial Coconut (Hydrogenated) Used For Whipped Toppings And Coffee Whiteners")</f>
        <v>Oil Industrial Coconut (Hydrogenated) Used For Whipped Toppings And Coffee Whiteners</v>
      </c>
      <c r="C517" t="str">
        <f>IFERROR(__xludf.DUMMYFUNCTION("""COMPUTED_VALUE"""),"Fats and Oils")</f>
        <v>Fats and Oils</v>
      </c>
      <c r="D517">
        <f>IFERROR(__xludf.DUMMYFUNCTION("""COMPUTED_VALUE"""),880.0)</f>
        <v>880</v>
      </c>
      <c r="E517">
        <f>IFERROR(__xludf.DUMMYFUNCTION("""COMPUTED_VALUE"""),99.5)</f>
        <v>99.5</v>
      </c>
      <c r="F517">
        <f>IFERROR(__xludf.DUMMYFUNCTION("""COMPUTED_VALUE"""),0.0)</f>
        <v>0</v>
      </c>
      <c r="G517">
        <f>IFERROR(__xludf.DUMMYFUNCTION("""COMPUTED_VALUE"""),0.0)</f>
        <v>0</v>
      </c>
    </row>
    <row r="518">
      <c r="A518">
        <f>IFERROR(__xludf.DUMMYFUNCTION("""COMPUTED_VALUE"""),172368.0)</f>
        <v>172368</v>
      </c>
      <c r="B518" t="str">
        <f>IFERROR(__xludf.DUMMYFUNCTION("""COMPUTED_VALUE"""),"Oil Industrial Palm And Palm Kernel Filling Fat (Non-Hydrogenated)")</f>
        <v>Oil Industrial Palm And Palm Kernel Filling Fat (Non-Hydrogenated)</v>
      </c>
      <c r="C518" t="str">
        <f>IFERROR(__xludf.DUMMYFUNCTION("""COMPUTED_VALUE"""),"Fats and Oils")</f>
        <v>Fats and Oils</v>
      </c>
      <c r="D518">
        <f>IFERROR(__xludf.DUMMYFUNCTION("""COMPUTED_VALUE"""),880.0)</f>
        <v>880</v>
      </c>
      <c r="E518">
        <f>IFERROR(__xludf.DUMMYFUNCTION("""COMPUTED_VALUE"""),99.5)</f>
        <v>99.5</v>
      </c>
      <c r="F518">
        <f>IFERROR(__xludf.DUMMYFUNCTION("""COMPUTED_VALUE"""),0.0)</f>
        <v>0</v>
      </c>
      <c r="G518">
        <f>IFERROR(__xludf.DUMMYFUNCTION("""COMPUTED_VALUE"""),0.0)</f>
        <v>0</v>
      </c>
    </row>
    <row r="519">
      <c r="A519">
        <f>IFERROR(__xludf.DUMMYFUNCTION("""COMPUTED_VALUE"""),172369.0)</f>
        <v>172369</v>
      </c>
      <c r="B519" t="str">
        <f>IFERROR(__xludf.DUMMYFUNCTION("""COMPUTED_VALUE"""),"Margarine Industrial Soy And Partially Hydrogenated Soy Oil Use For Baking Sauces And Candy")</f>
        <v>Margarine Industrial Soy And Partially Hydrogenated Soy Oil Use For Baking Sauces And Candy</v>
      </c>
      <c r="C519" t="str">
        <f>IFERROR(__xludf.DUMMYFUNCTION("""COMPUTED_VALUE"""),"Fats and Oils")</f>
        <v>Fats and Oils</v>
      </c>
      <c r="D519">
        <f>IFERROR(__xludf.DUMMYFUNCTION("""COMPUTED_VALUE"""),714.0)</f>
        <v>714</v>
      </c>
      <c r="E519">
        <f>IFERROR(__xludf.DUMMYFUNCTION("""COMPUTED_VALUE"""),80.0)</f>
        <v>80</v>
      </c>
      <c r="F519">
        <f>IFERROR(__xludf.DUMMYFUNCTION("""COMPUTED_VALUE"""),0.18)</f>
        <v>0.18</v>
      </c>
      <c r="G519">
        <f>IFERROR(__xludf.DUMMYFUNCTION("""COMPUTED_VALUE"""),0.71)</f>
        <v>0.71</v>
      </c>
    </row>
    <row r="520">
      <c r="A520">
        <f>IFERROR(__xludf.DUMMYFUNCTION("""COMPUTED_VALUE"""),172370.0)</f>
        <v>172370</v>
      </c>
      <c r="B520" t="str">
        <f>IFERROR(__xludf.DUMMYFUNCTION("""COMPUTED_VALUE"""),"USDA Commodity Food Oil Vegetable Soybean Refined")</f>
        <v>USDA Commodity Food Oil Vegetable Soybean Refined</v>
      </c>
      <c r="C520" t="str">
        <f>IFERROR(__xludf.DUMMYFUNCTION("""COMPUTED_VALUE"""),"Fats and Oils")</f>
        <v>Fats and Oils</v>
      </c>
      <c r="D520">
        <f>IFERROR(__xludf.DUMMYFUNCTION("""COMPUTED_VALUE"""),884.0)</f>
        <v>884</v>
      </c>
      <c r="E520">
        <f>IFERROR(__xludf.DUMMYFUNCTION("""COMPUTED_VALUE"""),100.0)</f>
        <v>100</v>
      </c>
      <c r="F520">
        <f>IFERROR(__xludf.DUMMYFUNCTION("""COMPUTED_VALUE"""),0.0)</f>
        <v>0</v>
      </c>
      <c r="G520">
        <f>IFERROR(__xludf.DUMMYFUNCTION("""COMPUTED_VALUE"""),0.0)</f>
        <v>0</v>
      </c>
    </row>
    <row r="521">
      <c r="A521">
        <f>IFERROR(__xludf.DUMMYFUNCTION("""COMPUTED_VALUE"""),172371.0)</f>
        <v>172371</v>
      </c>
      <c r="B521" t="str">
        <f>IFERROR(__xludf.DUMMYFUNCTION("""COMPUTED_VALUE"""),"Margarine-Like Spread Smart Balance Regular Buttery Spread With Flax Oil")</f>
        <v>Margarine-Like Spread Smart Balance Regular Buttery Spread With Flax Oil</v>
      </c>
      <c r="C521" t="str">
        <f>IFERROR(__xludf.DUMMYFUNCTION("""COMPUTED_VALUE"""),"Fats and Oils")</f>
        <v>Fats and Oils</v>
      </c>
      <c r="D521">
        <f>IFERROR(__xludf.DUMMYFUNCTION("""COMPUTED_VALUE"""),583.0)</f>
        <v>583</v>
      </c>
      <c r="E521">
        <f>IFERROR(__xludf.DUMMYFUNCTION("""COMPUTED_VALUE"""),64.63)</f>
        <v>64.63</v>
      </c>
      <c r="F521">
        <f>IFERROR(__xludf.DUMMYFUNCTION("""COMPUTED_VALUE"""),0.14)</f>
        <v>0.14</v>
      </c>
      <c r="G521">
        <f>IFERROR(__xludf.DUMMYFUNCTION("""COMPUTED_VALUE"""),0.14)</f>
        <v>0.14</v>
      </c>
    </row>
    <row r="522">
      <c r="A522">
        <f>IFERROR(__xludf.DUMMYFUNCTION("""COMPUTED_VALUE"""),172372.0)</f>
        <v>172372</v>
      </c>
      <c r="B522" t="str">
        <f>IFERROR(__xludf.DUMMYFUNCTION("""COMPUTED_VALUE"""),"Margarine-Like Spread Smart Balance Light Buttery Spread")</f>
        <v>Margarine-Like Spread Smart Balance Light Buttery Spread</v>
      </c>
      <c r="C522" t="str">
        <f>IFERROR(__xludf.DUMMYFUNCTION("""COMPUTED_VALUE"""),"Fats and Oils")</f>
        <v>Fats and Oils</v>
      </c>
      <c r="D522">
        <f>IFERROR(__xludf.DUMMYFUNCTION("""COMPUTED_VALUE"""),337.0)</f>
        <v>337</v>
      </c>
      <c r="E522">
        <f>IFERROR(__xludf.DUMMYFUNCTION("""COMPUTED_VALUE"""),36.41)</f>
        <v>36.41</v>
      </c>
      <c r="F522">
        <f>IFERROR(__xludf.DUMMYFUNCTION("""COMPUTED_VALUE"""),0.02)</f>
        <v>0.02</v>
      </c>
      <c r="G522">
        <f>IFERROR(__xludf.DUMMYFUNCTION("""COMPUTED_VALUE"""),1.98)</f>
        <v>1.98</v>
      </c>
    </row>
    <row r="523">
      <c r="A523">
        <f>IFERROR(__xludf.DUMMYFUNCTION("""COMPUTED_VALUE"""),173410.0)</f>
        <v>173410</v>
      </c>
      <c r="B523" t="str">
        <f>IFERROR(__xludf.DUMMYFUNCTION("""COMPUTED_VALUE"""),"Salted Butter")</f>
        <v>Salted Butter</v>
      </c>
      <c r="C523" t="str">
        <f>IFERROR(__xludf.DUMMYFUNCTION("""COMPUTED_VALUE"""),"Dairy and Egg Products")</f>
        <v>Dairy and Egg Products</v>
      </c>
      <c r="D523">
        <f>IFERROR(__xludf.DUMMYFUNCTION("""COMPUTED_VALUE"""),717.0)</f>
        <v>717</v>
      </c>
      <c r="E523">
        <f>IFERROR(__xludf.DUMMYFUNCTION("""COMPUTED_VALUE"""),81.11)</f>
        <v>81.11</v>
      </c>
      <c r="F523">
        <f>IFERROR(__xludf.DUMMYFUNCTION("""COMPUTED_VALUE"""),0.85)</f>
        <v>0.85</v>
      </c>
      <c r="G523">
        <f>IFERROR(__xludf.DUMMYFUNCTION("""COMPUTED_VALUE"""),0.06)</f>
        <v>0.06</v>
      </c>
    </row>
    <row r="524">
      <c r="A524">
        <f>IFERROR(__xludf.DUMMYFUNCTION("""COMPUTED_VALUE"""),173411.0)</f>
        <v>173411</v>
      </c>
      <c r="B524" t="str">
        <f>IFERROR(__xludf.DUMMYFUNCTION("""COMPUTED_VALUE"""),"Whipped Butter (Salted)")</f>
        <v>Whipped Butter (Salted)</v>
      </c>
      <c r="C524" t="str">
        <f>IFERROR(__xludf.DUMMYFUNCTION("""COMPUTED_VALUE"""),"Dairy and Egg Products")</f>
        <v>Dairy and Egg Products</v>
      </c>
      <c r="D524">
        <f>IFERROR(__xludf.DUMMYFUNCTION("""COMPUTED_VALUE"""),731.0)</f>
        <v>731</v>
      </c>
      <c r="E524">
        <f>IFERROR(__xludf.DUMMYFUNCTION("""COMPUTED_VALUE"""),78.3)</f>
        <v>78.3</v>
      </c>
      <c r="F524">
        <f>IFERROR(__xludf.DUMMYFUNCTION("""COMPUTED_VALUE"""),0.49)</f>
        <v>0.49</v>
      </c>
      <c r="G524">
        <f>IFERROR(__xludf.DUMMYFUNCTION("""COMPUTED_VALUE"""),0.0)</f>
        <v>0</v>
      </c>
    </row>
    <row r="525">
      <c r="A525">
        <f>IFERROR(__xludf.DUMMYFUNCTION("""COMPUTED_VALUE"""),173412.0)</f>
        <v>173412</v>
      </c>
      <c r="B525" t="str">
        <f>IFERROR(__xludf.DUMMYFUNCTION("""COMPUTED_VALUE"""),"Ghee (Clarified Butter)")</f>
        <v>Ghee (Clarified Butter)</v>
      </c>
      <c r="C525" t="str">
        <f>IFERROR(__xludf.DUMMYFUNCTION("""COMPUTED_VALUE"""),"Dairy and Egg Products")</f>
        <v>Dairy and Egg Products</v>
      </c>
      <c r="D525">
        <f>IFERROR(__xludf.DUMMYFUNCTION("""COMPUTED_VALUE"""),876.0)</f>
        <v>876</v>
      </c>
      <c r="E525">
        <f>IFERROR(__xludf.DUMMYFUNCTION("""COMPUTED_VALUE"""),99.48)</f>
        <v>99.48</v>
      </c>
      <c r="F525">
        <f>IFERROR(__xludf.DUMMYFUNCTION("""COMPUTED_VALUE"""),0.28)</f>
        <v>0.28</v>
      </c>
      <c r="G525">
        <f>IFERROR(__xludf.DUMMYFUNCTION("""COMPUTED_VALUE"""),0.0)</f>
        <v>0</v>
      </c>
    </row>
    <row r="526">
      <c r="A526">
        <f>IFERROR(__xludf.DUMMYFUNCTION("""COMPUTED_VALUE"""),173413.0)</f>
        <v>173413</v>
      </c>
      <c r="B526" t="str">
        <f>IFERROR(__xludf.DUMMYFUNCTION("""COMPUTED_VALUE"""),"Caraway Cheese")</f>
        <v>Caraway Cheese</v>
      </c>
      <c r="C526" t="str">
        <f>IFERROR(__xludf.DUMMYFUNCTION("""COMPUTED_VALUE"""),"Dairy and Egg Products")</f>
        <v>Dairy and Egg Products</v>
      </c>
      <c r="D526">
        <f>IFERROR(__xludf.DUMMYFUNCTION("""COMPUTED_VALUE"""),376.0)</f>
        <v>376</v>
      </c>
      <c r="E526">
        <f>IFERROR(__xludf.DUMMYFUNCTION("""COMPUTED_VALUE"""),29.2)</f>
        <v>29.2</v>
      </c>
      <c r="F526">
        <f>IFERROR(__xludf.DUMMYFUNCTION("""COMPUTED_VALUE"""),25.18)</f>
        <v>25.18</v>
      </c>
      <c r="G526">
        <f>IFERROR(__xludf.DUMMYFUNCTION("""COMPUTED_VALUE"""),3.06)</f>
        <v>3.06</v>
      </c>
    </row>
    <row r="527">
      <c r="A527">
        <f>IFERROR(__xludf.DUMMYFUNCTION("""COMPUTED_VALUE"""),173414.0)</f>
        <v>173414</v>
      </c>
      <c r="B527" t="str">
        <f>IFERROR(__xludf.DUMMYFUNCTION("""COMPUTED_VALUE"""),"Cheddar Cheese")</f>
        <v>Cheddar Cheese</v>
      </c>
      <c r="C527" t="str">
        <f>IFERROR(__xludf.DUMMYFUNCTION("""COMPUTED_VALUE"""),"Dairy and Egg Products")</f>
        <v>Dairy and Egg Products</v>
      </c>
      <c r="D527">
        <f>IFERROR(__xludf.DUMMYFUNCTION("""COMPUTED_VALUE"""),403.0)</f>
        <v>403</v>
      </c>
      <c r="E527">
        <f>IFERROR(__xludf.DUMMYFUNCTION("""COMPUTED_VALUE"""),33.31)</f>
        <v>33.31</v>
      </c>
      <c r="F527">
        <f>IFERROR(__xludf.DUMMYFUNCTION("""COMPUTED_VALUE"""),22.87)</f>
        <v>22.87</v>
      </c>
      <c r="G527">
        <f>IFERROR(__xludf.DUMMYFUNCTION("""COMPUTED_VALUE"""),3.37)</f>
        <v>3.37</v>
      </c>
    </row>
    <row r="528">
      <c r="A528">
        <f>IFERROR(__xludf.DUMMYFUNCTION("""COMPUTED_VALUE"""),173415.0)</f>
        <v>173415</v>
      </c>
      <c r="B528" t="str">
        <f>IFERROR(__xludf.DUMMYFUNCTION("""COMPUTED_VALUE"""),"Chesire Cheese")</f>
        <v>Chesire Cheese</v>
      </c>
      <c r="C528" t="str">
        <f>IFERROR(__xludf.DUMMYFUNCTION("""COMPUTED_VALUE"""),"Dairy and Egg Products")</f>
        <v>Dairy and Egg Products</v>
      </c>
      <c r="D528">
        <f>IFERROR(__xludf.DUMMYFUNCTION("""COMPUTED_VALUE"""),387.0)</f>
        <v>387</v>
      </c>
      <c r="E528">
        <f>IFERROR(__xludf.DUMMYFUNCTION("""COMPUTED_VALUE"""),30.6)</f>
        <v>30.6</v>
      </c>
      <c r="F528">
        <f>IFERROR(__xludf.DUMMYFUNCTION("""COMPUTED_VALUE"""),23.37)</f>
        <v>23.37</v>
      </c>
      <c r="G528">
        <f>IFERROR(__xludf.DUMMYFUNCTION("""COMPUTED_VALUE"""),4.78)</f>
        <v>4.78</v>
      </c>
    </row>
    <row r="529">
      <c r="A529">
        <f>IFERROR(__xludf.DUMMYFUNCTION("""COMPUTED_VALUE"""),173416.0)</f>
        <v>173416</v>
      </c>
      <c r="B529" t="str">
        <f>IFERROR(__xludf.DUMMYFUNCTION("""COMPUTED_VALUE"""),"Colby Cheese")</f>
        <v>Colby Cheese</v>
      </c>
      <c r="C529" t="str">
        <f>IFERROR(__xludf.DUMMYFUNCTION("""COMPUTED_VALUE"""),"Dairy and Egg Products")</f>
        <v>Dairy and Egg Products</v>
      </c>
      <c r="D529">
        <f>IFERROR(__xludf.DUMMYFUNCTION("""COMPUTED_VALUE"""),394.0)</f>
        <v>394</v>
      </c>
      <c r="E529">
        <f>IFERROR(__xludf.DUMMYFUNCTION("""COMPUTED_VALUE"""),32.11)</f>
        <v>32.11</v>
      </c>
      <c r="F529">
        <f>IFERROR(__xludf.DUMMYFUNCTION("""COMPUTED_VALUE"""),23.76)</f>
        <v>23.76</v>
      </c>
      <c r="G529">
        <f>IFERROR(__xludf.DUMMYFUNCTION("""COMPUTED_VALUE"""),2.57)</f>
        <v>2.57</v>
      </c>
    </row>
    <row r="530">
      <c r="A530">
        <f>IFERROR(__xludf.DUMMYFUNCTION("""COMPUTED_VALUE"""),173417.0)</f>
        <v>173417</v>
      </c>
      <c r="B530" t="str">
        <f>IFERROR(__xludf.DUMMYFUNCTION("""COMPUTED_VALUE"""),"Lowfat Cottage Cheese (1%)")</f>
        <v>Lowfat Cottage Cheese (1%)</v>
      </c>
      <c r="C530" t="str">
        <f>IFERROR(__xludf.DUMMYFUNCTION("""COMPUTED_VALUE"""),"Dairy and Egg Products")</f>
        <v>Dairy and Egg Products</v>
      </c>
      <c r="D530">
        <f>IFERROR(__xludf.DUMMYFUNCTION("""COMPUTED_VALUE"""),72.0)</f>
        <v>72</v>
      </c>
      <c r="E530">
        <f>IFERROR(__xludf.DUMMYFUNCTION("""COMPUTED_VALUE"""),1.02)</f>
        <v>1.02</v>
      </c>
      <c r="F530">
        <f>IFERROR(__xludf.DUMMYFUNCTION("""COMPUTED_VALUE"""),12.39)</f>
        <v>12.39</v>
      </c>
      <c r="G530">
        <f>IFERROR(__xludf.DUMMYFUNCTION("""COMPUTED_VALUE"""),2.72)</f>
        <v>2.72</v>
      </c>
    </row>
    <row r="531">
      <c r="A531">
        <f>IFERROR(__xludf.DUMMYFUNCTION("""COMPUTED_VALUE"""),173418.0)</f>
        <v>173418</v>
      </c>
      <c r="B531" t="str">
        <f>IFERROR(__xludf.DUMMYFUNCTION("""COMPUTED_VALUE"""),"Cream Cheese")</f>
        <v>Cream Cheese</v>
      </c>
      <c r="C531" t="str">
        <f>IFERROR(__xludf.DUMMYFUNCTION("""COMPUTED_VALUE"""),"Dairy and Egg Products")</f>
        <v>Dairy and Egg Products</v>
      </c>
      <c r="D531">
        <f>IFERROR(__xludf.DUMMYFUNCTION("""COMPUTED_VALUE"""),350.0)</f>
        <v>350</v>
      </c>
      <c r="E531">
        <f>IFERROR(__xludf.DUMMYFUNCTION("""COMPUTED_VALUE"""),34.44)</f>
        <v>34.44</v>
      </c>
      <c r="F531">
        <f>IFERROR(__xludf.DUMMYFUNCTION("""COMPUTED_VALUE"""),6.15)</f>
        <v>6.15</v>
      </c>
      <c r="G531">
        <f>IFERROR(__xludf.DUMMYFUNCTION("""COMPUTED_VALUE"""),5.52)</f>
        <v>5.52</v>
      </c>
    </row>
    <row r="532">
      <c r="A532">
        <f>IFERROR(__xludf.DUMMYFUNCTION("""COMPUTED_VALUE"""),173419.0)</f>
        <v>173419</v>
      </c>
      <c r="B532" t="str">
        <f>IFERROR(__xludf.DUMMYFUNCTION("""COMPUTED_VALUE"""),"Edam Cheese")</f>
        <v>Edam Cheese</v>
      </c>
      <c r="C532" t="str">
        <f>IFERROR(__xludf.DUMMYFUNCTION("""COMPUTED_VALUE"""),"Dairy and Egg Products")</f>
        <v>Dairy and Egg Products</v>
      </c>
      <c r="D532">
        <f>IFERROR(__xludf.DUMMYFUNCTION("""COMPUTED_VALUE"""),357.0)</f>
        <v>357</v>
      </c>
      <c r="E532">
        <f>IFERROR(__xludf.DUMMYFUNCTION("""COMPUTED_VALUE"""),28.57)</f>
        <v>28.57</v>
      </c>
      <c r="F532">
        <f>IFERROR(__xludf.DUMMYFUNCTION("""COMPUTED_VALUE"""),24.99)</f>
        <v>24.99</v>
      </c>
      <c r="G532">
        <f>IFERROR(__xludf.DUMMYFUNCTION("""COMPUTED_VALUE"""),1.43)</f>
        <v>1.43</v>
      </c>
    </row>
    <row r="533">
      <c r="A533">
        <f>IFERROR(__xludf.DUMMYFUNCTION("""COMPUTED_VALUE"""),173420.0)</f>
        <v>173420</v>
      </c>
      <c r="B533" t="str">
        <f>IFERROR(__xludf.DUMMYFUNCTION("""COMPUTED_VALUE"""),"Feta Cheese")</f>
        <v>Feta Cheese</v>
      </c>
      <c r="C533" t="str">
        <f>IFERROR(__xludf.DUMMYFUNCTION("""COMPUTED_VALUE"""),"Dairy and Egg Products")</f>
        <v>Dairy and Egg Products</v>
      </c>
      <c r="D533">
        <f>IFERROR(__xludf.DUMMYFUNCTION("""COMPUTED_VALUE"""),265.0)</f>
        <v>265</v>
      </c>
      <c r="E533">
        <f>IFERROR(__xludf.DUMMYFUNCTION("""COMPUTED_VALUE"""),21.49)</f>
        <v>21.49</v>
      </c>
      <c r="F533">
        <f>IFERROR(__xludf.DUMMYFUNCTION("""COMPUTED_VALUE"""),14.21)</f>
        <v>14.21</v>
      </c>
      <c r="G533">
        <f>IFERROR(__xludf.DUMMYFUNCTION("""COMPUTED_VALUE"""),3.88)</f>
        <v>3.88</v>
      </c>
    </row>
    <row r="534">
      <c r="A534">
        <f>IFERROR(__xludf.DUMMYFUNCTION("""COMPUTED_VALUE"""),173421.0)</f>
        <v>173421</v>
      </c>
      <c r="B534" t="str">
        <f>IFERROR(__xludf.DUMMYFUNCTION("""COMPUTED_VALUE"""),"Egg Yolk Raw Frozen Pasteurized")</f>
        <v>Egg Yolk Raw Frozen Pasteurized</v>
      </c>
      <c r="C534" t="str">
        <f>IFERROR(__xludf.DUMMYFUNCTION("""COMPUTED_VALUE"""),"Dairy and Egg Products")</f>
        <v>Dairy and Egg Products</v>
      </c>
      <c r="D534">
        <f>IFERROR(__xludf.DUMMYFUNCTION("""COMPUTED_VALUE"""),296.0)</f>
        <v>296</v>
      </c>
      <c r="E534">
        <f>IFERROR(__xludf.DUMMYFUNCTION("""COMPUTED_VALUE"""),25.6)</f>
        <v>25.6</v>
      </c>
      <c r="F534">
        <f>IFERROR(__xludf.DUMMYFUNCTION("""COMPUTED_VALUE"""),15.53)</f>
        <v>15.53</v>
      </c>
      <c r="G534">
        <f>IFERROR(__xludf.DUMMYFUNCTION("""COMPUTED_VALUE"""),0.81)</f>
        <v>0.81</v>
      </c>
    </row>
    <row r="535">
      <c r="A535">
        <f>IFERROR(__xludf.DUMMYFUNCTION("""COMPUTED_VALUE"""),173422.0)</f>
        <v>173422</v>
      </c>
      <c r="B535" t="str">
        <f>IFERROR(__xludf.DUMMYFUNCTION("""COMPUTED_VALUE"""),"Egg Yolk Raw Frozen Sugared Pasteurized")</f>
        <v>Egg Yolk Raw Frozen Sugared Pasteurized</v>
      </c>
      <c r="C535" t="str">
        <f>IFERROR(__xludf.DUMMYFUNCTION("""COMPUTED_VALUE"""),"Dairy and Egg Products")</f>
        <v>Dairy and Egg Products</v>
      </c>
      <c r="D535">
        <f>IFERROR(__xludf.DUMMYFUNCTION("""COMPUTED_VALUE"""),307.0)</f>
        <v>307</v>
      </c>
      <c r="E535">
        <f>IFERROR(__xludf.DUMMYFUNCTION("""COMPUTED_VALUE"""),22.82)</f>
        <v>22.82</v>
      </c>
      <c r="F535">
        <f>IFERROR(__xludf.DUMMYFUNCTION("""COMPUTED_VALUE"""),13.87)</f>
        <v>13.87</v>
      </c>
      <c r="G535">
        <f>IFERROR(__xludf.DUMMYFUNCTION("""COMPUTED_VALUE"""),10.95)</f>
        <v>10.95</v>
      </c>
    </row>
    <row r="536">
      <c r="A536">
        <f>IFERROR(__xludf.DUMMYFUNCTION("""COMPUTED_VALUE"""),173423.0)</f>
        <v>173423</v>
      </c>
      <c r="B536" t="str">
        <f>IFERROR(__xludf.DUMMYFUNCTION("""COMPUTED_VALUE"""),"Fried Eggs")</f>
        <v>Fried Eggs</v>
      </c>
      <c r="C536" t="str">
        <f>IFERROR(__xludf.DUMMYFUNCTION("""COMPUTED_VALUE"""),"Dairy and Egg Products")</f>
        <v>Dairy and Egg Products</v>
      </c>
      <c r="D536">
        <f>IFERROR(__xludf.DUMMYFUNCTION("""COMPUTED_VALUE"""),196.0)</f>
        <v>196</v>
      </c>
      <c r="E536">
        <f>IFERROR(__xludf.DUMMYFUNCTION("""COMPUTED_VALUE"""),14.84)</f>
        <v>14.84</v>
      </c>
      <c r="F536">
        <f>IFERROR(__xludf.DUMMYFUNCTION("""COMPUTED_VALUE"""),13.61)</f>
        <v>13.61</v>
      </c>
      <c r="G536">
        <f>IFERROR(__xludf.DUMMYFUNCTION("""COMPUTED_VALUE"""),0.83)</f>
        <v>0.83</v>
      </c>
    </row>
    <row r="537">
      <c r="A537">
        <f>IFERROR(__xludf.DUMMYFUNCTION("""COMPUTED_VALUE"""),173424.0)</f>
        <v>173424</v>
      </c>
      <c r="B537" t="str">
        <f>IFERROR(__xludf.DUMMYFUNCTION("""COMPUTED_VALUE"""),"Hard Boiled Eggs")</f>
        <v>Hard Boiled Eggs</v>
      </c>
      <c r="C537" t="str">
        <f>IFERROR(__xludf.DUMMYFUNCTION("""COMPUTED_VALUE"""),"Dairy and Egg Products")</f>
        <v>Dairy and Egg Products</v>
      </c>
      <c r="D537">
        <f>IFERROR(__xludf.DUMMYFUNCTION("""COMPUTED_VALUE"""),155.0)</f>
        <v>155</v>
      </c>
      <c r="E537">
        <f>IFERROR(__xludf.DUMMYFUNCTION("""COMPUTED_VALUE"""),10.61)</f>
        <v>10.61</v>
      </c>
      <c r="F537">
        <f>IFERROR(__xludf.DUMMYFUNCTION("""COMPUTED_VALUE"""),12.58)</f>
        <v>12.58</v>
      </c>
      <c r="G537">
        <f>IFERROR(__xludf.DUMMYFUNCTION("""COMPUTED_VALUE"""),1.12)</f>
        <v>1.12</v>
      </c>
    </row>
    <row r="538">
      <c r="A538">
        <f>IFERROR(__xludf.DUMMYFUNCTION("""COMPUTED_VALUE"""),173425.0)</f>
        <v>173425</v>
      </c>
      <c r="B538" t="str">
        <f>IFERROR(__xludf.DUMMYFUNCTION("""COMPUTED_VALUE"""),"Egg Whole Dried Stabilized Glucose Reduced")</f>
        <v>Egg Whole Dried Stabilized Glucose Reduced</v>
      </c>
      <c r="C538" t="str">
        <f>IFERROR(__xludf.DUMMYFUNCTION("""COMPUTED_VALUE"""),"Dairy and Egg Products")</f>
        <v>Dairy and Egg Products</v>
      </c>
      <c r="D538">
        <f>IFERROR(__xludf.DUMMYFUNCTION("""COMPUTED_VALUE"""),615.0)</f>
        <v>615</v>
      </c>
      <c r="E538">
        <f>IFERROR(__xludf.DUMMYFUNCTION("""COMPUTED_VALUE"""),43.95)</f>
        <v>43.95</v>
      </c>
      <c r="F538">
        <f>IFERROR(__xludf.DUMMYFUNCTION("""COMPUTED_VALUE"""),48.17)</f>
        <v>48.17</v>
      </c>
      <c r="G538">
        <f>IFERROR(__xludf.DUMMYFUNCTION("""COMPUTED_VALUE"""),2.38)</f>
        <v>2.38</v>
      </c>
    </row>
    <row r="539">
      <c r="A539">
        <f>IFERROR(__xludf.DUMMYFUNCTION("""COMPUTED_VALUE"""),173426.0)</f>
        <v>173426</v>
      </c>
      <c r="B539" t="str">
        <f>IFERROR(__xludf.DUMMYFUNCTION("""COMPUTED_VALUE"""),"Egg White Dried Flakes Stabilized Glucose Reduced")</f>
        <v>Egg White Dried Flakes Stabilized Glucose Reduced</v>
      </c>
      <c r="C539" t="str">
        <f>IFERROR(__xludf.DUMMYFUNCTION("""COMPUTED_VALUE"""),"Dairy and Egg Products")</f>
        <v>Dairy and Egg Products</v>
      </c>
      <c r="D539">
        <f>IFERROR(__xludf.DUMMYFUNCTION("""COMPUTED_VALUE"""),351.0)</f>
        <v>351</v>
      </c>
      <c r="E539">
        <f>IFERROR(__xludf.DUMMYFUNCTION("""COMPUTED_VALUE"""),0.04)</f>
        <v>0.04</v>
      </c>
      <c r="F539">
        <f>IFERROR(__xludf.DUMMYFUNCTION("""COMPUTED_VALUE"""),76.92)</f>
        <v>76.92</v>
      </c>
      <c r="G539">
        <f>IFERROR(__xludf.DUMMYFUNCTION("""COMPUTED_VALUE"""),4.17)</f>
        <v>4.17</v>
      </c>
    </row>
    <row r="540">
      <c r="A540">
        <f>IFERROR(__xludf.DUMMYFUNCTION("""COMPUTED_VALUE"""),173427.0)</f>
        <v>173427</v>
      </c>
      <c r="B540" t="str">
        <f>IFERROR(__xludf.DUMMYFUNCTION("""COMPUTED_VALUE"""),"Egg White Dried Powder Stabilized Glucose Reduced")</f>
        <v>Egg White Dried Powder Stabilized Glucose Reduced</v>
      </c>
      <c r="C540" t="str">
        <f>IFERROR(__xludf.DUMMYFUNCTION("""COMPUTED_VALUE"""),"Dairy and Egg Products")</f>
        <v>Dairy and Egg Products</v>
      </c>
      <c r="D540">
        <f>IFERROR(__xludf.DUMMYFUNCTION("""COMPUTED_VALUE"""),376.0)</f>
        <v>376</v>
      </c>
      <c r="E540">
        <f>IFERROR(__xludf.DUMMYFUNCTION("""COMPUTED_VALUE"""),0.04)</f>
        <v>0.04</v>
      </c>
      <c r="F540">
        <f>IFERROR(__xludf.DUMMYFUNCTION("""COMPUTED_VALUE"""),82.4)</f>
        <v>82.4</v>
      </c>
      <c r="G540">
        <f>IFERROR(__xludf.DUMMYFUNCTION("""COMPUTED_VALUE"""),4.47)</f>
        <v>4.47</v>
      </c>
    </row>
    <row r="541">
      <c r="A541">
        <f>IFERROR(__xludf.DUMMYFUNCTION("""COMPUTED_VALUE"""),173428.0)</f>
        <v>173428</v>
      </c>
      <c r="B541" t="str">
        <f>IFERROR(__xludf.DUMMYFUNCTION("""COMPUTED_VALUE"""),"Egg Yolk Dried")</f>
        <v>Egg Yolk Dried</v>
      </c>
      <c r="C541" t="str">
        <f>IFERROR(__xludf.DUMMYFUNCTION("""COMPUTED_VALUE"""),"Dairy and Egg Products")</f>
        <v>Dairy and Egg Products</v>
      </c>
      <c r="D541">
        <f>IFERROR(__xludf.DUMMYFUNCTION("""COMPUTED_VALUE"""),669.0)</f>
        <v>669</v>
      </c>
      <c r="E541">
        <f>IFERROR(__xludf.DUMMYFUNCTION("""COMPUTED_VALUE"""),59.13)</f>
        <v>59.13</v>
      </c>
      <c r="F541">
        <f>IFERROR(__xludf.DUMMYFUNCTION("""COMPUTED_VALUE"""),33.63)</f>
        <v>33.63</v>
      </c>
      <c r="G541">
        <f>IFERROR(__xludf.DUMMYFUNCTION("""COMPUTED_VALUE"""),0.66)</f>
        <v>0.66</v>
      </c>
    </row>
    <row r="542">
      <c r="A542">
        <f>IFERROR(__xludf.DUMMYFUNCTION("""COMPUTED_VALUE"""),173429.0)</f>
        <v>173429</v>
      </c>
      <c r="B542" t="str">
        <f>IFERROR(__xludf.DUMMYFUNCTION("""COMPUTED_VALUE"""),"Egg Substitute Powder")</f>
        <v>Egg Substitute Powder</v>
      </c>
      <c r="C542" t="str">
        <f>IFERROR(__xludf.DUMMYFUNCTION("""COMPUTED_VALUE"""),"Dairy and Egg Products")</f>
        <v>Dairy and Egg Products</v>
      </c>
      <c r="D542">
        <f>IFERROR(__xludf.DUMMYFUNCTION("""COMPUTED_VALUE"""),444.0)</f>
        <v>444</v>
      </c>
      <c r="E542">
        <f>IFERROR(__xludf.DUMMYFUNCTION("""COMPUTED_VALUE"""),13.0)</f>
        <v>13</v>
      </c>
      <c r="F542">
        <f>IFERROR(__xludf.DUMMYFUNCTION("""COMPUTED_VALUE"""),55.5)</f>
        <v>55.5</v>
      </c>
      <c r="G542">
        <f>IFERROR(__xludf.DUMMYFUNCTION("""COMPUTED_VALUE"""),21.8)</f>
        <v>21.8</v>
      </c>
    </row>
    <row r="543">
      <c r="A543">
        <f>IFERROR(__xludf.DUMMYFUNCTION("""COMPUTED_VALUE"""),173430.0)</f>
        <v>173430</v>
      </c>
      <c r="B543" t="str">
        <f>IFERROR(__xludf.DUMMYFUNCTION("""COMPUTED_VALUE"""),"Unsalted Butter")</f>
        <v>Unsalted Butter</v>
      </c>
      <c r="C543" t="str">
        <f>IFERROR(__xludf.DUMMYFUNCTION("""COMPUTED_VALUE"""),"Dairy and Egg Products")</f>
        <v>Dairy and Egg Products</v>
      </c>
      <c r="D543">
        <f>IFERROR(__xludf.DUMMYFUNCTION("""COMPUTED_VALUE"""),717.0)</f>
        <v>717</v>
      </c>
      <c r="E543">
        <f>IFERROR(__xludf.DUMMYFUNCTION("""COMPUTED_VALUE"""),81.11)</f>
        <v>81.11</v>
      </c>
      <c r="F543">
        <f>IFERROR(__xludf.DUMMYFUNCTION("""COMPUTED_VALUE"""),0.85)</f>
        <v>0.85</v>
      </c>
      <c r="G543">
        <f>IFERROR(__xludf.DUMMYFUNCTION("""COMPUTED_VALUE"""),0.06)</f>
        <v>0.06</v>
      </c>
    </row>
    <row r="544">
      <c r="A544">
        <f>IFERROR(__xludf.DUMMYFUNCTION("""COMPUTED_VALUE"""),173431.0)</f>
        <v>173431</v>
      </c>
      <c r="B544" t="str">
        <f>IFERROR(__xludf.DUMMYFUNCTION("""COMPUTED_VALUE"""),"Shredded Parmesan")</f>
        <v>Shredded Parmesan</v>
      </c>
      <c r="C544" t="str">
        <f>IFERROR(__xludf.DUMMYFUNCTION("""COMPUTED_VALUE"""),"Dairy and Egg Products")</f>
        <v>Dairy and Egg Products</v>
      </c>
      <c r="D544">
        <f>IFERROR(__xludf.DUMMYFUNCTION("""COMPUTED_VALUE"""),415.0)</f>
        <v>415</v>
      </c>
      <c r="E544">
        <f>IFERROR(__xludf.DUMMYFUNCTION("""COMPUTED_VALUE"""),27.34)</f>
        <v>27.34</v>
      </c>
      <c r="F544">
        <f>IFERROR(__xludf.DUMMYFUNCTION("""COMPUTED_VALUE"""),37.86)</f>
        <v>37.86</v>
      </c>
      <c r="G544">
        <f>IFERROR(__xludf.DUMMYFUNCTION("""COMPUTED_VALUE"""),3.41)</f>
        <v>3.41</v>
      </c>
    </row>
    <row r="545">
      <c r="A545">
        <f>IFERROR(__xludf.DUMMYFUNCTION("""COMPUTED_VALUE"""),173432.0)</f>
        <v>173432</v>
      </c>
      <c r="B545" t="str">
        <f>IFERROR(__xludf.DUMMYFUNCTION("""COMPUTED_VALUE"""),"Milk Nonfat Fluid Without Added Vitamin A And Vitamin D (Fat Free Or Skim)")</f>
        <v>Milk Nonfat Fluid Without Added Vitamin A And Vitamin D (Fat Free Or Skim)</v>
      </c>
      <c r="C545" t="str">
        <f>IFERROR(__xludf.DUMMYFUNCTION("""COMPUTED_VALUE"""),"Dairy and Egg Products")</f>
        <v>Dairy and Egg Products</v>
      </c>
      <c r="D545">
        <f>IFERROR(__xludf.DUMMYFUNCTION("""COMPUTED_VALUE"""),35.0)</f>
        <v>35</v>
      </c>
      <c r="E545">
        <f>IFERROR(__xludf.DUMMYFUNCTION("""COMPUTED_VALUE"""),0.18)</f>
        <v>0.18</v>
      </c>
      <c r="F545">
        <f>IFERROR(__xludf.DUMMYFUNCTION("""COMPUTED_VALUE"""),3.37)</f>
        <v>3.37</v>
      </c>
      <c r="G545">
        <f>IFERROR(__xludf.DUMMYFUNCTION("""COMPUTED_VALUE"""),4.86)</f>
        <v>4.86</v>
      </c>
    </row>
    <row r="546">
      <c r="A546">
        <f>IFERROR(__xludf.DUMMYFUNCTION("""COMPUTED_VALUE"""),173433.0)</f>
        <v>173433</v>
      </c>
      <c r="B546" t="str">
        <f>IFERROR(__xludf.DUMMYFUNCTION("""COMPUTED_VALUE"""),"Cheese Goat Semisoft Type")</f>
        <v>Cheese Goat Semisoft Type</v>
      </c>
      <c r="C546" t="str">
        <f>IFERROR(__xludf.DUMMYFUNCTION("""COMPUTED_VALUE"""),"Dairy and Egg Products")</f>
        <v>Dairy and Egg Products</v>
      </c>
      <c r="D546">
        <f>IFERROR(__xludf.DUMMYFUNCTION("""COMPUTED_VALUE"""),364.0)</f>
        <v>364</v>
      </c>
      <c r="E546">
        <f>IFERROR(__xludf.DUMMYFUNCTION("""COMPUTED_VALUE"""),29.84)</f>
        <v>29.84</v>
      </c>
      <c r="F546">
        <f>IFERROR(__xludf.DUMMYFUNCTION("""COMPUTED_VALUE"""),21.58)</f>
        <v>21.58</v>
      </c>
      <c r="G546">
        <f>IFERROR(__xludf.DUMMYFUNCTION("""COMPUTED_VALUE"""),0.12)</f>
        <v>0.12</v>
      </c>
    </row>
    <row r="547">
      <c r="A547">
        <f>IFERROR(__xludf.DUMMYFUNCTION("""COMPUTED_VALUE"""),173435.0)</f>
        <v>173435</v>
      </c>
      <c r="B547" t="str">
        <f>IFERROR(__xludf.DUMMYFUNCTION("""COMPUTED_VALUE"""),"Soft Goat Cheese")</f>
        <v>Soft Goat Cheese</v>
      </c>
      <c r="C547" t="str">
        <f>IFERROR(__xludf.DUMMYFUNCTION("""COMPUTED_VALUE"""),"Dairy and Egg Products")</f>
        <v>Dairy and Egg Products</v>
      </c>
      <c r="D547">
        <f>IFERROR(__xludf.DUMMYFUNCTION("""COMPUTED_VALUE"""),264.0)</f>
        <v>264</v>
      </c>
      <c r="E547">
        <f>IFERROR(__xludf.DUMMYFUNCTION("""COMPUTED_VALUE"""),21.08)</f>
        <v>21.08</v>
      </c>
      <c r="F547">
        <f>IFERROR(__xludf.DUMMYFUNCTION("""COMPUTED_VALUE"""),18.52)</f>
        <v>18.52</v>
      </c>
      <c r="G547">
        <f>IFERROR(__xludf.DUMMYFUNCTION("""COMPUTED_VALUE"""),0.0)</f>
        <v>0</v>
      </c>
    </row>
    <row r="548">
      <c r="A548">
        <f>IFERROR(__xludf.DUMMYFUNCTION("""COMPUTED_VALUE"""),173436.0)</f>
        <v>173436</v>
      </c>
      <c r="B548" t="str">
        <f>IFERROR(__xludf.DUMMYFUNCTION("""COMPUTED_VALUE"""),"Egg Yolk Raw Frozen Salted Pasteurized")</f>
        <v>Egg Yolk Raw Frozen Salted Pasteurized</v>
      </c>
      <c r="C548" t="str">
        <f>IFERROR(__xludf.DUMMYFUNCTION("""COMPUTED_VALUE"""),"Dairy and Egg Products")</f>
        <v>Dairy and Egg Products</v>
      </c>
      <c r="D548">
        <f>IFERROR(__xludf.DUMMYFUNCTION("""COMPUTED_VALUE"""),275.0)</f>
        <v>275</v>
      </c>
      <c r="E548">
        <f>IFERROR(__xludf.DUMMYFUNCTION("""COMPUTED_VALUE"""),22.93)</f>
        <v>22.93</v>
      </c>
      <c r="F548">
        <f>IFERROR(__xludf.DUMMYFUNCTION("""COMPUTED_VALUE"""),14.07)</f>
        <v>14.07</v>
      </c>
      <c r="G548">
        <f>IFERROR(__xludf.DUMMYFUNCTION("""COMPUTED_VALUE"""),1.77)</f>
        <v>1.77</v>
      </c>
    </row>
    <row r="549">
      <c r="A549">
        <f>IFERROR(__xludf.DUMMYFUNCTION("""COMPUTED_VALUE"""),173437.0)</f>
        <v>173437</v>
      </c>
      <c r="B549" t="str">
        <f>IFERROR(__xludf.DUMMYFUNCTION("""COMPUTED_VALUE"""),"Cheese Mexican Queso Asadero")</f>
        <v>Cheese Mexican Queso Asadero</v>
      </c>
      <c r="C549" t="str">
        <f>IFERROR(__xludf.DUMMYFUNCTION("""COMPUTED_VALUE"""),"Dairy and Egg Products")</f>
        <v>Dairy and Egg Products</v>
      </c>
      <c r="D549">
        <f>IFERROR(__xludf.DUMMYFUNCTION("""COMPUTED_VALUE"""),356.0)</f>
        <v>356</v>
      </c>
      <c r="E549">
        <f>IFERROR(__xludf.DUMMYFUNCTION("""COMPUTED_VALUE"""),25.0)</f>
        <v>25</v>
      </c>
      <c r="F549">
        <f>IFERROR(__xludf.DUMMYFUNCTION("""COMPUTED_VALUE"""),22.6)</f>
        <v>22.6</v>
      </c>
      <c r="G549">
        <f>IFERROR(__xludf.DUMMYFUNCTION("""COMPUTED_VALUE"""),4.13)</f>
        <v>4.13</v>
      </c>
    </row>
    <row r="550">
      <c r="A550">
        <f>IFERROR(__xludf.DUMMYFUNCTION("""COMPUTED_VALUE"""),173438.0)</f>
        <v>173438</v>
      </c>
      <c r="B550" t="str">
        <f>IFERROR(__xludf.DUMMYFUNCTION("""COMPUTED_VALUE"""),"Queso Chihuahua")</f>
        <v>Queso Chihuahua</v>
      </c>
      <c r="C550" t="str">
        <f>IFERROR(__xludf.DUMMYFUNCTION("""COMPUTED_VALUE"""),"Dairy and Egg Products")</f>
        <v>Dairy and Egg Products</v>
      </c>
      <c r="D550">
        <f>IFERROR(__xludf.DUMMYFUNCTION("""COMPUTED_VALUE"""),374.0)</f>
        <v>374</v>
      </c>
      <c r="E550">
        <f>IFERROR(__xludf.DUMMYFUNCTION("""COMPUTED_VALUE"""),29.68)</f>
        <v>29.68</v>
      </c>
      <c r="F550">
        <f>IFERROR(__xludf.DUMMYFUNCTION("""COMPUTED_VALUE"""),21.56)</f>
        <v>21.56</v>
      </c>
      <c r="G550">
        <f>IFERROR(__xludf.DUMMYFUNCTION("""COMPUTED_VALUE"""),5.56)</f>
        <v>5.56</v>
      </c>
    </row>
    <row r="551">
      <c r="A551">
        <f>IFERROR(__xludf.DUMMYFUNCTION("""COMPUTED_VALUE"""),173439.0)</f>
        <v>173439</v>
      </c>
      <c r="B551" t="str">
        <f>IFERROR(__xludf.DUMMYFUNCTION("""COMPUTED_VALUE"""),"Lowfat Cheddar Cheese")</f>
        <v>Lowfat Cheddar Cheese</v>
      </c>
      <c r="C551" t="str">
        <f>IFERROR(__xludf.DUMMYFUNCTION("""COMPUTED_VALUE"""),"Dairy and Egg Products")</f>
        <v>Dairy and Egg Products</v>
      </c>
      <c r="D551">
        <f>IFERROR(__xludf.DUMMYFUNCTION("""COMPUTED_VALUE"""),173.0)</f>
        <v>173</v>
      </c>
      <c r="E551">
        <f>IFERROR(__xludf.DUMMYFUNCTION("""COMPUTED_VALUE"""),7.0)</f>
        <v>7</v>
      </c>
      <c r="F551">
        <f>IFERROR(__xludf.DUMMYFUNCTION("""COMPUTED_VALUE"""),24.35)</f>
        <v>24.35</v>
      </c>
      <c r="G551">
        <f>IFERROR(__xludf.DUMMYFUNCTION("""COMPUTED_VALUE"""),1.91)</f>
        <v>1.91</v>
      </c>
    </row>
    <row r="552">
      <c r="A552">
        <f>IFERROR(__xludf.DUMMYFUNCTION("""COMPUTED_VALUE"""),173440.0)</f>
        <v>173440</v>
      </c>
      <c r="B552" t="str">
        <f>IFERROR(__xludf.DUMMYFUNCTION("""COMPUTED_VALUE"""),"Low-Sodium Cheddar Cheese")</f>
        <v>Low-Sodium Cheddar Cheese</v>
      </c>
      <c r="C552" t="str">
        <f>IFERROR(__xludf.DUMMYFUNCTION("""COMPUTED_VALUE"""),"Dairy and Egg Products")</f>
        <v>Dairy and Egg Products</v>
      </c>
      <c r="D552">
        <f>IFERROR(__xludf.DUMMYFUNCTION("""COMPUTED_VALUE"""),398.0)</f>
        <v>398</v>
      </c>
      <c r="E552">
        <f>IFERROR(__xludf.DUMMYFUNCTION("""COMPUTED_VALUE"""),32.62)</f>
        <v>32.62</v>
      </c>
      <c r="F552">
        <f>IFERROR(__xludf.DUMMYFUNCTION("""COMPUTED_VALUE"""),24.35)</f>
        <v>24.35</v>
      </c>
      <c r="G552">
        <f>IFERROR(__xludf.DUMMYFUNCTION("""COMPUTED_VALUE"""),1.91)</f>
        <v>1.91</v>
      </c>
    </row>
    <row r="553">
      <c r="A553">
        <f>IFERROR(__xludf.DUMMYFUNCTION("""COMPUTED_VALUE"""),173441.0)</f>
        <v>173441</v>
      </c>
      <c r="B553" t="str">
        <f>IFERROR(__xludf.DUMMYFUNCTION("""COMPUTED_VALUE"""),"Milk Fluid 1% Fat Without Added Vitamin A And Vitamin D")</f>
        <v>Milk Fluid 1% Fat Without Added Vitamin A And Vitamin D</v>
      </c>
      <c r="C553" t="str">
        <f>IFERROR(__xludf.DUMMYFUNCTION("""COMPUTED_VALUE"""),"Dairy and Egg Products")</f>
        <v>Dairy and Egg Products</v>
      </c>
      <c r="D553">
        <f>IFERROR(__xludf.DUMMYFUNCTION("""COMPUTED_VALUE"""),42.0)</f>
        <v>42</v>
      </c>
      <c r="E553">
        <f>IFERROR(__xludf.DUMMYFUNCTION("""COMPUTED_VALUE"""),0.97)</f>
        <v>0.97</v>
      </c>
      <c r="F553">
        <f>IFERROR(__xludf.DUMMYFUNCTION("""COMPUTED_VALUE"""),3.37)</f>
        <v>3.37</v>
      </c>
      <c r="G553">
        <f>IFERROR(__xludf.DUMMYFUNCTION("""COMPUTED_VALUE"""),4.99)</f>
        <v>4.99</v>
      </c>
    </row>
    <row r="554">
      <c r="A554">
        <f>IFERROR(__xludf.DUMMYFUNCTION("""COMPUTED_VALUE"""),173442.0)</f>
        <v>173442</v>
      </c>
      <c r="B554" t="str">
        <f>IFERROR(__xludf.DUMMYFUNCTION("""COMPUTED_VALUE"""),"Low Fat Sour Cream")</f>
        <v>Low Fat Sour Cream</v>
      </c>
      <c r="C554" t="str">
        <f>IFERROR(__xludf.DUMMYFUNCTION("""COMPUTED_VALUE"""),"Dairy and Egg Products")</f>
        <v>Dairy and Egg Products</v>
      </c>
      <c r="D554">
        <f>IFERROR(__xludf.DUMMYFUNCTION("""COMPUTED_VALUE"""),181.0)</f>
        <v>181</v>
      </c>
      <c r="E554">
        <f>IFERROR(__xludf.DUMMYFUNCTION("""COMPUTED_VALUE"""),14.1)</f>
        <v>14.1</v>
      </c>
      <c r="F554">
        <f>IFERROR(__xludf.DUMMYFUNCTION("""COMPUTED_VALUE"""),7.0)</f>
        <v>7</v>
      </c>
      <c r="G554">
        <f>IFERROR(__xludf.DUMMYFUNCTION("""COMPUTED_VALUE"""),7.0)</f>
        <v>7</v>
      </c>
    </row>
    <row r="555">
      <c r="A555">
        <f>IFERROR(__xludf.DUMMYFUNCTION("""COMPUTED_VALUE"""),173443.0)</f>
        <v>173443</v>
      </c>
      <c r="B555" t="str">
        <f>IFERROR(__xludf.DUMMYFUNCTION("""COMPUTED_VALUE"""),"Sour Cream Light")</f>
        <v>Sour Cream Light</v>
      </c>
      <c r="C555" t="str">
        <f>IFERROR(__xludf.DUMMYFUNCTION("""COMPUTED_VALUE"""),"Dairy and Egg Products")</f>
        <v>Dairy and Egg Products</v>
      </c>
      <c r="D555">
        <f>IFERROR(__xludf.DUMMYFUNCTION("""COMPUTED_VALUE"""),136.0)</f>
        <v>136</v>
      </c>
      <c r="E555">
        <f>IFERROR(__xludf.DUMMYFUNCTION("""COMPUTED_VALUE"""),10.6)</f>
        <v>10.6</v>
      </c>
      <c r="F555">
        <f>IFERROR(__xludf.DUMMYFUNCTION("""COMPUTED_VALUE"""),3.5)</f>
        <v>3.5</v>
      </c>
      <c r="G555">
        <f>IFERROR(__xludf.DUMMYFUNCTION("""COMPUTED_VALUE"""),7.1)</f>
        <v>7.1</v>
      </c>
    </row>
    <row r="556">
      <c r="A556">
        <f>IFERROR(__xludf.DUMMYFUNCTION("""COMPUTED_VALUE"""),173444.0)</f>
        <v>173444</v>
      </c>
      <c r="B556" t="str">
        <f>IFERROR(__xludf.DUMMYFUNCTION("""COMPUTED_VALUE"""),"Fat Free Sour Cream")</f>
        <v>Fat Free Sour Cream</v>
      </c>
      <c r="C556" t="str">
        <f>IFERROR(__xludf.DUMMYFUNCTION("""COMPUTED_VALUE"""),"Dairy and Egg Products")</f>
        <v>Dairy and Egg Products</v>
      </c>
      <c r="D556">
        <f>IFERROR(__xludf.DUMMYFUNCTION("""COMPUTED_VALUE"""),74.0)</f>
        <v>74</v>
      </c>
      <c r="E556">
        <f>IFERROR(__xludf.DUMMYFUNCTION("""COMPUTED_VALUE"""),0.0)</f>
        <v>0</v>
      </c>
      <c r="F556">
        <f>IFERROR(__xludf.DUMMYFUNCTION("""COMPUTED_VALUE"""),3.1)</f>
        <v>3.1</v>
      </c>
      <c r="G556">
        <f>IFERROR(__xludf.DUMMYFUNCTION("""COMPUTED_VALUE"""),15.6)</f>
        <v>15.6</v>
      </c>
    </row>
    <row r="557">
      <c r="A557">
        <f>IFERROR(__xludf.DUMMYFUNCTION("""COMPUTED_VALUE"""),173445.0)</f>
        <v>173445</v>
      </c>
      <c r="B557" t="str">
        <f>IFERROR(__xludf.DUMMYFUNCTION("""COMPUTED_VALUE"""),"Yogurt Vanilla Or Lemon Flavor Nonfat Milk Sweetened With Low-Calorie Sweetener")</f>
        <v>Yogurt Vanilla Or Lemon Flavor Nonfat Milk Sweetened With Low-Calorie Sweetener</v>
      </c>
      <c r="C557" t="str">
        <f>IFERROR(__xludf.DUMMYFUNCTION("""COMPUTED_VALUE"""),"Dairy and Egg Products")</f>
        <v>Dairy and Egg Products</v>
      </c>
      <c r="D557">
        <f>IFERROR(__xludf.DUMMYFUNCTION("""COMPUTED_VALUE"""),43.0)</f>
        <v>43</v>
      </c>
      <c r="E557">
        <f>IFERROR(__xludf.DUMMYFUNCTION("""COMPUTED_VALUE"""),0.18)</f>
        <v>0.18</v>
      </c>
      <c r="F557">
        <f>IFERROR(__xludf.DUMMYFUNCTION("""COMPUTED_VALUE"""),3.86)</f>
        <v>3.86</v>
      </c>
      <c r="G557">
        <f>IFERROR(__xludf.DUMMYFUNCTION("""COMPUTED_VALUE"""),7.5)</f>
        <v>7.5</v>
      </c>
    </row>
    <row r="558">
      <c r="A558">
        <f>IFERROR(__xludf.DUMMYFUNCTION("""COMPUTED_VALUE"""),173446.0)</f>
        <v>173446</v>
      </c>
      <c r="B558" t="str">
        <f>IFERROR(__xludf.DUMMYFUNCTION("""COMPUTED_VALUE"""),"Kraft Cheez Whiz Light Pasteurized Process Cheese Product")</f>
        <v>Kraft Cheez Whiz Light Pasteurized Process Cheese Product</v>
      </c>
      <c r="C558" t="str">
        <f>IFERROR(__xludf.DUMMYFUNCTION("""COMPUTED_VALUE"""),"Dairy and Egg Products")</f>
        <v>Dairy and Egg Products</v>
      </c>
      <c r="D558">
        <f>IFERROR(__xludf.DUMMYFUNCTION("""COMPUTED_VALUE"""),215.0)</f>
        <v>215</v>
      </c>
      <c r="E558">
        <f>IFERROR(__xludf.DUMMYFUNCTION("""COMPUTED_VALUE"""),9.5)</f>
        <v>9.5</v>
      </c>
      <c r="F558">
        <f>IFERROR(__xludf.DUMMYFUNCTION("""COMPUTED_VALUE"""),16.3)</f>
        <v>16.3</v>
      </c>
      <c r="G558">
        <f>IFERROR(__xludf.DUMMYFUNCTION("""COMPUTED_VALUE"""),16.2)</f>
        <v>16.2</v>
      </c>
    </row>
    <row r="559">
      <c r="A559">
        <f>IFERROR(__xludf.DUMMYFUNCTION("""COMPUTED_VALUE"""),173447.0)</f>
        <v>173447</v>
      </c>
      <c r="B559" t="str">
        <f>IFERROR(__xludf.DUMMYFUNCTION("""COMPUTED_VALUE"""),"Kraft Free Singles American Nonfat Pasteurized Process Cheese Product")</f>
        <v>Kraft Free Singles American Nonfat Pasteurized Process Cheese Product</v>
      </c>
      <c r="C559" t="str">
        <f>IFERROR(__xludf.DUMMYFUNCTION("""COMPUTED_VALUE"""),"Dairy and Egg Products")</f>
        <v>Dairy and Egg Products</v>
      </c>
      <c r="D559">
        <f>IFERROR(__xludf.DUMMYFUNCTION("""COMPUTED_VALUE"""),148.0)</f>
        <v>148</v>
      </c>
      <c r="E559">
        <f>IFERROR(__xludf.DUMMYFUNCTION("""COMPUTED_VALUE"""),1.0)</f>
        <v>1</v>
      </c>
      <c r="F559">
        <f>IFERROR(__xludf.DUMMYFUNCTION("""COMPUTED_VALUE"""),22.7)</f>
        <v>22.7</v>
      </c>
      <c r="G559">
        <f>IFERROR(__xludf.DUMMYFUNCTION("""COMPUTED_VALUE"""),11.7)</f>
        <v>11.7</v>
      </c>
    </row>
    <row r="560">
      <c r="A560">
        <f>IFERROR(__xludf.DUMMYFUNCTION("""COMPUTED_VALUE"""),173448.0)</f>
        <v>173448</v>
      </c>
      <c r="B560" t="str">
        <f>IFERROR(__xludf.DUMMYFUNCTION("""COMPUTED_VALUE"""),"Kraft Velveeta Pasteurized Process Cheese Spread")</f>
        <v>Kraft Velveeta Pasteurized Process Cheese Spread</v>
      </c>
      <c r="C560" t="str">
        <f>IFERROR(__xludf.DUMMYFUNCTION("""COMPUTED_VALUE"""),"Dairy and Egg Products")</f>
        <v>Dairy and Egg Products</v>
      </c>
      <c r="D560">
        <f>IFERROR(__xludf.DUMMYFUNCTION("""COMPUTED_VALUE"""),303.0)</f>
        <v>303</v>
      </c>
      <c r="E560">
        <f>IFERROR(__xludf.DUMMYFUNCTION("""COMPUTED_VALUE"""),22.0)</f>
        <v>22</v>
      </c>
      <c r="F560">
        <f>IFERROR(__xludf.DUMMYFUNCTION("""COMPUTED_VALUE"""),16.3)</f>
        <v>16.3</v>
      </c>
      <c r="G560">
        <f>IFERROR(__xludf.DUMMYFUNCTION("""COMPUTED_VALUE"""),9.8)</f>
        <v>9.8</v>
      </c>
    </row>
    <row r="561">
      <c r="A561">
        <f>IFERROR(__xludf.DUMMYFUNCTION("""COMPUTED_VALUE"""),173449.0)</f>
        <v>173449</v>
      </c>
      <c r="B561" t="str">
        <f>IFERROR(__xludf.DUMMYFUNCTION("""COMPUTED_VALUE"""),"Kraft Velveeta Light Reduced Fat Pasteurized Process Cheese Product")</f>
        <v>Kraft Velveeta Light Reduced Fat Pasteurized Process Cheese Product</v>
      </c>
      <c r="C561" t="str">
        <f>IFERROR(__xludf.DUMMYFUNCTION("""COMPUTED_VALUE"""),"Dairy and Egg Products")</f>
        <v>Dairy and Egg Products</v>
      </c>
      <c r="D561">
        <f>IFERROR(__xludf.DUMMYFUNCTION("""COMPUTED_VALUE"""),222.0)</f>
        <v>222</v>
      </c>
      <c r="E561">
        <f>IFERROR(__xludf.DUMMYFUNCTION("""COMPUTED_VALUE"""),10.6)</f>
        <v>10.6</v>
      </c>
      <c r="F561">
        <f>IFERROR(__xludf.DUMMYFUNCTION("""COMPUTED_VALUE"""),19.6)</f>
        <v>19.6</v>
      </c>
      <c r="G561">
        <f>IFERROR(__xludf.DUMMYFUNCTION("""COMPUTED_VALUE"""),11.8)</f>
        <v>11.8</v>
      </c>
    </row>
    <row r="562">
      <c r="A562">
        <f>IFERROR(__xludf.DUMMYFUNCTION("""COMPUTED_VALUE"""),173450.0)</f>
        <v>173450</v>
      </c>
      <c r="B562" t="str">
        <f>IFERROR(__xludf.DUMMYFUNCTION("""COMPUTED_VALUE"""),"Milk Chocolate Fluid Commercial Reduced Fat With Added Calcium")</f>
        <v>Milk Chocolate Fluid Commercial Reduced Fat With Added Calcium</v>
      </c>
      <c r="C562" t="str">
        <f>IFERROR(__xludf.DUMMYFUNCTION("""COMPUTED_VALUE"""),"Dairy and Egg Products")</f>
        <v>Dairy and Egg Products</v>
      </c>
      <c r="D562">
        <f>IFERROR(__xludf.DUMMYFUNCTION("""COMPUTED_VALUE"""),78.0)</f>
        <v>78</v>
      </c>
      <c r="E562">
        <f>IFERROR(__xludf.DUMMYFUNCTION("""COMPUTED_VALUE"""),1.9)</f>
        <v>1.9</v>
      </c>
      <c r="F562">
        <f>IFERROR(__xludf.DUMMYFUNCTION("""COMPUTED_VALUE"""),2.99)</f>
        <v>2.99</v>
      </c>
      <c r="G562">
        <f>IFERROR(__xludf.DUMMYFUNCTION("""COMPUTED_VALUE"""),12.13)</f>
        <v>12.13</v>
      </c>
    </row>
    <row r="563">
      <c r="A563">
        <f>IFERROR(__xludf.DUMMYFUNCTION("""COMPUTED_VALUE"""),173451.0)</f>
        <v>173451</v>
      </c>
      <c r="B563" t="str">
        <f>IFERROR(__xludf.DUMMYFUNCTION("""COMPUTED_VALUE"""),"Yogurt Fruit Lowfat With Low Calorie Sweetener")</f>
        <v>Yogurt Fruit Lowfat With Low Calorie Sweetener</v>
      </c>
      <c r="C563" t="str">
        <f>IFERROR(__xludf.DUMMYFUNCTION("""COMPUTED_VALUE"""),"Dairy and Egg Products")</f>
        <v>Dairy and Egg Products</v>
      </c>
      <c r="D563">
        <f>IFERROR(__xludf.DUMMYFUNCTION("""COMPUTED_VALUE"""),105.0)</f>
        <v>105</v>
      </c>
      <c r="E563">
        <f>IFERROR(__xludf.DUMMYFUNCTION("""COMPUTED_VALUE"""),1.41)</f>
        <v>1.41</v>
      </c>
      <c r="F563">
        <f>IFERROR(__xludf.DUMMYFUNCTION("""COMPUTED_VALUE"""),4.86)</f>
        <v>4.86</v>
      </c>
      <c r="G563">
        <f>IFERROR(__xludf.DUMMYFUNCTION("""COMPUTED_VALUE"""),18.6)</f>
        <v>18.6</v>
      </c>
    </row>
    <row r="564">
      <c r="A564">
        <f>IFERROR(__xludf.DUMMYFUNCTION("""COMPUTED_VALUE"""),173452.0)</f>
        <v>173452</v>
      </c>
      <c r="B564" t="str">
        <f>IFERROR(__xludf.DUMMYFUNCTION("""COMPUTED_VALUE"""),"Cheese Parmesan Dry Grated Reduced Fat")</f>
        <v>Cheese Parmesan Dry Grated Reduced Fat</v>
      </c>
      <c r="C564" t="str">
        <f>IFERROR(__xludf.DUMMYFUNCTION("""COMPUTED_VALUE"""),"Dairy and Egg Products")</f>
        <v>Dairy and Egg Products</v>
      </c>
      <c r="D564">
        <f>IFERROR(__xludf.DUMMYFUNCTION("""COMPUTED_VALUE"""),265.0)</f>
        <v>265</v>
      </c>
      <c r="E564">
        <f>IFERROR(__xludf.DUMMYFUNCTION("""COMPUTED_VALUE"""),20.0)</f>
        <v>20</v>
      </c>
      <c r="F564">
        <f>IFERROR(__xludf.DUMMYFUNCTION("""COMPUTED_VALUE"""),20.0)</f>
        <v>20</v>
      </c>
      <c r="G564">
        <f>IFERROR(__xludf.DUMMYFUNCTION("""COMPUTED_VALUE"""),1.37)</f>
        <v>1.37</v>
      </c>
    </row>
    <row r="565">
      <c r="A565">
        <f>IFERROR(__xludf.DUMMYFUNCTION("""COMPUTED_VALUE"""),173453.0)</f>
        <v>173453</v>
      </c>
      <c r="B565" t="str">
        <f>IFERROR(__xludf.DUMMYFUNCTION("""COMPUTED_VALUE"""),"Cream Substitute Flavored Liquid")</f>
        <v>Cream Substitute Flavored Liquid</v>
      </c>
      <c r="C565" t="str">
        <f>IFERROR(__xludf.DUMMYFUNCTION("""COMPUTED_VALUE"""),"Dairy and Egg Products")</f>
        <v>Dairy and Egg Products</v>
      </c>
      <c r="D565">
        <f>IFERROR(__xludf.DUMMYFUNCTION("""COMPUTED_VALUE"""),251.0)</f>
        <v>251</v>
      </c>
      <c r="E565">
        <f>IFERROR(__xludf.DUMMYFUNCTION("""COMPUTED_VALUE"""),13.5)</f>
        <v>13.5</v>
      </c>
      <c r="F565">
        <f>IFERROR(__xludf.DUMMYFUNCTION("""COMPUTED_VALUE"""),0.69)</f>
        <v>0.69</v>
      </c>
      <c r="G565">
        <f>IFERROR(__xludf.DUMMYFUNCTION("""COMPUTED_VALUE"""),35.07)</f>
        <v>35.07</v>
      </c>
    </row>
    <row r="566">
      <c r="A566">
        <f>IFERROR(__xludf.DUMMYFUNCTION("""COMPUTED_VALUE"""),173454.0)</f>
        <v>173454</v>
      </c>
      <c r="B566" t="str">
        <f>IFERROR(__xludf.DUMMYFUNCTION("""COMPUTED_VALUE"""),"Milk Dry Whole Without Added Vitamin D")</f>
        <v>Milk Dry Whole Without Added Vitamin D</v>
      </c>
      <c r="C566" t="str">
        <f>IFERROR(__xludf.DUMMYFUNCTION("""COMPUTED_VALUE"""),"Dairy and Egg Products")</f>
        <v>Dairy and Egg Products</v>
      </c>
      <c r="D566">
        <f>IFERROR(__xludf.DUMMYFUNCTION("""COMPUTED_VALUE"""),496.0)</f>
        <v>496</v>
      </c>
      <c r="E566">
        <f>IFERROR(__xludf.DUMMYFUNCTION("""COMPUTED_VALUE"""),26.71)</f>
        <v>26.71</v>
      </c>
      <c r="F566">
        <f>IFERROR(__xludf.DUMMYFUNCTION("""COMPUTED_VALUE"""),26.32)</f>
        <v>26.32</v>
      </c>
      <c r="G566">
        <f>IFERROR(__xludf.DUMMYFUNCTION("""COMPUTED_VALUE"""),38.42)</f>
        <v>38.42</v>
      </c>
    </row>
    <row r="567">
      <c r="A567">
        <f>IFERROR(__xludf.DUMMYFUNCTION("""COMPUTED_VALUE"""),173455.0)</f>
        <v>173455</v>
      </c>
      <c r="B567" t="str">
        <f>IFERROR(__xludf.DUMMYFUNCTION("""COMPUTED_VALUE"""),"Cheese Product Pasteurized Process American Reduced Fat Fortified With Vitamin D")</f>
        <v>Cheese Product Pasteurized Process American Reduced Fat Fortified With Vitamin D</v>
      </c>
      <c r="C567" t="str">
        <f>IFERROR(__xludf.DUMMYFUNCTION("""COMPUTED_VALUE"""),"Dairy and Egg Products")</f>
        <v>Dairy and Egg Products</v>
      </c>
      <c r="D567">
        <f>IFERROR(__xludf.DUMMYFUNCTION("""COMPUTED_VALUE"""),240.0)</f>
        <v>240</v>
      </c>
      <c r="E567">
        <f>IFERROR(__xludf.DUMMYFUNCTION("""COMPUTED_VALUE"""),14.1)</f>
        <v>14.1</v>
      </c>
      <c r="F567">
        <f>IFERROR(__xludf.DUMMYFUNCTION("""COMPUTED_VALUE"""),17.6)</f>
        <v>17.6</v>
      </c>
      <c r="G567">
        <f>IFERROR(__xludf.DUMMYFUNCTION("""COMPUTED_VALUE"""),10.6)</f>
        <v>10.6</v>
      </c>
    </row>
    <row r="568">
      <c r="A568">
        <f>IFERROR(__xludf.DUMMYFUNCTION("""COMPUTED_VALUE"""),173456.0)</f>
        <v>173456</v>
      </c>
      <c r="B568" t="str">
        <f>IFERROR(__xludf.DUMMYFUNCTION("""COMPUTED_VALUE"""),"Yogurt Fruit Low Fat 9 Grams Protein Per 8 Ounce Fortified With Vitamin D")</f>
        <v>Yogurt Fruit Low Fat 9 Grams Protein Per 8 Ounce Fortified With Vitamin D</v>
      </c>
      <c r="C568" t="str">
        <f>IFERROR(__xludf.DUMMYFUNCTION("""COMPUTED_VALUE"""),"Dairy and Egg Products")</f>
        <v>Dairy and Egg Products</v>
      </c>
      <c r="D568">
        <f>IFERROR(__xludf.DUMMYFUNCTION("""COMPUTED_VALUE"""),99.0)</f>
        <v>99</v>
      </c>
      <c r="E568">
        <f>IFERROR(__xludf.DUMMYFUNCTION("""COMPUTED_VALUE"""),1.15)</f>
        <v>1.15</v>
      </c>
      <c r="F568">
        <f>IFERROR(__xludf.DUMMYFUNCTION("""COMPUTED_VALUE"""),3.98)</f>
        <v>3.98</v>
      </c>
      <c r="G568">
        <f>IFERROR(__xludf.DUMMYFUNCTION("""COMPUTED_VALUE"""),18.64)</f>
        <v>18.64</v>
      </c>
    </row>
    <row r="569">
      <c r="A569">
        <f>IFERROR(__xludf.DUMMYFUNCTION("""COMPUTED_VALUE"""),173457.0)</f>
        <v>173457</v>
      </c>
      <c r="B569" t="str">
        <f>IFERROR(__xludf.DUMMYFUNCTION("""COMPUTED_VALUE"""),"Low Fat Fruit Yogurt (With Vitamin D)")</f>
        <v>Low Fat Fruit Yogurt (With Vitamin D)</v>
      </c>
      <c r="C569" t="str">
        <f>IFERROR(__xludf.DUMMYFUNCTION("""COMPUTED_VALUE"""),"Dairy and Egg Products")</f>
        <v>Dairy and Egg Products</v>
      </c>
      <c r="D569">
        <f>IFERROR(__xludf.DUMMYFUNCTION("""COMPUTED_VALUE"""),102.0)</f>
        <v>102</v>
      </c>
      <c r="E569">
        <f>IFERROR(__xludf.DUMMYFUNCTION("""COMPUTED_VALUE"""),1.08)</f>
        <v>1.08</v>
      </c>
      <c r="F569">
        <f>IFERROR(__xludf.DUMMYFUNCTION("""COMPUTED_VALUE"""),4.37)</f>
        <v>4.37</v>
      </c>
      <c r="G569">
        <f>IFERROR(__xludf.DUMMYFUNCTION("""COMPUTED_VALUE"""),19.05)</f>
        <v>19.05</v>
      </c>
    </row>
    <row r="570">
      <c r="A570">
        <f>IFERROR(__xludf.DUMMYFUNCTION("""COMPUTED_VALUE"""),173458.0)</f>
        <v>173458</v>
      </c>
      <c r="B570" t="str">
        <f>IFERROR(__xludf.DUMMYFUNCTION("""COMPUTED_VALUE"""),"Yogurt Fruit Variety Nonfat Fortified With Vitamin D")</f>
        <v>Yogurt Fruit Variety Nonfat Fortified With Vitamin D</v>
      </c>
      <c r="C570" t="str">
        <f>IFERROR(__xludf.DUMMYFUNCTION("""COMPUTED_VALUE"""),"Dairy and Egg Products")</f>
        <v>Dairy and Egg Products</v>
      </c>
      <c r="D570">
        <f>IFERROR(__xludf.DUMMYFUNCTION("""COMPUTED_VALUE"""),95.0)</f>
        <v>95</v>
      </c>
      <c r="E570">
        <f>IFERROR(__xludf.DUMMYFUNCTION("""COMPUTED_VALUE"""),0.2)</f>
        <v>0.2</v>
      </c>
      <c r="F570">
        <f>IFERROR(__xludf.DUMMYFUNCTION("""COMPUTED_VALUE"""),4.4)</f>
        <v>4.4</v>
      </c>
      <c r="G570">
        <f>IFERROR(__xludf.DUMMYFUNCTION("""COMPUTED_VALUE"""),19.0)</f>
        <v>19</v>
      </c>
    </row>
    <row r="571">
      <c r="A571">
        <f>IFERROR(__xludf.DUMMYFUNCTION("""COMPUTED_VALUE"""),173459.0)</f>
        <v>173459</v>
      </c>
      <c r="B571" t="str">
        <f>IFERROR(__xludf.DUMMYFUNCTION("""COMPUTED_VALUE"""),"Protein Supplement Milk Based Muscle Milk Powder")</f>
        <v>Protein Supplement Milk Based Muscle Milk Powder</v>
      </c>
      <c r="C571" t="str">
        <f>IFERROR(__xludf.DUMMYFUNCTION("""COMPUTED_VALUE"""),"Dairy and Egg Products")</f>
        <v>Dairy and Egg Products</v>
      </c>
      <c r="D571">
        <f>IFERROR(__xludf.DUMMYFUNCTION("""COMPUTED_VALUE"""),411.0)</f>
        <v>411</v>
      </c>
      <c r="E571">
        <f>IFERROR(__xludf.DUMMYFUNCTION("""COMPUTED_VALUE"""),17.14)</f>
        <v>17.14</v>
      </c>
      <c r="F571">
        <f>IFERROR(__xludf.DUMMYFUNCTION("""COMPUTED_VALUE"""),45.71)</f>
        <v>45.71</v>
      </c>
      <c r="G571">
        <f>IFERROR(__xludf.DUMMYFUNCTION("""COMPUTED_VALUE"""),18.5)</f>
        <v>18.5</v>
      </c>
    </row>
    <row r="572">
      <c r="A572">
        <f>IFERROR(__xludf.DUMMYFUNCTION("""COMPUTED_VALUE"""),173460.0)</f>
        <v>173460</v>
      </c>
      <c r="B572" t="str">
        <f>IFERROR(__xludf.DUMMYFUNCTION("""COMPUTED_VALUE"""),"Protein Supplement Milk Based Muscle Milk Light Powder")</f>
        <v>Protein Supplement Milk Based Muscle Milk Light Powder</v>
      </c>
      <c r="C572" t="str">
        <f>IFERROR(__xludf.DUMMYFUNCTION("""COMPUTED_VALUE"""),"Dairy and Egg Products")</f>
        <v>Dairy and Egg Products</v>
      </c>
      <c r="D572">
        <f>IFERROR(__xludf.DUMMYFUNCTION("""COMPUTED_VALUE"""),396.0)</f>
        <v>396</v>
      </c>
      <c r="E572">
        <f>IFERROR(__xludf.DUMMYFUNCTION("""COMPUTED_VALUE"""),12.0)</f>
        <v>12</v>
      </c>
      <c r="F572">
        <f>IFERROR(__xludf.DUMMYFUNCTION("""COMPUTED_VALUE"""),50.0)</f>
        <v>50</v>
      </c>
      <c r="G572">
        <f>IFERROR(__xludf.DUMMYFUNCTION("""COMPUTED_VALUE"""),22.0)</f>
        <v>22</v>
      </c>
    </row>
    <row r="573">
      <c r="A573">
        <f>IFERROR(__xludf.DUMMYFUNCTION("""COMPUTED_VALUE"""),173461.0)</f>
        <v>173461</v>
      </c>
      <c r="B573" t="str">
        <f>IFERROR(__xludf.DUMMYFUNCTION("""COMPUTED_VALUE"""),"Dulce De Leche")</f>
        <v>Dulce De Leche</v>
      </c>
      <c r="C573" t="str">
        <f>IFERROR(__xludf.DUMMYFUNCTION("""COMPUTED_VALUE"""),"Dairy and Egg Products")</f>
        <v>Dairy and Egg Products</v>
      </c>
      <c r="D573">
        <f>IFERROR(__xludf.DUMMYFUNCTION("""COMPUTED_VALUE"""),315.0)</f>
        <v>315</v>
      </c>
      <c r="E573">
        <f>IFERROR(__xludf.DUMMYFUNCTION("""COMPUTED_VALUE"""),7.35)</f>
        <v>7.35</v>
      </c>
      <c r="F573">
        <f>IFERROR(__xludf.DUMMYFUNCTION("""COMPUTED_VALUE"""),6.84)</f>
        <v>6.84</v>
      </c>
      <c r="G573">
        <f>IFERROR(__xludf.DUMMYFUNCTION("""COMPUTED_VALUE"""),55.35)</f>
        <v>55.35</v>
      </c>
    </row>
    <row r="574">
      <c r="A574">
        <f>IFERROR(__xludf.DUMMYFUNCTION("""COMPUTED_VALUE"""),173462.0)</f>
        <v>173462</v>
      </c>
      <c r="B574" t="str">
        <f>IFERROR(__xludf.DUMMYFUNCTION("""COMPUTED_VALUE"""),"Egg Substitute Liquid Or Frozen Fat Free")</f>
        <v>Egg Substitute Liquid Or Frozen Fat Free</v>
      </c>
      <c r="C574" t="str">
        <f>IFERROR(__xludf.DUMMYFUNCTION("""COMPUTED_VALUE"""),"Dairy and Egg Products")</f>
        <v>Dairy and Egg Products</v>
      </c>
      <c r="D574">
        <f>IFERROR(__xludf.DUMMYFUNCTION("""COMPUTED_VALUE"""),48.0)</f>
        <v>48</v>
      </c>
      <c r="E574">
        <f>IFERROR(__xludf.DUMMYFUNCTION("""COMPUTED_VALUE"""),0.0)</f>
        <v>0</v>
      </c>
      <c r="F574">
        <f>IFERROR(__xludf.DUMMYFUNCTION("""COMPUTED_VALUE"""),10.0)</f>
        <v>10</v>
      </c>
      <c r="G574">
        <f>IFERROR(__xludf.DUMMYFUNCTION("""COMPUTED_VALUE"""),2.0)</f>
        <v>2</v>
      </c>
    </row>
    <row r="575">
      <c r="A575">
        <f>IFERROR(__xludf.DUMMYFUNCTION("""COMPUTED_VALUE"""),173463.0)</f>
        <v>173463</v>
      </c>
      <c r="B575" t="str">
        <f>IFERROR(__xludf.DUMMYFUNCTION("""COMPUTED_VALUE"""),"Yogurt Vanilla Flavor Lowfat Milk Sweetened With Low Calorie Sweetener")</f>
        <v>Yogurt Vanilla Flavor Lowfat Milk Sweetened With Low Calorie Sweetener</v>
      </c>
      <c r="C575" t="str">
        <f>IFERROR(__xludf.DUMMYFUNCTION("""COMPUTED_VALUE"""),"Dairy and Egg Products")</f>
        <v>Dairy and Egg Products</v>
      </c>
      <c r="D575">
        <f>IFERROR(__xludf.DUMMYFUNCTION("""COMPUTED_VALUE"""),86.0)</f>
        <v>86</v>
      </c>
      <c r="E575">
        <f>IFERROR(__xludf.DUMMYFUNCTION("""COMPUTED_VALUE"""),1.25)</f>
        <v>1.25</v>
      </c>
      <c r="F575">
        <f>IFERROR(__xludf.DUMMYFUNCTION("""COMPUTED_VALUE"""),4.93)</f>
        <v>4.93</v>
      </c>
      <c r="G575">
        <f>IFERROR(__xludf.DUMMYFUNCTION("""COMPUTED_VALUE"""),13.8)</f>
        <v>13.8</v>
      </c>
    </row>
    <row r="576">
      <c r="A576">
        <f>IFERROR(__xludf.DUMMYFUNCTION("""COMPUTED_VALUE"""),173464.0)</f>
        <v>173464</v>
      </c>
      <c r="B576" t="str">
        <f>IFERROR(__xludf.DUMMYFUNCTION("""COMPUTED_VALUE"""),"Yogurt Frozen Flavors Not Chocolate Nonfat Milk With Low-Calorie Sweetener")</f>
        <v>Yogurt Frozen Flavors Not Chocolate Nonfat Milk With Low-Calorie Sweetener</v>
      </c>
      <c r="C576" t="str">
        <f>IFERROR(__xludf.DUMMYFUNCTION("""COMPUTED_VALUE"""),"Dairy and Egg Products")</f>
        <v>Dairy and Egg Products</v>
      </c>
      <c r="D576">
        <f>IFERROR(__xludf.DUMMYFUNCTION("""COMPUTED_VALUE"""),104.0)</f>
        <v>104</v>
      </c>
      <c r="E576">
        <f>IFERROR(__xludf.DUMMYFUNCTION("""COMPUTED_VALUE"""),0.8)</f>
        <v>0.8</v>
      </c>
      <c r="F576">
        <f>IFERROR(__xludf.DUMMYFUNCTION("""COMPUTED_VALUE"""),4.4)</f>
        <v>4.4</v>
      </c>
      <c r="G576">
        <f>IFERROR(__xludf.DUMMYFUNCTION("""COMPUTED_VALUE"""),19.7)</f>
        <v>19.7</v>
      </c>
    </row>
    <row r="577">
      <c r="A577">
        <f>IFERROR(__xludf.DUMMYFUNCTION("""COMPUTED_VALUE"""),173465.0)</f>
        <v>173465</v>
      </c>
      <c r="B577" t="str">
        <f>IFERROR(__xludf.DUMMYFUNCTION("""COMPUTED_VALUE"""),"Soft Serve Chocolate Ice Cream")</f>
        <v>Soft Serve Chocolate Ice Cream</v>
      </c>
      <c r="C577" t="str">
        <f>IFERROR(__xludf.DUMMYFUNCTION("""COMPUTED_VALUE"""),"Dairy and Egg Products")</f>
        <v>Dairy and Egg Products</v>
      </c>
      <c r="D577">
        <f>IFERROR(__xludf.DUMMYFUNCTION("""COMPUTED_VALUE"""),222.0)</f>
        <v>222</v>
      </c>
      <c r="E577">
        <f>IFERROR(__xludf.DUMMYFUNCTION("""COMPUTED_VALUE"""),13.0)</f>
        <v>13</v>
      </c>
      <c r="F577">
        <f>IFERROR(__xludf.DUMMYFUNCTION("""COMPUTED_VALUE"""),4.1)</f>
        <v>4.1</v>
      </c>
      <c r="G577">
        <f>IFERROR(__xludf.DUMMYFUNCTION("""COMPUTED_VALUE"""),22.2)</f>
        <v>22.2</v>
      </c>
    </row>
    <row r="578">
      <c r="A578">
        <f>IFERROR(__xludf.DUMMYFUNCTION("""COMPUTED_VALUE"""),173466.0)</f>
        <v>173466</v>
      </c>
      <c r="B578" t="str">
        <f>IFERROR(__xludf.DUMMYFUNCTION("""COMPUTED_VALUE"""),"Ice Cream Bar Or Stick Chocolate Covered")</f>
        <v>Ice Cream Bar Or Stick Chocolate Covered</v>
      </c>
      <c r="C578" t="str">
        <f>IFERROR(__xludf.DUMMYFUNCTION("""COMPUTED_VALUE"""),"Dairy and Egg Products")</f>
        <v>Dairy and Egg Products</v>
      </c>
      <c r="D578">
        <f>IFERROR(__xludf.DUMMYFUNCTION("""COMPUTED_VALUE"""),331.0)</f>
        <v>331</v>
      </c>
      <c r="E578">
        <f>IFERROR(__xludf.DUMMYFUNCTION("""COMPUTED_VALUE"""),24.1)</f>
        <v>24.1</v>
      </c>
      <c r="F578">
        <f>IFERROR(__xludf.DUMMYFUNCTION("""COMPUTED_VALUE"""),4.1)</f>
        <v>4.1</v>
      </c>
      <c r="G578">
        <f>IFERROR(__xludf.DUMMYFUNCTION("""COMPUTED_VALUE"""),24.5)</f>
        <v>24.5</v>
      </c>
    </row>
    <row r="579">
      <c r="A579">
        <f>IFERROR(__xludf.DUMMYFUNCTION("""COMPUTED_VALUE"""),173467.0)</f>
        <v>173467</v>
      </c>
      <c r="B579" t="str">
        <f>IFERROR(__xludf.DUMMYFUNCTION("""COMPUTED_VALUE"""),"Fat Free Ice Cream No Sugar Added Flavors Other Than Chocolate")</f>
        <v>Fat Free Ice Cream No Sugar Added Flavors Other Than Chocolate</v>
      </c>
      <c r="C579" t="str">
        <f>IFERROR(__xludf.DUMMYFUNCTION("""COMPUTED_VALUE"""),"Dairy and Egg Products")</f>
        <v>Dairy and Egg Products</v>
      </c>
      <c r="D579">
        <f>IFERROR(__xludf.DUMMYFUNCTION("""COMPUTED_VALUE"""),133.0)</f>
        <v>133</v>
      </c>
      <c r="E579">
        <f>IFERROR(__xludf.DUMMYFUNCTION("""COMPUTED_VALUE"""),0.0)</f>
        <v>0</v>
      </c>
      <c r="F579">
        <f>IFERROR(__xludf.DUMMYFUNCTION("""COMPUTED_VALUE"""),4.41)</f>
        <v>4.41</v>
      </c>
      <c r="G579">
        <f>IFERROR(__xludf.DUMMYFUNCTION("""COMPUTED_VALUE"""),28.86)</f>
        <v>28.86</v>
      </c>
    </row>
    <row r="580">
      <c r="A580">
        <f>IFERROR(__xludf.DUMMYFUNCTION("""COMPUTED_VALUE"""),173562.0)</f>
        <v>173562</v>
      </c>
      <c r="B580" t="str">
        <f>IFERROR(__xludf.DUMMYFUNCTION("""COMPUTED_VALUE"""),"Salad Dressing Blue Or Roquefort Cheese Dressing Commercial Regular")</f>
        <v>Salad Dressing Blue Or Roquefort Cheese Dressing Commercial Regular</v>
      </c>
      <c r="C580" t="str">
        <f>IFERROR(__xludf.DUMMYFUNCTION("""COMPUTED_VALUE"""),"Fats and Oils")</f>
        <v>Fats and Oils</v>
      </c>
      <c r="D580">
        <f>IFERROR(__xludf.DUMMYFUNCTION("""COMPUTED_VALUE"""),484.0)</f>
        <v>484</v>
      </c>
      <c r="E580">
        <f>IFERROR(__xludf.DUMMYFUNCTION("""COMPUTED_VALUE"""),51.1)</f>
        <v>51.1</v>
      </c>
      <c r="F580">
        <f>IFERROR(__xludf.DUMMYFUNCTION("""COMPUTED_VALUE"""),1.37)</f>
        <v>1.37</v>
      </c>
      <c r="G580">
        <f>IFERROR(__xludf.DUMMYFUNCTION("""COMPUTED_VALUE"""),4.77)</f>
        <v>4.77</v>
      </c>
    </row>
    <row r="581">
      <c r="A581">
        <f>IFERROR(__xludf.DUMMYFUNCTION("""COMPUTED_VALUE"""),173563.0)</f>
        <v>173563</v>
      </c>
      <c r="B581" t="str">
        <f>IFERROR(__xludf.DUMMYFUNCTION("""COMPUTED_VALUE"""),"Oil Cupu Assu")</f>
        <v>Oil Cupu Assu</v>
      </c>
      <c r="C581" t="str">
        <f>IFERROR(__xludf.DUMMYFUNCTION("""COMPUTED_VALUE"""),"Fats and Oils")</f>
        <v>Fats and Oils</v>
      </c>
      <c r="D581">
        <f>IFERROR(__xludf.DUMMYFUNCTION("""COMPUTED_VALUE"""),884.0)</f>
        <v>884</v>
      </c>
      <c r="E581">
        <f>IFERROR(__xludf.DUMMYFUNCTION("""COMPUTED_VALUE"""),100.0)</f>
        <v>100</v>
      </c>
      <c r="F581">
        <f>IFERROR(__xludf.DUMMYFUNCTION("""COMPUTED_VALUE"""),0.0)</f>
        <v>0</v>
      </c>
      <c r="G581">
        <f>IFERROR(__xludf.DUMMYFUNCTION("""COMPUTED_VALUE"""),0.0)</f>
        <v>0</v>
      </c>
    </row>
    <row r="582">
      <c r="A582">
        <f>IFERROR(__xludf.DUMMYFUNCTION("""COMPUTED_VALUE"""),173564.0)</f>
        <v>173564</v>
      </c>
      <c r="B582" t="str">
        <f>IFERROR(__xludf.DUMMYFUNCTION("""COMPUTED_VALUE"""),"Rendered Chicken Fat")</f>
        <v>Rendered Chicken Fat</v>
      </c>
      <c r="C582" t="str">
        <f>IFERROR(__xludf.DUMMYFUNCTION("""COMPUTED_VALUE"""),"Fats and Oils")</f>
        <v>Fats and Oils</v>
      </c>
      <c r="D582">
        <f>IFERROR(__xludf.DUMMYFUNCTION("""COMPUTED_VALUE"""),900.0)</f>
        <v>900</v>
      </c>
      <c r="E582">
        <f>IFERROR(__xludf.DUMMYFUNCTION("""COMPUTED_VALUE"""),99.8)</f>
        <v>99.8</v>
      </c>
      <c r="F582">
        <f>IFERROR(__xludf.DUMMYFUNCTION("""COMPUTED_VALUE"""),0.0)</f>
        <v>0</v>
      </c>
      <c r="G582">
        <f>IFERROR(__xludf.DUMMYFUNCTION("""COMPUTED_VALUE"""),0.0)</f>
        <v>0</v>
      </c>
    </row>
    <row r="583">
      <c r="A583">
        <f>IFERROR(__xludf.DUMMYFUNCTION("""COMPUTED_VALUE"""),173565.0)</f>
        <v>173565</v>
      </c>
      <c r="B583" t="str">
        <f>IFERROR(__xludf.DUMMYFUNCTION("""COMPUTED_VALUE"""),"Oil Soybean Salad Or Cooking (Partially Hydrogenated) And Cottonseed")</f>
        <v>Oil Soybean Salad Or Cooking (Partially Hydrogenated) And Cottonseed</v>
      </c>
      <c r="C583" t="str">
        <f>IFERROR(__xludf.DUMMYFUNCTION("""COMPUTED_VALUE"""),"Fats and Oils")</f>
        <v>Fats and Oils</v>
      </c>
      <c r="D583">
        <f>IFERROR(__xludf.DUMMYFUNCTION("""COMPUTED_VALUE"""),884.0)</f>
        <v>884</v>
      </c>
      <c r="E583">
        <f>IFERROR(__xludf.DUMMYFUNCTION("""COMPUTED_VALUE"""),100.0)</f>
        <v>100</v>
      </c>
      <c r="F583">
        <f>IFERROR(__xludf.DUMMYFUNCTION("""COMPUTED_VALUE"""),0.0)</f>
        <v>0</v>
      </c>
      <c r="G583">
        <f>IFERROR(__xludf.DUMMYFUNCTION("""COMPUTED_VALUE"""),0.0)</f>
        <v>0</v>
      </c>
    </row>
    <row r="584">
      <c r="A584">
        <f>IFERROR(__xludf.DUMMYFUNCTION("""COMPUTED_VALUE"""),173566.0)</f>
        <v>173566</v>
      </c>
      <c r="B584" t="str">
        <f>IFERROR(__xludf.DUMMYFUNCTION("""COMPUTED_VALUE"""),"Shortening")</f>
        <v>Shortening</v>
      </c>
      <c r="C584" t="str">
        <f>IFERROR(__xludf.DUMMYFUNCTION("""COMPUTED_VALUE"""),"Fats and Oils")</f>
        <v>Fats and Oils</v>
      </c>
      <c r="D584">
        <f>IFERROR(__xludf.DUMMYFUNCTION("""COMPUTED_VALUE"""),900.0)</f>
        <v>900</v>
      </c>
      <c r="E584">
        <f>IFERROR(__xludf.DUMMYFUNCTION("""COMPUTED_VALUE"""),100.0)</f>
        <v>100</v>
      </c>
      <c r="F584">
        <f>IFERROR(__xludf.DUMMYFUNCTION("""COMPUTED_VALUE"""),0.0)</f>
        <v>0</v>
      </c>
      <c r="G584">
        <f>IFERROR(__xludf.DUMMYFUNCTION("""COMPUTED_VALUE"""),0.0)</f>
        <v>0</v>
      </c>
    </row>
    <row r="585">
      <c r="A585">
        <f>IFERROR(__xludf.DUMMYFUNCTION("""COMPUTED_VALUE"""),173567.0)</f>
        <v>173567</v>
      </c>
      <c r="B585" t="str">
        <f>IFERROR(__xludf.DUMMYFUNCTION("""COMPUTED_VALUE"""),"Shortening Frying (Heavy Duty) Beef Tallow And Cottonseed")</f>
        <v>Shortening Frying (Heavy Duty) Beef Tallow And Cottonseed</v>
      </c>
      <c r="C585" t="str">
        <f>IFERROR(__xludf.DUMMYFUNCTION("""COMPUTED_VALUE"""),"Fats and Oils")</f>
        <v>Fats and Oils</v>
      </c>
      <c r="D585">
        <f>IFERROR(__xludf.DUMMYFUNCTION("""COMPUTED_VALUE"""),900.0)</f>
        <v>900</v>
      </c>
      <c r="E585">
        <f>IFERROR(__xludf.DUMMYFUNCTION("""COMPUTED_VALUE"""),100.0)</f>
        <v>100</v>
      </c>
      <c r="F585">
        <f>IFERROR(__xludf.DUMMYFUNCTION("""COMPUTED_VALUE"""),0.0)</f>
        <v>0</v>
      </c>
      <c r="G585">
        <f>IFERROR(__xludf.DUMMYFUNCTION("""COMPUTED_VALUE"""),0.0)</f>
        <v>0</v>
      </c>
    </row>
    <row r="586">
      <c r="A586">
        <f>IFERROR(__xludf.DUMMYFUNCTION("""COMPUTED_VALUE"""),173568.0)</f>
        <v>173568</v>
      </c>
      <c r="B586" t="str">
        <f>IFERROR(__xludf.DUMMYFUNCTION("""COMPUTED_VALUE"""),"Shortening Confectionery Coconut (Hydrogenated) And Or Palm Kernel (Hydrogenated)")</f>
        <v>Shortening Confectionery Coconut (Hydrogenated) And Or Palm Kernel (Hydrogenated)</v>
      </c>
      <c r="C586" t="str">
        <f>IFERROR(__xludf.DUMMYFUNCTION("""COMPUTED_VALUE"""),"Fats and Oils")</f>
        <v>Fats and Oils</v>
      </c>
      <c r="D586">
        <f>IFERROR(__xludf.DUMMYFUNCTION("""COMPUTED_VALUE"""),884.0)</f>
        <v>884</v>
      </c>
      <c r="E586">
        <f>IFERROR(__xludf.DUMMYFUNCTION("""COMPUTED_VALUE"""),100.0)</f>
        <v>100</v>
      </c>
      <c r="F586">
        <f>IFERROR(__xludf.DUMMYFUNCTION("""COMPUTED_VALUE"""),0.0)</f>
        <v>0</v>
      </c>
      <c r="G586">
        <f>IFERROR(__xludf.DUMMYFUNCTION("""COMPUTED_VALUE"""),0.0)</f>
        <v>0</v>
      </c>
    </row>
    <row r="587">
      <c r="A587">
        <f>IFERROR(__xludf.DUMMYFUNCTION("""COMPUTED_VALUE"""),173569.0)</f>
        <v>173569</v>
      </c>
      <c r="B587" t="str">
        <f>IFERROR(__xludf.DUMMYFUNCTION("""COMPUTED_VALUE"""),"Shortening Industrial Soybean (Hydrogenated) And Cottonseed")</f>
        <v>Shortening Industrial Soybean (Hydrogenated) And Cottonseed</v>
      </c>
      <c r="C587" t="str">
        <f>IFERROR(__xludf.DUMMYFUNCTION("""COMPUTED_VALUE"""),"Fats and Oils")</f>
        <v>Fats and Oils</v>
      </c>
      <c r="D587">
        <f>IFERROR(__xludf.DUMMYFUNCTION("""COMPUTED_VALUE"""),884.0)</f>
        <v>884</v>
      </c>
      <c r="E587">
        <f>IFERROR(__xludf.DUMMYFUNCTION("""COMPUTED_VALUE"""),100.0)</f>
        <v>100</v>
      </c>
      <c r="F587">
        <f>IFERROR(__xludf.DUMMYFUNCTION("""COMPUTED_VALUE"""),0.0)</f>
        <v>0</v>
      </c>
      <c r="G587">
        <f>IFERROR(__xludf.DUMMYFUNCTION("""COMPUTED_VALUE"""),0.0)</f>
        <v>0</v>
      </c>
    </row>
    <row r="588">
      <c r="A588">
        <f>IFERROR(__xludf.DUMMYFUNCTION("""COMPUTED_VALUE"""),173570.0)</f>
        <v>173570</v>
      </c>
      <c r="B588" t="str">
        <f>IFERROR(__xludf.DUMMYFUNCTION("""COMPUTED_VALUE"""),"Oil Ucuhuba Butter")</f>
        <v>Oil Ucuhuba Butter</v>
      </c>
      <c r="C588" t="str">
        <f>IFERROR(__xludf.DUMMYFUNCTION("""COMPUTED_VALUE"""),"Fats and Oils")</f>
        <v>Fats and Oils</v>
      </c>
      <c r="D588">
        <f>IFERROR(__xludf.DUMMYFUNCTION("""COMPUTED_VALUE"""),884.0)</f>
        <v>884</v>
      </c>
      <c r="E588">
        <f>IFERROR(__xludf.DUMMYFUNCTION("""COMPUTED_VALUE"""),100.0)</f>
        <v>100</v>
      </c>
      <c r="F588">
        <f>IFERROR(__xludf.DUMMYFUNCTION("""COMPUTED_VALUE"""),0.0)</f>
        <v>0</v>
      </c>
      <c r="G588">
        <f>IFERROR(__xludf.DUMMYFUNCTION("""COMPUTED_VALUE"""),0.0)</f>
        <v>0</v>
      </c>
    </row>
    <row r="589">
      <c r="A589">
        <f>IFERROR(__xludf.DUMMYFUNCTION("""COMPUTED_VALUE"""),173571.0)</f>
        <v>173571</v>
      </c>
      <c r="B589" t="str">
        <f>IFERROR(__xludf.DUMMYFUNCTION("""COMPUTED_VALUE"""),"Fat Turkey")</f>
        <v>Fat Turkey</v>
      </c>
      <c r="C589" t="str">
        <f>IFERROR(__xludf.DUMMYFUNCTION("""COMPUTED_VALUE"""),"Fats and Oils")</f>
        <v>Fats and Oils</v>
      </c>
      <c r="D589">
        <f>IFERROR(__xludf.DUMMYFUNCTION("""COMPUTED_VALUE"""),900.0)</f>
        <v>900</v>
      </c>
      <c r="E589">
        <f>IFERROR(__xludf.DUMMYFUNCTION("""COMPUTED_VALUE"""),99.8)</f>
        <v>99.8</v>
      </c>
      <c r="F589">
        <f>IFERROR(__xludf.DUMMYFUNCTION("""COMPUTED_VALUE"""),0.0)</f>
        <v>0</v>
      </c>
      <c r="G589">
        <f>IFERROR(__xludf.DUMMYFUNCTION("""COMPUTED_VALUE"""),0.0)</f>
        <v>0</v>
      </c>
    </row>
    <row r="590">
      <c r="A590">
        <f>IFERROR(__xludf.DUMMYFUNCTION("""COMPUTED_VALUE"""),173572.0)</f>
        <v>173572</v>
      </c>
      <c r="B590" t="str">
        <f>IFERROR(__xludf.DUMMYFUNCTION("""COMPUTED_VALUE"""),"Fat Goose")</f>
        <v>Fat Goose</v>
      </c>
      <c r="C590" t="str">
        <f>IFERROR(__xludf.DUMMYFUNCTION("""COMPUTED_VALUE"""),"Fats and Oils")</f>
        <v>Fats and Oils</v>
      </c>
      <c r="D590">
        <f>IFERROR(__xludf.DUMMYFUNCTION("""COMPUTED_VALUE"""),900.0)</f>
        <v>900</v>
      </c>
      <c r="E590">
        <f>IFERROR(__xludf.DUMMYFUNCTION("""COMPUTED_VALUE"""),99.8)</f>
        <v>99.8</v>
      </c>
      <c r="F590">
        <f>IFERROR(__xludf.DUMMYFUNCTION("""COMPUTED_VALUE"""),0.0)</f>
        <v>0</v>
      </c>
      <c r="G590">
        <f>IFERROR(__xludf.DUMMYFUNCTION("""COMPUTED_VALUE"""),0.0)</f>
        <v>0</v>
      </c>
    </row>
    <row r="591">
      <c r="A591">
        <f>IFERROR(__xludf.DUMMYFUNCTION("""COMPUTED_VALUE"""),173573.0)</f>
        <v>173573</v>
      </c>
      <c r="B591" t="str">
        <f>IFERROR(__xludf.DUMMYFUNCTION("""COMPUTED_VALUE"""),"Avocado Oil")</f>
        <v>Avocado Oil</v>
      </c>
      <c r="C591" t="str">
        <f>IFERROR(__xludf.DUMMYFUNCTION("""COMPUTED_VALUE"""),"Fats and Oils")</f>
        <v>Fats and Oils</v>
      </c>
      <c r="D591">
        <f>IFERROR(__xludf.DUMMYFUNCTION("""COMPUTED_VALUE"""),884.0)</f>
        <v>884</v>
      </c>
      <c r="E591">
        <f>IFERROR(__xludf.DUMMYFUNCTION("""COMPUTED_VALUE"""),100.0)</f>
        <v>100</v>
      </c>
      <c r="F591">
        <f>IFERROR(__xludf.DUMMYFUNCTION("""COMPUTED_VALUE"""),0.0)</f>
        <v>0</v>
      </c>
      <c r="G591">
        <f>IFERROR(__xludf.DUMMYFUNCTION("""COMPUTED_VALUE"""),0.0)</f>
        <v>0</v>
      </c>
    </row>
    <row r="592">
      <c r="A592">
        <f>IFERROR(__xludf.DUMMYFUNCTION("""COMPUTED_VALUE"""),173574.0)</f>
        <v>173574</v>
      </c>
      <c r="B592" t="str">
        <f>IFERROR(__xludf.DUMMYFUNCTION("""COMPUTED_VALUE"""),"Shortening Special Purpose For Cakes And Frostings Soybean (Hydrogenated)")</f>
        <v>Shortening Special Purpose For Cakes And Frostings Soybean (Hydrogenated)</v>
      </c>
      <c r="C592" t="str">
        <f>IFERROR(__xludf.DUMMYFUNCTION("""COMPUTED_VALUE"""),"Fats and Oils")</f>
        <v>Fats and Oils</v>
      </c>
      <c r="D592">
        <f>IFERROR(__xludf.DUMMYFUNCTION("""COMPUTED_VALUE"""),884.0)</f>
        <v>884</v>
      </c>
      <c r="E592">
        <f>IFERROR(__xludf.DUMMYFUNCTION("""COMPUTED_VALUE"""),100.0)</f>
        <v>100</v>
      </c>
      <c r="F592">
        <f>IFERROR(__xludf.DUMMYFUNCTION("""COMPUTED_VALUE"""),0.0)</f>
        <v>0</v>
      </c>
      <c r="G592">
        <f>IFERROR(__xludf.DUMMYFUNCTION("""COMPUTED_VALUE"""),0.0)</f>
        <v>0</v>
      </c>
    </row>
    <row r="593">
      <c r="A593">
        <f>IFERROR(__xludf.DUMMYFUNCTION("""COMPUTED_VALUE"""),173575.0)</f>
        <v>173575</v>
      </c>
      <c r="B593" t="str">
        <f>IFERROR(__xludf.DUMMYFUNCTION("""COMPUTED_VALUE"""),"Shortening Special Purpose For Baking Soybean (Hydrogenated) Palm And Cottonseed")</f>
        <v>Shortening Special Purpose For Baking Soybean (Hydrogenated) Palm And Cottonseed</v>
      </c>
      <c r="C593" t="str">
        <f>IFERROR(__xludf.DUMMYFUNCTION("""COMPUTED_VALUE"""),"Fats and Oils")</f>
        <v>Fats and Oils</v>
      </c>
      <c r="D593">
        <f>IFERROR(__xludf.DUMMYFUNCTION("""COMPUTED_VALUE"""),884.0)</f>
        <v>884</v>
      </c>
      <c r="E593">
        <f>IFERROR(__xludf.DUMMYFUNCTION("""COMPUTED_VALUE"""),100.0)</f>
        <v>100</v>
      </c>
      <c r="F593">
        <f>IFERROR(__xludf.DUMMYFUNCTION("""COMPUTED_VALUE"""),0.0)</f>
        <v>0</v>
      </c>
      <c r="G593">
        <f>IFERROR(__xludf.DUMMYFUNCTION("""COMPUTED_VALUE"""),0.0)</f>
        <v>0</v>
      </c>
    </row>
    <row r="594">
      <c r="A594">
        <f>IFERROR(__xludf.DUMMYFUNCTION("""COMPUTED_VALUE"""),173576.0)</f>
        <v>173576</v>
      </c>
      <c r="B594" t="str">
        <f>IFERROR(__xludf.DUMMYFUNCTION("""COMPUTED_VALUE"""),"Oil Oat")</f>
        <v>Oil Oat</v>
      </c>
      <c r="C594" t="str">
        <f>IFERROR(__xludf.DUMMYFUNCTION("""COMPUTED_VALUE"""),"Fats and Oils")</f>
        <v>Fats and Oils</v>
      </c>
      <c r="D594">
        <f>IFERROR(__xludf.DUMMYFUNCTION("""COMPUTED_VALUE"""),884.0)</f>
        <v>884</v>
      </c>
      <c r="E594">
        <f>IFERROR(__xludf.DUMMYFUNCTION("""COMPUTED_VALUE"""),100.0)</f>
        <v>100</v>
      </c>
      <c r="F594">
        <f>IFERROR(__xludf.DUMMYFUNCTION("""COMPUTED_VALUE"""),0.0)</f>
        <v>0</v>
      </c>
      <c r="G594">
        <f>IFERROR(__xludf.DUMMYFUNCTION("""COMPUTED_VALUE"""),0.0)</f>
        <v>0</v>
      </c>
    </row>
    <row r="595">
      <c r="A595">
        <f>IFERROR(__xludf.DUMMYFUNCTION("""COMPUTED_VALUE"""),173577.0)</f>
        <v>173577</v>
      </c>
      <c r="B595" t="str">
        <f>IFERROR(__xludf.DUMMYFUNCTION("""COMPUTED_VALUE"""),"Cod Liver Oil")</f>
        <v>Cod Liver Oil</v>
      </c>
      <c r="C595" t="str">
        <f>IFERROR(__xludf.DUMMYFUNCTION("""COMPUTED_VALUE"""),"Fats and Oils")</f>
        <v>Fats and Oils</v>
      </c>
      <c r="D595">
        <f>IFERROR(__xludf.DUMMYFUNCTION("""COMPUTED_VALUE"""),902.0)</f>
        <v>902</v>
      </c>
      <c r="E595">
        <f>IFERROR(__xludf.DUMMYFUNCTION("""COMPUTED_VALUE"""),100.0)</f>
        <v>100</v>
      </c>
      <c r="F595">
        <f>IFERROR(__xludf.DUMMYFUNCTION("""COMPUTED_VALUE"""),0.0)</f>
        <v>0</v>
      </c>
      <c r="G595">
        <f>IFERROR(__xludf.DUMMYFUNCTION("""COMPUTED_VALUE"""),0.0)</f>
        <v>0</v>
      </c>
    </row>
    <row r="596">
      <c r="A596">
        <f>IFERROR(__xludf.DUMMYFUNCTION("""COMPUTED_VALUE"""),173578.0)</f>
        <v>173578</v>
      </c>
      <c r="B596" t="str">
        <f>IFERROR(__xludf.DUMMYFUNCTION("""COMPUTED_VALUE"""),"Sardine Oil")</f>
        <v>Sardine Oil</v>
      </c>
      <c r="C596" t="str">
        <f>IFERROR(__xludf.DUMMYFUNCTION("""COMPUTED_VALUE"""),"Fats and Oils")</f>
        <v>Fats and Oils</v>
      </c>
      <c r="D596">
        <f>IFERROR(__xludf.DUMMYFUNCTION("""COMPUTED_VALUE"""),902.0)</f>
        <v>902</v>
      </c>
      <c r="E596">
        <f>IFERROR(__xludf.DUMMYFUNCTION("""COMPUTED_VALUE"""),100.0)</f>
        <v>100</v>
      </c>
      <c r="F596">
        <f>IFERROR(__xludf.DUMMYFUNCTION("""COMPUTED_VALUE"""),0.0)</f>
        <v>0</v>
      </c>
      <c r="G596">
        <f>IFERROR(__xludf.DUMMYFUNCTION("""COMPUTED_VALUE"""),0.0)</f>
        <v>0</v>
      </c>
    </row>
    <row r="597">
      <c r="A597">
        <f>IFERROR(__xludf.DUMMYFUNCTION("""COMPUTED_VALUE"""),173579.0)</f>
        <v>173579</v>
      </c>
      <c r="B597" t="str">
        <f>IFERROR(__xludf.DUMMYFUNCTION("""COMPUTED_VALUE"""),"Hydrogenated Soybean And Palm Oil")</f>
        <v>Hydrogenated Soybean And Palm Oil</v>
      </c>
      <c r="C597" t="str">
        <f>IFERROR(__xludf.DUMMYFUNCTION("""COMPUTED_VALUE"""),"Fats and Oils")</f>
        <v>Fats and Oils</v>
      </c>
      <c r="D597">
        <f>IFERROR(__xludf.DUMMYFUNCTION("""COMPUTED_VALUE"""),884.0)</f>
        <v>884</v>
      </c>
      <c r="E597">
        <f>IFERROR(__xludf.DUMMYFUNCTION("""COMPUTED_VALUE"""),100.0)</f>
        <v>100</v>
      </c>
      <c r="F597">
        <f>IFERROR(__xludf.DUMMYFUNCTION("""COMPUTED_VALUE"""),0.0)</f>
        <v>0</v>
      </c>
      <c r="G597">
        <f>IFERROR(__xludf.DUMMYFUNCTION("""COMPUTED_VALUE"""),0.0)</f>
        <v>0</v>
      </c>
    </row>
    <row r="598">
      <c r="A598">
        <f>IFERROR(__xludf.DUMMYFUNCTION("""COMPUTED_VALUE"""),173580.0)</f>
        <v>173580</v>
      </c>
      <c r="B598" t="str">
        <f>IFERROR(__xludf.DUMMYFUNCTION("""COMPUTED_VALUE"""),"Margarine-Like Vegetable Oil-Butter Spread Tub With Salt")</f>
        <v>Margarine-Like Vegetable Oil-Butter Spread Tub With Salt</v>
      </c>
      <c r="C598" t="str">
        <f>IFERROR(__xludf.DUMMYFUNCTION("""COMPUTED_VALUE"""),"Fats and Oils")</f>
        <v>Fats and Oils</v>
      </c>
      <c r="D598">
        <f>IFERROR(__xludf.DUMMYFUNCTION("""COMPUTED_VALUE"""),362.0)</f>
        <v>362</v>
      </c>
      <c r="E598">
        <f>IFERROR(__xludf.DUMMYFUNCTION("""COMPUTED_VALUE"""),40.0)</f>
        <v>40</v>
      </c>
      <c r="F598">
        <f>IFERROR(__xludf.DUMMYFUNCTION("""COMPUTED_VALUE"""),1.0)</f>
        <v>1</v>
      </c>
      <c r="G598">
        <f>IFERROR(__xludf.DUMMYFUNCTION("""COMPUTED_VALUE"""),1.0)</f>
        <v>1</v>
      </c>
    </row>
    <row r="599">
      <c r="A599">
        <f>IFERROR(__xludf.DUMMYFUNCTION("""COMPUTED_VALUE"""),173581.0)</f>
        <v>173581</v>
      </c>
      <c r="B599" t="str">
        <f>IFERROR(__xludf.DUMMYFUNCTION("""COMPUTED_VALUE"""),"Butter Light Stick With Salt")</f>
        <v>Butter Light Stick With Salt</v>
      </c>
      <c r="C599" t="str">
        <f>IFERROR(__xludf.DUMMYFUNCTION("""COMPUTED_VALUE"""),"Fats and Oils")</f>
        <v>Fats and Oils</v>
      </c>
      <c r="D599">
        <f>IFERROR(__xludf.DUMMYFUNCTION("""COMPUTED_VALUE"""),499.0)</f>
        <v>499</v>
      </c>
      <c r="E599">
        <f>IFERROR(__xludf.DUMMYFUNCTION("""COMPUTED_VALUE"""),55.1)</f>
        <v>55.1</v>
      </c>
      <c r="F599">
        <f>IFERROR(__xludf.DUMMYFUNCTION("""COMPUTED_VALUE"""),3.3)</f>
        <v>3.3</v>
      </c>
      <c r="G599">
        <f>IFERROR(__xludf.DUMMYFUNCTION("""COMPUTED_VALUE"""),0.0)</f>
        <v>0</v>
      </c>
    </row>
    <row r="600">
      <c r="A600">
        <f>IFERROR(__xludf.DUMMYFUNCTION("""COMPUTED_VALUE"""),173582.0)</f>
        <v>173582</v>
      </c>
      <c r="B600" t="str">
        <f>IFERROR(__xludf.DUMMYFUNCTION("""COMPUTED_VALUE"""),"Margarine-Like Vegetable Oil Spread 60% Fat Tub With Salt")</f>
        <v>Margarine-Like Vegetable Oil Spread 60% Fat Tub With Salt</v>
      </c>
      <c r="C600" t="str">
        <f>IFERROR(__xludf.DUMMYFUNCTION("""COMPUTED_VALUE"""),"Fats and Oils")</f>
        <v>Fats and Oils</v>
      </c>
      <c r="D600">
        <f>IFERROR(__xludf.DUMMYFUNCTION("""COMPUTED_VALUE"""),533.0)</f>
        <v>533</v>
      </c>
      <c r="E600">
        <f>IFERROR(__xludf.DUMMYFUNCTION("""COMPUTED_VALUE"""),59.81)</f>
        <v>59.81</v>
      </c>
      <c r="F600">
        <f>IFERROR(__xludf.DUMMYFUNCTION("""COMPUTED_VALUE"""),0.17)</f>
        <v>0.17</v>
      </c>
      <c r="G600">
        <f>IFERROR(__xludf.DUMMYFUNCTION("""COMPUTED_VALUE"""),0.86)</f>
        <v>0.86</v>
      </c>
    </row>
    <row r="601">
      <c r="A601">
        <f>IFERROR(__xludf.DUMMYFUNCTION("""COMPUTED_VALUE"""),173583.0)</f>
        <v>173583</v>
      </c>
      <c r="B601" t="str">
        <f>IFERROR(__xludf.DUMMYFUNCTION("""COMPUTED_VALUE"""),"Margarine-Like Vegetable Oil Spread 60% Fat Stick/tub/bottle With Salt")</f>
        <v>Margarine-Like Vegetable Oil Spread 60% Fat Stick/tub/bottle With Salt</v>
      </c>
      <c r="C601" t="str">
        <f>IFERROR(__xludf.DUMMYFUNCTION("""COMPUTED_VALUE"""),"Fats and Oils")</f>
        <v>Fats and Oils</v>
      </c>
      <c r="D601">
        <f>IFERROR(__xludf.DUMMYFUNCTION("""COMPUTED_VALUE"""),526.0)</f>
        <v>526</v>
      </c>
      <c r="E601">
        <f>IFERROR(__xludf.DUMMYFUNCTION("""COMPUTED_VALUE"""),59.17)</f>
        <v>59.17</v>
      </c>
      <c r="F601">
        <f>IFERROR(__xludf.DUMMYFUNCTION("""COMPUTED_VALUE"""),0.6)</f>
        <v>0.6</v>
      </c>
      <c r="G601">
        <f>IFERROR(__xludf.DUMMYFUNCTION("""COMPUTED_VALUE"""),0.0)</f>
        <v>0</v>
      </c>
    </row>
    <row r="602">
      <c r="A602">
        <f>IFERROR(__xludf.DUMMYFUNCTION("""COMPUTED_VALUE"""),173584.0)</f>
        <v>173584</v>
      </c>
      <c r="B602" t="str">
        <f>IFERROR(__xludf.DUMMYFUNCTION("""COMPUTED_VALUE"""),"Vegetable Shortening")</f>
        <v>Vegetable Shortening</v>
      </c>
      <c r="C602" t="str">
        <f>IFERROR(__xludf.DUMMYFUNCTION("""COMPUTED_VALUE"""),"Fats and Oils")</f>
        <v>Fats and Oils</v>
      </c>
      <c r="D602">
        <f>IFERROR(__xludf.DUMMYFUNCTION("""COMPUTED_VALUE"""),884.0)</f>
        <v>884</v>
      </c>
      <c r="E602">
        <f>IFERROR(__xludf.DUMMYFUNCTION("""COMPUTED_VALUE"""),99.97)</f>
        <v>99.97</v>
      </c>
      <c r="F602">
        <f>IFERROR(__xludf.DUMMYFUNCTION("""COMPUTED_VALUE"""),0.0)</f>
        <v>0</v>
      </c>
      <c r="G602">
        <f>IFERROR(__xludf.DUMMYFUNCTION("""COMPUTED_VALUE"""),0.0)</f>
        <v>0</v>
      </c>
    </row>
    <row r="603">
      <c r="A603">
        <f>IFERROR(__xludf.DUMMYFUNCTION("""COMPUTED_VALUE"""),173585.0)</f>
        <v>173585</v>
      </c>
      <c r="B603" t="str">
        <f>IFERROR(__xludf.DUMMYFUNCTION("""COMPUTED_VALUE"""),"Margarine (Unsalted)")</f>
        <v>Margarine (Unsalted)</v>
      </c>
      <c r="C603" t="str">
        <f>IFERROR(__xludf.DUMMYFUNCTION("""COMPUTED_VALUE"""),"Fats and Oils")</f>
        <v>Fats and Oils</v>
      </c>
      <c r="D603">
        <f>IFERROR(__xludf.DUMMYFUNCTION("""COMPUTED_VALUE"""),717.0)</f>
        <v>717</v>
      </c>
      <c r="E603">
        <f>IFERROR(__xludf.DUMMYFUNCTION("""COMPUTED_VALUE"""),80.71)</f>
        <v>80.71</v>
      </c>
      <c r="F603">
        <f>IFERROR(__xludf.DUMMYFUNCTION("""COMPUTED_VALUE"""),0.16)</f>
        <v>0.16</v>
      </c>
      <c r="G603">
        <f>IFERROR(__xludf.DUMMYFUNCTION("""COMPUTED_VALUE"""),0.7)</f>
        <v>0.7</v>
      </c>
    </row>
    <row r="604">
      <c r="A604">
        <f>IFERROR(__xludf.DUMMYFUNCTION("""COMPUTED_VALUE"""),173586.0)</f>
        <v>173586</v>
      </c>
      <c r="B604" t="str">
        <f>IFERROR(__xludf.DUMMYFUNCTION("""COMPUTED_VALUE"""),"Margarine-Like Spread With Yogurt Approximately 40% Fat Tub With Salt")</f>
        <v>Margarine-Like Spread With Yogurt Approximately 40% Fat Tub With Salt</v>
      </c>
      <c r="C604" t="str">
        <f>IFERROR(__xludf.DUMMYFUNCTION("""COMPUTED_VALUE"""),"Fats and Oils")</f>
        <v>Fats and Oils</v>
      </c>
      <c r="D604">
        <f>IFERROR(__xludf.DUMMYFUNCTION("""COMPUTED_VALUE"""),330.0)</f>
        <v>330</v>
      </c>
      <c r="E604">
        <f>IFERROR(__xludf.DUMMYFUNCTION("""COMPUTED_VALUE"""),35.0)</f>
        <v>35</v>
      </c>
      <c r="F604">
        <f>IFERROR(__xludf.DUMMYFUNCTION("""COMPUTED_VALUE"""),2.0)</f>
        <v>2</v>
      </c>
      <c r="G604">
        <f>IFERROR(__xludf.DUMMYFUNCTION("""COMPUTED_VALUE"""),2.0)</f>
        <v>2</v>
      </c>
    </row>
    <row r="605">
      <c r="A605">
        <f>IFERROR(__xludf.DUMMYFUNCTION("""COMPUTED_VALUE"""),173587.0)</f>
        <v>173587</v>
      </c>
      <c r="B605" t="str">
        <f>IFERROR(__xludf.DUMMYFUNCTION("""COMPUTED_VALUE"""),"Margarine 80% Fat Stick Includes Regular And Hydrogenated Corn And Soybean Oils")</f>
        <v>Margarine 80% Fat Stick Includes Regular And Hydrogenated Corn And Soybean Oils</v>
      </c>
      <c r="C605" t="str">
        <f>IFERROR(__xludf.DUMMYFUNCTION("""COMPUTED_VALUE"""),"Fats and Oils")</f>
        <v>Fats and Oils</v>
      </c>
      <c r="D605">
        <f>IFERROR(__xludf.DUMMYFUNCTION("""COMPUTED_VALUE"""),717.0)</f>
        <v>717</v>
      </c>
      <c r="E605">
        <f>IFERROR(__xludf.DUMMYFUNCTION("""COMPUTED_VALUE"""),80.71)</f>
        <v>80.71</v>
      </c>
      <c r="F605">
        <f>IFERROR(__xludf.DUMMYFUNCTION("""COMPUTED_VALUE"""),0.16)</f>
        <v>0.16</v>
      </c>
      <c r="G605">
        <f>IFERROR(__xludf.DUMMYFUNCTION("""COMPUTED_VALUE"""),0.7)</f>
        <v>0.7</v>
      </c>
    </row>
    <row r="606">
      <c r="A606">
        <f>IFERROR(__xludf.DUMMYFUNCTION("""COMPUTED_VALUE"""),173588.0)</f>
        <v>173588</v>
      </c>
      <c r="B606" t="str">
        <f>IFERROR(__xludf.DUMMYFUNCTION("""COMPUTED_VALUE"""),"Margarine Margarine-Type Vegetable Oil Spread 70% Fat Soybean And Partially Hydrogenated Soybean Stick")</f>
        <v>Margarine Margarine-Type Vegetable Oil Spread 70% Fat Soybean And Partially Hydrogenated Soybean Stick</v>
      </c>
      <c r="C606" t="str">
        <f>IFERROR(__xludf.DUMMYFUNCTION("""COMPUTED_VALUE"""),"Fats and Oils")</f>
        <v>Fats and Oils</v>
      </c>
      <c r="D606">
        <f>IFERROR(__xludf.DUMMYFUNCTION("""COMPUTED_VALUE"""),628.0)</f>
        <v>628</v>
      </c>
      <c r="E606">
        <f>IFERROR(__xludf.DUMMYFUNCTION("""COMPUTED_VALUE"""),70.22)</f>
        <v>70.22</v>
      </c>
      <c r="F606">
        <f>IFERROR(__xludf.DUMMYFUNCTION("""COMPUTED_VALUE"""),0.26)</f>
        <v>0.26</v>
      </c>
      <c r="G606">
        <f>IFERROR(__xludf.DUMMYFUNCTION("""COMPUTED_VALUE"""),1.53)</f>
        <v>1.53</v>
      </c>
    </row>
    <row r="607">
      <c r="A607">
        <f>IFERROR(__xludf.DUMMYFUNCTION("""COMPUTED_VALUE"""),173589.0)</f>
        <v>173589</v>
      </c>
      <c r="B607" t="str">
        <f>IFERROR(__xludf.DUMMYFUNCTION("""COMPUTED_VALUE"""),"Margarine Spread Approximately 48% Fat Tub")</f>
        <v>Margarine Spread Approximately 48% Fat Tub</v>
      </c>
      <c r="C607" t="str">
        <f>IFERROR(__xludf.DUMMYFUNCTION("""COMPUTED_VALUE"""),"Fats and Oils")</f>
        <v>Fats and Oils</v>
      </c>
      <c r="D607">
        <f>IFERROR(__xludf.DUMMYFUNCTION("""COMPUTED_VALUE"""),401.0)</f>
        <v>401</v>
      </c>
      <c r="E607">
        <f>IFERROR(__xludf.DUMMYFUNCTION("""COMPUTED_VALUE"""),44.46)</f>
        <v>44.46</v>
      </c>
      <c r="F607">
        <f>IFERROR(__xludf.DUMMYFUNCTION("""COMPUTED_VALUE"""),0.27)</f>
        <v>0.27</v>
      </c>
      <c r="G607">
        <f>IFERROR(__xludf.DUMMYFUNCTION("""COMPUTED_VALUE"""),0.0)</f>
        <v>0</v>
      </c>
    </row>
    <row r="608">
      <c r="A608">
        <f>IFERROR(__xludf.DUMMYFUNCTION("""COMPUTED_VALUE"""),173590.0)</f>
        <v>173590</v>
      </c>
      <c r="B608" t="str">
        <f>IFERROR(__xludf.DUMMYFUNCTION("""COMPUTED_VALUE"""),"Salad Dressing Italian Dressing Fat-Free")</f>
        <v>Salad Dressing Italian Dressing Fat-Free</v>
      </c>
      <c r="C608" t="str">
        <f>IFERROR(__xludf.DUMMYFUNCTION("""COMPUTED_VALUE"""),"Fats and Oils")</f>
        <v>Fats and Oils</v>
      </c>
      <c r="D608">
        <f>IFERROR(__xludf.DUMMYFUNCTION("""COMPUTED_VALUE"""),47.0)</f>
        <v>47</v>
      </c>
      <c r="E608">
        <f>IFERROR(__xludf.DUMMYFUNCTION("""COMPUTED_VALUE"""),0.87)</f>
        <v>0.87</v>
      </c>
      <c r="F608">
        <f>IFERROR(__xludf.DUMMYFUNCTION("""COMPUTED_VALUE"""),0.97)</f>
        <v>0.97</v>
      </c>
      <c r="G608">
        <f>IFERROR(__xludf.DUMMYFUNCTION("""COMPUTED_VALUE"""),8.75)</f>
        <v>8.75</v>
      </c>
    </row>
    <row r="609">
      <c r="A609">
        <f>IFERROR(__xludf.DUMMYFUNCTION("""COMPUTED_VALUE"""),173591.0)</f>
        <v>173591</v>
      </c>
      <c r="B609" t="str">
        <f>IFERROR(__xludf.DUMMYFUNCTION("""COMPUTED_VALUE"""),"Salad Dressing Ranch Dressing Fat-Free")</f>
        <v>Salad Dressing Ranch Dressing Fat-Free</v>
      </c>
      <c r="C609" t="str">
        <f>IFERROR(__xludf.DUMMYFUNCTION("""COMPUTED_VALUE"""),"Fats and Oils")</f>
        <v>Fats and Oils</v>
      </c>
      <c r="D609">
        <f>IFERROR(__xludf.DUMMYFUNCTION("""COMPUTED_VALUE"""),119.0)</f>
        <v>119</v>
      </c>
      <c r="E609">
        <f>IFERROR(__xludf.DUMMYFUNCTION("""COMPUTED_VALUE"""),1.92)</f>
        <v>1.92</v>
      </c>
      <c r="F609">
        <f>IFERROR(__xludf.DUMMYFUNCTION("""COMPUTED_VALUE"""),0.25)</f>
        <v>0.25</v>
      </c>
      <c r="G609">
        <f>IFERROR(__xludf.DUMMYFUNCTION("""COMPUTED_VALUE"""),26.51)</f>
        <v>26.51</v>
      </c>
    </row>
    <row r="610">
      <c r="A610">
        <f>IFERROR(__xludf.DUMMYFUNCTION("""COMPUTED_VALUE"""),173592.0)</f>
        <v>173592</v>
      </c>
      <c r="B610" t="str">
        <f>IFERROR(__xludf.DUMMYFUNCTION("""COMPUTED_VALUE"""),"Salad Dressing Ranch Dressing Regular")</f>
        <v>Salad Dressing Ranch Dressing Regular</v>
      </c>
      <c r="C610" t="str">
        <f>IFERROR(__xludf.DUMMYFUNCTION("""COMPUTED_VALUE"""),"Fats and Oils")</f>
        <v>Fats and Oils</v>
      </c>
      <c r="D610">
        <f>IFERROR(__xludf.DUMMYFUNCTION("""COMPUTED_VALUE"""),430.0)</f>
        <v>430</v>
      </c>
      <c r="E610">
        <f>IFERROR(__xludf.DUMMYFUNCTION("""COMPUTED_VALUE"""),44.54)</f>
        <v>44.54</v>
      </c>
      <c r="F610">
        <f>IFERROR(__xludf.DUMMYFUNCTION("""COMPUTED_VALUE"""),1.32)</f>
        <v>1.32</v>
      </c>
      <c r="G610">
        <f>IFERROR(__xludf.DUMMYFUNCTION("""COMPUTED_VALUE"""),5.9)</f>
        <v>5.9</v>
      </c>
    </row>
    <row r="611">
      <c r="A611">
        <f>IFERROR(__xludf.DUMMYFUNCTION("""COMPUTED_VALUE"""),173593.0)</f>
        <v>173593</v>
      </c>
      <c r="B611" t="str">
        <f>IFERROR(__xludf.DUMMYFUNCTION("""COMPUTED_VALUE"""),"Salad Dressing Ranch Dressing Reduced Fat")</f>
        <v>Salad Dressing Ranch Dressing Reduced Fat</v>
      </c>
      <c r="C611" t="str">
        <f>IFERROR(__xludf.DUMMYFUNCTION("""COMPUTED_VALUE"""),"Fats and Oils")</f>
        <v>Fats and Oils</v>
      </c>
      <c r="D611">
        <f>IFERROR(__xludf.DUMMYFUNCTION("""COMPUTED_VALUE"""),196.0)</f>
        <v>196</v>
      </c>
      <c r="E611">
        <f>IFERROR(__xludf.DUMMYFUNCTION("""COMPUTED_VALUE"""),12.42)</f>
        <v>12.42</v>
      </c>
      <c r="F611">
        <f>IFERROR(__xludf.DUMMYFUNCTION("""COMPUTED_VALUE"""),1.25)</f>
        <v>1.25</v>
      </c>
      <c r="G611">
        <f>IFERROR(__xludf.DUMMYFUNCTION("""COMPUTED_VALUE"""),21.33)</f>
        <v>21.33</v>
      </c>
    </row>
    <row r="612">
      <c r="A612">
        <f>IFERROR(__xludf.DUMMYFUNCTION("""COMPUTED_VALUE"""),173594.0)</f>
        <v>173594</v>
      </c>
      <c r="B612" t="str">
        <f>IFERROR(__xludf.DUMMYFUNCTION("""COMPUTED_VALUE"""),"Salad Dressing Mayonnaise Light")</f>
        <v>Salad Dressing Mayonnaise Light</v>
      </c>
      <c r="C612" t="str">
        <f>IFERROR(__xludf.DUMMYFUNCTION("""COMPUTED_VALUE"""),"Fats and Oils")</f>
        <v>Fats and Oils</v>
      </c>
      <c r="D612">
        <f>IFERROR(__xludf.DUMMYFUNCTION("""COMPUTED_VALUE"""),238.0)</f>
        <v>238</v>
      </c>
      <c r="E612">
        <f>IFERROR(__xludf.DUMMYFUNCTION("""COMPUTED_VALUE"""),22.22)</f>
        <v>22.22</v>
      </c>
      <c r="F612">
        <f>IFERROR(__xludf.DUMMYFUNCTION("""COMPUTED_VALUE"""),0.37)</f>
        <v>0.37</v>
      </c>
      <c r="G612">
        <f>IFERROR(__xludf.DUMMYFUNCTION("""COMPUTED_VALUE"""),9.23)</f>
        <v>9.23</v>
      </c>
    </row>
    <row r="613">
      <c r="A613">
        <f>IFERROR(__xludf.DUMMYFUNCTION("""COMPUTED_VALUE"""),173595.0)</f>
        <v>173595</v>
      </c>
      <c r="B613" t="str">
        <f>IFERROR(__xludf.DUMMYFUNCTION("""COMPUTED_VALUE"""),"Oil Industrial Coconut Principal Uses Candy Coatings Oil Sprays Roasting Nuts")</f>
        <v>Oil Industrial Coconut Principal Uses Candy Coatings Oil Sprays Roasting Nuts</v>
      </c>
      <c r="C613" t="str">
        <f>IFERROR(__xludf.DUMMYFUNCTION("""COMPUTED_VALUE"""),"Fats and Oils")</f>
        <v>Fats and Oils</v>
      </c>
      <c r="D613">
        <f>IFERROR(__xludf.DUMMYFUNCTION("""COMPUTED_VALUE"""),884.0)</f>
        <v>884</v>
      </c>
      <c r="E613">
        <f>IFERROR(__xludf.DUMMYFUNCTION("""COMPUTED_VALUE"""),100.0)</f>
        <v>100</v>
      </c>
      <c r="F613">
        <f>IFERROR(__xludf.DUMMYFUNCTION("""COMPUTED_VALUE"""),0.0)</f>
        <v>0</v>
      </c>
      <c r="G613">
        <f>IFERROR(__xludf.DUMMYFUNCTION("""COMPUTED_VALUE"""),0.0)</f>
        <v>0</v>
      </c>
    </row>
    <row r="614">
      <c r="A614">
        <f>IFERROR(__xludf.DUMMYFUNCTION("""COMPUTED_VALUE"""),173596.0)</f>
        <v>173596</v>
      </c>
      <c r="B614" t="str">
        <f>IFERROR(__xludf.DUMMYFUNCTION("""COMPUTED_VALUE"""),"Oil Industrial Soy (Partially Hydrogenated) Principal Uses Popcorn And Flavoring Vegetables")</f>
        <v>Oil Industrial Soy (Partially Hydrogenated) Principal Uses Popcorn And Flavoring Vegetables</v>
      </c>
      <c r="C614" t="str">
        <f>IFERROR(__xludf.DUMMYFUNCTION("""COMPUTED_VALUE"""),"Fats and Oils")</f>
        <v>Fats and Oils</v>
      </c>
      <c r="D614">
        <f>IFERROR(__xludf.DUMMYFUNCTION("""COMPUTED_VALUE"""),884.0)</f>
        <v>884</v>
      </c>
      <c r="E614">
        <f>IFERROR(__xludf.DUMMYFUNCTION("""COMPUTED_VALUE"""),100.0)</f>
        <v>100</v>
      </c>
      <c r="F614">
        <f>IFERROR(__xludf.DUMMYFUNCTION("""COMPUTED_VALUE"""),0.0)</f>
        <v>0</v>
      </c>
      <c r="G614">
        <f>IFERROR(__xludf.DUMMYFUNCTION("""COMPUTED_VALUE"""),0.0)</f>
        <v>0</v>
      </c>
    </row>
    <row r="615">
      <c r="A615">
        <f>IFERROR(__xludf.DUMMYFUNCTION("""COMPUTED_VALUE"""),173597.0)</f>
        <v>173597</v>
      </c>
      <c r="B615" t="str">
        <f>IFERROR(__xludf.DUMMYFUNCTION("""COMPUTED_VALUE"""),"Shortening Industrial Soy (Partially Hydrogenated) Pourable Liquid Fry Shortening")</f>
        <v>Shortening Industrial Soy (Partially Hydrogenated) Pourable Liquid Fry Shortening</v>
      </c>
      <c r="C615" t="str">
        <f>IFERROR(__xludf.DUMMYFUNCTION("""COMPUTED_VALUE"""),"Fats and Oils")</f>
        <v>Fats and Oils</v>
      </c>
      <c r="D615">
        <f>IFERROR(__xludf.DUMMYFUNCTION("""COMPUTED_VALUE"""),884.0)</f>
        <v>884</v>
      </c>
      <c r="E615">
        <f>IFERROR(__xludf.DUMMYFUNCTION("""COMPUTED_VALUE"""),100.0)</f>
        <v>100</v>
      </c>
      <c r="F615">
        <f>IFERROR(__xludf.DUMMYFUNCTION("""COMPUTED_VALUE"""),0.0)</f>
        <v>0</v>
      </c>
      <c r="G615">
        <f>IFERROR(__xludf.DUMMYFUNCTION("""COMPUTED_VALUE"""),0.0)</f>
        <v>0</v>
      </c>
    </row>
    <row r="616">
      <c r="A616">
        <f>IFERROR(__xludf.DUMMYFUNCTION("""COMPUTED_VALUE"""),173598.0)</f>
        <v>173598</v>
      </c>
      <c r="B616" t="str">
        <f>IFERROR(__xludf.DUMMYFUNCTION("""COMPUTED_VALUE"""),"Oil Industrial Soy Refined For Woks And Light Frying")</f>
        <v>Oil Industrial Soy Refined For Woks And Light Frying</v>
      </c>
      <c r="C616" t="str">
        <f>IFERROR(__xludf.DUMMYFUNCTION("""COMPUTED_VALUE"""),"Fats and Oils")</f>
        <v>Fats and Oils</v>
      </c>
      <c r="D616">
        <f>IFERROR(__xludf.DUMMYFUNCTION("""COMPUTED_VALUE"""),884.0)</f>
        <v>884</v>
      </c>
      <c r="E616">
        <f>IFERROR(__xludf.DUMMYFUNCTION("""COMPUTED_VALUE"""),100.0)</f>
        <v>100</v>
      </c>
      <c r="F616">
        <f>IFERROR(__xludf.DUMMYFUNCTION("""COMPUTED_VALUE"""),0.0)</f>
        <v>0</v>
      </c>
      <c r="G616">
        <f>IFERROR(__xludf.DUMMYFUNCTION("""COMPUTED_VALUE"""),0.0)</f>
        <v>0</v>
      </c>
    </row>
    <row r="617">
      <c r="A617">
        <f>IFERROR(__xludf.DUMMYFUNCTION("""COMPUTED_VALUE"""),173599.0)</f>
        <v>173599</v>
      </c>
      <c r="B617" t="str">
        <f>IFERROR(__xludf.DUMMYFUNCTION("""COMPUTED_VALUE"""),"Margarine-Like Shortening Industrial Soy (Partially Hydrogenated) Cottonseed And Soy Principal Use Flaky Pastries")</f>
        <v>Margarine-Like Shortening Industrial Soy (Partially Hydrogenated) Cottonseed And Soy Principal Use Flaky Pastries</v>
      </c>
      <c r="C617" t="str">
        <f>IFERROR(__xludf.DUMMYFUNCTION("""COMPUTED_VALUE"""),"Fats and Oils")</f>
        <v>Fats and Oils</v>
      </c>
      <c r="D617">
        <f>IFERROR(__xludf.DUMMYFUNCTION("""COMPUTED_VALUE"""),628.0)</f>
        <v>628</v>
      </c>
      <c r="E617">
        <f>IFERROR(__xludf.DUMMYFUNCTION("""COMPUTED_VALUE"""),71.0)</f>
        <v>71</v>
      </c>
      <c r="F617">
        <f>IFERROR(__xludf.DUMMYFUNCTION("""COMPUTED_VALUE"""),0.0)</f>
        <v>0</v>
      </c>
      <c r="G617">
        <f>IFERROR(__xludf.DUMMYFUNCTION("""COMPUTED_VALUE"""),0.0)</f>
        <v>0</v>
      </c>
    </row>
    <row r="618">
      <c r="A618">
        <f>IFERROR(__xludf.DUMMYFUNCTION("""COMPUTED_VALUE"""),173600.0)</f>
        <v>173600</v>
      </c>
      <c r="B618" t="str">
        <f>IFERROR(__xludf.DUMMYFUNCTION("""COMPUTED_VALUE"""),"Oil Industrial Palm Kernel Confection Fat Uses Similar To High Quality Cocoa Butter")</f>
        <v>Oil Industrial Palm Kernel Confection Fat Uses Similar To High Quality Cocoa Butter</v>
      </c>
      <c r="C618" t="str">
        <f>IFERROR(__xludf.DUMMYFUNCTION("""COMPUTED_VALUE"""),"Fats and Oils")</f>
        <v>Fats and Oils</v>
      </c>
      <c r="D618">
        <f>IFERROR(__xludf.DUMMYFUNCTION("""COMPUTED_VALUE"""),884.0)</f>
        <v>884</v>
      </c>
      <c r="E618">
        <f>IFERROR(__xludf.DUMMYFUNCTION("""COMPUTED_VALUE"""),100.0)</f>
        <v>100</v>
      </c>
      <c r="F618">
        <f>IFERROR(__xludf.DUMMYFUNCTION("""COMPUTED_VALUE"""),0.0)</f>
        <v>0</v>
      </c>
      <c r="G618">
        <f>IFERROR(__xludf.DUMMYFUNCTION("""COMPUTED_VALUE"""),0.0)</f>
        <v>0</v>
      </c>
    </row>
    <row r="619">
      <c r="A619">
        <f>IFERROR(__xludf.DUMMYFUNCTION("""COMPUTED_VALUE"""),173601.0)</f>
        <v>173601</v>
      </c>
      <c r="B619" t="str">
        <f>IFERROR(__xludf.DUMMYFUNCTION("""COMPUTED_VALUE"""),"Oil Industrial Palm Kernel (Hydrogenated) Confection Fat Uses Similar To 95 Degree Hard Butter")</f>
        <v>Oil Industrial Palm Kernel (Hydrogenated) Confection Fat Uses Similar To 95 Degree Hard Butter</v>
      </c>
      <c r="C619" t="str">
        <f>IFERROR(__xludf.DUMMYFUNCTION("""COMPUTED_VALUE"""),"Fats and Oils")</f>
        <v>Fats and Oils</v>
      </c>
      <c r="D619">
        <f>IFERROR(__xludf.DUMMYFUNCTION("""COMPUTED_VALUE"""),884.0)</f>
        <v>884</v>
      </c>
      <c r="E619">
        <f>IFERROR(__xludf.DUMMYFUNCTION("""COMPUTED_VALUE"""),100.0)</f>
        <v>100</v>
      </c>
      <c r="F619">
        <f>IFERROR(__xludf.DUMMYFUNCTION("""COMPUTED_VALUE"""),0.0)</f>
        <v>0</v>
      </c>
      <c r="G619">
        <f>IFERROR(__xludf.DUMMYFUNCTION("""COMPUTED_VALUE"""),0.0)</f>
        <v>0</v>
      </c>
    </row>
    <row r="620">
      <c r="A620">
        <f>IFERROR(__xludf.DUMMYFUNCTION("""COMPUTED_VALUE"""),173602.0)</f>
        <v>173602</v>
      </c>
      <c r="B620" t="str">
        <f>IFERROR(__xludf.DUMMYFUNCTION("""COMPUTED_VALUE"""),"Oil Industrial Palm Kernel (Hydrogenated) Confection Fat Intermediate Grade Product")</f>
        <v>Oil Industrial Palm Kernel (Hydrogenated) Confection Fat Intermediate Grade Product</v>
      </c>
      <c r="C620" t="str">
        <f>IFERROR(__xludf.DUMMYFUNCTION("""COMPUTED_VALUE"""),"Fats and Oils")</f>
        <v>Fats and Oils</v>
      </c>
      <c r="D620">
        <f>IFERROR(__xludf.DUMMYFUNCTION("""COMPUTED_VALUE"""),884.0)</f>
        <v>884</v>
      </c>
      <c r="E620">
        <f>IFERROR(__xludf.DUMMYFUNCTION("""COMPUTED_VALUE"""),100.0)</f>
        <v>100</v>
      </c>
      <c r="F620">
        <f>IFERROR(__xludf.DUMMYFUNCTION("""COMPUTED_VALUE"""),0.0)</f>
        <v>0</v>
      </c>
      <c r="G620">
        <f>IFERROR(__xludf.DUMMYFUNCTION("""COMPUTED_VALUE"""),0.0)</f>
        <v>0</v>
      </c>
    </row>
    <row r="621">
      <c r="A621">
        <f>IFERROR(__xludf.DUMMYFUNCTION("""COMPUTED_VALUE"""),173603.0)</f>
        <v>173603</v>
      </c>
      <c r="B621" t="str">
        <f>IFERROR(__xludf.DUMMYFUNCTION("""COMPUTED_VALUE"""),"Oil Industrial Palm Kernel (Hydrogenated) Filling Fat")</f>
        <v>Oil Industrial Palm Kernel (Hydrogenated) Filling Fat</v>
      </c>
      <c r="C621" t="str">
        <f>IFERROR(__xludf.DUMMYFUNCTION("""COMPUTED_VALUE"""),"Fats and Oils")</f>
        <v>Fats and Oils</v>
      </c>
      <c r="D621">
        <f>IFERROR(__xludf.DUMMYFUNCTION("""COMPUTED_VALUE"""),884.0)</f>
        <v>884</v>
      </c>
      <c r="E621">
        <f>IFERROR(__xludf.DUMMYFUNCTION("""COMPUTED_VALUE"""),100.0)</f>
        <v>100</v>
      </c>
      <c r="F621">
        <f>IFERROR(__xludf.DUMMYFUNCTION("""COMPUTED_VALUE"""),0.0)</f>
        <v>0</v>
      </c>
      <c r="G621">
        <f>IFERROR(__xludf.DUMMYFUNCTION("""COMPUTED_VALUE"""),0.0)</f>
        <v>0</v>
      </c>
    </row>
    <row r="622">
      <c r="A622">
        <f>IFERROR(__xludf.DUMMYFUNCTION("""COMPUTED_VALUE"""),173604.0)</f>
        <v>173604</v>
      </c>
      <c r="B622" t="str">
        <f>IFERROR(__xludf.DUMMYFUNCTION("""COMPUTED_VALUE"""),"Oil Industrial Soy (Partially Hydrogenated ) Palm Principal Uses Icings And Fillings")</f>
        <v>Oil Industrial Soy (Partially Hydrogenated ) Palm Principal Uses Icings And Fillings</v>
      </c>
      <c r="C622" t="str">
        <f>IFERROR(__xludf.DUMMYFUNCTION("""COMPUTED_VALUE"""),"Fats and Oils")</f>
        <v>Fats and Oils</v>
      </c>
      <c r="D622">
        <f>IFERROR(__xludf.DUMMYFUNCTION("""COMPUTED_VALUE"""),884.0)</f>
        <v>884</v>
      </c>
      <c r="E622">
        <f>IFERROR(__xludf.DUMMYFUNCTION("""COMPUTED_VALUE"""),100.0)</f>
        <v>100</v>
      </c>
      <c r="F622">
        <f>IFERROR(__xludf.DUMMYFUNCTION("""COMPUTED_VALUE"""),0.0)</f>
        <v>0</v>
      </c>
      <c r="G622">
        <f>IFERROR(__xludf.DUMMYFUNCTION("""COMPUTED_VALUE"""),0.0)</f>
        <v>0</v>
      </c>
    </row>
    <row r="623">
      <c r="A623">
        <f>IFERROR(__xludf.DUMMYFUNCTION("""COMPUTED_VALUE"""),173605.0)</f>
        <v>173605</v>
      </c>
      <c r="B623" t="str">
        <f>IFERROR(__xludf.DUMMYFUNCTION("""COMPUTED_VALUE"""),"Margarine Industrial Non-Dairy Cottonseed Soy Oil (Partially Hydrogenated ) For Flaky Pastries")</f>
        <v>Margarine Industrial Non-Dairy Cottonseed Soy Oil (Partially Hydrogenated ) For Flaky Pastries</v>
      </c>
      <c r="C623" t="str">
        <f>IFERROR(__xludf.DUMMYFUNCTION("""COMPUTED_VALUE"""),"Fats and Oils")</f>
        <v>Fats and Oils</v>
      </c>
      <c r="D623">
        <f>IFERROR(__xludf.DUMMYFUNCTION("""COMPUTED_VALUE"""),714.0)</f>
        <v>714</v>
      </c>
      <c r="E623">
        <f>IFERROR(__xludf.DUMMYFUNCTION("""COMPUTED_VALUE"""),80.2)</f>
        <v>80.2</v>
      </c>
      <c r="F623">
        <f>IFERROR(__xludf.DUMMYFUNCTION("""COMPUTED_VALUE"""),1.9)</f>
        <v>1.9</v>
      </c>
      <c r="G623">
        <f>IFERROR(__xludf.DUMMYFUNCTION("""COMPUTED_VALUE"""),0.0)</f>
        <v>0</v>
      </c>
    </row>
    <row r="624">
      <c r="A624">
        <f>IFERROR(__xludf.DUMMYFUNCTION("""COMPUTED_VALUE"""),173606.0)</f>
        <v>173606</v>
      </c>
      <c r="B624" t="str">
        <f>IFERROR(__xludf.DUMMYFUNCTION("""COMPUTED_VALUE"""),"Shortening Industrial Soy (Partially Hydrogenated ) And Corn For Frying")</f>
        <v>Shortening Industrial Soy (Partially Hydrogenated ) And Corn For Frying</v>
      </c>
      <c r="C624" t="str">
        <f>IFERROR(__xludf.DUMMYFUNCTION("""COMPUTED_VALUE"""),"Fats and Oils")</f>
        <v>Fats and Oils</v>
      </c>
      <c r="D624">
        <f>IFERROR(__xludf.DUMMYFUNCTION("""COMPUTED_VALUE"""),884.0)</f>
        <v>884</v>
      </c>
      <c r="E624">
        <f>IFERROR(__xludf.DUMMYFUNCTION("""COMPUTED_VALUE"""),100.0)</f>
        <v>100</v>
      </c>
      <c r="F624">
        <f>IFERROR(__xludf.DUMMYFUNCTION("""COMPUTED_VALUE"""),0.0)</f>
        <v>0</v>
      </c>
      <c r="G624">
        <f>IFERROR(__xludf.DUMMYFUNCTION("""COMPUTED_VALUE"""),0.0)</f>
        <v>0</v>
      </c>
    </row>
    <row r="625">
      <c r="A625">
        <f>IFERROR(__xludf.DUMMYFUNCTION("""COMPUTED_VALUE"""),173607.0)</f>
        <v>173607</v>
      </c>
      <c r="B625" t="str">
        <f>IFERROR(__xludf.DUMMYFUNCTION("""COMPUTED_VALUE"""),"Shortening Industrial Soy (Partially Hydrogenated ) For Baking And Confections")</f>
        <v>Shortening Industrial Soy (Partially Hydrogenated ) For Baking And Confections</v>
      </c>
      <c r="C625" t="str">
        <f>IFERROR(__xludf.DUMMYFUNCTION("""COMPUTED_VALUE"""),"Fats and Oils")</f>
        <v>Fats and Oils</v>
      </c>
      <c r="D625">
        <f>IFERROR(__xludf.DUMMYFUNCTION("""COMPUTED_VALUE"""),884.0)</f>
        <v>884</v>
      </c>
      <c r="E625">
        <f>IFERROR(__xludf.DUMMYFUNCTION("""COMPUTED_VALUE"""),100.0)</f>
        <v>100</v>
      </c>
      <c r="F625">
        <f>IFERROR(__xludf.DUMMYFUNCTION("""COMPUTED_VALUE"""),0.0)</f>
        <v>0</v>
      </c>
      <c r="G625">
        <f>IFERROR(__xludf.DUMMYFUNCTION("""COMPUTED_VALUE"""),0.0)</f>
        <v>0</v>
      </c>
    </row>
    <row r="626">
      <c r="A626">
        <f>IFERROR(__xludf.DUMMYFUNCTION("""COMPUTED_VALUE"""),173608.0)</f>
        <v>173608</v>
      </c>
      <c r="B626" t="str">
        <f>IFERROR(__xludf.DUMMYFUNCTION("""COMPUTED_VALUE"""),"Margarine-Like Spread Smart Beat Super Light Without Saturated Fat")</f>
        <v>Margarine-Like Spread Smart Beat Super Light Without Saturated Fat</v>
      </c>
      <c r="C626" t="str">
        <f>IFERROR(__xludf.DUMMYFUNCTION("""COMPUTED_VALUE"""),"Fats and Oils")</f>
        <v>Fats and Oils</v>
      </c>
      <c r="D626">
        <f>IFERROR(__xludf.DUMMYFUNCTION("""COMPUTED_VALUE"""),158.0)</f>
        <v>158</v>
      </c>
      <c r="E626">
        <f>IFERROR(__xludf.DUMMYFUNCTION("""COMPUTED_VALUE"""),17.1)</f>
        <v>17.1</v>
      </c>
      <c r="F626">
        <f>IFERROR(__xludf.DUMMYFUNCTION("""COMPUTED_VALUE"""),0.0)</f>
        <v>0</v>
      </c>
      <c r="G626">
        <f>IFERROR(__xludf.DUMMYFUNCTION("""COMPUTED_VALUE"""),0.0)</f>
        <v>0</v>
      </c>
    </row>
    <row r="627">
      <c r="A627">
        <f>IFERROR(__xludf.DUMMYFUNCTION("""COMPUTED_VALUE"""),173609.0)</f>
        <v>173609</v>
      </c>
      <c r="B627" t="str">
        <f>IFERROR(__xludf.DUMMYFUNCTION("""COMPUTED_VALUE"""),"Margarine-Like Spread Smart Beat Smart Squeeze")</f>
        <v>Margarine-Like Spread Smart Beat Smart Squeeze</v>
      </c>
      <c r="C627" t="str">
        <f>IFERROR(__xludf.DUMMYFUNCTION("""COMPUTED_VALUE"""),"Fats and Oils")</f>
        <v>Fats and Oils</v>
      </c>
      <c r="D627">
        <f>IFERROR(__xludf.DUMMYFUNCTION("""COMPUTED_VALUE"""),47.0)</f>
        <v>47</v>
      </c>
      <c r="E627">
        <f>IFERROR(__xludf.DUMMYFUNCTION("""COMPUTED_VALUE"""),2.1)</f>
        <v>2.1</v>
      </c>
      <c r="F627">
        <f>IFERROR(__xludf.DUMMYFUNCTION("""COMPUTED_VALUE"""),0.0)</f>
        <v>0</v>
      </c>
      <c r="G627">
        <f>IFERROR(__xludf.DUMMYFUNCTION("""COMPUTED_VALUE"""),7.1)</f>
        <v>7.1</v>
      </c>
    </row>
    <row r="628">
      <c r="A628">
        <f>IFERROR(__xludf.DUMMYFUNCTION("""COMPUTED_VALUE"""),173610.0)</f>
        <v>173610</v>
      </c>
      <c r="B628" t="str">
        <f>IFERROR(__xludf.DUMMYFUNCTION("""COMPUTED_VALUE"""),"Margarine-Like Spread Smart Balance Omega Plus Spread (With Plant Sterols &amp; Fish Oil)")</f>
        <v>Margarine-Like Spread Smart Balance Omega Plus Spread (With Plant Sterols &amp; Fish Oil)</v>
      </c>
      <c r="C628" t="str">
        <f>IFERROR(__xludf.DUMMYFUNCTION("""COMPUTED_VALUE"""),"Fats and Oils")</f>
        <v>Fats and Oils</v>
      </c>
      <c r="D628">
        <f>IFERROR(__xludf.DUMMYFUNCTION("""COMPUTED_VALUE"""),605.0)</f>
        <v>605</v>
      </c>
      <c r="E628">
        <f>IFERROR(__xludf.DUMMYFUNCTION("""COMPUTED_VALUE"""),70.95)</f>
        <v>70.95</v>
      </c>
      <c r="F628">
        <f>IFERROR(__xludf.DUMMYFUNCTION("""COMPUTED_VALUE"""),0.13)</f>
        <v>0.13</v>
      </c>
      <c r="G628">
        <f>IFERROR(__xludf.DUMMYFUNCTION("""COMPUTED_VALUE"""),0.16)</f>
        <v>0.16</v>
      </c>
    </row>
    <row r="629">
      <c r="A629">
        <f>IFERROR(__xludf.DUMMYFUNCTION("""COMPUTED_VALUE"""),173806.0)</f>
        <v>173806</v>
      </c>
      <c r="B629" t="str">
        <f>IFERROR(__xludf.DUMMYFUNCTION("""COMPUTED_VALUE"""),"Dry Roasted Peanuts")</f>
        <v>Dry Roasted Peanuts</v>
      </c>
      <c r="C629" t="str">
        <f>IFERROR(__xludf.DUMMYFUNCTION("""COMPUTED_VALUE"""),"Nuts and Seeds")</f>
        <v>Nuts and Seeds</v>
      </c>
      <c r="D629">
        <f>IFERROR(__xludf.DUMMYFUNCTION("""COMPUTED_VALUE"""),587.0)</f>
        <v>587</v>
      </c>
      <c r="E629">
        <f>IFERROR(__xludf.DUMMYFUNCTION("""COMPUTED_VALUE"""),49.66)</f>
        <v>49.66</v>
      </c>
      <c r="F629">
        <f>IFERROR(__xludf.DUMMYFUNCTION("""COMPUTED_VALUE"""),24.35)</f>
        <v>24.35</v>
      </c>
      <c r="G629">
        <f>IFERROR(__xludf.DUMMYFUNCTION("""COMPUTED_VALUE"""),21.26)</f>
        <v>21.26</v>
      </c>
    </row>
    <row r="630">
      <c r="A630">
        <f>IFERROR(__xludf.DUMMYFUNCTION("""COMPUTED_VALUE"""),781467.0)</f>
        <v>781467</v>
      </c>
      <c r="B630" t="str">
        <f>IFERROR(__xludf.DUMMYFUNCTION("""COMPUTED_VALUE"""),"Cream Ns As To Light Heavy Or Half And Half")</f>
        <v>Cream Ns As To Light Heavy Or Half And Half</v>
      </c>
      <c r="C630" t="str">
        <f>IFERROR(__xludf.DUMMYFUNCTION("""COMPUTED_VALUE"""),"Fats and Oils")</f>
        <v>Fats and Oils</v>
      </c>
      <c r="D630">
        <f>IFERROR(__xludf.DUMMYFUNCTION("""COMPUTED_VALUE"""),123.0)</f>
        <v>123</v>
      </c>
      <c r="E630">
        <f>IFERROR(__xludf.DUMMYFUNCTION("""COMPUTED_VALUE"""),10.39)</f>
        <v>10.39</v>
      </c>
      <c r="F630">
        <f>IFERROR(__xludf.DUMMYFUNCTION("""COMPUTED_VALUE"""),3.13)</f>
        <v>3.13</v>
      </c>
      <c r="G630">
        <f>IFERROR(__xludf.DUMMYFUNCTION("""COMPUTED_VALUE"""),4.73)</f>
        <v>4.73</v>
      </c>
    </row>
    <row r="631">
      <c r="A631">
        <f>IFERROR(__xludf.DUMMYFUNCTION("""COMPUTED_VALUE"""),781468.0)</f>
        <v>781468</v>
      </c>
      <c r="B631" t="str">
        <f>IFERROR(__xludf.DUMMYFUNCTION("""COMPUTED_VALUE"""),"Cream Light")</f>
        <v>Cream Light</v>
      </c>
      <c r="C631" t="str">
        <f>IFERROR(__xludf.DUMMYFUNCTION("""COMPUTED_VALUE"""),"Fats and Oils")</f>
        <v>Fats and Oils</v>
      </c>
      <c r="D631">
        <f>IFERROR(__xludf.DUMMYFUNCTION("""COMPUTED_VALUE"""),191.0)</f>
        <v>191</v>
      </c>
      <c r="E631">
        <f>IFERROR(__xludf.DUMMYFUNCTION("""COMPUTED_VALUE"""),19.1)</f>
        <v>19.1</v>
      </c>
      <c r="F631">
        <f>IFERROR(__xludf.DUMMYFUNCTION("""COMPUTED_VALUE"""),2.96)</f>
        <v>2.96</v>
      </c>
      <c r="G631">
        <f>IFERROR(__xludf.DUMMYFUNCTION("""COMPUTED_VALUE"""),2.82)</f>
        <v>2.82</v>
      </c>
    </row>
    <row r="632">
      <c r="A632">
        <f>IFERROR(__xludf.DUMMYFUNCTION("""COMPUTED_VALUE"""),781469.0)</f>
        <v>781469</v>
      </c>
      <c r="B632" t="str">
        <f>IFERROR(__xludf.DUMMYFUNCTION("""COMPUTED_VALUE"""),"Cream Half And Half")</f>
        <v>Cream Half And Half</v>
      </c>
      <c r="C632" t="str">
        <f>IFERROR(__xludf.DUMMYFUNCTION("""COMPUTED_VALUE"""),"Fats and Oils")</f>
        <v>Fats and Oils</v>
      </c>
      <c r="D632">
        <f>IFERROR(__xludf.DUMMYFUNCTION("""COMPUTED_VALUE"""),123.0)</f>
        <v>123</v>
      </c>
      <c r="E632">
        <f>IFERROR(__xludf.DUMMYFUNCTION("""COMPUTED_VALUE"""),10.39)</f>
        <v>10.39</v>
      </c>
      <c r="F632">
        <f>IFERROR(__xludf.DUMMYFUNCTION("""COMPUTED_VALUE"""),3.13)</f>
        <v>3.13</v>
      </c>
      <c r="G632">
        <f>IFERROR(__xludf.DUMMYFUNCTION("""COMPUTED_VALUE"""),4.73)</f>
        <v>4.73</v>
      </c>
    </row>
    <row r="633">
      <c r="A633">
        <f>IFERROR(__xludf.DUMMYFUNCTION("""COMPUTED_VALUE"""),781470.0)</f>
        <v>781470</v>
      </c>
      <c r="B633" t="str">
        <f>IFERROR(__xludf.DUMMYFUNCTION("""COMPUTED_VALUE"""),"Cream Half And Half Flavored")</f>
        <v>Cream Half And Half Flavored</v>
      </c>
      <c r="C633" t="str">
        <f>IFERROR(__xludf.DUMMYFUNCTION("""COMPUTED_VALUE"""),"Fats and Oils")</f>
        <v>Fats and Oils</v>
      </c>
      <c r="D633">
        <f>IFERROR(__xludf.DUMMYFUNCTION("""COMPUTED_VALUE"""),122.0)</f>
        <v>122</v>
      </c>
      <c r="E633">
        <f>IFERROR(__xludf.DUMMYFUNCTION("""COMPUTED_VALUE"""),10.19)</f>
        <v>10.19</v>
      </c>
      <c r="F633">
        <f>IFERROR(__xludf.DUMMYFUNCTION("""COMPUTED_VALUE"""),3.07)</f>
        <v>3.07</v>
      </c>
      <c r="G633">
        <f>IFERROR(__xludf.DUMMYFUNCTION("""COMPUTED_VALUE"""),4.92)</f>
        <v>4.92</v>
      </c>
    </row>
    <row r="634">
      <c r="A634">
        <f>IFERROR(__xludf.DUMMYFUNCTION("""COMPUTED_VALUE"""),781472.0)</f>
        <v>781472</v>
      </c>
      <c r="B634" t="str">
        <f>IFERROR(__xludf.DUMMYFUNCTION("""COMPUTED_VALUE"""),"Cream Heavy")</f>
        <v>Cream Heavy</v>
      </c>
      <c r="C634" t="str">
        <f>IFERROR(__xludf.DUMMYFUNCTION("""COMPUTED_VALUE"""),"Fats and Oils")</f>
        <v>Fats and Oils</v>
      </c>
      <c r="D634">
        <f>IFERROR(__xludf.DUMMYFUNCTION("""COMPUTED_VALUE"""),340.0)</f>
        <v>340</v>
      </c>
      <c r="E634">
        <f>IFERROR(__xludf.DUMMYFUNCTION("""COMPUTED_VALUE"""),36.08)</f>
        <v>36.08</v>
      </c>
      <c r="F634">
        <f>IFERROR(__xludf.DUMMYFUNCTION("""COMPUTED_VALUE"""),2.84)</f>
        <v>2.84</v>
      </c>
      <c r="G634">
        <f>IFERROR(__xludf.DUMMYFUNCTION("""COMPUTED_VALUE"""),2.74)</f>
        <v>2.74</v>
      </c>
    </row>
    <row r="635">
      <c r="A635">
        <f>IFERROR(__xludf.DUMMYFUNCTION("""COMPUTED_VALUE"""),781473.0)</f>
        <v>781473</v>
      </c>
      <c r="B635" t="str">
        <f>IFERROR(__xludf.DUMMYFUNCTION("""COMPUTED_VALUE"""),"Cream Whipped")</f>
        <v>Cream Whipped</v>
      </c>
      <c r="C635" t="str">
        <f>IFERROR(__xludf.DUMMYFUNCTION("""COMPUTED_VALUE"""),"Fats and Oils")</f>
        <v>Fats and Oils</v>
      </c>
      <c r="D635">
        <f>IFERROR(__xludf.DUMMYFUNCTION("""COMPUTED_VALUE"""),343.0)</f>
        <v>343</v>
      </c>
      <c r="E635">
        <f>IFERROR(__xludf.DUMMYFUNCTION("""COMPUTED_VALUE"""),33.94)</f>
        <v>33.94</v>
      </c>
      <c r="F635">
        <f>IFERROR(__xludf.DUMMYFUNCTION("""COMPUTED_VALUE"""),2.67)</f>
        <v>2.67</v>
      </c>
      <c r="G635">
        <f>IFERROR(__xludf.DUMMYFUNCTION("""COMPUTED_VALUE"""),8.49)</f>
        <v>8.49</v>
      </c>
    </row>
    <row r="636">
      <c r="A636">
        <f>IFERROR(__xludf.DUMMYFUNCTION("""COMPUTED_VALUE"""),781478.0)</f>
        <v>781478</v>
      </c>
      <c r="B636" t="str">
        <f>IFERROR(__xludf.DUMMYFUNCTION("""COMPUTED_VALUE"""),"Coffee Creamer Liquid Fat Free Flavored")</f>
        <v>Coffee Creamer Liquid Fat Free Flavored</v>
      </c>
      <c r="C636" t="str">
        <f>IFERROR(__xludf.DUMMYFUNCTION("""COMPUTED_VALUE"""),"Fats and Oils")</f>
        <v>Fats and Oils</v>
      </c>
      <c r="D636">
        <f>IFERROR(__xludf.DUMMYFUNCTION("""COMPUTED_VALUE"""),150.0)</f>
        <v>150</v>
      </c>
      <c r="E636">
        <f>IFERROR(__xludf.DUMMYFUNCTION("""COMPUTED_VALUE"""),2.62)</f>
        <v>2.62</v>
      </c>
      <c r="F636">
        <f>IFERROR(__xludf.DUMMYFUNCTION("""COMPUTED_VALUE"""),0.6)</f>
        <v>0.6</v>
      </c>
      <c r="G636">
        <f>IFERROR(__xludf.DUMMYFUNCTION("""COMPUTED_VALUE"""),31.82)</f>
        <v>31.82</v>
      </c>
    </row>
    <row r="637">
      <c r="A637">
        <f>IFERROR(__xludf.DUMMYFUNCTION("""COMPUTED_VALUE"""),781713.0)</f>
        <v>781713</v>
      </c>
      <c r="B637" t="str">
        <f>IFERROR(__xludf.DUMMYFUNCTION("""COMPUTED_VALUE"""),"Cheese Cream Light Or Lite")</f>
        <v>Cheese Cream Light Or Lite</v>
      </c>
      <c r="C637" t="str">
        <f>IFERROR(__xludf.DUMMYFUNCTION("""COMPUTED_VALUE"""),"Fats and Oils")</f>
        <v>Fats and Oils</v>
      </c>
      <c r="D637">
        <f>IFERROR(__xludf.DUMMYFUNCTION("""COMPUTED_VALUE"""),201.0)</f>
        <v>201</v>
      </c>
      <c r="E637">
        <f>IFERROR(__xludf.DUMMYFUNCTION("""COMPUTED_VALUE"""),15.28)</f>
        <v>15.28</v>
      </c>
      <c r="F637">
        <f>IFERROR(__xludf.DUMMYFUNCTION("""COMPUTED_VALUE"""),7.85)</f>
        <v>7.85</v>
      </c>
      <c r="G637">
        <f>IFERROR(__xludf.DUMMYFUNCTION("""COMPUTED_VALUE"""),8.13)</f>
        <v>8.13</v>
      </c>
    </row>
    <row r="638">
      <c r="A638">
        <f>IFERROR(__xludf.DUMMYFUNCTION("""COMPUTED_VALUE"""),781727.0)</f>
        <v>781727</v>
      </c>
      <c r="B638" t="str">
        <f>IFERROR(__xludf.DUMMYFUNCTION("""COMPUTED_VALUE"""),"Cheese Spread Cream Cheese Light Or Lite")</f>
        <v>Cheese Spread Cream Cheese Light Or Lite</v>
      </c>
      <c r="C638" t="str">
        <f>IFERROR(__xludf.DUMMYFUNCTION("""COMPUTED_VALUE"""),"Fats and Oils")</f>
        <v>Fats and Oils</v>
      </c>
      <c r="D638">
        <f>IFERROR(__xludf.DUMMYFUNCTION("""COMPUTED_VALUE"""),201.0)</f>
        <v>201</v>
      </c>
      <c r="E638">
        <f>IFERROR(__xludf.DUMMYFUNCTION("""COMPUTED_VALUE"""),15.28)</f>
        <v>15.28</v>
      </c>
      <c r="F638">
        <f>IFERROR(__xludf.DUMMYFUNCTION("""COMPUTED_VALUE"""),7.85)</f>
        <v>7.85</v>
      </c>
      <c r="G638">
        <f>IFERROR(__xludf.DUMMYFUNCTION("""COMPUTED_VALUE"""),8.13)</f>
        <v>8.13</v>
      </c>
    </row>
    <row r="639">
      <c r="A639">
        <f>IFERROR(__xludf.DUMMYFUNCTION("""COMPUTED_VALUE"""),781978.0)</f>
        <v>781978</v>
      </c>
      <c r="B639" t="str">
        <f>IFERROR(__xludf.DUMMYFUNCTION("""COMPUTED_VALUE"""),"Fat Back Cooked")</f>
        <v>Fat Back Cooked</v>
      </c>
      <c r="C639" t="str">
        <f>IFERROR(__xludf.DUMMYFUNCTION("""COMPUTED_VALUE"""),"Fats and Oils")</f>
        <v>Fats and Oils</v>
      </c>
      <c r="D639">
        <f>IFERROR(__xludf.DUMMYFUNCTION("""COMPUTED_VALUE"""),750.0)</f>
        <v>750</v>
      </c>
      <c r="E639">
        <f>IFERROR(__xludf.DUMMYFUNCTION("""COMPUTED_VALUE"""),81.93)</f>
        <v>81.93</v>
      </c>
      <c r="F639">
        <f>IFERROR(__xludf.DUMMYFUNCTION("""COMPUTED_VALUE"""),2.68)</f>
        <v>2.68</v>
      </c>
      <c r="G639">
        <f>IFERROR(__xludf.DUMMYFUNCTION("""COMPUTED_VALUE"""),0.0)</f>
        <v>0</v>
      </c>
    </row>
    <row r="640">
      <c r="A640">
        <f>IFERROR(__xludf.DUMMYFUNCTION("""COMPUTED_VALUE"""),784362.0)</f>
        <v>784362</v>
      </c>
      <c r="B640" t="str">
        <f>IFERROR(__xludf.DUMMYFUNCTION("""COMPUTED_VALUE"""),"Nuts Nfs")</f>
        <v>Nuts Nfs</v>
      </c>
      <c r="C640" t="str">
        <f>IFERROR(__xludf.DUMMYFUNCTION("""COMPUTED_VALUE"""),"Nuts and Seeds")</f>
        <v>Nuts and Seeds</v>
      </c>
      <c r="D640">
        <f>IFERROR(__xludf.DUMMYFUNCTION("""COMPUTED_VALUE"""),605.0)</f>
        <v>605</v>
      </c>
      <c r="E640">
        <f>IFERROR(__xludf.DUMMYFUNCTION("""COMPUTED_VALUE"""),53.62)</f>
        <v>53.62</v>
      </c>
      <c r="F640">
        <f>IFERROR(__xludf.DUMMYFUNCTION("""COMPUTED_VALUE"""),19.59)</f>
        <v>19.59</v>
      </c>
      <c r="G640">
        <f>IFERROR(__xludf.DUMMYFUNCTION("""COMPUTED_VALUE"""),21.04)</f>
        <v>21.04</v>
      </c>
    </row>
    <row r="641">
      <c r="A641">
        <f>IFERROR(__xludf.DUMMYFUNCTION("""COMPUTED_VALUE"""),784365.0)</f>
        <v>784365</v>
      </c>
      <c r="B641" t="str">
        <f>IFERROR(__xludf.DUMMYFUNCTION("""COMPUTED_VALUE"""),"Almonds Salted")</f>
        <v>Almonds Salted</v>
      </c>
      <c r="C641" t="str">
        <f>IFERROR(__xludf.DUMMYFUNCTION("""COMPUTED_VALUE"""),"Nuts and Seeds")</f>
        <v>Nuts and Seeds</v>
      </c>
      <c r="D641">
        <f>IFERROR(__xludf.DUMMYFUNCTION("""COMPUTED_VALUE"""),601.0)</f>
        <v>601</v>
      </c>
      <c r="E641">
        <f>IFERROR(__xludf.DUMMYFUNCTION("""COMPUTED_VALUE"""),53.43)</f>
        <v>53.43</v>
      </c>
      <c r="F641">
        <f>IFERROR(__xludf.DUMMYFUNCTION("""COMPUTED_VALUE"""),20.13)</f>
        <v>20.13</v>
      </c>
      <c r="G641">
        <f>IFERROR(__xludf.DUMMYFUNCTION("""COMPUTED_VALUE"""),20.18)</f>
        <v>20.18</v>
      </c>
    </row>
    <row r="642">
      <c r="A642">
        <f>IFERROR(__xludf.DUMMYFUNCTION("""COMPUTED_VALUE"""),784367.0)</f>
        <v>784367</v>
      </c>
      <c r="B642" t="str">
        <f>IFERROR(__xludf.DUMMYFUNCTION("""COMPUTED_VALUE"""),"Almonds Unsalted")</f>
        <v>Almonds Unsalted</v>
      </c>
      <c r="C642" t="str">
        <f>IFERROR(__xludf.DUMMYFUNCTION("""COMPUTED_VALUE"""),"Nuts and Seeds")</f>
        <v>Nuts and Seeds</v>
      </c>
      <c r="D642">
        <f>IFERROR(__xludf.DUMMYFUNCTION("""COMPUTED_VALUE"""),607.0)</f>
        <v>607</v>
      </c>
      <c r="E642">
        <f>IFERROR(__xludf.DUMMYFUNCTION("""COMPUTED_VALUE"""),53.96)</f>
        <v>53.96</v>
      </c>
      <c r="F642">
        <f>IFERROR(__xludf.DUMMYFUNCTION("""COMPUTED_VALUE"""),20.33)</f>
        <v>20.33</v>
      </c>
      <c r="G642">
        <f>IFERROR(__xludf.DUMMYFUNCTION("""COMPUTED_VALUE"""),20.38)</f>
        <v>20.38</v>
      </c>
    </row>
    <row r="643">
      <c r="A643">
        <f>IFERROR(__xludf.DUMMYFUNCTION("""COMPUTED_VALUE"""),784368.0)</f>
        <v>784368</v>
      </c>
      <c r="B643" t="str">
        <f>IFERROR(__xludf.DUMMYFUNCTION("""COMPUTED_VALUE"""),"Almonds Flavored")</f>
        <v>Almonds Flavored</v>
      </c>
      <c r="C643" t="str">
        <f>IFERROR(__xludf.DUMMYFUNCTION("""COMPUTED_VALUE"""),"Nuts and Seeds")</f>
        <v>Nuts and Seeds</v>
      </c>
      <c r="D643">
        <f>IFERROR(__xludf.DUMMYFUNCTION("""COMPUTED_VALUE"""),599.0)</f>
        <v>599</v>
      </c>
      <c r="E643">
        <f>IFERROR(__xludf.DUMMYFUNCTION("""COMPUTED_VALUE"""),53.27)</f>
        <v>53.27</v>
      </c>
      <c r="F643">
        <f>IFERROR(__xludf.DUMMYFUNCTION("""COMPUTED_VALUE"""),20.07)</f>
        <v>20.07</v>
      </c>
      <c r="G643">
        <f>IFERROR(__xludf.DUMMYFUNCTION("""COMPUTED_VALUE"""),20.12)</f>
        <v>20.12</v>
      </c>
    </row>
    <row r="644">
      <c r="A644">
        <f>IFERROR(__xludf.DUMMYFUNCTION("""COMPUTED_VALUE"""),784369.0)</f>
        <v>784369</v>
      </c>
      <c r="B644" t="str">
        <f>IFERROR(__xludf.DUMMYFUNCTION("""COMPUTED_VALUE"""),"Almonds Honey Roasted")</f>
        <v>Almonds Honey Roasted</v>
      </c>
      <c r="C644" t="str">
        <f>IFERROR(__xludf.DUMMYFUNCTION("""COMPUTED_VALUE"""),"Nuts and Seeds")</f>
        <v>Nuts and Seeds</v>
      </c>
      <c r="D644">
        <f>IFERROR(__xludf.DUMMYFUNCTION("""COMPUTED_VALUE"""),575.0)</f>
        <v>575</v>
      </c>
      <c r="E644">
        <f>IFERROR(__xludf.DUMMYFUNCTION("""COMPUTED_VALUE"""),45.27)</f>
        <v>45.27</v>
      </c>
      <c r="F644">
        <f>IFERROR(__xludf.DUMMYFUNCTION("""COMPUTED_VALUE"""),14.11)</f>
        <v>14.11</v>
      </c>
      <c r="G644">
        <f>IFERROR(__xludf.DUMMYFUNCTION("""COMPUTED_VALUE"""),35.92)</f>
        <v>35.92</v>
      </c>
    </row>
    <row r="645">
      <c r="A645">
        <f>IFERROR(__xludf.DUMMYFUNCTION("""COMPUTED_VALUE"""),784374.0)</f>
        <v>784374</v>
      </c>
      <c r="B645" t="str">
        <f>IFERROR(__xludf.DUMMYFUNCTION("""COMPUTED_VALUE"""),"Cashews Lightly Salted")</f>
        <v>Cashews Lightly Salted</v>
      </c>
      <c r="C645" t="str">
        <f>IFERROR(__xludf.DUMMYFUNCTION("""COMPUTED_VALUE"""),"Nuts and Seeds")</f>
        <v>Nuts and Seeds</v>
      </c>
      <c r="D645">
        <f>IFERROR(__xludf.DUMMYFUNCTION("""COMPUTED_VALUE"""),580.0)</f>
        <v>580</v>
      </c>
      <c r="E645">
        <f>IFERROR(__xludf.DUMMYFUNCTION("""COMPUTED_VALUE"""),47.72)</f>
        <v>47.72</v>
      </c>
      <c r="F645">
        <f>IFERROR(__xludf.DUMMYFUNCTION("""COMPUTED_VALUE"""),14.78)</f>
        <v>14.78</v>
      </c>
      <c r="G645">
        <f>IFERROR(__xludf.DUMMYFUNCTION("""COMPUTED_VALUE"""),31.55)</f>
        <v>31.55</v>
      </c>
    </row>
    <row r="646">
      <c r="A646">
        <f>IFERROR(__xludf.DUMMYFUNCTION("""COMPUTED_VALUE"""),784375.0)</f>
        <v>784375</v>
      </c>
      <c r="B646" t="str">
        <f>IFERROR(__xludf.DUMMYFUNCTION("""COMPUTED_VALUE"""),"Cashews Unsalted")</f>
        <v>Cashews Unsalted</v>
      </c>
      <c r="C646" t="str">
        <f>IFERROR(__xludf.DUMMYFUNCTION("""COMPUTED_VALUE"""),"Nuts and Seeds")</f>
        <v>Nuts and Seeds</v>
      </c>
      <c r="D646">
        <f>IFERROR(__xludf.DUMMYFUNCTION("""COMPUTED_VALUE"""),583.0)</f>
        <v>583</v>
      </c>
      <c r="E646">
        <f>IFERROR(__xludf.DUMMYFUNCTION("""COMPUTED_VALUE"""),47.96)</f>
        <v>47.96</v>
      </c>
      <c r="F646">
        <f>IFERROR(__xludf.DUMMYFUNCTION("""COMPUTED_VALUE"""),14.85)</f>
        <v>14.85</v>
      </c>
      <c r="G646">
        <f>IFERROR(__xludf.DUMMYFUNCTION("""COMPUTED_VALUE"""),31.71)</f>
        <v>31.71</v>
      </c>
    </row>
    <row r="647">
      <c r="A647">
        <f>IFERROR(__xludf.DUMMYFUNCTION("""COMPUTED_VALUE"""),784382.0)</f>
        <v>784382</v>
      </c>
      <c r="B647" t="str">
        <f>IFERROR(__xludf.DUMMYFUNCTION("""COMPUTED_VALUE"""),"Mixed Nuts Nfs")</f>
        <v>Mixed Nuts Nfs</v>
      </c>
      <c r="C647" t="str">
        <f>IFERROR(__xludf.DUMMYFUNCTION("""COMPUTED_VALUE"""),"Nuts and Seeds")</f>
        <v>Nuts and Seeds</v>
      </c>
      <c r="D647">
        <f>IFERROR(__xludf.DUMMYFUNCTION("""COMPUTED_VALUE"""),605.0)</f>
        <v>605</v>
      </c>
      <c r="E647">
        <f>IFERROR(__xludf.DUMMYFUNCTION("""COMPUTED_VALUE"""),53.62)</f>
        <v>53.62</v>
      </c>
      <c r="F647">
        <f>IFERROR(__xludf.DUMMYFUNCTION("""COMPUTED_VALUE"""),19.59)</f>
        <v>19.59</v>
      </c>
      <c r="G647">
        <f>IFERROR(__xludf.DUMMYFUNCTION("""COMPUTED_VALUE"""),21.04)</f>
        <v>21.04</v>
      </c>
    </row>
    <row r="648">
      <c r="A648">
        <f>IFERROR(__xludf.DUMMYFUNCTION("""COMPUTED_VALUE"""),784383.0)</f>
        <v>784383</v>
      </c>
      <c r="B648" t="str">
        <f>IFERROR(__xludf.DUMMYFUNCTION("""COMPUTED_VALUE"""),"Mixed Nuts Unroasted")</f>
        <v>Mixed Nuts Unroasted</v>
      </c>
      <c r="C648" t="str">
        <f>IFERROR(__xludf.DUMMYFUNCTION("""COMPUTED_VALUE"""),"Nuts and Seeds")</f>
        <v>Nuts and Seeds</v>
      </c>
      <c r="D648">
        <f>IFERROR(__xludf.DUMMYFUNCTION("""COMPUTED_VALUE"""),606.0)</f>
        <v>606</v>
      </c>
      <c r="E648">
        <f>IFERROR(__xludf.DUMMYFUNCTION("""COMPUTED_VALUE"""),54.13)</f>
        <v>54.13</v>
      </c>
      <c r="F648">
        <f>IFERROR(__xludf.DUMMYFUNCTION("""COMPUTED_VALUE"""),16.96)</f>
        <v>16.96</v>
      </c>
      <c r="G648">
        <f>IFERROR(__xludf.DUMMYFUNCTION("""COMPUTED_VALUE"""),23.17)</f>
        <v>23.17</v>
      </c>
    </row>
    <row r="649">
      <c r="A649">
        <f>IFERROR(__xludf.DUMMYFUNCTION("""COMPUTED_VALUE"""),784386.0)</f>
        <v>784386</v>
      </c>
      <c r="B649" t="str">
        <f>IFERROR(__xludf.DUMMYFUNCTION("""COMPUTED_VALUE"""),"Mixed Nuts With Peanuts Unsalted")</f>
        <v>Mixed Nuts With Peanuts Unsalted</v>
      </c>
      <c r="C649" t="str">
        <f>IFERROR(__xludf.DUMMYFUNCTION("""COMPUTED_VALUE"""),"Nuts and Seeds")</f>
        <v>Nuts and Seeds</v>
      </c>
      <c r="D649">
        <f>IFERROR(__xludf.DUMMYFUNCTION("""COMPUTED_VALUE"""),610.0)</f>
        <v>610</v>
      </c>
      <c r="E649">
        <f>IFERROR(__xludf.DUMMYFUNCTION("""COMPUTED_VALUE"""),54.05)</f>
        <v>54.05</v>
      </c>
      <c r="F649">
        <f>IFERROR(__xludf.DUMMYFUNCTION("""COMPUTED_VALUE"""),19.74)</f>
        <v>19.74</v>
      </c>
      <c r="G649">
        <f>IFERROR(__xludf.DUMMYFUNCTION("""COMPUTED_VALUE"""),21.21)</f>
        <v>21.21</v>
      </c>
    </row>
    <row r="650">
      <c r="A650">
        <f>IFERROR(__xludf.DUMMYFUNCTION("""COMPUTED_VALUE"""),784387.0)</f>
        <v>784387</v>
      </c>
      <c r="B650" t="str">
        <f>IFERROR(__xludf.DUMMYFUNCTION("""COMPUTED_VALUE"""),"Mixed Nuts Without Peanuts Salted")</f>
        <v>Mixed Nuts Without Peanuts Salted</v>
      </c>
      <c r="C650" t="str">
        <f>IFERROR(__xludf.DUMMYFUNCTION("""COMPUTED_VALUE"""),"Nuts and Seeds")</f>
        <v>Nuts and Seeds</v>
      </c>
      <c r="D650">
        <f>IFERROR(__xludf.DUMMYFUNCTION("""COMPUTED_VALUE"""),610.0)</f>
        <v>610</v>
      </c>
      <c r="E650">
        <f>IFERROR(__xludf.DUMMYFUNCTION("""COMPUTED_VALUE"""),55.09)</f>
        <v>55.09</v>
      </c>
      <c r="F650">
        <f>IFERROR(__xludf.DUMMYFUNCTION("""COMPUTED_VALUE"""),16.31)</f>
        <v>16.31</v>
      </c>
      <c r="G650">
        <f>IFERROR(__xludf.DUMMYFUNCTION("""COMPUTED_VALUE"""),22.28)</f>
        <v>22.28</v>
      </c>
    </row>
    <row r="651">
      <c r="A651">
        <f>IFERROR(__xludf.DUMMYFUNCTION("""COMPUTED_VALUE"""),784388.0)</f>
        <v>784388</v>
      </c>
      <c r="B651" t="str">
        <f>IFERROR(__xludf.DUMMYFUNCTION("""COMPUTED_VALUE"""),"Mixed Nuts Without Peanuts Unsalted")</f>
        <v>Mixed Nuts Without Peanuts Unsalted</v>
      </c>
      <c r="C651" t="str">
        <f>IFERROR(__xludf.DUMMYFUNCTION("""COMPUTED_VALUE"""),"Nuts and Seeds")</f>
        <v>Nuts and Seeds</v>
      </c>
      <c r="D651">
        <f>IFERROR(__xludf.DUMMYFUNCTION("""COMPUTED_VALUE"""),615.0)</f>
        <v>615</v>
      </c>
      <c r="E651">
        <f>IFERROR(__xludf.DUMMYFUNCTION("""COMPUTED_VALUE"""),55.54)</f>
        <v>55.54</v>
      </c>
      <c r="F651">
        <f>IFERROR(__xludf.DUMMYFUNCTION("""COMPUTED_VALUE"""),16.44)</f>
        <v>16.44</v>
      </c>
      <c r="G651">
        <f>IFERROR(__xludf.DUMMYFUNCTION("""COMPUTED_VALUE"""),22.46)</f>
        <v>22.46</v>
      </c>
    </row>
    <row r="652">
      <c r="A652">
        <f>IFERROR(__xludf.DUMMYFUNCTION("""COMPUTED_VALUE"""),784389.0)</f>
        <v>784389</v>
      </c>
      <c r="B652" t="str">
        <f>IFERROR(__xludf.DUMMYFUNCTION("""COMPUTED_VALUE"""),"Mixed Nuts Honey Roasted")</f>
        <v>Mixed Nuts Honey Roasted</v>
      </c>
      <c r="C652" t="str">
        <f>IFERROR(__xludf.DUMMYFUNCTION("""COMPUTED_VALUE"""),"Nuts and Seeds")</f>
        <v>Nuts and Seeds</v>
      </c>
      <c r="D652">
        <f>IFERROR(__xludf.DUMMYFUNCTION("""COMPUTED_VALUE"""),579.0)</f>
        <v>579</v>
      </c>
      <c r="E652">
        <f>IFERROR(__xludf.DUMMYFUNCTION("""COMPUTED_VALUE"""),46.51)</f>
        <v>46.51</v>
      </c>
      <c r="F652">
        <f>IFERROR(__xludf.DUMMYFUNCTION("""COMPUTED_VALUE"""),15.35)</f>
        <v>15.35</v>
      </c>
      <c r="G652">
        <f>IFERROR(__xludf.DUMMYFUNCTION("""COMPUTED_VALUE"""),33.28)</f>
        <v>33.28</v>
      </c>
    </row>
    <row r="653">
      <c r="A653">
        <f>IFERROR(__xludf.DUMMYFUNCTION("""COMPUTED_VALUE"""),784396.0)</f>
        <v>784396</v>
      </c>
      <c r="B653" t="str">
        <f>IFERROR(__xludf.DUMMYFUNCTION("""COMPUTED_VALUE"""),"Peanuts Dry Roasted Lightly Salted")</f>
        <v>Peanuts Dry Roasted Lightly Salted</v>
      </c>
      <c r="C653" t="str">
        <f>IFERROR(__xludf.DUMMYFUNCTION("""COMPUTED_VALUE"""),"Nuts and Seeds")</f>
        <v>Nuts and Seeds</v>
      </c>
      <c r="D653">
        <f>IFERROR(__xludf.DUMMYFUNCTION("""COMPUTED_VALUE"""),584.0)</f>
        <v>584</v>
      </c>
      <c r="E653">
        <f>IFERROR(__xludf.DUMMYFUNCTION("""COMPUTED_VALUE"""),49.41)</f>
        <v>49.41</v>
      </c>
      <c r="F653">
        <f>IFERROR(__xludf.DUMMYFUNCTION("""COMPUTED_VALUE"""),24.23)</f>
        <v>24.23</v>
      </c>
      <c r="G653">
        <f>IFERROR(__xludf.DUMMYFUNCTION("""COMPUTED_VALUE"""),21.15)</f>
        <v>21.15</v>
      </c>
    </row>
    <row r="654">
      <c r="A654">
        <f>IFERROR(__xludf.DUMMYFUNCTION("""COMPUTED_VALUE"""),784401.0)</f>
        <v>784401</v>
      </c>
      <c r="B654" t="str">
        <f>IFERROR(__xludf.DUMMYFUNCTION("""COMPUTED_VALUE"""),"Pecans Salted")</f>
        <v>Pecans Salted</v>
      </c>
      <c r="C654" t="str">
        <f>IFERROR(__xludf.DUMMYFUNCTION("""COMPUTED_VALUE"""),"Nuts and Seeds")</f>
        <v>Nuts and Seeds</v>
      </c>
      <c r="D654">
        <f>IFERROR(__xludf.DUMMYFUNCTION("""COMPUTED_VALUE"""),690.0)</f>
        <v>690</v>
      </c>
      <c r="E654">
        <f>IFERROR(__xludf.DUMMYFUNCTION("""COMPUTED_VALUE"""),72.09)</f>
        <v>72.09</v>
      </c>
      <c r="F654">
        <f>IFERROR(__xludf.DUMMYFUNCTION("""COMPUTED_VALUE"""),8.81)</f>
        <v>8.81</v>
      </c>
      <c r="G654">
        <f>IFERROR(__xludf.DUMMYFUNCTION("""COMPUTED_VALUE"""),13.31)</f>
        <v>13.31</v>
      </c>
    </row>
    <row r="655">
      <c r="A655">
        <f>IFERROR(__xludf.DUMMYFUNCTION("""COMPUTED_VALUE"""),784402.0)</f>
        <v>784402</v>
      </c>
      <c r="B655" t="str">
        <f>IFERROR(__xludf.DUMMYFUNCTION("""COMPUTED_VALUE"""),"Pecans Unsalted")</f>
        <v>Pecans Unsalted</v>
      </c>
      <c r="C655" t="str">
        <f>IFERROR(__xludf.DUMMYFUNCTION("""COMPUTED_VALUE"""),"Nuts and Seeds")</f>
        <v>Nuts and Seeds</v>
      </c>
      <c r="D655">
        <f>IFERROR(__xludf.DUMMYFUNCTION("""COMPUTED_VALUE"""),697.0)</f>
        <v>697</v>
      </c>
      <c r="E655">
        <f>IFERROR(__xludf.DUMMYFUNCTION("""COMPUTED_VALUE"""),72.81)</f>
        <v>72.81</v>
      </c>
      <c r="F655">
        <f>IFERROR(__xludf.DUMMYFUNCTION("""COMPUTED_VALUE"""),8.9)</f>
        <v>8.9</v>
      </c>
      <c r="G655">
        <f>IFERROR(__xludf.DUMMYFUNCTION("""COMPUTED_VALUE"""),13.44)</f>
        <v>13.44</v>
      </c>
    </row>
    <row r="656">
      <c r="A656">
        <f>IFERROR(__xludf.DUMMYFUNCTION("""COMPUTED_VALUE"""),784403.0)</f>
        <v>784403</v>
      </c>
      <c r="B656" t="str">
        <f>IFERROR(__xludf.DUMMYFUNCTION("""COMPUTED_VALUE"""),"Pecans Honey Roasted")</f>
        <v>Pecans Honey Roasted</v>
      </c>
      <c r="C656" t="str">
        <f>IFERROR(__xludf.DUMMYFUNCTION("""COMPUTED_VALUE"""),"Nuts and Seeds")</f>
        <v>Nuts and Seeds</v>
      </c>
      <c r="D656">
        <f>IFERROR(__xludf.DUMMYFUNCTION("""COMPUTED_VALUE"""),637.0)</f>
        <v>637</v>
      </c>
      <c r="E656">
        <f>IFERROR(__xludf.DUMMYFUNCTION("""COMPUTED_VALUE"""),58.36)</f>
        <v>58.36</v>
      </c>
      <c r="F656">
        <f>IFERROR(__xludf.DUMMYFUNCTION("""COMPUTED_VALUE"""),6.17)</f>
        <v>6.17</v>
      </c>
      <c r="G656">
        <f>IFERROR(__xludf.DUMMYFUNCTION("""COMPUTED_VALUE"""),31.11)</f>
        <v>31.11</v>
      </c>
    </row>
    <row r="657">
      <c r="A657">
        <f>IFERROR(__xludf.DUMMYFUNCTION("""COMPUTED_VALUE"""),784406.0)</f>
        <v>784406</v>
      </c>
      <c r="B657" t="str">
        <f>IFERROR(__xludf.DUMMYFUNCTION("""COMPUTED_VALUE"""),"Pistachio Nuts Salted")</f>
        <v>Pistachio Nuts Salted</v>
      </c>
      <c r="C657" t="str">
        <f>IFERROR(__xludf.DUMMYFUNCTION("""COMPUTED_VALUE"""),"Nuts and Seeds")</f>
        <v>Nuts and Seeds</v>
      </c>
      <c r="D657">
        <f>IFERROR(__xludf.DUMMYFUNCTION("""COMPUTED_VALUE"""),576.0)</f>
        <v>576</v>
      </c>
      <c r="E657">
        <f>IFERROR(__xludf.DUMMYFUNCTION("""COMPUTED_VALUE"""),46.98)</f>
        <v>46.98</v>
      </c>
      <c r="F657">
        <f>IFERROR(__xludf.DUMMYFUNCTION("""COMPUTED_VALUE"""),20.22)</f>
        <v>20.22</v>
      </c>
      <c r="G657">
        <f>IFERROR(__xludf.DUMMYFUNCTION("""COMPUTED_VALUE"""),27.16)</f>
        <v>27.16</v>
      </c>
    </row>
    <row r="658">
      <c r="A658">
        <f>IFERROR(__xludf.DUMMYFUNCTION("""COMPUTED_VALUE"""),784407.0)</f>
        <v>784407</v>
      </c>
      <c r="B658" t="str">
        <f>IFERROR(__xludf.DUMMYFUNCTION("""COMPUTED_VALUE"""),"Pistachio Nuts Lightly Salted")</f>
        <v>Pistachio Nuts Lightly Salted</v>
      </c>
      <c r="C658" t="str">
        <f>IFERROR(__xludf.DUMMYFUNCTION("""COMPUTED_VALUE"""),"Nuts and Seeds")</f>
        <v>Nuts and Seeds</v>
      </c>
      <c r="D658">
        <f>IFERROR(__xludf.DUMMYFUNCTION("""COMPUTED_VALUE"""),579.0)</f>
        <v>579</v>
      </c>
      <c r="E658">
        <f>IFERROR(__xludf.DUMMYFUNCTION("""COMPUTED_VALUE"""),47.21)</f>
        <v>47.21</v>
      </c>
      <c r="F658">
        <f>IFERROR(__xludf.DUMMYFUNCTION("""COMPUTED_VALUE"""),20.32)</f>
        <v>20.32</v>
      </c>
      <c r="G658">
        <f>IFERROR(__xludf.DUMMYFUNCTION("""COMPUTED_VALUE"""),27.3)</f>
        <v>27.3</v>
      </c>
    </row>
    <row r="659">
      <c r="A659">
        <f>IFERROR(__xludf.DUMMYFUNCTION("""COMPUTED_VALUE"""),784408.0)</f>
        <v>784408</v>
      </c>
      <c r="B659" t="str">
        <f>IFERROR(__xludf.DUMMYFUNCTION("""COMPUTED_VALUE"""),"Pistachio Nuts Unsalted")</f>
        <v>Pistachio Nuts Unsalted</v>
      </c>
      <c r="C659" t="str">
        <f>IFERROR(__xludf.DUMMYFUNCTION("""COMPUTED_VALUE"""),"Nuts and Seeds")</f>
        <v>Nuts and Seeds</v>
      </c>
      <c r="D659">
        <f>IFERROR(__xludf.DUMMYFUNCTION("""COMPUTED_VALUE"""),581.0)</f>
        <v>581</v>
      </c>
      <c r="E659">
        <f>IFERROR(__xludf.DUMMYFUNCTION("""COMPUTED_VALUE"""),47.44)</f>
        <v>47.44</v>
      </c>
      <c r="F659">
        <f>IFERROR(__xludf.DUMMYFUNCTION("""COMPUTED_VALUE"""),20.42)</f>
        <v>20.42</v>
      </c>
      <c r="G659">
        <f>IFERROR(__xludf.DUMMYFUNCTION("""COMPUTED_VALUE"""),27.43)</f>
        <v>27.43</v>
      </c>
    </row>
    <row r="660">
      <c r="A660">
        <f>IFERROR(__xludf.DUMMYFUNCTION("""COMPUTED_VALUE"""),784411.0)</f>
        <v>784411</v>
      </c>
      <c r="B660" t="str">
        <f>IFERROR(__xludf.DUMMYFUNCTION("""COMPUTED_VALUE"""),"Walnuts Honey Roasted")</f>
        <v>Walnuts Honey Roasted</v>
      </c>
      <c r="C660" t="str">
        <f>IFERROR(__xludf.DUMMYFUNCTION("""COMPUTED_VALUE"""),"Nuts and Seeds")</f>
        <v>Nuts and Seeds</v>
      </c>
      <c r="D660">
        <f>IFERROR(__xludf.DUMMYFUNCTION("""COMPUTED_VALUE"""),612.0)</f>
        <v>612</v>
      </c>
      <c r="E660">
        <f>IFERROR(__xludf.DUMMYFUNCTION("""COMPUTED_VALUE"""),53.8)</f>
        <v>53.8</v>
      </c>
      <c r="F660">
        <f>IFERROR(__xludf.DUMMYFUNCTION("""COMPUTED_VALUE"""),10.25)</f>
        <v>10.25</v>
      </c>
      <c r="G660">
        <f>IFERROR(__xludf.DUMMYFUNCTION("""COMPUTED_VALUE"""),31.01)</f>
        <v>31.01</v>
      </c>
    </row>
    <row r="661">
      <c r="A661">
        <f>IFERROR(__xludf.DUMMYFUNCTION("""COMPUTED_VALUE"""),784418.0)</f>
        <v>784418</v>
      </c>
      <c r="B661" t="str">
        <f>IFERROR(__xludf.DUMMYFUNCTION("""COMPUTED_VALUE"""),"Peanut Butter Lower Sodium And Lower Sugar")</f>
        <v>Peanut Butter Lower Sodium And Lower Sugar</v>
      </c>
      <c r="C661" t="str">
        <f>IFERROR(__xludf.DUMMYFUNCTION("""COMPUTED_VALUE"""),"Nuts and Seeds")</f>
        <v>Nuts and Seeds</v>
      </c>
      <c r="D661">
        <f>IFERROR(__xludf.DUMMYFUNCTION("""COMPUTED_VALUE"""),624.0)</f>
        <v>624</v>
      </c>
      <c r="E661">
        <f>IFERROR(__xludf.DUMMYFUNCTION("""COMPUTED_VALUE"""),53.12)</f>
        <v>53.12</v>
      </c>
      <c r="F661">
        <f>IFERROR(__xludf.DUMMYFUNCTION("""COMPUTED_VALUE"""),23.5)</f>
        <v>23.5</v>
      </c>
      <c r="G661">
        <f>IFERROR(__xludf.DUMMYFUNCTION("""COMPUTED_VALUE"""),18.27)</f>
        <v>18.27</v>
      </c>
    </row>
    <row r="662">
      <c r="A662">
        <f>IFERROR(__xludf.DUMMYFUNCTION("""COMPUTED_VALUE"""),784422.0)</f>
        <v>784422</v>
      </c>
      <c r="B662" t="str">
        <f>IFERROR(__xludf.DUMMYFUNCTION("""COMPUTED_VALUE"""),"Peanut Butter And Jelly")</f>
        <v>Peanut Butter And Jelly</v>
      </c>
      <c r="C662" t="str">
        <f>IFERROR(__xludf.DUMMYFUNCTION("""COMPUTED_VALUE"""),"Nuts and Seeds")</f>
        <v>Nuts and Seeds</v>
      </c>
      <c r="D662">
        <f>IFERROR(__xludf.DUMMYFUNCTION("""COMPUTED_VALUE"""),432.0)</f>
        <v>432</v>
      </c>
      <c r="E662">
        <f>IFERROR(__xludf.DUMMYFUNCTION("""COMPUTED_VALUE"""),25.69)</f>
        <v>25.69</v>
      </c>
      <c r="F662">
        <f>IFERROR(__xludf.DUMMYFUNCTION("""COMPUTED_VALUE"""),11.18)</f>
        <v>11.18</v>
      </c>
      <c r="G662">
        <f>IFERROR(__xludf.DUMMYFUNCTION("""COMPUTED_VALUE"""),46.13)</f>
        <v>46.13</v>
      </c>
    </row>
    <row r="663">
      <c r="A663">
        <f>IFERROR(__xludf.DUMMYFUNCTION("""COMPUTED_VALUE"""),784423.0)</f>
        <v>784423</v>
      </c>
      <c r="B663" t="str">
        <f>IFERROR(__xludf.DUMMYFUNCTION("""COMPUTED_VALUE"""),"Peanut Butter And Chocolate Spread")</f>
        <v>Peanut Butter And Chocolate Spread</v>
      </c>
      <c r="C663" t="str">
        <f>IFERROR(__xludf.DUMMYFUNCTION("""COMPUTED_VALUE"""),"Nuts and Seeds")</f>
        <v>Nuts and Seeds</v>
      </c>
      <c r="D663">
        <f>IFERROR(__xludf.DUMMYFUNCTION("""COMPUTED_VALUE"""),498.0)</f>
        <v>498</v>
      </c>
      <c r="E663">
        <f>IFERROR(__xludf.DUMMYFUNCTION("""COMPUTED_VALUE"""),34.48)</f>
        <v>34.48</v>
      </c>
      <c r="F663">
        <f>IFERROR(__xludf.DUMMYFUNCTION("""COMPUTED_VALUE"""),11.66)</f>
        <v>11.66</v>
      </c>
      <c r="G663">
        <f>IFERROR(__xludf.DUMMYFUNCTION("""COMPUTED_VALUE"""),42.76)</f>
        <v>42.76</v>
      </c>
    </row>
    <row r="664">
      <c r="A664">
        <f>IFERROR(__xludf.DUMMYFUNCTION("""COMPUTED_VALUE"""),784452.0)</f>
        <v>784452</v>
      </c>
      <c r="B664" t="str">
        <f>IFERROR(__xludf.DUMMYFUNCTION("""COMPUTED_VALUE"""),"Trail Mix Nfs")</f>
        <v>Trail Mix Nfs</v>
      </c>
      <c r="C664" t="str">
        <f>IFERROR(__xludf.DUMMYFUNCTION("""COMPUTED_VALUE"""),"Nuts and Seeds")</f>
        <v>Nuts and Seeds</v>
      </c>
      <c r="D664">
        <f>IFERROR(__xludf.DUMMYFUNCTION("""COMPUTED_VALUE"""),452.0)</f>
        <v>452</v>
      </c>
      <c r="E664">
        <f>IFERROR(__xludf.DUMMYFUNCTION("""COMPUTED_VALUE"""),26.8)</f>
        <v>26.8</v>
      </c>
      <c r="F664">
        <f>IFERROR(__xludf.DUMMYFUNCTION("""COMPUTED_VALUE"""),10.84)</f>
        <v>10.84</v>
      </c>
      <c r="G664">
        <f>IFERROR(__xludf.DUMMYFUNCTION("""COMPUTED_VALUE"""),51.08)</f>
        <v>51.08</v>
      </c>
    </row>
    <row r="665">
      <c r="A665">
        <f>IFERROR(__xludf.DUMMYFUNCTION("""COMPUTED_VALUE"""),784453.0)</f>
        <v>784453</v>
      </c>
      <c r="B665" t="str">
        <f>IFERROR(__xludf.DUMMYFUNCTION("""COMPUTED_VALUE"""),"Trail Mix With Nuts")</f>
        <v>Trail Mix With Nuts</v>
      </c>
      <c r="C665" t="str">
        <f>IFERROR(__xludf.DUMMYFUNCTION("""COMPUTED_VALUE"""),"Nuts and Seeds")</f>
        <v>Nuts and Seeds</v>
      </c>
      <c r="D665">
        <f>IFERROR(__xludf.DUMMYFUNCTION("""COMPUTED_VALUE"""),600.0)</f>
        <v>600</v>
      </c>
      <c r="E665">
        <f>IFERROR(__xludf.DUMMYFUNCTION("""COMPUTED_VALUE"""),52.82)</f>
        <v>52.82</v>
      </c>
      <c r="F665">
        <f>IFERROR(__xludf.DUMMYFUNCTION("""COMPUTED_VALUE"""),20.06)</f>
        <v>20.06</v>
      </c>
      <c r="G665">
        <f>IFERROR(__xludf.DUMMYFUNCTION("""COMPUTED_VALUE"""),21.18)</f>
        <v>21.18</v>
      </c>
    </row>
    <row r="666">
      <c r="A666">
        <f>IFERROR(__xludf.DUMMYFUNCTION("""COMPUTED_VALUE"""),784454.0)</f>
        <v>784454</v>
      </c>
      <c r="B666" t="str">
        <f>IFERROR(__xludf.DUMMYFUNCTION("""COMPUTED_VALUE"""),"Trail Mix With Nuts And Fruit")</f>
        <v>Trail Mix With Nuts And Fruit</v>
      </c>
      <c r="C666" t="str">
        <f>IFERROR(__xludf.DUMMYFUNCTION("""COMPUTED_VALUE"""),"Nuts and Seeds")</f>
        <v>Nuts and Seeds</v>
      </c>
      <c r="D666">
        <f>IFERROR(__xludf.DUMMYFUNCTION("""COMPUTED_VALUE"""),452.0)</f>
        <v>452</v>
      </c>
      <c r="E666">
        <f>IFERROR(__xludf.DUMMYFUNCTION("""COMPUTED_VALUE"""),26.8)</f>
        <v>26.8</v>
      </c>
      <c r="F666">
        <f>IFERROR(__xludf.DUMMYFUNCTION("""COMPUTED_VALUE"""),10.84)</f>
        <v>10.84</v>
      </c>
      <c r="G666">
        <f>IFERROR(__xludf.DUMMYFUNCTION("""COMPUTED_VALUE"""),51.08)</f>
        <v>51.08</v>
      </c>
    </row>
    <row r="667">
      <c r="A667">
        <f>IFERROR(__xludf.DUMMYFUNCTION("""COMPUTED_VALUE"""),784455.0)</f>
        <v>784455</v>
      </c>
      <c r="B667" t="str">
        <f>IFERROR(__xludf.DUMMYFUNCTION("""COMPUTED_VALUE"""),"Trail Mix With Chocolate")</f>
        <v>Trail Mix With Chocolate</v>
      </c>
      <c r="C667" t="str">
        <f>IFERROR(__xludf.DUMMYFUNCTION("""COMPUTED_VALUE"""),"Nuts and Seeds")</f>
        <v>Nuts and Seeds</v>
      </c>
      <c r="D667">
        <f>IFERROR(__xludf.DUMMYFUNCTION("""COMPUTED_VALUE"""),501.0)</f>
        <v>501</v>
      </c>
      <c r="E667">
        <f>IFERROR(__xludf.DUMMYFUNCTION("""COMPUTED_VALUE"""),32.2)</f>
        <v>32.2</v>
      </c>
      <c r="F667">
        <f>IFERROR(__xludf.DUMMYFUNCTION("""COMPUTED_VALUE"""),11.62)</f>
        <v>11.62</v>
      </c>
      <c r="G667">
        <f>IFERROR(__xludf.DUMMYFUNCTION("""COMPUTED_VALUE"""),48.31)</f>
        <v>48.31</v>
      </c>
    </row>
    <row r="668">
      <c r="A668">
        <f>IFERROR(__xludf.DUMMYFUNCTION("""COMPUTED_VALUE"""),784456.0)</f>
        <v>784456</v>
      </c>
      <c r="B668" t="str">
        <f>IFERROR(__xludf.DUMMYFUNCTION("""COMPUTED_VALUE"""),"Trail Mix With Pretzels Cereal Or Granola")</f>
        <v>Trail Mix With Pretzels Cereal Or Granola</v>
      </c>
      <c r="C668" t="str">
        <f>IFERROR(__xludf.DUMMYFUNCTION("""COMPUTED_VALUE"""),"Nuts and Seeds")</f>
        <v>Nuts and Seeds</v>
      </c>
      <c r="D668">
        <f>IFERROR(__xludf.DUMMYFUNCTION("""COMPUTED_VALUE"""),473.0)</f>
        <v>473</v>
      </c>
      <c r="E668">
        <f>IFERROR(__xludf.DUMMYFUNCTION("""COMPUTED_VALUE"""),27.6)</f>
        <v>27.6</v>
      </c>
      <c r="F668">
        <f>IFERROR(__xludf.DUMMYFUNCTION("""COMPUTED_VALUE"""),13.06)</f>
        <v>13.06</v>
      </c>
      <c r="G668">
        <f>IFERROR(__xludf.DUMMYFUNCTION("""COMPUTED_VALUE"""),50.63)</f>
        <v>50.63</v>
      </c>
    </row>
    <row r="669">
      <c r="A669">
        <f>IFERROR(__xludf.DUMMYFUNCTION("""COMPUTED_VALUE"""),784458.0)</f>
        <v>784458</v>
      </c>
      <c r="B669" t="str">
        <f>IFERROR(__xludf.DUMMYFUNCTION("""COMPUTED_VALUE"""),"Pumpkin Seeds Salted")</f>
        <v>Pumpkin Seeds Salted</v>
      </c>
      <c r="C669" t="str">
        <f>IFERROR(__xludf.DUMMYFUNCTION("""COMPUTED_VALUE"""),"Nuts and Seeds")</f>
        <v>Nuts and Seeds</v>
      </c>
      <c r="D669">
        <f>IFERROR(__xludf.DUMMYFUNCTION("""COMPUTED_VALUE"""),567.0)</f>
        <v>567</v>
      </c>
      <c r="E669">
        <f>IFERROR(__xludf.DUMMYFUNCTION("""COMPUTED_VALUE"""),48.47)</f>
        <v>48.47</v>
      </c>
      <c r="F669">
        <f>IFERROR(__xludf.DUMMYFUNCTION("""COMPUTED_VALUE"""),29.49)</f>
        <v>29.49</v>
      </c>
      <c r="G669">
        <f>IFERROR(__xludf.DUMMYFUNCTION("""COMPUTED_VALUE"""),14.54)</f>
        <v>14.54</v>
      </c>
    </row>
    <row r="670">
      <c r="A670">
        <f>IFERROR(__xludf.DUMMYFUNCTION("""COMPUTED_VALUE"""),784461.0)</f>
        <v>784461</v>
      </c>
      <c r="B670" t="str">
        <f>IFERROR(__xludf.DUMMYFUNCTION("""COMPUTED_VALUE"""),"Sunflower Seeds Plain Salted")</f>
        <v>Sunflower Seeds Plain Salted</v>
      </c>
      <c r="C670" t="str">
        <f>IFERROR(__xludf.DUMMYFUNCTION("""COMPUTED_VALUE"""),"Nuts and Seeds")</f>
        <v>Nuts and Seeds</v>
      </c>
      <c r="D670">
        <f>IFERROR(__xludf.DUMMYFUNCTION("""COMPUTED_VALUE"""),575.0)</f>
        <v>575</v>
      </c>
      <c r="E670">
        <f>IFERROR(__xludf.DUMMYFUNCTION("""COMPUTED_VALUE"""),49.21)</f>
        <v>49.21</v>
      </c>
      <c r="F670">
        <f>IFERROR(__xludf.DUMMYFUNCTION("""COMPUTED_VALUE"""),19.1)</f>
        <v>19.1</v>
      </c>
      <c r="G670">
        <f>IFERROR(__xludf.DUMMYFUNCTION("""COMPUTED_VALUE"""),23.78)</f>
        <v>23.78</v>
      </c>
    </row>
    <row r="671">
      <c r="A671">
        <f>IFERROR(__xludf.DUMMYFUNCTION("""COMPUTED_VALUE"""),784462.0)</f>
        <v>784462</v>
      </c>
      <c r="B671" t="str">
        <f>IFERROR(__xludf.DUMMYFUNCTION("""COMPUTED_VALUE"""),"Sunflower Seeds Flavored")</f>
        <v>Sunflower Seeds Flavored</v>
      </c>
      <c r="C671" t="str">
        <f>IFERROR(__xludf.DUMMYFUNCTION("""COMPUTED_VALUE"""),"Nuts and Seeds")</f>
        <v>Nuts and Seeds</v>
      </c>
      <c r="D671">
        <f>IFERROR(__xludf.DUMMYFUNCTION("""COMPUTED_VALUE"""),567.0)</f>
        <v>567</v>
      </c>
      <c r="E671">
        <f>IFERROR(__xludf.DUMMYFUNCTION("""COMPUTED_VALUE"""),47.54)</f>
        <v>47.54</v>
      </c>
      <c r="F671">
        <f>IFERROR(__xludf.DUMMYFUNCTION("""COMPUTED_VALUE"""),18.45)</f>
        <v>18.45</v>
      </c>
      <c r="G671">
        <f>IFERROR(__xludf.DUMMYFUNCTION("""COMPUTED_VALUE"""),25.93)</f>
        <v>25.93</v>
      </c>
    </row>
    <row r="672">
      <c r="A672">
        <f>IFERROR(__xludf.DUMMYFUNCTION("""COMPUTED_VALUE"""),784467.0)</f>
        <v>784467</v>
      </c>
      <c r="B672" t="str">
        <f>IFERROR(__xludf.DUMMYFUNCTION("""COMPUTED_VALUE"""),"Mixed Seeds")</f>
        <v>Mixed Seeds</v>
      </c>
      <c r="C672" t="str">
        <f>IFERROR(__xludf.DUMMYFUNCTION("""COMPUTED_VALUE"""),"Nuts and Seeds")</f>
        <v>Nuts and Seeds</v>
      </c>
      <c r="D672">
        <f>IFERROR(__xludf.DUMMYFUNCTION("""COMPUTED_VALUE"""),580.0)</f>
        <v>580</v>
      </c>
      <c r="E672">
        <f>IFERROR(__xludf.DUMMYFUNCTION("""COMPUTED_VALUE"""),49.61)</f>
        <v>49.61</v>
      </c>
      <c r="F672">
        <f>IFERROR(__xludf.DUMMYFUNCTION("""COMPUTED_VALUE"""),21.96)</f>
        <v>21.96</v>
      </c>
      <c r="G672">
        <f>IFERROR(__xludf.DUMMYFUNCTION("""COMPUTED_VALUE"""),21.73)</f>
        <v>21.73</v>
      </c>
    </row>
    <row r="673">
      <c r="A673">
        <f>IFERROR(__xludf.DUMMYFUNCTION("""COMPUTED_VALUE"""),788983.0)</f>
        <v>788983</v>
      </c>
      <c r="B673" t="str">
        <f>IFERROR(__xludf.DUMMYFUNCTION("""COMPUTED_VALUE"""),"Table Fat Nfs")</f>
        <v>Table Fat Nfs</v>
      </c>
      <c r="C673" t="str">
        <f>IFERROR(__xludf.DUMMYFUNCTION("""COMPUTED_VALUE"""),"Fats and Oils")</f>
        <v>Fats and Oils</v>
      </c>
      <c r="D673">
        <f>IFERROR(__xludf.DUMMYFUNCTION("""COMPUTED_VALUE"""),643.0)</f>
        <v>643</v>
      </c>
      <c r="E673">
        <f>IFERROR(__xludf.DUMMYFUNCTION("""COMPUTED_VALUE"""),72.59)</f>
        <v>72.59</v>
      </c>
      <c r="F673">
        <f>IFERROR(__xludf.DUMMYFUNCTION("""COMPUTED_VALUE"""),0.58)</f>
        <v>0.58</v>
      </c>
      <c r="G673">
        <f>IFERROR(__xludf.DUMMYFUNCTION("""COMPUTED_VALUE"""),0.38)</f>
        <v>0.38</v>
      </c>
    </row>
    <row r="674">
      <c r="A674">
        <f>IFERROR(__xludf.DUMMYFUNCTION("""COMPUTED_VALUE"""),788986.0)</f>
        <v>788986</v>
      </c>
      <c r="B674" t="str">
        <f>IFERROR(__xludf.DUMMYFUNCTION("""COMPUTED_VALUE"""),"Butter Whipped Tub Salted")</f>
        <v>Butter Whipped Tub Salted</v>
      </c>
      <c r="C674" t="str">
        <f>IFERROR(__xludf.DUMMYFUNCTION("""COMPUTED_VALUE"""),"Fats and Oils")</f>
        <v>Fats and Oils</v>
      </c>
      <c r="D674">
        <f>IFERROR(__xludf.DUMMYFUNCTION("""COMPUTED_VALUE"""),718.0)</f>
        <v>718</v>
      </c>
      <c r="E674">
        <f>IFERROR(__xludf.DUMMYFUNCTION("""COMPUTED_VALUE"""),78.3)</f>
        <v>78.3</v>
      </c>
      <c r="F674">
        <f>IFERROR(__xludf.DUMMYFUNCTION("""COMPUTED_VALUE"""),0.49)</f>
        <v>0.49</v>
      </c>
      <c r="G674">
        <f>IFERROR(__xludf.DUMMYFUNCTION("""COMPUTED_VALUE"""),2.87)</f>
        <v>2.87</v>
      </c>
    </row>
    <row r="675">
      <c r="A675">
        <f>IFERROR(__xludf.DUMMYFUNCTION("""COMPUTED_VALUE"""),789000.0)</f>
        <v>789000</v>
      </c>
      <c r="B675" t="str">
        <f>IFERROR(__xludf.DUMMYFUNCTION("""COMPUTED_VALUE"""),"Margarine-Like Spread Liquid Salted")</f>
        <v>Margarine-Like Spread Liquid Salted</v>
      </c>
      <c r="C675" t="str">
        <f>IFERROR(__xludf.DUMMYFUNCTION("""COMPUTED_VALUE"""),"Fats and Oils")</f>
        <v>Fats and Oils</v>
      </c>
      <c r="D675">
        <f>IFERROR(__xludf.DUMMYFUNCTION("""COMPUTED_VALUE"""),527.0)</f>
        <v>527</v>
      </c>
      <c r="E675">
        <f>IFERROR(__xludf.DUMMYFUNCTION("""COMPUTED_VALUE"""),59.17)</f>
        <v>59.17</v>
      </c>
      <c r="F675">
        <f>IFERROR(__xludf.DUMMYFUNCTION("""COMPUTED_VALUE"""),0.6)</f>
        <v>0.6</v>
      </c>
      <c r="G675">
        <f>IFERROR(__xludf.DUMMYFUNCTION("""COMPUTED_VALUE"""),0.0)</f>
        <v>0</v>
      </c>
    </row>
    <row r="676">
      <c r="A676">
        <f>IFERROR(__xludf.DUMMYFUNCTION("""COMPUTED_VALUE"""),789001.0)</f>
        <v>789001</v>
      </c>
      <c r="B676" t="str">
        <f>IFERROR(__xludf.DUMMYFUNCTION("""COMPUTED_VALUE"""),"Margarine Like Spread Whipped Tub Salted")</f>
        <v>Margarine Like Spread Whipped Tub Salted</v>
      </c>
      <c r="C676" t="str">
        <f>IFERROR(__xludf.DUMMYFUNCTION("""COMPUTED_VALUE"""),"Fats and Oils")</f>
        <v>Fats and Oils</v>
      </c>
      <c r="D676">
        <f>IFERROR(__xludf.DUMMYFUNCTION("""COMPUTED_VALUE"""),533.0)</f>
        <v>533</v>
      </c>
      <c r="E676">
        <f>IFERROR(__xludf.DUMMYFUNCTION("""COMPUTED_VALUE"""),59.71)</f>
        <v>59.71</v>
      </c>
      <c r="F676">
        <f>IFERROR(__xludf.DUMMYFUNCTION("""COMPUTED_VALUE"""),0.23)</f>
        <v>0.23</v>
      </c>
      <c r="G676">
        <f>IFERROR(__xludf.DUMMYFUNCTION("""COMPUTED_VALUE"""),0.73)</f>
        <v>0.73</v>
      </c>
    </row>
    <row r="677">
      <c r="A677">
        <f>IFERROR(__xludf.DUMMYFUNCTION("""COMPUTED_VALUE"""),789008.0)</f>
        <v>789008</v>
      </c>
      <c r="B677" t="str">
        <f>IFERROR(__xludf.DUMMYFUNCTION("""COMPUTED_VALUE"""),"Vegetable Oil-Butter Spread Stick Salted")</f>
        <v>Vegetable Oil-Butter Spread Stick Salted</v>
      </c>
      <c r="C677" t="str">
        <f>IFERROR(__xludf.DUMMYFUNCTION("""COMPUTED_VALUE"""),"Fats and Oils")</f>
        <v>Fats and Oils</v>
      </c>
      <c r="D677">
        <f>IFERROR(__xludf.DUMMYFUNCTION("""COMPUTED_VALUE"""),533.0)</f>
        <v>533</v>
      </c>
      <c r="E677">
        <f>IFERROR(__xludf.DUMMYFUNCTION("""COMPUTED_VALUE"""),60.01)</f>
        <v>60.01</v>
      </c>
      <c r="F677">
        <f>IFERROR(__xludf.DUMMYFUNCTION("""COMPUTED_VALUE"""),0.54)</f>
        <v>0.54</v>
      </c>
      <c r="G677">
        <f>IFERROR(__xludf.DUMMYFUNCTION("""COMPUTED_VALUE"""),0.1)</f>
        <v>0.1</v>
      </c>
    </row>
    <row r="678">
      <c r="A678">
        <f>IFERROR(__xludf.DUMMYFUNCTION("""COMPUTED_VALUE"""),789012.0)</f>
        <v>789012</v>
      </c>
      <c r="B678" t="str">
        <f>IFERROR(__xludf.DUMMYFUNCTION("""COMPUTED_VALUE"""),"Butter-Margarine Blend Stick Salted")</f>
        <v>Butter-Margarine Blend Stick Salted</v>
      </c>
      <c r="C678" t="str">
        <f>IFERROR(__xludf.DUMMYFUNCTION("""COMPUTED_VALUE"""),"Fats and Oils")</f>
        <v>Fats and Oils</v>
      </c>
      <c r="D678">
        <f>IFERROR(__xludf.DUMMYFUNCTION("""COMPUTED_VALUE"""),717.0)</f>
        <v>717</v>
      </c>
      <c r="E678">
        <f>IFERROR(__xludf.DUMMYFUNCTION("""COMPUTED_VALUE"""),80.91)</f>
        <v>80.91</v>
      </c>
      <c r="F678">
        <f>IFERROR(__xludf.DUMMYFUNCTION("""COMPUTED_VALUE"""),0.5)</f>
        <v>0.5</v>
      </c>
      <c r="G678">
        <f>IFERROR(__xludf.DUMMYFUNCTION("""COMPUTED_VALUE"""),0.38)</f>
        <v>0.38</v>
      </c>
    </row>
    <row r="679">
      <c r="A679">
        <f>IFERROR(__xludf.DUMMYFUNCTION("""COMPUTED_VALUE"""),789016.0)</f>
        <v>789016</v>
      </c>
      <c r="B679" t="str">
        <f>IFERROR(__xludf.DUMMYFUNCTION("""COMPUTED_VALUE"""),"Oil Or Table Fat Nfs")</f>
        <v>Oil Or Table Fat Nfs</v>
      </c>
      <c r="C679" t="str">
        <f>IFERROR(__xludf.DUMMYFUNCTION("""COMPUTED_VALUE"""),"Fats and Oils")</f>
        <v>Fats and Oils</v>
      </c>
      <c r="D679">
        <f>IFERROR(__xludf.DUMMYFUNCTION("""COMPUTED_VALUE"""),764.0)</f>
        <v>764</v>
      </c>
      <c r="E679">
        <f>IFERROR(__xludf.DUMMYFUNCTION("""COMPUTED_VALUE"""),86.3)</f>
        <v>86.3</v>
      </c>
      <c r="F679">
        <f>IFERROR(__xludf.DUMMYFUNCTION("""COMPUTED_VALUE"""),0.29)</f>
        <v>0.29</v>
      </c>
      <c r="G679">
        <f>IFERROR(__xludf.DUMMYFUNCTION("""COMPUTED_VALUE"""),0.19)</f>
        <v>0.19</v>
      </c>
    </row>
    <row r="680">
      <c r="A680">
        <f>IFERROR(__xludf.DUMMYFUNCTION("""COMPUTED_VALUE"""),789017.0)</f>
        <v>789017</v>
      </c>
      <c r="B680" t="str">
        <f>IFERROR(__xludf.DUMMYFUNCTION("""COMPUTED_VALUE"""),"Animal Fat Or Drippings")</f>
        <v>Animal Fat Or Drippings</v>
      </c>
      <c r="C680" t="str">
        <f>IFERROR(__xludf.DUMMYFUNCTION("""COMPUTED_VALUE"""),"Fats and Oils")</f>
        <v>Fats and Oils</v>
      </c>
      <c r="D680">
        <f>IFERROR(__xludf.DUMMYFUNCTION("""COMPUTED_VALUE"""),841.0)</f>
        <v>841</v>
      </c>
      <c r="E680">
        <f>IFERROR(__xludf.DUMMYFUNCTION("""COMPUTED_VALUE"""),92.18)</f>
        <v>92.18</v>
      </c>
      <c r="F680">
        <f>IFERROR(__xludf.DUMMYFUNCTION("""COMPUTED_VALUE"""),2.23)</f>
        <v>2.23</v>
      </c>
      <c r="G680">
        <f>IFERROR(__xludf.DUMMYFUNCTION("""COMPUTED_VALUE"""),0.0)</f>
        <v>0</v>
      </c>
    </row>
    <row r="681">
      <c r="A681">
        <f>IFERROR(__xludf.DUMMYFUNCTION("""COMPUTED_VALUE"""),789030.0)</f>
        <v>789030</v>
      </c>
      <c r="B681" t="str">
        <f>IFERROR(__xludf.DUMMYFUNCTION("""COMPUTED_VALUE"""),"Tartar Sauce Reduced Fat/calorie")</f>
        <v>Tartar Sauce Reduced Fat/calorie</v>
      </c>
      <c r="C681" t="str">
        <f>IFERROR(__xludf.DUMMYFUNCTION("""COMPUTED_VALUE"""),"Fats and Oils")</f>
        <v>Fats and Oils</v>
      </c>
      <c r="D681">
        <f>IFERROR(__xludf.DUMMYFUNCTION("""COMPUTED_VALUE"""),86.0)</f>
        <v>86</v>
      </c>
      <c r="E681">
        <f>IFERROR(__xludf.DUMMYFUNCTION("""COMPUTED_VALUE"""),3.01)</f>
        <v>3.01</v>
      </c>
      <c r="F681">
        <f>IFERROR(__xludf.DUMMYFUNCTION("""COMPUTED_VALUE"""),0.39)</f>
        <v>0.39</v>
      </c>
      <c r="G681">
        <f>IFERROR(__xludf.DUMMYFUNCTION("""COMPUTED_VALUE"""),15.31)</f>
        <v>15.31</v>
      </c>
    </row>
    <row r="682">
      <c r="A682">
        <f>IFERROR(__xludf.DUMMYFUNCTION("""COMPUTED_VALUE"""),789031.0)</f>
        <v>789031</v>
      </c>
      <c r="B682" t="str">
        <f>IFERROR(__xludf.DUMMYFUNCTION("""COMPUTED_VALUE"""),"Honey Butter")</f>
        <v>Honey Butter</v>
      </c>
      <c r="C682" t="str">
        <f>IFERROR(__xludf.DUMMYFUNCTION("""COMPUTED_VALUE"""),"Fats and Oils")</f>
        <v>Fats and Oils</v>
      </c>
      <c r="D682">
        <f>IFERROR(__xludf.DUMMYFUNCTION("""COMPUTED_VALUE"""),470.0)</f>
        <v>470</v>
      </c>
      <c r="E682">
        <f>IFERROR(__xludf.DUMMYFUNCTION("""COMPUTED_VALUE"""),32.53)</f>
        <v>32.53</v>
      </c>
      <c r="F682">
        <f>IFERROR(__xludf.DUMMYFUNCTION("""COMPUTED_VALUE"""),0.52)</f>
        <v>0.52</v>
      </c>
      <c r="G682">
        <f>IFERROR(__xludf.DUMMYFUNCTION("""COMPUTED_VALUE"""),49.38)</f>
        <v>49.38</v>
      </c>
    </row>
    <row r="683">
      <c r="A683">
        <f>IFERROR(__xludf.DUMMYFUNCTION("""COMPUTED_VALUE"""),789032.0)</f>
        <v>789032</v>
      </c>
      <c r="B683" t="str">
        <f>IFERROR(__xludf.DUMMYFUNCTION("""COMPUTED_VALUE"""),"Vegetable Oil Nfs")</f>
        <v>Vegetable Oil Nfs</v>
      </c>
      <c r="C683" t="str">
        <f>IFERROR(__xludf.DUMMYFUNCTION("""COMPUTED_VALUE"""),"Fats and Oils")</f>
        <v>Fats and Oils</v>
      </c>
      <c r="D683">
        <f>IFERROR(__xludf.DUMMYFUNCTION("""COMPUTED_VALUE"""),886.0)</f>
        <v>886</v>
      </c>
      <c r="E683">
        <f>IFERROR(__xludf.DUMMYFUNCTION("""COMPUTED_VALUE"""),100.0)</f>
        <v>100</v>
      </c>
      <c r="F683">
        <f>IFERROR(__xludf.DUMMYFUNCTION("""COMPUTED_VALUE"""),0.0)</f>
        <v>0</v>
      </c>
      <c r="G683">
        <f>IFERROR(__xludf.DUMMYFUNCTION("""COMPUTED_VALUE"""),0.0)</f>
        <v>0</v>
      </c>
    </row>
    <row r="684">
      <c r="A684">
        <f>IFERROR(__xludf.DUMMYFUNCTION("""COMPUTED_VALUE"""),789051.0)</f>
        <v>789051</v>
      </c>
      <c r="B684" t="str">
        <f>IFERROR(__xludf.DUMMYFUNCTION("""COMPUTED_VALUE"""),"Salad Dressing NFS For Sandwiches")</f>
        <v>Salad Dressing NFS For Sandwiches</v>
      </c>
      <c r="C684" t="str">
        <f>IFERROR(__xludf.DUMMYFUNCTION("""COMPUTED_VALUE"""),"Fats and Oils")</f>
        <v>Fats and Oils</v>
      </c>
      <c r="D684">
        <f>IFERROR(__xludf.DUMMYFUNCTION("""COMPUTED_VALUE"""),594.0)</f>
        <v>594</v>
      </c>
      <c r="E684">
        <f>IFERROR(__xludf.DUMMYFUNCTION("""COMPUTED_VALUE"""),64.2)</f>
        <v>64.2</v>
      </c>
      <c r="F684">
        <f>IFERROR(__xludf.DUMMYFUNCTION("""COMPUTED_VALUE"""),0.9)</f>
        <v>0.9</v>
      </c>
      <c r="G684">
        <f>IFERROR(__xludf.DUMMYFUNCTION("""COMPUTED_VALUE"""),3.41)</f>
        <v>3.41</v>
      </c>
    </row>
    <row r="685">
      <c r="A685">
        <f>IFERROR(__xludf.DUMMYFUNCTION("""COMPUTED_VALUE"""),789055.0)</f>
        <v>789055</v>
      </c>
      <c r="B685" t="str">
        <f>IFERROR(__xludf.DUMMYFUNCTION("""COMPUTED_VALUE"""),"Coleslaw Dressing")</f>
        <v>Coleslaw Dressing</v>
      </c>
      <c r="C685" t="str">
        <f>IFERROR(__xludf.DUMMYFUNCTION("""COMPUTED_VALUE"""),"Fats and Oils")</f>
        <v>Fats and Oils</v>
      </c>
      <c r="D685">
        <f>IFERROR(__xludf.DUMMYFUNCTION("""COMPUTED_VALUE"""),390.0)</f>
        <v>390</v>
      </c>
      <c r="E685">
        <f>IFERROR(__xludf.DUMMYFUNCTION("""COMPUTED_VALUE"""),33.4)</f>
        <v>33.4</v>
      </c>
      <c r="F685">
        <f>IFERROR(__xludf.DUMMYFUNCTION("""COMPUTED_VALUE"""),0.9)</f>
        <v>0.9</v>
      </c>
      <c r="G685">
        <f>IFERROR(__xludf.DUMMYFUNCTION("""COMPUTED_VALUE"""),23.8)</f>
        <v>23.8</v>
      </c>
    </row>
    <row r="686">
      <c r="A686">
        <f>IFERROR(__xludf.DUMMYFUNCTION("""COMPUTED_VALUE"""),789056.0)</f>
        <v>789056</v>
      </c>
      <c r="B686" t="str">
        <f>IFERROR(__xludf.DUMMYFUNCTION("""COMPUTED_VALUE"""),"French Or Catalina Dressing")</f>
        <v>French Or Catalina Dressing</v>
      </c>
      <c r="C686" t="str">
        <f>IFERROR(__xludf.DUMMYFUNCTION("""COMPUTED_VALUE"""),"Fats and Oils")</f>
        <v>Fats and Oils</v>
      </c>
      <c r="D686">
        <f>IFERROR(__xludf.DUMMYFUNCTION("""COMPUTED_VALUE"""),457.0)</f>
        <v>457</v>
      </c>
      <c r="E686">
        <f>IFERROR(__xludf.DUMMYFUNCTION("""COMPUTED_VALUE"""),44.81)</f>
        <v>44.81</v>
      </c>
      <c r="F686">
        <f>IFERROR(__xludf.DUMMYFUNCTION("""COMPUTED_VALUE"""),0.77)</f>
        <v>0.77</v>
      </c>
      <c r="G686">
        <f>IFERROR(__xludf.DUMMYFUNCTION("""COMPUTED_VALUE"""),15.58)</f>
        <v>15.58</v>
      </c>
    </row>
    <row r="687">
      <c r="A687">
        <f>IFERROR(__xludf.DUMMYFUNCTION("""COMPUTED_VALUE"""),789068.0)</f>
        <v>789068</v>
      </c>
      <c r="B687" t="str">
        <f>IFERROR(__xludf.DUMMYFUNCTION("""COMPUTED_VALUE"""),"Yogurt Dressing")</f>
        <v>Yogurt Dressing</v>
      </c>
      <c r="C687" t="str">
        <f>IFERROR(__xludf.DUMMYFUNCTION("""COMPUTED_VALUE"""),"Fats and Oils")</f>
        <v>Fats and Oils</v>
      </c>
      <c r="D687">
        <f>IFERROR(__xludf.DUMMYFUNCTION("""COMPUTED_VALUE"""),220.0)</f>
        <v>220</v>
      </c>
      <c r="E687">
        <f>IFERROR(__xludf.DUMMYFUNCTION("""COMPUTED_VALUE"""),18.27)</f>
        <v>18.27</v>
      </c>
      <c r="F687">
        <f>IFERROR(__xludf.DUMMYFUNCTION("""COMPUTED_VALUE"""),3.45)</f>
        <v>3.45</v>
      </c>
      <c r="G687">
        <f>IFERROR(__xludf.DUMMYFUNCTION("""COMPUTED_VALUE"""),11.75)</f>
        <v>11.75</v>
      </c>
    </row>
    <row r="688">
      <c r="A688">
        <f>IFERROR(__xludf.DUMMYFUNCTION("""COMPUTED_VALUE"""),789082.0)</f>
        <v>789082</v>
      </c>
      <c r="B688" t="str">
        <f>IFERROR(__xludf.DUMMYFUNCTION("""COMPUTED_VALUE"""),"Korean Dressing Or Marinade")</f>
        <v>Korean Dressing Or Marinade</v>
      </c>
      <c r="C688" t="str">
        <f>IFERROR(__xludf.DUMMYFUNCTION("""COMPUTED_VALUE"""),"Fats and Oils")</f>
        <v>Fats and Oils</v>
      </c>
      <c r="D688">
        <f>IFERROR(__xludf.DUMMYFUNCTION("""COMPUTED_VALUE"""),338.0)</f>
        <v>338</v>
      </c>
      <c r="E688">
        <f>IFERROR(__xludf.DUMMYFUNCTION("""COMPUTED_VALUE"""),30.74)</f>
        <v>30.74</v>
      </c>
      <c r="F688">
        <f>IFERROR(__xludf.DUMMYFUNCTION("""COMPUTED_VALUE"""),3.21)</f>
        <v>3.21</v>
      </c>
      <c r="G688">
        <f>IFERROR(__xludf.DUMMYFUNCTION("""COMPUTED_VALUE"""),12.95)</f>
        <v>12.95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t="str">
        <f>IFERROR(__xludf.DUMMYFUNCTION("query(foods!1:14165, ""SELECT A, B, C, D, E, F, G WHERE (C='Vegetables') or (C='Beans and Lentils') or (C='Grains and Pasta') OR (C='Fruits')"", 1)"),"id")</f>
        <v>id</v>
      </c>
      <c r="B1" t="str">
        <f>IFERROR(__xludf.DUMMYFUNCTION("""COMPUTED_VALUE"""),"name")</f>
        <v>name</v>
      </c>
      <c r="C1" t="str">
        <f>IFERROR(__xludf.DUMMYFUNCTION("""COMPUTED_VALUE"""),"foodgroup")</f>
        <v>foodgroup</v>
      </c>
      <c r="D1" t="str">
        <f>IFERROR(__xludf.DUMMYFUNCTION("""COMPUTED_VALUE"""),"calories")</f>
        <v>calories</v>
      </c>
      <c r="E1" t="str">
        <f>IFERROR(__xludf.DUMMYFUNCTION("""COMPUTED_VALUE"""),"fat")</f>
        <v>fat</v>
      </c>
      <c r="F1" t="str">
        <f>IFERROR(__xludf.DUMMYFUNCTION("""COMPUTED_VALUE"""),"protein")</f>
        <v>protein</v>
      </c>
      <c r="G1" t="str">
        <f>IFERROR(__xludf.DUMMYFUNCTION("""COMPUTED_VALUE"""),"carbohydrate")</f>
        <v>carbohydrate</v>
      </c>
    </row>
    <row r="2">
      <c r="A2">
        <f>IFERROR(__xludf.DUMMYFUNCTION("""COMPUTED_VALUE"""),167602.0)</f>
        <v>167602</v>
      </c>
      <c r="B2" t="str">
        <f>IFERROR(__xludf.DUMMYFUNCTION("""COMPUTED_VALUE"""),"Seaweed Canadian Cultivated Emi-Tsunomata Dry")</f>
        <v>Seaweed Canadian Cultivated Emi-Tsunomata Dry</v>
      </c>
      <c r="C2" t="str">
        <f>IFERROR(__xludf.DUMMYFUNCTION("""COMPUTED_VALUE"""),"Vegetables")</f>
        <v>Vegetables</v>
      </c>
      <c r="D2">
        <f>IFERROR(__xludf.DUMMYFUNCTION("""COMPUTED_VALUE"""),259.0)</f>
        <v>259</v>
      </c>
      <c r="E2">
        <f>IFERROR(__xludf.DUMMYFUNCTION("""COMPUTED_VALUE"""),1.39)</f>
        <v>1.39</v>
      </c>
      <c r="F2">
        <f>IFERROR(__xludf.DUMMYFUNCTION("""COMPUTED_VALUE"""),15.34)</f>
        <v>15.34</v>
      </c>
      <c r="G2">
        <f>IFERROR(__xludf.DUMMYFUNCTION("""COMPUTED_VALUE"""),46.24)</f>
        <v>46.24</v>
      </c>
    </row>
    <row r="3">
      <c r="A3">
        <f>IFERROR(__xludf.DUMMYFUNCTION("""COMPUTED_VALUE"""),167603.0)</f>
        <v>167603</v>
      </c>
      <c r="B3" t="str">
        <f>IFERROR(__xludf.DUMMYFUNCTION("""COMPUTED_VALUE"""),"Seaweed Canadian Cultivated Emi-Tsunomata Rehydrated")</f>
        <v>Seaweed Canadian Cultivated Emi-Tsunomata Rehydrated</v>
      </c>
      <c r="C3" t="str">
        <f>IFERROR(__xludf.DUMMYFUNCTION("""COMPUTED_VALUE"""),"Vegetables")</f>
        <v>Vegetables</v>
      </c>
      <c r="D3">
        <f>IFERROR(__xludf.DUMMYFUNCTION("""COMPUTED_VALUE"""),31.0)</f>
        <v>31</v>
      </c>
      <c r="E3">
        <f>IFERROR(__xludf.DUMMYFUNCTION("""COMPUTED_VALUE"""),0.17)</f>
        <v>0.17</v>
      </c>
      <c r="F3">
        <f>IFERROR(__xludf.DUMMYFUNCTION("""COMPUTED_VALUE"""),1.86)</f>
        <v>1.86</v>
      </c>
      <c r="G3">
        <f>IFERROR(__xludf.DUMMYFUNCTION("""COMPUTED_VALUE"""),5.62)</f>
        <v>5.62</v>
      </c>
    </row>
    <row r="4">
      <c r="A4">
        <f>IFERROR(__xludf.DUMMYFUNCTION("""COMPUTED_VALUE"""),167604.0)</f>
        <v>167604</v>
      </c>
      <c r="B4" t="str">
        <f>IFERROR(__xludf.DUMMYFUNCTION("""COMPUTED_VALUE"""),"Potatoes Hash Brown Refrigerated Unprepared")</f>
        <v>Potatoes Hash Brown Refrigerated Unprepared</v>
      </c>
      <c r="C4" t="str">
        <f>IFERROR(__xludf.DUMMYFUNCTION("""COMPUTED_VALUE"""),"Vegetables")</f>
        <v>Vegetables</v>
      </c>
      <c r="D4">
        <f>IFERROR(__xludf.DUMMYFUNCTION("""COMPUTED_VALUE"""),84.0)</f>
        <v>84</v>
      </c>
      <c r="E4">
        <f>IFERROR(__xludf.DUMMYFUNCTION("""COMPUTED_VALUE"""),0.08)</f>
        <v>0.08</v>
      </c>
      <c r="F4">
        <f>IFERROR(__xludf.DUMMYFUNCTION("""COMPUTED_VALUE"""),1.75)</f>
        <v>1.75</v>
      </c>
      <c r="G4">
        <f>IFERROR(__xludf.DUMMYFUNCTION("""COMPUTED_VALUE"""),19.16)</f>
        <v>19.16</v>
      </c>
    </row>
    <row r="5">
      <c r="A5">
        <f>IFERROR(__xludf.DUMMYFUNCTION("""COMPUTED_VALUE"""),167605.0)</f>
        <v>167605</v>
      </c>
      <c r="B5" t="str">
        <f>IFERROR(__xludf.DUMMYFUNCTION("""COMPUTED_VALUE"""),"Potatoes Hash Brown Refrigerated Prepared Pan-Fried In Canola Oil")</f>
        <v>Potatoes Hash Brown Refrigerated Prepared Pan-Fried In Canola Oil</v>
      </c>
      <c r="C5" t="str">
        <f>IFERROR(__xludf.DUMMYFUNCTION("""COMPUTED_VALUE"""),"Vegetables")</f>
        <v>Vegetables</v>
      </c>
      <c r="D5">
        <f>IFERROR(__xludf.DUMMYFUNCTION("""COMPUTED_VALUE"""),242.0)</f>
        <v>242</v>
      </c>
      <c r="E5">
        <f>IFERROR(__xludf.DUMMYFUNCTION("""COMPUTED_VALUE"""),10.3)</f>
        <v>10.3</v>
      </c>
      <c r="F5">
        <f>IFERROR(__xludf.DUMMYFUNCTION("""COMPUTED_VALUE"""),3.24)</f>
        <v>3.24</v>
      </c>
      <c r="G5">
        <f>IFERROR(__xludf.DUMMYFUNCTION("""COMPUTED_VALUE"""),33.99)</f>
        <v>33.99</v>
      </c>
    </row>
    <row r="6">
      <c r="A6">
        <f>IFERROR(__xludf.DUMMYFUNCTION("""COMPUTED_VALUE"""),167606.0)</f>
        <v>167606</v>
      </c>
      <c r="B6" t="str">
        <f>IFERROR(__xludf.DUMMYFUNCTION("""COMPUTED_VALUE"""),"Sweet Potatoes French Fried Frozen As Packaged Salt Added In Processing")</f>
        <v>Sweet Potatoes French Fried Frozen As Packaged Salt Added In Processing</v>
      </c>
      <c r="C6" t="str">
        <f>IFERROR(__xludf.DUMMYFUNCTION("""COMPUTED_VALUE"""),"Vegetables")</f>
        <v>Vegetables</v>
      </c>
      <c r="D6">
        <f>IFERROR(__xludf.DUMMYFUNCTION("""COMPUTED_VALUE"""),182.0)</f>
        <v>182</v>
      </c>
      <c r="E6">
        <f>IFERROR(__xludf.DUMMYFUNCTION("""COMPUTED_VALUE"""),8.92)</f>
        <v>8.92</v>
      </c>
      <c r="F6">
        <f>IFERROR(__xludf.DUMMYFUNCTION("""COMPUTED_VALUE"""),2.16)</f>
        <v>2.16</v>
      </c>
      <c r="G6">
        <f>IFERROR(__xludf.DUMMYFUNCTION("""COMPUTED_VALUE"""),35.58)</f>
        <v>35.58</v>
      </c>
    </row>
    <row r="7">
      <c r="A7">
        <f>IFERROR(__xludf.DUMMYFUNCTION("""COMPUTED_VALUE"""),167708.0)</f>
        <v>167708</v>
      </c>
      <c r="B7" t="str">
        <f>IFERROR(__xludf.DUMMYFUNCTION("""COMPUTED_VALUE"""),"Tomato And Vegetable Juice Low Sodium")</f>
        <v>Tomato And Vegetable Juice Low Sodium</v>
      </c>
      <c r="C7" t="str">
        <f>IFERROR(__xludf.DUMMYFUNCTION("""COMPUTED_VALUE"""),"Vegetables")</f>
        <v>Vegetables</v>
      </c>
      <c r="D7">
        <f>IFERROR(__xludf.DUMMYFUNCTION("""COMPUTED_VALUE"""),22.0)</f>
        <v>22</v>
      </c>
      <c r="E7">
        <f>IFERROR(__xludf.DUMMYFUNCTION("""COMPUTED_VALUE"""),0.1)</f>
        <v>0.1</v>
      </c>
      <c r="F7">
        <f>IFERROR(__xludf.DUMMYFUNCTION("""COMPUTED_VALUE"""),0.6)</f>
        <v>0.6</v>
      </c>
      <c r="G7">
        <f>IFERROR(__xludf.DUMMYFUNCTION("""COMPUTED_VALUE"""),4.59)</f>
        <v>4.59</v>
      </c>
    </row>
    <row r="8">
      <c r="A8">
        <f>IFERROR(__xludf.DUMMYFUNCTION("""COMPUTED_VALUE"""),167714.0)</f>
        <v>167714</v>
      </c>
      <c r="B8" t="str">
        <f>IFERROR(__xludf.DUMMYFUNCTION("""COMPUTED_VALUE"""),"Hearts Of Palm Raw")</f>
        <v>Hearts Of Palm Raw</v>
      </c>
      <c r="C8" t="str">
        <f>IFERROR(__xludf.DUMMYFUNCTION("""COMPUTED_VALUE"""),"Vegetables")</f>
        <v>Vegetables</v>
      </c>
      <c r="D8">
        <f>IFERROR(__xludf.DUMMYFUNCTION("""COMPUTED_VALUE"""),115.0)</f>
        <v>115</v>
      </c>
      <c r="E8">
        <f>IFERROR(__xludf.DUMMYFUNCTION("""COMPUTED_VALUE"""),0.2)</f>
        <v>0.2</v>
      </c>
      <c r="F8">
        <f>IFERROR(__xludf.DUMMYFUNCTION("""COMPUTED_VALUE"""),2.7)</f>
        <v>2.7</v>
      </c>
      <c r="G8">
        <f>IFERROR(__xludf.DUMMYFUNCTION("""COMPUTED_VALUE"""),25.61)</f>
        <v>25.61</v>
      </c>
    </row>
    <row r="9">
      <c r="A9">
        <f>IFERROR(__xludf.DUMMYFUNCTION("""COMPUTED_VALUE"""),167719.0)</f>
        <v>167719</v>
      </c>
      <c r="B9" t="str">
        <f>IFERROR(__xludf.DUMMYFUNCTION("""COMPUTED_VALUE"""),"Chicken Meatless Breaded Fried")</f>
        <v>Chicken Meatless Breaded Fried</v>
      </c>
      <c r="C9" t="str">
        <f>IFERROR(__xludf.DUMMYFUNCTION("""COMPUTED_VALUE"""),"Beans and Lentils")</f>
        <v>Beans and Lentils</v>
      </c>
      <c r="D9">
        <f>IFERROR(__xludf.DUMMYFUNCTION("""COMPUTED_VALUE"""),234.0)</f>
        <v>234</v>
      </c>
      <c r="E9">
        <f>IFERROR(__xludf.DUMMYFUNCTION("""COMPUTED_VALUE"""),12.77)</f>
        <v>12.77</v>
      </c>
      <c r="F9">
        <f>IFERROR(__xludf.DUMMYFUNCTION("""COMPUTED_VALUE"""),21.28)</f>
        <v>21.28</v>
      </c>
      <c r="G9">
        <f>IFERROR(__xludf.DUMMYFUNCTION("""COMPUTED_VALUE"""),8.51)</f>
        <v>8.51</v>
      </c>
    </row>
    <row r="10">
      <c r="A10">
        <f>IFERROR(__xludf.DUMMYFUNCTION("""COMPUTED_VALUE"""),167722.0)</f>
        <v>167722</v>
      </c>
      <c r="B10" t="str">
        <f>IFERROR(__xludf.DUMMYFUNCTION("""COMPUTED_VALUE"""),"Tofu Yogurt")</f>
        <v>Tofu Yogurt</v>
      </c>
      <c r="C10" t="str">
        <f>IFERROR(__xludf.DUMMYFUNCTION("""COMPUTED_VALUE"""),"Beans and Lentils")</f>
        <v>Beans and Lentils</v>
      </c>
      <c r="D10">
        <f>IFERROR(__xludf.DUMMYFUNCTION("""COMPUTED_VALUE"""),94.0)</f>
        <v>94</v>
      </c>
      <c r="E10">
        <f>IFERROR(__xludf.DUMMYFUNCTION("""COMPUTED_VALUE"""),1.8)</f>
        <v>1.8</v>
      </c>
      <c r="F10">
        <f>IFERROR(__xludf.DUMMYFUNCTION("""COMPUTED_VALUE"""),3.5)</f>
        <v>3.5</v>
      </c>
      <c r="G10">
        <f>IFERROR(__xludf.DUMMYFUNCTION("""COMPUTED_VALUE"""),15.96)</f>
        <v>15.96</v>
      </c>
    </row>
    <row r="11">
      <c r="A11">
        <f>IFERROR(__xludf.DUMMYFUNCTION("""COMPUTED_VALUE"""),167746.0)</f>
        <v>167746</v>
      </c>
      <c r="B11" t="str">
        <f>IFERROR(__xludf.DUMMYFUNCTION("""COMPUTED_VALUE"""),"Lemons")</f>
        <v>Lemons</v>
      </c>
      <c r="C11" t="str">
        <f>IFERROR(__xludf.DUMMYFUNCTION("""COMPUTED_VALUE"""),"Fruits")</f>
        <v>Fruits</v>
      </c>
      <c r="D11">
        <f>IFERROR(__xludf.DUMMYFUNCTION("""COMPUTED_VALUE"""),29.0)</f>
        <v>29</v>
      </c>
      <c r="E11">
        <f>IFERROR(__xludf.DUMMYFUNCTION("""COMPUTED_VALUE"""),0.3)</f>
        <v>0.3</v>
      </c>
      <c r="F11">
        <f>IFERROR(__xludf.DUMMYFUNCTION("""COMPUTED_VALUE"""),1.1)</f>
        <v>1.1</v>
      </c>
      <c r="G11">
        <f>IFERROR(__xludf.DUMMYFUNCTION("""COMPUTED_VALUE"""),9.32)</f>
        <v>9.32</v>
      </c>
    </row>
    <row r="12">
      <c r="A12">
        <f>IFERROR(__xludf.DUMMYFUNCTION("""COMPUTED_VALUE"""),167747.0)</f>
        <v>167747</v>
      </c>
      <c r="B12" t="str">
        <f>IFERROR(__xludf.DUMMYFUNCTION("""COMPUTED_VALUE"""),"Lemon Juice Raw")</f>
        <v>Lemon Juice Raw</v>
      </c>
      <c r="C12" t="str">
        <f>IFERROR(__xludf.DUMMYFUNCTION("""COMPUTED_VALUE"""),"Fruits")</f>
        <v>Fruits</v>
      </c>
      <c r="D12">
        <f>IFERROR(__xludf.DUMMYFUNCTION("""COMPUTED_VALUE"""),22.0)</f>
        <v>22</v>
      </c>
      <c r="E12">
        <f>IFERROR(__xludf.DUMMYFUNCTION("""COMPUTED_VALUE"""),0.24)</f>
        <v>0.24</v>
      </c>
      <c r="F12">
        <f>IFERROR(__xludf.DUMMYFUNCTION("""COMPUTED_VALUE"""),0.35)</f>
        <v>0.35</v>
      </c>
      <c r="G12">
        <f>IFERROR(__xludf.DUMMYFUNCTION("""COMPUTED_VALUE"""),6.9)</f>
        <v>6.9</v>
      </c>
    </row>
    <row r="13">
      <c r="A13">
        <f>IFERROR(__xludf.DUMMYFUNCTION("""COMPUTED_VALUE"""),167748.0)</f>
        <v>167748</v>
      </c>
      <c r="B13" t="str">
        <f>IFERROR(__xludf.DUMMYFUNCTION("""COMPUTED_VALUE"""),"Lemon Juice From Concentrate Canned Or Bottled")</f>
        <v>Lemon Juice From Concentrate Canned Or Bottled</v>
      </c>
      <c r="C13" t="str">
        <f>IFERROR(__xludf.DUMMYFUNCTION("""COMPUTED_VALUE"""),"Fruits")</f>
        <v>Fruits</v>
      </c>
      <c r="D13">
        <f>IFERROR(__xludf.DUMMYFUNCTION("""COMPUTED_VALUE"""),17.0)</f>
        <v>17</v>
      </c>
      <c r="E13">
        <f>IFERROR(__xludf.DUMMYFUNCTION("""COMPUTED_VALUE"""),0.07)</f>
        <v>0.07</v>
      </c>
      <c r="F13">
        <f>IFERROR(__xludf.DUMMYFUNCTION("""COMPUTED_VALUE"""),0.45)</f>
        <v>0.45</v>
      </c>
      <c r="G13">
        <f>IFERROR(__xludf.DUMMYFUNCTION("""COMPUTED_VALUE"""),5.62)</f>
        <v>5.62</v>
      </c>
    </row>
    <row r="14">
      <c r="A14">
        <f>IFERROR(__xludf.DUMMYFUNCTION("""COMPUTED_VALUE"""),167749.0)</f>
        <v>167749</v>
      </c>
      <c r="B14" t="str">
        <f>IFERROR(__xludf.DUMMYFUNCTION("""COMPUTED_VALUE"""),"Lemon Peel Raw")</f>
        <v>Lemon Peel Raw</v>
      </c>
      <c r="C14" t="str">
        <f>IFERROR(__xludf.DUMMYFUNCTION("""COMPUTED_VALUE"""),"Fruits")</f>
        <v>Fruits</v>
      </c>
      <c r="D14">
        <f>IFERROR(__xludf.DUMMYFUNCTION("""COMPUTED_VALUE"""),47.0)</f>
        <v>47</v>
      </c>
      <c r="E14">
        <f>IFERROR(__xludf.DUMMYFUNCTION("""COMPUTED_VALUE"""),0.3)</f>
        <v>0.3</v>
      </c>
      <c r="F14">
        <f>IFERROR(__xludf.DUMMYFUNCTION("""COMPUTED_VALUE"""),1.5)</f>
        <v>1.5</v>
      </c>
      <c r="G14">
        <f>IFERROR(__xludf.DUMMYFUNCTION("""COMPUTED_VALUE"""),16.0)</f>
        <v>16</v>
      </c>
    </row>
    <row r="15">
      <c r="A15">
        <f>IFERROR(__xludf.DUMMYFUNCTION("""COMPUTED_VALUE"""),167750.0)</f>
        <v>167750</v>
      </c>
      <c r="B15" t="str">
        <f>IFERROR(__xludf.DUMMYFUNCTION("""COMPUTED_VALUE"""),"Prickly Pears")</f>
        <v>Prickly Pears</v>
      </c>
      <c r="C15" t="str">
        <f>IFERROR(__xludf.DUMMYFUNCTION("""COMPUTED_VALUE"""),"Fruits")</f>
        <v>Fruits</v>
      </c>
      <c r="D15">
        <f>IFERROR(__xludf.DUMMYFUNCTION("""COMPUTED_VALUE"""),41.0)</f>
        <v>41</v>
      </c>
      <c r="E15">
        <f>IFERROR(__xludf.DUMMYFUNCTION("""COMPUTED_VALUE"""),0.51)</f>
        <v>0.51</v>
      </c>
      <c r="F15">
        <f>IFERROR(__xludf.DUMMYFUNCTION("""COMPUTED_VALUE"""),0.73)</f>
        <v>0.73</v>
      </c>
      <c r="G15">
        <f>IFERROR(__xludf.DUMMYFUNCTION("""COMPUTED_VALUE"""),9.57)</f>
        <v>9.57</v>
      </c>
    </row>
    <row r="16">
      <c r="A16">
        <f>IFERROR(__xludf.DUMMYFUNCTION("""COMPUTED_VALUE"""),167751.0)</f>
        <v>167751</v>
      </c>
      <c r="B16" t="str">
        <f>IFERROR(__xludf.DUMMYFUNCTION("""COMPUTED_VALUE"""),"Plums Dried (Prunes) Stewed Without Added Sugar")</f>
        <v>Plums Dried (Prunes) Stewed Without Added Sugar</v>
      </c>
      <c r="C16" t="str">
        <f>IFERROR(__xludf.DUMMYFUNCTION("""COMPUTED_VALUE"""),"Fruits")</f>
        <v>Fruits</v>
      </c>
      <c r="D16">
        <f>IFERROR(__xludf.DUMMYFUNCTION("""COMPUTED_VALUE"""),107.0)</f>
        <v>107</v>
      </c>
      <c r="E16">
        <f>IFERROR(__xludf.DUMMYFUNCTION("""COMPUTED_VALUE"""),0.16)</f>
        <v>0.16</v>
      </c>
      <c r="F16">
        <f>IFERROR(__xludf.DUMMYFUNCTION("""COMPUTED_VALUE"""),0.96)</f>
        <v>0.96</v>
      </c>
      <c r="G16">
        <f>IFERROR(__xludf.DUMMYFUNCTION("""COMPUTED_VALUE"""),28.08)</f>
        <v>28.08</v>
      </c>
    </row>
    <row r="17">
      <c r="A17">
        <f>IFERROR(__xludf.DUMMYFUNCTION("""COMPUTED_VALUE"""),167752.0)</f>
        <v>167752</v>
      </c>
      <c r="B17" t="str">
        <f>IFERROR(__xludf.DUMMYFUNCTION("""COMPUTED_VALUE"""),"Plums Dried (Prunes) Stewed With Added Sugar")</f>
        <v>Plums Dried (Prunes) Stewed With Added Sugar</v>
      </c>
      <c r="C17" t="str">
        <f>IFERROR(__xludf.DUMMYFUNCTION("""COMPUTED_VALUE"""),"Fruits")</f>
        <v>Fruits</v>
      </c>
      <c r="D17">
        <f>IFERROR(__xludf.DUMMYFUNCTION("""COMPUTED_VALUE"""),124.0)</f>
        <v>124</v>
      </c>
      <c r="E17">
        <f>IFERROR(__xludf.DUMMYFUNCTION("""COMPUTED_VALUE"""),0.22)</f>
        <v>0.22</v>
      </c>
      <c r="F17">
        <f>IFERROR(__xludf.DUMMYFUNCTION("""COMPUTED_VALUE"""),1.09)</f>
        <v>1.09</v>
      </c>
      <c r="G17">
        <f>IFERROR(__xludf.DUMMYFUNCTION("""COMPUTED_VALUE"""),32.88)</f>
        <v>32.88</v>
      </c>
    </row>
    <row r="18">
      <c r="A18">
        <f>IFERROR(__xludf.DUMMYFUNCTION("""COMPUTED_VALUE"""),167753.0)</f>
        <v>167753</v>
      </c>
      <c r="B18" t="str">
        <f>IFERROR(__xludf.DUMMYFUNCTION("""COMPUTED_VALUE"""),"Shredded Coconut Meat (Sweetened)")</f>
        <v>Shredded Coconut Meat (Sweetened)</v>
      </c>
      <c r="C18" t="str">
        <f>IFERROR(__xludf.DUMMYFUNCTION("""COMPUTED_VALUE"""),"Fruits")</f>
        <v>Fruits</v>
      </c>
      <c r="D18">
        <f>IFERROR(__xludf.DUMMYFUNCTION("""COMPUTED_VALUE"""),71.0)</f>
        <v>71</v>
      </c>
      <c r="E18">
        <f>IFERROR(__xludf.DUMMYFUNCTION("""COMPUTED_VALUE"""),0.03)</f>
        <v>0.03</v>
      </c>
      <c r="F18">
        <f>IFERROR(__xludf.DUMMYFUNCTION("""COMPUTED_VALUE"""),0.61)</f>
        <v>0.61</v>
      </c>
      <c r="G18">
        <f>IFERROR(__xludf.DUMMYFUNCTION("""COMPUTED_VALUE"""),17.45)</f>
        <v>17.45</v>
      </c>
    </row>
    <row r="19">
      <c r="A19">
        <f>IFERROR(__xludf.DUMMYFUNCTION("""COMPUTED_VALUE"""),167754.0)</f>
        <v>167754</v>
      </c>
      <c r="B19" t="str">
        <f>IFERROR(__xludf.DUMMYFUNCTION("""COMPUTED_VALUE"""),"Pummelo")</f>
        <v>Pummelo</v>
      </c>
      <c r="C19" t="str">
        <f>IFERROR(__xludf.DUMMYFUNCTION("""COMPUTED_VALUE"""),"Fruits")</f>
        <v>Fruits</v>
      </c>
      <c r="D19">
        <f>IFERROR(__xludf.DUMMYFUNCTION("""COMPUTED_VALUE"""),38.0)</f>
        <v>38</v>
      </c>
      <c r="E19">
        <f>IFERROR(__xludf.DUMMYFUNCTION("""COMPUTED_VALUE"""),0.04)</f>
        <v>0.04</v>
      </c>
      <c r="F19">
        <f>IFERROR(__xludf.DUMMYFUNCTION("""COMPUTED_VALUE"""),0.76)</f>
        <v>0.76</v>
      </c>
      <c r="G19">
        <f>IFERROR(__xludf.DUMMYFUNCTION("""COMPUTED_VALUE"""),9.62)</f>
        <v>9.62</v>
      </c>
    </row>
    <row r="20">
      <c r="A20">
        <f>IFERROR(__xludf.DUMMYFUNCTION("""COMPUTED_VALUE"""),167755.0)</f>
        <v>167755</v>
      </c>
      <c r="B20" t="str">
        <f>IFERROR(__xludf.DUMMYFUNCTION("""COMPUTED_VALUE"""),"Raspberries")</f>
        <v>Raspberries</v>
      </c>
      <c r="C20" t="str">
        <f>IFERROR(__xludf.DUMMYFUNCTION("""COMPUTED_VALUE"""),"Fruits")</f>
        <v>Fruits</v>
      </c>
      <c r="D20">
        <f>IFERROR(__xludf.DUMMYFUNCTION("""COMPUTED_VALUE"""),52.0)</f>
        <v>52</v>
      </c>
      <c r="E20">
        <f>IFERROR(__xludf.DUMMYFUNCTION("""COMPUTED_VALUE"""),0.65)</f>
        <v>0.65</v>
      </c>
      <c r="F20">
        <f>IFERROR(__xludf.DUMMYFUNCTION("""COMPUTED_VALUE"""),1.2)</f>
        <v>1.2</v>
      </c>
      <c r="G20">
        <f>IFERROR(__xludf.DUMMYFUNCTION("""COMPUTED_VALUE"""),11.94)</f>
        <v>11.94</v>
      </c>
    </row>
    <row r="21">
      <c r="A21">
        <f>IFERROR(__xludf.DUMMYFUNCTION("""COMPUTED_VALUE"""),167756.0)</f>
        <v>167756</v>
      </c>
      <c r="B21" t="str">
        <f>IFERROR(__xludf.DUMMYFUNCTION("""COMPUTED_VALUE"""),"Raspberries Canned Red Heavy Syrup Pack Solids And Liquids")</f>
        <v>Raspberries Canned Red Heavy Syrup Pack Solids And Liquids</v>
      </c>
      <c r="C21" t="str">
        <f>IFERROR(__xludf.DUMMYFUNCTION("""COMPUTED_VALUE"""),"Fruits")</f>
        <v>Fruits</v>
      </c>
      <c r="D21">
        <f>IFERROR(__xludf.DUMMYFUNCTION("""COMPUTED_VALUE"""),91.0)</f>
        <v>91</v>
      </c>
      <c r="E21">
        <f>IFERROR(__xludf.DUMMYFUNCTION("""COMPUTED_VALUE"""),0.12)</f>
        <v>0.12</v>
      </c>
      <c r="F21">
        <f>IFERROR(__xludf.DUMMYFUNCTION("""COMPUTED_VALUE"""),0.83)</f>
        <v>0.83</v>
      </c>
      <c r="G21">
        <f>IFERROR(__xludf.DUMMYFUNCTION("""COMPUTED_VALUE"""),23.36)</f>
        <v>23.36</v>
      </c>
    </row>
    <row r="22">
      <c r="A22">
        <f>IFERROR(__xludf.DUMMYFUNCTION("""COMPUTED_VALUE"""),167757.0)</f>
        <v>167757</v>
      </c>
      <c r="B22" t="str">
        <f>IFERROR(__xludf.DUMMYFUNCTION("""COMPUTED_VALUE"""),"Raspberries Frozen Red Sweetened")</f>
        <v>Raspberries Frozen Red Sweetened</v>
      </c>
      <c r="C22" t="str">
        <f>IFERROR(__xludf.DUMMYFUNCTION("""COMPUTED_VALUE"""),"Fruits")</f>
        <v>Fruits</v>
      </c>
      <c r="D22">
        <f>IFERROR(__xludf.DUMMYFUNCTION("""COMPUTED_VALUE"""),103.0)</f>
        <v>103</v>
      </c>
      <c r="E22">
        <f>IFERROR(__xludf.DUMMYFUNCTION("""COMPUTED_VALUE"""),0.16)</f>
        <v>0.16</v>
      </c>
      <c r="F22">
        <f>IFERROR(__xludf.DUMMYFUNCTION("""COMPUTED_VALUE"""),0.7)</f>
        <v>0.7</v>
      </c>
      <c r="G22">
        <f>IFERROR(__xludf.DUMMYFUNCTION("""COMPUTED_VALUE"""),26.16)</f>
        <v>26.16</v>
      </c>
    </row>
    <row r="23">
      <c r="A23">
        <f>IFERROR(__xludf.DUMMYFUNCTION("""COMPUTED_VALUE"""),167758.0)</f>
        <v>167758</v>
      </c>
      <c r="B23" t="str">
        <f>IFERROR(__xludf.DUMMYFUNCTION("""COMPUTED_VALUE"""),"Rhubarb")</f>
        <v>Rhubarb</v>
      </c>
      <c r="C23" t="str">
        <f>IFERROR(__xludf.DUMMYFUNCTION("""COMPUTED_VALUE"""),"Fruits")</f>
        <v>Fruits</v>
      </c>
      <c r="D23">
        <f>IFERROR(__xludf.DUMMYFUNCTION("""COMPUTED_VALUE"""),21.0)</f>
        <v>21</v>
      </c>
      <c r="E23">
        <f>IFERROR(__xludf.DUMMYFUNCTION("""COMPUTED_VALUE"""),0.2)</f>
        <v>0.2</v>
      </c>
      <c r="F23">
        <f>IFERROR(__xludf.DUMMYFUNCTION("""COMPUTED_VALUE"""),0.9)</f>
        <v>0.9</v>
      </c>
      <c r="G23">
        <f>IFERROR(__xludf.DUMMYFUNCTION("""COMPUTED_VALUE"""),4.54)</f>
        <v>4.54</v>
      </c>
    </row>
    <row r="24">
      <c r="A24">
        <f>IFERROR(__xludf.DUMMYFUNCTION("""COMPUTED_VALUE"""),167759.0)</f>
        <v>167759</v>
      </c>
      <c r="B24" t="str">
        <f>IFERROR(__xludf.DUMMYFUNCTION("""COMPUTED_VALUE"""),"Sapodilla")</f>
        <v>Sapodilla</v>
      </c>
      <c r="C24" t="str">
        <f>IFERROR(__xludf.DUMMYFUNCTION("""COMPUTED_VALUE"""),"Fruits")</f>
        <v>Fruits</v>
      </c>
      <c r="D24">
        <f>IFERROR(__xludf.DUMMYFUNCTION("""COMPUTED_VALUE"""),83.0)</f>
        <v>83</v>
      </c>
      <c r="E24">
        <f>IFERROR(__xludf.DUMMYFUNCTION("""COMPUTED_VALUE"""),1.1)</f>
        <v>1.1</v>
      </c>
      <c r="F24">
        <f>IFERROR(__xludf.DUMMYFUNCTION("""COMPUTED_VALUE"""),0.44)</f>
        <v>0.44</v>
      </c>
      <c r="G24">
        <f>IFERROR(__xludf.DUMMYFUNCTION("""COMPUTED_VALUE"""),19.96)</f>
        <v>19.96</v>
      </c>
    </row>
    <row r="25">
      <c r="A25">
        <f>IFERROR(__xludf.DUMMYFUNCTION("""COMPUTED_VALUE"""),167760.0)</f>
        <v>167760</v>
      </c>
      <c r="B25" t="str">
        <f>IFERROR(__xludf.DUMMYFUNCTION("""COMPUTED_VALUE"""),"Mamey Sapote")</f>
        <v>Mamey Sapote</v>
      </c>
      <c r="C25" t="str">
        <f>IFERROR(__xludf.DUMMYFUNCTION("""COMPUTED_VALUE"""),"Fruits")</f>
        <v>Fruits</v>
      </c>
      <c r="D25">
        <f>IFERROR(__xludf.DUMMYFUNCTION("""COMPUTED_VALUE"""),124.0)</f>
        <v>124</v>
      </c>
      <c r="E25">
        <f>IFERROR(__xludf.DUMMYFUNCTION("""COMPUTED_VALUE"""),0.46)</f>
        <v>0.46</v>
      </c>
      <c r="F25">
        <f>IFERROR(__xludf.DUMMYFUNCTION("""COMPUTED_VALUE"""),1.45)</f>
        <v>1.45</v>
      </c>
      <c r="G25">
        <f>IFERROR(__xludf.DUMMYFUNCTION("""COMPUTED_VALUE"""),32.1)</f>
        <v>32.1</v>
      </c>
    </row>
    <row r="26">
      <c r="A26">
        <f>IFERROR(__xludf.DUMMYFUNCTION("""COMPUTED_VALUE"""),167761.0)</f>
        <v>167761</v>
      </c>
      <c r="B26" t="str">
        <f>IFERROR(__xludf.DUMMYFUNCTION("""COMPUTED_VALUE"""),"Soursop")</f>
        <v>Soursop</v>
      </c>
      <c r="C26" t="str">
        <f>IFERROR(__xludf.DUMMYFUNCTION("""COMPUTED_VALUE"""),"Fruits")</f>
        <v>Fruits</v>
      </c>
      <c r="D26">
        <f>IFERROR(__xludf.DUMMYFUNCTION("""COMPUTED_VALUE"""),66.0)</f>
        <v>66</v>
      </c>
      <c r="E26">
        <f>IFERROR(__xludf.DUMMYFUNCTION("""COMPUTED_VALUE"""),0.3)</f>
        <v>0.3</v>
      </c>
      <c r="F26">
        <f>IFERROR(__xludf.DUMMYFUNCTION("""COMPUTED_VALUE"""),1.0)</f>
        <v>1</v>
      </c>
      <c r="G26">
        <f>IFERROR(__xludf.DUMMYFUNCTION("""COMPUTED_VALUE"""),16.84)</f>
        <v>16.84</v>
      </c>
    </row>
    <row r="27">
      <c r="A27">
        <f>IFERROR(__xludf.DUMMYFUNCTION("""COMPUTED_VALUE"""),167762.0)</f>
        <v>167762</v>
      </c>
      <c r="B27" t="str">
        <f>IFERROR(__xludf.DUMMYFUNCTION("""COMPUTED_VALUE"""),"Strawberries")</f>
        <v>Strawberries</v>
      </c>
      <c r="C27" t="str">
        <f>IFERROR(__xludf.DUMMYFUNCTION("""COMPUTED_VALUE"""),"Fruits")</f>
        <v>Fruits</v>
      </c>
      <c r="D27">
        <f>IFERROR(__xludf.DUMMYFUNCTION("""COMPUTED_VALUE"""),32.0)</f>
        <v>32</v>
      </c>
      <c r="E27">
        <f>IFERROR(__xludf.DUMMYFUNCTION("""COMPUTED_VALUE"""),0.3)</f>
        <v>0.3</v>
      </c>
      <c r="F27">
        <f>IFERROR(__xludf.DUMMYFUNCTION("""COMPUTED_VALUE"""),0.67)</f>
        <v>0.67</v>
      </c>
      <c r="G27">
        <f>IFERROR(__xludf.DUMMYFUNCTION("""COMPUTED_VALUE"""),7.68)</f>
        <v>7.68</v>
      </c>
    </row>
    <row r="28">
      <c r="A28">
        <f>IFERROR(__xludf.DUMMYFUNCTION("""COMPUTED_VALUE"""),167763.0)</f>
        <v>167763</v>
      </c>
      <c r="B28" t="str">
        <f>IFERROR(__xludf.DUMMYFUNCTION("""COMPUTED_VALUE"""),"Tamarinds")</f>
        <v>Tamarinds</v>
      </c>
      <c r="C28" t="str">
        <f>IFERROR(__xludf.DUMMYFUNCTION("""COMPUTED_VALUE"""),"Fruits")</f>
        <v>Fruits</v>
      </c>
      <c r="D28">
        <f>IFERROR(__xludf.DUMMYFUNCTION("""COMPUTED_VALUE"""),239.0)</f>
        <v>239</v>
      </c>
      <c r="E28">
        <f>IFERROR(__xludf.DUMMYFUNCTION("""COMPUTED_VALUE"""),0.6)</f>
        <v>0.6</v>
      </c>
      <c r="F28">
        <f>IFERROR(__xludf.DUMMYFUNCTION("""COMPUTED_VALUE"""),2.8)</f>
        <v>2.8</v>
      </c>
      <c r="G28">
        <f>IFERROR(__xludf.DUMMYFUNCTION("""COMPUTED_VALUE"""),62.5)</f>
        <v>62.5</v>
      </c>
    </row>
    <row r="29">
      <c r="A29">
        <f>IFERROR(__xludf.DUMMYFUNCTION("""COMPUTED_VALUE"""),167764.0)</f>
        <v>167764</v>
      </c>
      <c r="B29" t="str">
        <f>IFERROR(__xludf.DUMMYFUNCTION("""COMPUTED_VALUE"""),"Fruit Salad (Pineapple And Papaya And Banana And Guava) Tropical Canned Heavy Syrup Solids And Liquids")</f>
        <v>Fruit Salad (Pineapple And Papaya And Banana And Guava) Tropical Canned Heavy Syrup Solids And Liquids</v>
      </c>
      <c r="C29" t="str">
        <f>IFERROR(__xludf.DUMMYFUNCTION("""COMPUTED_VALUE"""),"Fruits")</f>
        <v>Fruits</v>
      </c>
      <c r="D29">
        <f>IFERROR(__xludf.DUMMYFUNCTION("""COMPUTED_VALUE"""),86.0)</f>
        <v>86</v>
      </c>
      <c r="E29">
        <f>IFERROR(__xludf.DUMMYFUNCTION("""COMPUTED_VALUE"""),0.1)</f>
        <v>0.1</v>
      </c>
      <c r="F29">
        <f>IFERROR(__xludf.DUMMYFUNCTION("""COMPUTED_VALUE"""),0.41)</f>
        <v>0.41</v>
      </c>
      <c r="G29">
        <f>IFERROR(__xludf.DUMMYFUNCTION("""COMPUTED_VALUE"""),22.36)</f>
        <v>22.36</v>
      </c>
    </row>
    <row r="30">
      <c r="A30">
        <f>IFERROR(__xludf.DUMMYFUNCTION("""COMPUTED_VALUE"""),167765.0)</f>
        <v>167765</v>
      </c>
      <c r="B30" t="str">
        <f>IFERROR(__xludf.DUMMYFUNCTION("""COMPUTED_VALUE"""),"Watermelon")</f>
        <v>Watermelon</v>
      </c>
      <c r="C30" t="str">
        <f>IFERROR(__xludf.DUMMYFUNCTION("""COMPUTED_VALUE"""),"Fruits")</f>
        <v>Fruits</v>
      </c>
      <c r="D30">
        <f>IFERROR(__xludf.DUMMYFUNCTION("""COMPUTED_VALUE"""),30.0)</f>
        <v>30</v>
      </c>
      <c r="E30">
        <f>IFERROR(__xludf.DUMMYFUNCTION("""COMPUTED_VALUE"""),0.15)</f>
        <v>0.15</v>
      </c>
      <c r="F30">
        <f>IFERROR(__xludf.DUMMYFUNCTION("""COMPUTED_VALUE"""),0.61)</f>
        <v>0.61</v>
      </c>
      <c r="G30">
        <f>IFERROR(__xludf.DUMMYFUNCTION("""COMPUTED_VALUE"""),7.55)</f>
        <v>7.55</v>
      </c>
    </row>
    <row r="31">
      <c r="A31">
        <f>IFERROR(__xludf.DUMMYFUNCTION("""COMPUTED_VALUE"""),167766.0)</f>
        <v>167766</v>
      </c>
      <c r="B31" t="str">
        <f>IFERROR(__xludf.DUMMYFUNCTION("""COMPUTED_VALUE"""),"Maraschino Cherries (Canned)")</f>
        <v>Maraschino Cherries (Canned)</v>
      </c>
      <c r="C31" t="str">
        <f>IFERROR(__xludf.DUMMYFUNCTION("""COMPUTED_VALUE"""),"Fruits")</f>
        <v>Fruits</v>
      </c>
      <c r="D31">
        <f>IFERROR(__xludf.DUMMYFUNCTION("""COMPUTED_VALUE"""),165.0)</f>
        <v>165</v>
      </c>
      <c r="E31">
        <f>IFERROR(__xludf.DUMMYFUNCTION("""COMPUTED_VALUE"""),0.21)</f>
        <v>0.21</v>
      </c>
      <c r="F31">
        <f>IFERROR(__xludf.DUMMYFUNCTION("""COMPUTED_VALUE"""),0.22)</f>
        <v>0.22</v>
      </c>
      <c r="G31">
        <f>IFERROR(__xludf.DUMMYFUNCTION("""COMPUTED_VALUE"""),41.97)</f>
        <v>41.97</v>
      </c>
    </row>
    <row r="32">
      <c r="A32">
        <f>IFERROR(__xludf.DUMMYFUNCTION("""COMPUTED_VALUE"""),167767.0)</f>
        <v>167767</v>
      </c>
      <c r="B32" t="str">
        <f>IFERROR(__xludf.DUMMYFUNCTION("""COMPUTED_VALUE"""),"Pineapple Canned Juice Pack Drained")</f>
        <v>Pineapple Canned Juice Pack Drained</v>
      </c>
      <c r="C32" t="str">
        <f>IFERROR(__xludf.DUMMYFUNCTION("""COMPUTED_VALUE"""),"Fruits")</f>
        <v>Fruits</v>
      </c>
      <c r="D32">
        <f>IFERROR(__xludf.DUMMYFUNCTION("""COMPUTED_VALUE"""),60.0)</f>
        <v>60</v>
      </c>
      <c r="E32">
        <f>IFERROR(__xludf.DUMMYFUNCTION("""COMPUTED_VALUE"""),0.11)</f>
        <v>0.11</v>
      </c>
      <c r="F32">
        <f>IFERROR(__xludf.DUMMYFUNCTION("""COMPUTED_VALUE"""),0.51)</f>
        <v>0.51</v>
      </c>
      <c r="G32">
        <f>IFERROR(__xludf.DUMMYFUNCTION("""COMPUTED_VALUE"""),15.56)</f>
        <v>15.56</v>
      </c>
    </row>
    <row r="33">
      <c r="A33">
        <f>IFERROR(__xludf.DUMMYFUNCTION("""COMPUTED_VALUE"""),167768.0)</f>
        <v>167768</v>
      </c>
      <c r="B33" t="str">
        <f>IFERROR(__xludf.DUMMYFUNCTION("""COMPUTED_VALUE"""),"Apricots Canned Heavy Syrup Drained")</f>
        <v>Apricots Canned Heavy Syrup Drained</v>
      </c>
      <c r="C33" t="str">
        <f>IFERROR(__xludf.DUMMYFUNCTION("""COMPUTED_VALUE"""),"Fruits")</f>
        <v>Fruits</v>
      </c>
      <c r="D33">
        <f>IFERROR(__xludf.DUMMYFUNCTION("""COMPUTED_VALUE"""),83.0)</f>
        <v>83</v>
      </c>
      <c r="E33">
        <f>IFERROR(__xludf.DUMMYFUNCTION("""COMPUTED_VALUE"""),0.11)</f>
        <v>0.11</v>
      </c>
      <c r="F33">
        <f>IFERROR(__xludf.DUMMYFUNCTION("""COMPUTED_VALUE"""),0.64)</f>
        <v>0.64</v>
      </c>
      <c r="G33">
        <f>IFERROR(__xludf.DUMMYFUNCTION("""COMPUTED_VALUE"""),21.31)</f>
        <v>21.31</v>
      </c>
    </row>
    <row r="34">
      <c r="A34">
        <f>IFERROR(__xludf.DUMMYFUNCTION("""COMPUTED_VALUE"""),167769.0)</f>
        <v>167769</v>
      </c>
      <c r="B34" t="str">
        <f>IFERROR(__xludf.DUMMYFUNCTION("""COMPUTED_VALUE"""),"Cherries Sour Canned Water Pack Drained")</f>
        <v>Cherries Sour Canned Water Pack Drained</v>
      </c>
      <c r="C34" t="str">
        <f>IFERROR(__xludf.DUMMYFUNCTION("""COMPUTED_VALUE"""),"Fruits")</f>
        <v>Fruits</v>
      </c>
      <c r="D34">
        <f>IFERROR(__xludf.DUMMYFUNCTION("""COMPUTED_VALUE"""),42.0)</f>
        <v>42</v>
      </c>
      <c r="E34">
        <f>IFERROR(__xludf.DUMMYFUNCTION("""COMPUTED_VALUE"""),0.21)</f>
        <v>0.21</v>
      </c>
      <c r="F34">
        <f>IFERROR(__xludf.DUMMYFUNCTION("""COMPUTED_VALUE"""),0.69)</f>
        <v>0.69</v>
      </c>
      <c r="G34">
        <f>IFERROR(__xludf.DUMMYFUNCTION("""COMPUTED_VALUE"""),10.45)</f>
        <v>10.45</v>
      </c>
    </row>
    <row r="35">
      <c r="A35">
        <f>IFERROR(__xludf.DUMMYFUNCTION("""COMPUTED_VALUE"""),167770.0)</f>
        <v>167770</v>
      </c>
      <c r="B35" t="str">
        <f>IFERROR(__xludf.DUMMYFUNCTION("""COMPUTED_VALUE"""),"Cherries Sweet Canned Pitted Heavy Syrup Drained")</f>
        <v>Cherries Sweet Canned Pitted Heavy Syrup Drained</v>
      </c>
      <c r="C35" t="str">
        <f>IFERROR(__xludf.DUMMYFUNCTION("""COMPUTED_VALUE"""),"Fruits")</f>
        <v>Fruits</v>
      </c>
      <c r="D35">
        <f>IFERROR(__xludf.DUMMYFUNCTION("""COMPUTED_VALUE"""),83.0)</f>
        <v>83</v>
      </c>
      <c r="E35">
        <f>IFERROR(__xludf.DUMMYFUNCTION("""COMPUTED_VALUE"""),0.21)</f>
        <v>0.21</v>
      </c>
      <c r="F35">
        <f>IFERROR(__xludf.DUMMYFUNCTION("""COMPUTED_VALUE"""),0.73)</f>
        <v>0.73</v>
      </c>
      <c r="G35">
        <f>IFERROR(__xludf.DUMMYFUNCTION("""COMPUTED_VALUE"""),21.07)</f>
        <v>21.07</v>
      </c>
    </row>
    <row r="36">
      <c r="A36">
        <f>IFERROR(__xludf.DUMMYFUNCTION("""COMPUTED_VALUE"""),167771.0)</f>
        <v>167771</v>
      </c>
      <c r="B36" t="str">
        <f>IFERROR(__xludf.DUMMYFUNCTION("""COMPUTED_VALUE"""),"Apple Juice Canned Or Bottled Unsweetened With Added Ascorbic Acid")</f>
        <v>Apple Juice Canned Or Bottled Unsweetened With Added Ascorbic Acid</v>
      </c>
      <c r="C36" t="str">
        <f>IFERROR(__xludf.DUMMYFUNCTION("""COMPUTED_VALUE"""),"Fruits")</f>
        <v>Fruits</v>
      </c>
      <c r="D36">
        <f>IFERROR(__xludf.DUMMYFUNCTION("""COMPUTED_VALUE"""),46.0)</f>
        <v>46</v>
      </c>
      <c r="E36">
        <f>IFERROR(__xludf.DUMMYFUNCTION("""COMPUTED_VALUE"""),0.13)</f>
        <v>0.13</v>
      </c>
      <c r="F36">
        <f>IFERROR(__xludf.DUMMYFUNCTION("""COMPUTED_VALUE"""),0.1)</f>
        <v>0.1</v>
      </c>
      <c r="G36">
        <f>IFERROR(__xludf.DUMMYFUNCTION("""COMPUTED_VALUE"""),11.3)</f>
        <v>11.3</v>
      </c>
    </row>
    <row r="37">
      <c r="A37">
        <f>IFERROR(__xludf.DUMMYFUNCTION("""COMPUTED_VALUE"""),167772.0)</f>
        <v>167772</v>
      </c>
      <c r="B37" t="str">
        <f>IFERROR(__xludf.DUMMYFUNCTION("""COMPUTED_VALUE"""),"Applesauce Canned Unsweetened With Added Ascorbic Acid")</f>
        <v>Applesauce Canned Unsweetened With Added Ascorbic Acid</v>
      </c>
      <c r="C37" t="str">
        <f>IFERROR(__xludf.DUMMYFUNCTION("""COMPUTED_VALUE"""),"Fruits")</f>
        <v>Fruits</v>
      </c>
      <c r="D37">
        <f>IFERROR(__xludf.DUMMYFUNCTION("""COMPUTED_VALUE"""),42.0)</f>
        <v>42</v>
      </c>
      <c r="E37">
        <f>IFERROR(__xludf.DUMMYFUNCTION("""COMPUTED_VALUE"""),0.1)</f>
        <v>0.1</v>
      </c>
      <c r="F37">
        <f>IFERROR(__xludf.DUMMYFUNCTION("""COMPUTED_VALUE"""),0.17)</f>
        <v>0.17</v>
      </c>
      <c r="G37">
        <f>IFERROR(__xludf.DUMMYFUNCTION("""COMPUTED_VALUE"""),11.27)</f>
        <v>11.27</v>
      </c>
    </row>
    <row r="38">
      <c r="A38">
        <f>IFERROR(__xludf.DUMMYFUNCTION("""COMPUTED_VALUE"""),167773.0)</f>
        <v>167773</v>
      </c>
      <c r="B38" t="str">
        <f>IFERROR(__xludf.DUMMYFUNCTION("""COMPUTED_VALUE"""),"Applesauce Canned Sweetened With Salt")</f>
        <v>Applesauce Canned Sweetened With Salt</v>
      </c>
      <c r="C38" t="str">
        <f>IFERROR(__xludf.DUMMYFUNCTION("""COMPUTED_VALUE"""),"Fruits")</f>
        <v>Fruits</v>
      </c>
      <c r="D38">
        <f>IFERROR(__xludf.DUMMYFUNCTION("""COMPUTED_VALUE"""),76.0)</f>
        <v>76</v>
      </c>
      <c r="E38">
        <f>IFERROR(__xludf.DUMMYFUNCTION("""COMPUTED_VALUE"""),0.18)</f>
        <v>0.18</v>
      </c>
      <c r="F38">
        <f>IFERROR(__xludf.DUMMYFUNCTION("""COMPUTED_VALUE"""),0.18)</f>
        <v>0.18</v>
      </c>
      <c r="G38">
        <f>IFERROR(__xludf.DUMMYFUNCTION("""COMPUTED_VALUE"""),19.91)</f>
        <v>19.91</v>
      </c>
    </row>
    <row r="39">
      <c r="A39">
        <f>IFERROR(__xludf.DUMMYFUNCTION("""COMPUTED_VALUE"""),167774.0)</f>
        <v>167774</v>
      </c>
      <c r="B39" t="str">
        <f>IFERROR(__xludf.DUMMYFUNCTION("""COMPUTED_VALUE"""),"Pink Grapefruit Juice")</f>
        <v>Pink Grapefruit Juice</v>
      </c>
      <c r="C39" t="str">
        <f>IFERROR(__xludf.DUMMYFUNCTION("""COMPUTED_VALUE"""),"Fruits")</f>
        <v>Fruits</v>
      </c>
      <c r="D39">
        <f>IFERROR(__xludf.DUMMYFUNCTION("""COMPUTED_VALUE"""),39.0)</f>
        <v>39</v>
      </c>
      <c r="E39">
        <f>IFERROR(__xludf.DUMMYFUNCTION("""COMPUTED_VALUE"""),0.1)</f>
        <v>0.1</v>
      </c>
      <c r="F39">
        <f>IFERROR(__xludf.DUMMYFUNCTION("""COMPUTED_VALUE"""),0.5)</f>
        <v>0.5</v>
      </c>
      <c r="G39">
        <f>IFERROR(__xludf.DUMMYFUNCTION("""COMPUTED_VALUE"""),9.2)</f>
        <v>9.2</v>
      </c>
    </row>
    <row r="40">
      <c r="A40">
        <f>IFERROR(__xludf.DUMMYFUNCTION("""COMPUTED_VALUE"""),167775.0)</f>
        <v>167775</v>
      </c>
      <c r="B40" t="str">
        <f>IFERROR(__xludf.DUMMYFUNCTION("""COMPUTED_VALUE"""),"Apple Juice Frozen Concentrate Unsweetened Diluted With 3 Volume Water With Added Ascorbic Acid")</f>
        <v>Apple Juice Frozen Concentrate Unsweetened Diluted With 3 Volume Water With Added Ascorbic Acid</v>
      </c>
      <c r="C40" t="str">
        <f>IFERROR(__xludf.DUMMYFUNCTION("""COMPUTED_VALUE"""),"Fruits")</f>
        <v>Fruits</v>
      </c>
      <c r="D40">
        <f>IFERROR(__xludf.DUMMYFUNCTION("""COMPUTED_VALUE"""),47.0)</f>
        <v>47</v>
      </c>
      <c r="E40">
        <f>IFERROR(__xludf.DUMMYFUNCTION("""COMPUTED_VALUE"""),0.1)</f>
        <v>0.1</v>
      </c>
      <c r="F40">
        <f>IFERROR(__xludf.DUMMYFUNCTION("""COMPUTED_VALUE"""),0.14)</f>
        <v>0.14</v>
      </c>
      <c r="G40">
        <f>IFERROR(__xludf.DUMMYFUNCTION("""COMPUTED_VALUE"""),11.54)</f>
        <v>11.54</v>
      </c>
    </row>
    <row r="41">
      <c r="A41">
        <f>IFERROR(__xludf.DUMMYFUNCTION("""COMPUTED_VALUE"""),167776.0)</f>
        <v>167776</v>
      </c>
      <c r="B41" t="str">
        <f>IFERROR(__xludf.DUMMYFUNCTION("""COMPUTED_VALUE"""),"Bartlett Pears")</f>
        <v>Bartlett Pears</v>
      </c>
      <c r="C41" t="str">
        <f>IFERROR(__xludf.DUMMYFUNCTION("""COMPUTED_VALUE"""),"Fruits")</f>
        <v>Fruits</v>
      </c>
      <c r="D41">
        <f>IFERROR(__xludf.DUMMYFUNCTION("""COMPUTED_VALUE"""),63.0)</f>
        <v>63</v>
      </c>
      <c r="E41">
        <f>IFERROR(__xludf.DUMMYFUNCTION("""COMPUTED_VALUE"""),0.16)</f>
        <v>0.16</v>
      </c>
      <c r="F41">
        <f>IFERROR(__xludf.DUMMYFUNCTION("""COMPUTED_VALUE"""),0.39)</f>
        <v>0.39</v>
      </c>
      <c r="G41">
        <f>IFERROR(__xludf.DUMMYFUNCTION("""COMPUTED_VALUE"""),15.01)</f>
        <v>15.01</v>
      </c>
    </row>
    <row r="42">
      <c r="A42">
        <f>IFERROR(__xludf.DUMMYFUNCTION("""COMPUTED_VALUE"""),167777.0)</f>
        <v>167777</v>
      </c>
      <c r="B42" t="str">
        <f>IFERROR(__xludf.DUMMYFUNCTION("""COMPUTED_VALUE"""),"Red Anjou Pears")</f>
        <v>Red Anjou Pears</v>
      </c>
      <c r="C42" t="str">
        <f>IFERROR(__xludf.DUMMYFUNCTION("""COMPUTED_VALUE"""),"Fruits")</f>
        <v>Fruits</v>
      </c>
      <c r="D42">
        <f>IFERROR(__xludf.DUMMYFUNCTION("""COMPUTED_VALUE"""),62.0)</f>
        <v>62</v>
      </c>
      <c r="E42">
        <f>IFERROR(__xludf.DUMMYFUNCTION("""COMPUTED_VALUE"""),0.14)</f>
        <v>0.14</v>
      </c>
      <c r="F42">
        <f>IFERROR(__xludf.DUMMYFUNCTION("""COMPUTED_VALUE"""),0.33)</f>
        <v>0.33</v>
      </c>
      <c r="G42">
        <f>IFERROR(__xludf.DUMMYFUNCTION("""COMPUTED_VALUE"""),14.94)</f>
        <v>14.94</v>
      </c>
    </row>
    <row r="43">
      <c r="A43">
        <f>IFERROR(__xludf.DUMMYFUNCTION("""COMPUTED_VALUE"""),167778.0)</f>
        <v>167778</v>
      </c>
      <c r="B43" t="str">
        <f>IFERROR(__xludf.DUMMYFUNCTION("""COMPUTED_VALUE"""),"Bosc Pear")</f>
        <v>Bosc Pear</v>
      </c>
      <c r="C43" t="str">
        <f>IFERROR(__xludf.DUMMYFUNCTION("""COMPUTED_VALUE"""),"Fruits")</f>
        <v>Fruits</v>
      </c>
      <c r="D43">
        <f>IFERROR(__xludf.DUMMYFUNCTION("""COMPUTED_VALUE"""),67.0)</f>
        <v>67</v>
      </c>
      <c r="E43">
        <f>IFERROR(__xludf.DUMMYFUNCTION("""COMPUTED_VALUE"""),0.09)</f>
        <v>0.09</v>
      </c>
      <c r="F43">
        <f>IFERROR(__xludf.DUMMYFUNCTION("""COMPUTED_VALUE"""),0.36)</f>
        <v>0.36</v>
      </c>
      <c r="G43">
        <f>IFERROR(__xludf.DUMMYFUNCTION("""COMPUTED_VALUE"""),16.1)</f>
        <v>16.1</v>
      </c>
    </row>
    <row r="44">
      <c r="A44">
        <f>IFERROR(__xludf.DUMMYFUNCTION("""COMPUTED_VALUE"""),167779.0)</f>
        <v>167779</v>
      </c>
      <c r="B44" t="str">
        <f>IFERROR(__xludf.DUMMYFUNCTION("""COMPUTED_VALUE"""),"Green Anjou Pear")</f>
        <v>Green Anjou Pear</v>
      </c>
      <c r="C44" t="str">
        <f>IFERROR(__xludf.DUMMYFUNCTION("""COMPUTED_VALUE"""),"Fruits")</f>
        <v>Fruits</v>
      </c>
      <c r="D44">
        <f>IFERROR(__xludf.DUMMYFUNCTION("""COMPUTED_VALUE"""),66.0)</f>
        <v>66</v>
      </c>
      <c r="E44">
        <f>IFERROR(__xludf.DUMMYFUNCTION("""COMPUTED_VALUE"""),0.1)</f>
        <v>0.1</v>
      </c>
      <c r="F44">
        <f>IFERROR(__xludf.DUMMYFUNCTION("""COMPUTED_VALUE"""),0.44)</f>
        <v>0.44</v>
      </c>
      <c r="G44">
        <f>IFERROR(__xludf.DUMMYFUNCTION("""COMPUTED_VALUE"""),15.79)</f>
        <v>15.79</v>
      </c>
    </row>
    <row r="45">
      <c r="A45">
        <f>IFERROR(__xludf.DUMMYFUNCTION("""COMPUTED_VALUE"""),167780.0)</f>
        <v>167780</v>
      </c>
      <c r="B45" t="str">
        <f>IFERROR(__xludf.DUMMYFUNCTION("""COMPUTED_VALUE"""),"Prune Puree")</f>
        <v>Prune Puree</v>
      </c>
      <c r="C45" t="str">
        <f>IFERROR(__xludf.DUMMYFUNCTION("""COMPUTED_VALUE"""),"Fruits")</f>
        <v>Fruits</v>
      </c>
      <c r="D45">
        <f>IFERROR(__xludf.DUMMYFUNCTION("""COMPUTED_VALUE"""),257.0)</f>
        <v>257</v>
      </c>
      <c r="E45">
        <f>IFERROR(__xludf.DUMMYFUNCTION("""COMPUTED_VALUE"""),0.2)</f>
        <v>0.2</v>
      </c>
      <c r="F45">
        <f>IFERROR(__xludf.DUMMYFUNCTION("""COMPUTED_VALUE"""),2.1)</f>
        <v>2.1</v>
      </c>
      <c r="G45">
        <f>IFERROR(__xludf.DUMMYFUNCTION("""COMPUTED_VALUE"""),65.1)</f>
        <v>65.1</v>
      </c>
    </row>
    <row r="46">
      <c r="A46">
        <f>IFERROR(__xludf.DUMMYFUNCTION("""COMPUTED_VALUE"""),167781.0)</f>
        <v>167781</v>
      </c>
      <c r="B46" t="str">
        <f>IFERROR(__xludf.DUMMYFUNCTION("""COMPUTED_VALUE"""),"Candied Fruit")</f>
        <v>Candied Fruit</v>
      </c>
      <c r="C46" t="str">
        <f>IFERROR(__xludf.DUMMYFUNCTION("""COMPUTED_VALUE"""),"Fruits")</f>
        <v>Fruits</v>
      </c>
      <c r="D46">
        <f>IFERROR(__xludf.DUMMYFUNCTION("""COMPUTED_VALUE"""),322.0)</f>
        <v>322</v>
      </c>
      <c r="E46">
        <f>IFERROR(__xludf.DUMMYFUNCTION("""COMPUTED_VALUE"""),0.07)</f>
        <v>0.07</v>
      </c>
      <c r="F46">
        <f>IFERROR(__xludf.DUMMYFUNCTION("""COMPUTED_VALUE"""),0.34)</f>
        <v>0.34</v>
      </c>
      <c r="G46">
        <f>IFERROR(__xludf.DUMMYFUNCTION("""COMPUTED_VALUE"""),82.74)</f>
        <v>82.74</v>
      </c>
    </row>
    <row r="47">
      <c r="A47">
        <f>IFERROR(__xludf.DUMMYFUNCTION("""COMPUTED_VALUE"""),167782.0)</f>
        <v>167782</v>
      </c>
      <c r="B47" t="str">
        <f>IFERROR(__xludf.DUMMYFUNCTION("""COMPUTED_VALUE"""),"Abiyuch")</f>
        <v>Abiyuch</v>
      </c>
      <c r="C47" t="str">
        <f>IFERROR(__xludf.DUMMYFUNCTION("""COMPUTED_VALUE"""),"Fruits")</f>
        <v>Fruits</v>
      </c>
      <c r="D47">
        <f>IFERROR(__xludf.DUMMYFUNCTION("""COMPUTED_VALUE"""),69.0)</f>
        <v>69</v>
      </c>
      <c r="E47">
        <f>IFERROR(__xludf.DUMMYFUNCTION("""COMPUTED_VALUE"""),0.1)</f>
        <v>0.1</v>
      </c>
      <c r="F47">
        <f>IFERROR(__xludf.DUMMYFUNCTION("""COMPUTED_VALUE"""),1.5)</f>
        <v>1.5</v>
      </c>
      <c r="G47">
        <f>IFERROR(__xludf.DUMMYFUNCTION("""COMPUTED_VALUE"""),17.6)</f>
        <v>17.6</v>
      </c>
    </row>
    <row r="48">
      <c r="A48">
        <f>IFERROR(__xludf.DUMMYFUNCTION("""COMPUTED_VALUE"""),167783.0)</f>
        <v>167783</v>
      </c>
      <c r="B48" t="str">
        <f>IFERROR(__xludf.DUMMYFUNCTION("""COMPUTED_VALUE"""),"Rowal")</f>
        <v>Rowal</v>
      </c>
      <c r="C48" t="str">
        <f>IFERROR(__xludf.DUMMYFUNCTION("""COMPUTED_VALUE"""),"Fruits")</f>
        <v>Fruits</v>
      </c>
      <c r="D48">
        <f>IFERROR(__xludf.DUMMYFUNCTION("""COMPUTED_VALUE"""),111.0)</f>
        <v>111</v>
      </c>
      <c r="E48">
        <f>IFERROR(__xludf.DUMMYFUNCTION("""COMPUTED_VALUE"""),2.0)</f>
        <v>2</v>
      </c>
      <c r="F48">
        <f>IFERROR(__xludf.DUMMYFUNCTION("""COMPUTED_VALUE"""),2.3)</f>
        <v>2.3</v>
      </c>
      <c r="G48">
        <f>IFERROR(__xludf.DUMMYFUNCTION("""COMPUTED_VALUE"""),23.9)</f>
        <v>23.9</v>
      </c>
    </row>
    <row r="49">
      <c r="A49">
        <f>IFERROR(__xludf.DUMMYFUNCTION("""COMPUTED_VALUE"""),167784.0)</f>
        <v>167784</v>
      </c>
      <c r="B49" t="str">
        <f>IFERROR(__xludf.DUMMYFUNCTION("""COMPUTED_VALUE"""),"Guava Nectar Canned With Added Ascorbic Acid")</f>
        <v>Guava Nectar Canned With Added Ascorbic Acid</v>
      </c>
      <c r="C49" t="str">
        <f>IFERROR(__xludf.DUMMYFUNCTION("""COMPUTED_VALUE"""),"Fruits")</f>
        <v>Fruits</v>
      </c>
      <c r="D49">
        <f>IFERROR(__xludf.DUMMYFUNCTION("""COMPUTED_VALUE"""),63.0)</f>
        <v>63</v>
      </c>
      <c r="E49">
        <f>IFERROR(__xludf.DUMMYFUNCTION("""COMPUTED_VALUE"""),0.06)</f>
        <v>0.06</v>
      </c>
      <c r="F49">
        <f>IFERROR(__xludf.DUMMYFUNCTION("""COMPUTED_VALUE"""),0.09)</f>
        <v>0.09</v>
      </c>
      <c r="G49">
        <f>IFERROR(__xludf.DUMMYFUNCTION("""COMPUTED_VALUE"""),16.25)</f>
        <v>16.25</v>
      </c>
    </row>
    <row r="50">
      <c r="A50">
        <f>IFERROR(__xludf.DUMMYFUNCTION("""COMPUTED_VALUE"""),167785.0)</f>
        <v>167785</v>
      </c>
      <c r="B50" t="str">
        <f>IFERROR(__xludf.DUMMYFUNCTION("""COMPUTED_VALUE"""),"Mango Nectar Canned")</f>
        <v>Mango Nectar Canned</v>
      </c>
      <c r="C50" t="str">
        <f>IFERROR(__xludf.DUMMYFUNCTION("""COMPUTED_VALUE"""),"Fruits")</f>
        <v>Fruits</v>
      </c>
      <c r="D50">
        <f>IFERROR(__xludf.DUMMYFUNCTION("""COMPUTED_VALUE"""),51.0)</f>
        <v>51</v>
      </c>
      <c r="E50">
        <f>IFERROR(__xludf.DUMMYFUNCTION("""COMPUTED_VALUE"""),0.06)</f>
        <v>0.06</v>
      </c>
      <c r="F50">
        <f>IFERROR(__xludf.DUMMYFUNCTION("""COMPUTED_VALUE"""),0.11)</f>
        <v>0.11</v>
      </c>
      <c r="G50">
        <f>IFERROR(__xludf.DUMMYFUNCTION("""COMPUTED_VALUE"""),13.12)</f>
        <v>13.12</v>
      </c>
    </row>
    <row r="51">
      <c r="A51">
        <f>IFERROR(__xludf.DUMMYFUNCTION("""COMPUTED_VALUE"""),167786.0)</f>
        <v>167786</v>
      </c>
      <c r="B51" t="str">
        <f>IFERROR(__xludf.DUMMYFUNCTION("""COMPUTED_VALUE"""),"Tamarind Nectar Canned")</f>
        <v>Tamarind Nectar Canned</v>
      </c>
      <c r="C51" t="str">
        <f>IFERROR(__xludf.DUMMYFUNCTION("""COMPUTED_VALUE"""),"Fruits")</f>
        <v>Fruits</v>
      </c>
      <c r="D51">
        <f>IFERROR(__xludf.DUMMYFUNCTION("""COMPUTED_VALUE"""),57.0)</f>
        <v>57</v>
      </c>
      <c r="E51">
        <f>IFERROR(__xludf.DUMMYFUNCTION("""COMPUTED_VALUE"""),0.12)</f>
        <v>0.12</v>
      </c>
      <c r="F51">
        <f>IFERROR(__xludf.DUMMYFUNCTION("""COMPUTED_VALUE"""),0.09)</f>
        <v>0.09</v>
      </c>
      <c r="G51">
        <f>IFERROR(__xludf.DUMMYFUNCTION("""COMPUTED_VALUE"""),14.73)</f>
        <v>14.73</v>
      </c>
    </row>
    <row r="52">
      <c r="A52">
        <f>IFERROR(__xludf.DUMMYFUNCTION("""COMPUTED_VALUE"""),167787.0)</f>
        <v>167787</v>
      </c>
      <c r="B52" t="str">
        <f>IFERROR(__xludf.DUMMYFUNCTION("""COMPUTED_VALUE"""),"Pomegranate Juice Bottled")</f>
        <v>Pomegranate Juice Bottled</v>
      </c>
      <c r="C52" t="str">
        <f>IFERROR(__xludf.DUMMYFUNCTION("""COMPUTED_VALUE"""),"Fruits")</f>
        <v>Fruits</v>
      </c>
      <c r="D52">
        <f>IFERROR(__xludf.DUMMYFUNCTION("""COMPUTED_VALUE"""),54.0)</f>
        <v>54</v>
      </c>
      <c r="E52">
        <f>IFERROR(__xludf.DUMMYFUNCTION("""COMPUTED_VALUE"""),0.29)</f>
        <v>0.29</v>
      </c>
      <c r="F52">
        <f>IFERROR(__xludf.DUMMYFUNCTION("""COMPUTED_VALUE"""),0.15)</f>
        <v>0.15</v>
      </c>
      <c r="G52">
        <f>IFERROR(__xludf.DUMMYFUNCTION("""COMPUTED_VALUE"""),13.13)</f>
        <v>13.13</v>
      </c>
    </row>
    <row r="53">
      <c r="A53">
        <f>IFERROR(__xludf.DUMMYFUNCTION("""COMPUTED_VALUE"""),167788.0)</f>
        <v>167788</v>
      </c>
      <c r="B53" t="str">
        <f>IFERROR(__xludf.DUMMYFUNCTION("""COMPUTED_VALUE"""),"Nance Canned Syrup Drained")</f>
        <v>Nance Canned Syrup Drained</v>
      </c>
      <c r="C53" t="str">
        <f>IFERROR(__xludf.DUMMYFUNCTION("""COMPUTED_VALUE"""),"Fruits")</f>
        <v>Fruits</v>
      </c>
      <c r="D53">
        <f>IFERROR(__xludf.DUMMYFUNCTION("""COMPUTED_VALUE"""),95.0)</f>
        <v>95</v>
      </c>
      <c r="E53">
        <f>IFERROR(__xludf.DUMMYFUNCTION("""COMPUTED_VALUE"""),1.28)</f>
        <v>1.28</v>
      </c>
      <c r="F53">
        <f>IFERROR(__xludf.DUMMYFUNCTION("""COMPUTED_VALUE"""),0.56)</f>
        <v>0.56</v>
      </c>
      <c r="G53">
        <f>IFERROR(__xludf.DUMMYFUNCTION("""COMPUTED_VALUE"""),22.79)</f>
        <v>22.79</v>
      </c>
    </row>
    <row r="54">
      <c r="A54">
        <f>IFERROR(__xludf.DUMMYFUNCTION("""COMPUTED_VALUE"""),167789.0)</f>
        <v>167789</v>
      </c>
      <c r="B54" t="str">
        <f>IFERROR(__xludf.DUMMYFUNCTION("""COMPUTED_VALUE"""),"Nance Frozen Unsweetened")</f>
        <v>Nance Frozen Unsweetened</v>
      </c>
      <c r="C54" t="str">
        <f>IFERROR(__xludf.DUMMYFUNCTION("""COMPUTED_VALUE"""),"Fruits")</f>
        <v>Fruits</v>
      </c>
      <c r="D54">
        <f>IFERROR(__xludf.DUMMYFUNCTION("""COMPUTED_VALUE"""),73.0)</f>
        <v>73</v>
      </c>
      <c r="E54">
        <f>IFERROR(__xludf.DUMMYFUNCTION("""COMPUTED_VALUE"""),1.16)</f>
        <v>1.16</v>
      </c>
      <c r="F54">
        <f>IFERROR(__xludf.DUMMYFUNCTION("""COMPUTED_VALUE"""),0.66)</f>
        <v>0.66</v>
      </c>
      <c r="G54">
        <f>IFERROR(__xludf.DUMMYFUNCTION("""COMPUTED_VALUE"""),16.97)</f>
        <v>16.97</v>
      </c>
    </row>
    <row r="55">
      <c r="A55">
        <f>IFERROR(__xludf.DUMMYFUNCTION("""COMPUTED_VALUE"""),167790.0)</f>
        <v>167790</v>
      </c>
      <c r="B55" t="str">
        <f>IFERROR(__xludf.DUMMYFUNCTION("""COMPUTED_VALUE"""),"Naranjilla (Lulo) Pulp Frozen Unsweetened")</f>
        <v>Naranjilla (Lulo) Pulp Frozen Unsweetened</v>
      </c>
      <c r="C55" t="str">
        <f>IFERROR(__xludf.DUMMYFUNCTION("""COMPUTED_VALUE"""),"Fruits")</f>
        <v>Fruits</v>
      </c>
      <c r="D55">
        <f>IFERROR(__xludf.DUMMYFUNCTION("""COMPUTED_VALUE"""),25.0)</f>
        <v>25</v>
      </c>
      <c r="E55">
        <f>IFERROR(__xludf.DUMMYFUNCTION("""COMPUTED_VALUE"""),0.22)</f>
        <v>0.22</v>
      </c>
      <c r="F55">
        <f>IFERROR(__xludf.DUMMYFUNCTION("""COMPUTED_VALUE"""),0.44)</f>
        <v>0.44</v>
      </c>
      <c r="G55">
        <f>IFERROR(__xludf.DUMMYFUNCTION("""COMPUTED_VALUE"""),5.9)</f>
        <v>5.9</v>
      </c>
    </row>
    <row r="56">
      <c r="A56">
        <f>IFERROR(__xludf.DUMMYFUNCTION("""COMPUTED_VALUE"""),167791.0)</f>
        <v>167791</v>
      </c>
      <c r="B56" t="str">
        <f>IFERROR(__xludf.DUMMYFUNCTION("""COMPUTED_VALUE"""),"Horned Melon (Kiwano)")</f>
        <v>Horned Melon (Kiwano)</v>
      </c>
      <c r="C56" t="str">
        <f>IFERROR(__xludf.DUMMYFUNCTION("""COMPUTED_VALUE"""),"Fruits")</f>
        <v>Fruits</v>
      </c>
      <c r="D56">
        <f>IFERROR(__xludf.DUMMYFUNCTION("""COMPUTED_VALUE"""),44.0)</f>
        <v>44</v>
      </c>
      <c r="E56">
        <f>IFERROR(__xludf.DUMMYFUNCTION("""COMPUTED_VALUE"""),1.26)</f>
        <v>1.26</v>
      </c>
      <c r="F56">
        <f>IFERROR(__xludf.DUMMYFUNCTION("""COMPUTED_VALUE"""),1.78)</f>
        <v>1.78</v>
      </c>
      <c r="G56">
        <f>IFERROR(__xludf.DUMMYFUNCTION("""COMPUTED_VALUE"""),7.56)</f>
        <v>7.56</v>
      </c>
    </row>
    <row r="57">
      <c r="A57">
        <f>IFERROR(__xludf.DUMMYFUNCTION("""COMPUTED_VALUE"""),167792.0)</f>
        <v>167792</v>
      </c>
      <c r="B57" t="str">
        <f>IFERROR(__xludf.DUMMYFUNCTION("""COMPUTED_VALUE"""),"Orange Pineapple Juice Blend")</f>
        <v>Orange Pineapple Juice Blend</v>
      </c>
      <c r="C57" t="str">
        <f>IFERROR(__xludf.DUMMYFUNCTION("""COMPUTED_VALUE"""),"Fruits")</f>
        <v>Fruits</v>
      </c>
      <c r="D57">
        <f>IFERROR(__xludf.DUMMYFUNCTION("""COMPUTED_VALUE"""),51.0)</f>
        <v>51</v>
      </c>
      <c r="E57">
        <f>IFERROR(__xludf.DUMMYFUNCTION("""COMPUTED_VALUE"""),0.08)</f>
        <v>0.08</v>
      </c>
      <c r="F57">
        <f>IFERROR(__xludf.DUMMYFUNCTION("""COMPUTED_VALUE"""),0.41)</f>
        <v>0.41</v>
      </c>
      <c r="G57">
        <f>IFERROR(__xludf.DUMMYFUNCTION("""COMPUTED_VALUE"""),12.2)</f>
        <v>12.2</v>
      </c>
    </row>
    <row r="58">
      <c r="A58">
        <f>IFERROR(__xludf.DUMMYFUNCTION("""COMPUTED_VALUE"""),167793.0)</f>
        <v>167793</v>
      </c>
      <c r="B58" t="str">
        <f>IFERROR(__xludf.DUMMYFUNCTION("""COMPUTED_VALUE"""),"Fuji Apples")</f>
        <v>Fuji Apples</v>
      </c>
      <c r="C58" t="str">
        <f>IFERROR(__xludf.DUMMYFUNCTION("""COMPUTED_VALUE"""),"Fruits")</f>
        <v>Fruits</v>
      </c>
      <c r="D58">
        <f>IFERROR(__xludf.DUMMYFUNCTION("""COMPUTED_VALUE"""),63.0)</f>
        <v>63</v>
      </c>
      <c r="E58">
        <f>IFERROR(__xludf.DUMMYFUNCTION("""COMPUTED_VALUE"""),0.18)</f>
        <v>0.18</v>
      </c>
      <c r="F58">
        <f>IFERROR(__xludf.DUMMYFUNCTION("""COMPUTED_VALUE"""),0.2)</f>
        <v>0.2</v>
      </c>
      <c r="G58">
        <f>IFERROR(__xludf.DUMMYFUNCTION("""COMPUTED_VALUE"""),15.22)</f>
        <v>15.22</v>
      </c>
    </row>
    <row r="59">
      <c r="A59">
        <f>IFERROR(__xludf.DUMMYFUNCTION("""COMPUTED_VALUE"""),167794.0)</f>
        <v>167794</v>
      </c>
      <c r="B59" t="str">
        <f>IFERROR(__xludf.DUMMYFUNCTION("""COMPUTED_VALUE"""),"Orange Juice Chilled Includes From Concentrate With Added Calcium And Vitamins A D E")</f>
        <v>Orange Juice Chilled Includes From Concentrate With Added Calcium And Vitamins A D E</v>
      </c>
      <c r="C59" t="str">
        <f>IFERROR(__xludf.DUMMYFUNCTION("""COMPUTED_VALUE"""),"Fruits")</f>
        <v>Fruits</v>
      </c>
      <c r="D59">
        <f>IFERROR(__xludf.DUMMYFUNCTION("""COMPUTED_VALUE"""),49.0)</f>
        <v>49</v>
      </c>
      <c r="E59">
        <f>IFERROR(__xludf.DUMMYFUNCTION("""COMPUTED_VALUE"""),0.12)</f>
        <v>0.12</v>
      </c>
      <c r="F59">
        <f>IFERROR(__xludf.DUMMYFUNCTION("""COMPUTED_VALUE"""),0.68)</f>
        <v>0.68</v>
      </c>
      <c r="G59">
        <f>IFERROR(__xludf.DUMMYFUNCTION("""COMPUTED_VALUE"""),11.54)</f>
        <v>11.54</v>
      </c>
    </row>
    <row r="60">
      <c r="A60">
        <f>IFERROR(__xludf.DUMMYFUNCTION("""COMPUTED_VALUE"""),167795.0)</f>
        <v>167795</v>
      </c>
      <c r="B60" t="str">
        <f>IFERROR(__xludf.DUMMYFUNCTION("""COMPUTED_VALUE"""),"Fruit Juice Smoothie Naked Juice Mighty Mango")</f>
        <v>Fruit Juice Smoothie Naked Juice Mighty Mango</v>
      </c>
      <c r="C60" t="str">
        <f>IFERROR(__xludf.DUMMYFUNCTION("""COMPUTED_VALUE"""),"Fruits")</f>
        <v>Fruits</v>
      </c>
      <c r="D60">
        <f>IFERROR(__xludf.DUMMYFUNCTION("""COMPUTED_VALUE"""),63.0)</f>
        <v>63</v>
      </c>
      <c r="E60">
        <f>IFERROR(__xludf.DUMMYFUNCTION("""COMPUTED_VALUE"""),0.0)</f>
        <v>0</v>
      </c>
      <c r="F60">
        <f>IFERROR(__xludf.DUMMYFUNCTION("""COMPUTED_VALUE"""),0.42)</f>
        <v>0.42</v>
      </c>
      <c r="G60">
        <f>IFERROR(__xludf.DUMMYFUNCTION("""COMPUTED_VALUE"""),15.0)</f>
        <v>15</v>
      </c>
    </row>
    <row r="61">
      <c r="A61">
        <f>IFERROR(__xludf.DUMMYFUNCTION("""COMPUTED_VALUE"""),167796.0)</f>
        <v>167796</v>
      </c>
      <c r="B61" t="str">
        <f>IFERROR(__xludf.DUMMYFUNCTION("""COMPUTED_VALUE"""),"Fruit Juice Smoothie Naked Juice Green Machine")</f>
        <v>Fruit Juice Smoothie Naked Juice Green Machine</v>
      </c>
      <c r="C61" t="str">
        <f>IFERROR(__xludf.DUMMYFUNCTION("""COMPUTED_VALUE"""),"Fruits")</f>
        <v>Fruits</v>
      </c>
      <c r="D61">
        <f>IFERROR(__xludf.DUMMYFUNCTION("""COMPUTED_VALUE"""),53.0)</f>
        <v>53</v>
      </c>
      <c r="E61">
        <f>IFERROR(__xludf.DUMMYFUNCTION("""COMPUTED_VALUE"""),0.26)</f>
        <v>0.26</v>
      </c>
      <c r="F61">
        <f>IFERROR(__xludf.DUMMYFUNCTION("""COMPUTED_VALUE"""),0.6)</f>
        <v>0.6</v>
      </c>
      <c r="G61">
        <f>IFERROR(__xludf.DUMMYFUNCTION("""COMPUTED_VALUE"""),12.53)</f>
        <v>12.53</v>
      </c>
    </row>
    <row r="62">
      <c r="A62">
        <f>IFERROR(__xludf.DUMMYFUNCTION("""COMPUTED_VALUE"""),167797.0)</f>
        <v>167797</v>
      </c>
      <c r="B62" t="str">
        <f>IFERROR(__xludf.DUMMYFUNCTION("""COMPUTED_VALUE"""),"Fruit Juice Smoothie Bolthouse Farms Berry Boost")</f>
        <v>Fruit Juice Smoothie Bolthouse Farms Berry Boost</v>
      </c>
      <c r="C62" t="str">
        <f>IFERROR(__xludf.DUMMYFUNCTION("""COMPUTED_VALUE"""),"Fruits")</f>
        <v>Fruits</v>
      </c>
      <c r="D62">
        <f>IFERROR(__xludf.DUMMYFUNCTION("""COMPUTED_VALUE"""),46.0)</f>
        <v>46</v>
      </c>
      <c r="E62">
        <f>IFERROR(__xludf.DUMMYFUNCTION("""COMPUTED_VALUE"""),0.02)</f>
        <v>0.02</v>
      </c>
      <c r="F62">
        <f>IFERROR(__xludf.DUMMYFUNCTION("""COMPUTED_VALUE"""),0.63)</f>
        <v>0.63</v>
      </c>
      <c r="G62">
        <f>IFERROR(__xludf.DUMMYFUNCTION("""COMPUTED_VALUE"""),10.9)</f>
        <v>10.9</v>
      </c>
    </row>
    <row r="63">
      <c r="A63">
        <f>IFERROR(__xludf.DUMMYFUNCTION("""COMPUTED_VALUE"""),167798.0)</f>
        <v>167798</v>
      </c>
      <c r="B63" t="str">
        <f>IFERROR(__xludf.DUMMYFUNCTION("""COMPUTED_VALUE"""),"Fruit Juice Smoothie Bolthouse Farms Green Goodness")</f>
        <v>Fruit Juice Smoothie Bolthouse Farms Green Goodness</v>
      </c>
      <c r="C63" t="str">
        <f>IFERROR(__xludf.DUMMYFUNCTION("""COMPUTED_VALUE"""),"Fruits")</f>
        <v>Fruits</v>
      </c>
      <c r="D63">
        <f>IFERROR(__xludf.DUMMYFUNCTION("""COMPUTED_VALUE"""),56.0)</f>
        <v>56</v>
      </c>
      <c r="E63">
        <f>IFERROR(__xludf.DUMMYFUNCTION("""COMPUTED_VALUE"""),0.33)</f>
        <v>0.33</v>
      </c>
      <c r="F63">
        <f>IFERROR(__xludf.DUMMYFUNCTION("""COMPUTED_VALUE"""),0.63)</f>
        <v>0.63</v>
      </c>
      <c r="G63">
        <f>IFERROR(__xludf.DUMMYFUNCTION("""COMPUTED_VALUE"""),13.04)</f>
        <v>13.04</v>
      </c>
    </row>
    <row r="64">
      <c r="A64">
        <f>IFERROR(__xludf.DUMMYFUNCTION("""COMPUTED_VALUE"""),167799.0)</f>
        <v>167799</v>
      </c>
      <c r="B64" t="str">
        <f>IFERROR(__xludf.DUMMYFUNCTION("""COMPUTED_VALUE"""),"Fruit Juice Smoothie Bolthouse Farms Strawberry Banana")</f>
        <v>Fruit Juice Smoothie Bolthouse Farms Strawberry Banana</v>
      </c>
      <c r="C64" t="str">
        <f>IFERROR(__xludf.DUMMYFUNCTION("""COMPUTED_VALUE"""),"Fruits")</f>
        <v>Fruits</v>
      </c>
      <c r="D64">
        <f>IFERROR(__xludf.DUMMYFUNCTION("""COMPUTED_VALUE"""),52.0)</f>
        <v>52</v>
      </c>
      <c r="E64">
        <f>IFERROR(__xludf.DUMMYFUNCTION("""COMPUTED_VALUE"""),0.3)</f>
        <v>0.3</v>
      </c>
      <c r="F64">
        <f>IFERROR(__xludf.DUMMYFUNCTION("""COMPUTED_VALUE"""),0.44)</f>
        <v>0.44</v>
      </c>
      <c r="G64">
        <f>IFERROR(__xludf.DUMMYFUNCTION("""COMPUTED_VALUE"""),12.37)</f>
        <v>12.37</v>
      </c>
    </row>
    <row r="65">
      <c r="A65">
        <f>IFERROR(__xludf.DUMMYFUNCTION("""COMPUTED_VALUE"""),167800.0)</f>
        <v>167800</v>
      </c>
      <c r="B65" t="str">
        <f>IFERROR(__xludf.DUMMYFUNCTION("""COMPUTED_VALUE"""),"Apple Juice Canned Or Bottled Unsweetened With Added Ascorbic Acid Calcium And Potassium")</f>
        <v>Apple Juice Canned Or Bottled Unsweetened With Added Ascorbic Acid Calcium And Potassium</v>
      </c>
      <c r="C65" t="str">
        <f>IFERROR(__xludf.DUMMYFUNCTION("""COMPUTED_VALUE"""),"Fruits")</f>
        <v>Fruits</v>
      </c>
      <c r="D65">
        <f>IFERROR(__xludf.DUMMYFUNCTION("""COMPUTED_VALUE"""),48.0)</f>
        <v>48</v>
      </c>
      <c r="E65">
        <f>IFERROR(__xludf.DUMMYFUNCTION("""COMPUTED_VALUE"""),0.17)</f>
        <v>0.17</v>
      </c>
      <c r="F65">
        <f>IFERROR(__xludf.DUMMYFUNCTION("""COMPUTED_VALUE"""),0.12)</f>
        <v>0.12</v>
      </c>
      <c r="G65">
        <f>IFERROR(__xludf.DUMMYFUNCTION("""COMPUTED_VALUE"""),11.49)</f>
        <v>11.49</v>
      </c>
    </row>
    <row r="66">
      <c r="A66">
        <f>IFERROR(__xludf.DUMMYFUNCTION("""COMPUTED_VALUE"""),167801.0)</f>
        <v>167801</v>
      </c>
      <c r="B66" t="str">
        <f>IFERROR(__xludf.DUMMYFUNCTION("""COMPUTED_VALUE"""),"Lemon Juice From Concentrate Bottled Concord")</f>
        <v>Lemon Juice From Concentrate Bottled Concord</v>
      </c>
      <c r="C66" t="str">
        <f>IFERROR(__xludf.DUMMYFUNCTION("""COMPUTED_VALUE"""),"Fruits")</f>
        <v>Fruits</v>
      </c>
      <c r="D66">
        <f>IFERROR(__xludf.DUMMYFUNCTION("""COMPUTED_VALUE"""),24.0)</f>
        <v>24</v>
      </c>
      <c r="E66">
        <f>IFERROR(__xludf.DUMMYFUNCTION("""COMPUTED_VALUE"""),0.07)</f>
        <v>0.07</v>
      </c>
      <c r="F66">
        <f>IFERROR(__xludf.DUMMYFUNCTION("""COMPUTED_VALUE"""),0.4)</f>
        <v>0.4</v>
      </c>
      <c r="G66">
        <f>IFERROR(__xludf.DUMMYFUNCTION("""COMPUTED_VALUE"""),5.37)</f>
        <v>5.37</v>
      </c>
    </row>
    <row r="67">
      <c r="A67">
        <f>IFERROR(__xludf.DUMMYFUNCTION("""COMPUTED_VALUE"""),167802.0)</f>
        <v>167802</v>
      </c>
      <c r="B67" t="str">
        <f>IFERROR(__xludf.DUMMYFUNCTION("""COMPUTED_VALUE"""),"Lemon Juice From Concentrate Bottled Real Lemon")</f>
        <v>Lemon Juice From Concentrate Bottled Real Lemon</v>
      </c>
      <c r="C67" t="str">
        <f>IFERROR(__xludf.DUMMYFUNCTION("""COMPUTED_VALUE"""),"Fruits")</f>
        <v>Fruits</v>
      </c>
      <c r="D67">
        <f>IFERROR(__xludf.DUMMYFUNCTION("""COMPUTED_VALUE"""),17.0)</f>
        <v>17</v>
      </c>
      <c r="E67">
        <f>IFERROR(__xludf.DUMMYFUNCTION("""COMPUTED_VALUE"""),0.07)</f>
        <v>0.07</v>
      </c>
      <c r="F67">
        <f>IFERROR(__xludf.DUMMYFUNCTION("""COMPUTED_VALUE"""),0.47)</f>
        <v>0.47</v>
      </c>
      <c r="G67">
        <f>IFERROR(__xludf.DUMMYFUNCTION("""COMPUTED_VALUE"""),5.66)</f>
        <v>5.66</v>
      </c>
    </row>
    <row r="68">
      <c r="A68">
        <f>IFERROR(__xludf.DUMMYFUNCTION("""COMPUTED_VALUE"""),167803.0)</f>
        <v>167803</v>
      </c>
      <c r="B68" t="str">
        <f>IFERROR(__xludf.DUMMYFUNCTION("""COMPUTED_VALUE"""),"Cranberry Sauce Whole Canned Ocean Spray")</f>
        <v>Cranberry Sauce Whole Canned Ocean Spray</v>
      </c>
      <c r="C68" t="str">
        <f>IFERROR(__xludf.DUMMYFUNCTION("""COMPUTED_VALUE"""),"Fruits")</f>
        <v>Fruits</v>
      </c>
      <c r="D68">
        <f>IFERROR(__xludf.DUMMYFUNCTION("""COMPUTED_VALUE"""),158.0)</f>
        <v>158</v>
      </c>
      <c r="E68">
        <f>IFERROR(__xludf.DUMMYFUNCTION("""COMPUTED_VALUE"""),0.05)</f>
        <v>0.05</v>
      </c>
      <c r="F68">
        <f>IFERROR(__xludf.DUMMYFUNCTION("""COMPUTED_VALUE"""),0.75)</f>
        <v>0.75</v>
      </c>
      <c r="G68">
        <f>IFERROR(__xludf.DUMMYFUNCTION("""COMPUTED_VALUE"""),40.4)</f>
        <v>40.4</v>
      </c>
    </row>
    <row r="69">
      <c r="A69">
        <f>IFERROR(__xludf.DUMMYFUNCTION("""COMPUTED_VALUE"""),167804.0)</f>
        <v>167804</v>
      </c>
      <c r="B69" t="str">
        <f>IFERROR(__xludf.DUMMYFUNCTION("""COMPUTED_VALUE"""),"Cranberry Sauce Jellied Canned Ocean Spray")</f>
        <v>Cranberry Sauce Jellied Canned Ocean Spray</v>
      </c>
      <c r="C69" t="str">
        <f>IFERROR(__xludf.DUMMYFUNCTION("""COMPUTED_VALUE"""),"Fruits")</f>
        <v>Fruits</v>
      </c>
      <c r="D69">
        <f>IFERROR(__xludf.DUMMYFUNCTION("""COMPUTED_VALUE"""),160.0)</f>
        <v>160</v>
      </c>
      <c r="E69">
        <f>IFERROR(__xludf.DUMMYFUNCTION("""COMPUTED_VALUE"""),0.04)</f>
        <v>0.04</v>
      </c>
      <c r="F69">
        <f>IFERROR(__xludf.DUMMYFUNCTION("""COMPUTED_VALUE"""),1.05)</f>
        <v>1.05</v>
      </c>
      <c r="G69">
        <f>IFERROR(__xludf.DUMMYFUNCTION("""COMPUTED_VALUE"""),40.61)</f>
        <v>40.61</v>
      </c>
    </row>
    <row r="70">
      <c r="A70">
        <f>IFERROR(__xludf.DUMMYFUNCTION("""COMPUTED_VALUE"""),167805.0)</f>
        <v>167805</v>
      </c>
      <c r="B70" t="str">
        <f>IFERROR(__xludf.DUMMYFUNCTION("""COMPUTED_VALUE"""),"Ruby Red Grapefruit Juice Blend (Grapefruit Grape Apple) Ocean Spray Bottled With Added Vitamin C")</f>
        <v>Ruby Red Grapefruit Juice Blend (Grapefruit Grape Apple) Ocean Spray Bottled With Added Vitamin C</v>
      </c>
      <c r="C70" t="str">
        <f>IFERROR(__xludf.DUMMYFUNCTION("""COMPUTED_VALUE"""),"Fruits")</f>
        <v>Fruits</v>
      </c>
      <c r="D70">
        <f>IFERROR(__xludf.DUMMYFUNCTION("""COMPUTED_VALUE"""),44.0)</f>
        <v>44</v>
      </c>
      <c r="E70">
        <f>IFERROR(__xludf.DUMMYFUNCTION("""COMPUTED_VALUE"""),0.1)</f>
        <v>0.1</v>
      </c>
      <c r="F70">
        <f>IFERROR(__xludf.DUMMYFUNCTION("""COMPUTED_VALUE"""),0.5)</f>
        <v>0.5</v>
      </c>
      <c r="G70">
        <f>IFERROR(__xludf.DUMMYFUNCTION("""COMPUTED_VALUE"""),10.53)</f>
        <v>10.53</v>
      </c>
    </row>
    <row r="71">
      <c r="A71">
        <f>IFERROR(__xludf.DUMMYFUNCTION("""COMPUTED_VALUE"""),168015.0)</f>
        <v>168015</v>
      </c>
      <c r="B71" t="str">
        <f>IFERROR(__xludf.DUMMYFUNCTION("""COMPUTED_VALUE"""),"Sweet Potatoes French Fried Crosscut Frozen Unprepared")</f>
        <v>Sweet Potatoes French Fried Crosscut Frozen Unprepared</v>
      </c>
      <c r="C71" t="str">
        <f>IFERROR(__xludf.DUMMYFUNCTION("""COMPUTED_VALUE"""),"Vegetables")</f>
        <v>Vegetables</v>
      </c>
      <c r="D71">
        <f>IFERROR(__xludf.DUMMYFUNCTION("""COMPUTED_VALUE"""),209.0)</f>
        <v>209</v>
      </c>
      <c r="E71">
        <f>IFERROR(__xludf.DUMMYFUNCTION("""COMPUTED_VALUE"""),11.1)</f>
        <v>11.1</v>
      </c>
      <c r="F71">
        <f>IFERROR(__xludf.DUMMYFUNCTION("""COMPUTED_VALUE"""),1.7)</f>
        <v>1.7</v>
      </c>
      <c r="G71">
        <f>IFERROR(__xludf.DUMMYFUNCTION("""COMPUTED_VALUE"""),25.52)</f>
        <v>25.52</v>
      </c>
    </row>
    <row r="72">
      <c r="A72">
        <f>IFERROR(__xludf.DUMMYFUNCTION("""COMPUTED_VALUE"""),168016.0)</f>
        <v>168016</v>
      </c>
      <c r="B72" t="str">
        <f>IFERROR(__xludf.DUMMYFUNCTION("""COMPUTED_VALUE"""),"Sweet Potato Puffs Frozen Unprepared")</f>
        <v>Sweet Potato Puffs Frozen Unprepared</v>
      </c>
      <c r="C72" t="str">
        <f>IFERROR(__xludf.DUMMYFUNCTION("""COMPUTED_VALUE"""),"Vegetables")</f>
        <v>Vegetables</v>
      </c>
      <c r="D72">
        <f>IFERROR(__xludf.DUMMYFUNCTION("""COMPUTED_VALUE"""),161.0)</f>
        <v>161</v>
      </c>
      <c r="E72">
        <f>IFERROR(__xludf.DUMMYFUNCTION("""COMPUTED_VALUE"""),3.58)</f>
        <v>3.58</v>
      </c>
      <c r="F72">
        <f>IFERROR(__xludf.DUMMYFUNCTION("""COMPUTED_VALUE"""),1.36)</f>
        <v>1.36</v>
      </c>
      <c r="G72">
        <f>IFERROR(__xludf.DUMMYFUNCTION("""COMPUTED_VALUE"""),30.72)</f>
        <v>30.72</v>
      </c>
    </row>
    <row r="73">
      <c r="A73">
        <f>IFERROR(__xludf.DUMMYFUNCTION("""COMPUTED_VALUE"""),168106.0)</f>
        <v>168106</v>
      </c>
      <c r="B73" t="str">
        <f>IFERROR(__xludf.DUMMYFUNCTION("""COMPUTED_VALUE"""),"Papad")</f>
        <v>Papad</v>
      </c>
      <c r="C73" t="str">
        <f>IFERROR(__xludf.DUMMYFUNCTION("""COMPUTED_VALUE"""),"Beans and Lentils")</f>
        <v>Beans and Lentils</v>
      </c>
      <c r="D73">
        <f>IFERROR(__xludf.DUMMYFUNCTION("""COMPUTED_VALUE"""),371.0)</f>
        <v>371</v>
      </c>
      <c r="E73">
        <f>IFERROR(__xludf.DUMMYFUNCTION("""COMPUTED_VALUE"""),3.25)</f>
        <v>3.25</v>
      </c>
      <c r="F73">
        <f>IFERROR(__xludf.DUMMYFUNCTION("""COMPUTED_VALUE"""),25.56)</f>
        <v>25.56</v>
      </c>
      <c r="G73">
        <f>IFERROR(__xludf.DUMMYFUNCTION("""COMPUTED_VALUE"""),59.87)</f>
        <v>59.87</v>
      </c>
    </row>
    <row r="74">
      <c r="A74">
        <f>IFERROR(__xludf.DUMMYFUNCTION("""COMPUTED_VALUE"""),168117.0)</f>
        <v>168117</v>
      </c>
      <c r="B74" t="str">
        <f>IFERROR(__xludf.DUMMYFUNCTION("""COMPUTED_VALUE"""),"Cranberry Juice Unsweetened")</f>
        <v>Cranberry Juice Unsweetened</v>
      </c>
      <c r="C74" t="str">
        <f>IFERROR(__xludf.DUMMYFUNCTION("""COMPUTED_VALUE"""),"Fruits")</f>
        <v>Fruits</v>
      </c>
      <c r="D74">
        <f>IFERROR(__xludf.DUMMYFUNCTION("""COMPUTED_VALUE"""),46.0)</f>
        <v>46</v>
      </c>
      <c r="E74">
        <f>IFERROR(__xludf.DUMMYFUNCTION("""COMPUTED_VALUE"""),0.13)</f>
        <v>0.13</v>
      </c>
      <c r="F74">
        <f>IFERROR(__xludf.DUMMYFUNCTION("""COMPUTED_VALUE"""),0.39)</f>
        <v>0.39</v>
      </c>
      <c r="G74">
        <f>IFERROR(__xludf.DUMMYFUNCTION("""COMPUTED_VALUE"""),12.2)</f>
        <v>12.2</v>
      </c>
    </row>
    <row r="75">
      <c r="A75">
        <f>IFERROR(__xludf.DUMMYFUNCTION("""COMPUTED_VALUE"""),168119.0)</f>
        <v>168119</v>
      </c>
      <c r="B75" t="str">
        <f>IFERROR(__xludf.DUMMYFUNCTION("""COMPUTED_VALUE"""),"Turnip Greens Canned No Salt Added")</f>
        <v>Turnip Greens Canned No Salt Added</v>
      </c>
      <c r="C75" t="str">
        <f>IFERROR(__xludf.DUMMYFUNCTION("""COMPUTED_VALUE"""),"Vegetables")</f>
        <v>Vegetables</v>
      </c>
      <c r="D75">
        <f>IFERROR(__xludf.DUMMYFUNCTION("""COMPUTED_VALUE"""),19.0)</f>
        <v>19</v>
      </c>
      <c r="E75">
        <f>IFERROR(__xludf.DUMMYFUNCTION("""COMPUTED_VALUE"""),0.3)</f>
        <v>0.3</v>
      </c>
      <c r="F75">
        <f>IFERROR(__xludf.DUMMYFUNCTION("""COMPUTED_VALUE"""),1.36)</f>
        <v>1.36</v>
      </c>
      <c r="G75">
        <f>IFERROR(__xludf.DUMMYFUNCTION("""COMPUTED_VALUE"""),2.81)</f>
        <v>2.81</v>
      </c>
    </row>
    <row r="76">
      <c r="A76">
        <f>IFERROR(__xludf.DUMMYFUNCTION("""COMPUTED_VALUE"""),168128.0)</f>
        <v>168128</v>
      </c>
      <c r="B76" t="str">
        <f>IFERROR(__xludf.DUMMYFUNCTION("""COMPUTED_VALUE"""),"Beans Baked Canned No Salt Added")</f>
        <v>Beans Baked Canned No Salt Added</v>
      </c>
      <c r="C76" t="str">
        <f>IFERROR(__xludf.DUMMYFUNCTION("""COMPUTED_VALUE"""),"Beans and Lentils")</f>
        <v>Beans and Lentils</v>
      </c>
      <c r="D76">
        <f>IFERROR(__xludf.DUMMYFUNCTION("""COMPUTED_VALUE"""),105.0)</f>
        <v>105</v>
      </c>
      <c r="E76">
        <f>IFERROR(__xludf.DUMMYFUNCTION("""COMPUTED_VALUE"""),0.4)</f>
        <v>0.4</v>
      </c>
      <c r="F76">
        <f>IFERROR(__xludf.DUMMYFUNCTION("""COMPUTED_VALUE"""),4.8)</f>
        <v>4.8</v>
      </c>
      <c r="G76">
        <f>IFERROR(__xludf.DUMMYFUNCTION("""COMPUTED_VALUE"""),20.49)</f>
        <v>20.49</v>
      </c>
    </row>
    <row r="77">
      <c r="A77">
        <f>IFERROR(__xludf.DUMMYFUNCTION("""COMPUTED_VALUE"""),168147.0)</f>
        <v>168147</v>
      </c>
      <c r="B77" t="str">
        <f>IFERROR(__xludf.DUMMYFUNCTION("""COMPUTED_VALUE"""),"Vital Wheat Gluten")</f>
        <v>Vital Wheat Gluten</v>
      </c>
      <c r="C77" t="str">
        <f>IFERROR(__xludf.DUMMYFUNCTION("""COMPUTED_VALUE"""),"Grains and Pasta")</f>
        <v>Grains and Pasta</v>
      </c>
      <c r="D77">
        <f>IFERROR(__xludf.DUMMYFUNCTION("""COMPUTED_VALUE"""),370.0)</f>
        <v>370</v>
      </c>
      <c r="E77">
        <f>IFERROR(__xludf.DUMMYFUNCTION("""COMPUTED_VALUE"""),1.85)</f>
        <v>1.85</v>
      </c>
      <c r="F77">
        <f>IFERROR(__xludf.DUMMYFUNCTION("""COMPUTED_VALUE"""),75.16)</f>
        <v>75.16</v>
      </c>
      <c r="G77">
        <f>IFERROR(__xludf.DUMMYFUNCTION("""COMPUTED_VALUE"""),13.79)</f>
        <v>13.79</v>
      </c>
    </row>
    <row r="78">
      <c r="A78">
        <f>IFERROR(__xludf.DUMMYFUNCTION("""COMPUTED_VALUE"""),168150.0)</f>
        <v>168150</v>
      </c>
      <c r="B78" t="str">
        <f>IFERROR(__xludf.DUMMYFUNCTION("""COMPUTED_VALUE"""),"Java Plum")</f>
        <v>Java Plum</v>
      </c>
      <c r="C78" t="str">
        <f>IFERROR(__xludf.DUMMYFUNCTION("""COMPUTED_VALUE"""),"Fruits")</f>
        <v>Fruits</v>
      </c>
      <c r="D78">
        <f>IFERROR(__xludf.DUMMYFUNCTION("""COMPUTED_VALUE"""),60.0)</f>
        <v>60</v>
      </c>
      <c r="E78">
        <f>IFERROR(__xludf.DUMMYFUNCTION("""COMPUTED_VALUE"""),0.23)</f>
        <v>0.23</v>
      </c>
      <c r="F78">
        <f>IFERROR(__xludf.DUMMYFUNCTION("""COMPUTED_VALUE"""),0.72)</f>
        <v>0.72</v>
      </c>
      <c r="G78">
        <f>IFERROR(__xludf.DUMMYFUNCTION("""COMPUTED_VALUE"""),15.56)</f>
        <v>15.56</v>
      </c>
    </row>
    <row r="79">
      <c r="A79">
        <f>IFERROR(__xludf.DUMMYFUNCTION("""COMPUTED_VALUE"""),168151.0)</f>
        <v>168151</v>
      </c>
      <c r="B79" t="str">
        <f>IFERROR(__xludf.DUMMYFUNCTION("""COMPUTED_VALUE"""),"Jujube")</f>
        <v>Jujube</v>
      </c>
      <c r="C79" t="str">
        <f>IFERROR(__xludf.DUMMYFUNCTION("""COMPUTED_VALUE"""),"Fruits")</f>
        <v>Fruits</v>
      </c>
      <c r="D79">
        <f>IFERROR(__xludf.DUMMYFUNCTION("""COMPUTED_VALUE"""),79.0)</f>
        <v>79</v>
      </c>
      <c r="E79">
        <f>IFERROR(__xludf.DUMMYFUNCTION("""COMPUTED_VALUE"""),0.2)</f>
        <v>0.2</v>
      </c>
      <c r="F79">
        <f>IFERROR(__xludf.DUMMYFUNCTION("""COMPUTED_VALUE"""),1.2)</f>
        <v>1.2</v>
      </c>
      <c r="G79">
        <f>IFERROR(__xludf.DUMMYFUNCTION("""COMPUTED_VALUE"""),20.23)</f>
        <v>20.23</v>
      </c>
    </row>
    <row r="80">
      <c r="A80">
        <f>IFERROR(__xludf.DUMMYFUNCTION("""COMPUTED_VALUE"""),168152.0)</f>
        <v>168152</v>
      </c>
      <c r="B80" t="str">
        <f>IFERROR(__xludf.DUMMYFUNCTION("""COMPUTED_VALUE"""),"Dried Jujube")</f>
        <v>Dried Jujube</v>
      </c>
      <c r="C80" t="str">
        <f>IFERROR(__xludf.DUMMYFUNCTION("""COMPUTED_VALUE"""),"Fruits")</f>
        <v>Fruits</v>
      </c>
      <c r="D80">
        <f>IFERROR(__xludf.DUMMYFUNCTION("""COMPUTED_VALUE"""),281.0)</f>
        <v>281</v>
      </c>
      <c r="E80">
        <f>IFERROR(__xludf.DUMMYFUNCTION("""COMPUTED_VALUE"""),0.5)</f>
        <v>0.5</v>
      </c>
      <c r="F80">
        <f>IFERROR(__xludf.DUMMYFUNCTION("""COMPUTED_VALUE"""),4.72)</f>
        <v>4.72</v>
      </c>
      <c r="G80">
        <f>IFERROR(__xludf.DUMMYFUNCTION("""COMPUTED_VALUE"""),72.52)</f>
        <v>72.52</v>
      </c>
    </row>
    <row r="81">
      <c r="A81">
        <f>IFERROR(__xludf.DUMMYFUNCTION("""COMPUTED_VALUE"""),168153.0)</f>
        <v>168153</v>
      </c>
      <c r="B81" t="str">
        <f>IFERROR(__xludf.DUMMYFUNCTION("""COMPUTED_VALUE"""),"Kiwifruit")</f>
        <v>Kiwifruit</v>
      </c>
      <c r="C81" t="str">
        <f>IFERROR(__xludf.DUMMYFUNCTION("""COMPUTED_VALUE"""),"Fruits")</f>
        <v>Fruits</v>
      </c>
      <c r="D81">
        <f>IFERROR(__xludf.DUMMYFUNCTION("""COMPUTED_VALUE"""),61.0)</f>
        <v>61</v>
      </c>
      <c r="E81">
        <f>IFERROR(__xludf.DUMMYFUNCTION("""COMPUTED_VALUE"""),0.52)</f>
        <v>0.52</v>
      </c>
      <c r="F81">
        <f>IFERROR(__xludf.DUMMYFUNCTION("""COMPUTED_VALUE"""),1.14)</f>
        <v>1.14</v>
      </c>
      <c r="G81">
        <f>IFERROR(__xludf.DUMMYFUNCTION("""COMPUTED_VALUE"""),14.66)</f>
        <v>14.66</v>
      </c>
    </row>
    <row r="82">
      <c r="A82">
        <f>IFERROR(__xludf.DUMMYFUNCTION("""COMPUTED_VALUE"""),168154.0)</f>
        <v>168154</v>
      </c>
      <c r="B82" t="str">
        <f>IFERROR(__xludf.DUMMYFUNCTION("""COMPUTED_VALUE"""),"Kumquats")</f>
        <v>Kumquats</v>
      </c>
      <c r="C82" t="str">
        <f>IFERROR(__xludf.DUMMYFUNCTION("""COMPUTED_VALUE"""),"Fruits")</f>
        <v>Fruits</v>
      </c>
      <c r="D82">
        <f>IFERROR(__xludf.DUMMYFUNCTION("""COMPUTED_VALUE"""),71.0)</f>
        <v>71</v>
      </c>
      <c r="E82">
        <f>IFERROR(__xludf.DUMMYFUNCTION("""COMPUTED_VALUE"""),0.86)</f>
        <v>0.86</v>
      </c>
      <c r="F82">
        <f>IFERROR(__xludf.DUMMYFUNCTION("""COMPUTED_VALUE"""),1.88)</f>
        <v>1.88</v>
      </c>
      <c r="G82">
        <f>IFERROR(__xludf.DUMMYFUNCTION("""COMPUTED_VALUE"""),15.9)</f>
        <v>15.9</v>
      </c>
    </row>
    <row r="83">
      <c r="A83">
        <f>IFERROR(__xludf.DUMMYFUNCTION("""COMPUTED_VALUE"""),168155.0)</f>
        <v>168155</v>
      </c>
      <c r="B83" t="str">
        <f>IFERROR(__xludf.DUMMYFUNCTION("""COMPUTED_VALUE"""),"Limes")</f>
        <v>Limes</v>
      </c>
      <c r="C83" t="str">
        <f>IFERROR(__xludf.DUMMYFUNCTION("""COMPUTED_VALUE"""),"Fruits")</f>
        <v>Fruits</v>
      </c>
      <c r="D83">
        <f>IFERROR(__xludf.DUMMYFUNCTION("""COMPUTED_VALUE"""),30.0)</f>
        <v>30</v>
      </c>
      <c r="E83">
        <f>IFERROR(__xludf.DUMMYFUNCTION("""COMPUTED_VALUE"""),0.2)</f>
        <v>0.2</v>
      </c>
      <c r="F83">
        <f>IFERROR(__xludf.DUMMYFUNCTION("""COMPUTED_VALUE"""),0.7)</f>
        <v>0.7</v>
      </c>
      <c r="G83">
        <f>IFERROR(__xludf.DUMMYFUNCTION("""COMPUTED_VALUE"""),10.54)</f>
        <v>10.54</v>
      </c>
    </row>
    <row r="84">
      <c r="A84">
        <f>IFERROR(__xludf.DUMMYFUNCTION("""COMPUTED_VALUE"""),168156.0)</f>
        <v>168156</v>
      </c>
      <c r="B84" t="str">
        <f>IFERROR(__xludf.DUMMYFUNCTION("""COMPUTED_VALUE"""),"Lime Juice")</f>
        <v>Lime Juice</v>
      </c>
      <c r="C84" t="str">
        <f>IFERROR(__xludf.DUMMYFUNCTION("""COMPUTED_VALUE"""),"Fruits")</f>
        <v>Fruits</v>
      </c>
      <c r="D84">
        <f>IFERROR(__xludf.DUMMYFUNCTION("""COMPUTED_VALUE"""),25.0)</f>
        <v>25</v>
      </c>
      <c r="E84">
        <f>IFERROR(__xludf.DUMMYFUNCTION("""COMPUTED_VALUE"""),0.07)</f>
        <v>0.07</v>
      </c>
      <c r="F84">
        <f>IFERROR(__xludf.DUMMYFUNCTION("""COMPUTED_VALUE"""),0.42)</f>
        <v>0.42</v>
      </c>
      <c r="G84">
        <f>IFERROR(__xludf.DUMMYFUNCTION("""COMPUTED_VALUE"""),8.42)</f>
        <v>8.42</v>
      </c>
    </row>
    <row r="85">
      <c r="A85">
        <f>IFERROR(__xludf.DUMMYFUNCTION("""COMPUTED_VALUE"""),168157.0)</f>
        <v>168157</v>
      </c>
      <c r="B85" t="str">
        <f>IFERROR(__xludf.DUMMYFUNCTION("""COMPUTED_VALUE"""),"Lime Juice Canned Or Bottled Unsweetened")</f>
        <v>Lime Juice Canned Or Bottled Unsweetened</v>
      </c>
      <c r="C85" t="str">
        <f>IFERROR(__xludf.DUMMYFUNCTION("""COMPUTED_VALUE"""),"Fruits")</f>
        <v>Fruits</v>
      </c>
      <c r="D85">
        <f>IFERROR(__xludf.DUMMYFUNCTION("""COMPUTED_VALUE"""),21.0)</f>
        <v>21</v>
      </c>
      <c r="E85">
        <f>IFERROR(__xludf.DUMMYFUNCTION("""COMPUTED_VALUE"""),0.23)</f>
        <v>0.23</v>
      </c>
      <c r="F85">
        <f>IFERROR(__xludf.DUMMYFUNCTION("""COMPUTED_VALUE"""),0.25)</f>
        <v>0.25</v>
      </c>
      <c r="G85">
        <f>IFERROR(__xludf.DUMMYFUNCTION("""COMPUTED_VALUE"""),6.69)</f>
        <v>6.69</v>
      </c>
    </row>
    <row r="86">
      <c r="A86">
        <f>IFERROR(__xludf.DUMMYFUNCTION("""COMPUTED_VALUE"""),168158.0)</f>
        <v>168158</v>
      </c>
      <c r="B86" t="str">
        <f>IFERROR(__xludf.DUMMYFUNCTION("""COMPUTED_VALUE"""),"Dried Blueberries (Sweetened)")</f>
        <v>Dried Blueberries (Sweetened)</v>
      </c>
      <c r="C86" t="str">
        <f>IFERROR(__xludf.DUMMYFUNCTION("""COMPUTED_VALUE"""),"Fruits")</f>
        <v>Fruits</v>
      </c>
      <c r="D86">
        <f>IFERROR(__xludf.DUMMYFUNCTION("""COMPUTED_VALUE"""),317.0)</f>
        <v>317</v>
      </c>
      <c r="E86">
        <f>IFERROR(__xludf.DUMMYFUNCTION("""COMPUTED_VALUE"""),2.5)</f>
        <v>2.5</v>
      </c>
      <c r="F86">
        <f>IFERROR(__xludf.DUMMYFUNCTION("""COMPUTED_VALUE"""),2.5)</f>
        <v>2.5</v>
      </c>
      <c r="G86">
        <f>IFERROR(__xludf.DUMMYFUNCTION("""COMPUTED_VALUE"""),80.0)</f>
        <v>80</v>
      </c>
    </row>
    <row r="87">
      <c r="A87">
        <f>IFERROR(__xludf.DUMMYFUNCTION("""COMPUTED_VALUE"""),168159.0)</f>
        <v>168159</v>
      </c>
      <c r="B87" t="str">
        <f>IFERROR(__xludf.DUMMYFUNCTION("""COMPUTED_VALUE"""),"Prunes Canned Heavy Syrup Pack Solids And Liquids")</f>
        <v>Prunes Canned Heavy Syrup Pack Solids And Liquids</v>
      </c>
      <c r="C87" t="str">
        <f>IFERROR(__xludf.DUMMYFUNCTION("""COMPUTED_VALUE"""),"Fruits")</f>
        <v>Fruits</v>
      </c>
      <c r="D87">
        <f>IFERROR(__xludf.DUMMYFUNCTION("""COMPUTED_VALUE"""),105.0)</f>
        <v>105</v>
      </c>
      <c r="E87">
        <f>IFERROR(__xludf.DUMMYFUNCTION("""COMPUTED_VALUE"""),0.2)</f>
        <v>0.2</v>
      </c>
      <c r="F87">
        <f>IFERROR(__xludf.DUMMYFUNCTION("""COMPUTED_VALUE"""),0.87)</f>
        <v>0.87</v>
      </c>
      <c r="G87">
        <f>IFERROR(__xludf.DUMMYFUNCTION("""COMPUTED_VALUE"""),27.8)</f>
        <v>27.8</v>
      </c>
    </row>
    <row r="88">
      <c r="A88">
        <f>IFERROR(__xludf.DUMMYFUNCTION("""COMPUTED_VALUE"""),168160.0)</f>
        <v>168160</v>
      </c>
      <c r="B88" t="str">
        <f>IFERROR(__xludf.DUMMYFUNCTION("""COMPUTED_VALUE"""),"Prunes (Low-Moisture)")</f>
        <v>Prunes (Low-Moisture)</v>
      </c>
      <c r="C88" t="str">
        <f>IFERROR(__xludf.DUMMYFUNCTION("""COMPUTED_VALUE"""),"Fruits")</f>
        <v>Fruits</v>
      </c>
      <c r="D88">
        <f>IFERROR(__xludf.DUMMYFUNCTION("""COMPUTED_VALUE"""),339.0)</f>
        <v>339</v>
      </c>
      <c r="E88">
        <f>IFERROR(__xludf.DUMMYFUNCTION("""COMPUTED_VALUE"""),0.73)</f>
        <v>0.73</v>
      </c>
      <c r="F88">
        <f>IFERROR(__xludf.DUMMYFUNCTION("""COMPUTED_VALUE"""),3.7)</f>
        <v>3.7</v>
      </c>
      <c r="G88">
        <f>IFERROR(__xludf.DUMMYFUNCTION("""COMPUTED_VALUE"""),89.07)</f>
        <v>89.07</v>
      </c>
    </row>
    <row r="89">
      <c r="A89">
        <f>IFERROR(__xludf.DUMMYFUNCTION("""COMPUTED_VALUE"""),168161.0)</f>
        <v>168161</v>
      </c>
      <c r="B89" t="str">
        <f>IFERROR(__xludf.DUMMYFUNCTION("""COMPUTED_VALUE"""),"Prunes Dehydrated (Low-Moisture) Stewed")</f>
        <v>Prunes Dehydrated (Low-Moisture) Stewed</v>
      </c>
      <c r="C89" t="str">
        <f>IFERROR(__xludf.DUMMYFUNCTION("""COMPUTED_VALUE"""),"Fruits")</f>
        <v>Fruits</v>
      </c>
      <c r="D89">
        <f>IFERROR(__xludf.DUMMYFUNCTION("""COMPUTED_VALUE"""),113.0)</f>
        <v>113</v>
      </c>
      <c r="E89">
        <f>IFERROR(__xludf.DUMMYFUNCTION("""COMPUTED_VALUE"""),0.24)</f>
        <v>0.24</v>
      </c>
      <c r="F89">
        <f>IFERROR(__xludf.DUMMYFUNCTION("""COMPUTED_VALUE"""),1.23)</f>
        <v>1.23</v>
      </c>
      <c r="G89">
        <f>IFERROR(__xludf.DUMMYFUNCTION("""COMPUTED_VALUE"""),29.7)</f>
        <v>29.7</v>
      </c>
    </row>
    <row r="90">
      <c r="A90">
        <f>IFERROR(__xludf.DUMMYFUNCTION("""COMPUTED_VALUE"""),168162.0)</f>
        <v>168162</v>
      </c>
      <c r="B90" t="str">
        <f>IFERROR(__xludf.DUMMYFUNCTION("""COMPUTED_VALUE"""),"Prunes (Dried Plums)")</f>
        <v>Prunes (Dried Plums)</v>
      </c>
      <c r="C90" t="str">
        <f>IFERROR(__xludf.DUMMYFUNCTION("""COMPUTED_VALUE"""),"Fruits")</f>
        <v>Fruits</v>
      </c>
      <c r="D90">
        <f>IFERROR(__xludf.DUMMYFUNCTION("""COMPUTED_VALUE"""),240.0)</f>
        <v>240</v>
      </c>
      <c r="E90">
        <f>IFERROR(__xludf.DUMMYFUNCTION("""COMPUTED_VALUE"""),0.38)</f>
        <v>0.38</v>
      </c>
      <c r="F90">
        <f>IFERROR(__xludf.DUMMYFUNCTION("""COMPUTED_VALUE"""),2.18)</f>
        <v>2.18</v>
      </c>
      <c r="G90">
        <f>IFERROR(__xludf.DUMMYFUNCTION("""COMPUTED_VALUE"""),63.88)</f>
        <v>63.88</v>
      </c>
    </row>
    <row r="91">
      <c r="A91">
        <f>IFERROR(__xludf.DUMMYFUNCTION("""COMPUTED_VALUE"""),168163.0)</f>
        <v>168163</v>
      </c>
      <c r="B91" t="str">
        <f>IFERROR(__xludf.DUMMYFUNCTION("""COMPUTED_VALUE"""),"Quinces")</f>
        <v>Quinces</v>
      </c>
      <c r="C91" t="str">
        <f>IFERROR(__xludf.DUMMYFUNCTION("""COMPUTED_VALUE"""),"Fruits")</f>
        <v>Fruits</v>
      </c>
      <c r="D91">
        <f>IFERROR(__xludf.DUMMYFUNCTION("""COMPUTED_VALUE"""),57.0)</f>
        <v>57</v>
      </c>
      <c r="E91">
        <f>IFERROR(__xludf.DUMMYFUNCTION("""COMPUTED_VALUE"""),0.1)</f>
        <v>0.1</v>
      </c>
      <c r="F91">
        <f>IFERROR(__xludf.DUMMYFUNCTION("""COMPUTED_VALUE"""),0.4)</f>
        <v>0.4</v>
      </c>
      <c r="G91">
        <f>IFERROR(__xludf.DUMMYFUNCTION("""COMPUTED_VALUE"""),15.3)</f>
        <v>15.3</v>
      </c>
    </row>
    <row r="92">
      <c r="A92">
        <f>IFERROR(__xludf.DUMMYFUNCTION("""COMPUTED_VALUE"""),168164.0)</f>
        <v>168164</v>
      </c>
      <c r="B92" t="str">
        <f>IFERROR(__xludf.DUMMYFUNCTION("""COMPUTED_VALUE"""),"Golden Seedless Raisins")</f>
        <v>Golden Seedless Raisins</v>
      </c>
      <c r="C92" t="str">
        <f>IFERROR(__xludf.DUMMYFUNCTION("""COMPUTED_VALUE"""),"Fruits")</f>
        <v>Fruits</v>
      </c>
      <c r="D92">
        <f>IFERROR(__xludf.DUMMYFUNCTION("""COMPUTED_VALUE"""),301.0)</f>
        <v>301</v>
      </c>
      <c r="E92">
        <f>IFERROR(__xludf.DUMMYFUNCTION("""COMPUTED_VALUE"""),0.2)</f>
        <v>0.2</v>
      </c>
      <c r="F92">
        <f>IFERROR(__xludf.DUMMYFUNCTION("""COMPUTED_VALUE"""),3.28)</f>
        <v>3.28</v>
      </c>
      <c r="G92">
        <f>IFERROR(__xludf.DUMMYFUNCTION("""COMPUTED_VALUE"""),80.02)</f>
        <v>80.02</v>
      </c>
    </row>
    <row r="93">
      <c r="A93">
        <f>IFERROR(__xludf.DUMMYFUNCTION("""COMPUTED_VALUE"""),168165.0)</f>
        <v>168165</v>
      </c>
      <c r="B93" t="str">
        <f>IFERROR(__xludf.DUMMYFUNCTION("""COMPUTED_VALUE"""),"Raisins")</f>
        <v>Raisins</v>
      </c>
      <c r="C93" t="str">
        <f>IFERROR(__xludf.DUMMYFUNCTION("""COMPUTED_VALUE"""),"Fruits")</f>
        <v>Fruits</v>
      </c>
      <c r="D93">
        <f>IFERROR(__xludf.DUMMYFUNCTION("""COMPUTED_VALUE"""),299.0)</f>
        <v>299</v>
      </c>
      <c r="E93">
        <f>IFERROR(__xludf.DUMMYFUNCTION("""COMPUTED_VALUE"""),0.25)</f>
        <v>0.25</v>
      </c>
      <c r="F93">
        <f>IFERROR(__xludf.DUMMYFUNCTION("""COMPUTED_VALUE"""),3.3)</f>
        <v>3.3</v>
      </c>
      <c r="G93">
        <f>IFERROR(__xludf.DUMMYFUNCTION("""COMPUTED_VALUE"""),79.32)</f>
        <v>79.32</v>
      </c>
    </row>
    <row r="94">
      <c r="A94">
        <f>IFERROR(__xludf.DUMMYFUNCTION("""COMPUTED_VALUE"""),168166.0)</f>
        <v>168166</v>
      </c>
      <c r="B94" t="str">
        <f>IFERROR(__xludf.DUMMYFUNCTION("""COMPUTED_VALUE"""),"Raisins Seeded")</f>
        <v>Raisins Seeded</v>
      </c>
      <c r="C94" t="str">
        <f>IFERROR(__xludf.DUMMYFUNCTION("""COMPUTED_VALUE"""),"Fruits")</f>
        <v>Fruits</v>
      </c>
      <c r="D94">
        <f>IFERROR(__xludf.DUMMYFUNCTION("""COMPUTED_VALUE"""),296.0)</f>
        <v>296</v>
      </c>
      <c r="E94">
        <f>IFERROR(__xludf.DUMMYFUNCTION("""COMPUTED_VALUE"""),0.54)</f>
        <v>0.54</v>
      </c>
      <c r="F94">
        <f>IFERROR(__xludf.DUMMYFUNCTION("""COMPUTED_VALUE"""),2.52)</f>
        <v>2.52</v>
      </c>
      <c r="G94">
        <f>IFERROR(__xludf.DUMMYFUNCTION("""COMPUTED_VALUE"""),78.47)</f>
        <v>78.47</v>
      </c>
    </row>
    <row r="95">
      <c r="A95">
        <f>IFERROR(__xludf.DUMMYFUNCTION("""COMPUTED_VALUE"""),168167.0)</f>
        <v>168167</v>
      </c>
      <c r="B95" t="str">
        <f>IFERROR(__xludf.DUMMYFUNCTION("""COMPUTED_VALUE"""),"Rambutan Canned Syrup Pack")</f>
        <v>Rambutan Canned Syrup Pack</v>
      </c>
      <c r="C95" t="str">
        <f>IFERROR(__xludf.DUMMYFUNCTION("""COMPUTED_VALUE"""),"Fruits")</f>
        <v>Fruits</v>
      </c>
      <c r="D95">
        <f>IFERROR(__xludf.DUMMYFUNCTION("""COMPUTED_VALUE"""),82.0)</f>
        <v>82</v>
      </c>
      <c r="E95">
        <f>IFERROR(__xludf.DUMMYFUNCTION("""COMPUTED_VALUE"""),0.21)</f>
        <v>0.21</v>
      </c>
      <c r="F95">
        <f>IFERROR(__xludf.DUMMYFUNCTION("""COMPUTED_VALUE"""),0.65)</f>
        <v>0.65</v>
      </c>
      <c r="G95">
        <f>IFERROR(__xludf.DUMMYFUNCTION("""COMPUTED_VALUE"""),20.87)</f>
        <v>20.87</v>
      </c>
    </row>
    <row r="96">
      <c r="A96">
        <f>IFERROR(__xludf.DUMMYFUNCTION("""COMPUTED_VALUE"""),168168.0)</f>
        <v>168168</v>
      </c>
      <c r="B96" t="str">
        <f>IFERROR(__xludf.DUMMYFUNCTION("""COMPUTED_VALUE"""),"Rhubarb Frozen Uncooked")</f>
        <v>Rhubarb Frozen Uncooked</v>
      </c>
      <c r="C96" t="str">
        <f>IFERROR(__xludf.DUMMYFUNCTION("""COMPUTED_VALUE"""),"Fruits")</f>
        <v>Fruits</v>
      </c>
      <c r="D96">
        <f>IFERROR(__xludf.DUMMYFUNCTION("""COMPUTED_VALUE"""),21.0)</f>
        <v>21</v>
      </c>
      <c r="E96">
        <f>IFERROR(__xludf.DUMMYFUNCTION("""COMPUTED_VALUE"""),0.11)</f>
        <v>0.11</v>
      </c>
      <c r="F96">
        <f>IFERROR(__xludf.DUMMYFUNCTION("""COMPUTED_VALUE"""),0.55)</f>
        <v>0.55</v>
      </c>
      <c r="G96">
        <f>IFERROR(__xludf.DUMMYFUNCTION("""COMPUTED_VALUE"""),5.1)</f>
        <v>5.1</v>
      </c>
    </row>
    <row r="97">
      <c r="A97">
        <f>IFERROR(__xludf.DUMMYFUNCTION("""COMPUTED_VALUE"""),168169.0)</f>
        <v>168169</v>
      </c>
      <c r="B97" t="str">
        <f>IFERROR(__xludf.DUMMYFUNCTION("""COMPUTED_VALUE"""),"Rhubarb Frozen Cooked With Sugar")</f>
        <v>Rhubarb Frozen Cooked With Sugar</v>
      </c>
      <c r="C97" t="str">
        <f>IFERROR(__xludf.DUMMYFUNCTION("""COMPUTED_VALUE"""),"Fruits")</f>
        <v>Fruits</v>
      </c>
      <c r="D97">
        <f>IFERROR(__xludf.DUMMYFUNCTION("""COMPUTED_VALUE"""),116.0)</f>
        <v>116</v>
      </c>
      <c r="E97">
        <f>IFERROR(__xludf.DUMMYFUNCTION("""COMPUTED_VALUE"""),0.05)</f>
        <v>0.05</v>
      </c>
      <c r="F97">
        <f>IFERROR(__xludf.DUMMYFUNCTION("""COMPUTED_VALUE"""),0.39)</f>
        <v>0.39</v>
      </c>
      <c r="G97">
        <f>IFERROR(__xludf.DUMMYFUNCTION("""COMPUTED_VALUE"""),31.2)</f>
        <v>31.2</v>
      </c>
    </row>
    <row r="98">
      <c r="A98">
        <f>IFERROR(__xludf.DUMMYFUNCTION("""COMPUTED_VALUE"""),168170.0)</f>
        <v>168170</v>
      </c>
      <c r="B98" t="str">
        <f>IFERROR(__xludf.DUMMYFUNCTION("""COMPUTED_VALUE"""),"Roselle")</f>
        <v>Roselle</v>
      </c>
      <c r="C98" t="str">
        <f>IFERROR(__xludf.DUMMYFUNCTION("""COMPUTED_VALUE"""),"Fruits")</f>
        <v>Fruits</v>
      </c>
      <c r="D98">
        <f>IFERROR(__xludf.DUMMYFUNCTION("""COMPUTED_VALUE"""),49.0)</f>
        <v>49</v>
      </c>
      <c r="E98">
        <f>IFERROR(__xludf.DUMMYFUNCTION("""COMPUTED_VALUE"""),0.64)</f>
        <v>0.64</v>
      </c>
      <c r="F98">
        <f>IFERROR(__xludf.DUMMYFUNCTION("""COMPUTED_VALUE"""),0.96)</f>
        <v>0.96</v>
      </c>
      <c r="G98">
        <f>IFERROR(__xludf.DUMMYFUNCTION("""COMPUTED_VALUE"""),11.31)</f>
        <v>11.31</v>
      </c>
    </row>
    <row r="99">
      <c r="A99">
        <f>IFERROR(__xludf.DUMMYFUNCTION("""COMPUTED_VALUE"""),168171.0)</f>
        <v>168171</v>
      </c>
      <c r="B99" t="str">
        <f>IFERROR(__xludf.DUMMYFUNCTION("""COMPUTED_VALUE"""),"Rose Apples")</f>
        <v>Rose Apples</v>
      </c>
      <c r="C99" t="str">
        <f>IFERROR(__xludf.DUMMYFUNCTION("""COMPUTED_VALUE"""),"Fruits")</f>
        <v>Fruits</v>
      </c>
      <c r="D99">
        <f>IFERROR(__xludf.DUMMYFUNCTION("""COMPUTED_VALUE"""),25.0)</f>
        <v>25</v>
      </c>
      <c r="E99">
        <f>IFERROR(__xludf.DUMMYFUNCTION("""COMPUTED_VALUE"""),0.3)</f>
        <v>0.3</v>
      </c>
      <c r="F99">
        <f>IFERROR(__xludf.DUMMYFUNCTION("""COMPUTED_VALUE"""),0.6)</f>
        <v>0.6</v>
      </c>
      <c r="G99">
        <f>IFERROR(__xludf.DUMMYFUNCTION("""COMPUTED_VALUE"""),5.7)</f>
        <v>5.7</v>
      </c>
    </row>
    <row r="100">
      <c r="A100">
        <f>IFERROR(__xludf.DUMMYFUNCTION("""COMPUTED_VALUE"""),168172.0)</f>
        <v>168172</v>
      </c>
      <c r="B100" t="str">
        <f>IFERROR(__xludf.DUMMYFUNCTION("""COMPUTED_VALUE"""),"Strawberries Canned Heavy Syrup Pack Solids And Liquids")</f>
        <v>Strawberries Canned Heavy Syrup Pack Solids And Liquids</v>
      </c>
      <c r="C100" t="str">
        <f>IFERROR(__xludf.DUMMYFUNCTION("""COMPUTED_VALUE"""),"Fruits")</f>
        <v>Fruits</v>
      </c>
      <c r="D100">
        <f>IFERROR(__xludf.DUMMYFUNCTION("""COMPUTED_VALUE"""),92.0)</f>
        <v>92</v>
      </c>
      <c r="E100">
        <f>IFERROR(__xludf.DUMMYFUNCTION("""COMPUTED_VALUE"""),0.26)</f>
        <v>0.26</v>
      </c>
      <c r="F100">
        <f>IFERROR(__xludf.DUMMYFUNCTION("""COMPUTED_VALUE"""),0.56)</f>
        <v>0.56</v>
      </c>
      <c r="G100">
        <f>IFERROR(__xludf.DUMMYFUNCTION("""COMPUTED_VALUE"""),23.53)</f>
        <v>23.53</v>
      </c>
    </row>
    <row r="101">
      <c r="A101">
        <f>IFERROR(__xludf.DUMMYFUNCTION("""COMPUTED_VALUE"""),168173.0)</f>
        <v>168173</v>
      </c>
      <c r="B101" t="str">
        <f>IFERROR(__xludf.DUMMYFUNCTION("""COMPUTED_VALUE"""),"Frozen Strawberries")</f>
        <v>Frozen Strawberries</v>
      </c>
      <c r="C101" t="str">
        <f>IFERROR(__xludf.DUMMYFUNCTION("""COMPUTED_VALUE"""),"Fruits")</f>
        <v>Fruits</v>
      </c>
      <c r="D101">
        <f>IFERROR(__xludf.DUMMYFUNCTION("""COMPUTED_VALUE"""),35.0)</f>
        <v>35</v>
      </c>
      <c r="E101">
        <f>IFERROR(__xludf.DUMMYFUNCTION("""COMPUTED_VALUE"""),0.11)</f>
        <v>0.11</v>
      </c>
      <c r="F101">
        <f>IFERROR(__xludf.DUMMYFUNCTION("""COMPUTED_VALUE"""),0.43)</f>
        <v>0.43</v>
      </c>
      <c r="G101">
        <f>IFERROR(__xludf.DUMMYFUNCTION("""COMPUTED_VALUE"""),9.13)</f>
        <v>9.13</v>
      </c>
    </row>
    <row r="102">
      <c r="A102">
        <f>IFERROR(__xludf.DUMMYFUNCTION("""COMPUTED_VALUE"""),168174.0)</f>
        <v>168174</v>
      </c>
      <c r="B102" t="str">
        <f>IFERROR(__xludf.DUMMYFUNCTION("""COMPUTED_VALUE"""),"Strawberries Frozen Sweetened Sliced")</f>
        <v>Strawberries Frozen Sweetened Sliced</v>
      </c>
      <c r="C102" t="str">
        <f>IFERROR(__xludf.DUMMYFUNCTION("""COMPUTED_VALUE"""),"Fruits")</f>
        <v>Fruits</v>
      </c>
      <c r="D102">
        <f>IFERROR(__xludf.DUMMYFUNCTION("""COMPUTED_VALUE"""),96.0)</f>
        <v>96</v>
      </c>
      <c r="E102">
        <f>IFERROR(__xludf.DUMMYFUNCTION("""COMPUTED_VALUE"""),0.13)</f>
        <v>0.13</v>
      </c>
      <c r="F102">
        <f>IFERROR(__xludf.DUMMYFUNCTION("""COMPUTED_VALUE"""),0.53)</f>
        <v>0.53</v>
      </c>
      <c r="G102">
        <f>IFERROR(__xludf.DUMMYFUNCTION("""COMPUTED_VALUE"""),25.92)</f>
        <v>25.92</v>
      </c>
    </row>
    <row r="103">
      <c r="A103">
        <f>IFERROR(__xludf.DUMMYFUNCTION("""COMPUTED_VALUE"""),168175.0)</f>
        <v>168175</v>
      </c>
      <c r="B103" t="str">
        <f>IFERROR(__xludf.DUMMYFUNCTION("""COMPUTED_VALUE"""),"Sugar Apples")</f>
        <v>Sugar Apples</v>
      </c>
      <c r="C103" t="str">
        <f>IFERROR(__xludf.DUMMYFUNCTION("""COMPUTED_VALUE"""),"Fruits")</f>
        <v>Fruits</v>
      </c>
      <c r="D103">
        <f>IFERROR(__xludf.DUMMYFUNCTION("""COMPUTED_VALUE"""),94.0)</f>
        <v>94</v>
      </c>
      <c r="E103">
        <f>IFERROR(__xludf.DUMMYFUNCTION("""COMPUTED_VALUE"""),0.29)</f>
        <v>0.29</v>
      </c>
      <c r="F103">
        <f>IFERROR(__xludf.DUMMYFUNCTION("""COMPUTED_VALUE"""),2.06)</f>
        <v>2.06</v>
      </c>
      <c r="G103">
        <f>IFERROR(__xludf.DUMMYFUNCTION("""COMPUTED_VALUE"""),23.64)</f>
        <v>23.64</v>
      </c>
    </row>
    <row r="104">
      <c r="A104">
        <f>IFERROR(__xludf.DUMMYFUNCTION("""COMPUTED_VALUE"""),168176.0)</f>
        <v>168176</v>
      </c>
      <c r="B104" t="str">
        <f>IFERROR(__xludf.DUMMYFUNCTION("""COMPUTED_VALUE"""),"Feijoa")</f>
        <v>Feijoa</v>
      </c>
      <c r="C104" t="str">
        <f>IFERROR(__xludf.DUMMYFUNCTION("""COMPUTED_VALUE"""),"Fruits")</f>
        <v>Fruits</v>
      </c>
      <c r="D104">
        <f>IFERROR(__xludf.DUMMYFUNCTION("""COMPUTED_VALUE"""),61.0)</f>
        <v>61</v>
      </c>
      <c r="E104">
        <f>IFERROR(__xludf.DUMMYFUNCTION("""COMPUTED_VALUE"""),0.42)</f>
        <v>0.42</v>
      </c>
      <c r="F104">
        <f>IFERROR(__xludf.DUMMYFUNCTION("""COMPUTED_VALUE"""),0.71)</f>
        <v>0.71</v>
      </c>
      <c r="G104">
        <f>IFERROR(__xludf.DUMMYFUNCTION("""COMPUTED_VALUE"""),15.21)</f>
        <v>15.21</v>
      </c>
    </row>
    <row r="105">
      <c r="A105">
        <f>IFERROR(__xludf.DUMMYFUNCTION("""COMPUTED_VALUE"""),168177.0)</f>
        <v>168177</v>
      </c>
      <c r="B105" t="str">
        <f>IFERROR(__xludf.DUMMYFUNCTION("""COMPUTED_VALUE"""),"Asian Pears")</f>
        <v>Asian Pears</v>
      </c>
      <c r="C105" t="str">
        <f>IFERROR(__xludf.DUMMYFUNCTION("""COMPUTED_VALUE"""),"Fruits")</f>
        <v>Fruits</v>
      </c>
      <c r="D105">
        <f>IFERROR(__xludf.DUMMYFUNCTION("""COMPUTED_VALUE"""),42.0)</f>
        <v>42</v>
      </c>
      <c r="E105">
        <f>IFERROR(__xludf.DUMMYFUNCTION("""COMPUTED_VALUE"""),0.23)</f>
        <v>0.23</v>
      </c>
      <c r="F105">
        <f>IFERROR(__xludf.DUMMYFUNCTION("""COMPUTED_VALUE"""),0.5)</f>
        <v>0.5</v>
      </c>
      <c r="G105">
        <f>IFERROR(__xludf.DUMMYFUNCTION("""COMPUTED_VALUE"""),10.65)</f>
        <v>10.65</v>
      </c>
    </row>
    <row r="106">
      <c r="A106">
        <f>IFERROR(__xludf.DUMMYFUNCTION("""COMPUTED_VALUE"""),168178.0)</f>
        <v>168178</v>
      </c>
      <c r="B106" t="str">
        <f>IFERROR(__xludf.DUMMYFUNCTION("""COMPUTED_VALUE"""),"Fruit Cocktail Canned Heavy Syrup Drained")</f>
        <v>Fruit Cocktail Canned Heavy Syrup Drained</v>
      </c>
      <c r="C106" t="str">
        <f>IFERROR(__xludf.DUMMYFUNCTION("""COMPUTED_VALUE"""),"Fruits")</f>
        <v>Fruits</v>
      </c>
      <c r="D106">
        <f>IFERROR(__xludf.DUMMYFUNCTION("""COMPUTED_VALUE"""),70.0)</f>
        <v>70</v>
      </c>
      <c r="E106">
        <f>IFERROR(__xludf.DUMMYFUNCTION("""COMPUTED_VALUE"""),0.1)</f>
        <v>0.1</v>
      </c>
      <c r="F106">
        <f>IFERROR(__xludf.DUMMYFUNCTION("""COMPUTED_VALUE"""),0.47)</f>
        <v>0.47</v>
      </c>
      <c r="G106">
        <f>IFERROR(__xludf.DUMMYFUNCTION("""COMPUTED_VALUE"""),18.8)</f>
        <v>18.8</v>
      </c>
    </row>
    <row r="107">
      <c r="A107">
        <f>IFERROR(__xludf.DUMMYFUNCTION("""COMPUTED_VALUE"""),168179.0)</f>
        <v>168179</v>
      </c>
      <c r="B107" t="str">
        <f>IFERROR(__xludf.DUMMYFUNCTION("""COMPUTED_VALUE"""),"Blueberries Canned Light Syrup Drained")</f>
        <v>Blueberries Canned Light Syrup Drained</v>
      </c>
      <c r="C107" t="str">
        <f>IFERROR(__xludf.DUMMYFUNCTION("""COMPUTED_VALUE"""),"Fruits")</f>
        <v>Fruits</v>
      </c>
      <c r="D107">
        <f>IFERROR(__xludf.DUMMYFUNCTION("""COMPUTED_VALUE"""),88.0)</f>
        <v>88</v>
      </c>
      <c r="E107">
        <f>IFERROR(__xludf.DUMMYFUNCTION("""COMPUTED_VALUE"""),0.4)</f>
        <v>0.4</v>
      </c>
      <c r="F107">
        <f>IFERROR(__xludf.DUMMYFUNCTION("""COMPUTED_VALUE"""),1.04)</f>
        <v>1.04</v>
      </c>
      <c r="G107">
        <f>IFERROR(__xludf.DUMMYFUNCTION("""COMPUTED_VALUE"""),22.66)</f>
        <v>22.66</v>
      </c>
    </row>
    <row r="108">
      <c r="A108">
        <f>IFERROR(__xludf.DUMMYFUNCTION("""COMPUTED_VALUE"""),168180.0)</f>
        <v>168180</v>
      </c>
      <c r="B108" t="str">
        <f>IFERROR(__xludf.DUMMYFUNCTION("""COMPUTED_VALUE"""),"Blueberries Wild Canned Heavy Syrup Drained")</f>
        <v>Blueberries Wild Canned Heavy Syrup Drained</v>
      </c>
      <c r="C108" t="str">
        <f>IFERROR(__xludf.DUMMYFUNCTION("""COMPUTED_VALUE"""),"Fruits")</f>
        <v>Fruits</v>
      </c>
      <c r="D108">
        <f>IFERROR(__xludf.DUMMYFUNCTION("""COMPUTED_VALUE"""),107.0)</f>
        <v>107</v>
      </c>
      <c r="E108">
        <f>IFERROR(__xludf.DUMMYFUNCTION("""COMPUTED_VALUE"""),0.34)</f>
        <v>0.34</v>
      </c>
      <c r="F108">
        <f>IFERROR(__xludf.DUMMYFUNCTION("""COMPUTED_VALUE"""),0.56)</f>
        <v>0.56</v>
      </c>
      <c r="G108">
        <f>IFERROR(__xludf.DUMMYFUNCTION("""COMPUTED_VALUE"""),28.32)</f>
        <v>28.32</v>
      </c>
    </row>
    <row r="109">
      <c r="A109">
        <f>IFERROR(__xludf.DUMMYFUNCTION("""COMPUTED_VALUE"""),168181.0)</f>
        <v>168181</v>
      </c>
      <c r="B109" t="str">
        <f>IFERROR(__xludf.DUMMYFUNCTION("""COMPUTED_VALUE"""),"Peaches Canned Heavy Syrup Drained")</f>
        <v>Peaches Canned Heavy Syrup Drained</v>
      </c>
      <c r="C109" t="str">
        <f>IFERROR(__xludf.DUMMYFUNCTION("""COMPUTED_VALUE"""),"Fruits")</f>
        <v>Fruits</v>
      </c>
      <c r="D109">
        <f>IFERROR(__xludf.DUMMYFUNCTION("""COMPUTED_VALUE"""),72.0)</f>
        <v>72</v>
      </c>
      <c r="E109">
        <f>IFERROR(__xludf.DUMMYFUNCTION("""COMPUTED_VALUE"""),0.18)</f>
        <v>0.18</v>
      </c>
      <c r="F109">
        <f>IFERROR(__xludf.DUMMYFUNCTION("""COMPUTED_VALUE"""),0.52)</f>
        <v>0.52</v>
      </c>
      <c r="G109">
        <f>IFERROR(__xludf.DUMMYFUNCTION("""COMPUTED_VALUE"""),18.43)</f>
        <v>18.43</v>
      </c>
    </row>
    <row r="110">
      <c r="A110">
        <f>IFERROR(__xludf.DUMMYFUNCTION("""COMPUTED_VALUE"""),168182.0)</f>
        <v>168182</v>
      </c>
      <c r="B110" t="str">
        <f>IFERROR(__xludf.DUMMYFUNCTION("""COMPUTED_VALUE"""),"Pears Canned Heavy Syrup Drained")</f>
        <v>Pears Canned Heavy Syrup Drained</v>
      </c>
      <c r="C110" t="str">
        <f>IFERROR(__xludf.DUMMYFUNCTION("""COMPUTED_VALUE"""),"Fruits")</f>
        <v>Fruits</v>
      </c>
      <c r="D110">
        <f>IFERROR(__xludf.DUMMYFUNCTION("""COMPUTED_VALUE"""),74.0)</f>
        <v>74</v>
      </c>
      <c r="E110">
        <f>IFERROR(__xludf.DUMMYFUNCTION("""COMPUTED_VALUE"""),0.18)</f>
        <v>0.18</v>
      </c>
      <c r="F110">
        <f>IFERROR(__xludf.DUMMYFUNCTION("""COMPUTED_VALUE"""),0.24)</f>
        <v>0.24</v>
      </c>
      <c r="G110">
        <f>IFERROR(__xludf.DUMMYFUNCTION("""COMPUTED_VALUE"""),19.08)</f>
        <v>19.08</v>
      </c>
    </row>
    <row r="111">
      <c r="A111">
        <f>IFERROR(__xludf.DUMMYFUNCTION("""COMPUTED_VALUE"""),168183.0)</f>
        <v>168183</v>
      </c>
      <c r="B111" t="str">
        <f>IFERROR(__xludf.DUMMYFUNCTION("""COMPUTED_VALUE"""),"Plums Canned Heavy Syrup Drained")</f>
        <v>Plums Canned Heavy Syrup Drained</v>
      </c>
      <c r="C111" t="str">
        <f>IFERROR(__xludf.DUMMYFUNCTION("""COMPUTED_VALUE"""),"Fruits")</f>
        <v>Fruits</v>
      </c>
      <c r="D111">
        <f>IFERROR(__xludf.DUMMYFUNCTION("""COMPUTED_VALUE"""),89.0)</f>
        <v>89</v>
      </c>
      <c r="E111">
        <f>IFERROR(__xludf.DUMMYFUNCTION("""COMPUTED_VALUE"""),0.14)</f>
        <v>0.14</v>
      </c>
      <c r="F111">
        <f>IFERROR(__xludf.DUMMYFUNCTION("""COMPUTED_VALUE"""),0.44)</f>
        <v>0.44</v>
      </c>
      <c r="G111">
        <f>IFERROR(__xludf.DUMMYFUNCTION("""COMPUTED_VALUE"""),23.12)</f>
        <v>23.12</v>
      </c>
    </row>
    <row r="112">
      <c r="A112">
        <f>IFERROR(__xludf.DUMMYFUNCTION("""COMPUTED_VALUE"""),168184.0)</f>
        <v>168184</v>
      </c>
      <c r="B112" t="str">
        <f>IFERROR(__xludf.DUMMYFUNCTION("""COMPUTED_VALUE"""),"Tangerines (Mandarin Oranges) Canned Juice Pack Drained")</f>
        <v>Tangerines (Mandarin Oranges) Canned Juice Pack Drained</v>
      </c>
      <c r="C112" t="str">
        <f>IFERROR(__xludf.DUMMYFUNCTION("""COMPUTED_VALUE"""),"Fruits")</f>
        <v>Fruits</v>
      </c>
      <c r="D112">
        <f>IFERROR(__xludf.DUMMYFUNCTION("""COMPUTED_VALUE"""),38.0)</f>
        <v>38</v>
      </c>
      <c r="E112">
        <f>IFERROR(__xludf.DUMMYFUNCTION("""COMPUTED_VALUE"""),0.04)</f>
        <v>0.04</v>
      </c>
      <c r="F112">
        <f>IFERROR(__xludf.DUMMYFUNCTION("""COMPUTED_VALUE"""),0.75)</f>
        <v>0.75</v>
      </c>
      <c r="G112">
        <f>IFERROR(__xludf.DUMMYFUNCTION("""COMPUTED_VALUE"""),9.41)</f>
        <v>9.41</v>
      </c>
    </row>
    <row r="113">
      <c r="A113">
        <f>IFERROR(__xludf.DUMMYFUNCTION("""COMPUTED_VALUE"""),168185.0)</f>
        <v>168185</v>
      </c>
      <c r="B113" t="str">
        <f>IFERROR(__xludf.DUMMYFUNCTION("""COMPUTED_VALUE"""),"Peach Nectar Canned With Added Ascorbic Acid")</f>
        <v>Peach Nectar Canned With Added Ascorbic Acid</v>
      </c>
      <c r="C113" t="str">
        <f>IFERROR(__xludf.DUMMYFUNCTION("""COMPUTED_VALUE"""),"Fruits")</f>
        <v>Fruits</v>
      </c>
      <c r="D113">
        <f>IFERROR(__xludf.DUMMYFUNCTION("""COMPUTED_VALUE"""),50.0)</f>
        <v>50</v>
      </c>
      <c r="E113">
        <f>IFERROR(__xludf.DUMMYFUNCTION("""COMPUTED_VALUE"""),0.51)</f>
        <v>0.51</v>
      </c>
      <c r="F113">
        <f>IFERROR(__xludf.DUMMYFUNCTION("""COMPUTED_VALUE"""),0.21)</f>
        <v>0.21</v>
      </c>
      <c r="G113">
        <f>IFERROR(__xludf.DUMMYFUNCTION("""COMPUTED_VALUE"""),11.93)</f>
        <v>11.93</v>
      </c>
    </row>
    <row r="114">
      <c r="A114">
        <f>IFERROR(__xludf.DUMMYFUNCTION("""COMPUTED_VALUE"""),168186.0)</f>
        <v>168186</v>
      </c>
      <c r="B114" t="str">
        <f>IFERROR(__xludf.DUMMYFUNCTION("""COMPUTED_VALUE"""),"Pear Nectar Canned With Added Ascorbic Acid")</f>
        <v>Pear Nectar Canned With Added Ascorbic Acid</v>
      </c>
      <c r="C114" t="str">
        <f>IFERROR(__xludf.DUMMYFUNCTION("""COMPUTED_VALUE"""),"Fruits")</f>
        <v>Fruits</v>
      </c>
      <c r="D114">
        <f>IFERROR(__xludf.DUMMYFUNCTION("""COMPUTED_VALUE"""),60.0)</f>
        <v>60</v>
      </c>
      <c r="E114">
        <f>IFERROR(__xludf.DUMMYFUNCTION("""COMPUTED_VALUE"""),0.01)</f>
        <v>0.01</v>
      </c>
      <c r="F114">
        <f>IFERROR(__xludf.DUMMYFUNCTION("""COMPUTED_VALUE"""),0.11)</f>
        <v>0.11</v>
      </c>
      <c r="G114">
        <f>IFERROR(__xludf.DUMMYFUNCTION("""COMPUTED_VALUE"""),15.76)</f>
        <v>15.76</v>
      </c>
    </row>
    <row r="115">
      <c r="A115">
        <f>IFERROR(__xludf.DUMMYFUNCTION("""COMPUTED_VALUE"""),168187.0)</f>
        <v>168187</v>
      </c>
      <c r="B115" t="str">
        <f>IFERROR(__xludf.DUMMYFUNCTION("""COMPUTED_VALUE"""),"Pineapple Juice Canned Or Bottled Unsweetened With Added Ascorbic Acid")</f>
        <v>Pineapple Juice Canned Or Bottled Unsweetened With Added Ascorbic Acid</v>
      </c>
      <c r="C115" t="str">
        <f>IFERROR(__xludf.DUMMYFUNCTION("""COMPUTED_VALUE"""),"Fruits")</f>
        <v>Fruits</v>
      </c>
      <c r="D115">
        <f>IFERROR(__xludf.DUMMYFUNCTION("""COMPUTED_VALUE"""),53.0)</f>
        <v>53</v>
      </c>
      <c r="E115">
        <f>IFERROR(__xludf.DUMMYFUNCTION("""COMPUTED_VALUE"""),0.12)</f>
        <v>0.12</v>
      </c>
      <c r="F115">
        <f>IFERROR(__xludf.DUMMYFUNCTION("""COMPUTED_VALUE"""),0.36)</f>
        <v>0.36</v>
      </c>
      <c r="G115">
        <f>IFERROR(__xludf.DUMMYFUNCTION("""COMPUTED_VALUE"""),12.87)</f>
        <v>12.87</v>
      </c>
    </row>
    <row r="116">
      <c r="A116">
        <f>IFERROR(__xludf.DUMMYFUNCTION("""COMPUTED_VALUE"""),168188.0)</f>
        <v>168188</v>
      </c>
      <c r="B116" t="str">
        <f>IFERROR(__xludf.DUMMYFUNCTION("""COMPUTED_VALUE"""),"Apple Juice Frozen Concentrate Unsweetened Undiluted With Added Ascorbic Acid")</f>
        <v>Apple Juice Frozen Concentrate Unsweetened Undiluted With Added Ascorbic Acid</v>
      </c>
      <c r="C116" t="str">
        <f>IFERROR(__xludf.DUMMYFUNCTION("""COMPUTED_VALUE"""),"Fruits")</f>
        <v>Fruits</v>
      </c>
      <c r="D116">
        <f>IFERROR(__xludf.DUMMYFUNCTION("""COMPUTED_VALUE"""),166.0)</f>
        <v>166</v>
      </c>
      <c r="E116">
        <f>IFERROR(__xludf.DUMMYFUNCTION("""COMPUTED_VALUE"""),0.37)</f>
        <v>0.37</v>
      </c>
      <c r="F116">
        <f>IFERROR(__xludf.DUMMYFUNCTION("""COMPUTED_VALUE"""),0.51)</f>
        <v>0.51</v>
      </c>
      <c r="G116">
        <f>IFERROR(__xludf.DUMMYFUNCTION("""COMPUTED_VALUE"""),41.0)</f>
        <v>41</v>
      </c>
    </row>
    <row r="117">
      <c r="A117">
        <f>IFERROR(__xludf.DUMMYFUNCTION("""COMPUTED_VALUE"""),168189.0)</f>
        <v>168189</v>
      </c>
      <c r="B117" t="str">
        <f>IFERROR(__xludf.DUMMYFUNCTION("""COMPUTED_VALUE"""),"Grapefruit Juice White Bottled Unsweetened Ocean Spray")</f>
        <v>Grapefruit Juice White Bottled Unsweetened Ocean Spray</v>
      </c>
      <c r="C117" t="str">
        <f>IFERROR(__xludf.DUMMYFUNCTION("""COMPUTED_VALUE"""),"Fruits")</f>
        <v>Fruits</v>
      </c>
      <c r="D117">
        <f>IFERROR(__xludf.DUMMYFUNCTION("""COMPUTED_VALUE"""),37.0)</f>
        <v>37</v>
      </c>
      <c r="E117">
        <f>IFERROR(__xludf.DUMMYFUNCTION("""COMPUTED_VALUE"""),0.64)</f>
        <v>0.64</v>
      </c>
      <c r="F117">
        <f>IFERROR(__xludf.DUMMYFUNCTION("""COMPUTED_VALUE"""),0.54)</f>
        <v>0.54</v>
      </c>
      <c r="G117">
        <f>IFERROR(__xludf.DUMMYFUNCTION("""COMPUTED_VALUE"""),7.51)</f>
        <v>7.51</v>
      </c>
    </row>
    <row r="118">
      <c r="A118">
        <f>IFERROR(__xludf.DUMMYFUNCTION("""COMPUTED_VALUE"""),168190.0)</f>
        <v>168190</v>
      </c>
      <c r="B118" t="str">
        <f>IFERROR(__xludf.DUMMYFUNCTION("""COMPUTED_VALUE"""),"Jackfruit Canned Syrup Pack")</f>
        <v>Jackfruit Canned Syrup Pack</v>
      </c>
      <c r="C118" t="str">
        <f>IFERROR(__xludf.DUMMYFUNCTION("""COMPUTED_VALUE"""),"Fruits")</f>
        <v>Fruits</v>
      </c>
      <c r="D118">
        <f>IFERROR(__xludf.DUMMYFUNCTION("""COMPUTED_VALUE"""),92.0)</f>
        <v>92</v>
      </c>
      <c r="E118">
        <f>IFERROR(__xludf.DUMMYFUNCTION("""COMPUTED_VALUE"""),0.14)</f>
        <v>0.14</v>
      </c>
      <c r="F118">
        <f>IFERROR(__xludf.DUMMYFUNCTION("""COMPUTED_VALUE"""),0.36)</f>
        <v>0.36</v>
      </c>
      <c r="G118">
        <f>IFERROR(__xludf.DUMMYFUNCTION("""COMPUTED_VALUE"""),23.94)</f>
        <v>23.94</v>
      </c>
    </row>
    <row r="119">
      <c r="A119">
        <f>IFERROR(__xludf.DUMMYFUNCTION("""COMPUTED_VALUE"""),168191.0)</f>
        <v>168191</v>
      </c>
      <c r="B119" t="str">
        <f>IFERROR(__xludf.DUMMYFUNCTION("""COMPUTED_VALUE"""),"Medjool Dates")</f>
        <v>Medjool Dates</v>
      </c>
      <c r="C119" t="str">
        <f>IFERROR(__xludf.DUMMYFUNCTION("""COMPUTED_VALUE"""),"Fruits")</f>
        <v>Fruits</v>
      </c>
      <c r="D119">
        <f>IFERROR(__xludf.DUMMYFUNCTION("""COMPUTED_VALUE"""),277.0)</f>
        <v>277</v>
      </c>
      <c r="E119">
        <f>IFERROR(__xludf.DUMMYFUNCTION("""COMPUTED_VALUE"""),0.15)</f>
        <v>0.15</v>
      </c>
      <c r="F119">
        <f>IFERROR(__xludf.DUMMYFUNCTION("""COMPUTED_VALUE"""),1.81)</f>
        <v>1.81</v>
      </c>
      <c r="G119">
        <f>IFERROR(__xludf.DUMMYFUNCTION("""COMPUTED_VALUE"""),74.97)</f>
        <v>74.97</v>
      </c>
    </row>
    <row r="120">
      <c r="A120">
        <f>IFERROR(__xludf.DUMMYFUNCTION("""COMPUTED_VALUE"""),168192.0)</f>
        <v>168192</v>
      </c>
      <c r="B120" t="str">
        <f>IFERROR(__xludf.DUMMYFUNCTION("""COMPUTED_VALUE"""),"Durian")</f>
        <v>Durian</v>
      </c>
      <c r="C120" t="str">
        <f>IFERROR(__xludf.DUMMYFUNCTION("""COMPUTED_VALUE"""),"Fruits")</f>
        <v>Fruits</v>
      </c>
      <c r="D120">
        <f>IFERROR(__xludf.DUMMYFUNCTION("""COMPUTED_VALUE"""),147.0)</f>
        <v>147</v>
      </c>
      <c r="E120">
        <f>IFERROR(__xludf.DUMMYFUNCTION("""COMPUTED_VALUE"""),5.33)</f>
        <v>5.33</v>
      </c>
      <c r="F120">
        <f>IFERROR(__xludf.DUMMYFUNCTION("""COMPUTED_VALUE"""),1.47)</f>
        <v>1.47</v>
      </c>
      <c r="G120">
        <f>IFERROR(__xludf.DUMMYFUNCTION("""COMPUTED_VALUE"""),27.09)</f>
        <v>27.09</v>
      </c>
    </row>
    <row r="121">
      <c r="A121">
        <f>IFERROR(__xludf.DUMMYFUNCTION("""COMPUTED_VALUE"""),168193.0)</f>
        <v>168193</v>
      </c>
      <c r="B121" t="str">
        <f>IFERROR(__xludf.DUMMYFUNCTION("""COMPUTED_VALUE"""),"Pineapple (Traditional)")</f>
        <v>Pineapple (Traditional)</v>
      </c>
      <c r="C121" t="str">
        <f>IFERROR(__xludf.DUMMYFUNCTION("""COMPUTED_VALUE"""),"Fruits")</f>
        <v>Fruits</v>
      </c>
      <c r="D121">
        <f>IFERROR(__xludf.DUMMYFUNCTION("""COMPUTED_VALUE"""),45.0)</f>
        <v>45</v>
      </c>
      <c r="E121">
        <f>IFERROR(__xludf.DUMMYFUNCTION("""COMPUTED_VALUE"""),0.13)</f>
        <v>0.13</v>
      </c>
      <c r="F121">
        <f>IFERROR(__xludf.DUMMYFUNCTION("""COMPUTED_VALUE"""),0.55)</f>
        <v>0.55</v>
      </c>
      <c r="G121">
        <f>IFERROR(__xludf.DUMMYFUNCTION("""COMPUTED_VALUE"""),11.82)</f>
        <v>11.82</v>
      </c>
    </row>
    <row r="122">
      <c r="A122">
        <f>IFERROR(__xludf.DUMMYFUNCTION("""COMPUTED_VALUE"""),168194.0)</f>
        <v>168194</v>
      </c>
      <c r="B122" t="str">
        <f>IFERROR(__xludf.DUMMYFUNCTION("""COMPUTED_VALUE"""),"Pineapple Raw Extra Sweet Variety")</f>
        <v>Pineapple Raw Extra Sweet Variety</v>
      </c>
      <c r="C122" t="str">
        <f>IFERROR(__xludf.DUMMYFUNCTION("""COMPUTED_VALUE"""),"Fruits")</f>
        <v>Fruits</v>
      </c>
      <c r="D122">
        <f>IFERROR(__xludf.DUMMYFUNCTION("""COMPUTED_VALUE"""),51.0)</f>
        <v>51</v>
      </c>
      <c r="E122">
        <f>IFERROR(__xludf.DUMMYFUNCTION("""COMPUTED_VALUE"""),0.11)</f>
        <v>0.11</v>
      </c>
      <c r="F122">
        <f>IFERROR(__xludf.DUMMYFUNCTION("""COMPUTED_VALUE"""),0.53)</f>
        <v>0.53</v>
      </c>
      <c r="G122">
        <f>IFERROR(__xludf.DUMMYFUNCTION("""COMPUTED_VALUE"""),13.5)</f>
        <v>13.5</v>
      </c>
    </row>
    <row r="123">
      <c r="A123">
        <f>IFERROR(__xludf.DUMMYFUNCTION("""COMPUTED_VALUE"""),168195.0)</f>
        <v>168195</v>
      </c>
      <c r="B123" t="str">
        <f>IFERROR(__xludf.DUMMYFUNCTION("""COMPUTED_VALUE"""),"Clementines")</f>
        <v>Clementines</v>
      </c>
      <c r="C123" t="str">
        <f>IFERROR(__xludf.DUMMYFUNCTION("""COMPUTED_VALUE"""),"Fruits")</f>
        <v>Fruits</v>
      </c>
      <c r="D123">
        <f>IFERROR(__xludf.DUMMYFUNCTION("""COMPUTED_VALUE"""),47.0)</f>
        <v>47</v>
      </c>
      <c r="E123">
        <f>IFERROR(__xludf.DUMMYFUNCTION("""COMPUTED_VALUE"""),0.15)</f>
        <v>0.15</v>
      </c>
      <c r="F123">
        <f>IFERROR(__xludf.DUMMYFUNCTION("""COMPUTED_VALUE"""),0.85)</f>
        <v>0.85</v>
      </c>
      <c r="G123">
        <f>IFERROR(__xludf.DUMMYFUNCTION("""COMPUTED_VALUE"""),12.02)</f>
        <v>12.02</v>
      </c>
    </row>
    <row r="124">
      <c r="A124">
        <f>IFERROR(__xludf.DUMMYFUNCTION("""COMPUTED_VALUE"""),168196.0)</f>
        <v>168196</v>
      </c>
      <c r="B124" t="str">
        <f>IFERROR(__xludf.DUMMYFUNCTION("""COMPUTED_VALUE"""),"Guanabana Nectar Canned")</f>
        <v>Guanabana Nectar Canned</v>
      </c>
      <c r="C124" t="str">
        <f>IFERROR(__xludf.DUMMYFUNCTION("""COMPUTED_VALUE"""),"Fruits")</f>
        <v>Fruits</v>
      </c>
      <c r="D124">
        <f>IFERROR(__xludf.DUMMYFUNCTION("""COMPUTED_VALUE"""),59.0)</f>
        <v>59</v>
      </c>
      <c r="E124">
        <f>IFERROR(__xludf.DUMMYFUNCTION("""COMPUTED_VALUE"""),0.17)</f>
        <v>0.17</v>
      </c>
      <c r="F124">
        <f>IFERROR(__xludf.DUMMYFUNCTION("""COMPUTED_VALUE"""),0.11)</f>
        <v>0.11</v>
      </c>
      <c r="G124">
        <f>IFERROR(__xludf.DUMMYFUNCTION("""COMPUTED_VALUE"""),14.93)</f>
        <v>14.93</v>
      </c>
    </row>
    <row r="125">
      <c r="A125">
        <f>IFERROR(__xludf.DUMMYFUNCTION("""COMPUTED_VALUE"""),168197.0)</f>
        <v>168197</v>
      </c>
      <c r="B125" t="str">
        <f>IFERROR(__xludf.DUMMYFUNCTION("""COMPUTED_VALUE"""),"Juice Apple And Grape Blend With Added Ascorbic Acid")</f>
        <v>Juice Apple And Grape Blend With Added Ascorbic Acid</v>
      </c>
      <c r="C125" t="str">
        <f>IFERROR(__xludf.DUMMYFUNCTION("""COMPUTED_VALUE"""),"Fruits")</f>
        <v>Fruits</v>
      </c>
      <c r="D125">
        <f>IFERROR(__xludf.DUMMYFUNCTION("""COMPUTED_VALUE"""),50.0)</f>
        <v>50</v>
      </c>
      <c r="E125">
        <f>IFERROR(__xludf.DUMMYFUNCTION("""COMPUTED_VALUE"""),0.12)</f>
        <v>0.12</v>
      </c>
      <c r="F125">
        <f>IFERROR(__xludf.DUMMYFUNCTION("""COMPUTED_VALUE"""),0.16)</f>
        <v>0.16</v>
      </c>
      <c r="G125">
        <f>IFERROR(__xludf.DUMMYFUNCTION("""COMPUTED_VALUE"""),12.46)</f>
        <v>12.46</v>
      </c>
    </row>
    <row r="126">
      <c r="A126">
        <f>IFERROR(__xludf.DUMMYFUNCTION("""COMPUTED_VALUE"""),168198.0)</f>
        <v>168198</v>
      </c>
      <c r="B126" t="str">
        <f>IFERROR(__xludf.DUMMYFUNCTION("""COMPUTED_VALUE"""),"Juice Apple Grape And Pear Blend With Added Ascorbic Acid And Calcium")</f>
        <v>Juice Apple Grape And Pear Blend With Added Ascorbic Acid And Calcium</v>
      </c>
      <c r="C126" t="str">
        <f>IFERROR(__xludf.DUMMYFUNCTION("""COMPUTED_VALUE"""),"Fruits")</f>
        <v>Fruits</v>
      </c>
      <c r="D126">
        <f>IFERROR(__xludf.DUMMYFUNCTION("""COMPUTED_VALUE"""),52.0)</f>
        <v>52</v>
      </c>
      <c r="E126">
        <f>IFERROR(__xludf.DUMMYFUNCTION("""COMPUTED_VALUE"""),0.12)</f>
        <v>0.12</v>
      </c>
      <c r="F126">
        <f>IFERROR(__xludf.DUMMYFUNCTION("""COMPUTED_VALUE"""),0.17)</f>
        <v>0.17</v>
      </c>
      <c r="G126">
        <f>IFERROR(__xludf.DUMMYFUNCTION("""COMPUTED_VALUE"""),12.96)</f>
        <v>12.96</v>
      </c>
    </row>
    <row r="127">
      <c r="A127">
        <f>IFERROR(__xludf.DUMMYFUNCTION("""COMPUTED_VALUE"""),168199.0)</f>
        <v>168199</v>
      </c>
      <c r="B127" t="str">
        <f>IFERROR(__xludf.DUMMYFUNCTION("""COMPUTED_VALUE"""),"Plantains Green Fried")</f>
        <v>Plantains Green Fried</v>
      </c>
      <c r="C127" t="str">
        <f>IFERROR(__xludf.DUMMYFUNCTION("""COMPUTED_VALUE"""),"Fruits")</f>
        <v>Fruits</v>
      </c>
      <c r="D127">
        <f>IFERROR(__xludf.DUMMYFUNCTION("""COMPUTED_VALUE"""),309.0)</f>
        <v>309</v>
      </c>
      <c r="E127">
        <f>IFERROR(__xludf.DUMMYFUNCTION("""COMPUTED_VALUE"""),11.81)</f>
        <v>11.81</v>
      </c>
      <c r="F127">
        <f>IFERROR(__xludf.DUMMYFUNCTION("""COMPUTED_VALUE"""),1.5)</f>
        <v>1.5</v>
      </c>
      <c r="G127">
        <f>IFERROR(__xludf.DUMMYFUNCTION("""COMPUTED_VALUE"""),49.17)</f>
        <v>49.17</v>
      </c>
    </row>
    <row r="128">
      <c r="A128">
        <f>IFERROR(__xludf.DUMMYFUNCTION("""COMPUTED_VALUE"""),168200.0)</f>
        <v>168200</v>
      </c>
      <c r="B128" t="str">
        <f>IFERROR(__xludf.DUMMYFUNCTION("""COMPUTED_VALUE"""),"Fried Yellow Plantains")</f>
        <v>Fried Yellow Plantains</v>
      </c>
      <c r="C128" t="str">
        <f>IFERROR(__xludf.DUMMYFUNCTION("""COMPUTED_VALUE"""),"Fruits")</f>
        <v>Fruits</v>
      </c>
      <c r="D128">
        <f>IFERROR(__xludf.DUMMYFUNCTION("""COMPUTED_VALUE"""),236.0)</f>
        <v>236</v>
      </c>
      <c r="E128">
        <f>IFERROR(__xludf.DUMMYFUNCTION("""COMPUTED_VALUE"""),7.51)</f>
        <v>7.51</v>
      </c>
      <c r="F128">
        <f>IFERROR(__xludf.DUMMYFUNCTION("""COMPUTED_VALUE"""),1.42)</f>
        <v>1.42</v>
      </c>
      <c r="G128">
        <f>IFERROR(__xludf.DUMMYFUNCTION("""COMPUTED_VALUE"""),40.77)</f>
        <v>40.77</v>
      </c>
    </row>
    <row r="129">
      <c r="A129">
        <f>IFERROR(__xludf.DUMMYFUNCTION("""COMPUTED_VALUE"""),168201.0)</f>
        <v>168201</v>
      </c>
      <c r="B129" t="str">
        <f>IFERROR(__xludf.DUMMYFUNCTION("""COMPUTED_VALUE"""),"Red Delicious Apples")</f>
        <v>Red Delicious Apples</v>
      </c>
      <c r="C129" t="str">
        <f>IFERROR(__xludf.DUMMYFUNCTION("""COMPUTED_VALUE"""),"Fruits")</f>
        <v>Fruits</v>
      </c>
      <c r="D129">
        <f>IFERROR(__xludf.DUMMYFUNCTION("""COMPUTED_VALUE"""),59.0)</f>
        <v>59</v>
      </c>
      <c r="E129">
        <f>IFERROR(__xludf.DUMMYFUNCTION("""COMPUTED_VALUE"""),0.2)</f>
        <v>0.2</v>
      </c>
      <c r="F129">
        <f>IFERROR(__xludf.DUMMYFUNCTION("""COMPUTED_VALUE"""),0.27)</f>
        <v>0.27</v>
      </c>
      <c r="G129">
        <f>IFERROR(__xludf.DUMMYFUNCTION("""COMPUTED_VALUE"""),14.06)</f>
        <v>14.06</v>
      </c>
    </row>
    <row r="130">
      <c r="A130">
        <f>IFERROR(__xludf.DUMMYFUNCTION("""COMPUTED_VALUE"""),168202.0)</f>
        <v>168202</v>
      </c>
      <c r="B130" t="str">
        <f>IFERROR(__xludf.DUMMYFUNCTION("""COMPUTED_VALUE"""),"Golden Delicious Apples")</f>
        <v>Golden Delicious Apples</v>
      </c>
      <c r="C130" t="str">
        <f>IFERROR(__xludf.DUMMYFUNCTION("""COMPUTED_VALUE"""),"Fruits")</f>
        <v>Fruits</v>
      </c>
      <c r="D130">
        <f>IFERROR(__xludf.DUMMYFUNCTION("""COMPUTED_VALUE"""),57.0)</f>
        <v>57</v>
      </c>
      <c r="E130">
        <f>IFERROR(__xludf.DUMMYFUNCTION("""COMPUTED_VALUE"""),0.15)</f>
        <v>0.15</v>
      </c>
      <c r="F130">
        <f>IFERROR(__xludf.DUMMYFUNCTION("""COMPUTED_VALUE"""),0.28)</f>
        <v>0.28</v>
      </c>
      <c r="G130">
        <f>IFERROR(__xludf.DUMMYFUNCTION("""COMPUTED_VALUE"""),13.6)</f>
        <v>13.6</v>
      </c>
    </row>
    <row r="131">
      <c r="A131">
        <f>IFERROR(__xludf.DUMMYFUNCTION("""COMPUTED_VALUE"""),168203.0)</f>
        <v>168203</v>
      </c>
      <c r="B131" t="str">
        <f>IFERROR(__xludf.DUMMYFUNCTION("""COMPUTED_VALUE"""),"Granny Smith Apples")</f>
        <v>Granny Smith Apples</v>
      </c>
      <c r="C131" t="str">
        <f>IFERROR(__xludf.DUMMYFUNCTION("""COMPUTED_VALUE"""),"Fruits")</f>
        <v>Fruits</v>
      </c>
      <c r="D131">
        <f>IFERROR(__xludf.DUMMYFUNCTION("""COMPUTED_VALUE"""),58.0)</f>
        <v>58</v>
      </c>
      <c r="E131">
        <f>IFERROR(__xludf.DUMMYFUNCTION("""COMPUTED_VALUE"""),0.19)</f>
        <v>0.19</v>
      </c>
      <c r="F131">
        <f>IFERROR(__xludf.DUMMYFUNCTION("""COMPUTED_VALUE"""),0.44)</f>
        <v>0.44</v>
      </c>
      <c r="G131">
        <f>IFERROR(__xludf.DUMMYFUNCTION("""COMPUTED_VALUE"""),13.61)</f>
        <v>13.61</v>
      </c>
    </row>
    <row r="132">
      <c r="A132">
        <f>IFERROR(__xludf.DUMMYFUNCTION("""COMPUTED_VALUE"""),168204.0)</f>
        <v>168204</v>
      </c>
      <c r="B132" t="str">
        <f>IFERROR(__xludf.DUMMYFUNCTION("""COMPUTED_VALUE"""),"Gala Apples")</f>
        <v>Gala Apples</v>
      </c>
      <c r="C132" t="str">
        <f>IFERROR(__xludf.DUMMYFUNCTION("""COMPUTED_VALUE"""),"Fruits")</f>
        <v>Fruits</v>
      </c>
      <c r="D132">
        <f>IFERROR(__xludf.DUMMYFUNCTION("""COMPUTED_VALUE"""),57.0)</f>
        <v>57</v>
      </c>
      <c r="E132">
        <f>IFERROR(__xludf.DUMMYFUNCTION("""COMPUTED_VALUE"""),0.12)</f>
        <v>0.12</v>
      </c>
      <c r="F132">
        <f>IFERROR(__xludf.DUMMYFUNCTION("""COMPUTED_VALUE"""),0.25)</f>
        <v>0.25</v>
      </c>
      <c r="G132">
        <f>IFERROR(__xludf.DUMMYFUNCTION("""COMPUTED_VALUE"""),13.68)</f>
        <v>13.68</v>
      </c>
    </row>
    <row r="133">
      <c r="A133">
        <f>IFERROR(__xludf.DUMMYFUNCTION("""COMPUTED_VALUE"""),168205.0)</f>
        <v>168205</v>
      </c>
      <c r="B133" t="str">
        <f>IFERROR(__xludf.DUMMYFUNCTION("""COMPUTED_VALUE"""),"Pineapple Juice Canned Not From Concentrate Unsweetened With Added Vitamins A C And E")</f>
        <v>Pineapple Juice Canned Not From Concentrate Unsweetened With Added Vitamins A C And E</v>
      </c>
      <c r="C133" t="str">
        <f>IFERROR(__xludf.DUMMYFUNCTION("""COMPUTED_VALUE"""),"Fruits")</f>
        <v>Fruits</v>
      </c>
      <c r="D133">
        <f>IFERROR(__xludf.DUMMYFUNCTION("""COMPUTED_VALUE"""),50.0)</f>
        <v>50</v>
      </c>
      <c r="E133">
        <f>IFERROR(__xludf.DUMMYFUNCTION("""COMPUTED_VALUE"""),0.14)</f>
        <v>0.14</v>
      </c>
      <c r="F133">
        <f>IFERROR(__xludf.DUMMYFUNCTION("""COMPUTED_VALUE"""),0.36)</f>
        <v>0.36</v>
      </c>
      <c r="G133">
        <f>IFERROR(__xludf.DUMMYFUNCTION("""COMPUTED_VALUE"""),12.18)</f>
        <v>12.18</v>
      </c>
    </row>
    <row r="134">
      <c r="A134">
        <f>IFERROR(__xludf.DUMMYFUNCTION("""COMPUTED_VALUE"""),168206.0)</f>
        <v>168206</v>
      </c>
      <c r="B134" t="str">
        <f>IFERROR(__xludf.DUMMYFUNCTION("""COMPUTED_VALUE"""),"Fortified Fruit Juice Smoothie")</f>
        <v>Fortified Fruit Juice Smoothie</v>
      </c>
      <c r="C134" t="str">
        <f>IFERROR(__xludf.DUMMYFUNCTION("""COMPUTED_VALUE"""),"Fruits")</f>
        <v>Fruits</v>
      </c>
      <c r="D134">
        <f>IFERROR(__xludf.DUMMYFUNCTION("""COMPUTED_VALUE"""),71.0)</f>
        <v>71</v>
      </c>
      <c r="E134">
        <f>IFERROR(__xludf.DUMMYFUNCTION("""COMPUTED_VALUE"""),0.0)</f>
        <v>0</v>
      </c>
      <c r="F134">
        <f>IFERROR(__xludf.DUMMYFUNCTION("""COMPUTED_VALUE"""),0.42)</f>
        <v>0.42</v>
      </c>
      <c r="G134">
        <f>IFERROR(__xludf.DUMMYFUNCTION("""COMPUTED_VALUE"""),16.67)</f>
        <v>16.67</v>
      </c>
    </row>
    <row r="135">
      <c r="A135">
        <f>IFERROR(__xludf.DUMMYFUNCTION("""COMPUTED_VALUE"""),168207.0)</f>
        <v>168207</v>
      </c>
      <c r="B135" t="str">
        <f>IFERROR(__xludf.DUMMYFUNCTION("""COMPUTED_VALUE"""),"Grape Juice Canned Or Bottled Unsweetened With Added Ascorbic Acid And Calcium")</f>
        <v>Grape Juice Canned Or Bottled Unsweetened With Added Ascorbic Acid And Calcium</v>
      </c>
      <c r="C135" t="str">
        <f>IFERROR(__xludf.DUMMYFUNCTION("""COMPUTED_VALUE"""),"Fruits")</f>
        <v>Fruits</v>
      </c>
      <c r="D135">
        <f>IFERROR(__xludf.DUMMYFUNCTION("""COMPUTED_VALUE"""),62.0)</f>
        <v>62</v>
      </c>
      <c r="E135">
        <f>IFERROR(__xludf.DUMMYFUNCTION("""COMPUTED_VALUE"""),0.13)</f>
        <v>0.13</v>
      </c>
      <c r="F135">
        <f>IFERROR(__xludf.DUMMYFUNCTION("""COMPUTED_VALUE"""),0.37)</f>
        <v>0.37</v>
      </c>
      <c r="G135">
        <f>IFERROR(__xludf.DUMMYFUNCTION("""COMPUTED_VALUE"""),14.77)</f>
        <v>14.77</v>
      </c>
    </row>
    <row r="136">
      <c r="A136">
        <f>IFERROR(__xludf.DUMMYFUNCTION("""COMPUTED_VALUE"""),168208.0)</f>
        <v>168208</v>
      </c>
      <c r="B136" t="str">
        <f>IFERROR(__xludf.DUMMYFUNCTION("""COMPUTED_VALUE"""),"Fruit Juice Smoothie Odwalla Original Superfood")</f>
        <v>Fruit Juice Smoothie Odwalla Original Superfood</v>
      </c>
      <c r="C136" t="str">
        <f>IFERROR(__xludf.DUMMYFUNCTION("""COMPUTED_VALUE"""),"Fruits")</f>
        <v>Fruits</v>
      </c>
      <c r="D136">
        <f>IFERROR(__xludf.DUMMYFUNCTION("""COMPUTED_VALUE"""),50.0)</f>
        <v>50</v>
      </c>
      <c r="E136">
        <f>IFERROR(__xludf.DUMMYFUNCTION("""COMPUTED_VALUE"""),0.36)</f>
        <v>0.36</v>
      </c>
      <c r="F136">
        <f>IFERROR(__xludf.DUMMYFUNCTION("""COMPUTED_VALUE"""),0.63)</f>
        <v>0.63</v>
      </c>
      <c r="G136">
        <f>IFERROR(__xludf.DUMMYFUNCTION("""COMPUTED_VALUE"""),11.51)</f>
        <v>11.51</v>
      </c>
    </row>
    <row r="137">
      <c r="A137">
        <f>IFERROR(__xludf.DUMMYFUNCTION("""COMPUTED_VALUE"""),168209.0)</f>
        <v>168209</v>
      </c>
      <c r="B137" t="str">
        <f>IFERROR(__xludf.DUMMYFUNCTION("""COMPUTED_VALUE"""),"Frozen Raspberries")</f>
        <v>Frozen Raspberries</v>
      </c>
      <c r="C137" t="str">
        <f>IFERROR(__xludf.DUMMYFUNCTION("""COMPUTED_VALUE"""),"Fruits")</f>
        <v>Fruits</v>
      </c>
      <c r="D137">
        <f>IFERROR(__xludf.DUMMYFUNCTION("""COMPUTED_VALUE"""),56.0)</f>
        <v>56</v>
      </c>
      <c r="E137">
        <f>IFERROR(__xludf.DUMMYFUNCTION("""COMPUTED_VALUE"""),0.81)</f>
        <v>0.81</v>
      </c>
      <c r="F137">
        <f>IFERROR(__xludf.DUMMYFUNCTION("""COMPUTED_VALUE"""),1.15)</f>
        <v>1.15</v>
      </c>
      <c r="G137">
        <f>IFERROR(__xludf.DUMMYFUNCTION("""COMPUTED_VALUE"""),12.55)</f>
        <v>12.55</v>
      </c>
    </row>
    <row r="138">
      <c r="A138">
        <f>IFERROR(__xludf.DUMMYFUNCTION("""COMPUTED_VALUE"""),168210.0)</f>
        <v>168210</v>
      </c>
      <c r="B138" t="str">
        <f>IFERROR(__xludf.DUMMYFUNCTION("""COMPUTED_VALUE"""),"Guava Nectar With Sucralose Canned")</f>
        <v>Guava Nectar With Sucralose Canned</v>
      </c>
      <c r="C138" t="str">
        <f>IFERROR(__xludf.DUMMYFUNCTION("""COMPUTED_VALUE"""),"Fruits")</f>
        <v>Fruits</v>
      </c>
      <c r="D138">
        <f>IFERROR(__xludf.DUMMYFUNCTION("""COMPUTED_VALUE"""),48.0)</f>
        <v>48</v>
      </c>
      <c r="E138">
        <f>IFERROR(__xludf.DUMMYFUNCTION("""COMPUTED_VALUE"""),0.07)</f>
        <v>0.07</v>
      </c>
      <c r="F138">
        <f>IFERROR(__xludf.DUMMYFUNCTION("""COMPUTED_VALUE"""),0.3)</f>
        <v>0.3</v>
      </c>
      <c r="G138">
        <f>IFERROR(__xludf.DUMMYFUNCTION("""COMPUTED_VALUE"""),13.3)</f>
        <v>13.3</v>
      </c>
    </row>
    <row r="139">
      <c r="A139">
        <f>IFERROR(__xludf.DUMMYFUNCTION("""COMPUTED_VALUE"""),168211.0)</f>
        <v>168211</v>
      </c>
      <c r="B139" t="str">
        <f>IFERROR(__xludf.DUMMYFUNCTION("""COMPUTED_VALUE"""),"Kiwifruit Zespri Sungold Raw")</f>
        <v>Kiwifruit Zespri Sungold Raw</v>
      </c>
      <c r="C139" t="str">
        <f>IFERROR(__xludf.DUMMYFUNCTION("""COMPUTED_VALUE"""),"Fruits")</f>
        <v>Fruits</v>
      </c>
      <c r="D139">
        <f>IFERROR(__xludf.DUMMYFUNCTION("""COMPUTED_VALUE"""),63.0)</f>
        <v>63</v>
      </c>
      <c r="E139">
        <f>IFERROR(__xludf.DUMMYFUNCTION("""COMPUTED_VALUE"""),0.28)</f>
        <v>0.28</v>
      </c>
      <c r="F139">
        <f>IFERROR(__xludf.DUMMYFUNCTION("""COMPUTED_VALUE"""),1.02)</f>
        <v>1.02</v>
      </c>
      <c r="G139">
        <f>IFERROR(__xludf.DUMMYFUNCTION("""COMPUTED_VALUE"""),15.79)</f>
        <v>15.79</v>
      </c>
    </row>
    <row r="140">
      <c r="A140">
        <f>IFERROR(__xludf.DUMMYFUNCTION("""COMPUTED_VALUE"""),168212.0)</f>
        <v>168212</v>
      </c>
      <c r="B140" t="str">
        <f>IFERROR(__xludf.DUMMYFUNCTION("""COMPUTED_VALUE"""),"Cranberry Juice Blend 100% Juice Bottled With Added Vitamin C And Calcium")</f>
        <v>Cranberry Juice Blend 100% Juice Bottled With Added Vitamin C And Calcium</v>
      </c>
      <c r="C140" t="str">
        <f>IFERROR(__xludf.DUMMYFUNCTION("""COMPUTED_VALUE"""),"Fruits")</f>
        <v>Fruits</v>
      </c>
      <c r="D140">
        <f>IFERROR(__xludf.DUMMYFUNCTION("""COMPUTED_VALUE"""),45.0)</f>
        <v>45</v>
      </c>
      <c r="E140">
        <f>IFERROR(__xludf.DUMMYFUNCTION("""COMPUTED_VALUE"""),0.12)</f>
        <v>0.12</v>
      </c>
      <c r="F140">
        <f>IFERROR(__xludf.DUMMYFUNCTION("""COMPUTED_VALUE"""),0.27)</f>
        <v>0.27</v>
      </c>
      <c r="G140">
        <f>IFERROR(__xludf.DUMMYFUNCTION("""COMPUTED_VALUE"""),10.91)</f>
        <v>10.91</v>
      </c>
    </row>
    <row r="141">
      <c r="A141">
        <f>IFERROR(__xludf.DUMMYFUNCTION("""COMPUTED_VALUE"""),168213.0)</f>
        <v>168213</v>
      </c>
      <c r="B141" t="str">
        <f>IFERROR(__xludf.DUMMYFUNCTION("""COMPUTED_VALUE"""),"Fruit Juice Smoothie Odwalla Strawberry Banana")</f>
        <v>Fruit Juice Smoothie Odwalla Strawberry Banana</v>
      </c>
      <c r="C141" t="str">
        <f>IFERROR(__xludf.DUMMYFUNCTION("""COMPUTED_VALUE"""),"Fruits")</f>
        <v>Fruits</v>
      </c>
      <c r="D141">
        <f>IFERROR(__xludf.DUMMYFUNCTION("""COMPUTED_VALUE"""),48.0)</f>
        <v>48</v>
      </c>
      <c r="E141">
        <f>IFERROR(__xludf.DUMMYFUNCTION("""COMPUTED_VALUE"""),0.32)</f>
        <v>0.32</v>
      </c>
      <c r="F141">
        <f>IFERROR(__xludf.DUMMYFUNCTION("""COMPUTED_VALUE"""),0.5)</f>
        <v>0.5</v>
      </c>
      <c r="G141">
        <f>IFERROR(__xludf.DUMMYFUNCTION("""COMPUTED_VALUE"""),11.05)</f>
        <v>11.05</v>
      </c>
    </row>
    <row r="142">
      <c r="A142">
        <f>IFERROR(__xludf.DUMMYFUNCTION("""COMPUTED_VALUE"""),168214.0)</f>
        <v>168214</v>
      </c>
      <c r="B142" t="str">
        <f>IFERROR(__xludf.DUMMYFUNCTION("""COMPUTED_VALUE"""),"Fruit Juice Smoothie Naked Juice Strawberry Banana")</f>
        <v>Fruit Juice Smoothie Naked Juice Strawberry Banana</v>
      </c>
      <c r="C142" t="str">
        <f>IFERROR(__xludf.DUMMYFUNCTION("""COMPUTED_VALUE"""),"Fruits")</f>
        <v>Fruits</v>
      </c>
      <c r="D142">
        <f>IFERROR(__xludf.DUMMYFUNCTION("""COMPUTED_VALUE"""),50.0)</f>
        <v>50</v>
      </c>
      <c r="E142">
        <f>IFERROR(__xludf.DUMMYFUNCTION("""COMPUTED_VALUE"""),0.27)</f>
        <v>0.27</v>
      </c>
      <c r="F142">
        <f>IFERROR(__xludf.DUMMYFUNCTION("""COMPUTED_VALUE"""),0.48)</f>
        <v>0.48</v>
      </c>
      <c r="G142">
        <f>IFERROR(__xludf.DUMMYFUNCTION("""COMPUTED_VALUE"""),11.66)</f>
        <v>11.66</v>
      </c>
    </row>
    <row r="143">
      <c r="A143">
        <f>IFERROR(__xludf.DUMMYFUNCTION("""COMPUTED_VALUE"""),168384.0)</f>
        <v>168384</v>
      </c>
      <c r="B143" t="str">
        <f>IFERROR(__xludf.DUMMYFUNCTION("""COMPUTED_VALUE"""),"Alfalfa Sprouts")</f>
        <v>Alfalfa Sprouts</v>
      </c>
      <c r="C143" t="str">
        <f>IFERROR(__xludf.DUMMYFUNCTION("""COMPUTED_VALUE"""),"Vegetables")</f>
        <v>Vegetables</v>
      </c>
      <c r="D143">
        <f>IFERROR(__xludf.DUMMYFUNCTION("""COMPUTED_VALUE"""),23.0)</f>
        <v>23</v>
      </c>
      <c r="E143">
        <f>IFERROR(__xludf.DUMMYFUNCTION("""COMPUTED_VALUE"""),0.69)</f>
        <v>0.69</v>
      </c>
      <c r="F143">
        <f>IFERROR(__xludf.DUMMYFUNCTION("""COMPUTED_VALUE"""),3.99)</f>
        <v>3.99</v>
      </c>
      <c r="G143">
        <f>IFERROR(__xludf.DUMMYFUNCTION("""COMPUTED_VALUE"""),2.1)</f>
        <v>2.1</v>
      </c>
    </row>
    <row r="144">
      <c r="A144">
        <f>IFERROR(__xludf.DUMMYFUNCTION("""COMPUTED_VALUE"""),168385.0)</f>
        <v>168385</v>
      </c>
      <c r="B144" t="str">
        <f>IFERROR(__xludf.DUMMYFUNCTION("""COMPUTED_VALUE"""),"Amaranth Leaves Raw")</f>
        <v>Amaranth Leaves Raw</v>
      </c>
      <c r="C144" t="str">
        <f>IFERROR(__xludf.DUMMYFUNCTION("""COMPUTED_VALUE"""),"Vegetables")</f>
        <v>Vegetables</v>
      </c>
      <c r="D144">
        <f>IFERROR(__xludf.DUMMYFUNCTION("""COMPUTED_VALUE"""),23.0)</f>
        <v>23</v>
      </c>
      <c r="E144">
        <f>IFERROR(__xludf.DUMMYFUNCTION("""COMPUTED_VALUE"""),0.33)</f>
        <v>0.33</v>
      </c>
      <c r="F144">
        <f>IFERROR(__xludf.DUMMYFUNCTION("""COMPUTED_VALUE"""),2.46)</f>
        <v>2.46</v>
      </c>
      <c r="G144">
        <f>IFERROR(__xludf.DUMMYFUNCTION("""COMPUTED_VALUE"""),4.02)</f>
        <v>4.02</v>
      </c>
    </row>
    <row r="145">
      <c r="A145">
        <f>IFERROR(__xludf.DUMMYFUNCTION("""COMPUTED_VALUE"""),168386.0)</f>
        <v>168386</v>
      </c>
      <c r="B145" t="str">
        <f>IFERROR(__xludf.DUMMYFUNCTION("""COMPUTED_VALUE"""),"Artichokes (Globe Or French) Cooked Boiled Drained Without Salt")</f>
        <v>Artichokes (Globe Or French) Cooked Boiled Drained Without Salt</v>
      </c>
      <c r="C145" t="str">
        <f>IFERROR(__xludf.DUMMYFUNCTION("""COMPUTED_VALUE"""),"Vegetables")</f>
        <v>Vegetables</v>
      </c>
      <c r="D145">
        <f>IFERROR(__xludf.DUMMYFUNCTION("""COMPUTED_VALUE"""),53.0)</f>
        <v>53</v>
      </c>
      <c r="E145">
        <f>IFERROR(__xludf.DUMMYFUNCTION("""COMPUTED_VALUE"""),0.34)</f>
        <v>0.34</v>
      </c>
      <c r="F145">
        <f>IFERROR(__xludf.DUMMYFUNCTION("""COMPUTED_VALUE"""),2.89)</f>
        <v>2.89</v>
      </c>
      <c r="G145">
        <f>IFERROR(__xludf.DUMMYFUNCTION("""COMPUTED_VALUE"""),11.95)</f>
        <v>11.95</v>
      </c>
    </row>
    <row r="146">
      <c r="A146">
        <f>IFERROR(__xludf.DUMMYFUNCTION("""COMPUTED_VALUE"""),168387.0)</f>
        <v>168387</v>
      </c>
      <c r="B146" t="str">
        <f>IFERROR(__xludf.DUMMYFUNCTION("""COMPUTED_VALUE"""),"Artichokes (Globe Or French) Frozen Unprepared")</f>
        <v>Artichokes (Globe Or French) Frozen Unprepared</v>
      </c>
      <c r="C146" t="str">
        <f>IFERROR(__xludf.DUMMYFUNCTION("""COMPUTED_VALUE"""),"Vegetables")</f>
        <v>Vegetables</v>
      </c>
      <c r="D146">
        <f>IFERROR(__xludf.DUMMYFUNCTION("""COMPUTED_VALUE"""),38.0)</f>
        <v>38</v>
      </c>
      <c r="E146">
        <f>IFERROR(__xludf.DUMMYFUNCTION("""COMPUTED_VALUE"""),0.43)</f>
        <v>0.43</v>
      </c>
      <c r="F146">
        <f>IFERROR(__xludf.DUMMYFUNCTION("""COMPUTED_VALUE"""),2.63)</f>
        <v>2.63</v>
      </c>
      <c r="G146">
        <f>IFERROR(__xludf.DUMMYFUNCTION("""COMPUTED_VALUE"""),7.75)</f>
        <v>7.75</v>
      </c>
    </row>
    <row r="147">
      <c r="A147">
        <f>IFERROR(__xludf.DUMMYFUNCTION("""COMPUTED_VALUE"""),168388.0)</f>
        <v>168388</v>
      </c>
      <c r="B147" t="str">
        <f>IFERROR(__xludf.DUMMYFUNCTION("""COMPUTED_VALUE"""),"Cooked Artichokes (Globe Or French)")</f>
        <v>Cooked Artichokes (Globe Or French)</v>
      </c>
      <c r="C147" t="str">
        <f>IFERROR(__xludf.DUMMYFUNCTION("""COMPUTED_VALUE"""),"Vegetables")</f>
        <v>Vegetables</v>
      </c>
      <c r="D147">
        <f>IFERROR(__xludf.DUMMYFUNCTION("""COMPUTED_VALUE"""),45.0)</f>
        <v>45</v>
      </c>
      <c r="E147">
        <f>IFERROR(__xludf.DUMMYFUNCTION("""COMPUTED_VALUE"""),0.5)</f>
        <v>0.5</v>
      </c>
      <c r="F147">
        <f>IFERROR(__xludf.DUMMYFUNCTION("""COMPUTED_VALUE"""),3.11)</f>
        <v>3.11</v>
      </c>
      <c r="G147">
        <f>IFERROR(__xludf.DUMMYFUNCTION("""COMPUTED_VALUE"""),9.18)</f>
        <v>9.18</v>
      </c>
    </row>
    <row r="148">
      <c r="A148">
        <f>IFERROR(__xludf.DUMMYFUNCTION("""COMPUTED_VALUE"""),168389.0)</f>
        <v>168389</v>
      </c>
      <c r="B148" t="str">
        <f>IFERROR(__xludf.DUMMYFUNCTION("""COMPUTED_VALUE"""),"Asparagus")</f>
        <v>Asparagus</v>
      </c>
      <c r="C148" t="str">
        <f>IFERROR(__xludf.DUMMYFUNCTION("""COMPUTED_VALUE"""),"Vegetables")</f>
        <v>Vegetables</v>
      </c>
      <c r="D148">
        <f>IFERROR(__xludf.DUMMYFUNCTION("""COMPUTED_VALUE"""),20.0)</f>
        <v>20</v>
      </c>
      <c r="E148">
        <f>IFERROR(__xludf.DUMMYFUNCTION("""COMPUTED_VALUE"""),0.12)</f>
        <v>0.12</v>
      </c>
      <c r="F148">
        <f>IFERROR(__xludf.DUMMYFUNCTION("""COMPUTED_VALUE"""),2.2)</f>
        <v>2.2</v>
      </c>
      <c r="G148">
        <f>IFERROR(__xludf.DUMMYFUNCTION("""COMPUTED_VALUE"""),3.88)</f>
        <v>3.88</v>
      </c>
    </row>
    <row r="149">
      <c r="A149">
        <f>IFERROR(__xludf.DUMMYFUNCTION("""COMPUTED_VALUE"""),168390.0)</f>
        <v>168390</v>
      </c>
      <c r="B149" t="str">
        <f>IFERROR(__xludf.DUMMYFUNCTION("""COMPUTED_VALUE"""),"Asparagus (Cooked)")</f>
        <v>Asparagus (Cooked)</v>
      </c>
      <c r="C149" t="str">
        <f>IFERROR(__xludf.DUMMYFUNCTION("""COMPUTED_VALUE"""),"Vegetables")</f>
        <v>Vegetables</v>
      </c>
      <c r="D149">
        <f>IFERROR(__xludf.DUMMYFUNCTION("""COMPUTED_VALUE"""),22.0)</f>
        <v>22</v>
      </c>
      <c r="E149">
        <f>IFERROR(__xludf.DUMMYFUNCTION("""COMPUTED_VALUE"""),0.22)</f>
        <v>0.22</v>
      </c>
      <c r="F149">
        <f>IFERROR(__xludf.DUMMYFUNCTION("""COMPUTED_VALUE"""),2.4)</f>
        <v>2.4</v>
      </c>
      <c r="G149">
        <f>IFERROR(__xludf.DUMMYFUNCTION("""COMPUTED_VALUE"""),4.11)</f>
        <v>4.11</v>
      </c>
    </row>
    <row r="150">
      <c r="A150">
        <f>IFERROR(__xludf.DUMMYFUNCTION("""COMPUTED_VALUE"""),168391.0)</f>
        <v>168391</v>
      </c>
      <c r="B150" t="str">
        <f>IFERROR(__xludf.DUMMYFUNCTION("""COMPUTED_VALUE"""),"Balsam-Pear (Bitter Gourd) Leafy Tips Raw")</f>
        <v>Balsam-Pear (Bitter Gourd) Leafy Tips Raw</v>
      </c>
      <c r="C150" t="str">
        <f>IFERROR(__xludf.DUMMYFUNCTION("""COMPUTED_VALUE"""),"Vegetables")</f>
        <v>Vegetables</v>
      </c>
      <c r="D150">
        <f>IFERROR(__xludf.DUMMYFUNCTION("""COMPUTED_VALUE"""),30.0)</f>
        <v>30</v>
      </c>
      <c r="E150">
        <f>IFERROR(__xludf.DUMMYFUNCTION("""COMPUTED_VALUE"""),0.69)</f>
        <v>0.69</v>
      </c>
      <c r="F150">
        <f>IFERROR(__xludf.DUMMYFUNCTION("""COMPUTED_VALUE"""),5.3)</f>
        <v>5.3</v>
      </c>
      <c r="G150">
        <f>IFERROR(__xludf.DUMMYFUNCTION("""COMPUTED_VALUE"""),3.29)</f>
        <v>3.29</v>
      </c>
    </row>
    <row r="151">
      <c r="A151">
        <f>IFERROR(__xludf.DUMMYFUNCTION("""COMPUTED_VALUE"""),168392.0)</f>
        <v>168392</v>
      </c>
      <c r="B151" t="str">
        <f>IFERROR(__xludf.DUMMYFUNCTION("""COMPUTED_VALUE"""),"Balsam-Pear (Bitter Gourd) Leafy Tips Cooked Boiled Drained Without Salt")</f>
        <v>Balsam-Pear (Bitter Gourd) Leafy Tips Cooked Boiled Drained Without Salt</v>
      </c>
      <c r="C151" t="str">
        <f>IFERROR(__xludf.DUMMYFUNCTION("""COMPUTED_VALUE"""),"Vegetables")</f>
        <v>Vegetables</v>
      </c>
      <c r="D151">
        <f>IFERROR(__xludf.DUMMYFUNCTION("""COMPUTED_VALUE"""),34.0)</f>
        <v>34</v>
      </c>
      <c r="E151">
        <f>IFERROR(__xludf.DUMMYFUNCTION("""COMPUTED_VALUE"""),0.2)</f>
        <v>0.2</v>
      </c>
      <c r="F151">
        <f>IFERROR(__xludf.DUMMYFUNCTION("""COMPUTED_VALUE"""),3.6)</f>
        <v>3.6</v>
      </c>
      <c r="G151">
        <f>IFERROR(__xludf.DUMMYFUNCTION("""COMPUTED_VALUE"""),6.68)</f>
        <v>6.68</v>
      </c>
    </row>
    <row r="152">
      <c r="A152">
        <f>IFERROR(__xludf.DUMMYFUNCTION("""COMPUTED_VALUE"""),168393.0)</f>
        <v>168393</v>
      </c>
      <c r="B152" t="str">
        <f>IFERROR(__xludf.DUMMYFUNCTION("""COMPUTED_VALUE"""),"Bitter Melon")</f>
        <v>Bitter Melon</v>
      </c>
      <c r="C152" t="str">
        <f>IFERROR(__xludf.DUMMYFUNCTION("""COMPUTED_VALUE"""),"Vegetables")</f>
        <v>Vegetables</v>
      </c>
      <c r="D152">
        <f>IFERROR(__xludf.DUMMYFUNCTION("""COMPUTED_VALUE"""),17.0)</f>
        <v>17</v>
      </c>
      <c r="E152">
        <f>IFERROR(__xludf.DUMMYFUNCTION("""COMPUTED_VALUE"""),0.17)</f>
        <v>0.17</v>
      </c>
      <c r="F152">
        <f>IFERROR(__xludf.DUMMYFUNCTION("""COMPUTED_VALUE"""),1.0)</f>
        <v>1</v>
      </c>
      <c r="G152">
        <f>IFERROR(__xludf.DUMMYFUNCTION("""COMPUTED_VALUE"""),3.7)</f>
        <v>3.7</v>
      </c>
    </row>
    <row r="153">
      <c r="A153">
        <f>IFERROR(__xludf.DUMMYFUNCTION("""COMPUTED_VALUE"""),168394.0)</f>
        <v>168394</v>
      </c>
      <c r="B153" t="str">
        <f>IFERROR(__xludf.DUMMYFUNCTION("""COMPUTED_VALUE"""),"Bitter Melon (Cooked)")</f>
        <v>Bitter Melon (Cooked)</v>
      </c>
      <c r="C153" t="str">
        <f>IFERROR(__xludf.DUMMYFUNCTION("""COMPUTED_VALUE"""),"Vegetables")</f>
        <v>Vegetables</v>
      </c>
      <c r="D153">
        <f>IFERROR(__xludf.DUMMYFUNCTION("""COMPUTED_VALUE"""),19.0)</f>
        <v>19</v>
      </c>
      <c r="E153">
        <f>IFERROR(__xludf.DUMMYFUNCTION("""COMPUTED_VALUE"""),0.18)</f>
        <v>0.18</v>
      </c>
      <c r="F153">
        <f>IFERROR(__xludf.DUMMYFUNCTION("""COMPUTED_VALUE"""),0.84)</f>
        <v>0.84</v>
      </c>
      <c r="G153">
        <f>IFERROR(__xludf.DUMMYFUNCTION("""COMPUTED_VALUE"""),4.32)</f>
        <v>4.32</v>
      </c>
    </row>
    <row r="154">
      <c r="A154">
        <f>IFERROR(__xludf.DUMMYFUNCTION("""COMPUTED_VALUE"""),168395.0)</f>
        <v>168395</v>
      </c>
      <c r="B154" t="str">
        <f>IFERROR(__xludf.DUMMYFUNCTION("""COMPUTED_VALUE"""),"Beans Kidney Mature Seeds Sprouted Cooked Boiled Drained Without Salt")</f>
        <v>Beans Kidney Mature Seeds Sprouted Cooked Boiled Drained Without Salt</v>
      </c>
      <c r="C154" t="str">
        <f>IFERROR(__xludf.DUMMYFUNCTION("""COMPUTED_VALUE"""),"Vegetables")</f>
        <v>Vegetables</v>
      </c>
      <c r="D154">
        <f>IFERROR(__xludf.DUMMYFUNCTION("""COMPUTED_VALUE"""),33.0)</f>
        <v>33</v>
      </c>
      <c r="E154">
        <f>IFERROR(__xludf.DUMMYFUNCTION("""COMPUTED_VALUE"""),0.58)</f>
        <v>0.58</v>
      </c>
      <c r="F154">
        <f>IFERROR(__xludf.DUMMYFUNCTION("""COMPUTED_VALUE"""),4.83)</f>
        <v>4.83</v>
      </c>
      <c r="G154">
        <f>IFERROR(__xludf.DUMMYFUNCTION("""COMPUTED_VALUE"""),4.72)</f>
        <v>4.72</v>
      </c>
    </row>
    <row r="155">
      <c r="A155">
        <f>IFERROR(__xludf.DUMMYFUNCTION("""COMPUTED_VALUE"""),168396.0)</f>
        <v>168396</v>
      </c>
      <c r="B155" t="str">
        <f>IFERROR(__xludf.DUMMYFUNCTION("""COMPUTED_VALUE"""),"Lima Beans Immature Seeds Raw")</f>
        <v>Lima Beans Immature Seeds Raw</v>
      </c>
      <c r="C155" t="str">
        <f>IFERROR(__xludf.DUMMYFUNCTION("""COMPUTED_VALUE"""),"Vegetables")</f>
        <v>Vegetables</v>
      </c>
      <c r="D155">
        <f>IFERROR(__xludf.DUMMYFUNCTION("""COMPUTED_VALUE"""),113.0)</f>
        <v>113</v>
      </c>
      <c r="E155">
        <f>IFERROR(__xludf.DUMMYFUNCTION("""COMPUTED_VALUE"""),0.86)</f>
        <v>0.86</v>
      </c>
      <c r="F155">
        <f>IFERROR(__xludf.DUMMYFUNCTION("""COMPUTED_VALUE"""),6.84)</f>
        <v>6.84</v>
      </c>
      <c r="G155">
        <f>IFERROR(__xludf.DUMMYFUNCTION("""COMPUTED_VALUE"""),20.17)</f>
        <v>20.17</v>
      </c>
    </row>
    <row r="156">
      <c r="A156">
        <f>IFERROR(__xludf.DUMMYFUNCTION("""COMPUTED_VALUE"""),168397.0)</f>
        <v>168397</v>
      </c>
      <c r="B156" t="str">
        <f>IFERROR(__xludf.DUMMYFUNCTION("""COMPUTED_VALUE"""),"Corn Sweet Yellow Canned Drained Solids Rinsed With Tap Water")</f>
        <v>Corn Sweet Yellow Canned Drained Solids Rinsed With Tap Water</v>
      </c>
      <c r="C156" t="str">
        <f>IFERROR(__xludf.DUMMYFUNCTION("""COMPUTED_VALUE"""),"Vegetables")</f>
        <v>Vegetables</v>
      </c>
      <c r="D156">
        <f>IFERROR(__xludf.DUMMYFUNCTION("""COMPUTED_VALUE"""),64.0)</f>
        <v>64</v>
      </c>
      <c r="E156">
        <f>IFERROR(__xludf.DUMMYFUNCTION("""COMPUTED_VALUE"""),1.43)</f>
        <v>1.43</v>
      </c>
      <c r="F156">
        <f>IFERROR(__xludf.DUMMYFUNCTION("""COMPUTED_VALUE"""),2.18)</f>
        <v>2.18</v>
      </c>
      <c r="G156">
        <f>IFERROR(__xludf.DUMMYFUNCTION("""COMPUTED_VALUE"""),13.02)</f>
        <v>13.02</v>
      </c>
    </row>
    <row r="157">
      <c r="A157">
        <f>IFERROR(__xludf.DUMMYFUNCTION("""COMPUTED_VALUE"""),168398.0)</f>
        <v>168398</v>
      </c>
      <c r="B157" t="str">
        <f>IFERROR(__xludf.DUMMYFUNCTION("""COMPUTED_VALUE"""),"Corn Sweet Yellow Frozen Kernels Cut Off Cob Unprepared")</f>
        <v>Corn Sweet Yellow Frozen Kernels Cut Off Cob Unprepared</v>
      </c>
      <c r="C157" t="str">
        <f>IFERROR(__xludf.DUMMYFUNCTION("""COMPUTED_VALUE"""),"Vegetables")</f>
        <v>Vegetables</v>
      </c>
      <c r="D157">
        <f>IFERROR(__xludf.DUMMYFUNCTION("""COMPUTED_VALUE"""),88.0)</f>
        <v>88</v>
      </c>
      <c r="E157">
        <f>IFERROR(__xludf.DUMMYFUNCTION("""COMPUTED_VALUE"""),0.78)</f>
        <v>0.78</v>
      </c>
      <c r="F157">
        <f>IFERROR(__xludf.DUMMYFUNCTION("""COMPUTED_VALUE"""),3.02)</f>
        <v>3.02</v>
      </c>
      <c r="G157">
        <f>IFERROR(__xludf.DUMMYFUNCTION("""COMPUTED_VALUE"""),20.71)</f>
        <v>20.71</v>
      </c>
    </row>
    <row r="158">
      <c r="A158">
        <f>IFERROR(__xludf.DUMMYFUNCTION("""COMPUTED_VALUE"""),168399.0)</f>
        <v>168399</v>
      </c>
      <c r="B158" t="str">
        <f>IFERROR(__xludf.DUMMYFUNCTION("""COMPUTED_VALUE"""),"Corn Sweet Yellow Frozen Kernels Cut Off Cob Boiled Drained Without Salt")</f>
        <v>Corn Sweet Yellow Frozen Kernels Cut Off Cob Boiled Drained Without Salt</v>
      </c>
      <c r="C158" t="str">
        <f>IFERROR(__xludf.DUMMYFUNCTION("""COMPUTED_VALUE"""),"Vegetables")</f>
        <v>Vegetables</v>
      </c>
      <c r="D158">
        <f>IFERROR(__xludf.DUMMYFUNCTION("""COMPUTED_VALUE"""),81.0)</f>
        <v>81</v>
      </c>
      <c r="E158">
        <f>IFERROR(__xludf.DUMMYFUNCTION("""COMPUTED_VALUE"""),0.67)</f>
        <v>0.67</v>
      </c>
      <c r="F158">
        <f>IFERROR(__xludf.DUMMYFUNCTION("""COMPUTED_VALUE"""),2.55)</f>
        <v>2.55</v>
      </c>
      <c r="G158">
        <f>IFERROR(__xludf.DUMMYFUNCTION("""COMPUTED_VALUE"""),19.3)</f>
        <v>19.3</v>
      </c>
    </row>
    <row r="159">
      <c r="A159">
        <f>IFERROR(__xludf.DUMMYFUNCTION("""COMPUTED_VALUE"""),168400.0)</f>
        <v>168400</v>
      </c>
      <c r="B159" t="str">
        <f>IFERROR(__xludf.DUMMYFUNCTION("""COMPUTED_VALUE"""),"Corn Sweet Yellow Frozen Kernels On Cob Unprepared")</f>
        <v>Corn Sweet Yellow Frozen Kernels On Cob Unprepared</v>
      </c>
      <c r="C159" t="str">
        <f>IFERROR(__xludf.DUMMYFUNCTION("""COMPUTED_VALUE"""),"Vegetables")</f>
        <v>Vegetables</v>
      </c>
      <c r="D159">
        <f>IFERROR(__xludf.DUMMYFUNCTION("""COMPUTED_VALUE"""),98.0)</f>
        <v>98</v>
      </c>
      <c r="E159">
        <f>IFERROR(__xludf.DUMMYFUNCTION("""COMPUTED_VALUE"""),0.78)</f>
        <v>0.78</v>
      </c>
      <c r="F159">
        <f>IFERROR(__xludf.DUMMYFUNCTION("""COMPUTED_VALUE"""),3.28)</f>
        <v>3.28</v>
      </c>
      <c r="G159">
        <f>IFERROR(__xludf.DUMMYFUNCTION("""COMPUTED_VALUE"""),23.5)</f>
        <v>23.5</v>
      </c>
    </row>
    <row r="160">
      <c r="A160">
        <f>IFERROR(__xludf.DUMMYFUNCTION("""COMPUTED_VALUE"""),168401.0)</f>
        <v>168401</v>
      </c>
      <c r="B160" t="str">
        <f>IFERROR(__xludf.DUMMYFUNCTION("""COMPUTED_VALUE"""),"Corn Sweet Yellow Frozen Kernels On Cob Cooked Boiled Drained Without Salt")</f>
        <v>Corn Sweet Yellow Frozen Kernels On Cob Cooked Boiled Drained Without Salt</v>
      </c>
      <c r="C160" t="str">
        <f>IFERROR(__xludf.DUMMYFUNCTION("""COMPUTED_VALUE"""),"Vegetables")</f>
        <v>Vegetables</v>
      </c>
      <c r="D160">
        <f>IFERROR(__xludf.DUMMYFUNCTION("""COMPUTED_VALUE"""),94.0)</f>
        <v>94</v>
      </c>
      <c r="E160">
        <f>IFERROR(__xludf.DUMMYFUNCTION("""COMPUTED_VALUE"""),0.74)</f>
        <v>0.74</v>
      </c>
      <c r="F160">
        <f>IFERROR(__xludf.DUMMYFUNCTION("""COMPUTED_VALUE"""),3.11)</f>
        <v>3.11</v>
      </c>
      <c r="G160">
        <f>IFERROR(__xludf.DUMMYFUNCTION("""COMPUTED_VALUE"""),22.33)</f>
        <v>22.33</v>
      </c>
    </row>
    <row r="161">
      <c r="A161">
        <f>IFERROR(__xludf.DUMMYFUNCTION("""COMPUTED_VALUE"""),168402.0)</f>
        <v>168402</v>
      </c>
      <c r="B161" t="str">
        <f>IFERROR(__xludf.DUMMYFUNCTION("""COMPUTED_VALUE"""),"Cooked Blackeyed Peas")</f>
        <v>Cooked Blackeyed Peas</v>
      </c>
      <c r="C161" t="str">
        <f>IFERROR(__xludf.DUMMYFUNCTION("""COMPUTED_VALUE"""),"Beans and Lentils")</f>
        <v>Beans and Lentils</v>
      </c>
      <c r="D161">
        <f>IFERROR(__xludf.DUMMYFUNCTION("""COMPUTED_VALUE"""),97.0)</f>
        <v>97</v>
      </c>
      <c r="E161">
        <f>IFERROR(__xludf.DUMMYFUNCTION("""COMPUTED_VALUE"""),0.38)</f>
        <v>0.38</v>
      </c>
      <c r="F161">
        <f>IFERROR(__xludf.DUMMYFUNCTION("""COMPUTED_VALUE"""),3.17)</f>
        <v>3.17</v>
      </c>
      <c r="G161">
        <f>IFERROR(__xludf.DUMMYFUNCTION("""COMPUTED_VALUE"""),20.32)</f>
        <v>20.32</v>
      </c>
    </row>
    <row r="162">
      <c r="A162">
        <f>IFERROR(__xludf.DUMMYFUNCTION("""COMPUTED_VALUE"""),168403.0)</f>
        <v>168403</v>
      </c>
      <c r="B162" t="str">
        <f>IFERROR(__xludf.DUMMYFUNCTION("""COMPUTED_VALUE"""),"Cowpeas (Blackeyes) Immature Seeds Frozen Unprepared")</f>
        <v>Cowpeas (Blackeyes) Immature Seeds Frozen Unprepared</v>
      </c>
      <c r="C162" t="str">
        <f>IFERROR(__xludf.DUMMYFUNCTION("""COMPUTED_VALUE"""),"Vegetables")</f>
        <v>Vegetables</v>
      </c>
      <c r="D162">
        <f>IFERROR(__xludf.DUMMYFUNCTION("""COMPUTED_VALUE"""),139.0)</f>
        <v>139</v>
      </c>
      <c r="E162">
        <f>IFERROR(__xludf.DUMMYFUNCTION("""COMPUTED_VALUE"""),0.7)</f>
        <v>0.7</v>
      </c>
      <c r="F162">
        <f>IFERROR(__xludf.DUMMYFUNCTION("""COMPUTED_VALUE"""),8.98)</f>
        <v>8.98</v>
      </c>
      <c r="G162">
        <f>IFERROR(__xludf.DUMMYFUNCTION("""COMPUTED_VALUE"""),25.13)</f>
        <v>25.13</v>
      </c>
    </row>
    <row r="163">
      <c r="A163">
        <f>IFERROR(__xludf.DUMMYFUNCTION("""COMPUTED_VALUE"""),168404.0)</f>
        <v>168404</v>
      </c>
      <c r="B163" t="str">
        <f>IFERROR(__xludf.DUMMYFUNCTION("""COMPUTED_VALUE"""),"Cowpeas (Blackeyes) Immature Seeds Frozen Cooked Boiled Drained Without Salt")</f>
        <v>Cowpeas (Blackeyes) Immature Seeds Frozen Cooked Boiled Drained Without Salt</v>
      </c>
      <c r="C163" t="str">
        <f>IFERROR(__xludf.DUMMYFUNCTION("""COMPUTED_VALUE"""),"Vegetables")</f>
        <v>Vegetables</v>
      </c>
      <c r="D163">
        <f>IFERROR(__xludf.DUMMYFUNCTION("""COMPUTED_VALUE"""),132.0)</f>
        <v>132</v>
      </c>
      <c r="E163">
        <f>IFERROR(__xludf.DUMMYFUNCTION("""COMPUTED_VALUE"""),0.66)</f>
        <v>0.66</v>
      </c>
      <c r="F163">
        <f>IFERROR(__xludf.DUMMYFUNCTION("""COMPUTED_VALUE"""),8.49)</f>
        <v>8.49</v>
      </c>
      <c r="G163">
        <f>IFERROR(__xludf.DUMMYFUNCTION("""COMPUTED_VALUE"""),23.76)</f>
        <v>23.76</v>
      </c>
    </row>
    <row r="164">
      <c r="A164">
        <f>IFERROR(__xludf.DUMMYFUNCTION("""COMPUTED_VALUE"""),168405.0)</f>
        <v>168405</v>
      </c>
      <c r="B164" t="str">
        <f>IFERROR(__xludf.DUMMYFUNCTION("""COMPUTED_VALUE"""),"Cowpeas Young Pods With Seeds Raw")</f>
        <v>Cowpeas Young Pods With Seeds Raw</v>
      </c>
      <c r="C164" t="str">
        <f>IFERROR(__xludf.DUMMYFUNCTION("""COMPUTED_VALUE"""),"Vegetables")</f>
        <v>Vegetables</v>
      </c>
      <c r="D164">
        <f>IFERROR(__xludf.DUMMYFUNCTION("""COMPUTED_VALUE"""),44.0)</f>
        <v>44</v>
      </c>
      <c r="E164">
        <f>IFERROR(__xludf.DUMMYFUNCTION("""COMPUTED_VALUE"""),0.3)</f>
        <v>0.3</v>
      </c>
      <c r="F164">
        <f>IFERROR(__xludf.DUMMYFUNCTION("""COMPUTED_VALUE"""),3.3)</f>
        <v>3.3</v>
      </c>
      <c r="G164">
        <f>IFERROR(__xludf.DUMMYFUNCTION("""COMPUTED_VALUE"""),9.5)</f>
        <v>9.5</v>
      </c>
    </row>
    <row r="165">
      <c r="A165">
        <f>IFERROR(__xludf.DUMMYFUNCTION("""COMPUTED_VALUE"""),168406.0)</f>
        <v>168406</v>
      </c>
      <c r="B165" t="str">
        <f>IFERROR(__xludf.DUMMYFUNCTION("""COMPUTED_VALUE"""),"Cowpeas Leafy Tips Cooked Boiled Drained Without Salt")</f>
        <v>Cowpeas Leafy Tips Cooked Boiled Drained Without Salt</v>
      </c>
      <c r="C165" t="str">
        <f>IFERROR(__xludf.DUMMYFUNCTION("""COMPUTED_VALUE"""),"Vegetables")</f>
        <v>Vegetables</v>
      </c>
      <c r="D165">
        <f>IFERROR(__xludf.DUMMYFUNCTION("""COMPUTED_VALUE"""),22.0)</f>
        <v>22</v>
      </c>
      <c r="E165">
        <f>IFERROR(__xludf.DUMMYFUNCTION("""COMPUTED_VALUE"""),0.1)</f>
        <v>0.1</v>
      </c>
      <c r="F165">
        <f>IFERROR(__xludf.DUMMYFUNCTION("""COMPUTED_VALUE"""),4.67)</f>
        <v>4.67</v>
      </c>
      <c r="G165">
        <f>IFERROR(__xludf.DUMMYFUNCTION("""COMPUTED_VALUE"""),2.8)</f>
        <v>2.8</v>
      </c>
    </row>
    <row r="166">
      <c r="A166">
        <f>IFERROR(__xludf.DUMMYFUNCTION("""COMPUTED_VALUE"""),168407.0)</f>
        <v>168407</v>
      </c>
      <c r="B166" t="str">
        <f>IFERROR(__xludf.DUMMYFUNCTION("""COMPUTED_VALUE"""),"Garden Cress")</f>
        <v>Garden Cress</v>
      </c>
      <c r="C166" t="str">
        <f>IFERROR(__xludf.DUMMYFUNCTION("""COMPUTED_VALUE"""),"Vegetables")</f>
        <v>Vegetables</v>
      </c>
      <c r="D166">
        <f>IFERROR(__xludf.DUMMYFUNCTION("""COMPUTED_VALUE"""),32.0)</f>
        <v>32</v>
      </c>
      <c r="E166">
        <f>IFERROR(__xludf.DUMMYFUNCTION("""COMPUTED_VALUE"""),0.7)</f>
        <v>0.7</v>
      </c>
      <c r="F166">
        <f>IFERROR(__xludf.DUMMYFUNCTION("""COMPUTED_VALUE"""),2.6)</f>
        <v>2.6</v>
      </c>
      <c r="G166">
        <f>IFERROR(__xludf.DUMMYFUNCTION("""COMPUTED_VALUE"""),5.5)</f>
        <v>5.5</v>
      </c>
    </row>
    <row r="167">
      <c r="A167">
        <f>IFERROR(__xludf.DUMMYFUNCTION("""COMPUTED_VALUE"""),168408.0)</f>
        <v>168408</v>
      </c>
      <c r="B167" t="str">
        <f>IFERROR(__xludf.DUMMYFUNCTION("""COMPUTED_VALUE"""),"Cooked Garden Cress")</f>
        <v>Cooked Garden Cress</v>
      </c>
      <c r="C167" t="str">
        <f>IFERROR(__xludf.DUMMYFUNCTION("""COMPUTED_VALUE"""),"Vegetables")</f>
        <v>Vegetables</v>
      </c>
      <c r="D167">
        <f>IFERROR(__xludf.DUMMYFUNCTION("""COMPUTED_VALUE"""),23.0)</f>
        <v>23</v>
      </c>
      <c r="E167">
        <f>IFERROR(__xludf.DUMMYFUNCTION("""COMPUTED_VALUE"""),0.6)</f>
        <v>0.6</v>
      </c>
      <c r="F167">
        <f>IFERROR(__xludf.DUMMYFUNCTION("""COMPUTED_VALUE"""),1.9)</f>
        <v>1.9</v>
      </c>
      <c r="G167">
        <f>IFERROR(__xludf.DUMMYFUNCTION("""COMPUTED_VALUE"""),3.8)</f>
        <v>3.8</v>
      </c>
    </row>
    <row r="168">
      <c r="A168">
        <f>IFERROR(__xludf.DUMMYFUNCTION("""COMPUTED_VALUE"""),168409.0)</f>
        <v>168409</v>
      </c>
      <c r="B168" t="str">
        <f>IFERROR(__xludf.DUMMYFUNCTION("""COMPUTED_VALUE"""),"Cucumber")</f>
        <v>Cucumber</v>
      </c>
      <c r="C168" t="str">
        <f>IFERROR(__xludf.DUMMYFUNCTION("""COMPUTED_VALUE"""),"Vegetables")</f>
        <v>Vegetables</v>
      </c>
      <c r="D168">
        <f>IFERROR(__xludf.DUMMYFUNCTION("""COMPUTED_VALUE"""),15.0)</f>
        <v>15</v>
      </c>
      <c r="E168">
        <f>IFERROR(__xludf.DUMMYFUNCTION("""COMPUTED_VALUE"""),0.11)</f>
        <v>0.11</v>
      </c>
      <c r="F168">
        <f>IFERROR(__xludf.DUMMYFUNCTION("""COMPUTED_VALUE"""),0.65)</f>
        <v>0.65</v>
      </c>
      <c r="G168">
        <f>IFERROR(__xludf.DUMMYFUNCTION("""COMPUTED_VALUE"""),3.63)</f>
        <v>3.63</v>
      </c>
    </row>
    <row r="169">
      <c r="A169">
        <f>IFERROR(__xludf.DUMMYFUNCTION("""COMPUTED_VALUE"""),168410.0)</f>
        <v>168410</v>
      </c>
      <c r="B169" t="str">
        <f>IFERROR(__xludf.DUMMYFUNCTION("""COMPUTED_VALUE"""),"Edamame Frozen Unprepared")</f>
        <v>Edamame Frozen Unprepared</v>
      </c>
      <c r="C169" t="str">
        <f>IFERROR(__xludf.DUMMYFUNCTION("""COMPUTED_VALUE"""),"Vegetables")</f>
        <v>Vegetables</v>
      </c>
      <c r="D169">
        <f>IFERROR(__xludf.DUMMYFUNCTION("""COMPUTED_VALUE"""),109.0)</f>
        <v>109</v>
      </c>
      <c r="E169">
        <f>IFERROR(__xludf.DUMMYFUNCTION("""COMPUTED_VALUE"""),4.73)</f>
        <v>4.73</v>
      </c>
      <c r="F169">
        <f>IFERROR(__xludf.DUMMYFUNCTION("""COMPUTED_VALUE"""),11.22)</f>
        <v>11.22</v>
      </c>
      <c r="G169">
        <f>IFERROR(__xludf.DUMMYFUNCTION("""COMPUTED_VALUE"""),7.61)</f>
        <v>7.61</v>
      </c>
    </row>
    <row r="170">
      <c r="A170">
        <f>IFERROR(__xludf.DUMMYFUNCTION("""COMPUTED_VALUE"""),168411.0)</f>
        <v>168411</v>
      </c>
      <c r="B170" t="str">
        <f>IFERROR(__xludf.DUMMYFUNCTION("""COMPUTED_VALUE"""),"Edamame")</f>
        <v>Edamame</v>
      </c>
      <c r="C170" t="str">
        <f>IFERROR(__xludf.DUMMYFUNCTION("""COMPUTED_VALUE"""),"Beans and Lentils")</f>
        <v>Beans and Lentils</v>
      </c>
      <c r="D170">
        <f>IFERROR(__xludf.DUMMYFUNCTION("""COMPUTED_VALUE"""),121.0)</f>
        <v>121</v>
      </c>
      <c r="E170">
        <f>IFERROR(__xludf.DUMMYFUNCTION("""COMPUTED_VALUE"""),5.2)</f>
        <v>5.2</v>
      </c>
      <c r="F170">
        <f>IFERROR(__xludf.DUMMYFUNCTION("""COMPUTED_VALUE"""),11.91)</f>
        <v>11.91</v>
      </c>
      <c r="G170">
        <f>IFERROR(__xludf.DUMMYFUNCTION("""COMPUTED_VALUE"""),8.91)</f>
        <v>8.91</v>
      </c>
    </row>
    <row r="171">
      <c r="A171">
        <f>IFERROR(__xludf.DUMMYFUNCTION("""COMPUTED_VALUE"""),168412.0)</f>
        <v>168412</v>
      </c>
      <c r="B171" t="str">
        <f>IFERROR(__xludf.DUMMYFUNCTION("""COMPUTED_VALUE"""),"Endive")</f>
        <v>Endive</v>
      </c>
      <c r="C171" t="str">
        <f>IFERROR(__xludf.DUMMYFUNCTION("""COMPUTED_VALUE"""),"Vegetables")</f>
        <v>Vegetables</v>
      </c>
      <c r="D171">
        <f>IFERROR(__xludf.DUMMYFUNCTION("""COMPUTED_VALUE"""),17.0)</f>
        <v>17</v>
      </c>
      <c r="E171">
        <f>IFERROR(__xludf.DUMMYFUNCTION("""COMPUTED_VALUE"""),0.2)</f>
        <v>0.2</v>
      </c>
      <c r="F171">
        <f>IFERROR(__xludf.DUMMYFUNCTION("""COMPUTED_VALUE"""),1.25)</f>
        <v>1.25</v>
      </c>
      <c r="G171">
        <f>IFERROR(__xludf.DUMMYFUNCTION("""COMPUTED_VALUE"""),3.35)</f>
        <v>3.35</v>
      </c>
    </row>
    <row r="172">
      <c r="A172">
        <f>IFERROR(__xludf.DUMMYFUNCTION("""COMPUTED_VALUE"""),168413.0)</f>
        <v>168413</v>
      </c>
      <c r="B172" t="str">
        <f>IFERROR(__xludf.DUMMYFUNCTION("""COMPUTED_VALUE"""),"Cooked Escarole")</f>
        <v>Cooked Escarole</v>
      </c>
      <c r="C172" t="str">
        <f>IFERROR(__xludf.DUMMYFUNCTION("""COMPUTED_VALUE"""),"Vegetables")</f>
        <v>Vegetables</v>
      </c>
      <c r="D172">
        <f>IFERROR(__xludf.DUMMYFUNCTION("""COMPUTED_VALUE"""),15.0)</f>
        <v>15</v>
      </c>
      <c r="E172">
        <f>IFERROR(__xludf.DUMMYFUNCTION("""COMPUTED_VALUE"""),0.18)</f>
        <v>0.18</v>
      </c>
      <c r="F172">
        <f>IFERROR(__xludf.DUMMYFUNCTION("""COMPUTED_VALUE"""),1.15)</f>
        <v>1.15</v>
      </c>
      <c r="G172">
        <f>IFERROR(__xludf.DUMMYFUNCTION("""COMPUTED_VALUE"""),3.07)</f>
        <v>3.07</v>
      </c>
    </row>
    <row r="173">
      <c r="A173">
        <f>IFERROR(__xludf.DUMMYFUNCTION("""COMPUTED_VALUE"""),168414.0)</f>
        <v>168414</v>
      </c>
      <c r="B173" t="str">
        <f>IFERROR(__xludf.DUMMYFUNCTION("""COMPUTED_VALUE"""),"Gourd Dishcloth (Towelgourd) Raw")</f>
        <v>Gourd Dishcloth (Towelgourd) Raw</v>
      </c>
      <c r="C173" t="str">
        <f>IFERROR(__xludf.DUMMYFUNCTION("""COMPUTED_VALUE"""),"Vegetables")</f>
        <v>Vegetables</v>
      </c>
      <c r="D173">
        <f>IFERROR(__xludf.DUMMYFUNCTION("""COMPUTED_VALUE"""),20.0)</f>
        <v>20</v>
      </c>
      <c r="E173">
        <f>IFERROR(__xludf.DUMMYFUNCTION("""COMPUTED_VALUE"""),0.2)</f>
        <v>0.2</v>
      </c>
      <c r="F173">
        <f>IFERROR(__xludf.DUMMYFUNCTION("""COMPUTED_VALUE"""),1.2)</f>
        <v>1.2</v>
      </c>
      <c r="G173">
        <f>IFERROR(__xludf.DUMMYFUNCTION("""COMPUTED_VALUE"""),4.35)</f>
        <v>4.35</v>
      </c>
    </row>
    <row r="174">
      <c r="A174">
        <f>IFERROR(__xludf.DUMMYFUNCTION("""COMPUTED_VALUE"""),168415.0)</f>
        <v>168415</v>
      </c>
      <c r="B174" t="str">
        <f>IFERROR(__xludf.DUMMYFUNCTION("""COMPUTED_VALUE"""),"Gourd Dishcloth (Towelgourd) Cooked Boiled Drained Without Salt")</f>
        <v>Gourd Dishcloth (Towelgourd) Cooked Boiled Drained Without Salt</v>
      </c>
      <c r="C174" t="str">
        <f>IFERROR(__xludf.DUMMYFUNCTION("""COMPUTED_VALUE"""),"Vegetables")</f>
        <v>Vegetables</v>
      </c>
      <c r="D174">
        <f>IFERROR(__xludf.DUMMYFUNCTION("""COMPUTED_VALUE"""),56.0)</f>
        <v>56</v>
      </c>
      <c r="E174">
        <f>IFERROR(__xludf.DUMMYFUNCTION("""COMPUTED_VALUE"""),0.34)</f>
        <v>0.34</v>
      </c>
      <c r="F174">
        <f>IFERROR(__xludf.DUMMYFUNCTION("""COMPUTED_VALUE"""),0.66)</f>
        <v>0.66</v>
      </c>
      <c r="G174">
        <f>IFERROR(__xludf.DUMMYFUNCTION("""COMPUTED_VALUE"""),14.34)</f>
        <v>14.34</v>
      </c>
    </row>
    <row r="175">
      <c r="A175">
        <f>IFERROR(__xludf.DUMMYFUNCTION("""COMPUTED_VALUE"""),168416.0)</f>
        <v>168416</v>
      </c>
      <c r="B175" t="str">
        <f>IFERROR(__xludf.DUMMYFUNCTION("""COMPUTED_VALUE"""),"Drumstick Leaves Raw")</f>
        <v>Drumstick Leaves Raw</v>
      </c>
      <c r="C175" t="str">
        <f>IFERROR(__xludf.DUMMYFUNCTION("""COMPUTED_VALUE"""),"Vegetables")</f>
        <v>Vegetables</v>
      </c>
      <c r="D175">
        <f>IFERROR(__xludf.DUMMYFUNCTION("""COMPUTED_VALUE"""),64.0)</f>
        <v>64</v>
      </c>
      <c r="E175">
        <f>IFERROR(__xludf.DUMMYFUNCTION("""COMPUTED_VALUE"""),1.4)</f>
        <v>1.4</v>
      </c>
      <c r="F175">
        <f>IFERROR(__xludf.DUMMYFUNCTION("""COMPUTED_VALUE"""),9.4)</f>
        <v>9.4</v>
      </c>
      <c r="G175">
        <f>IFERROR(__xludf.DUMMYFUNCTION("""COMPUTED_VALUE"""),8.28)</f>
        <v>8.28</v>
      </c>
    </row>
    <row r="176">
      <c r="A176">
        <f>IFERROR(__xludf.DUMMYFUNCTION("""COMPUTED_VALUE"""),168417.0)</f>
        <v>168417</v>
      </c>
      <c r="B176" t="str">
        <f>IFERROR(__xludf.DUMMYFUNCTION("""COMPUTED_VALUE"""),"Drumstick Leaves Cooked Boiled Drained Without Salt")</f>
        <v>Drumstick Leaves Cooked Boiled Drained Without Salt</v>
      </c>
      <c r="C176" t="str">
        <f>IFERROR(__xludf.DUMMYFUNCTION("""COMPUTED_VALUE"""),"Vegetables")</f>
        <v>Vegetables</v>
      </c>
      <c r="D176">
        <f>IFERROR(__xludf.DUMMYFUNCTION("""COMPUTED_VALUE"""),60.0)</f>
        <v>60</v>
      </c>
      <c r="E176">
        <f>IFERROR(__xludf.DUMMYFUNCTION("""COMPUTED_VALUE"""),0.93)</f>
        <v>0.93</v>
      </c>
      <c r="F176">
        <f>IFERROR(__xludf.DUMMYFUNCTION("""COMPUTED_VALUE"""),5.27)</f>
        <v>5.27</v>
      </c>
      <c r="G176">
        <f>IFERROR(__xludf.DUMMYFUNCTION("""COMPUTED_VALUE"""),11.15)</f>
        <v>11.15</v>
      </c>
    </row>
    <row r="177">
      <c r="A177">
        <f>IFERROR(__xludf.DUMMYFUNCTION("""COMPUTED_VALUE"""),168418.0)</f>
        <v>168418</v>
      </c>
      <c r="B177" t="str">
        <f>IFERROR(__xludf.DUMMYFUNCTION("""COMPUTED_VALUE"""),"Pepeao Dried")</f>
        <v>Pepeao Dried</v>
      </c>
      <c r="C177" t="str">
        <f>IFERROR(__xludf.DUMMYFUNCTION("""COMPUTED_VALUE"""),"Vegetables")</f>
        <v>Vegetables</v>
      </c>
      <c r="D177">
        <f>IFERROR(__xludf.DUMMYFUNCTION("""COMPUTED_VALUE"""),298.0)</f>
        <v>298</v>
      </c>
      <c r="E177">
        <f>IFERROR(__xludf.DUMMYFUNCTION("""COMPUTED_VALUE"""),0.44)</f>
        <v>0.44</v>
      </c>
      <c r="F177">
        <f>IFERROR(__xludf.DUMMYFUNCTION("""COMPUTED_VALUE"""),4.82)</f>
        <v>4.82</v>
      </c>
      <c r="G177">
        <f>IFERROR(__xludf.DUMMYFUNCTION("""COMPUTED_VALUE"""),81.03)</f>
        <v>81.03</v>
      </c>
    </row>
    <row r="178">
      <c r="A178">
        <f>IFERROR(__xludf.DUMMYFUNCTION("""COMPUTED_VALUE"""),168419.0)</f>
        <v>168419</v>
      </c>
      <c r="B178" t="str">
        <f>IFERROR(__xludf.DUMMYFUNCTION("""COMPUTED_VALUE"""),"Jute Potherb Raw")</f>
        <v>Jute Potherb Raw</v>
      </c>
      <c r="C178" t="str">
        <f>IFERROR(__xludf.DUMMYFUNCTION("""COMPUTED_VALUE"""),"Vegetables")</f>
        <v>Vegetables</v>
      </c>
      <c r="D178">
        <f>IFERROR(__xludf.DUMMYFUNCTION("""COMPUTED_VALUE"""),34.0)</f>
        <v>34</v>
      </c>
      <c r="E178">
        <f>IFERROR(__xludf.DUMMYFUNCTION("""COMPUTED_VALUE"""),0.25)</f>
        <v>0.25</v>
      </c>
      <c r="F178">
        <f>IFERROR(__xludf.DUMMYFUNCTION("""COMPUTED_VALUE"""),4.65)</f>
        <v>4.65</v>
      </c>
      <c r="G178">
        <f>IFERROR(__xludf.DUMMYFUNCTION("""COMPUTED_VALUE"""),5.8)</f>
        <v>5.8</v>
      </c>
    </row>
    <row r="179">
      <c r="A179">
        <f>IFERROR(__xludf.DUMMYFUNCTION("""COMPUTED_VALUE"""),168420.0)</f>
        <v>168420</v>
      </c>
      <c r="B179" t="str">
        <f>IFERROR(__xludf.DUMMYFUNCTION("""COMPUTED_VALUE"""),"Jute Potherb (Molokhiya) (Cooked)")</f>
        <v>Jute Potherb (Molokhiya) (Cooked)</v>
      </c>
      <c r="C179" t="str">
        <f>IFERROR(__xludf.DUMMYFUNCTION("""COMPUTED_VALUE"""),"Vegetables")</f>
        <v>Vegetables</v>
      </c>
      <c r="D179">
        <f>IFERROR(__xludf.DUMMYFUNCTION("""COMPUTED_VALUE"""),37.0)</f>
        <v>37</v>
      </c>
      <c r="E179">
        <f>IFERROR(__xludf.DUMMYFUNCTION("""COMPUTED_VALUE"""),0.2)</f>
        <v>0.2</v>
      </c>
      <c r="F179">
        <f>IFERROR(__xludf.DUMMYFUNCTION("""COMPUTED_VALUE"""),3.68)</f>
        <v>3.68</v>
      </c>
      <c r="G179">
        <f>IFERROR(__xludf.DUMMYFUNCTION("""COMPUTED_VALUE"""),7.29)</f>
        <v>7.29</v>
      </c>
    </row>
    <row r="180">
      <c r="A180">
        <f>IFERROR(__xludf.DUMMYFUNCTION("""COMPUTED_VALUE"""),168421.0)</f>
        <v>168421</v>
      </c>
      <c r="B180" t="str">
        <f>IFERROR(__xludf.DUMMYFUNCTION("""COMPUTED_VALUE"""),"Kale")</f>
        <v>Kale</v>
      </c>
      <c r="C180" t="str">
        <f>IFERROR(__xludf.DUMMYFUNCTION("""COMPUTED_VALUE"""),"Vegetables")</f>
        <v>Vegetables</v>
      </c>
      <c r="D180">
        <f>IFERROR(__xludf.DUMMYFUNCTION("""COMPUTED_VALUE"""),35.0)</f>
        <v>35</v>
      </c>
      <c r="E180">
        <f>IFERROR(__xludf.DUMMYFUNCTION("""COMPUTED_VALUE"""),1.49)</f>
        <v>1.49</v>
      </c>
      <c r="F180">
        <f>IFERROR(__xludf.DUMMYFUNCTION("""COMPUTED_VALUE"""),2.92)</f>
        <v>2.92</v>
      </c>
      <c r="G180">
        <f>IFERROR(__xludf.DUMMYFUNCTION("""COMPUTED_VALUE"""),4.42)</f>
        <v>4.42</v>
      </c>
    </row>
    <row r="181">
      <c r="A181">
        <f>IFERROR(__xludf.DUMMYFUNCTION("""COMPUTED_VALUE"""),168422.0)</f>
        <v>168422</v>
      </c>
      <c r="B181" t="str">
        <f>IFERROR(__xludf.DUMMYFUNCTION("""COMPUTED_VALUE"""),"Chantarelle Mushrooms")</f>
        <v>Chantarelle Mushrooms</v>
      </c>
      <c r="C181" t="str">
        <f>IFERROR(__xludf.DUMMYFUNCTION("""COMPUTED_VALUE"""),"Vegetables")</f>
        <v>Vegetables</v>
      </c>
      <c r="D181">
        <f>IFERROR(__xludf.DUMMYFUNCTION("""COMPUTED_VALUE"""),32.0)</f>
        <v>32</v>
      </c>
      <c r="E181">
        <f>IFERROR(__xludf.DUMMYFUNCTION("""COMPUTED_VALUE"""),0.53)</f>
        <v>0.53</v>
      </c>
      <c r="F181">
        <f>IFERROR(__xludf.DUMMYFUNCTION("""COMPUTED_VALUE"""),1.49)</f>
        <v>1.49</v>
      </c>
      <c r="G181">
        <f>IFERROR(__xludf.DUMMYFUNCTION("""COMPUTED_VALUE"""),6.86)</f>
        <v>6.86</v>
      </c>
    </row>
    <row r="182">
      <c r="A182">
        <f>IFERROR(__xludf.DUMMYFUNCTION("""COMPUTED_VALUE"""),168423.0)</f>
        <v>168423</v>
      </c>
      <c r="B182" t="str">
        <f>IFERROR(__xludf.DUMMYFUNCTION("""COMPUTED_VALUE"""),"Morel Mushrooms")</f>
        <v>Morel Mushrooms</v>
      </c>
      <c r="C182" t="str">
        <f>IFERROR(__xludf.DUMMYFUNCTION("""COMPUTED_VALUE"""),"Vegetables")</f>
        <v>Vegetables</v>
      </c>
      <c r="D182">
        <f>IFERROR(__xludf.DUMMYFUNCTION("""COMPUTED_VALUE"""),31.0)</f>
        <v>31</v>
      </c>
      <c r="E182">
        <f>IFERROR(__xludf.DUMMYFUNCTION("""COMPUTED_VALUE"""),0.57)</f>
        <v>0.57</v>
      </c>
      <c r="F182">
        <f>IFERROR(__xludf.DUMMYFUNCTION("""COMPUTED_VALUE"""),3.12)</f>
        <v>3.12</v>
      </c>
      <c r="G182">
        <f>IFERROR(__xludf.DUMMYFUNCTION("""COMPUTED_VALUE"""),5.1)</f>
        <v>5.1</v>
      </c>
    </row>
    <row r="183">
      <c r="A183">
        <f>IFERROR(__xludf.DUMMYFUNCTION("""COMPUTED_VALUE"""),168424.0)</f>
        <v>168424</v>
      </c>
      <c r="B183" t="str">
        <f>IFERROR(__xludf.DUMMYFUNCTION("""COMPUTED_VALUE"""),"Kohlrabi")</f>
        <v>Kohlrabi</v>
      </c>
      <c r="C183" t="str">
        <f>IFERROR(__xludf.DUMMYFUNCTION("""COMPUTED_VALUE"""),"Vegetables")</f>
        <v>Vegetables</v>
      </c>
      <c r="D183">
        <f>IFERROR(__xludf.DUMMYFUNCTION("""COMPUTED_VALUE"""),27.0)</f>
        <v>27</v>
      </c>
      <c r="E183">
        <f>IFERROR(__xludf.DUMMYFUNCTION("""COMPUTED_VALUE"""),0.1)</f>
        <v>0.1</v>
      </c>
      <c r="F183">
        <f>IFERROR(__xludf.DUMMYFUNCTION("""COMPUTED_VALUE"""),1.7)</f>
        <v>1.7</v>
      </c>
      <c r="G183">
        <f>IFERROR(__xludf.DUMMYFUNCTION("""COMPUTED_VALUE"""),6.2)</f>
        <v>6.2</v>
      </c>
    </row>
    <row r="184">
      <c r="A184">
        <f>IFERROR(__xludf.DUMMYFUNCTION("""COMPUTED_VALUE"""),168425.0)</f>
        <v>168425</v>
      </c>
      <c r="B184" t="str">
        <f>IFERROR(__xludf.DUMMYFUNCTION("""COMPUTED_VALUE"""),"Cooked Kohlrabi")</f>
        <v>Cooked Kohlrabi</v>
      </c>
      <c r="C184" t="str">
        <f>IFERROR(__xludf.DUMMYFUNCTION("""COMPUTED_VALUE"""),"Vegetables")</f>
        <v>Vegetables</v>
      </c>
      <c r="D184">
        <f>IFERROR(__xludf.DUMMYFUNCTION("""COMPUTED_VALUE"""),29.0)</f>
        <v>29</v>
      </c>
      <c r="E184">
        <f>IFERROR(__xludf.DUMMYFUNCTION("""COMPUTED_VALUE"""),0.11)</f>
        <v>0.11</v>
      </c>
      <c r="F184">
        <f>IFERROR(__xludf.DUMMYFUNCTION("""COMPUTED_VALUE"""),1.8)</f>
        <v>1.8</v>
      </c>
      <c r="G184">
        <f>IFERROR(__xludf.DUMMYFUNCTION("""COMPUTED_VALUE"""),6.69)</f>
        <v>6.69</v>
      </c>
    </row>
    <row r="185">
      <c r="A185">
        <f>IFERROR(__xludf.DUMMYFUNCTION("""COMPUTED_VALUE"""),168426.0)</f>
        <v>168426</v>
      </c>
      <c r="B185" t="str">
        <f>IFERROR(__xludf.DUMMYFUNCTION("""COMPUTED_VALUE"""),"Cooked Leeks")</f>
        <v>Cooked Leeks</v>
      </c>
      <c r="C185" t="str">
        <f>IFERROR(__xludf.DUMMYFUNCTION("""COMPUTED_VALUE"""),"Vegetables")</f>
        <v>Vegetables</v>
      </c>
      <c r="D185">
        <f>IFERROR(__xludf.DUMMYFUNCTION("""COMPUTED_VALUE"""),31.0)</f>
        <v>31</v>
      </c>
      <c r="E185">
        <f>IFERROR(__xludf.DUMMYFUNCTION("""COMPUTED_VALUE"""),0.2)</f>
        <v>0.2</v>
      </c>
      <c r="F185">
        <f>IFERROR(__xludf.DUMMYFUNCTION("""COMPUTED_VALUE"""),0.81)</f>
        <v>0.81</v>
      </c>
      <c r="G185">
        <f>IFERROR(__xludf.DUMMYFUNCTION("""COMPUTED_VALUE"""),7.62)</f>
        <v>7.62</v>
      </c>
    </row>
    <row r="186">
      <c r="A186">
        <f>IFERROR(__xludf.DUMMYFUNCTION("""COMPUTED_VALUE"""),168427.0)</f>
        <v>168427</v>
      </c>
      <c r="B186" t="str">
        <f>IFERROR(__xludf.DUMMYFUNCTION("""COMPUTED_VALUE"""),"Lentil Sprouts")</f>
        <v>Lentil Sprouts</v>
      </c>
      <c r="C186" t="str">
        <f>IFERROR(__xludf.DUMMYFUNCTION("""COMPUTED_VALUE"""),"Vegetables")</f>
        <v>Vegetables</v>
      </c>
      <c r="D186">
        <f>IFERROR(__xludf.DUMMYFUNCTION("""COMPUTED_VALUE"""),106.0)</f>
        <v>106</v>
      </c>
      <c r="E186">
        <f>IFERROR(__xludf.DUMMYFUNCTION("""COMPUTED_VALUE"""),0.55)</f>
        <v>0.55</v>
      </c>
      <c r="F186">
        <f>IFERROR(__xludf.DUMMYFUNCTION("""COMPUTED_VALUE"""),8.96)</f>
        <v>8.96</v>
      </c>
      <c r="G186">
        <f>IFERROR(__xludf.DUMMYFUNCTION("""COMPUTED_VALUE"""),22.14)</f>
        <v>22.14</v>
      </c>
    </row>
    <row r="187">
      <c r="A187">
        <f>IFERROR(__xludf.DUMMYFUNCTION("""COMPUTED_VALUE"""),168428.0)</f>
        <v>168428</v>
      </c>
      <c r="B187" t="str">
        <f>IFERROR(__xludf.DUMMYFUNCTION("""COMPUTED_VALUE"""),"Cooked Lentil Sprouts")</f>
        <v>Cooked Lentil Sprouts</v>
      </c>
      <c r="C187" t="str">
        <f>IFERROR(__xludf.DUMMYFUNCTION("""COMPUTED_VALUE"""),"Vegetables")</f>
        <v>Vegetables</v>
      </c>
      <c r="D187">
        <f>IFERROR(__xludf.DUMMYFUNCTION("""COMPUTED_VALUE"""),101.0)</f>
        <v>101</v>
      </c>
      <c r="E187">
        <f>IFERROR(__xludf.DUMMYFUNCTION("""COMPUTED_VALUE"""),0.45)</f>
        <v>0.45</v>
      </c>
      <c r="F187">
        <f>IFERROR(__xludf.DUMMYFUNCTION("""COMPUTED_VALUE"""),8.8)</f>
        <v>8.8</v>
      </c>
      <c r="G187">
        <f>IFERROR(__xludf.DUMMYFUNCTION("""COMPUTED_VALUE"""),21.25)</f>
        <v>21.25</v>
      </c>
    </row>
    <row r="188">
      <c r="A188">
        <f>IFERROR(__xludf.DUMMYFUNCTION("""COMPUTED_VALUE"""),168429.0)</f>
        <v>168429</v>
      </c>
      <c r="B188" t="str">
        <f>IFERROR(__xludf.DUMMYFUNCTION("""COMPUTED_VALUE"""),"Butterhead Lettuce")</f>
        <v>Butterhead Lettuce</v>
      </c>
      <c r="C188" t="str">
        <f>IFERROR(__xludf.DUMMYFUNCTION("""COMPUTED_VALUE"""),"Vegetables")</f>
        <v>Vegetables</v>
      </c>
      <c r="D188">
        <f>IFERROR(__xludf.DUMMYFUNCTION("""COMPUTED_VALUE"""),13.0)</f>
        <v>13</v>
      </c>
      <c r="E188">
        <f>IFERROR(__xludf.DUMMYFUNCTION("""COMPUTED_VALUE"""),0.22)</f>
        <v>0.22</v>
      </c>
      <c r="F188">
        <f>IFERROR(__xludf.DUMMYFUNCTION("""COMPUTED_VALUE"""),1.35)</f>
        <v>1.35</v>
      </c>
      <c r="G188">
        <f>IFERROR(__xludf.DUMMYFUNCTION("""COMPUTED_VALUE"""),2.23)</f>
        <v>2.23</v>
      </c>
    </row>
    <row r="189">
      <c r="A189">
        <f>IFERROR(__xludf.DUMMYFUNCTION("""COMPUTED_VALUE"""),168430.0)</f>
        <v>168430</v>
      </c>
      <c r="B189" t="str">
        <f>IFERROR(__xludf.DUMMYFUNCTION("""COMPUTED_VALUE"""),"Cooked Lotus Root")</f>
        <v>Cooked Lotus Root</v>
      </c>
      <c r="C189" t="str">
        <f>IFERROR(__xludf.DUMMYFUNCTION("""COMPUTED_VALUE"""),"Vegetables")</f>
        <v>Vegetables</v>
      </c>
      <c r="D189">
        <f>IFERROR(__xludf.DUMMYFUNCTION("""COMPUTED_VALUE"""),66.0)</f>
        <v>66</v>
      </c>
      <c r="E189">
        <f>IFERROR(__xludf.DUMMYFUNCTION("""COMPUTED_VALUE"""),0.07)</f>
        <v>0.07</v>
      </c>
      <c r="F189">
        <f>IFERROR(__xludf.DUMMYFUNCTION("""COMPUTED_VALUE"""),1.58)</f>
        <v>1.58</v>
      </c>
      <c r="G189">
        <f>IFERROR(__xludf.DUMMYFUNCTION("""COMPUTED_VALUE"""),16.02)</f>
        <v>16.02</v>
      </c>
    </row>
    <row r="190">
      <c r="A190">
        <f>IFERROR(__xludf.DUMMYFUNCTION("""COMPUTED_VALUE"""),168431.0)</f>
        <v>168431</v>
      </c>
      <c r="B190" t="str">
        <f>IFERROR(__xludf.DUMMYFUNCTION("""COMPUTED_VALUE"""),"Red Leaf Lettuce")</f>
        <v>Red Leaf Lettuce</v>
      </c>
      <c r="C190" t="str">
        <f>IFERROR(__xludf.DUMMYFUNCTION("""COMPUTED_VALUE"""),"Vegetables")</f>
        <v>Vegetables</v>
      </c>
      <c r="D190">
        <f>IFERROR(__xludf.DUMMYFUNCTION("""COMPUTED_VALUE"""),13.0)</f>
        <v>13</v>
      </c>
      <c r="E190">
        <f>IFERROR(__xludf.DUMMYFUNCTION("""COMPUTED_VALUE"""),0.22)</f>
        <v>0.22</v>
      </c>
      <c r="F190">
        <f>IFERROR(__xludf.DUMMYFUNCTION("""COMPUTED_VALUE"""),1.33)</f>
        <v>1.33</v>
      </c>
      <c r="G190">
        <f>IFERROR(__xludf.DUMMYFUNCTION("""COMPUTED_VALUE"""),2.26)</f>
        <v>2.26</v>
      </c>
    </row>
    <row r="191">
      <c r="A191">
        <f>IFERROR(__xludf.DUMMYFUNCTION("""COMPUTED_VALUE"""),168432.0)</f>
        <v>168432</v>
      </c>
      <c r="B191" t="str">
        <f>IFERROR(__xludf.DUMMYFUNCTION("""COMPUTED_VALUE"""),"Mountain Yam Hawaii Raw")</f>
        <v>Mountain Yam Hawaii Raw</v>
      </c>
      <c r="C191" t="str">
        <f>IFERROR(__xludf.DUMMYFUNCTION("""COMPUTED_VALUE"""),"Vegetables")</f>
        <v>Vegetables</v>
      </c>
      <c r="D191">
        <f>IFERROR(__xludf.DUMMYFUNCTION("""COMPUTED_VALUE"""),67.0)</f>
        <v>67</v>
      </c>
      <c r="E191">
        <f>IFERROR(__xludf.DUMMYFUNCTION("""COMPUTED_VALUE"""),0.1)</f>
        <v>0.1</v>
      </c>
      <c r="F191">
        <f>IFERROR(__xludf.DUMMYFUNCTION("""COMPUTED_VALUE"""),1.34)</f>
        <v>1.34</v>
      </c>
      <c r="G191">
        <f>IFERROR(__xludf.DUMMYFUNCTION("""COMPUTED_VALUE"""),16.3)</f>
        <v>16.3</v>
      </c>
    </row>
    <row r="192">
      <c r="A192">
        <f>IFERROR(__xludf.DUMMYFUNCTION("""COMPUTED_VALUE"""),168433.0)</f>
        <v>168433</v>
      </c>
      <c r="B192" t="str">
        <f>IFERROR(__xludf.DUMMYFUNCTION("""COMPUTED_VALUE"""),"Cooked Hawaiin Mountain Yam")</f>
        <v>Cooked Hawaiin Mountain Yam</v>
      </c>
      <c r="C192" t="str">
        <f>IFERROR(__xludf.DUMMYFUNCTION("""COMPUTED_VALUE"""),"Vegetables")</f>
        <v>Vegetables</v>
      </c>
      <c r="D192">
        <f>IFERROR(__xludf.DUMMYFUNCTION("""COMPUTED_VALUE"""),82.0)</f>
        <v>82</v>
      </c>
      <c r="E192">
        <f>IFERROR(__xludf.DUMMYFUNCTION("""COMPUTED_VALUE"""),0.08)</f>
        <v>0.08</v>
      </c>
      <c r="F192">
        <f>IFERROR(__xludf.DUMMYFUNCTION("""COMPUTED_VALUE"""),1.73)</f>
        <v>1.73</v>
      </c>
      <c r="G192">
        <f>IFERROR(__xludf.DUMMYFUNCTION("""COMPUTED_VALUE"""),20.0)</f>
        <v>20</v>
      </c>
    </row>
    <row r="193">
      <c r="A193">
        <f>IFERROR(__xludf.DUMMYFUNCTION("""COMPUTED_VALUE"""),168434.0)</f>
        <v>168434</v>
      </c>
      <c r="B193" t="str">
        <f>IFERROR(__xludf.DUMMYFUNCTION("""COMPUTED_VALUE"""),"Cremini Mushrooms")</f>
        <v>Cremini Mushrooms</v>
      </c>
      <c r="C193" t="str">
        <f>IFERROR(__xludf.DUMMYFUNCTION("""COMPUTED_VALUE"""),"Vegetables")</f>
        <v>Vegetables</v>
      </c>
      <c r="D193">
        <f>IFERROR(__xludf.DUMMYFUNCTION("""COMPUTED_VALUE"""),22.0)</f>
        <v>22</v>
      </c>
      <c r="E193">
        <f>IFERROR(__xludf.DUMMYFUNCTION("""COMPUTED_VALUE"""),0.1)</f>
        <v>0.1</v>
      </c>
      <c r="F193">
        <f>IFERROR(__xludf.DUMMYFUNCTION("""COMPUTED_VALUE"""),2.5)</f>
        <v>2.5</v>
      </c>
      <c r="G193">
        <f>IFERROR(__xludf.DUMMYFUNCTION("""COMPUTED_VALUE"""),4.3)</f>
        <v>4.3</v>
      </c>
    </row>
    <row r="194">
      <c r="A194">
        <f>IFERROR(__xludf.DUMMYFUNCTION("""COMPUTED_VALUE"""),168435.0)</f>
        <v>168435</v>
      </c>
      <c r="B194" t="str">
        <f>IFERROR(__xludf.DUMMYFUNCTION("""COMPUTED_VALUE"""),"Mushrooms Shiitake Stir-Fried")</f>
        <v>Mushrooms Shiitake Stir-Fried</v>
      </c>
      <c r="C194" t="str">
        <f>IFERROR(__xludf.DUMMYFUNCTION("""COMPUTED_VALUE"""),"Vegetables")</f>
        <v>Vegetables</v>
      </c>
      <c r="D194">
        <f>IFERROR(__xludf.DUMMYFUNCTION("""COMPUTED_VALUE"""),39.0)</f>
        <v>39</v>
      </c>
      <c r="E194">
        <f>IFERROR(__xludf.DUMMYFUNCTION("""COMPUTED_VALUE"""),0.35)</f>
        <v>0.35</v>
      </c>
      <c r="F194">
        <f>IFERROR(__xludf.DUMMYFUNCTION("""COMPUTED_VALUE"""),3.45)</f>
        <v>3.45</v>
      </c>
      <c r="G194">
        <f>IFERROR(__xludf.DUMMYFUNCTION("""COMPUTED_VALUE"""),7.68)</f>
        <v>7.68</v>
      </c>
    </row>
    <row r="195">
      <c r="A195">
        <f>IFERROR(__xludf.DUMMYFUNCTION("""COMPUTED_VALUE"""),168436.0)</f>
        <v>168436</v>
      </c>
      <c r="B195" t="str">
        <f>IFERROR(__xludf.DUMMYFUNCTION("""COMPUTED_VALUE"""),"Dried Shiitake Mushrooms")</f>
        <v>Dried Shiitake Mushrooms</v>
      </c>
      <c r="C195" t="str">
        <f>IFERROR(__xludf.DUMMYFUNCTION("""COMPUTED_VALUE"""),"Vegetables")</f>
        <v>Vegetables</v>
      </c>
      <c r="D195">
        <f>IFERROR(__xludf.DUMMYFUNCTION("""COMPUTED_VALUE"""),296.0)</f>
        <v>296</v>
      </c>
      <c r="E195">
        <f>IFERROR(__xludf.DUMMYFUNCTION("""COMPUTED_VALUE"""),0.99)</f>
        <v>0.99</v>
      </c>
      <c r="F195">
        <f>IFERROR(__xludf.DUMMYFUNCTION("""COMPUTED_VALUE"""),9.58)</f>
        <v>9.58</v>
      </c>
      <c r="G195">
        <f>IFERROR(__xludf.DUMMYFUNCTION("""COMPUTED_VALUE"""),75.37)</f>
        <v>75.37</v>
      </c>
    </row>
    <row r="196">
      <c r="A196">
        <f>IFERROR(__xludf.DUMMYFUNCTION("""COMPUTED_VALUE"""),168437.0)</f>
        <v>168437</v>
      </c>
      <c r="B196" t="str">
        <f>IFERROR(__xludf.DUMMYFUNCTION("""COMPUTED_VALUE"""),"Cooked Shiitake Mushrooms")</f>
        <v>Cooked Shiitake Mushrooms</v>
      </c>
      <c r="C196" t="str">
        <f>IFERROR(__xludf.DUMMYFUNCTION("""COMPUTED_VALUE"""),"Vegetables")</f>
        <v>Vegetables</v>
      </c>
      <c r="D196">
        <f>IFERROR(__xludf.DUMMYFUNCTION("""COMPUTED_VALUE"""),56.0)</f>
        <v>56</v>
      </c>
      <c r="E196">
        <f>IFERROR(__xludf.DUMMYFUNCTION("""COMPUTED_VALUE"""),0.22)</f>
        <v>0.22</v>
      </c>
      <c r="F196">
        <f>IFERROR(__xludf.DUMMYFUNCTION("""COMPUTED_VALUE"""),1.56)</f>
        <v>1.56</v>
      </c>
      <c r="G196">
        <f>IFERROR(__xludf.DUMMYFUNCTION("""COMPUTED_VALUE"""),14.39)</f>
        <v>14.39</v>
      </c>
    </row>
    <row r="197">
      <c r="A197">
        <f>IFERROR(__xludf.DUMMYFUNCTION("""COMPUTED_VALUE"""),168438.0)</f>
        <v>168438</v>
      </c>
      <c r="B197" t="str">
        <f>IFERROR(__xludf.DUMMYFUNCTION("""COMPUTED_VALUE"""),"Mustard Spinach")</f>
        <v>Mustard Spinach</v>
      </c>
      <c r="C197" t="str">
        <f>IFERROR(__xludf.DUMMYFUNCTION("""COMPUTED_VALUE"""),"Vegetables")</f>
        <v>Vegetables</v>
      </c>
      <c r="D197">
        <f>IFERROR(__xludf.DUMMYFUNCTION("""COMPUTED_VALUE"""),22.0)</f>
        <v>22</v>
      </c>
      <c r="E197">
        <f>IFERROR(__xludf.DUMMYFUNCTION("""COMPUTED_VALUE"""),0.3)</f>
        <v>0.3</v>
      </c>
      <c r="F197">
        <f>IFERROR(__xludf.DUMMYFUNCTION("""COMPUTED_VALUE"""),2.2)</f>
        <v>2.2</v>
      </c>
      <c r="G197">
        <f>IFERROR(__xludf.DUMMYFUNCTION("""COMPUTED_VALUE"""),3.9)</f>
        <v>3.9</v>
      </c>
    </row>
    <row r="198">
      <c r="A198">
        <f>IFERROR(__xludf.DUMMYFUNCTION("""COMPUTED_VALUE"""),168439.0)</f>
        <v>168439</v>
      </c>
      <c r="B198" t="str">
        <f>IFERROR(__xludf.DUMMYFUNCTION("""COMPUTED_VALUE"""),"Cooked Mustard Spinach")</f>
        <v>Cooked Mustard Spinach</v>
      </c>
      <c r="C198" t="str">
        <f>IFERROR(__xludf.DUMMYFUNCTION("""COMPUTED_VALUE"""),"Vegetables")</f>
        <v>Vegetables</v>
      </c>
      <c r="D198">
        <f>IFERROR(__xludf.DUMMYFUNCTION("""COMPUTED_VALUE"""),16.0)</f>
        <v>16</v>
      </c>
      <c r="E198">
        <f>IFERROR(__xludf.DUMMYFUNCTION("""COMPUTED_VALUE"""),0.2)</f>
        <v>0.2</v>
      </c>
      <c r="F198">
        <f>IFERROR(__xludf.DUMMYFUNCTION("""COMPUTED_VALUE"""),1.7)</f>
        <v>1.7</v>
      </c>
      <c r="G198">
        <f>IFERROR(__xludf.DUMMYFUNCTION("""COMPUTED_VALUE"""),2.8)</f>
        <v>2.8</v>
      </c>
    </row>
    <row r="199">
      <c r="A199">
        <f>IFERROR(__xludf.DUMMYFUNCTION("""COMPUTED_VALUE"""),168440.0)</f>
        <v>168440</v>
      </c>
      <c r="B199" t="str">
        <f>IFERROR(__xludf.DUMMYFUNCTION("""COMPUTED_VALUE"""),"New Zealand Spinach")</f>
        <v>New Zealand Spinach</v>
      </c>
      <c r="C199" t="str">
        <f>IFERROR(__xludf.DUMMYFUNCTION("""COMPUTED_VALUE"""),"Vegetables")</f>
        <v>Vegetables</v>
      </c>
      <c r="D199">
        <f>IFERROR(__xludf.DUMMYFUNCTION("""COMPUTED_VALUE"""),14.0)</f>
        <v>14</v>
      </c>
      <c r="E199">
        <f>IFERROR(__xludf.DUMMYFUNCTION("""COMPUTED_VALUE"""),0.2)</f>
        <v>0.2</v>
      </c>
      <c r="F199">
        <f>IFERROR(__xludf.DUMMYFUNCTION("""COMPUTED_VALUE"""),1.5)</f>
        <v>1.5</v>
      </c>
      <c r="G199">
        <f>IFERROR(__xludf.DUMMYFUNCTION("""COMPUTED_VALUE"""),2.5)</f>
        <v>2.5</v>
      </c>
    </row>
    <row r="200">
      <c r="A200">
        <f>IFERROR(__xludf.DUMMYFUNCTION("""COMPUTED_VALUE"""),168441.0)</f>
        <v>168441</v>
      </c>
      <c r="B200" t="str">
        <f>IFERROR(__xludf.DUMMYFUNCTION("""COMPUTED_VALUE"""),"Cooked New Zealand Spinach")</f>
        <v>Cooked New Zealand Spinach</v>
      </c>
      <c r="C200" t="str">
        <f>IFERROR(__xludf.DUMMYFUNCTION("""COMPUTED_VALUE"""),"Vegetables")</f>
        <v>Vegetables</v>
      </c>
      <c r="D200">
        <f>IFERROR(__xludf.DUMMYFUNCTION("""COMPUTED_VALUE"""),12.0)</f>
        <v>12</v>
      </c>
      <c r="E200">
        <f>IFERROR(__xludf.DUMMYFUNCTION("""COMPUTED_VALUE"""),0.17)</f>
        <v>0.17</v>
      </c>
      <c r="F200">
        <f>IFERROR(__xludf.DUMMYFUNCTION("""COMPUTED_VALUE"""),1.3)</f>
        <v>1.3</v>
      </c>
      <c r="G200">
        <f>IFERROR(__xludf.DUMMYFUNCTION("""COMPUTED_VALUE"""),2.13)</f>
        <v>2.13</v>
      </c>
    </row>
    <row r="201">
      <c r="A201">
        <f>IFERROR(__xludf.DUMMYFUNCTION("""COMPUTED_VALUE"""),168442.0)</f>
        <v>168442</v>
      </c>
      <c r="B201" t="str">
        <f>IFERROR(__xludf.DUMMYFUNCTION("""COMPUTED_VALUE"""),"Potatoes French Fried All Types Salt Added In Processing Frozen Unprepared")</f>
        <v>Potatoes French Fried All Types Salt Added In Processing Frozen Unprepared</v>
      </c>
      <c r="C201" t="str">
        <f>IFERROR(__xludf.DUMMYFUNCTION("""COMPUTED_VALUE"""),"Vegetables")</f>
        <v>Vegetables</v>
      </c>
      <c r="D201">
        <f>IFERROR(__xludf.DUMMYFUNCTION("""COMPUTED_VALUE"""),147.0)</f>
        <v>147</v>
      </c>
      <c r="E201">
        <f>IFERROR(__xludf.DUMMYFUNCTION("""COMPUTED_VALUE"""),4.66)</f>
        <v>4.66</v>
      </c>
      <c r="F201">
        <f>IFERROR(__xludf.DUMMYFUNCTION("""COMPUTED_VALUE"""),2.24)</f>
        <v>2.24</v>
      </c>
      <c r="G201">
        <f>IFERROR(__xludf.DUMMYFUNCTION("""COMPUTED_VALUE"""),24.81)</f>
        <v>24.81</v>
      </c>
    </row>
    <row r="202">
      <c r="A202">
        <f>IFERROR(__xludf.DUMMYFUNCTION("""COMPUTED_VALUE"""),168443.0)</f>
        <v>168443</v>
      </c>
      <c r="B202" t="str">
        <f>IFERROR(__xludf.DUMMYFUNCTION("""COMPUTED_VALUE"""),"USDA Commodity Potato Wedges Frozen")</f>
        <v>USDA Commodity Potato Wedges Frozen</v>
      </c>
      <c r="C202" t="str">
        <f>IFERROR(__xludf.DUMMYFUNCTION("""COMPUTED_VALUE"""),"Vegetables")</f>
        <v>Vegetables</v>
      </c>
      <c r="D202">
        <f>IFERROR(__xludf.DUMMYFUNCTION("""COMPUTED_VALUE"""),129.0)</f>
        <v>129</v>
      </c>
      <c r="E202">
        <f>IFERROR(__xludf.DUMMYFUNCTION("""COMPUTED_VALUE"""),2.2)</f>
        <v>2.2</v>
      </c>
      <c r="F202">
        <f>IFERROR(__xludf.DUMMYFUNCTION("""COMPUTED_VALUE"""),2.7)</f>
        <v>2.7</v>
      </c>
      <c r="G202">
        <f>IFERROR(__xludf.DUMMYFUNCTION("""COMPUTED_VALUE"""),25.46)</f>
        <v>25.46</v>
      </c>
    </row>
    <row r="203">
      <c r="A203">
        <f>IFERROR(__xludf.DUMMYFUNCTION("""COMPUTED_VALUE"""),168444.0)</f>
        <v>168444</v>
      </c>
      <c r="B203" t="str">
        <f>IFERROR(__xludf.DUMMYFUNCTION("""COMPUTED_VALUE"""),"Potatoes French Fried Steak Fries Salt Added In Processing Frozen As Purchased")</f>
        <v>Potatoes French Fried Steak Fries Salt Added In Processing Frozen As Purchased</v>
      </c>
      <c r="C203" t="str">
        <f>IFERROR(__xludf.DUMMYFUNCTION("""COMPUTED_VALUE"""),"Vegetables")</f>
        <v>Vegetables</v>
      </c>
      <c r="D203">
        <f>IFERROR(__xludf.DUMMYFUNCTION("""COMPUTED_VALUE"""),130.0)</f>
        <v>130</v>
      </c>
      <c r="E203">
        <f>IFERROR(__xludf.DUMMYFUNCTION("""COMPUTED_VALUE"""),3.39)</f>
        <v>3.39</v>
      </c>
      <c r="F203">
        <f>IFERROR(__xludf.DUMMYFUNCTION("""COMPUTED_VALUE"""),2.19)</f>
        <v>2.19</v>
      </c>
      <c r="G203">
        <f>IFERROR(__xludf.DUMMYFUNCTION("""COMPUTED_VALUE"""),23.51)</f>
        <v>23.51</v>
      </c>
    </row>
    <row r="204">
      <c r="A204">
        <f>IFERROR(__xludf.DUMMYFUNCTION("""COMPUTED_VALUE"""),168445.0)</f>
        <v>168445</v>
      </c>
      <c r="B204" t="str">
        <f>IFERROR(__xludf.DUMMYFUNCTION("""COMPUTED_VALUE"""),"Potatoes French Fried Steak Fries Salt Added In Processing Frozen Oven-Heated")</f>
        <v>Potatoes French Fried Steak Fries Salt Added In Processing Frozen Oven-Heated</v>
      </c>
      <c r="C204" t="str">
        <f>IFERROR(__xludf.DUMMYFUNCTION("""COMPUTED_VALUE"""),"Vegetables")</f>
        <v>Vegetables</v>
      </c>
      <c r="D204">
        <f>IFERROR(__xludf.DUMMYFUNCTION("""COMPUTED_VALUE"""),148.0)</f>
        <v>148</v>
      </c>
      <c r="E204">
        <f>IFERROR(__xludf.DUMMYFUNCTION("""COMPUTED_VALUE"""),3.76)</f>
        <v>3.76</v>
      </c>
      <c r="F204">
        <f>IFERROR(__xludf.DUMMYFUNCTION("""COMPUTED_VALUE"""),2.57)</f>
        <v>2.57</v>
      </c>
      <c r="G204">
        <f>IFERROR(__xludf.DUMMYFUNCTION("""COMPUTED_VALUE"""),26.98)</f>
        <v>26.98</v>
      </c>
    </row>
    <row r="205">
      <c r="A205">
        <f>IFERROR(__xludf.DUMMYFUNCTION("""COMPUTED_VALUE"""),168446.0)</f>
        <v>168446</v>
      </c>
      <c r="B205" t="str">
        <f>IFERROR(__xludf.DUMMYFUNCTION("""COMPUTED_VALUE"""),"Potato Flour")</f>
        <v>Potato Flour</v>
      </c>
      <c r="C205" t="str">
        <f>IFERROR(__xludf.DUMMYFUNCTION("""COMPUTED_VALUE"""),"Vegetables")</f>
        <v>Vegetables</v>
      </c>
      <c r="D205">
        <f>IFERROR(__xludf.DUMMYFUNCTION("""COMPUTED_VALUE"""),357.0)</f>
        <v>357</v>
      </c>
      <c r="E205">
        <f>IFERROR(__xludf.DUMMYFUNCTION("""COMPUTED_VALUE"""),0.34)</f>
        <v>0.34</v>
      </c>
      <c r="F205">
        <f>IFERROR(__xludf.DUMMYFUNCTION("""COMPUTED_VALUE"""),6.9)</f>
        <v>6.9</v>
      </c>
      <c r="G205">
        <f>IFERROR(__xludf.DUMMYFUNCTION("""COMPUTED_VALUE"""),83.1)</f>
        <v>83.1</v>
      </c>
    </row>
    <row r="206">
      <c r="A206">
        <f>IFERROR(__xludf.DUMMYFUNCTION("""COMPUTED_VALUE"""),168447.0)</f>
        <v>168447</v>
      </c>
      <c r="B206" t="str">
        <f>IFERROR(__xludf.DUMMYFUNCTION("""COMPUTED_VALUE"""),"Pumpkin Leaves (Cooked)")</f>
        <v>Pumpkin Leaves (Cooked)</v>
      </c>
      <c r="C206" t="str">
        <f>IFERROR(__xludf.DUMMYFUNCTION("""COMPUTED_VALUE"""),"Vegetables")</f>
        <v>Vegetables</v>
      </c>
      <c r="D206">
        <f>IFERROR(__xludf.DUMMYFUNCTION("""COMPUTED_VALUE"""),21.0)</f>
        <v>21</v>
      </c>
      <c r="E206">
        <f>IFERROR(__xludf.DUMMYFUNCTION("""COMPUTED_VALUE"""),0.22)</f>
        <v>0.22</v>
      </c>
      <c r="F206">
        <f>IFERROR(__xludf.DUMMYFUNCTION("""COMPUTED_VALUE"""),2.72)</f>
        <v>2.72</v>
      </c>
      <c r="G206">
        <f>IFERROR(__xludf.DUMMYFUNCTION("""COMPUTED_VALUE"""),3.39)</f>
        <v>3.39</v>
      </c>
    </row>
    <row r="207">
      <c r="A207">
        <f>IFERROR(__xludf.DUMMYFUNCTION("""COMPUTED_VALUE"""),168448.0)</f>
        <v>168448</v>
      </c>
      <c r="B207" t="str">
        <f>IFERROR(__xludf.DUMMYFUNCTION("""COMPUTED_VALUE"""),"Pumpkin Raw")</f>
        <v>Pumpkin Raw</v>
      </c>
      <c r="C207" t="str">
        <f>IFERROR(__xludf.DUMMYFUNCTION("""COMPUTED_VALUE"""),"Vegetables")</f>
        <v>Vegetables</v>
      </c>
      <c r="D207">
        <f>IFERROR(__xludf.DUMMYFUNCTION("""COMPUTED_VALUE"""),26.0)</f>
        <v>26</v>
      </c>
      <c r="E207">
        <f>IFERROR(__xludf.DUMMYFUNCTION("""COMPUTED_VALUE"""),0.1)</f>
        <v>0.1</v>
      </c>
      <c r="F207">
        <f>IFERROR(__xludf.DUMMYFUNCTION("""COMPUTED_VALUE"""),1.0)</f>
        <v>1</v>
      </c>
      <c r="G207">
        <f>IFERROR(__xludf.DUMMYFUNCTION("""COMPUTED_VALUE"""),6.5)</f>
        <v>6.5</v>
      </c>
    </row>
    <row r="208">
      <c r="A208">
        <f>IFERROR(__xludf.DUMMYFUNCTION("""COMPUTED_VALUE"""),168449.0)</f>
        <v>168449</v>
      </c>
      <c r="B208" t="str">
        <f>IFERROR(__xludf.DUMMYFUNCTION("""COMPUTED_VALUE"""),"Cooked Pumpkin")</f>
        <v>Cooked Pumpkin</v>
      </c>
      <c r="C208" t="str">
        <f>IFERROR(__xludf.DUMMYFUNCTION("""COMPUTED_VALUE"""),"Vegetables")</f>
        <v>Vegetables</v>
      </c>
      <c r="D208">
        <f>IFERROR(__xludf.DUMMYFUNCTION("""COMPUTED_VALUE"""),20.0)</f>
        <v>20</v>
      </c>
      <c r="E208">
        <f>IFERROR(__xludf.DUMMYFUNCTION("""COMPUTED_VALUE"""),0.07)</f>
        <v>0.07</v>
      </c>
      <c r="F208">
        <f>IFERROR(__xludf.DUMMYFUNCTION("""COMPUTED_VALUE"""),0.72)</f>
        <v>0.72</v>
      </c>
      <c r="G208">
        <f>IFERROR(__xludf.DUMMYFUNCTION("""COMPUTED_VALUE"""),4.9)</f>
        <v>4.9</v>
      </c>
    </row>
    <row r="209">
      <c r="A209">
        <f>IFERROR(__xludf.DUMMYFUNCTION("""COMPUTED_VALUE"""),168450.0)</f>
        <v>168450</v>
      </c>
      <c r="B209" t="str">
        <f>IFERROR(__xludf.DUMMYFUNCTION("""COMPUTED_VALUE"""),"Canned Pumpkin")</f>
        <v>Canned Pumpkin</v>
      </c>
      <c r="C209" t="str">
        <f>IFERROR(__xludf.DUMMYFUNCTION("""COMPUTED_VALUE"""),"Vegetables")</f>
        <v>Vegetables</v>
      </c>
      <c r="D209">
        <f>IFERROR(__xludf.DUMMYFUNCTION("""COMPUTED_VALUE"""),34.0)</f>
        <v>34</v>
      </c>
      <c r="E209">
        <f>IFERROR(__xludf.DUMMYFUNCTION("""COMPUTED_VALUE"""),0.28)</f>
        <v>0.28</v>
      </c>
      <c r="F209">
        <f>IFERROR(__xludf.DUMMYFUNCTION("""COMPUTED_VALUE"""),1.1)</f>
        <v>1.1</v>
      </c>
      <c r="G209">
        <f>IFERROR(__xludf.DUMMYFUNCTION("""COMPUTED_VALUE"""),8.09)</f>
        <v>8.09</v>
      </c>
    </row>
    <row r="210">
      <c r="A210">
        <f>IFERROR(__xludf.DUMMYFUNCTION("""COMPUTED_VALUE"""),168451.0)</f>
        <v>168451</v>
      </c>
      <c r="B210" t="str">
        <f>IFERROR(__xludf.DUMMYFUNCTION("""COMPUTED_VALUE"""),"Oriental Radishes")</f>
        <v>Oriental Radishes</v>
      </c>
      <c r="C210" t="str">
        <f>IFERROR(__xludf.DUMMYFUNCTION("""COMPUTED_VALUE"""),"Vegetables")</f>
        <v>Vegetables</v>
      </c>
      <c r="D210">
        <f>IFERROR(__xludf.DUMMYFUNCTION("""COMPUTED_VALUE"""),18.0)</f>
        <v>18</v>
      </c>
      <c r="E210">
        <f>IFERROR(__xludf.DUMMYFUNCTION("""COMPUTED_VALUE"""),0.1)</f>
        <v>0.1</v>
      </c>
      <c r="F210">
        <f>IFERROR(__xludf.DUMMYFUNCTION("""COMPUTED_VALUE"""),0.6)</f>
        <v>0.6</v>
      </c>
      <c r="G210">
        <f>IFERROR(__xludf.DUMMYFUNCTION("""COMPUTED_VALUE"""),4.1)</f>
        <v>4.1</v>
      </c>
    </row>
    <row r="211">
      <c r="A211">
        <f>IFERROR(__xludf.DUMMYFUNCTION("""COMPUTED_VALUE"""),168452.0)</f>
        <v>168452</v>
      </c>
      <c r="B211" t="str">
        <f>IFERROR(__xludf.DUMMYFUNCTION("""COMPUTED_VALUE"""),"Cooked Oriental Radishes")</f>
        <v>Cooked Oriental Radishes</v>
      </c>
      <c r="C211" t="str">
        <f>IFERROR(__xludf.DUMMYFUNCTION("""COMPUTED_VALUE"""),"Vegetables")</f>
        <v>Vegetables</v>
      </c>
      <c r="D211">
        <f>IFERROR(__xludf.DUMMYFUNCTION("""COMPUTED_VALUE"""),17.0)</f>
        <v>17</v>
      </c>
      <c r="E211">
        <f>IFERROR(__xludf.DUMMYFUNCTION("""COMPUTED_VALUE"""),0.24)</f>
        <v>0.24</v>
      </c>
      <c r="F211">
        <f>IFERROR(__xludf.DUMMYFUNCTION("""COMPUTED_VALUE"""),0.67)</f>
        <v>0.67</v>
      </c>
      <c r="G211">
        <f>IFERROR(__xludf.DUMMYFUNCTION("""COMPUTED_VALUE"""),3.43)</f>
        <v>3.43</v>
      </c>
    </row>
    <row r="212">
      <c r="A212">
        <f>IFERROR(__xludf.DUMMYFUNCTION("""COMPUTED_VALUE"""),168453.0)</f>
        <v>168453</v>
      </c>
      <c r="B212" t="str">
        <f>IFERROR(__xludf.DUMMYFUNCTION("""COMPUTED_VALUE"""),"Radishes Oriental Dried")</f>
        <v>Radishes Oriental Dried</v>
      </c>
      <c r="C212" t="str">
        <f>IFERROR(__xludf.DUMMYFUNCTION("""COMPUTED_VALUE"""),"Vegetables")</f>
        <v>Vegetables</v>
      </c>
      <c r="D212">
        <f>IFERROR(__xludf.DUMMYFUNCTION("""COMPUTED_VALUE"""),271.0)</f>
        <v>271</v>
      </c>
      <c r="E212">
        <f>IFERROR(__xludf.DUMMYFUNCTION("""COMPUTED_VALUE"""),0.72)</f>
        <v>0.72</v>
      </c>
      <c r="F212">
        <f>IFERROR(__xludf.DUMMYFUNCTION("""COMPUTED_VALUE"""),7.9)</f>
        <v>7.9</v>
      </c>
      <c r="G212">
        <f>IFERROR(__xludf.DUMMYFUNCTION("""COMPUTED_VALUE"""),63.37)</f>
        <v>63.37</v>
      </c>
    </row>
    <row r="213">
      <c r="A213">
        <f>IFERROR(__xludf.DUMMYFUNCTION("""COMPUTED_VALUE"""),168454.0)</f>
        <v>168454</v>
      </c>
      <c r="B213" t="str">
        <f>IFERROR(__xludf.DUMMYFUNCTION("""COMPUTED_VALUE"""),"Rutabagas (Neeps Swedes)")</f>
        <v>Rutabagas (Neeps Swedes)</v>
      </c>
      <c r="C213" t="str">
        <f>IFERROR(__xludf.DUMMYFUNCTION("""COMPUTED_VALUE"""),"Vegetables")</f>
        <v>Vegetables</v>
      </c>
      <c r="D213">
        <f>IFERROR(__xludf.DUMMYFUNCTION("""COMPUTED_VALUE"""),37.0)</f>
        <v>37</v>
      </c>
      <c r="E213">
        <f>IFERROR(__xludf.DUMMYFUNCTION("""COMPUTED_VALUE"""),0.16)</f>
        <v>0.16</v>
      </c>
      <c r="F213">
        <f>IFERROR(__xludf.DUMMYFUNCTION("""COMPUTED_VALUE"""),1.08)</f>
        <v>1.08</v>
      </c>
      <c r="G213">
        <f>IFERROR(__xludf.DUMMYFUNCTION("""COMPUTED_VALUE"""),8.62)</f>
        <v>8.62</v>
      </c>
    </row>
    <row r="214">
      <c r="A214">
        <f>IFERROR(__xludf.DUMMYFUNCTION("""COMPUTED_VALUE"""),168455.0)</f>
        <v>168455</v>
      </c>
      <c r="B214" t="str">
        <f>IFERROR(__xludf.DUMMYFUNCTION("""COMPUTED_VALUE"""),"Cooked Rutabagas (Neeps Swedes)")</f>
        <v>Cooked Rutabagas (Neeps Swedes)</v>
      </c>
      <c r="C214" t="str">
        <f>IFERROR(__xludf.DUMMYFUNCTION("""COMPUTED_VALUE"""),"Vegetables")</f>
        <v>Vegetables</v>
      </c>
      <c r="D214">
        <f>IFERROR(__xludf.DUMMYFUNCTION("""COMPUTED_VALUE"""),30.0)</f>
        <v>30</v>
      </c>
      <c r="E214">
        <f>IFERROR(__xludf.DUMMYFUNCTION("""COMPUTED_VALUE"""),0.18)</f>
        <v>0.18</v>
      </c>
      <c r="F214">
        <f>IFERROR(__xludf.DUMMYFUNCTION("""COMPUTED_VALUE"""),0.93)</f>
        <v>0.93</v>
      </c>
      <c r="G214">
        <f>IFERROR(__xludf.DUMMYFUNCTION("""COMPUTED_VALUE"""),6.84)</f>
        <v>6.84</v>
      </c>
    </row>
    <row r="215">
      <c r="A215">
        <f>IFERROR(__xludf.DUMMYFUNCTION("""COMPUTED_VALUE"""),168456.0)</f>
        <v>168456</v>
      </c>
      <c r="B215" t="str">
        <f>IFERROR(__xludf.DUMMYFUNCTION("""COMPUTED_VALUE"""),"Irishmoss Seaweed")</f>
        <v>Irishmoss Seaweed</v>
      </c>
      <c r="C215" t="str">
        <f>IFERROR(__xludf.DUMMYFUNCTION("""COMPUTED_VALUE"""),"Vegetables")</f>
        <v>Vegetables</v>
      </c>
      <c r="D215">
        <f>IFERROR(__xludf.DUMMYFUNCTION("""COMPUTED_VALUE"""),49.0)</f>
        <v>49</v>
      </c>
      <c r="E215">
        <f>IFERROR(__xludf.DUMMYFUNCTION("""COMPUTED_VALUE"""),0.16)</f>
        <v>0.16</v>
      </c>
      <c r="F215">
        <f>IFERROR(__xludf.DUMMYFUNCTION("""COMPUTED_VALUE"""),1.51)</f>
        <v>1.51</v>
      </c>
      <c r="G215">
        <f>IFERROR(__xludf.DUMMYFUNCTION("""COMPUTED_VALUE"""),12.29)</f>
        <v>12.29</v>
      </c>
    </row>
    <row r="216">
      <c r="A216">
        <f>IFERROR(__xludf.DUMMYFUNCTION("""COMPUTED_VALUE"""),168457.0)</f>
        <v>168457</v>
      </c>
      <c r="B216" t="str">
        <f>IFERROR(__xludf.DUMMYFUNCTION("""COMPUTED_VALUE"""),"Kelp Seaweed")</f>
        <v>Kelp Seaweed</v>
      </c>
      <c r="C216" t="str">
        <f>IFERROR(__xludf.DUMMYFUNCTION("""COMPUTED_VALUE"""),"Vegetables")</f>
        <v>Vegetables</v>
      </c>
      <c r="D216">
        <f>IFERROR(__xludf.DUMMYFUNCTION("""COMPUTED_VALUE"""),43.0)</f>
        <v>43</v>
      </c>
      <c r="E216">
        <f>IFERROR(__xludf.DUMMYFUNCTION("""COMPUTED_VALUE"""),0.56)</f>
        <v>0.56</v>
      </c>
      <c r="F216">
        <f>IFERROR(__xludf.DUMMYFUNCTION("""COMPUTED_VALUE"""),1.68)</f>
        <v>1.68</v>
      </c>
      <c r="G216">
        <f>IFERROR(__xludf.DUMMYFUNCTION("""COMPUTED_VALUE"""),9.57)</f>
        <v>9.57</v>
      </c>
    </row>
    <row r="217">
      <c r="A217">
        <f>IFERROR(__xludf.DUMMYFUNCTION("""COMPUTED_VALUE"""),168458.0)</f>
        <v>168458</v>
      </c>
      <c r="B217" t="str">
        <f>IFERROR(__xludf.DUMMYFUNCTION("""COMPUTED_VALUE"""),"Laver Seaweed")</f>
        <v>Laver Seaweed</v>
      </c>
      <c r="C217" t="str">
        <f>IFERROR(__xludf.DUMMYFUNCTION("""COMPUTED_VALUE"""),"Vegetables")</f>
        <v>Vegetables</v>
      </c>
      <c r="D217">
        <f>IFERROR(__xludf.DUMMYFUNCTION("""COMPUTED_VALUE"""),35.0)</f>
        <v>35</v>
      </c>
      <c r="E217">
        <f>IFERROR(__xludf.DUMMYFUNCTION("""COMPUTED_VALUE"""),0.28)</f>
        <v>0.28</v>
      </c>
      <c r="F217">
        <f>IFERROR(__xludf.DUMMYFUNCTION("""COMPUTED_VALUE"""),5.81)</f>
        <v>5.81</v>
      </c>
      <c r="G217">
        <f>IFERROR(__xludf.DUMMYFUNCTION("""COMPUTED_VALUE"""),5.11)</f>
        <v>5.11</v>
      </c>
    </row>
    <row r="218">
      <c r="A218">
        <f>IFERROR(__xludf.DUMMYFUNCTION("""COMPUTED_VALUE"""),168459.0)</f>
        <v>168459</v>
      </c>
      <c r="B218" t="str">
        <f>IFERROR(__xludf.DUMMYFUNCTION("""COMPUTED_VALUE"""),"Sesbania Flower Raw")</f>
        <v>Sesbania Flower Raw</v>
      </c>
      <c r="C218" t="str">
        <f>IFERROR(__xludf.DUMMYFUNCTION("""COMPUTED_VALUE"""),"Vegetables")</f>
        <v>Vegetables</v>
      </c>
      <c r="D218">
        <f>IFERROR(__xludf.DUMMYFUNCTION("""COMPUTED_VALUE"""),27.0)</f>
        <v>27</v>
      </c>
      <c r="E218">
        <f>IFERROR(__xludf.DUMMYFUNCTION("""COMPUTED_VALUE"""),0.04)</f>
        <v>0.04</v>
      </c>
      <c r="F218">
        <f>IFERROR(__xludf.DUMMYFUNCTION("""COMPUTED_VALUE"""),1.28)</f>
        <v>1.28</v>
      </c>
      <c r="G218">
        <f>IFERROR(__xludf.DUMMYFUNCTION("""COMPUTED_VALUE"""),6.73)</f>
        <v>6.73</v>
      </c>
    </row>
    <row r="219">
      <c r="A219">
        <f>IFERROR(__xludf.DUMMYFUNCTION("""COMPUTED_VALUE"""),168460.0)</f>
        <v>168460</v>
      </c>
      <c r="B219" t="str">
        <f>IFERROR(__xludf.DUMMYFUNCTION("""COMPUTED_VALUE"""),"Cooked Soybean Sprouts")</f>
        <v>Cooked Soybean Sprouts</v>
      </c>
      <c r="C219" t="str">
        <f>IFERROR(__xludf.DUMMYFUNCTION("""COMPUTED_VALUE"""),"Vegetables")</f>
        <v>Vegetables</v>
      </c>
      <c r="D219">
        <f>IFERROR(__xludf.DUMMYFUNCTION("""COMPUTED_VALUE"""),81.0)</f>
        <v>81</v>
      </c>
      <c r="E219">
        <f>IFERROR(__xludf.DUMMYFUNCTION("""COMPUTED_VALUE"""),4.45)</f>
        <v>4.45</v>
      </c>
      <c r="F219">
        <f>IFERROR(__xludf.DUMMYFUNCTION("""COMPUTED_VALUE"""),8.47)</f>
        <v>8.47</v>
      </c>
      <c r="G219">
        <f>IFERROR(__xludf.DUMMYFUNCTION("""COMPUTED_VALUE"""),6.53)</f>
        <v>6.53</v>
      </c>
    </row>
    <row r="220">
      <c r="A220">
        <f>IFERROR(__xludf.DUMMYFUNCTION("""COMPUTED_VALUE"""),168461.0)</f>
        <v>168461</v>
      </c>
      <c r="B220" t="str">
        <f>IFERROR(__xludf.DUMMYFUNCTION("""COMPUTED_VALUE"""),"Stirfried Soybean Sprouts")</f>
        <v>Stirfried Soybean Sprouts</v>
      </c>
      <c r="C220" t="str">
        <f>IFERROR(__xludf.DUMMYFUNCTION("""COMPUTED_VALUE"""),"Vegetables")</f>
        <v>Vegetables</v>
      </c>
      <c r="D220">
        <f>IFERROR(__xludf.DUMMYFUNCTION("""COMPUTED_VALUE"""),125.0)</f>
        <v>125</v>
      </c>
      <c r="E220">
        <f>IFERROR(__xludf.DUMMYFUNCTION("""COMPUTED_VALUE"""),7.1)</f>
        <v>7.1</v>
      </c>
      <c r="F220">
        <f>IFERROR(__xludf.DUMMYFUNCTION("""COMPUTED_VALUE"""),13.1)</f>
        <v>13.1</v>
      </c>
      <c r="G220">
        <f>IFERROR(__xludf.DUMMYFUNCTION("""COMPUTED_VALUE"""),9.4)</f>
        <v>9.4</v>
      </c>
    </row>
    <row r="221">
      <c r="A221">
        <f>IFERROR(__xludf.DUMMYFUNCTION("""COMPUTED_VALUE"""),168462.0)</f>
        <v>168462</v>
      </c>
      <c r="B221" t="str">
        <f>IFERROR(__xludf.DUMMYFUNCTION("""COMPUTED_VALUE"""),"Spinach")</f>
        <v>Spinach</v>
      </c>
      <c r="C221" t="str">
        <f>IFERROR(__xludf.DUMMYFUNCTION("""COMPUTED_VALUE"""),"Vegetables")</f>
        <v>Vegetables</v>
      </c>
      <c r="D221">
        <f>IFERROR(__xludf.DUMMYFUNCTION("""COMPUTED_VALUE"""),23.0)</f>
        <v>23</v>
      </c>
      <c r="E221">
        <f>IFERROR(__xludf.DUMMYFUNCTION("""COMPUTED_VALUE"""),0.39)</f>
        <v>0.39</v>
      </c>
      <c r="F221">
        <f>IFERROR(__xludf.DUMMYFUNCTION("""COMPUTED_VALUE"""),2.86)</f>
        <v>2.86</v>
      </c>
      <c r="G221">
        <f>IFERROR(__xludf.DUMMYFUNCTION("""COMPUTED_VALUE"""),3.63)</f>
        <v>3.63</v>
      </c>
    </row>
    <row r="222">
      <c r="A222">
        <f>IFERROR(__xludf.DUMMYFUNCTION("""COMPUTED_VALUE"""),168463.0)</f>
        <v>168463</v>
      </c>
      <c r="B222" t="str">
        <f>IFERROR(__xludf.DUMMYFUNCTION("""COMPUTED_VALUE"""),"Cooked Spinach")</f>
        <v>Cooked Spinach</v>
      </c>
      <c r="C222" t="str">
        <f>IFERROR(__xludf.DUMMYFUNCTION("""COMPUTED_VALUE"""),"Vegetables")</f>
        <v>Vegetables</v>
      </c>
      <c r="D222">
        <f>IFERROR(__xludf.DUMMYFUNCTION("""COMPUTED_VALUE"""),23.0)</f>
        <v>23</v>
      </c>
      <c r="E222">
        <f>IFERROR(__xludf.DUMMYFUNCTION("""COMPUTED_VALUE"""),0.26)</f>
        <v>0.26</v>
      </c>
      <c r="F222">
        <f>IFERROR(__xludf.DUMMYFUNCTION("""COMPUTED_VALUE"""),2.97)</f>
        <v>2.97</v>
      </c>
      <c r="G222">
        <f>IFERROR(__xludf.DUMMYFUNCTION("""COMPUTED_VALUE"""),3.75)</f>
        <v>3.75</v>
      </c>
    </row>
    <row r="223">
      <c r="A223">
        <f>IFERROR(__xludf.DUMMYFUNCTION("""COMPUTED_VALUE"""),168464.0)</f>
        <v>168464</v>
      </c>
      <c r="B223" t="str">
        <f>IFERROR(__xludf.DUMMYFUNCTION("""COMPUTED_VALUE"""),"Crookneck Summer Squash")</f>
        <v>Crookneck Summer Squash</v>
      </c>
      <c r="C223" t="str">
        <f>IFERROR(__xludf.DUMMYFUNCTION("""COMPUTED_VALUE"""),"Vegetables")</f>
        <v>Vegetables</v>
      </c>
      <c r="D223">
        <f>IFERROR(__xludf.DUMMYFUNCTION("""COMPUTED_VALUE"""),19.0)</f>
        <v>19</v>
      </c>
      <c r="E223">
        <f>IFERROR(__xludf.DUMMYFUNCTION("""COMPUTED_VALUE"""),0.27)</f>
        <v>0.27</v>
      </c>
      <c r="F223">
        <f>IFERROR(__xludf.DUMMYFUNCTION("""COMPUTED_VALUE"""),1.01)</f>
        <v>1.01</v>
      </c>
      <c r="G223">
        <f>IFERROR(__xludf.DUMMYFUNCTION("""COMPUTED_VALUE"""),3.88)</f>
        <v>3.88</v>
      </c>
    </row>
    <row r="224">
      <c r="A224">
        <f>IFERROR(__xludf.DUMMYFUNCTION("""COMPUTED_VALUE"""),168465.0)</f>
        <v>168465</v>
      </c>
      <c r="B224" t="str">
        <f>IFERROR(__xludf.DUMMYFUNCTION("""COMPUTED_VALUE"""),"Cooked Crookneck Summer Squash")</f>
        <v>Cooked Crookneck Summer Squash</v>
      </c>
      <c r="C224" t="str">
        <f>IFERROR(__xludf.DUMMYFUNCTION("""COMPUTED_VALUE"""),"Vegetables")</f>
        <v>Vegetables</v>
      </c>
      <c r="D224">
        <f>IFERROR(__xludf.DUMMYFUNCTION("""COMPUTED_VALUE"""),19.0)</f>
        <v>19</v>
      </c>
      <c r="E224">
        <f>IFERROR(__xludf.DUMMYFUNCTION("""COMPUTED_VALUE"""),0.39)</f>
        <v>0.39</v>
      </c>
      <c r="F224">
        <f>IFERROR(__xludf.DUMMYFUNCTION("""COMPUTED_VALUE"""),1.04)</f>
        <v>1.04</v>
      </c>
      <c r="G224">
        <f>IFERROR(__xludf.DUMMYFUNCTION("""COMPUTED_VALUE"""),3.79)</f>
        <v>3.79</v>
      </c>
    </row>
    <row r="225">
      <c r="A225">
        <f>IFERROR(__xludf.DUMMYFUNCTION("""COMPUTED_VALUE"""),168466.0)</f>
        <v>168466</v>
      </c>
      <c r="B225" t="str">
        <f>IFERROR(__xludf.DUMMYFUNCTION("""COMPUTED_VALUE"""),"Squash Summer Crookneck And Straightneck Canned Drained Solid Without Salt")</f>
        <v>Squash Summer Crookneck And Straightneck Canned Drained Solid Without Salt</v>
      </c>
      <c r="C225" t="str">
        <f>IFERROR(__xludf.DUMMYFUNCTION("""COMPUTED_VALUE"""),"Vegetables")</f>
        <v>Vegetables</v>
      </c>
      <c r="D225">
        <f>IFERROR(__xludf.DUMMYFUNCTION("""COMPUTED_VALUE"""),13.0)</f>
        <v>13</v>
      </c>
      <c r="E225">
        <f>IFERROR(__xludf.DUMMYFUNCTION("""COMPUTED_VALUE"""),0.07)</f>
        <v>0.07</v>
      </c>
      <c r="F225">
        <f>IFERROR(__xludf.DUMMYFUNCTION("""COMPUTED_VALUE"""),0.61)</f>
        <v>0.61</v>
      </c>
      <c r="G225">
        <f>IFERROR(__xludf.DUMMYFUNCTION("""COMPUTED_VALUE"""),2.96)</f>
        <v>2.96</v>
      </c>
    </row>
    <row r="226">
      <c r="A226">
        <f>IFERROR(__xludf.DUMMYFUNCTION("""COMPUTED_VALUE"""),168467.0)</f>
        <v>168467</v>
      </c>
      <c r="B226" t="str">
        <f>IFERROR(__xludf.DUMMYFUNCTION("""COMPUTED_VALUE"""),"Squash Summer Crookneck And Straightneck Frozen Unprepared")</f>
        <v>Squash Summer Crookneck And Straightneck Frozen Unprepared</v>
      </c>
      <c r="C226" t="str">
        <f>IFERROR(__xludf.DUMMYFUNCTION("""COMPUTED_VALUE"""),"Vegetables")</f>
        <v>Vegetables</v>
      </c>
      <c r="D226">
        <f>IFERROR(__xludf.DUMMYFUNCTION("""COMPUTED_VALUE"""),20.0)</f>
        <v>20</v>
      </c>
      <c r="E226">
        <f>IFERROR(__xludf.DUMMYFUNCTION("""COMPUTED_VALUE"""),0.14)</f>
        <v>0.14</v>
      </c>
      <c r="F226">
        <f>IFERROR(__xludf.DUMMYFUNCTION("""COMPUTED_VALUE"""),0.83)</f>
        <v>0.83</v>
      </c>
      <c r="G226">
        <f>IFERROR(__xludf.DUMMYFUNCTION("""COMPUTED_VALUE"""),4.8)</f>
        <v>4.8</v>
      </c>
    </row>
    <row r="227">
      <c r="A227">
        <f>IFERROR(__xludf.DUMMYFUNCTION("""COMPUTED_VALUE"""),168468.0)</f>
        <v>168468</v>
      </c>
      <c r="B227" t="str">
        <f>IFERROR(__xludf.DUMMYFUNCTION("""COMPUTED_VALUE"""),"Squash Summer Crookneck And Straightneck Frozen Cooked Boiled Drained Without Salt")</f>
        <v>Squash Summer Crookneck And Straightneck Frozen Cooked Boiled Drained Without Salt</v>
      </c>
      <c r="C227" t="str">
        <f>IFERROR(__xludf.DUMMYFUNCTION("""COMPUTED_VALUE"""),"Vegetables")</f>
        <v>Vegetables</v>
      </c>
      <c r="D227">
        <f>IFERROR(__xludf.DUMMYFUNCTION("""COMPUTED_VALUE"""),25.0)</f>
        <v>25</v>
      </c>
      <c r="E227">
        <f>IFERROR(__xludf.DUMMYFUNCTION("""COMPUTED_VALUE"""),0.2)</f>
        <v>0.2</v>
      </c>
      <c r="F227">
        <f>IFERROR(__xludf.DUMMYFUNCTION("""COMPUTED_VALUE"""),1.28)</f>
        <v>1.28</v>
      </c>
      <c r="G227">
        <f>IFERROR(__xludf.DUMMYFUNCTION("""COMPUTED_VALUE"""),5.54)</f>
        <v>5.54</v>
      </c>
    </row>
    <row r="228">
      <c r="A228">
        <f>IFERROR(__xludf.DUMMYFUNCTION("""COMPUTED_VALUE"""),168469.0)</f>
        <v>168469</v>
      </c>
      <c r="B228" t="str">
        <f>IFERROR(__xludf.DUMMYFUNCTION("""COMPUTED_VALUE"""),"Squash Summer Zucchini Includes Skin Frozen Unprepared")</f>
        <v>Squash Summer Zucchini Includes Skin Frozen Unprepared</v>
      </c>
      <c r="C228" t="str">
        <f>IFERROR(__xludf.DUMMYFUNCTION("""COMPUTED_VALUE"""),"Vegetables")</f>
        <v>Vegetables</v>
      </c>
      <c r="D228">
        <f>IFERROR(__xludf.DUMMYFUNCTION("""COMPUTED_VALUE"""),17.0)</f>
        <v>17</v>
      </c>
      <c r="E228">
        <f>IFERROR(__xludf.DUMMYFUNCTION("""COMPUTED_VALUE"""),0.13)</f>
        <v>0.13</v>
      </c>
      <c r="F228">
        <f>IFERROR(__xludf.DUMMYFUNCTION("""COMPUTED_VALUE"""),1.16)</f>
        <v>1.16</v>
      </c>
      <c r="G228">
        <f>IFERROR(__xludf.DUMMYFUNCTION("""COMPUTED_VALUE"""),3.58)</f>
        <v>3.58</v>
      </c>
    </row>
    <row r="229">
      <c r="A229">
        <f>IFERROR(__xludf.DUMMYFUNCTION("""COMPUTED_VALUE"""),168470.0)</f>
        <v>168470</v>
      </c>
      <c r="B229" t="str">
        <f>IFERROR(__xludf.DUMMYFUNCTION("""COMPUTED_VALUE"""),"Squash Summer Zucchini Includes Skin Frozen Cooked Boiled Drained Without Salt")</f>
        <v>Squash Summer Zucchini Includes Skin Frozen Cooked Boiled Drained Without Salt</v>
      </c>
      <c r="C229" t="str">
        <f>IFERROR(__xludf.DUMMYFUNCTION("""COMPUTED_VALUE"""),"Vegetables")</f>
        <v>Vegetables</v>
      </c>
      <c r="D229">
        <f>IFERROR(__xludf.DUMMYFUNCTION("""COMPUTED_VALUE"""),17.0)</f>
        <v>17</v>
      </c>
      <c r="E229">
        <f>IFERROR(__xludf.DUMMYFUNCTION("""COMPUTED_VALUE"""),0.13)</f>
        <v>0.13</v>
      </c>
      <c r="F229">
        <f>IFERROR(__xludf.DUMMYFUNCTION("""COMPUTED_VALUE"""),1.15)</f>
        <v>1.15</v>
      </c>
      <c r="G229">
        <f>IFERROR(__xludf.DUMMYFUNCTION("""COMPUTED_VALUE"""),3.56)</f>
        <v>3.56</v>
      </c>
    </row>
    <row r="230">
      <c r="A230">
        <f>IFERROR(__xludf.DUMMYFUNCTION("""COMPUTED_VALUE"""),168471.0)</f>
        <v>168471</v>
      </c>
      <c r="B230" t="str">
        <f>IFERROR(__xludf.DUMMYFUNCTION("""COMPUTED_VALUE"""),"Squash Summer Zucchini Italian Style Canned")</f>
        <v>Squash Summer Zucchini Italian Style Canned</v>
      </c>
      <c r="C230" t="str">
        <f>IFERROR(__xludf.DUMMYFUNCTION("""COMPUTED_VALUE"""),"Vegetables")</f>
        <v>Vegetables</v>
      </c>
      <c r="D230">
        <f>IFERROR(__xludf.DUMMYFUNCTION("""COMPUTED_VALUE"""),29.0)</f>
        <v>29</v>
      </c>
      <c r="E230">
        <f>IFERROR(__xludf.DUMMYFUNCTION("""COMPUTED_VALUE"""),0.11)</f>
        <v>0.11</v>
      </c>
      <c r="F230">
        <f>IFERROR(__xludf.DUMMYFUNCTION("""COMPUTED_VALUE"""),1.03)</f>
        <v>1.03</v>
      </c>
      <c r="G230">
        <f>IFERROR(__xludf.DUMMYFUNCTION("""COMPUTED_VALUE"""),6.85)</f>
        <v>6.85</v>
      </c>
    </row>
    <row r="231">
      <c r="A231">
        <f>IFERROR(__xludf.DUMMYFUNCTION("""COMPUTED_VALUE"""),168472.0)</f>
        <v>168472</v>
      </c>
      <c r="B231" t="str">
        <f>IFERROR(__xludf.DUMMYFUNCTION("""COMPUTED_VALUE"""),"Acorn Squash")</f>
        <v>Acorn Squash</v>
      </c>
      <c r="C231" t="str">
        <f>IFERROR(__xludf.DUMMYFUNCTION("""COMPUTED_VALUE"""),"Vegetables")</f>
        <v>Vegetables</v>
      </c>
      <c r="D231">
        <f>IFERROR(__xludf.DUMMYFUNCTION("""COMPUTED_VALUE"""),40.0)</f>
        <v>40</v>
      </c>
      <c r="E231">
        <f>IFERROR(__xludf.DUMMYFUNCTION("""COMPUTED_VALUE"""),0.1)</f>
        <v>0.1</v>
      </c>
      <c r="F231">
        <f>IFERROR(__xludf.DUMMYFUNCTION("""COMPUTED_VALUE"""),0.8)</f>
        <v>0.8</v>
      </c>
      <c r="G231">
        <f>IFERROR(__xludf.DUMMYFUNCTION("""COMPUTED_VALUE"""),10.42)</f>
        <v>10.42</v>
      </c>
    </row>
    <row r="232">
      <c r="A232">
        <f>IFERROR(__xludf.DUMMYFUNCTION("""COMPUTED_VALUE"""),168473.0)</f>
        <v>168473</v>
      </c>
      <c r="B232" t="str">
        <f>IFERROR(__xludf.DUMMYFUNCTION("""COMPUTED_VALUE"""),"Squash Winter Butternut Frozen Unprepared")</f>
        <v>Squash Winter Butternut Frozen Unprepared</v>
      </c>
      <c r="C232" t="str">
        <f>IFERROR(__xludf.DUMMYFUNCTION("""COMPUTED_VALUE"""),"Vegetables")</f>
        <v>Vegetables</v>
      </c>
      <c r="D232">
        <f>IFERROR(__xludf.DUMMYFUNCTION("""COMPUTED_VALUE"""),57.0)</f>
        <v>57</v>
      </c>
      <c r="E232">
        <f>IFERROR(__xludf.DUMMYFUNCTION("""COMPUTED_VALUE"""),0.1)</f>
        <v>0.1</v>
      </c>
      <c r="F232">
        <f>IFERROR(__xludf.DUMMYFUNCTION("""COMPUTED_VALUE"""),1.76)</f>
        <v>1.76</v>
      </c>
      <c r="G232">
        <f>IFERROR(__xludf.DUMMYFUNCTION("""COMPUTED_VALUE"""),14.41)</f>
        <v>14.41</v>
      </c>
    </row>
    <row r="233">
      <c r="A233">
        <f>IFERROR(__xludf.DUMMYFUNCTION("""COMPUTED_VALUE"""),168474.0)</f>
        <v>168474</v>
      </c>
      <c r="B233" t="str">
        <f>IFERROR(__xludf.DUMMYFUNCTION("""COMPUTED_VALUE"""),"Squash Winter Butternut Frozen Cooked Boiled Without Salt")</f>
        <v>Squash Winter Butternut Frozen Cooked Boiled Without Salt</v>
      </c>
      <c r="C233" t="str">
        <f>IFERROR(__xludf.DUMMYFUNCTION("""COMPUTED_VALUE"""),"Vegetables")</f>
        <v>Vegetables</v>
      </c>
      <c r="D233">
        <f>IFERROR(__xludf.DUMMYFUNCTION("""COMPUTED_VALUE"""),39.0)</f>
        <v>39</v>
      </c>
      <c r="E233">
        <f>IFERROR(__xludf.DUMMYFUNCTION("""COMPUTED_VALUE"""),0.07)</f>
        <v>0.07</v>
      </c>
      <c r="F233">
        <f>IFERROR(__xludf.DUMMYFUNCTION("""COMPUTED_VALUE"""),1.23)</f>
        <v>1.23</v>
      </c>
      <c r="G233">
        <f>IFERROR(__xludf.DUMMYFUNCTION("""COMPUTED_VALUE"""),10.05)</f>
        <v>10.05</v>
      </c>
    </row>
    <row r="234">
      <c r="A234">
        <f>IFERROR(__xludf.DUMMYFUNCTION("""COMPUTED_VALUE"""),168475.0)</f>
        <v>168475</v>
      </c>
      <c r="B234" t="str">
        <f>IFERROR(__xludf.DUMMYFUNCTION("""COMPUTED_VALUE"""),"Hubbard Squash")</f>
        <v>Hubbard Squash</v>
      </c>
      <c r="C234" t="str">
        <f>IFERROR(__xludf.DUMMYFUNCTION("""COMPUTED_VALUE"""),"Vegetables")</f>
        <v>Vegetables</v>
      </c>
      <c r="D234">
        <f>IFERROR(__xludf.DUMMYFUNCTION("""COMPUTED_VALUE"""),40.0)</f>
        <v>40</v>
      </c>
      <c r="E234">
        <f>IFERROR(__xludf.DUMMYFUNCTION("""COMPUTED_VALUE"""),0.5)</f>
        <v>0.5</v>
      </c>
      <c r="F234">
        <f>IFERROR(__xludf.DUMMYFUNCTION("""COMPUTED_VALUE"""),2.0)</f>
        <v>2</v>
      </c>
      <c r="G234">
        <f>IFERROR(__xludf.DUMMYFUNCTION("""COMPUTED_VALUE"""),8.7)</f>
        <v>8.7</v>
      </c>
    </row>
    <row r="235">
      <c r="A235">
        <f>IFERROR(__xludf.DUMMYFUNCTION("""COMPUTED_VALUE"""),168476.0)</f>
        <v>168476</v>
      </c>
      <c r="B235" t="str">
        <f>IFERROR(__xludf.DUMMYFUNCTION("""COMPUTED_VALUE"""),"Cooked Hubbard Squash")</f>
        <v>Cooked Hubbard Squash</v>
      </c>
      <c r="C235" t="str">
        <f>IFERROR(__xludf.DUMMYFUNCTION("""COMPUTED_VALUE"""),"Vegetables")</f>
        <v>Vegetables</v>
      </c>
      <c r="D235">
        <f>IFERROR(__xludf.DUMMYFUNCTION("""COMPUTED_VALUE"""),50.0)</f>
        <v>50</v>
      </c>
      <c r="E235">
        <f>IFERROR(__xludf.DUMMYFUNCTION("""COMPUTED_VALUE"""),0.62)</f>
        <v>0.62</v>
      </c>
      <c r="F235">
        <f>IFERROR(__xludf.DUMMYFUNCTION("""COMPUTED_VALUE"""),2.48)</f>
        <v>2.48</v>
      </c>
      <c r="G235">
        <f>IFERROR(__xludf.DUMMYFUNCTION("""COMPUTED_VALUE"""),10.81)</f>
        <v>10.81</v>
      </c>
    </row>
    <row r="236">
      <c r="A236">
        <f>IFERROR(__xludf.DUMMYFUNCTION("""COMPUTED_VALUE"""),168477.0)</f>
        <v>168477</v>
      </c>
      <c r="B236" t="str">
        <f>IFERROR(__xludf.DUMMYFUNCTION("""COMPUTED_VALUE"""),"Succotash")</f>
        <v>Succotash</v>
      </c>
      <c r="C236" t="str">
        <f>IFERROR(__xludf.DUMMYFUNCTION("""COMPUTED_VALUE"""),"Vegetables")</f>
        <v>Vegetables</v>
      </c>
      <c r="D236">
        <f>IFERROR(__xludf.DUMMYFUNCTION("""COMPUTED_VALUE"""),115.0)</f>
        <v>115</v>
      </c>
      <c r="E236">
        <f>IFERROR(__xludf.DUMMYFUNCTION("""COMPUTED_VALUE"""),0.8)</f>
        <v>0.8</v>
      </c>
      <c r="F236">
        <f>IFERROR(__xludf.DUMMYFUNCTION("""COMPUTED_VALUE"""),5.07)</f>
        <v>5.07</v>
      </c>
      <c r="G236">
        <f>IFERROR(__xludf.DUMMYFUNCTION("""COMPUTED_VALUE"""),24.38)</f>
        <v>24.38</v>
      </c>
    </row>
    <row r="237">
      <c r="A237">
        <f>IFERROR(__xludf.DUMMYFUNCTION("""COMPUTED_VALUE"""),168478.0)</f>
        <v>168478</v>
      </c>
      <c r="B237" t="str">
        <f>IFERROR(__xludf.DUMMYFUNCTION("""COMPUTED_VALUE"""),"Succotash (Corn And Limas) Canned With Cream Style Corn")</f>
        <v>Succotash (Corn And Limas) Canned With Cream Style Corn</v>
      </c>
      <c r="C237" t="str">
        <f>IFERROR(__xludf.DUMMYFUNCTION("""COMPUTED_VALUE"""),"Vegetables")</f>
        <v>Vegetables</v>
      </c>
      <c r="D237">
        <f>IFERROR(__xludf.DUMMYFUNCTION("""COMPUTED_VALUE"""),77.0)</f>
        <v>77</v>
      </c>
      <c r="E237">
        <f>IFERROR(__xludf.DUMMYFUNCTION("""COMPUTED_VALUE"""),0.54)</f>
        <v>0.54</v>
      </c>
      <c r="F237">
        <f>IFERROR(__xludf.DUMMYFUNCTION("""COMPUTED_VALUE"""),2.64)</f>
        <v>2.64</v>
      </c>
      <c r="G237">
        <f>IFERROR(__xludf.DUMMYFUNCTION("""COMPUTED_VALUE"""),17.61)</f>
        <v>17.61</v>
      </c>
    </row>
    <row r="238">
      <c r="A238">
        <f>IFERROR(__xludf.DUMMYFUNCTION("""COMPUTED_VALUE"""),168479.0)</f>
        <v>168479</v>
      </c>
      <c r="B238" t="str">
        <f>IFERROR(__xludf.DUMMYFUNCTION("""COMPUTED_VALUE"""),"Succotash (Corn And Limas) Canned With Whole Kernel Corn Solids And Liquids")</f>
        <v>Succotash (Corn And Limas) Canned With Whole Kernel Corn Solids And Liquids</v>
      </c>
      <c r="C238" t="str">
        <f>IFERROR(__xludf.DUMMYFUNCTION("""COMPUTED_VALUE"""),"Vegetables")</f>
        <v>Vegetables</v>
      </c>
      <c r="D238">
        <f>IFERROR(__xludf.DUMMYFUNCTION("""COMPUTED_VALUE"""),63.0)</f>
        <v>63</v>
      </c>
      <c r="E238">
        <f>IFERROR(__xludf.DUMMYFUNCTION("""COMPUTED_VALUE"""),0.49)</f>
        <v>0.49</v>
      </c>
      <c r="F238">
        <f>IFERROR(__xludf.DUMMYFUNCTION("""COMPUTED_VALUE"""),2.6)</f>
        <v>2.6</v>
      </c>
      <c r="G238">
        <f>IFERROR(__xludf.DUMMYFUNCTION("""COMPUTED_VALUE"""),13.98)</f>
        <v>13.98</v>
      </c>
    </row>
    <row r="239">
      <c r="A239">
        <f>IFERROR(__xludf.DUMMYFUNCTION("""COMPUTED_VALUE"""),168480.0)</f>
        <v>168480</v>
      </c>
      <c r="B239" t="str">
        <f>IFERROR(__xludf.DUMMYFUNCTION("""COMPUTED_VALUE"""),"Succotash (Corn And Limas) Frozen Unprepared")</f>
        <v>Succotash (Corn And Limas) Frozen Unprepared</v>
      </c>
      <c r="C239" t="str">
        <f>IFERROR(__xludf.DUMMYFUNCTION("""COMPUTED_VALUE"""),"Vegetables")</f>
        <v>Vegetables</v>
      </c>
      <c r="D239">
        <f>IFERROR(__xludf.DUMMYFUNCTION("""COMPUTED_VALUE"""),93.0)</f>
        <v>93</v>
      </c>
      <c r="E239">
        <f>IFERROR(__xludf.DUMMYFUNCTION("""COMPUTED_VALUE"""),0.89)</f>
        <v>0.89</v>
      </c>
      <c r="F239">
        <f>IFERROR(__xludf.DUMMYFUNCTION("""COMPUTED_VALUE"""),4.31)</f>
        <v>4.31</v>
      </c>
      <c r="G239">
        <f>IFERROR(__xludf.DUMMYFUNCTION("""COMPUTED_VALUE"""),19.94)</f>
        <v>19.94</v>
      </c>
    </row>
    <row r="240">
      <c r="A240">
        <f>IFERROR(__xludf.DUMMYFUNCTION("""COMPUTED_VALUE"""),168481.0)</f>
        <v>168481</v>
      </c>
      <c r="B240" t="str">
        <f>IFERROR(__xludf.DUMMYFUNCTION("""COMPUTED_VALUE"""),"Succotash (Corn And Limas) Frozen Cooked Boiled Drained Without Salt")</f>
        <v>Succotash (Corn And Limas) Frozen Cooked Boiled Drained Without Salt</v>
      </c>
      <c r="C240" t="str">
        <f>IFERROR(__xludf.DUMMYFUNCTION("""COMPUTED_VALUE"""),"Vegetables")</f>
        <v>Vegetables</v>
      </c>
      <c r="D240">
        <f>IFERROR(__xludf.DUMMYFUNCTION("""COMPUTED_VALUE"""),93.0)</f>
        <v>93</v>
      </c>
      <c r="E240">
        <f>IFERROR(__xludf.DUMMYFUNCTION("""COMPUTED_VALUE"""),0.89)</f>
        <v>0.89</v>
      </c>
      <c r="F240">
        <f>IFERROR(__xludf.DUMMYFUNCTION("""COMPUTED_VALUE"""),4.31)</f>
        <v>4.31</v>
      </c>
      <c r="G240">
        <f>IFERROR(__xludf.DUMMYFUNCTION("""COMPUTED_VALUE"""),19.95)</f>
        <v>19.95</v>
      </c>
    </row>
    <row r="241">
      <c r="A241">
        <f>IFERROR(__xludf.DUMMYFUNCTION("""COMPUTED_VALUE"""),168482.0)</f>
        <v>168482</v>
      </c>
      <c r="B241" t="str">
        <f>IFERROR(__xludf.DUMMYFUNCTION("""COMPUTED_VALUE"""),"Sweet Potatoes")</f>
        <v>Sweet Potatoes</v>
      </c>
      <c r="C241" t="str">
        <f>IFERROR(__xludf.DUMMYFUNCTION("""COMPUTED_VALUE"""),"Vegetables")</f>
        <v>Vegetables</v>
      </c>
      <c r="D241">
        <f>IFERROR(__xludf.DUMMYFUNCTION("""COMPUTED_VALUE"""),86.0)</f>
        <v>86</v>
      </c>
      <c r="E241">
        <f>IFERROR(__xludf.DUMMYFUNCTION("""COMPUTED_VALUE"""),0.05)</f>
        <v>0.05</v>
      </c>
      <c r="F241">
        <f>IFERROR(__xludf.DUMMYFUNCTION("""COMPUTED_VALUE"""),1.57)</f>
        <v>1.57</v>
      </c>
      <c r="G241">
        <f>IFERROR(__xludf.DUMMYFUNCTION("""COMPUTED_VALUE"""),20.12)</f>
        <v>20.12</v>
      </c>
    </row>
    <row r="242">
      <c r="A242">
        <f>IFERROR(__xludf.DUMMYFUNCTION("""COMPUTED_VALUE"""),168483.0)</f>
        <v>168483</v>
      </c>
      <c r="B242" t="str">
        <f>IFERROR(__xludf.DUMMYFUNCTION("""COMPUTED_VALUE"""),"Cooked Sweet Potatoes")</f>
        <v>Cooked Sweet Potatoes</v>
      </c>
      <c r="C242" t="str">
        <f>IFERROR(__xludf.DUMMYFUNCTION("""COMPUTED_VALUE"""),"Vegetables")</f>
        <v>Vegetables</v>
      </c>
      <c r="D242">
        <f>IFERROR(__xludf.DUMMYFUNCTION("""COMPUTED_VALUE"""),90.0)</f>
        <v>90</v>
      </c>
      <c r="E242">
        <f>IFERROR(__xludf.DUMMYFUNCTION("""COMPUTED_VALUE"""),0.15)</f>
        <v>0.15</v>
      </c>
      <c r="F242">
        <f>IFERROR(__xludf.DUMMYFUNCTION("""COMPUTED_VALUE"""),2.01)</f>
        <v>2.01</v>
      </c>
      <c r="G242">
        <f>IFERROR(__xludf.DUMMYFUNCTION("""COMPUTED_VALUE"""),20.71)</f>
        <v>20.71</v>
      </c>
    </row>
    <row r="243">
      <c r="A243">
        <f>IFERROR(__xludf.DUMMYFUNCTION("""COMPUTED_VALUE"""),168484.0)</f>
        <v>168484</v>
      </c>
      <c r="B243" t="str">
        <f>IFERROR(__xludf.DUMMYFUNCTION("""COMPUTED_VALUE"""),"Boiled Sweet Potatoes")</f>
        <v>Boiled Sweet Potatoes</v>
      </c>
      <c r="C243" t="str">
        <f>IFERROR(__xludf.DUMMYFUNCTION("""COMPUTED_VALUE"""),"Vegetables")</f>
        <v>Vegetables</v>
      </c>
      <c r="D243">
        <f>IFERROR(__xludf.DUMMYFUNCTION("""COMPUTED_VALUE"""),76.0)</f>
        <v>76</v>
      </c>
      <c r="E243">
        <f>IFERROR(__xludf.DUMMYFUNCTION("""COMPUTED_VALUE"""),0.14)</f>
        <v>0.14</v>
      </c>
      <c r="F243">
        <f>IFERROR(__xludf.DUMMYFUNCTION("""COMPUTED_VALUE"""),1.37)</f>
        <v>1.37</v>
      </c>
      <c r="G243">
        <f>IFERROR(__xludf.DUMMYFUNCTION("""COMPUTED_VALUE"""),17.72)</f>
        <v>17.72</v>
      </c>
    </row>
    <row r="244">
      <c r="A244">
        <f>IFERROR(__xludf.DUMMYFUNCTION("""COMPUTED_VALUE"""),168485.0)</f>
        <v>168485</v>
      </c>
      <c r="B244" t="str">
        <f>IFERROR(__xludf.DUMMYFUNCTION("""COMPUTED_VALUE"""),"Sweet Potato Canned Vacuum Pack")</f>
        <v>Sweet Potato Canned Vacuum Pack</v>
      </c>
      <c r="C244" t="str">
        <f>IFERROR(__xludf.DUMMYFUNCTION("""COMPUTED_VALUE"""),"Vegetables")</f>
        <v>Vegetables</v>
      </c>
      <c r="D244">
        <f>IFERROR(__xludf.DUMMYFUNCTION("""COMPUTED_VALUE"""),91.0)</f>
        <v>91</v>
      </c>
      <c r="E244">
        <f>IFERROR(__xludf.DUMMYFUNCTION("""COMPUTED_VALUE"""),0.2)</f>
        <v>0.2</v>
      </c>
      <c r="F244">
        <f>IFERROR(__xludf.DUMMYFUNCTION("""COMPUTED_VALUE"""),1.65)</f>
        <v>1.65</v>
      </c>
      <c r="G244">
        <f>IFERROR(__xludf.DUMMYFUNCTION("""COMPUTED_VALUE"""),21.12)</f>
        <v>21.12</v>
      </c>
    </row>
    <row r="245">
      <c r="A245">
        <f>IFERROR(__xludf.DUMMYFUNCTION("""COMPUTED_VALUE"""),168486.0)</f>
        <v>168486</v>
      </c>
      <c r="B245" t="str">
        <f>IFERROR(__xludf.DUMMYFUNCTION("""COMPUTED_VALUE"""),"Cooked Taro")</f>
        <v>Cooked Taro</v>
      </c>
      <c r="C245" t="str">
        <f>IFERROR(__xludf.DUMMYFUNCTION("""COMPUTED_VALUE"""),"Vegetables")</f>
        <v>Vegetables</v>
      </c>
      <c r="D245">
        <f>IFERROR(__xludf.DUMMYFUNCTION("""COMPUTED_VALUE"""),142.0)</f>
        <v>142</v>
      </c>
      <c r="E245">
        <f>IFERROR(__xludf.DUMMYFUNCTION("""COMPUTED_VALUE"""),0.11)</f>
        <v>0.11</v>
      </c>
      <c r="F245">
        <f>IFERROR(__xludf.DUMMYFUNCTION("""COMPUTED_VALUE"""),0.52)</f>
        <v>0.52</v>
      </c>
      <c r="G245">
        <f>IFERROR(__xludf.DUMMYFUNCTION("""COMPUTED_VALUE"""),34.6)</f>
        <v>34.6</v>
      </c>
    </row>
    <row r="246">
      <c r="A246">
        <f>IFERROR(__xludf.DUMMYFUNCTION("""COMPUTED_VALUE"""),168487.0)</f>
        <v>168487</v>
      </c>
      <c r="B246" t="str">
        <f>IFERROR(__xludf.DUMMYFUNCTION("""COMPUTED_VALUE"""),"Taro Leaves Raw")</f>
        <v>Taro Leaves Raw</v>
      </c>
      <c r="C246" t="str">
        <f>IFERROR(__xludf.DUMMYFUNCTION("""COMPUTED_VALUE"""),"Vegetables")</f>
        <v>Vegetables</v>
      </c>
      <c r="D246">
        <f>IFERROR(__xludf.DUMMYFUNCTION("""COMPUTED_VALUE"""),42.0)</f>
        <v>42</v>
      </c>
      <c r="E246">
        <f>IFERROR(__xludf.DUMMYFUNCTION("""COMPUTED_VALUE"""),0.74)</f>
        <v>0.74</v>
      </c>
      <c r="F246">
        <f>IFERROR(__xludf.DUMMYFUNCTION("""COMPUTED_VALUE"""),4.98)</f>
        <v>4.98</v>
      </c>
      <c r="G246">
        <f>IFERROR(__xludf.DUMMYFUNCTION("""COMPUTED_VALUE"""),6.7)</f>
        <v>6.7</v>
      </c>
    </row>
    <row r="247">
      <c r="A247">
        <f>IFERROR(__xludf.DUMMYFUNCTION("""COMPUTED_VALUE"""),168488.0)</f>
        <v>168488</v>
      </c>
      <c r="B247" t="str">
        <f>IFERROR(__xludf.DUMMYFUNCTION("""COMPUTED_VALUE"""),"Taro Leaves Cooked Steamed Without Salt")</f>
        <v>Taro Leaves Cooked Steamed Without Salt</v>
      </c>
      <c r="C247" t="str">
        <f>IFERROR(__xludf.DUMMYFUNCTION("""COMPUTED_VALUE"""),"Vegetables")</f>
        <v>Vegetables</v>
      </c>
      <c r="D247">
        <f>IFERROR(__xludf.DUMMYFUNCTION("""COMPUTED_VALUE"""),24.0)</f>
        <v>24</v>
      </c>
      <c r="E247">
        <f>IFERROR(__xludf.DUMMYFUNCTION("""COMPUTED_VALUE"""),0.41)</f>
        <v>0.41</v>
      </c>
      <c r="F247">
        <f>IFERROR(__xludf.DUMMYFUNCTION("""COMPUTED_VALUE"""),2.72)</f>
        <v>2.72</v>
      </c>
      <c r="G247">
        <f>IFERROR(__xludf.DUMMYFUNCTION("""COMPUTED_VALUE"""),4.02)</f>
        <v>4.02</v>
      </c>
    </row>
    <row r="248">
      <c r="A248">
        <f>IFERROR(__xludf.DUMMYFUNCTION("""COMPUTED_VALUE"""),168489.0)</f>
        <v>168489</v>
      </c>
      <c r="B248" t="str">
        <f>IFERROR(__xludf.DUMMYFUNCTION("""COMPUTED_VALUE"""),"Taro Shoots Raw")</f>
        <v>Taro Shoots Raw</v>
      </c>
      <c r="C248" t="str">
        <f>IFERROR(__xludf.DUMMYFUNCTION("""COMPUTED_VALUE"""),"Vegetables")</f>
        <v>Vegetables</v>
      </c>
      <c r="D248">
        <f>IFERROR(__xludf.DUMMYFUNCTION("""COMPUTED_VALUE"""),11.0)</f>
        <v>11</v>
      </c>
      <c r="E248">
        <f>IFERROR(__xludf.DUMMYFUNCTION("""COMPUTED_VALUE"""),0.09)</f>
        <v>0.09</v>
      </c>
      <c r="F248">
        <f>IFERROR(__xludf.DUMMYFUNCTION("""COMPUTED_VALUE"""),0.92)</f>
        <v>0.92</v>
      </c>
      <c r="G248">
        <f>IFERROR(__xludf.DUMMYFUNCTION("""COMPUTED_VALUE"""),2.32)</f>
        <v>2.32</v>
      </c>
    </row>
    <row r="249">
      <c r="A249">
        <f>IFERROR(__xludf.DUMMYFUNCTION("""COMPUTED_VALUE"""),168490.0)</f>
        <v>168490</v>
      </c>
      <c r="B249" t="str">
        <f>IFERROR(__xludf.DUMMYFUNCTION("""COMPUTED_VALUE"""),"Arrowroot")</f>
        <v>Arrowroot</v>
      </c>
      <c r="C249" t="str">
        <f>IFERROR(__xludf.DUMMYFUNCTION("""COMPUTED_VALUE"""),"Vegetables")</f>
        <v>Vegetables</v>
      </c>
      <c r="D249">
        <f>IFERROR(__xludf.DUMMYFUNCTION("""COMPUTED_VALUE"""),65.0)</f>
        <v>65</v>
      </c>
      <c r="E249">
        <f>IFERROR(__xludf.DUMMYFUNCTION("""COMPUTED_VALUE"""),0.2)</f>
        <v>0.2</v>
      </c>
      <c r="F249">
        <f>IFERROR(__xludf.DUMMYFUNCTION("""COMPUTED_VALUE"""),4.24)</f>
        <v>4.24</v>
      </c>
      <c r="G249">
        <f>IFERROR(__xludf.DUMMYFUNCTION("""COMPUTED_VALUE"""),13.39)</f>
        <v>13.39</v>
      </c>
    </row>
    <row r="250">
      <c r="A250">
        <f>IFERROR(__xludf.DUMMYFUNCTION("""COMPUTED_VALUE"""),168491.0)</f>
        <v>168491</v>
      </c>
      <c r="B250" t="str">
        <f>IFERROR(__xludf.DUMMYFUNCTION("""COMPUTED_VALUE"""),"Chrysanthemum Leaves")</f>
        <v>Chrysanthemum Leaves</v>
      </c>
      <c r="C250" t="str">
        <f>IFERROR(__xludf.DUMMYFUNCTION("""COMPUTED_VALUE"""),"Vegetables")</f>
        <v>Vegetables</v>
      </c>
      <c r="D250">
        <f>IFERROR(__xludf.DUMMYFUNCTION("""COMPUTED_VALUE"""),24.0)</f>
        <v>24</v>
      </c>
      <c r="E250">
        <f>IFERROR(__xludf.DUMMYFUNCTION("""COMPUTED_VALUE"""),0.56)</f>
        <v>0.56</v>
      </c>
      <c r="F250">
        <f>IFERROR(__xludf.DUMMYFUNCTION("""COMPUTED_VALUE"""),3.36)</f>
        <v>3.36</v>
      </c>
      <c r="G250">
        <f>IFERROR(__xludf.DUMMYFUNCTION("""COMPUTED_VALUE"""),3.01)</f>
        <v>3.01</v>
      </c>
    </row>
    <row r="251">
      <c r="A251">
        <f>IFERROR(__xludf.DUMMYFUNCTION("""COMPUTED_VALUE"""),168492.0)</f>
        <v>168492</v>
      </c>
      <c r="B251" t="str">
        <f>IFERROR(__xludf.DUMMYFUNCTION("""COMPUTED_VALUE"""),"Amaranth Leaves Cooked Boiled Drained With Salt")</f>
        <v>Amaranth Leaves Cooked Boiled Drained With Salt</v>
      </c>
      <c r="C251" t="str">
        <f>IFERROR(__xludf.DUMMYFUNCTION("""COMPUTED_VALUE"""),"Vegetables")</f>
        <v>Vegetables</v>
      </c>
      <c r="D251">
        <f>IFERROR(__xludf.DUMMYFUNCTION("""COMPUTED_VALUE"""),21.0)</f>
        <v>21</v>
      </c>
      <c r="E251">
        <f>IFERROR(__xludf.DUMMYFUNCTION("""COMPUTED_VALUE"""),0.18)</f>
        <v>0.18</v>
      </c>
      <c r="F251">
        <f>IFERROR(__xludf.DUMMYFUNCTION("""COMPUTED_VALUE"""),2.11)</f>
        <v>2.11</v>
      </c>
      <c r="G251">
        <f>IFERROR(__xludf.DUMMYFUNCTION("""COMPUTED_VALUE"""),4.11)</f>
        <v>4.11</v>
      </c>
    </row>
    <row r="252">
      <c r="A252">
        <f>IFERROR(__xludf.DUMMYFUNCTION("""COMPUTED_VALUE"""),168493.0)</f>
        <v>168493</v>
      </c>
      <c r="B252" t="str">
        <f>IFERROR(__xludf.DUMMYFUNCTION("""COMPUTED_VALUE"""),"Arrowhead Cooked Boiled Drained With Salt")</f>
        <v>Arrowhead Cooked Boiled Drained With Salt</v>
      </c>
      <c r="C252" t="str">
        <f>IFERROR(__xludf.DUMMYFUNCTION("""COMPUTED_VALUE"""),"Vegetables")</f>
        <v>Vegetables</v>
      </c>
      <c r="D252">
        <f>IFERROR(__xludf.DUMMYFUNCTION("""COMPUTED_VALUE"""),78.0)</f>
        <v>78</v>
      </c>
      <c r="E252">
        <f>IFERROR(__xludf.DUMMYFUNCTION("""COMPUTED_VALUE"""),0.1)</f>
        <v>0.1</v>
      </c>
      <c r="F252">
        <f>IFERROR(__xludf.DUMMYFUNCTION("""COMPUTED_VALUE"""),4.49)</f>
        <v>4.49</v>
      </c>
      <c r="G252">
        <f>IFERROR(__xludf.DUMMYFUNCTION("""COMPUTED_VALUE"""),16.14)</f>
        <v>16.14</v>
      </c>
    </row>
    <row r="253">
      <c r="A253">
        <f>IFERROR(__xludf.DUMMYFUNCTION("""COMPUTED_VALUE"""),168494.0)</f>
        <v>168494</v>
      </c>
      <c r="B253" t="str">
        <f>IFERROR(__xludf.DUMMYFUNCTION("""COMPUTED_VALUE"""),"Asparagus Frozen Cooked Boiled Drained With Salt")</f>
        <v>Asparagus Frozen Cooked Boiled Drained With Salt</v>
      </c>
      <c r="C253" t="str">
        <f>IFERROR(__xludf.DUMMYFUNCTION("""COMPUTED_VALUE"""),"Vegetables")</f>
        <v>Vegetables</v>
      </c>
      <c r="D253">
        <f>IFERROR(__xludf.DUMMYFUNCTION("""COMPUTED_VALUE"""),18.0)</f>
        <v>18</v>
      </c>
      <c r="E253">
        <f>IFERROR(__xludf.DUMMYFUNCTION("""COMPUTED_VALUE"""),0.42)</f>
        <v>0.42</v>
      </c>
      <c r="F253">
        <f>IFERROR(__xludf.DUMMYFUNCTION("""COMPUTED_VALUE"""),2.95)</f>
        <v>2.95</v>
      </c>
      <c r="G253">
        <f>IFERROR(__xludf.DUMMYFUNCTION("""COMPUTED_VALUE"""),1.92)</f>
        <v>1.92</v>
      </c>
    </row>
    <row r="254">
      <c r="A254">
        <f>IFERROR(__xludf.DUMMYFUNCTION("""COMPUTED_VALUE"""),168495.0)</f>
        <v>168495</v>
      </c>
      <c r="B254" t="str">
        <f>IFERROR(__xludf.DUMMYFUNCTION("""COMPUTED_VALUE"""),"Balsam-Pear (Bitter Gourd) Leafy Tips Cooked Boiled Drained With Salt")</f>
        <v>Balsam-Pear (Bitter Gourd) Leafy Tips Cooked Boiled Drained With Salt</v>
      </c>
      <c r="C254" t="str">
        <f>IFERROR(__xludf.DUMMYFUNCTION("""COMPUTED_VALUE"""),"Vegetables")</f>
        <v>Vegetables</v>
      </c>
      <c r="D254">
        <f>IFERROR(__xludf.DUMMYFUNCTION("""COMPUTED_VALUE"""),32.0)</f>
        <v>32</v>
      </c>
      <c r="E254">
        <f>IFERROR(__xludf.DUMMYFUNCTION("""COMPUTED_VALUE"""),0.2)</f>
        <v>0.2</v>
      </c>
      <c r="F254">
        <f>IFERROR(__xludf.DUMMYFUNCTION("""COMPUTED_VALUE"""),3.6)</f>
        <v>3.6</v>
      </c>
      <c r="G254">
        <f>IFERROR(__xludf.DUMMYFUNCTION("""COMPUTED_VALUE"""),6.16)</f>
        <v>6.16</v>
      </c>
    </row>
    <row r="255">
      <c r="A255">
        <f>IFERROR(__xludf.DUMMYFUNCTION("""COMPUTED_VALUE"""),168496.0)</f>
        <v>168496</v>
      </c>
      <c r="B255" t="str">
        <f>IFERROR(__xludf.DUMMYFUNCTION("""COMPUTED_VALUE"""),"Balsam-Pear (Bitter Gourd) Pods Cooked Boiled Drained With Salt")</f>
        <v>Balsam-Pear (Bitter Gourd) Pods Cooked Boiled Drained With Salt</v>
      </c>
      <c r="C255" t="str">
        <f>IFERROR(__xludf.DUMMYFUNCTION("""COMPUTED_VALUE"""),"Vegetables")</f>
        <v>Vegetables</v>
      </c>
      <c r="D255">
        <f>IFERROR(__xludf.DUMMYFUNCTION("""COMPUTED_VALUE"""),19.0)</f>
        <v>19</v>
      </c>
      <c r="E255">
        <f>IFERROR(__xludf.DUMMYFUNCTION("""COMPUTED_VALUE"""),0.18)</f>
        <v>0.18</v>
      </c>
      <c r="F255">
        <f>IFERROR(__xludf.DUMMYFUNCTION("""COMPUTED_VALUE"""),0.84)</f>
        <v>0.84</v>
      </c>
      <c r="G255">
        <f>IFERROR(__xludf.DUMMYFUNCTION("""COMPUTED_VALUE"""),4.32)</f>
        <v>4.32</v>
      </c>
    </row>
    <row r="256">
      <c r="A256">
        <f>IFERROR(__xludf.DUMMYFUNCTION("""COMPUTED_VALUE"""),168497.0)</f>
        <v>168497</v>
      </c>
      <c r="B256" t="str">
        <f>IFERROR(__xludf.DUMMYFUNCTION("""COMPUTED_VALUE"""),"Bamboo Shoots Cooked Boiled Drained With Salt")</f>
        <v>Bamboo Shoots Cooked Boiled Drained With Salt</v>
      </c>
      <c r="C256" t="str">
        <f>IFERROR(__xludf.DUMMYFUNCTION("""COMPUTED_VALUE"""),"Vegetables")</f>
        <v>Vegetables</v>
      </c>
      <c r="D256">
        <f>IFERROR(__xludf.DUMMYFUNCTION("""COMPUTED_VALUE"""),11.0)</f>
        <v>11</v>
      </c>
      <c r="E256">
        <f>IFERROR(__xludf.DUMMYFUNCTION("""COMPUTED_VALUE"""),0.22)</f>
        <v>0.22</v>
      </c>
      <c r="F256">
        <f>IFERROR(__xludf.DUMMYFUNCTION("""COMPUTED_VALUE"""),1.53)</f>
        <v>1.53</v>
      </c>
      <c r="G256">
        <f>IFERROR(__xludf.DUMMYFUNCTION("""COMPUTED_VALUE"""),1.52)</f>
        <v>1.52</v>
      </c>
    </row>
    <row r="257">
      <c r="A257">
        <f>IFERROR(__xludf.DUMMYFUNCTION("""COMPUTED_VALUE"""),168498.0)</f>
        <v>168498</v>
      </c>
      <c r="B257" t="str">
        <f>IFERROR(__xludf.DUMMYFUNCTION("""COMPUTED_VALUE"""),"Lima Beans Immature Seeds Frozen Fordhook Cooked Boiled Drained With Salt")</f>
        <v>Lima Beans Immature Seeds Frozen Fordhook Cooked Boiled Drained With Salt</v>
      </c>
      <c r="C257" t="str">
        <f>IFERROR(__xludf.DUMMYFUNCTION("""COMPUTED_VALUE"""),"Vegetables")</f>
        <v>Vegetables</v>
      </c>
      <c r="D257">
        <f>IFERROR(__xludf.DUMMYFUNCTION("""COMPUTED_VALUE"""),103.0)</f>
        <v>103</v>
      </c>
      <c r="E257">
        <f>IFERROR(__xludf.DUMMYFUNCTION("""COMPUTED_VALUE"""),0.34)</f>
        <v>0.34</v>
      </c>
      <c r="F257">
        <f>IFERROR(__xludf.DUMMYFUNCTION("""COMPUTED_VALUE"""),6.07)</f>
        <v>6.07</v>
      </c>
      <c r="G257">
        <f>IFERROR(__xludf.DUMMYFUNCTION("""COMPUTED_VALUE"""),19.32)</f>
        <v>19.32</v>
      </c>
    </row>
    <row r="258">
      <c r="A258">
        <f>IFERROR(__xludf.DUMMYFUNCTION("""COMPUTED_VALUE"""),168499.0)</f>
        <v>168499</v>
      </c>
      <c r="B258" t="str">
        <f>IFERROR(__xludf.DUMMYFUNCTION("""COMPUTED_VALUE"""),"Mung Beans Mature Seeds Sprouted Cooked Boiled Drained With Salt")</f>
        <v>Mung Beans Mature Seeds Sprouted Cooked Boiled Drained With Salt</v>
      </c>
      <c r="C258" t="str">
        <f>IFERROR(__xludf.DUMMYFUNCTION("""COMPUTED_VALUE"""),"Vegetables")</f>
        <v>Vegetables</v>
      </c>
      <c r="D258">
        <f>IFERROR(__xludf.DUMMYFUNCTION("""COMPUTED_VALUE"""),19.0)</f>
        <v>19</v>
      </c>
      <c r="E258">
        <f>IFERROR(__xludf.DUMMYFUNCTION("""COMPUTED_VALUE"""),0.09)</f>
        <v>0.09</v>
      </c>
      <c r="F258">
        <f>IFERROR(__xludf.DUMMYFUNCTION("""COMPUTED_VALUE"""),2.03)</f>
        <v>2.03</v>
      </c>
      <c r="G258">
        <f>IFERROR(__xludf.DUMMYFUNCTION("""COMPUTED_VALUE"""),3.6)</f>
        <v>3.6</v>
      </c>
    </row>
    <row r="259">
      <c r="A259">
        <f>IFERROR(__xludf.DUMMYFUNCTION("""COMPUTED_VALUE"""),168500.0)</f>
        <v>168500</v>
      </c>
      <c r="B259" t="str">
        <f>IFERROR(__xludf.DUMMYFUNCTION("""COMPUTED_VALUE"""),"Beans Navy Mature Seeds Sprouted Cooked Boiled Drained With Salt")</f>
        <v>Beans Navy Mature Seeds Sprouted Cooked Boiled Drained With Salt</v>
      </c>
      <c r="C259" t="str">
        <f>IFERROR(__xludf.DUMMYFUNCTION("""COMPUTED_VALUE"""),"Vegetables")</f>
        <v>Vegetables</v>
      </c>
      <c r="D259">
        <f>IFERROR(__xludf.DUMMYFUNCTION("""COMPUTED_VALUE"""),78.0)</f>
        <v>78</v>
      </c>
      <c r="E259">
        <f>IFERROR(__xludf.DUMMYFUNCTION("""COMPUTED_VALUE"""),0.81)</f>
        <v>0.81</v>
      </c>
      <c r="F259">
        <f>IFERROR(__xludf.DUMMYFUNCTION("""COMPUTED_VALUE"""),7.07)</f>
        <v>7.07</v>
      </c>
      <c r="G259">
        <f>IFERROR(__xludf.DUMMYFUNCTION("""COMPUTED_VALUE"""),15.01)</f>
        <v>15.01</v>
      </c>
    </row>
    <row r="260">
      <c r="A260">
        <f>IFERROR(__xludf.DUMMYFUNCTION("""COMPUTED_VALUE"""),168501.0)</f>
        <v>168501</v>
      </c>
      <c r="B260" t="str">
        <f>IFERROR(__xludf.DUMMYFUNCTION("""COMPUTED_VALUE"""),"Beans Pinto Immature Seeds Frozen Cooked Boiled Drained With Salt")</f>
        <v>Beans Pinto Immature Seeds Frozen Cooked Boiled Drained With Salt</v>
      </c>
      <c r="C260" t="str">
        <f>IFERROR(__xludf.DUMMYFUNCTION("""COMPUTED_VALUE"""),"Vegetables")</f>
        <v>Vegetables</v>
      </c>
      <c r="D260">
        <f>IFERROR(__xludf.DUMMYFUNCTION("""COMPUTED_VALUE"""),162.0)</f>
        <v>162</v>
      </c>
      <c r="E260">
        <f>IFERROR(__xludf.DUMMYFUNCTION("""COMPUTED_VALUE"""),0.48)</f>
        <v>0.48</v>
      </c>
      <c r="F260">
        <f>IFERROR(__xludf.DUMMYFUNCTION("""COMPUTED_VALUE"""),9.31)</f>
        <v>9.31</v>
      </c>
      <c r="G260">
        <f>IFERROR(__xludf.DUMMYFUNCTION("""COMPUTED_VALUE"""),30.87)</f>
        <v>30.87</v>
      </c>
    </row>
    <row r="261">
      <c r="A261">
        <f>IFERROR(__xludf.DUMMYFUNCTION("""COMPUTED_VALUE"""),168502.0)</f>
        <v>168502</v>
      </c>
      <c r="B261" t="str">
        <f>IFERROR(__xludf.DUMMYFUNCTION("""COMPUTED_VALUE"""),"Beans Snap Green Canned No Salt Added Solids And Liquids")</f>
        <v>Beans Snap Green Canned No Salt Added Solids And Liquids</v>
      </c>
      <c r="C261" t="str">
        <f>IFERROR(__xludf.DUMMYFUNCTION("""COMPUTED_VALUE"""),"Vegetables")</f>
        <v>Vegetables</v>
      </c>
      <c r="D261">
        <f>IFERROR(__xludf.DUMMYFUNCTION("""COMPUTED_VALUE"""),15.0)</f>
        <v>15</v>
      </c>
      <c r="E261">
        <f>IFERROR(__xludf.DUMMYFUNCTION("""COMPUTED_VALUE"""),0.1)</f>
        <v>0.1</v>
      </c>
      <c r="F261">
        <f>IFERROR(__xludf.DUMMYFUNCTION("""COMPUTED_VALUE"""),0.8)</f>
        <v>0.8</v>
      </c>
      <c r="G261">
        <f>IFERROR(__xludf.DUMMYFUNCTION("""COMPUTED_VALUE"""),3.5)</f>
        <v>3.5</v>
      </c>
    </row>
    <row r="262">
      <c r="A262">
        <f>IFERROR(__xludf.DUMMYFUNCTION("""COMPUTED_VALUE"""),168503.0)</f>
        <v>168503</v>
      </c>
      <c r="B262" t="str">
        <f>IFERROR(__xludf.DUMMYFUNCTION("""COMPUTED_VALUE"""),"Beans Snap Yellow Canned Regular Pack Solids And Liquids")</f>
        <v>Beans Snap Yellow Canned Regular Pack Solids And Liquids</v>
      </c>
      <c r="C262" t="str">
        <f>IFERROR(__xludf.DUMMYFUNCTION("""COMPUTED_VALUE"""),"Vegetables")</f>
        <v>Vegetables</v>
      </c>
      <c r="D262">
        <f>IFERROR(__xludf.DUMMYFUNCTION("""COMPUTED_VALUE"""),15.0)</f>
        <v>15</v>
      </c>
      <c r="E262">
        <f>IFERROR(__xludf.DUMMYFUNCTION("""COMPUTED_VALUE"""),0.1)</f>
        <v>0.1</v>
      </c>
      <c r="F262">
        <f>IFERROR(__xludf.DUMMYFUNCTION("""COMPUTED_VALUE"""),0.8)</f>
        <v>0.8</v>
      </c>
      <c r="G262">
        <f>IFERROR(__xludf.DUMMYFUNCTION("""COMPUTED_VALUE"""),3.5)</f>
        <v>3.5</v>
      </c>
    </row>
    <row r="263">
      <c r="A263">
        <f>IFERROR(__xludf.DUMMYFUNCTION("""COMPUTED_VALUE"""),168504.0)</f>
        <v>168504</v>
      </c>
      <c r="B263" t="str">
        <f>IFERROR(__xludf.DUMMYFUNCTION("""COMPUTED_VALUE"""),"Beans Snap Yellow Canned No Salt Added Solids And Liquids")</f>
        <v>Beans Snap Yellow Canned No Salt Added Solids And Liquids</v>
      </c>
      <c r="C263" t="str">
        <f>IFERROR(__xludf.DUMMYFUNCTION("""COMPUTED_VALUE"""),"Vegetables")</f>
        <v>Vegetables</v>
      </c>
      <c r="D263">
        <f>IFERROR(__xludf.DUMMYFUNCTION("""COMPUTED_VALUE"""),15.0)</f>
        <v>15</v>
      </c>
      <c r="E263">
        <f>IFERROR(__xludf.DUMMYFUNCTION("""COMPUTED_VALUE"""),0.1)</f>
        <v>0.1</v>
      </c>
      <c r="F263">
        <f>IFERROR(__xludf.DUMMYFUNCTION("""COMPUTED_VALUE"""),0.8)</f>
        <v>0.8</v>
      </c>
      <c r="G263">
        <f>IFERROR(__xludf.DUMMYFUNCTION("""COMPUTED_VALUE"""),3.5)</f>
        <v>3.5</v>
      </c>
    </row>
    <row r="264">
      <c r="A264">
        <f>IFERROR(__xludf.DUMMYFUNCTION("""COMPUTED_VALUE"""),168505.0)</f>
        <v>168505</v>
      </c>
      <c r="B264" t="str">
        <f>IFERROR(__xludf.DUMMYFUNCTION("""COMPUTED_VALUE"""),"Beans Snap Green Canned No Salt Added Drained Solids")</f>
        <v>Beans Snap Green Canned No Salt Added Drained Solids</v>
      </c>
      <c r="C264" t="str">
        <f>IFERROR(__xludf.DUMMYFUNCTION("""COMPUTED_VALUE"""),"Vegetables")</f>
        <v>Vegetables</v>
      </c>
      <c r="D264">
        <f>IFERROR(__xludf.DUMMYFUNCTION("""COMPUTED_VALUE"""),22.0)</f>
        <v>22</v>
      </c>
      <c r="E264">
        <f>IFERROR(__xludf.DUMMYFUNCTION("""COMPUTED_VALUE"""),0.46)</f>
        <v>0.46</v>
      </c>
      <c r="F264">
        <f>IFERROR(__xludf.DUMMYFUNCTION("""COMPUTED_VALUE"""),1.12)</f>
        <v>1.12</v>
      </c>
      <c r="G264">
        <f>IFERROR(__xludf.DUMMYFUNCTION("""COMPUTED_VALUE"""),4.32)</f>
        <v>4.32</v>
      </c>
    </row>
    <row r="265">
      <c r="A265">
        <f>IFERROR(__xludf.DUMMYFUNCTION("""COMPUTED_VALUE"""),168506.0)</f>
        <v>168506</v>
      </c>
      <c r="B265" t="str">
        <f>IFERROR(__xludf.DUMMYFUNCTION("""COMPUTED_VALUE"""),"Beets Cooked Boiled. Drained With Salt")</f>
        <v>Beets Cooked Boiled. Drained With Salt</v>
      </c>
      <c r="C265" t="str">
        <f>IFERROR(__xludf.DUMMYFUNCTION("""COMPUTED_VALUE"""),"Vegetables")</f>
        <v>Vegetables</v>
      </c>
      <c r="D265">
        <f>IFERROR(__xludf.DUMMYFUNCTION("""COMPUTED_VALUE"""),44.0)</f>
        <v>44</v>
      </c>
      <c r="E265">
        <f>IFERROR(__xludf.DUMMYFUNCTION("""COMPUTED_VALUE"""),0.18)</f>
        <v>0.18</v>
      </c>
      <c r="F265">
        <f>IFERROR(__xludf.DUMMYFUNCTION("""COMPUTED_VALUE"""),1.68)</f>
        <v>1.68</v>
      </c>
      <c r="G265">
        <f>IFERROR(__xludf.DUMMYFUNCTION("""COMPUTED_VALUE"""),9.96)</f>
        <v>9.96</v>
      </c>
    </row>
    <row r="266">
      <c r="A266">
        <f>IFERROR(__xludf.DUMMYFUNCTION("""COMPUTED_VALUE"""),168507.0)</f>
        <v>168507</v>
      </c>
      <c r="B266" t="str">
        <f>IFERROR(__xludf.DUMMYFUNCTION("""COMPUTED_VALUE"""),"Beets Canned No Salt Added Solids And Liquids")</f>
        <v>Beets Canned No Salt Added Solids And Liquids</v>
      </c>
      <c r="C266" t="str">
        <f>IFERROR(__xludf.DUMMYFUNCTION("""COMPUTED_VALUE"""),"Vegetables")</f>
        <v>Vegetables</v>
      </c>
      <c r="D266">
        <f>IFERROR(__xludf.DUMMYFUNCTION("""COMPUTED_VALUE"""),28.0)</f>
        <v>28</v>
      </c>
      <c r="E266">
        <f>IFERROR(__xludf.DUMMYFUNCTION("""COMPUTED_VALUE"""),0.07)</f>
        <v>0.07</v>
      </c>
      <c r="F266">
        <f>IFERROR(__xludf.DUMMYFUNCTION("""COMPUTED_VALUE"""),0.8)</f>
        <v>0.8</v>
      </c>
      <c r="G266">
        <f>IFERROR(__xludf.DUMMYFUNCTION("""COMPUTED_VALUE"""),6.57)</f>
        <v>6.57</v>
      </c>
    </row>
    <row r="267">
      <c r="A267">
        <f>IFERROR(__xludf.DUMMYFUNCTION("""COMPUTED_VALUE"""),168508.0)</f>
        <v>168508</v>
      </c>
      <c r="B267" t="str">
        <f>IFERROR(__xludf.DUMMYFUNCTION("""COMPUTED_VALUE"""),"Beet Greens Cooked Boiled Drained With Salt")</f>
        <v>Beet Greens Cooked Boiled Drained With Salt</v>
      </c>
      <c r="C267" t="str">
        <f>IFERROR(__xludf.DUMMYFUNCTION("""COMPUTED_VALUE"""),"Vegetables")</f>
        <v>Vegetables</v>
      </c>
      <c r="D267">
        <f>IFERROR(__xludf.DUMMYFUNCTION("""COMPUTED_VALUE"""),27.0)</f>
        <v>27</v>
      </c>
      <c r="E267">
        <f>IFERROR(__xludf.DUMMYFUNCTION("""COMPUTED_VALUE"""),0.2)</f>
        <v>0.2</v>
      </c>
      <c r="F267">
        <f>IFERROR(__xludf.DUMMYFUNCTION("""COMPUTED_VALUE"""),2.57)</f>
        <v>2.57</v>
      </c>
      <c r="G267">
        <f>IFERROR(__xludf.DUMMYFUNCTION("""COMPUTED_VALUE"""),5.46)</f>
        <v>5.46</v>
      </c>
    </row>
    <row r="268">
      <c r="A268">
        <f>IFERROR(__xludf.DUMMYFUNCTION("""COMPUTED_VALUE"""),168509.0)</f>
        <v>168509</v>
      </c>
      <c r="B268" t="str">
        <f>IFERROR(__xludf.DUMMYFUNCTION("""COMPUTED_VALUE"""),"Borage Cooked Boiled Drained With Salt")</f>
        <v>Borage Cooked Boiled Drained With Salt</v>
      </c>
      <c r="C268" t="str">
        <f>IFERROR(__xludf.DUMMYFUNCTION("""COMPUTED_VALUE"""),"Vegetables")</f>
        <v>Vegetables</v>
      </c>
      <c r="D268">
        <f>IFERROR(__xludf.DUMMYFUNCTION("""COMPUTED_VALUE"""),25.0)</f>
        <v>25</v>
      </c>
      <c r="E268">
        <f>IFERROR(__xludf.DUMMYFUNCTION("""COMPUTED_VALUE"""),0.81)</f>
        <v>0.81</v>
      </c>
      <c r="F268">
        <f>IFERROR(__xludf.DUMMYFUNCTION("""COMPUTED_VALUE"""),2.09)</f>
        <v>2.09</v>
      </c>
      <c r="G268">
        <f>IFERROR(__xludf.DUMMYFUNCTION("""COMPUTED_VALUE"""),3.55)</f>
        <v>3.55</v>
      </c>
    </row>
    <row r="269">
      <c r="A269">
        <f>IFERROR(__xludf.DUMMYFUNCTION("""COMPUTED_VALUE"""),168510.0)</f>
        <v>168510</v>
      </c>
      <c r="B269" t="str">
        <f>IFERROR(__xludf.DUMMYFUNCTION("""COMPUTED_VALUE"""),"Broccoli Cooked Boiled Drained With Salt")</f>
        <v>Broccoli Cooked Boiled Drained With Salt</v>
      </c>
      <c r="C269" t="str">
        <f>IFERROR(__xludf.DUMMYFUNCTION("""COMPUTED_VALUE"""),"Vegetables")</f>
        <v>Vegetables</v>
      </c>
      <c r="D269">
        <f>IFERROR(__xludf.DUMMYFUNCTION("""COMPUTED_VALUE"""),35.0)</f>
        <v>35</v>
      </c>
      <c r="E269">
        <f>IFERROR(__xludf.DUMMYFUNCTION("""COMPUTED_VALUE"""),0.41)</f>
        <v>0.41</v>
      </c>
      <c r="F269">
        <f>IFERROR(__xludf.DUMMYFUNCTION("""COMPUTED_VALUE"""),2.38)</f>
        <v>2.38</v>
      </c>
      <c r="G269">
        <f>IFERROR(__xludf.DUMMYFUNCTION("""COMPUTED_VALUE"""),7.18)</f>
        <v>7.18</v>
      </c>
    </row>
    <row r="270">
      <c r="A270">
        <f>IFERROR(__xludf.DUMMYFUNCTION("""COMPUTED_VALUE"""),168511.0)</f>
        <v>168511</v>
      </c>
      <c r="B270" t="str">
        <f>IFERROR(__xludf.DUMMYFUNCTION("""COMPUTED_VALUE"""),"Broccoli Frozen Chopped Cooked Boiled Drained With Salt")</f>
        <v>Broccoli Frozen Chopped Cooked Boiled Drained With Salt</v>
      </c>
      <c r="C270" t="str">
        <f>IFERROR(__xludf.DUMMYFUNCTION("""COMPUTED_VALUE"""),"Vegetables")</f>
        <v>Vegetables</v>
      </c>
      <c r="D270">
        <f>IFERROR(__xludf.DUMMYFUNCTION("""COMPUTED_VALUE"""),28.0)</f>
        <v>28</v>
      </c>
      <c r="E270">
        <f>IFERROR(__xludf.DUMMYFUNCTION("""COMPUTED_VALUE"""),0.12)</f>
        <v>0.12</v>
      </c>
      <c r="F270">
        <f>IFERROR(__xludf.DUMMYFUNCTION("""COMPUTED_VALUE"""),3.1)</f>
        <v>3.1</v>
      </c>
      <c r="G270">
        <f>IFERROR(__xludf.DUMMYFUNCTION("""COMPUTED_VALUE"""),5.35)</f>
        <v>5.35</v>
      </c>
    </row>
    <row r="271">
      <c r="A271">
        <f>IFERROR(__xludf.DUMMYFUNCTION("""COMPUTED_VALUE"""),168512.0)</f>
        <v>168512</v>
      </c>
      <c r="B271" t="str">
        <f>IFERROR(__xludf.DUMMYFUNCTION("""COMPUTED_VALUE"""),"Broccoli Frozen Spears Cooked Boiled Drained With Salt")</f>
        <v>Broccoli Frozen Spears Cooked Boiled Drained With Salt</v>
      </c>
      <c r="C271" t="str">
        <f>IFERROR(__xludf.DUMMYFUNCTION("""COMPUTED_VALUE"""),"Vegetables")</f>
        <v>Vegetables</v>
      </c>
      <c r="D271">
        <f>IFERROR(__xludf.DUMMYFUNCTION("""COMPUTED_VALUE"""),28.0)</f>
        <v>28</v>
      </c>
      <c r="E271">
        <f>IFERROR(__xludf.DUMMYFUNCTION("""COMPUTED_VALUE"""),0.11)</f>
        <v>0.11</v>
      </c>
      <c r="F271">
        <f>IFERROR(__xludf.DUMMYFUNCTION("""COMPUTED_VALUE"""),3.1)</f>
        <v>3.1</v>
      </c>
      <c r="G271">
        <f>IFERROR(__xludf.DUMMYFUNCTION("""COMPUTED_VALUE"""),5.35)</f>
        <v>5.35</v>
      </c>
    </row>
    <row r="272">
      <c r="A272">
        <f>IFERROR(__xludf.DUMMYFUNCTION("""COMPUTED_VALUE"""),168513.0)</f>
        <v>168513</v>
      </c>
      <c r="B272" t="str">
        <f>IFERROR(__xludf.DUMMYFUNCTION("""COMPUTED_VALUE"""),"Brussels Sprouts Cooked Boiled Drained With Salt")</f>
        <v>Brussels Sprouts Cooked Boiled Drained With Salt</v>
      </c>
      <c r="C272" t="str">
        <f>IFERROR(__xludf.DUMMYFUNCTION("""COMPUTED_VALUE"""),"Vegetables")</f>
        <v>Vegetables</v>
      </c>
      <c r="D272">
        <f>IFERROR(__xludf.DUMMYFUNCTION("""COMPUTED_VALUE"""),36.0)</f>
        <v>36</v>
      </c>
      <c r="E272">
        <f>IFERROR(__xludf.DUMMYFUNCTION("""COMPUTED_VALUE"""),0.5)</f>
        <v>0.5</v>
      </c>
      <c r="F272">
        <f>IFERROR(__xludf.DUMMYFUNCTION("""COMPUTED_VALUE"""),2.55)</f>
        <v>2.55</v>
      </c>
      <c r="G272">
        <f>IFERROR(__xludf.DUMMYFUNCTION("""COMPUTED_VALUE"""),7.1)</f>
        <v>7.1</v>
      </c>
    </row>
    <row r="273">
      <c r="A273">
        <f>IFERROR(__xludf.DUMMYFUNCTION("""COMPUTED_VALUE"""),168514.0)</f>
        <v>168514</v>
      </c>
      <c r="B273" t="str">
        <f>IFERROR(__xludf.DUMMYFUNCTION("""COMPUTED_VALUE"""),"Cabbage Common Cooked Boiled Drained With Salt")</f>
        <v>Cabbage Common Cooked Boiled Drained With Salt</v>
      </c>
      <c r="C273" t="str">
        <f>IFERROR(__xludf.DUMMYFUNCTION("""COMPUTED_VALUE"""),"Vegetables")</f>
        <v>Vegetables</v>
      </c>
      <c r="D273">
        <f>IFERROR(__xludf.DUMMYFUNCTION("""COMPUTED_VALUE"""),23.0)</f>
        <v>23</v>
      </c>
      <c r="E273">
        <f>IFERROR(__xludf.DUMMYFUNCTION("""COMPUTED_VALUE"""),0.06)</f>
        <v>0.06</v>
      </c>
      <c r="F273">
        <f>IFERROR(__xludf.DUMMYFUNCTION("""COMPUTED_VALUE"""),1.27)</f>
        <v>1.27</v>
      </c>
      <c r="G273">
        <f>IFERROR(__xludf.DUMMYFUNCTION("""COMPUTED_VALUE"""),5.51)</f>
        <v>5.51</v>
      </c>
    </row>
    <row r="274">
      <c r="A274">
        <f>IFERROR(__xludf.DUMMYFUNCTION("""COMPUTED_VALUE"""),168515.0)</f>
        <v>168515</v>
      </c>
      <c r="B274" t="str">
        <f>IFERROR(__xludf.DUMMYFUNCTION("""COMPUTED_VALUE"""),"Cabbage Red Cooked Boiled Drained With Salt")</f>
        <v>Cabbage Red Cooked Boiled Drained With Salt</v>
      </c>
      <c r="C274" t="str">
        <f>IFERROR(__xludf.DUMMYFUNCTION("""COMPUTED_VALUE"""),"Vegetables")</f>
        <v>Vegetables</v>
      </c>
      <c r="D274">
        <f>IFERROR(__xludf.DUMMYFUNCTION("""COMPUTED_VALUE"""),29.0)</f>
        <v>29</v>
      </c>
      <c r="E274">
        <f>IFERROR(__xludf.DUMMYFUNCTION("""COMPUTED_VALUE"""),0.09)</f>
        <v>0.09</v>
      </c>
      <c r="F274">
        <f>IFERROR(__xludf.DUMMYFUNCTION("""COMPUTED_VALUE"""),1.51)</f>
        <v>1.51</v>
      </c>
      <c r="G274">
        <f>IFERROR(__xludf.DUMMYFUNCTION("""COMPUTED_VALUE"""),6.94)</f>
        <v>6.94</v>
      </c>
    </row>
    <row r="275">
      <c r="A275">
        <f>IFERROR(__xludf.DUMMYFUNCTION("""COMPUTED_VALUE"""),168516.0)</f>
        <v>168516</v>
      </c>
      <c r="B275" t="str">
        <f>IFERROR(__xludf.DUMMYFUNCTION("""COMPUTED_VALUE"""),"Cabbage Savoy Cooked Boiled Drained With Salt")</f>
        <v>Cabbage Savoy Cooked Boiled Drained With Salt</v>
      </c>
      <c r="C275" t="str">
        <f>IFERROR(__xludf.DUMMYFUNCTION("""COMPUTED_VALUE"""),"Vegetables")</f>
        <v>Vegetables</v>
      </c>
      <c r="D275">
        <f>IFERROR(__xludf.DUMMYFUNCTION("""COMPUTED_VALUE"""),24.0)</f>
        <v>24</v>
      </c>
      <c r="E275">
        <f>IFERROR(__xludf.DUMMYFUNCTION("""COMPUTED_VALUE"""),0.09)</f>
        <v>0.09</v>
      </c>
      <c r="F275">
        <f>IFERROR(__xludf.DUMMYFUNCTION("""COMPUTED_VALUE"""),1.8)</f>
        <v>1.8</v>
      </c>
      <c r="G275">
        <f>IFERROR(__xludf.DUMMYFUNCTION("""COMPUTED_VALUE"""),5.41)</f>
        <v>5.41</v>
      </c>
    </row>
    <row r="276">
      <c r="A276">
        <f>IFERROR(__xludf.DUMMYFUNCTION("""COMPUTED_VALUE"""),168517.0)</f>
        <v>168517</v>
      </c>
      <c r="B276" t="str">
        <f>IFERROR(__xludf.DUMMYFUNCTION("""COMPUTED_VALUE"""),"Cabbage Chinese (Pak-Choi) Cooked Boiled Drained With Salt")</f>
        <v>Cabbage Chinese (Pak-Choi) Cooked Boiled Drained With Salt</v>
      </c>
      <c r="C276" t="str">
        <f>IFERROR(__xludf.DUMMYFUNCTION("""COMPUTED_VALUE"""),"Vegetables")</f>
        <v>Vegetables</v>
      </c>
      <c r="D276">
        <f>IFERROR(__xludf.DUMMYFUNCTION("""COMPUTED_VALUE"""),12.0)</f>
        <v>12</v>
      </c>
      <c r="E276">
        <f>IFERROR(__xludf.DUMMYFUNCTION("""COMPUTED_VALUE"""),0.16)</f>
        <v>0.16</v>
      </c>
      <c r="F276">
        <f>IFERROR(__xludf.DUMMYFUNCTION("""COMPUTED_VALUE"""),1.56)</f>
        <v>1.56</v>
      </c>
      <c r="G276">
        <f>IFERROR(__xludf.DUMMYFUNCTION("""COMPUTED_VALUE"""),1.78)</f>
        <v>1.78</v>
      </c>
    </row>
    <row r="277">
      <c r="A277">
        <f>IFERROR(__xludf.DUMMYFUNCTION("""COMPUTED_VALUE"""),168518.0)</f>
        <v>168518</v>
      </c>
      <c r="B277" t="str">
        <f>IFERROR(__xludf.DUMMYFUNCTION("""COMPUTED_VALUE"""),"Carrots Canned No Salt Added Drained Solids")</f>
        <v>Carrots Canned No Salt Added Drained Solids</v>
      </c>
      <c r="C277" t="str">
        <f>IFERROR(__xludf.DUMMYFUNCTION("""COMPUTED_VALUE"""),"Vegetables")</f>
        <v>Vegetables</v>
      </c>
      <c r="D277">
        <f>IFERROR(__xludf.DUMMYFUNCTION("""COMPUTED_VALUE"""),25.0)</f>
        <v>25</v>
      </c>
      <c r="E277">
        <f>IFERROR(__xludf.DUMMYFUNCTION("""COMPUTED_VALUE"""),0.19)</f>
        <v>0.19</v>
      </c>
      <c r="F277">
        <f>IFERROR(__xludf.DUMMYFUNCTION("""COMPUTED_VALUE"""),0.64)</f>
        <v>0.64</v>
      </c>
      <c r="G277">
        <f>IFERROR(__xludf.DUMMYFUNCTION("""COMPUTED_VALUE"""),5.54)</f>
        <v>5.54</v>
      </c>
    </row>
    <row r="278">
      <c r="A278">
        <f>IFERROR(__xludf.DUMMYFUNCTION("""COMPUTED_VALUE"""),168519.0)</f>
        <v>168519</v>
      </c>
      <c r="B278" t="str">
        <f>IFERROR(__xludf.DUMMYFUNCTION("""COMPUTED_VALUE"""),"Carrots Frozen Cooked Boiled Drained With Salt")</f>
        <v>Carrots Frozen Cooked Boiled Drained With Salt</v>
      </c>
      <c r="C278" t="str">
        <f>IFERROR(__xludf.DUMMYFUNCTION("""COMPUTED_VALUE"""),"Vegetables")</f>
        <v>Vegetables</v>
      </c>
      <c r="D278">
        <f>IFERROR(__xludf.DUMMYFUNCTION("""COMPUTED_VALUE"""),37.0)</f>
        <v>37</v>
      </c>
      <c r="E278">
        <f>IFERROR(__xludf.DUMMYFUNCTION("""COMPUTED_VALUE"""),0.68)</f>
        <v>0.68</v>
      </c>
      <c r="F278">
        <f>IFERROR(__xludf.DUMMYFUNCTION("""COMPUTED_VALUE"""),0.58)</f>
        <v>0.58</v>
      </c>
      <c r="G278">
        <f>IFERROR(__xludf.DUMMYFUNCTION("""COMPUTED_VALUE"""),7.73)</f>
        <v>7.73</v>
      </c>
    </row>
    <row r="279">
      <c r="A279">
        <f>IFERROR(__xludf.DUMMYFUNCTION("""COMPUTED_VALUE"""),168520.0)</f>
        <v>168520</v>
      </c>
      <c r="B279" t="str">
        <f>IFERROR(__xludf.DUMMYFUNCTION("""COMPUTED_VALUE"""),"Cauliflower Cooked Boiled Drained With Salt")</f>
        <v>Cauliflower Cooked Boiled Drained With Salt</v>
      </c>
      <c r="C279" t="str">
        <f>IFERROR(__xludf.DUMMYFUNCTION("""COMPUTED_VALUE"""),"Vegetables")</f>
        <v>Vegetables</v>
      </c>
      <c r="D279">
        <f>IFERROR(__xludf.DUMMYFUNCTION("""COMPUTED_VALUE"""),23.0)</f>
        <v>23</v>
      </c>
      <c r="E279">
        <f>IFERROR(__xludf.DUMMYFUNCTION("""COMPUTED_VALUE"""),0.45)</f>
        <v>0.45</v>
      </c>
      <c r="F279">
        <f>IFERROR(__xludf.DUMMYFUNCTION("""COMPUTED_VALUE"""),1.84)</f>
        <v>1.84</v>
      </c>
      <c r="G279">
        <f>IFERROR(__xludf.DUMMYFUNCTION("""COMPUTED_VALUE"""),4.11)</f>
        <v>4.11</v>
      </c>
    </row>
    <row r="280">
      <c r="A280">
        <f>IFERROR(__xludf.DUMMYFUNCTION("""COMPUTED_VALUE"""),168521.0)</f>
        <v>168521</v>
      </c>
      <c r="B280" t="str">
        <f>IFERROR(__xludf.DUMMYFUNCTION("""COMPUTED_VALUE"""),"Cauliflower Frozen Cooked Boiled Drained With Salt")</f>
        <v>Cauliflower Frozen Cooked Boiled Drained With Salt</v>
      </c>
      <c r="C280" t="str">
        <f>IFERROR(__xludf.DUMMYFUNCTION("""COMPUTED_VALUE"""),"Vegetables")</f>
        <v>Vegetables</v>
      </c>
      <c r="D280">
        <f>IFERROR(__xludf.DUMMYFUNCTION("""COMPUTED_VALUE"""),17.0)</f>
        <v>17</v>
      </c>
      <c r="E280">
        <f>IFERROR(__xludf.DUMMYFUNCTION("""COMPUTED_VALUE"""),0.22)</f>
        <v>0.22</v>
      </c>
      <c r="F280">
        <f>IFERROR(__xludf.DUMMYFUNCTION("""COMPUTED_VALUE"""),1.61)</f>
        <v>1.61</v>
      </c>
      <c r="G280">
        <f>IFERROR(__xludf.DUMMYFUNCTION("""COMPUTED_VALUE"""),3.16)</f>
        <v>3.16</v>
      </c>
    </row>
    <row r="281">
      <c r="A281">
        <f>IFERROR(__xludf.DUMMYFUNCTION("""COMPUTED_VALUE"""),168522.0)</f>
        <v>168522</v>
      </c>
      <c r="B281" t="str">
        <f>IFERROR(__xludf.DUMMYFUNCTION("""COMPUTED_VALUE"""),"Chrysanthemum Garland Cooked Boiled Drained With Salt")</f>
        <v>Chrysanthemum Garland Cooked Boiled Drained With Salt</v>
      </c>
      <c r="C281" t="str">
        <f>IFERROR(__xludf.DUMMYFUNCTION("""COMPUTED_VALUE"""),"Vegetables")</f>
        <v>Vegetables</v>
      </c>
      <c r="D281">
        <f>IFERROR(__xludf.DUMMYFUNCTION("""COMPUTED_VALUE"""),20.0)</f>
        <v>20</v>
      </c>
      <c r="E281">
        <f>IFERROR(__xludf.DUMMYFUNCTION("""COMPUTED_VALUE"""),0.09)</f>
        <v>0.09</v>
      </c>
      <c r="F281">
        <f>IFERROR(__xludf.DUMMYFUNCTION("""COMPUTED_VALUE"""),1.64)</f>
        <v>1.64</v>
      </c>
      <c r="G281">
        <f>IFERROR(__xludf.DUMMYFUNCTION("""COMPUTED_VALUE"""),4.31)</f>
        <v>4.31</v>
      </c>
    </row>
    <row r="282">
      <c r="A282">
        <f>IFERROR(__xludf.DUMMYFUNCTION("""COMPUTED_VALUE"""),168523.0)</f>
        <v>168523</v>
      </c>
      <c r="B282" t="str">
        <f>IFERROR(__xludf.DUMMYFUNCTION("""COMPUTED_VALUE"""),"Collards Cooked Boiled Drained With Salt")</f>
        <v>Collards Cooked Boiled Drained With Salt</v>
      </c>
      <c r="C282" t="str">
        <f>IFERROR(__xludf.DUMMYFUNCTION("""COMPUTED_VALUE"""),"Vegetables")</f>
        <v>Vegetables</v>
      </c>
      <c r="D282">
        <f>IFERROR(__xludf.DUMMYFUNCTION("""COMPUTED_VALUE"""),33.0)</f>
        <v>33</v>
      </c>
      <c r="E282">
        <f>IFERROR(__xludf.DUMMYFUNCTION("""COMPUTED_VALUE"""),0.72)</f>
        <v>0.72</v>
      </c>
      <c r="F282">
        <f>IFERROR(__xludf.DUMMYFUNCTION("""COMPUTED_VALUE"""),2.71)</f>
        <v>2.71</v>
      </c>
      <c r="G282">
        <f>IFERROR(__xludf.DUMMYFUNCTION("""COMPUTED_VALUE"""),5.65)</f>
        <v>5.65</v>
      </c>
    </row>
    <row r="283">
      <c r="A283">
        <f>IFERROR(__xludf.DUMMYFUNCTION("""COMPUTED_VALUE"""),168524.0)</f>
        <v>168524</v>
      </c>
      <c r="B283" t="str">
        <f>IFERROR(__xludf.DUMMYFUNCTION("""COMPUTED_VALUE"""),"Collards Frozen Chopped Cooked Boiled Drained With Salt")</f>
        <v>Collards Frozen Chopped Cooked Boiled Drained With Salt</v>
      </c>
      <c r="C283" t="str">
        <f>IFERROR(__xludf.DUMMYFUNCTION("""COMPUTED_VALUE"""),"Vegetables")</f>
        <v>Vegetables</v>
      </c>
      <c r="D283">
        <f>IFERROR(__xludf.DUMMYFUNCTION("""COMPUTED_VALUE"""),36.0)</f>
        <v>36</v>
      </c>
      <c r="E283">
        <f>IFERROR(__xludf.DUMMYFUNCTION("""COMPUTED_VALUE"""),0.41)</f>
        <v>0.41</v>
      </c>
      <c r="F283">
        <f>IFERROR(__xludf.DUMMYFUNCTION("""COMPUTED_VALUE"""),2.97)</f>
        <v>2.97</v>
      </c>
      <c r="G283">
        <f>IFERROR(__xludf.DUMMYFUNCTION("""COMPUTED_VALUE"""),7.1)</f>
        <v>7.1</v>
      </c>
    </row>
    <row r="284">
      <c r="A284">
        <f>IFERROR(__xludf.DUMMYFUNCTION("""COMPUTED_VALUE"""),168525.0)</f>
        <v>168525</v>
      </c>
      <c r="B284" t="str">
        <f>IFERROR(__xludf.DUMMYFUNCTION("""COMPUTED_VALUE"""),"Corn Sweet Yellow Cooked Boiled Drained With Salt")</f>
        <v>Corn Sweet Yellow Cooked Boiled Drained With Salt</v>
      </c>
      <c r="C284" t="str">
        <f>IFERROR(__xludf.DUMMYFUNCTION("""COMPUTED_VALUE"""),"Vegetables")</f>
        <v>Vegetables</v>
      </c>
      <c r="D284">
        <f>IFERROR(__xludf.DUMMYFUNCTION("""COMPUTED_VALUE"""),96.0)</f>
        <v>96</v>
      </c>
      <c r="E284">
        <f>IFERROR(__xludf.DUMMYFUNCTION("""COMPUTED_VALUE"""),1.5)</f>
        <v>1.5</v>
      </c>
      <c r="F284">
        <f>IFERROR(__xludf.DUMMYFUNCTION("""COMPUTED_VALUE"""),3.41)</f>
        <v>3.41</v>
      </c>
      <c r="G284">
        <f>IFERROR(__xludf.DUMMYFUNCTION("""COMPUTED_VALUE"""),20.98)</f>
        <v>20.98</v>
      </c>
    </row>
    <row r="285">
      <c r="A285">
        <f>IFERROR(__xludf.DUMMYFUNCTION("""COMPUTED_VALUE"""),168526.0)</f>
        <v>168526</v>
      </c>
      <c r="B285" t="str">
        <f>IFERROR(__xludf.DUMMYFUNCTION("""COMPUTED_VALUE"""),"Cowpeas (Blackeyes) Immature Seeds Cooked Boiled Drained With Salt")</f>
        <v>Cowpeas (Blackeyes) Immature Seeds Cooked Boiled Drained With Salt</v>
      </c>
      <c r="C285" t="str">
        <f>IFERROR(__xludf.DUMMYFUNCTION("""COMPUTED_VALUE"""),"Vegetables")</f>
        <v>Vegetables</v>
      </c>
      <c r="D285">
        <f>IFERROR(__xludf.DUMMYFUNCTION("""COMPUTED_VALUE"""),94.0)</f>
        <v>94</v>
      </c>
      <c r="E285">
        <f>IFERROR(__xludf.DUMMYFUNCTION("""COMPUTED_VALUE"""),0.38)</f>
        <v>0.38</v>
      </c>
      <c r="F285">
        <f>IFERROR(__xludf.DUMMYFUNCTION("""COMPUTED_VALUE"""),3.17)</f>
        <v>3.17</v>
      </c>
      <c r="G285">
        <f>IFERROR(__xludf.DUMMYFUNCTION("""COMPUTED_VALUE"""),19.73)</f>
        <v>19.73</v>
      </c>
    </row>
    <row r="286">
      <c r="A286">
        <f>IFERROR(__xludf.DUMMYFUNCTION("""COMPUTED_VALUE"""),168527.0)</f>
        <v>168527</v>
      </c>
      <c r="B286" t="str">
        <f>IFERROR(__xludf.DUMMYFUNCTION("""COMPUTED_VALUE"""),"Cowpeas (Blackeyes) Immature Seeds Frozen Cooked Boiled Drained With Salt")</f>
        <v>Cowpeas (Blackeyes) Immature Seeds Frozen Cooked Boiled Drained With Salt</v>
      </c>
      <c r="C286" t="str">
        <f>IFERROR(__xludf.DUMMYFUNCTION("""COMPUTED_VALUE"""),"Vegetables")</f>
        <v>Vegetables</v>
      </c>
      <c r="D286">
        <f>IFERROR(__xludf.DUMMYFUNCTION("""COMPUTED_VALUE"""),131.0)</f>
        <v>131</v>
      </c>
      <c r="E286">
        <f>IFERROR(__xludf.DUMMYFUNCTION("""COMPUTED_VALUE"""),0.66)</f>
        <v>0.66</v>
      </c>
      <c r="F286">
        <f>IFERROR(__xludf.DUMMYFUNCTION("""COMPUTED_VALUE"""),8.49)</f>
        <v>8.49</v>
      </c>
      <c r="G286">
        <f>IFERROR(__xludf.DUMMYFUNCTION("""COMPUTED_VALUE"""),23.5)</f>
        <v>23.5</v>
      </c>
    </row>
    <row r="287">
      <c r="A287">
        <f>IFERROR(__xludf.DUMMYFUNCTION("""COMPUTED_VALUE"""),168528.0)</f>
        <v>168528</v>
      </c>
      <c r="B287" t="str">
        <f>IFERROR(__xludf.DUMMYFUNCTION("""COMPUTED_VALUE"""),"Cowpeas Young Pods With Seeds Cooked Boiled Drained With Salt")</f>
        <v>Cowpeas Young Pods With Seeds Cooked Boiled Drained With Salt</v>
      </c>
      <c r="C287" t="str">
        <f>IFERROR(__xludf.DUMMYFUNCTION("""COMPUTED_VALUE"""),"Vegetables")</f>
        <v>Vegetables</v>
      </c>
      <c r="D287">
        <f>IFERROR(__xludf.DUMMYFUNCTION("""COMPUTED_VALUE"""),34.0)</f>
        <v>34</v>
      </c>
      <c r="E287">
        <f>IFERROR(__xludf.DUMMYFUNCTION("""COMPUTED_VALUE"""),0.3)</f>
        <v>0.3</v>
      </c>
      <c r="F287">
        <f>IFERROR(__xludf.DUMMYFUNCTION("""COMPUTED_VALUE"""),2.6)</f>
        <v>2.6</v>
      </c>
      <c r="G287">
        <f>IFERROR(__xludf.DUMMYFUNCTION("""COMPUTED_VALUE"""),7.0)</f>
        <v>7</v>
      </c>
    </row>
    <row r="288">
      <c r="A288">
        <f>IFERROR(__xludf.DUMMYFUNCTION("""COMPUTED_VALUE"""),168529.0)</f>
        <v>168529</v>
      </c>
      <c r="B288" t="str">
        <f>IFERROR(__xludf.DUMMYFUNCTION("""COMPUTED_VALUE"""),"Cowpeas Leafy Tips Cooked Boiled Drained With Salt")</f>
        <v>Cowpeas Leafy Tips Cooked Boiled Drained With Salt</v>
      </c>
      <c r="C288" t="str">
        <f>IFERROR(__xludf.DUMMYFUNCTION("""COMPUTED_VALUE"""),"Vegetables")</f>
        <v>Vegetables</v>
      </c>
      <c r="D288">
        <f>IFERROR(__xludf.DUMMYFUNCTION("""COMPUTED_VALUE"""),22.0)</f>
        <v>22</v>
      </c>
      <c r="E288">
        <f>IFERROR(__xludf.DUMMYFUNCTION("""COMPUTED_VALUE"""),0.1)</f>
        <v>0.1</v>
      </c>
      <c r="F288">
        <f>IFERROR(__xludf.DUMMYFUNCTION("""COMPUTED_VALUE"""),4.67)</f>
        <v>4.67</v>
      </c>
      <c r="G288">
        <f>IFERROR(__xludf.DUMMYFUNCTION("""COMPUTED_VALUE"""),2.8)</f>
        <v>2.8</v>
      </c>
    </row>
    <row r="289">
      <c r="A289">
        <f>IFERROR(__xludf.DUMMYFUNCTION("""COMPUTED_VALUE"""),168530.0)</f>
        <v>168530</v>
      </c>
      <c r="B289" t="str">
        <f>IFERROR(__xludf.DUMMYFUNCTION("""COMPUTED_VALUE"""),"Gourd Dishcloth (Towelgourd) Cooked Boiled Drained With Salt")</f>
        <v>Gourd Dishcloth (Towelgourd) Cooked Boiled Drained With Salt</v>
      </c>
      <c r="C289" t="str">
        <f>IFERROR(__xludf.DUMMYFUNCTION("""COMPUTED_VALUE"""),"Vegetables")</f>
        <v>Vegetables</v>
      </c>
      <c r="D289">
        <f>IFERROR(__xludf.DUMMYFUNCTION("""COMPUTED_VALUE"""),54.0)</f>
        <v>54</v>
      </c>
      <c r="E289">
        <f>IFERROR(__xludf.DUMMYFUNCTION("""COMPUTED_VALUE"""),0.34)</f>
        <v>0.34</v>
      </c>
      <c r="F289">
        <f>IFERROR(__xludf.DUMMYFUNCTION("""COMPUTED_VALUE"""),0.66)</f>
        <v>0.66</v>
      </c>
      <c r="G289">
        <f>IFERROR(__xludf.DUMMYFUNCTION("""COMPUTED_VALUE"""),13.75)</f>
        <v>13.75</v>
      </c>
    </row>
    <row r="290">
      <c r="A290">
        <f>IFERROR(__xludf.DUMMYFUNCTION("""COMPUTED_VALUE"""),168531.0)</f>
        <v>168531</v>
      </c>
      <c r="B290" t="str">
        <f>IFERROR(__xludf.DUMMYFUNCTION("""COMPUTED_VALUE"""),"Drumstick Leaves Cooked Boiled Drained With Salt")</f>
        <v>Drumstick Leaves Cooked Boiled Drained With Salt</v>
      </c>
      <c r="C290" t="str">
        <f>IFERROR(__xludf.DUMMYFUNCTION("""COMPUTED_VALUE"""),"Vegetables")</f>
        <v>Vegetables</v>
      </c>
      <c r="D290">
        <f>IFERROR(__xludf.DUMMYFUNCTION("""COMPUTED_VALUE"""),60.0)</f>
        <v>60</v>
      </c>
      <c r="E290">
        <f>IFERROR(__xludf.DUMMYFUNCTION("""COMPUTED_VALUE"""),0.93)</f>
        <v>0.93</v>
      </c>
      <c r="F290">
        <f>IFERROR(__xludf.DUMMYFUNCTION("""COMPUTED_VALUE"""),5.27)</f>
        <v>5.27</v>
      </c>
      <c r="G290">
        <f>IFERROR(__xludf.DUMMYFUNCTION("""COMPUTED_VALUE"""),11.15)</f>
        <v>11.15</v>
      </c>
    </row>
    <row r="291">
      <c r="A291">
        <f>IFERROR(__xludf.DUMMYFUNCTION("""COMPUTED_VALUE"""),168532.0)</f>
        <v>168532</v>
      </c>
      <c r="B291" t="str">
        <f>IFERROR(__xludf.DUMMYFUNCTION("""COMPUTED_VALUE"""),"Drumstick Pods Cooked Boiled Drained With Salt")</f>
        <v>Drumstick Pods Cooked Boiled Drained With Salt</v>
      </c>
      <c r="C291" t="str">
        <f>IFERROR(__xludf.DUMMYFUNCTION("""COMPUTED_VALUE"""),"Vegetables")</f>
        <v>Vegetables</v>
      </c>
      <c r="D291">
        <f>IFERROR(__xludf.DUMMYFUNCTION("""COMPUTED_VALUE"""),36.0)</f>
        <v>36</v>
      </c>
      <c r="E291">
        <f>IFERROR(__xludf.DUMMYFUNCTION("""COMPUTED_VALUE"""),0.19)</f>
        <v>0.19</v>
      </c>
      <c r="F291">
        <f>IFERROR(__xludf.DUMMYFUNCTION("""COMPUTED_VALUE"""),2.09)</f>
        <v>2.09</v>
      </c>
      <c r="G291">
        <f>IFERROR(__xludf.DUMMYFUNCTION("""COMPUTED_VALUE"""),8.18)</f>
        <v>8.18</v>
      </c>
    </row>
    <row r="292">
      <c r="A292">
        <f>IFERROR(__xludf.DUMMYFUNCTION("""COMPUTED_VALUE"""),168533.0)</f>
        <v>168533</v>
      </c>
      <c r="B292" t="str">
        <f>IFERROR(__xludf.DUMMYFUNCTION("""COMPUTED_VALUE"""),"Hyacinth-Beans Immature Seeds Cooked Boiled Drained With Salt")</f>
        <v>Hyacinth-Beans Immature Seeds Cooked Boiled Drained With Salt</v>
      </c>
      <c r="C292" t="str">
        <f>IFERROR(__xludf.DUMMYFUNCTION("""COMPUTED_VALUE"""),"Vegetables")</f>
        <v>Vegetables</v>
      </c>
      <c r="D292">
        <f>IFERROR(__xludf.DUMMYFUNCTION("""COMPUTED_VALUE"""),50.0)</f>
        <v>50</v>
      </c>
      <c r="E292">
        <f>IFERROR(__xludf.DUMMYFUNCTION("""COMPUTED_VALUE"""),0.27)</f>
        <v>0.27</v>
      </c>
      <c r="F292">
        <f>IFERROR(__xludf.DUMMYFUNCTION("""COMPUTED_VALUE"""),2.95)</f>
        <v>2.95</v>
      </c>
      <c r="G292">
        <f>IFERROR(__xludf.DUMMYFUNCTION("""COMPUTED_VALUE"""),9.2)</f>
        <v>9.2</v>
      </c>
    </row>
    <row r="293">
      <c r="A293">
        <f>IFERROR(__xludf.DUMMYFUNCTION("""COMPUTED_VALUE"""),168534.0)</f>
        <v>168534</v>
      </c>
      <c r="B293" t="str">
        <f>IFERROR(__xludf.DUMMYFUNCTION("""COMPUTED_VALUE"""),"Lambsquarters Cooked Boiled Drained With Salt")</f>
        <v>Lambsquarters Cooked Boiled Drained With Salt</v>
      </c>
      <c r="C293" t="str">
        <f>IFERROR(__xludf.DUMMYFUNCTION("""COMPUTED_VALUE"""),"Vegetables")</f>
        <v>Vegetables</v>
      </c>
      <c r="D293">
        <f>IFERROR(__xludf.DUMMYFUNCTION("""COMPUTED_VALUE"""),32.0)</f>
        <v>32</v>
      </c>
      <c r="E293">
        <f>IFERROR(__xludf.DUMMYFUNCTION("""COMPUTED_VALUE"""),0.7)</f>
        <v>0.7</v>
      </c>
      <c r="F293">
        <f>IFERROR(__xludf.DUMMYFUNCTION("""COMPUTED_VALUE"""),3.2)</f>
        <v>3.2</v>
      </c>
      <c r="G293">
        <f>IFERROR(__xludf.DUMMYFUNCTION("""COMPUTED_VALUE"""),5.0)</f>
        <v>5</v>
      </c>
    </row>
    <row r="294">
      <c r="A294">
        <f>IFERROR(__xludf.DUMMYFUNCTION("""COMPUTED_VALUE"""),168535.0)</f>
        <v>168535</v>
      </c>
      <c r="B294" t="str">
        <f>IFERROR(__xludf.DUMMYFUNCTION("""COMPUTED_VALUE"""),"Leeks (Bulb And Lower Leaf-Portion) Cooked Boiled Drained With Salt")</f>
        <v>Leeks (Bulb And Lower Leaf-Portion) Cooked Boiled Drained With Salt</v>
      </c>
      <c r="C294" t="str">
        <f>IFERROR(__xludf.DUMMYFUNCTION("""COMPUTED_VALUE"""),"Vegetables")</f>
        <v>Vegetables</v>
      </c>
      <c r="D294">
        <f>IFERROR(__xludf.DUMMYFUNCTION("""COMPUTED_VALUE"""),31.0)</f>
        <v>31</v>
      </c>
      <c r="E294">
        <f>IFERROR(__xludf.DUMMYFUNCTION("""COMPUTED_VALUE"""),0.2)</f>
        <v>0.2</v>
      </c>
      <c r="F294">
        <f>IFERROR(__xludf.DUMMYFUNCTION("""COMPUTED_VALUE"""),0.81)</f>
        <v>0.81</v>
      </c>
      <c r="G294">
        <f>IFERROR(__xludf.DUMMYFUNCTION("""COMPUTED_VALUE"""),7.62)</f>
        <v>7.62</v>
      </c>
    </row>
    <row r="295">
      <c r="A295">
        <f>IFERROR(__xludf.DUMMYFUNCTION("""COMPUTED_VALUE"""),168536.0)</f>
        <v>168536</v>
      </c>
      <c r="B295" t="str">
        <f>IFERROR(__xludf.DUMMYFUNCTION("""COMPUTED_VALUE"""),"Lotus Root Cooked Boiled Drained With Salt")</f>
        <v>Lotus Root Cooked Boiled Drained With Salt</v>
      </c>
      <c r="C295" t="str">
        <f>IFERROR(__xludf.DUMMYFUNCTION("""COMPUTED_VALUE"""),"Vegetables")</f>
        <v>Vegetables</v>
      </c>
      <c r="D295">
        <f>IFERROR(__xludf.DUMMYFUNCTION("""COMPUTED_VALUE"""),66.0)</f>
        <v>66</v>
      </c>
      <c r="E295">
        <f>IFERROR(__xludf.DUMMYFUNCTION("""COMPUTED_VALUE"""),0.07)</f>
        <v>0.07</v>
      </c>
      <c r="F295">
        <f>IFERROR(__xludf.DUMMYFUNCTION("""COMPUTED_VALUE"""),1.58)</f>
        <v>1.58</v>
      </c>
      <c r="G295">
        <f>IFERROR(__xludf.DUMMYFUNCTION("""COMPUTED_VALUE"""),16.02)</f>
        <v>16.02</v>
      </c>
    </row>
    <row r="296">
      <c r="A296">
        <f>IFERROR(__xludf.DUMMYFUNCTION("""COMPUTED_VALUE"""),168537.0)</f>
        <v>168537</v>
      </c>
      <c r="B296" t="str">
        <f>IFERROR(__xludf.DUMMYFUNCTION("""COMPUTED_VALUE"""),"Mushrooms White Cooked Boiled Drained With Salt")</f>
        <v>Mushrooms White Cooked Boiled Drained With Salt</v>
      </c>
      <c r="C296" t="str">
        <f>IFERROR(__xludf.DUMMYFUNCTION("""COMPUTED_VALUE"""),"Vegetables")</f>
        <v>Vegetables</v>
      </c>
      <c r="D296">
        <f>IFERROR(__xludf.DUMMYFUNCTION("""COMPUTED_VALUE"""),28.0)</f>
        <v>28</v>
      </c>
      <c r="E296">
        <f>IFERROR(__xludf.DUMMYFUNCTION("""COMPUTED_VALUE"""),0.47)</f>
        <v>0.47</v>
      </c>
      <c r="F296">
        <f>IFERROR(__xludf.DUMMYFUNCTION("""COMPUTED_VALUE"""),2.17)</f>
        <v>2.17</v>
      </c>
      <c r="G296">
        <f>IFERROR(__xludf.DUMMYFUNCTION("""COMPUTED_VALUE"""),5.29)</f>
        <v>5.29</v>
      </c>
    </row>
    <row r="297">
      <c r="A297">
        <f>IFERROR(__xludf.DUMMYFUNCTION("""COMPUTED_VALUE"""),168538.0)</f>
        <v>168538</v>
      </c>
      <c r="B297" t="str">
        <f>IFERROR(__xludf.DUMMYFUNCTION("""COMPUTED_VALUE"""),"Sweet White Corn")</f>
        <v>Sweet White Corn</v>
      </c>
      <c r="C297" t="str">
        <f>IFERROR(__xludf.DUMMYFUNCTION("""COMPUTED_VALUE"""),"Vegetables")</f>
        <v>Vegetables</v>
      </c>
      <c r="D297">
        <f>IFERROR(__xludf.DUMMYFUNCTION("""COMPUTED_VALUE"""),86.0)</f>
        <v>86</v>
      </c>
      <c r="E297">
        <f>IFERROR(__xludf.DUMMYFUNCTION("""COMPUTED_VALUE"""),1.18)</f>
        <v>1.18</v>
      </c>
      <c r="F297">
        <f>IFERROR(__xludf.DUMMYFUNCTION("""COMPUTED_VALUE"""),3.22)</f>
        <v>3.22</v>
      </c>
      <c r="G297">
        <f>IFERROR(__xludf.DUMMYFUNCTION("""COMPUTED_VALUE"""),19.02)</f>
        <v>19.02</v>
      </c>
    </row>
    <row r="298">
      <c r="A298">
        <f>IFERROR(__xludf.DUMMYFUNCTION("""COMPUTED_VALUE"""),168539.0)</f>
        <v>168539</v>
      </c>
      <c r="B298" t="str">
        <f>IFERROR(__xludf.DUMMYFUNCTION("""COMPUTED_VALUE"""),"Cooked Sweet White Corn")</f>
        <v>Cooked Sweet White Corn</v>
      </c>
      <c r="C298" t="str">
        <f>IFERROR(__xludf.DUMMYFUNCTION("""COMPUTED_VALUE"""),"Vegetables")</f>
        <v>Vegetables</v>
      </c>
      <c r="D298">
        <f>IFERROR(__xludf.DUMMYFUNCTION("""COMPUTED_VALUE"""),97.0)</f>
        <v>97</v>
      </c>
      <c r="E298">
        <f>IFERROR(__xludf.DUMMYFUNCTION("""COMPUTED_VALUE"""),1.41)</f>
        <v>1.41</v>
      </c>
      <c r="F298">
        <f>IFERROR(__xludf.DUMMYFUNCTION("""COMPUTED_VALUE"""),3.34)</f>
        <v>3.34</v>
      </c>
      <c r="G298">
        <f>IFERROR(__xludf.DUMMYFUNCTION("""COMPUTED_VALUE"""),21.71)</f>
        <v>21.71</v>
      </c>
    </row>
    <row r="299">
      <c r="A299">
        <f>IFERROR(__xludf.DUMMYFUNCTION("""COMPUTED_VALUE"""),168540.0)</f>
        <v>168540</v>
      </c>
      <c r="B299" t="str">
        <f>IFERROR(__xludf.DUMMYFUNCTION("""COMPUTED_VALUE"""),"Corn Sweet White Cooked Boiled Drained With Salt")</f>
        <v>Corn Sweet White Cooked Boiled Drained With Salt</v>
      </c>
      <c r="C299" t="str">
        <f>IFERROR(__xludf.DUMMYFUNCTION("""COMPUTED_VALUE"""),"Vegetables")</f>
        <v>Vegetables</v>
      </c>
      <c r="D299">
        <f>IFERROR(__xludf.DUMMYFUNCTION("""COMPUTED_VALUE"""),97.0)</f>
        <v>97</v>
      </c>
      <c r="E299">
        <f>IFERROR(__xludf.DUMMYFUNCTION("""COMPUTED_VALUE"""),1.41)</f>
        <v>1.41</v>
      </c>
      <c r="F299">
        <f>IFERROR(__xludf.DUMMYFUNCTION("""COMPUTED_VALUE"""),3.34)</f>
        <v>3.34</v>
      </c>
      <c r="G299">
        <f>IFERROR(__xludf.DUMMYFUNCTION("""COMPUTED_VALUE"""),21.71)</f>
        <v>21.71</v>
      </c>
    </row>
    <row r="300">
      <c r="A300">
        <f>IFERROR(__xludf.DUMMYFUNCTION("""COMPUTED_VALUE"""),168541.0)</f>
        <v>168541</v>
      </c>
      <c r="B300" t="str">
        <f>IFERROR(__xludf.DUMMYFUNCTION("""COMPUTED_VALUE"""),"Corn Sweet White Canned Whole Kernel Regular Pack Solids And Liquids")</f>
        <v>Corn Sweet White Canned Whole Kernel Regular Pack Solids And Liquids</v>
      </c>
      <c r="C300" t="str">
        <f>IFERROR(__xludf.DUMMYFUNCTION("""COMPUTED_VALUE"""),"Vegetables")</f>
        <v>Vegetables</v>
      </c>
      <c r="D300">
        <f>IFERROR(__xludf.DUMMYFUNCTION("""COMPUTED_VALUE"""),64.0)</f>
        <v>64</v>
      </c>
      <c r="E300">
        <f>IFERROR(__xludf.DUMMYFUNCTION("""COMPUTED_VALUE"""),0.5)</f>
        <v>0.5</v>
      </c>
      <c r="F300">
        <f>IFERROR(__xludf.DUMMYFUNCTION("""COMPUTED_VALUE"""),1.95)</f>
        <v>1.95</v>
      </c>
      <c r="G300">
        <f>IFERROR(__xludf.DUMMYFUNCTION("""COMPUTED_VALUE"""),15.41)</f>
        <v>15.41</v>
      </c>
    </row>
    <row r="301">
      <c r="A301">
        <f>IFERROR(__xludf.DUMMYFUNCTION("""COMPUTED_VALUE"""),168542.0)</f>
        <v>168542</v>
      </c>
      <c r="B301" t="str">
        <f>IFERROR(__xludf.DUMMYFUNCTION("""COMPUTED_VALUE"""),"Corn Sweet White Canned Vacuum Pack Regular Pack")</f>
        <v>Corn Sweet White Canned Vacuum Pack Regular Pack</v>
      </c>
      <c r="C301" t="str">
        <f>IFERROR(__xludf.DUMMYFUNCTION("""COMPUTED_VALUE"""),"Vegetables")</f>
        <v>Vegetables</v>
      </c>
      <c r="D301">
        <f>IFERROR(__xludf.DUMMYFUNCTION("""COMPUTED_VALUE"""),79.0)</f>
        <v>79</v>
      </c>
      <c r="E301">
        <f>IFERROR(__xludf.DUMMYFUNCTION("""COMPUTED_VALUE"""),0.5)</f>
        <v>0.5</v>
      </c>
      <c r="F301">
        <f>IFERROR(__xludf.DUMMYFUNCTION("""COMPUTED_VALUE"""),2.41)</f>
        <v>2.41</v>
      </c>
      <c r="G301">
        <f>IFERROR(__xludf.DUMMYFUNCTION("""COMPUTED_VALUE"""),19.44)</f>
        <v>19.44</v>
      </c>
    </row>
    <row r="302">
      <c r="A302">
        <f>IFERROR(__xludf.DUMMYFUNCTION("""COMPUTED_VALUE"""),168543.0)</f>
        <v>168543</v>
      </c>
      <c r="B302" t="str">
        <f>IFERROR(__xludf.DUMMYFUNCTION("""COMPUTED_VALUE"""),"Corn Sweet White Canned Vacuum Pack No Salt Added")</f>
        <v>Corn Sweet White Canned Vacuum Pack No Salt Added</v>
      </c>
      <c r="C302" t="str">
        <f>IFERROR(__xludf.DUMMYFUNCTION("""COMPUTED_VALUE"""),"Vegetables")</f>
        <v>Vegetables</v>
      </c>
      <c r="D302">
        <f>IFERROR(__xludf.DUMMYFUNCTION("""COMPUTED_VALUE"""),79.0)</f>
        <v>79</v>
      </c>
      <c r="E302">
        <f>IFERROR(__xludf.DUMMYFUNCTION("""COMPUTED_VALUE"""),0.5)</f>
        <v>0.5</v>
      </c>
      <c r="F302">
        <f>IFERROR(__xludf.DUMMYFUNCTION("""COMPUTED_VALUE"""),2.41)</f>
        <v>2.41</v>
      </c>
      <c r="G302">
        <f>IFERROR(__xludf.DUMMYFUNCTION("""COMPUTED_VALUE"""),19.44)</f>
        <v>19.44</v>
      </c>
    </row>
    <row r="303">
      <c r="A303">
        <f>IFERROR(__xludf.DUMMYFUNCTION("""COMPUTED_VALUE"""),168544.0)</f>
        <v>168544</v>
      </c>
      <c r="B303" t="str">
        <f>IFERROR(__xludf.DUMMYFUNCTION("""COMPUTED_VALUE"""),"Corn Sweet White Frozen Kernels Cut Off Cob Unprepared")</f>
        <v>Corn Sweet White Frozen Kernels Cut Off Cob Unprepared</v>
      </c>
      <c r="C303" t="str">
        <f>IFERROR(__xludf.DUMMYFUNCTION("""COMPUTED_VALUE"""),"Vegetables")</f>
        <v>Vegetables</v>
      </c>
      <c r="D303">
        <f>IFERROR(__xludf.DUMMYFUNCTION("""COMPUTED_VALUE"""),88.0)</f>
        <v>88</v>
      </c>
      <c r="E303">
        <f>IFERROR(__xludf.DUMMYFUNCTION("""COMPUTED_VALUE"""),0.77)</f>
        <v>0.77</v>
      </c>
      <c r="F303">
        <f>IFERROR(__xludf.DUMMYFUNCTION("""COMPUTED_VALUE"""),3.02)</f>
        <v>3.02</v>
      </c>
      <c r="G303">
        <f>IFERROR(__xludf.DUMMYFUNCTION("""COMPUTED_VALUE"""),20.73)</f>
        <v>20.73</v>
      </c>
    </row>
    <row r="304">
      <c r="A304">
        <f>IFERROR(__xludf.DUMMYFUNCTION("""COMPUTED_VALUE"""),168545.0)</f>
        <v>168545</v>
      </c>
      <c r="B304" t="str">
        <f>IFERROR(__xludf.DUMMYFUNCTION("""COMPUTED_VALUE"""),"Corn Sweet White Frozen Kernels Cut Off Cob Boiled Drained Without Salt")</f>
        <v>Corn Sweet White Frozen Kernels Cut Off Cob Boiled Drained Without Salt</v>
      </c>
      <c r="C304" t="str">
        <f>IFERROR(__xludf.DUMMYFUNCTION("""COMPUTED_VALUE"""),"Vegetables")</f>
        <v>Vegetables</v>
      </c>
      <c r="D304">
        <f>IFERROR(__xludf.DUMMYFUNCTION("""COMPUTED_VALUE"""),80.0)</f>
        <v>80</v>
      </c>
      <c r="E304">
        <f>IFERROR(__xludf.DUMMYFUNCTION("""COMPUTED_VALUE"""),0.43)</f>
        <v>0.43</v>
      </c>
      <c r="F304">
        <f>IFERROR(__xludf.DUMMYFUNCTION("""COMPUTED_VALUE"""),2.75)</f>
        <v>2.75</v>
      </c>
      <c r="G304">
        <f>IFERROR(__xludf.DUMMYFUNCTION("""COMPUTED_VALUE"""),19.56)</f>
        <v>19.56</v>
      </c>
    </row>
    <row r="305">
      <c r="A305">
        <f>IFERROR(__xludf.DUMMYFUNCTION("""COMPUTED_VALUE"""),168546.0)</f>
        <v>168546</v>
      </c>
      <c r="B305" t="str">
        <f>IFERROR(__xludf.DUMMYFUNCTION("""COMPUTED_VALUE"""),"Peppers Sweet Red Canned Solids And Liquids")</f>
        <v>Peppers Sweet Red Canned Solids And Liquids</v>
      </c>
      <c r="C305" t="str">
        <f>IFERROR(__xludf.DUMMYFUNCTION("""COMPUTED_VALUE"""),"Vegetables")</f>
        <v>Vegetables</v>
      </c>
      <c r="D305">
        <f>IFERROR(__xludf.DUMMYFUNCTION("""COMPUTED_VALUE"""),18.0)</f>
        <v>18</v>
      </c>
      <c r="E305">
        <f>IFERROR(__xludf.DUMMYFUNCTION("""COMPUTED_VALUE"""),0.3)</f>
        <v>0.3</v>
      </c>
      <c r="F305">
        <f>IFERROR(__xludf.DUMMYFUNCTION("""COMPUTED_VALUE"""),0.8)</f>
        <v>0.8</v>
      </c>
      <c r="G305">
        <f>IFERROR(__xludf.DUMMYFUNCTION("""COMPUTED_VALUE"""),3.9)</f>
        <v>3.9</v>
      </c>
    </row>
    <row r="306">
      <c r="A306">
        <f>IFERROR(__xludf.DUMMYFUNCTION("""COMPUTED_VALUE"""),168547.0)</f>
        <v>168547</v>
      </c>
      <c r="B306" t="str">
        <f>IFERROR(__xludf.DUMMYFUNCTION("""COMPUTED_VALUE"""),"Peppers Sweet Red Frozen Chopped Unprepared")</f>
        <v>Peppers Sweet Red Frozen Chopped Unprepared</v>
      </c>
      <c r="C306" t="str">
        <f>IFERROR(__xludf.DUMMYFUNCTION("""COMPUTED_VALUE"""),"Vegetables")</f>
        <v>Vegetables</v>
      </c>
      <c r="D306">
        <f>IFERROR(__xludf.DUMMYFUNCTION("""COMPUTED_VALUE"""),20.0)</f>
        <v>20</v>
      </c>
      <c r="E306">
        <f>IFERROR(__xludf.DUMMYFUNCTION("""COMPUTED_VALUE"""),0.21)</f>
        <v>0.21</v>
      </c>
      <c r="F306">
        <f>IFERROR(__xludf.DUMMYFUNCTION("""COMPUTED_VALUE"""),1.08)</f>
        <v>1.08</v>
      </c>
      <c r="G306">
        <f>IFERROR(__xludf.DUMMYFUNCTION("""COMPUTED_VALUE"""),4.45)</f>
        <v>4.45</v>
      </c>
    </row>
    <row r="307">
      <c r="A307">
        <f>IFERROR(__xludf.DUMMYFUNCTION("""COMPUTED_VALUE"""),168548.0)</f>
        <v>168548</v>
      </c>
      <c r="B307" t="str">
        <f>IFERROR(__xludf.DUMMYFUNCTION("""COMPUTED_VALUE"""),"Peppers Sweet Red Frozen Chopped Boiled Drained Without Salt")</f>
        <v>Peppers Sweet Red Frozen Chopped Boiled Drained Without Salt</v>
      </c>
      <c r="C307" t="str">
        <f>IFERROR(__xludf.DUMMYFUNCTION("""COMPUTED_VALUE"""),"Vegetables")</f>
        <v>Vegetables</v>
      </c>
      <c r="D307">
        <f>IFERROR(__xludf.DUMMYFUNCTION("""COMPUTED_VALUE"""),16.0)</f>
        <v>16</v>
      </c>
      <c r="E307">
        <f>IFERROR(__xludf.DUMMYFUNCTION("""COMPUTED_VALUE"""),0.18)</f>
        <v>0.18</v>
      </c>
      <c r="F307">
        <f>IFERROR(__xludf.DUMMYFUNCTION("""COMPUTED_VALUE"""),0.95)</f>
        <v>0.95</v>
      </c>
      <c r="G307">
        <f>IFERROR(__xludf.DUMMYFUNCTION("""COMPUTED_VALUE"""),3.31)</f>
        <v>3.31</v>
      </c>
    </row>
    <row r="308">
      <c r="A308">
        <f>IFERROR(__xludf.DUMMYFUNCTION("""COMPUTED_VALUE"""),168549.0)</f>
        <v>168549</v>
      </c>
      <c r="B308" t="str">
        <f>IFERROR(__xludf.DUMMYFUNCTION("""COMPUTED_VALUE"""),"Peppers Sweet Red Frozen Chopped Boiled Drained With Salt")</f>
        <v>Peppers Sweet Red Frozen Chopped Boiled Drained With Salt</v>
      </c>
      <c r="C308" t="str">
        <f>IFERROR(__xludf.DUMMYFUNCTION("""COMPUTED_VALUE"""),"Vegetables")</f>
        <v>Vegetables</v>
      </c>
      <c r="D308">
        <f>IFERROR(__xludf.DUMMYFUNCTION("""COMPUTED_VALUE"""),16.0)</f>
        <v>16</v>
      </c>
      <c r="E308">
        <f>IFERROR(__xludf.DUMMYFUNCTION("""COMPUTED_VALUE"""),0.18)</f>
        <v>0.18</v>
      </c>
      <c r="F308">
        <f>IFERROR(__xludf.DUMMYFUNCTION("""COMPUTED_VALUE"""),0.95)</f>
        <v>0.95</v>
      </c>
      <c r="G308">
        <f>IFERROR(__xludf.DUMMYFUNCTION("""COMPUTED_VALUE"""),3.31)</f>
        <v>3.31</v>
      </c>
    </row>
    <row r="309">
      <c r="A309">
        <f>IFERROR(__xludf.DUMMYFUNCTION("""COMPUTED_VALUE"""),168550.0)</f>
        <v>168550</v>
      </c>
      <c r="B309" t="str">
        <f>IFERROR(__xludf.DUMMYFUNCTION("""COMPUTED_VALUE"""),"Red Bell Peppers (Cooked)")</f>
        <v>Red Bell Peppers (Cooked)</v>
      </c>
      <c r="C309" t="str">
        <f>IFERROR(__xludf.DUMMYFUNCTION("""COMPUTED_VALUE"""),"Vegetables")</f>
        <v>Vegetables</v>
      </c>
      <c r="D309">
        <f>IFERROR(__xludf.DUMMYFUNCTION("""COMPUTED_VALUE"""),133.0)</f>
        <v>133</v>
      </c>
      <c r="E309">
        <f>IFERROR(__xludf.DUMMYFUNCTION("""COMPUTED_VALUE"""),12.75)</f>
        <v>12.75</v>
      </c>
      <c r="F309">
        <f>IFERROR(__xludf.DUMMYFUNCTION("""COMPUTED_VALUE"""),1.04)</f>
        <v>1.04</v>
      </c>
      <c r="G309">
        <f>IFERROR(__xludf.DUMMYFUNCTION("""COMPUTED_VALUE"""),6.57)</f>
        <v>6.57</v>
      </c>
    </row>
    <row r="310">
      <c r="A310">
        <f>IFERROR(__xludf.DUMMYFUNCTION("""COMPUTED_VALUE"""),168551.0)</f>
        <v>168551</v>
      </c>
      <c r="B310" t="str">
        <f>IFERROR(__xludf.DUMMYFUNCTION("""COMPUTED_VALUE"""),"Lentils Sprouted Cooked Stir-Fried With Salt")</f>
        <v>Lentils Sprouted Cooked Stir-Fried With Salt</v>
      </c>
      <c r="C310" t="str">
        <f>IFERROR(__xludf.DUMMYFUNCTION("""COMPUTED_VALUE"""),"Vegetables")</f>
        <v>Vegetables</v>
      </c>
      <c r="D310">
        <f>IFERROR(__xludf.DUMMYFUNCTION("""COMPUTED_VALUE"""),101.0)</f>
        <v>101</v>
      </c>
      <c r="E310">
        <f>IFERROR(__xludf.DUMMYFUNCTION("""COMPUTED_VALUE"""),0.45)</f>
        <v>0.45</v>
      </c>
      <c r="F310">
        <f>IFERROR(__xludf.DUMMYFUNCTION("""COMPUTED_VALUE"""),8.8)</f>
        <v>8.8</v>
      </c>
      <c r="G310">
        <f>IFERROR(__xludf.DUMMYFUNCTION("""COMPUTED_VALUE"""),21.25)</f>
        <v>21.25</v>
      </c>
    </row>
    <row r="311">
      <c r="A311">
        <f>IFERROR(__xludf.DUMMYFUNCTION("""COMPUTED_VALUE"""),168552.0)</f>
        <v>168552</v>
      </c>
      <c r="B311" t="str">
        <f>IFERROR(__xludf.DUMMYFUNCTION("""COMPUTED_VALUE"""),"Mountain Yam Hawaii Cooked Steamed With Salt")</f>
        <v>Mountain Yam Hawaii Cooked Steamed With Salt</v>
      </c>
      <c r="C311" t="str">
        <f>IFERROR(__xludf.DUMMYFUNCTION("""COMPUTED_VALUE"""),"Vegetables")</f>
        <v>Vegetables</v>
      </c>
      <c r="D311">
        <f>IFERROR(__xludf.DUMMYFUNCTION("""COMPUTED_VALUE"""),82.0)</f>
        <v>82</v>
      </c>
      <c r="E311">
        <f>IFERROR(__xludf.DUMMYFUNCTION("""COMPUTED_VALUE"""),0.08)</f>
        <v>0.08</v>
      </c>
      <c r="F311">
        <f>IFERROR(__xludf.DUMMYFUNCTION("""COMPUTED_VALUE"""),1.73)</f>
        <v>1.73</v>
      </c>
      <c r="G311">
        <f>IFERROR(__xludf.DUMMYFUNCTION("""COMPUTED_VALUE"""),19.99)</f>
        <v>19.99</v>
      </c>
    </row>
    <row r="312">
      <c r="A312">
        <f>IFERROR(__xludf.DUMMYFUNCTION("""COMPUTED_VALUE"""),168553.0)</f>
        <v>168553</v>
      </c>
      <c r="B312" t="str">
        <f>IFERROR(__xludf.DUMMYFUNCTION("""COMPUTED_VALUE"""),"Tree Fern Cooked With Salt")</f>
        <v>Tree Fern Cooked With Salt</v>
      </c>
      <c r="C312" t="str">
        <f>IFERROR(__xludf.DUMMYFUNCTION("""COMPUTED_VALUE"""),"Vegetables")</f>
        <v>Vegetables</v>
      </c>
      <c r="D312">
        <f>IFERROR(__xludf.DUMMYFUNCTION("""COMPUTED_VALUE"""),40.0)</f>
        <v>40</v>
      </c>
      <c r="E312">
        <f>IFERROR(__xludf.DUMMYFUNCTION("""COMPUTED_VALUE"""),0.07)</f>
        <v>0.07</v>
      </c>
      <c r="F312">
        <f>IFERROR(__xludf.DUMMYFUNCTION("""COMPUTED_VALUE"""),0.29)</f>
        <v>0.29</v>
      </c>
      <c r="G312">
        <f>IFERROR(__xludf.DUMMYFUNCTION("""COMPUTED_VALUE"""),10.78)</f>
        <v>10.78</v>
      </c>
    </row>
    <row r="313">
      <c r="A313">
        <f>IFERROR(__xludf.DUMMYFUNCTION("""COMPUTED_VALUE"""),168554.0)</f>
        <v>168554</v>
      </c>
      <c r="B313" t="str">
        <f>IFERROR(__xludf.DUMMYFUNCTION("""COMPUTED_VALUE"""),"Potatoes Mashed Prepared From Granules Without Milk Whole Milk And Margarine")</f>
        <v>Potatoes Mashed Prepared From Granules Without Milk Whole Milk And Margarine</v>
      </c>
      <c r="C313" t="str">
        <f>IFERROR(__xludf.DUMMYFUNCTION("""COMPUTED_VALUE"""),"Vegetables")</f>
        <v>Vegetables</v>
      </c>
      <c r="D313">
        <f>IFERROR(__xludf.DUMMYFUNCTION("""COMPUTED_VALUE"""),108.0)</f>
        <v>108</v>
      </c>
      <c r="E313">
        <f>IFERROR(__xludf.DUMMYFUNCTION("""COMPUTED_VALUE"""),4.93)</f>
        <v>4.93</v>
      </c>
      <c r="F313">
        <f>IFERROR(__xludf.DUMMYFUNCTION("""COMPUTED_VALUE"""),2.05)</f>
        <v>2.05</v>
      </c>
      <c r="G313">
        <f>IFERROR(__xludf.DUMMYFUNCTION("""COMPUTED_VALUE"""),14.4)</f>
        <v>14.4</v>
      </c>
    </row>
    <row r="314">
      <c r="A314">
        <f>IFERROR(__xludf.DUMMYFUNCTION("""COMPUTED_VALUE"""),168555.0)</f>
        <v>168555</v>
      </c>
      <c r="B314" t="str">
        <f>IFERROR(__xludf.DUMMYFUNCTION("""COMPUTED_VALUE"""),"Homemade Mashed Potatoes With Milk And Butter")</f>
        <v>Homemade Mashed Potatoes With Milk And Butter</v>
      </c>
      <c r="C314" t="str">
        <f>IFERROR(__xludf.DUMMYFUNCTION("""COMPUTED_VALUE"""),"Vegetables")</f>
        <v>Vegetables</v>
      </c>
      <c r="D314">
        <f>IFERROR(__xludf.DUMMYFUNCTION("""COMPUTED_VALUE"""),113.0)</f>
        <v>113</v>
      </c>
      <c r="E314">
        <f>IFERROR(__xludf.DUMMYFUNCTION("""COMPUTED_VALUE"""),4.22)</f>
        <v>4.22</v>
      </c>
      <c r="F314">
        <f>IFERROR(__xludf.DUMMYFUNCTION("""COMPUTED_VALUE"""),1.86)</f>
        <v>1.86</v>
      </c>
      <c r="G314">
        <f>IFERROR(__xludf.DUMMYFUNCTION("""COMPUTED_VALUE"""),16.81)</f>
        <v>16.81</v>
      </c>
    </row>
    <row r="315">
      <c r="A315">
        <f>IFERROR(__xludf.DUMMYFUNCTION("""COMPUTED_VALUE"""),168556.0)</f>
        <v>168556</v>
      </c>
      <c r="B315" t="str">
        <f>IFERROR(__xludf.DUMMYFUNCTION("""COMPUTED_VALUE"""),"Ketchup")</f>
        <v>Ketchup</v>
      </c>
      <c r="C315" t="str">
        <f>IFERROR(__xludf.DUMMYFUNCTION("""COMPUTED_VALUE"""),"Vegetables")</f>
        <v>Vegetables</v>
      </c>
      <c r="D315">
        <f>IFERROR(__xludf.DUMMYFUNCTION("""COMPUTED_VALUE"""),101.0)</f>
        <v>101</v>
      </c>
      <c r="E315">
        <f>IFERROR(__xludf.DUMMYFUNCTION("""COMPUTED_VALUE"""),0.1)</f>
        <v>0.1</v>
      </c>
      <c r="F315">
        <f>IFERROR(__xludf.DUMMYFUNCTION("""COMPUTED_VALUE"""),1.04)</f>
        <v>1.04</v>
      </c>
      <c r="G315">
        <f>IFERROR(__xludf.DUMMYFUNCTION("""COMPUTED_VALUE"""),27.4)</f>
        <v>27.4</v>
      </c>
    </row>
    <row r="316">
      <c r="A316">
        <f>IFERROR(__xludf.DUMMYFUNCTION("""COMPUTED_VALUE"""),168557.0)</f>
        <v>168557</v>
      </c>
      <c r="B316" t="str">
        <f>IFERROR(__xludf.DUMMYFUNCTION("""COMPUTED_VALUE"""),"Raw Cremini Mushrooms (Exposed To Sunlight Or Uv)")</f>
        <v>Raw Cremini Mushrooms (Exposed To Sunlight Or Uv)</v>
      </c>
      <c r="C316" t="str">
        <f>IFERROR(__xludf.DUMMYFUNCTION("""COMPUTED_VALUE"""),"Vegetables")</f>
        <v>Vegetables</v>
      </c>
      <c r="D316">
        <f>IFERROR(__xludf.DUMMYFUNCTION("""COMPUTED_VALUE"""),22.0)</f>
        <v>22</v>
      </c>
      <c r="E316">
        <f>IFERROR(__xludf.DUMMYFUNCTION("""COMPUTED_VALUE"""),0.1)</f>
        <v>0.1</v>
      </c>
      <c r="F316">
        <f>IFERROR(__xludf.DUMMYFUNCTION("""COMPUTED_VALUE"""),2.5)</f>
        <v>2.5</v>
      </c>
      <c r="G316">
        <f>IFERROR(__xludf.DUMMYFUNCTION("""COMPUTED_VALUE"""),4.3)</f>
        <v>4.3</v>
      </c>
    </row>
    <row r="317">
      <c r="A317">
        <f>IFERROR(__xludf.DUMMYFUNCTION("""COMPUTED_VALUE"""),168558.0)</f>
        <v>168558</v>
      </c>
      <c r="B317" t="str">
        <f>IFERROR(__xludf.DUMMYFUNCTION("""COMPUTED_VALUE"""),"Dill Pickles")</f>
        <v>Dill Pickles</v>
      </c>
      <c r="C317" t="str">
        <f>IFERROR(__xludf.DUMMYFUNCTION("""COMPUTED_VALUE"""),"Vegetables")</f>
        <v>Vegetables</v>
      </c>
      <c r="D317">
        <f>IFERROR(__xludf.DUMMYFUNCTION("""COMPUTED_VALUE"""),12.0)</f>
        <v>12</v>
      </c>
      <c r="E317">
        <f>IFERROR(__xludf.DUMMYFUNCTION("""COMPUTED_VALUE"""),0.3)</f>
        <v>0.3</v>
      </c>
      <c r="F317">
        <f>IFERROR(__xludf.DUMMYFUNCTION("""COMPUTED_VALUE"""),0.5)</f>
        <v>0.5</v>
      </c>
      <c r="G317">
        <f>IFERROR(__xludf.DUMMYFUNCTION("""COMPUTED_VALUE"""),2.41)</f>
        <v>2.41</v>
      </c>
    </row>
    <row r="318">
      <c r="A318">
        <f>IFERROR(__xludf.DUMMYFUNCTION("""COMPUTED_VALUE"""),168559.0)</f>
        <v>168559</v>
      </c>
      <c r="B318" t="str">
        <f>IFERROR(__xludf.DUMMYFUNCTION("""COMPUTED_VALUE"""),"Canned Pimentos")</f>
        <v>Canned Pimentos</v>
      </c>
      <c r="C318" t="str">
        <f>IFERROR(__xludf.DUMMYFUNCTION("""COMPUTED_VALUE"""),"Vegetables")</f>
        <v>Vegetables</v>
      </c>
      <c r="D318">
        <f>IFERROR(__xludf.DUMMYFUNCTION("""COMPUTED_VALUE"""),23.0)</f>
        <v>23</v>
      </c>
      <c r="E318">
        <f>IFERROR(__xludf.DUMMYFUNCTION("""COMPUTED_VALUE"""),0.3)</f>
        <v>0.3</v>
      </c>
      <c r="F318">
        <f>IFERROR(__xludf.DUMMYFUNCTION("""COMPUTED_VALUE"""),1.1)</f>
        <v>1.1</v>
      </c>
      <c r="G318">
        <f>IFERROR(__xludf.DUMMYFUNCTION("""COMPUTED_VALUE"""),5.1)</f>
        <v>5.1</v>
      </c>
    </row>
    <row r="319">
      <c r="A319">
        <f>IFERROR(__xludf.DUMMYFUNCTION("""COMPUTED_VALUE"""),168560.0)</f>
        <v>168560</v>
      </c>
      <c r="B319" t="str">
        <f>IFERROR(__xludf.DUMMYFUNCTION("""COMPUTED_VALUE"""),"Hot Dog Relish")</f>
        <v>Hot Dog Relish</v>
      </c>
      <c r="C319" t="str">
        <f>IFERROR(__xludf.DUMMYFUNCTION("""COMPUTED_VALUE"""),"Vegetables")</f>
        <v>Vegetables</v>
      </c>
      <c r="D319">
        <f>IFERROR(__xludf.DUMMYFUNCTION("""COMPUTED_VALUE"""),91.0)</f>
        <v>91</v>
      </c>
      <c r="E319">
        <f>IFERROR(__xludf.DUMMYFUNCTION("""COMPUTED_VALUE"""),0.46)</f>
        <v>0.46</v>
      </c>
      <c r="F319">
        <f>IFERROR(__xludf.DUMMYFUNCTION("""COMPUTED_VALUE"""),1.5)</f>
        <v>1.5</v>
      </c>
      <c r="G319">
        <f>IFERROR(__xludf.DUMMYFUNCTION("""COMPUTED_VALUE"""),23.35)</f>
        <v>23.35</v>
      </c>
    </row>
    <row r="320">
      <c r="A320">
        <f>IFERROR(__xludf.DUMMYFUNCTION("""COMPUTED_VALUE"""),168561.0)</f>
        <v>168561</v>
      </c>
      <c r="B320" t="str">
        <f>IFERROR(__xludf.DUMMYFUNCTION("""COMPUTED_VALUE"""),"Sweet Pickled Relish")</f>
        <v>Sweet Pickled Relish</v>
      </c>
      <c r="C320" t="str">
        <f>IFERROR(__xludf.DUMMYFUNCTION("""COMPUTED_VALUE"""),"Vegetables")</f>
        <v>Vegetables</v>
      </c>
      <c r="D320">
        <f>IFERROR(__xludf.DUMMYFUNCTION("""COMPUTED_VALUE"""),130.0)</f>
        <v>130</v>
      </c>
      <c r="E320">
        <f>IFERROR(__xludf.DUMMYFUNCTION("""COMPUTED_VALUE"""),0.47)</f>
        <v>0.47</v>
      </c>
      <c r="F320">
        <f>IFERROR(__xludf.DUMMYFUNCTION("""COMPUTED_VALUE"""),0.37)</f>
        <v>0.37</v>
      </c>
      <c r="G320">
        <f>IFERROR(__xludf.DUMMYFUNCTION("""COMPUTED_VALUE"""),35.06)</f>
        <v>35.06</v>
      </c>
    </row>
    <row r="321">
      <c r="A321">
        <f>IFERROR(__xludf.DUMMYFUNCTION("""COMPUTED_VALUE"""),168562.0)</f>
        <v>168562</v>
      </c>
      <c r="B321" t="str">
        <f>IFERROR(__xludf.DUMMYFUNCTION("""COMPUTED_VALUE"""),"Low Sodium Sour Pickles")</f>
        <v>Low Sodium Sour Pickles</v>
      </c>
      <c r="C321" t="str">
        <f>IFERROR(__xludf.DUMMYFUNCTION("""COMPUTED_VALUE"""),"Vegetables")</f>
        <v>Vegetables</v>
      </c>
      <c r="D321">
        <f>IFERROR(__xludf.DUMMYFUNCTION("""COMPUTED_VALUE"""),11.0)</f>
        <v>11</v>
      </c>
      <c r="E321">
        <f>IFERROR(__xludf.DUMMYFUNCTION("""COMPUTED_VALUE"""),0.2)</f>
        <v>0.2</v>
      </c>
      <c r="F321">
        <f>IFERROR(__xludf.DUMMYFUNCTION("""COMPUTED_VALUE"""),0.33)</f>
        <v>0.33</v>
      </c>
      <c r="G321">
        <f>IFERROR(__xludf.DUMMYFUNCTION("""COMPUTED_VALUE"""),2.26)</f>
        <v>2.26</v>
      </c>
    </row>
    <row r="322">
      <c r="A322">
        <f>IFERROR(__xludf.DUMMYFUNCTION("""COMPUTED_VALUE"""),168563.0)</f>
        <v>168563</v>
      </c>
      <c r="B322" t="str">
        <f>IFERROR(__xludf.DUMMYFUNCTION("""COMPUTED_VALUE"""),"Reduced Sodium Dill Pickles")</f>
        <v>Reduced Sodium Dill Pickles</v>
      </c>
      <c r="C322" t="str">
        <f>IFERROR(__xludf.DUMMYFUNCTION("""COMPUTED_VALUE"""),"Vegetables")</f>
        <v>Vegetables</v>
      </c>
      <c r="D322">
        <f>IFERROR(__xludf.DUMMYFUNCTION("""COMPUTED_VALUE"""),12.0)</f>
        <v>12</v>
      </c>
      <c r="E322">
        <f>IFERROR(__xludf.DUMMYFUNCTION("""COMPUTED_VALUE"""),0.3)</f>
        <v>0.3</v>
      </c>
      <c r="F322">
        <f>IFERROR(__xludf.DUMMYFUNCTION("""COMPUTED_VALUE"""),0.5)</f>
        <v>0.5</v>
      </c>
      <c r="G322">
        <f>IFERROR(__xludf.DUMMYFUNCTION("""COMPUTED_VALUE"""),2.41)</f>
        <v>2.41</v>
      </c>
    </row>
    <row r="323">
      <c r="A323">
        <f>IFERROR(__xludf.DUMMYFUNCTION("""COMPUTED_VALUE"""),168564.0)</f>
        <v>168564</v>
      </c>
      <c r="B323" t="str">
        <f>IFERROR(__xludf.DUMMYFUNCTION("""COMPUTED_VALUE"""),"Radicchio")</f>
        <v>Radicchio</v>
      </c>
      <c r="C323" t="str">
        <f>IFERROR(__xludf.DUMMYFUNCTION("""COMPUTED_VALUE"""),"Vegetables")</f>
        <v>Vegetables</v>
      </c>
      <c r="D323">
        <f>IFERROR(__xludf.DUMMYFUNCTION("""COMPUTED_VALUE"""),23.0)</f>
        <v>23</v>
      </c>
      <c r="E323">
        <f>IFERROR(__xludf.DUMMYFUNCTION("""COMPUTED_VALUE"""),0.25)</f>
        <v>0.25</v>
      </c>
      <c r="F323">
        <f>IFERROR(__xludf.DUMMYFUNCTION("""COMPUTED_VALUE"""),1.43)</f>
        <v>1.43</v>
      </c>
      <c r="G323">
        <f>IFERROR(__xludf.DUMMYFUNCTION("""COMPUTED_VALUE"""),4.48)</f>
        <v>4.48</v>
      </c>
    </row>
    <row r="324">
      <c r="A324">
        <f>IFERROR(__xludf.DUMMYFUNCTION("""COMPUTED_VALUE"""),168565.0)</f>
        <v>168565</v>
      </c>
      <c r="B324" t="str">
        <f>IFERROR(__xludf.DUMMYFUNCTION("""COMPUTED_VALUE"""),"Squash Zucchini Baby Raw")</f>
        <v>Squash Zucchini Baby Raw</v>
      </c>
      <c r="C324" t="str">
        <f>IFERROR(__xludf.DUMMYFUNCTION("""COMPUTED_VALUE"""),"Vegetables")</f>
        <v>Vegetables</v>
      </c>
      <c r="D324">
        <f>IFERROR(__xludf.DUMMYFUNCTION("""COMPUTED_VALUE"""),21.0)</f>
        <v>21</v>
      </c>
      <c r="E324">
        <f>IFERROR(__xludf.DUMMYFUNCTION("""COMPUTED_VALUE"""),0.4)</f>
        <v>0.4</v>
      </c>
      <c r="F324">
        <f>IFERROR(__xludf.DUMMYFUNCTION("""COMPUTED_VALUE"""),2.71)</f>
        <v>2.71</v>
      </c>
      <c r="G324">
        <f>IFERROR(__xludf.DUMMYFUNCTION("""COMPUTED_VALUE"""),3.11)</f>
        <v>3.11</v>
      </c>
    </row>
    <row r="325">
      <c r="A325">
        <f>IFERROR(__xludf.DUMMYFUNCTION("""COMPUTED_VALUE"""),168566.0)</f>
        <v>168566</v>
      </c>
      <c r="B325" t="str">
        <f>IFERROR(__xludf.DUMMYFUNCTION("""COMPUTED_VALUE"""),"Tomatillos")</f>
        <v>Tomatillos</v>
      </c>
      <c r="C325" t="str">
        <f>IFERROR(__xludf.DUMMYFUNCTION("""COMPUTED_VALUE"""),"Vegetables")</f>
        <v>Vegetables</v>
      </c>
      <c r="D325">
        <f>IFERROR(__xludf.DUMMYFUNCTION("""COMPUTED_VALUE"""),32.0)</f>
        <v>32</v>
      </c>
      <c r="E325">
        <f>IFERROR(__xludf.DUMMYFUNCTION("""COMPUTED_VALUE"""),1.02)</f>
        <v>1.02</v>
      </c>
      <c r="F325">
        <f>IFERROR(__xludf.DUMMYFUNCTION("""COMPUTED_VALUE"""),0.96)</f>
        <v>0.96</v>
      </c>
      <c r="G325">
        <f>IFERROR(__xludf.DUMMYFUNCTION("""COMPUTED_VALUE"""),5.84)</f>
        <v>5.84</v>
      </c>
    </row>
    <row r="326">
      <c r="A326">
        <f>IFERROR(__xludf.DUMMYFUNCTION("""COMPUTED_VALUE"""),168567.0)</f>
        <v>168567</v>
      </c>
      <c r="B326" t="str">
        <f>IFERROR(__xludf.DUMMYFUNCTION("""COMPUTED_VALUE"""),"Sun-Dried Tomatoes")</f>
        <v>Sun-Dried Tomatoes</v>
      </c>
      <c r="C326" t="str">
        <f>IFERROR(__xludf.DUMMYFUNCTION("""COMPUTED_VALUE"""),"Vegetables")</f>
        <v>Vegetables</v>
      </c>
      <c r="D326">
        <f>IFERROR(__xludf.DUMMYFUNCTION("""COMPUTED_VALUE"""),258.0)</f>
        <v>258</v>
      </c>
      <c r="E326">
        <f>IFERROR(__xludf.DUMMYFUNCTION("""COMPUTED_VALUE"""),2.97)</f>
        <v>2.97</v>
      </c>
      <c r="F326">
        <f>IFERROR(__xludf.DUMMYFUNCTION("""COMPUTED_VALUE"""),14.11)</f>
        <v>14.11</v>
      </c>
      <c r="G326">
        <f>IFERROR(__xludf.DUMMYFUNCTION("""COMPUTED_VALUE"""),55.76)</f>
        <v>55.76</v>
      </c>
    </row>
    <row r="327">
      <c r="A327">
        <f>IFERROR(__xludf.DUMMYFUNCTION("""COMPUTED_VALUE"""),168568.0)</f>
        <v>168568</v>
      </c>
      <c r="B327" t="str">
        <f>IFERROR(__xludf.DUMMYFUNCTION("""COMPUTED_VALUE"""),"Baby Carrots")</f>
        <v>Baby Carrots</v>
      </c>
      <c r="C327" t="str">
        <f>IFERROR(__xludf.DUMMYFUNCTION("""COMPUTED_VALUE"""),"Vegetables")</f>
        <v>Vegetables</v>
      </c>
      <c r="D327">
        <f>IFERROR(__xludf.DUMMYFUNCTION("""COMPUTED_VALUE"""),35.0)</f>
        <v>35</v>
      </c>
      <c r="E327">
        <f>IFERROR(__xludf.DUMMYFUNCTION("""COMPUTED_VALUE"""),0.13)</f>
        <v>0.13</v>
      </c>
      <c r="F327">
        <f>IFERROR(__xludf.DUMMYFUNCTION("""COMPUTED_VALUE"""),0.64)</f>
        <v>0.64</v>
      </c>
      <c r="G327">
        <f>IFERROR(__xludf.DUMMYFUNCTION("""COMPUTED_VALUE"""),8.24)</f>
        <v>8.24</v>
      </c>
    </row>
    <row r="328">
      <c r="A328">
        <f>IFERROR(__xludf.DUMMYFUNCTION("""COMPUTED_VALUE"""),168569.0)</f>
        <v>168569</v>
      </c>
      <c r="B328" t="str">
        <f>IFERROR(__xludf.DUMMYFUNCTION("""COMPUTED_VALUE"""),"Palm Hearts (Canned)")</f>
        <v>Palm Hearts (Canned)</v>
      </c>
      <c r="C328" t="str">
        <f>IFERROR(__xludf.DUMMYFUNCTION("""COMPUTED_VALUE"""),"Vegetables")</f>
        <v>Vegetables</v>
      </c>
      <c r="D328">
        <f>IFERROR(__xludf.DUMMYFUNCTION("""COMPUTED_VALUE"""),28.0)</f>
        <v>28</v>
      </c>
      <c r="E328">
        <f>IFERROR(__xludf.DUMMYFUNCTION("""COMPUTED_VALUE"""),0.62)</f>
        <v>0.62</v>
      </c>
      <c r="F328">
        <f>IFERROR(__xludf.DUMMYFUNCTION("""COMPUTED_VALUE"""),2.52)</f>
        <v>2.52</v>
      </c>
      <c r="G328">
        <f>IFERROR(__xludf.DUMMYFUNCTION("""COMPUTED_VALUE"""),4.62)</f>
        <v>4.62</v>
      </c>
    </row>
    <row r="329">
      <c r="A329">
        <f>IFERROR(__xludf.DUMMYFUNCTION("""COMPUTED_VALUE"""),168570.0)</f>
        <v>168570</v>
      </c>
      <c r="B329" t="str">
        <f>IFERROR(__xludf.DUMMYFUNCTION("""COMPUTED_VALUE"""),"Sun-Dried Hot Chile Peppers")</f>
        <v>Sun-Dried Hot Chile Peppers</v>
      </c>
      <c r="C329" t="str">
        <f>IFERROR(__xludf.DUMMYFUNCTION("""COMPUTED_VALUE"""),"Vegetables")</f>
        <v>Vegetables</v>
      </c>
      <c r="D329">
        <f>IFERROR(__xludf.DUMMYFUNCTION("""COMPUTED_VALUE"""),324.0)</f>
        <v>324</v>
      </c>
      <c r="E329">
        <f>IFERROR(__xludf.DUMMYFUNCTION("""COMPUTED_VALUE"""),5.81)</f>
        <v>5.81</v>
      </c>
      <c r="F329">
        <f>IFERROR(__xludf.DUMMYFUNCTION("""COMPUTED_VALUE"""),10.58)</f>
        <v>10.58</v>
      </c>
      <c r="G329">
        <f>IFERROR(__xludf.DUMMYFUNCTION("""COMPUTED_VALUE"""),69.86)</f>
        <v>69.86</v>
      </c>
    </row>
    <row r="330">
      <c r="A330">
        <f>IFERROR(__xludf.DUMMYFUNCTION("""COMPUTED_VALUE"""),168571.0)</f>
        <v>168571</v>
      </c>
      <c r="B330" t="str">
        <f>IFERROR(__xludf.DUMMYFUNCTION("""COMPUTED_VALUE"""),"Nopales")</f>
        <v>Nopales</v>
      </c>
      <c r="C330" t="str">
        <f>IFERROR(__xludf.DUMMYFUNCTION("""COMPUTED_VALUE"""),"Vegetables")</f>
        <v>Vegetables</v>
      </c>
      <c r="D330">
        <f>IFERROR(__xludf.DUMMYFUNCTION("""COMPUTED_VALUE"""),16.0)</f>
        <v>16</v>
      </c>
      <c r="E330">
        <f>IFERROR(__xludf.DUMMYFUNCTION("""COMPUTED_VALUE"""),0.09)</f>
        <v>0.09</v>
      </c>
      <c r="F330">
        <f>IFERROR(__xludf.DUMMYFUNCTION("""COMPUTED_VALUE"""),1.32)</f>
        <v>1.32</v>
      </c>
      <c r="G330">
        <f>IFERROR(__xludf.DUMMYFUNCTION("""COMPUTED_VALUE"""),3.33)</f>
        <v>3.33</v>
      </c>
    </row>
    <row r="331">
      <c r="A331">
        <f>IFERROR(__xludf.DUMMYFUNCTION("""COMPUTED_VALUE"""),168572.0)</f>
        <v>168572</v>
      </c>
      <c r="B331" t="str">
        <f>IFERROR(__xludf.DUMMYFUNCTION("""COMPUTED_VALUE"""),"Cooked Napa Cabbage")</f>
        <v>Cooked Napa Cabbage</v>
      </c>
      <c r="C331" t="str">
        <f>IFERROR(__xludf.DUMMYFUNCTION("""COMPUTED_VALUE"""),"Vegetables")</f>
        <v>Vegetables</v>
      </c>
      <c r="D331">
        <f>IFERROR(__xludf.DUMMYFUNCTION("""COMPUTED_VALUE"""),12.0)</f>
        <v>12</v>
      </c>
      <c r="E331">
        <f>IFERROR(__xludf.DUMMYFUNCTION("""COMPUTED_VALUE"""),0.17)</f>
        <v>0.17</v>
      </c>
      <c r="F331">
        <f>IFERROR(__xludf.DUMMYFUNCTION("""COMPUTED_VALUE"""),1.1)</f>
        <v>1.1</v>
      </c>
      <c r="G331">
        <f>IFERROR(__xludf.DUMMYFUNCTION("""COMPUTED_VALUE"""),2.23)</f>
        <v>2.23</v>
      </c>
    </row>
    <row r="332">
      <c r="A332">
        <f>IFERROR(__xludf.DUMMYFUNCTION("""COMPUTED_VALUE"""),168573.0)</f>
        <v>168573</v>
      </c>
      <c r="B332" t="str">
        <f>IFERROR(__xludf.DUMMYFUNCTION("""COMPUTED_VALUE"""),"Citronella (Lemon Grass)")</f>
        <v>Citronella (Lemon Grass)</v>
      </c>
      <c r="C332" t="str">
        <f>IFERROR(__xludf.DUMMYFUNCTION("""COMPUTED_VALUE"""),"Vegetables")</f>
        <v>Vegetables</v>
      </c>
      <c r="D332">
        <f>IFERROR(__xludf.DUMMYFUNCTION("""COMPUTED_VALUE"""),99.0)</f>
        <v>99</v>
      </c>
      <c r="E332">
        <f>IFERROR(__xludf.DUMMYFUNCTION("""COMPUTED_VALUE"""),0.49)</f>
        <v>0.49</v>
      </c>
      <c r="F332">
        <f>IFERROR(__xludf.DUMMYFUNCTION("""COMPUTED_VALUE"""),1.82)</f>
        <v>1.82</v>
      </c>
      <c r="G332">
        <f>IFERROR(__xludf.DUMMYFUNCTION("""COMPUTED_VALUE"""),25.31)</f>
        <v>25.31</v>
      </c>
    </row>
    <row r="333">
      <c r="A333">
        <f>IFERROR(__xludf.DUMMYFUNCTION("""COMPUTED_VALUE"""),168574.0)</f>
        <v>168574</v>
      </c>
      <c r="B333" t="str">
        <f>IFERROR(__xludf.DUMMYFUNCTION("""COMPUTED_VALUE"""),"Fava Beans (Raw)")</f>
        <v>Fava Beans (Raw)</v>
      </c>
      <c r="C333" t="str">
        <f>IFERROR(__xludf.DUMMYFUNCTION("""COMPUTED_VALUE"""),"Beans and Lentils")</f>
        <v>Beans and Lentils</v>
      </c>
      <c r="D333">
        <f>IFERROR(__xludf.DUMMYFUNCTION("""COMPUTED_VALUE"""),88.0)</f>
        <v>88</v>
      </c>
      <c r="E333">
        <f>IFERROR(__xludf.DUMMYFUNCTION("""COMPUTED_VALUE"""),0.73)</f>
        <v>0.73</v>
      </c>
      <c r="F333">
        <f>IFERROR(__xludf.DUMMYFUNCTION("""COMPUTED_VALUE"""),7.92)</f>
        <v>7.92</v>
      </c>
      <c r="G333">
        <f>IFERROR(__xludf.DUMMYFUNCTION("""COMPUTED_VALUE"""),17.63)</f>
        <v>17.63</v>
      </c>
    </row>
    <row r="334">
      <c r="A334">
        <f>IFERROR(__xludf.DUMMYFUNCTION("""COMPUTED_VALUE"""),168575.0)</f>
        <v>168575</v>
      </c>
      <c r="B334" t="str">
        <f>IFERROR(__xludf.DUMMYFUNCTION("""COMPUTED_VALUE"""),"Grape Leaves Raw")</f>
        <v>Grape Leaves Raw</v>
      </c>
      <c r="C334" t="str">
        <f>IFERROR(__xludf.DUMMYFUNCTION("""COMPUTED_VALUE"""),"Vegetables")</f>
        <v>Vegetables</v>
      </c>
      <c r="D334">
        <f>IFERROR(__xludf.DUMMYFUNCTION("""COMPUTED_VALUE"""),93.0)</f>
        <v>93</v>
      </c>
      <c r="E334">
        <f>IFERROR(__xludf.DUMMYFUNCTION("""COMPUTED_VALUE"""),2.12)</f>
        <v>2.12</v>
      </c>
      <c r="F334">
        <f>IFERROR(__xludf.DUMMYFUNCTION("""COMPUTED_VALUE"""),5.6)</f>
        <v>5.6</v>
      </c>
      <c r="G334">
        <f>IFERROR(__xludf.DUMMYFUNCTION("""COMPUTED_VALUE"""),17.31)</f>
        <v>17.31</v>
      </c>
    </row>
    <row r="335">
      <c r="A335">
        <f>IFERROR(__xludf.DUMMYFUNCTION("""COMPUTED_VALUE"""),168576.0)</f>
        <v>168576</v>
      </c>
      <c r="B335" t="str">
        <f>IFERROR(__xludf.DUMMYFUNCTION("""COMPUTED_VALUE"""),"Jalapeno Peppers")</f>
        <v>Jalapeno Peppers</v>
      </c>
      <c r="C335" t="str">
        <f>IFERROR(__xludf.DUMMYFUNCTION("""COMPUTED_VALUE"""),"Vegetables")</f>
        <v>Vegetables</v>
      </c>
      <c r="D335">
        <f>IFERROR(__xludf.DUMMYFUNCTION("""COMPUTED_VALUE"""),29.0)</f>
        <v>29</v>
      </c>
      <c r="E335">
        <f>IFERROR(__xludf.DUMMYFUNCTION("""COMPUTED_VALUE"""),0.37)</f>
        <v>0.37</v>
      </c>
      <c r="F335">
        <f>IFERROR(__xludf.DUMMYFUNCTION("""COMPUTED_VALUE"""),0.91)</f>
        <v>0.91</v>
      </c>
      <c r="G335">
        <f>IFERROR(__xludf.DUMMYFUNCTION("""COMPUTED_VALUE"""),6.5)</f>
        <v>6.5</v>
      </c>
    </row>
    <row r="336">
      <c r="A336">
        <f>IFERROR(__xludf.DUMMYFUNCTION("""COMPUTED_VALUE"""),168577.0)</f>
        <v>168577</v>
      </c>
      <c r="B336" t="str">
        <f>IFERROR(__xludf.DUMMYFUNCTION("""COMPUTED_VALUE"""),"Green Chili Peppers")</f>
        <v>Green Chili Peppers</v>
      </c>
      <c r="C336" t="str">
        <f>IFERROR(__xludf.DUMMYFUNCTION("""COMPUTED_VALUE"""),"Vegetables")</f>
        <v>Vegetables</v>
      </c>
      <c r="D336">
        <f>IFERROR(__xludf.DUMMYFUNCTION("""COMPUTED_VALUE"""),21.0)</f>
        <v>21</v>
      </c>
      <c r="E336">
        <f>IFERROR(__xludf.DUMMYFUNCTION("""COMPUTED_VALUE"""),0.27)</f>
        <v>0.27</v>
      </c>
      <c r="F336">
        <f>IFERROR(__xludf.DUMMYFUNCTION("""COMPUTED_VALUE"""),0.72)</f>
        <v>0.72</v>
      </c>
      <c r="G336">
        <f>IFERROR(__xludf.DUMMYFUNCTION("""COMPUTED_VALUE"""),4.6)</f>
        <v>4.6</v>
      </c>
    </row>
    <row r="337">
      <c r="A337">
        <f>IFERROR(__xludf.DUMMYFUNCTION("""COMPUTED_VALUE"""),168578.0)</f>
        <v>168578</v>
      </c>
      <c r="B337" t="str">
        <f>IFERROR(__xludf.DUMMYFUNCTION("""COMPUTED_VALUE"""),"Hungarian Peppers")</f>
        <v>Hungarian Peppers</v>
      </c>
      <c r="C337" t="str">
        <f>IFERROR(__xludf.DUMMYFUNCTION("""COMPUTED_VALUE"""),"Vegetables")</f>
        <v>Vegetables</v>
      </c>
      <c r="D337">
        <f>IFERROR(__xludf.DUMMYFUNCTION("""COMPUTED_VALUE"""),29.0)</f>
        <v>29</v>
      </c>
      <c r="E337">
        <f>IFERROR(__xludf.DUMMYFUNCTION("""COMPUTED_VALUE"""),0.41)</f>
        <v>0.41</v>
      </c>
      <c r="F337">
        <f>IFERROR(__xludf.DUMMYFUNCTION("""COMPUTED_VALUE"""),0.8)</f>
        <v>0.8</v>
      </c>
      <c r="G337">
        <f>IFERROR(__xludf.DUMMYFUNCTION("""COMPUTED_VALUE"""),6.7)</f>
        <v>6.7</v>
      </c>
    </row>
    <row r="338">
      <c r="A338">
        <f>IFERROR(__xludf.DUMMYFUNCTION("""COMPUTED_VALUE"""),168579.0)</f>
        <v>168579</v>
      </c>
      <c r="B338" t="str">
        <f>IFERROR(__xludf.DUMMYFUNCTION("""COMPUTED_VALUE"""),"Dried Pasilla Peppers")</f>
        <v>Dried Pasilla Peppers</v>
      </c>
      <c r="C338" t="str">
        <f>IFERROR(__xludf.DUMMYFUNCTION("""COMPUTED_VALUE"""),"Vegetables")</f>
        <v>Vegetables</v>
      </c>
      <c r="D338">
        <f>IFERROR(__xludf.DUMMYFUNCTION("""COMPUTED_VALUE"""),345.0)</f>
        <v>345</v>
      </c>
      <c r="E338">
        <f>IFERROR(__xludf.DUMMYFUNCTION("""COMPUTED_VALUE"""),15.85)</f>
        <v>15.85</v>
      </c>
      <c r="F338">
        <f>IFERROR(__xludf.DUMMYFUNCTION("""COMPUTED_VALUE"""),12.35)</f>
        <v>12.35</v>
      </c>
      <c r="G338">
        <f>IFERROR(__xludf.DUMMYFUNCTION("""COMPUTED_VALUE"""),51.13)</f>
        <v>51.13</v>
      </c>
    </row>
    <row r="339">
      <c r="A339">
        <f>IFERROR(__xludf.DUMMYFUNCTION("""COMPUTED_VALUE"""),168580.0)</f>
        <v>168580</v>
      </c>
      <c r="B339" t="str">
        <f>IFERROR(__xludf.DUMMYFUNCTION("""COMPUTED_VALUE"""),"Oyster Mushrooms")</f>
        <v>Oyster Mushrooms</v>
      </c>
      <c r="C339" t="str">
        <f>IFERROR(__xludf.DUMMYFUNCTION("""COMPUTED_VALUE"""),"Vegetables")</f>
        <v>Vegetables</v>
      </c>
      <c r="D339">
        <f>IFERROR(__xludf.DUMMYFUNCTION("""COMPUTED_VALUE"""),33.0)</f>
        <v>33</v>
      </c>
      <c r="E339">
        <f>IFERROR(__xludf.DUMMYFUNCTION("""COMPUTED_VALUE"""),0.41)</f>
        <v>0.41</v>
      </c>
      <c r="F339">
        <f>IFERROR(__xludf.DUMMYFUNCTION("""COMPUTED_VALUE"""),3.31)</f>
        <v>3.31</v>
      </c>
      <c r="G339">
        <f>IFERROR(__xludf.DUMMYFUNCTION("""COMPUTED_VALUE"""),6.09)</f>
        <v>6.09</v>
      </c>
    </row>
    <row r="340">
      <c r="A340">
        <f>IFERROR(__xludf.DUMMYFUNCTION("""COMPUTED_VALUE"""),168581.0)</f>
        <v>168581</v>
      </c>
      <c r="B340" t="str">
        <f>IFERROR(__xludf.DUMMYFUNCTION("""COMPUTED_VALUE"""),"Dried Fungi Cloud Ears")</f>
        <v>Dried Fungi Cloud Ears</v>
      </c>
      <c r="C340" t="str">
        <f>IFERROR(__xludf.DUMMYFUNCTION("""COMPUTED_VALUE"""),"Vegetables")</f>
        <v>Vegetables</v>
      </c>
      <c r="D340">
        <f>IFERROR(__xludf.DUMMYFUNCTION("""COMPUTED_VALUE"""),284.0)</f>
        <v>284</v>
      </c>
      <c r="E340">
        <f>IFERROR(__xludf.DUMMYFUNCTION("""COMPUTED_VALUE"""),0.73)</f>
        <v>0.73</v>
      </c>
      <c r="F340">
        <f>IFERROR(__xludf.DUMMYFUNCTION("""COMPUTED_VALUE"""),9.25)</f>
        <v>9.25</v>
      </c>
      <c r="G340">
        <f>IFERROR(__xludf.DUMMYFUNCTION("""COMPUTED_VALUE"""),73.01)</f>
        <v>73.01</v>
      </c>
    </row>
    <row r="341">
      <c r="A341">
        <f>IFERROR(__xludf.DUMMYFUNCTION("""COMPUTED_VALUE"""),168582.0)</f>
        <v>168582</v>
      </c>
      <c r="B341" t="str">
        <f>IFERROR(__xludf.DUMMYFUNCTION("""COMPUTED_VALUE"""),"Canned Straw Mushrooms")</f>
        <v>Canned Straw Mushrooms</v>
      </c>
      <c r="C341" t="str">
        <f>IFERROR(__xludf.DUMMYFUNCTION("""COMPUTED_VALUE"""),"Vegetables")</f>
        <v>Vegetables</v>
      </c>
      <c r="D341">
        <f>IFERROR(__xludf.DUMMYFUNCTION("""COMPUTED_VALUE"""),32.0)</f>
        <v>32</v>
      </c>
      <c r="E341">
        <f>IFERROR(__xludf.DUMMYFUNCTION("""COMPUTED_VALUE"""),0.68)</f>
        <v>0.68</v>
      </c>
      <c r="F341">
        <f>IFERROR(__xludf.DUMMYFUNCTION("""COMPUTED_VALUE"""),3.83)</f>
        <v>3.83</v>
      </c>
      <c r="G341">
        <f>IFERROR(__xludf.DUMMYFUNCTION("""COMPUTED_VALUE"""),4.64)</f>
        <v>4.64</v>
      </c>
    </row>
    <row r="342">
      <c r="A342">
        <f>IFERROR(__xludf.DUMMYFUNCTION("""COMPUTED_VALUE"""),168583.0)</f>
        <v>168583</v>
      </c>
      <c r="B342" t="str">
        <f>IFERROR(__xludf.DUMMYFUNCTION("""COMPUTED_VALUE"""),"Wasabi Root")</f>
        <v>Wasabi Root</v>
      </c>
      <c r="C342" t="str">
        <f>IFERROR(__xludf.DUMMYFUNCTION("""COMPUTED_VALUE"""),"Vegetables")</f>
        <v>Vegetables</v>
      </c>
      <c r="D342">
        <f>IFERROR(__xludf.DUMMYFUNCTION("""COMPUTED_VALUE"""),109.0)</f>
        <v>109</v>
      </c>
      <c r="E342">
        <f>IFERROR(__xludf.DUMMYFUNCTION("""COMPUTED_VALUE"""),0.63)</f>
        <v>0.63</v>
      </c>
      <c r="F342">
        <f>IFERROR(__xludf.DUMMYFUNCTION("""COMPUTED_VALUE"""),4.8)</f>
        <v>4.8</v>
      </c>
      <c r="G342">
        <f>IFERROR(__xludf.DUMMYFUNCTION("""COMPUTED_VALUE"""),23.54)</f>
        <v>23.54</v>
      </c>
    </row>
    <row r="343">
      <c r="A343">
        <f>IFERROR(__xludf.DUMMYFUNCTION("""COMPUTED_VALUE"""),168584.0)</f>
        <v>168584</v>
      </c>
      <c r="B343" t="str">
        <f>IFERROR(__xludf.DUMMYFUNCTION("""COMPUTED_VALUE"""),"Fiddlehead Ferns Frozen Unprepared")</f>
        <v>Fiddlehead Ferns Frozen Unprepared</v>
      </c>
      <c r="C343" t="str">
        <f>IFERROR(__xludf.DUMMYFUNCTION("""COMPUTED_VALUE"""),"Vegetables")</f>
        <v>Vegetables</v>
      </c>
      <c r="D343">
        <f>IFERROR(__xludf.DUMMYFUNCTION("""COMPUTED_VALUE"""),34.0)</f>
        <v>34</v>
      </c>
      <c r="E343">
        <f>IFERROR(__xludf.DUMMYFUNCTION("""COMPUTED_VALUE"""),0.35)</f>
        <v>0.35</v>
      </c>
      <c r="F343">
        <f>IFERROR(__xludf.DUMMYFUNCTION("""COMPUTED_VALUE"""),4.31)</f>
        <v>4.31</v>
      </c>
      <c r="G343">
        <f>IFERROR(__xludf.DUMMYFUNCTION("""COMPUTED_VALUE"""),5.74)</f>
        <v>5.74</v>
      </c>
    </row>
    <row r="344">
      <c r="A344">
        <f>IFERROR(__xludf.DUMMYFUNCTION("""COMPUTED_VALUE"""),168867.0)</f>
        <v>168867</v>
      </c>
      <c r="B344" t="str">
        <f>IFERROR(__xludf.DUMMYFUNCTION("""COMPUTED_VALUE"""),"Cornmeal Degermed Enriched Yellow")</f>
        <v>Cornmeal Degermed Enriched Yellow</v>
      </c>
      <c r="C344" t="str">
        <f>IFERROR(__xludf.DUMMYFUNCTION("""COMPUTED_VALUE"""),"Grains and Pasta")</f>
        <v>Grains and Pasta</v>
      </c>
      <c r="D344">
        <f>IFERROR(__xludf.DUMMYFUNCTION("""COMPUTED_VALUE"""),370.0)</f>
        <v>370</v>
      </c>
      <c r="E344">
        <f>IFERROR(__xludf.DUMMYFUNCTION("""COMPUTED_VALUE"""),1.75)</f>
        <v>1.75</v>
      </c>
      <c r="F344">
        <f>IFERROR(__xludf.DUMMYFUNCTION("""COMPUTED_VALUE"""),7.11)</f>
        <v>7.11</v>
      </c>
      <c r="G344">
        <f>IFERROR(__xludf.DUMMYFUNCTION("""COMPUTED_VALUE"""),79.45)</f>
        <v>79.45</v>
      </c>
    </row>
    <row r="345">
      <c r="A345">
        <f>IFERROR(__xludf.DUMMYFUNCTION("""COMPUTED_VALUE"""),168868.0)</f>
        <v>168868</v>
      </c>
      <c r="B345" t="str">
        <f>IFERROR(__xludf.DUMMYFUNCTION("""COMPUTED_VALUE"""),"Cornmeal Yellow Self-Rising Bolted Plain Enriched")</f>
        <v>Cornmeal Yellow Self-Rising Bolted Plain Enriched</v>
      </c>
      <c r="C345" t="str">
        <f>IFERROR(__xludf.DUMMYFUNCTION("""COMPUTED_VALUE"""),"Grains and Pasta")</f>
        <v>Grains and Pasta</v>
      </c>
      <c r="D345">
        <f>IFERROR(__xludf.DUMMYFUNCTION("""COMPUTED_VALUE"""),334.0)</f>
        <v>334</v>
      </c>
      <c r="E345">
        <f>IFERROR(__xludf.DUMMYFUNCTION("""COMPUTED_VALUE"""),3.4)</f>
        <v>3.4</v>
      </c>
      <c r="F345">
        <f>IFERROR(__xludf.DUMMYFUNCTION("""COMPUTED_VALUE"""),8.28)</f>
        <v>8.28</v>
      </c>
      <c r="G345">
        <f>IFERROR(__xludf.DUMMYFUNCTION("""COMPUTED_VALUE"""),70.28)</f>
        <v>70.28</v>
      </c>
    </row>
    <row r="346">
      <c r="A346">
        <f>IFERROR(__xludf.DUMMYFUNCTION("""COMPUTED_VALUE"""),168869.0)</f>
        <v>168869</v>
      </c>
      <c r="B346" t="str">
        <f>IFERROR(__xludf.DUMMYFUNCTION("""COMPUTED_VALUE"""),"Cornmeal Yellow Self-Rising Bolted With Wheat Flour Added Enriched")</f>
        <v>Cornmeal Yellow Self-Rising Bolted With Wheat Flour Added Enriched</v>
      </c>
      <c r="C346" t="str">
        <f>IFERROR(__xludf.DUMMYFUNCTION("""COMPUTED_VALUE"""),"Grains and Pasta")</f>
        <v>Grains and Pasta</v>
      </c>
      <c r="D346">
        <f>IFERROR(__xludf.DUMMYFUNCTION("""COMPUTED_VALUE"""),348.0)</f>
        <v>348</v>
      </c>
      <c r="E346">
        <f>IFERROR(__xludf.DUMMYFUNCTION("""COMPUTED_VALUE"""),2.85)</f>
        <v>2.85</v>
      </c>
      <c r="F346">
        <f>IFERROR(__xludf.DUMMYFUNCTION("""COMPUTED_VALUE"""),8.41)</f>
        <v>8.41</v>
      </c>
      <c r="G346">
        <f>IFERROR(__xludf.DUMMYFUNCTION("""COMPUTED_VALUE"""),73.43)</f>
        <v>73.43</v>
      </c>
    </row>
    <row r="347">
      <c r="A347">
        <f>IFERROR(__xludf.DUMMYFUNCTION("""COMPUTED_VALUE"""),168870.0)</f>
        <v>168870</v>
      </c>
      <c r="B347" t="str">
        <f>IFERROR(__xludf.DUMMYFUNCTION("""COMPUTED_VALUE"""),"Cornmeal Yellow Self-Rising Degermed Enriched")</f>
        <v>Cornmeal Yellow Self-Rising Degermed Enriched</v>
      </c>
      <c r="C347" t="str">
        <f>IFERROR(__xludf.DUMMYFUNCTION("""COMPUTED_VALUE"""),"Grains and Pasta")</f>
        <v>Grains and Pasta</v>
      </c>
      <c r="D347">
        <f>IFERROR(__xludf.DUMMYFUNCTION("""COMPUTED_VALUE"""),355.0)</f>
        <v>355</v>
      </c>
      <c r="E347">
        <f>IFERROR(__xludf.DUMMYFUNCTION("""COMPUTED_VALUE"""),1.72)</f>
        <v>1.72</v>
      </c>
      <c r="F347">
        <f>IFERROR(__xludf.DUMMYFUNCTION("""COMPUTED_VALUE"""),8.41)</f>
        <v>8.41</v>
      </c>
      <c r="G347">
        <f>IFERROR(__xludf.DUMMYFUNCTION("""COMPUTED_VALUE"""),74.79)</f>
        <v>74.79</v>
      </c>
    </row>
    <row r="348">
      <c r="A348">
        <f>IFERROR(__xludf.DUMMYFUNCTION("""COMPUTED_VALUE"""),168871.0)</f>
        <v>168871</v>
      </c>
      <c r="B348" t="str">
        <f>IFERROR(__xludf.DUMMYFUNCTION("""COMPUTED_VALUE"""),"Cooked Millet")</f>
        <v>Cooked Millet</v>
      </c>
      <c r="C348" t="str">
        <f>IFERROR(__xludf.DUMMYFUNCTION("""COMPUTED_VALUE"""),"Grains and Pasta")</f>
        <v>Grains and Pasta</v>
      </c>
      <c r="D348">
        <f>IFERROR(__xludf.DUMMYFUNCTION("""COMPUTED_VALUE"""),119.0)</f>
        <v>119</v>
      </c>
      <c r="E348">
        <f>IFERROR(__xludf.DUMMYFUNCTION("""COMPUTED_VALUE"""),1.0)</f>
        <v>1</v>
      </c>
      <c r="F348">
        <f>IFERROR(__xludf.DUMMYFUNCTION("""COMPUTED_VALUE"""),3.51)</f>
        <v>3.51</v>
      </c>
      <c r="G348">
        <f>IFERROR(__xludf.DUMMYFUNCTION("""COMPUTED_VALUE"""),23.67)</f>
        <v>23.67</v>
      </c>
    </row>
    <row r="349">
      <c r="A349">
        <f>IFERROR(__xludf.DUMMYFUNCTION("""COMPUTED_VALUE"""),168872.0)</f>
        <v>168872</v>
      </c>
      <c r="B349" t="str">
        <f>IFERROR(__xludf.DUMMYFUNCTION("""COMPUTED_VALUE"""),"Oat Bran")</f>
        <v>Oat Bran</v>
      </c>
      <c r="C349" t="str">
        <f>IFERROR(__xludf.DUMMYFUNCTION("""COMPUTED_VALUE"""),"Grains and Pasta")</f>
        <v>Grains and Pasta</v>
      </c>
      <c r="D349">
        <f>IFERROR(__xludf.DUMMYFUNCTION("""COMPUTED_VALUE"""),246.0)</f>
        <v>246</v>
      </c>
      <c r="E349">
        <f>IFERROR(__xludf.DUMMYFUNCTION("""COMPUTED_VALUE"""),7.03)</f>
        <v>7.03</v>
      </c>
      <c r="F349">
        <f>IFERROR(__xludf.DUMMYFUNCTION("""COMPUTED_VALUE"""),17.3)</f>
        <v>17.3</v>
      </c>
      <c r="G349">
        <f>IFERROR(__xludf.DUMMYFUNCTION("""COMPUTED_VALUE"""),66.22)</f>
        <v>66.22</v>
      </c>
    </row>
    <row r="350">
      <c r="A350">
        <f>IFERROR(__xludf.DUMMYFUNCTION("""COMPUTED_VALUE"""),168873.0)</f>
        <v>168873</v>
      </c>
      <c r="B350" t="str">
        <f>IFERROR(__xludf.DUMMYFUNCTION("""COMPUTED_VALUE"""),"Cooked Oat Bran")</f>
        <v>Cooked Oat Bran</v>
      </c>
      <c r="C350" t="str">
        <f>IFERROR(__xludf.DUMMYFUNCTION("""COMPUTED_VALUE"""),"Grains and Pasta")</f>
        <v>Grains and Pasta</v>
      </c>
      <c r="D350">
        <f>IFERROR(__xludf.DUMMYFUNCTION("""COMPUTED_VALUE"""),40.0)</f>
        <v>40</v>
      </c>
      <c r="E350">
        <f>IFERROR(__xludf.DUMMYFUNCTION("""COMPUTED_VALUE"""),0.86)</f>
        <v>0.86</v>
      </c>
      <c r="F350">
        <f>IFERROR(__xludf.DUMMYFUNCTION("""COMPUTED_VALUE"""),3.21)</f>
        <v>3.21</v>
      </c>
      <c r="G350">
        <f>IFERROR(__xludf.DUMMYFUNCTION("""COMPUTED_VALUE"""),11.44)</f>
        <v>11.44</v>
      </c>
    </row>
    <row r="351">
      <c r="A351">
        <f>IFERROR(__xludf.DUMMYFUNCTION("""COMPUTED_VALUE"""),168874.0)</f>
        <v>168874</v>
      </c>
      <c r="B351" t="str">
        <f>IFERROR(__xludf.DUMMYFUNCTION("""COMPUTED_VALUE"""),"Quinoa Uncooked")</f>
        <v>Quinoa Uncooked</v>
      </c>
      <c r="C351" t="str">
        <f>IFERROR(__xludf.DUMMYFUNCTION("""COMPUTED_VALUE"""),"Grains and Pasta")</f>
        <v>Grains and Pasta</v>
      </c>
      <c r="D351">
        <f>IFERROR(__xludf.DUMMYFUNCTION("""COMPUTED_VALUE"""),368.0)</f>
        <v>368</v>
      </c>
      <c r="E351">
        <f>IFERROR(__xludf.DUMMYFUNCTION("""COMPUTED_VALUE"""),6.07)</f>
        <v>6.07</v>
      </c>
      <c r="F351">
        <f>IFERROR(__xludf.DUMMYFUNCTION("""COMPUTED_VALUE"""),14.12)</f>
        <v>14.12</v>
      </c>
      <c r="G351">
        <f>IFERROR(__xludf.DUMMYFUNCTION("""COMPUTED_VALUE"""),64.16)</f>
        <v>64.16</v>
      </c>
    </row>
    <row r="352">
      <c r="A352">
        <f>IFERROR(__xludf.DUMMYFUNCTION("""COMPUTED_VALUE"""),168875.0)</f>
        <v>168875</v>
      </c>
      <c r="B352" t="str">
        <f>IFERROR(__xludf.DUMMYFUNCTION("""COMPUTED_VALUE"""),"Cooked Brown Rice")</f>
        <v>Cooked Brown Rice</v>
      </c>
      <c r="C352" t="str">
        <f>IFERROR(__xludf.DUMMYFUNCTION("""COMPUTED_VALUE"""),"Grains and Pasta")</f>
        <v>Grains and Pasta</v>
      </c>
      <c r="D352">
        <f>IFERROR(__xludf.DUMMYFUNCTION("""COMPUTED_VALUE"""),112.0)</f>
        <v>112</v>
      </c>
      <c r="E352">
        <f>IFERROR(__xludf.DUMMYFUNCTION("""COMPUTED_VALUE"""),0.83)</f>
        <v>0.83</v>
      </c>
      <c r="F352">
        <f>IFERROR(__xludf.DUMMYFUNCTION("""COMPUTED_VALUE"""),2.32)</f>
        <v>2.32</v>
      </c>
      <c r="G352">
        <f>IFERROR(__xludf.DUMMYFUNCTION("""COMPUTED_VALUE"""),23.51)</f>
        <v>23.51</v>
      </c>
    </row>
    <row r="353">
      <c r="A353">
        <f>IFERROR(__xludf.DUMMYFUNCTION("""COMPUTED_VALUE"""),168876.0)</f>
        <v>168876</v>
      </c>
      <c r="B353" t="str">
        <f>IFERROR(__xludf.DUMMYFUNCTION("""COMPUTED_VALUE"""),"Rice Brown Parboiled Dry Uncle Bens")</f>
        <v>Rice Brown Parboiled Dry Uncle Bens</v>
      </c>
      <c r="C353" t="str">
        <f>IFERROR(__xludf.DUMMYFUNCTION("""COMPUTED_VALUE"""),"Grains and Pasta")</f>
        <v>Grains and Pasta</v>
      </c>
      <c r="D353">
        <f>IFERROR(__xludf.DUMMYFUNCTION("""COMPUTED_VALUE"""),370.0)</f>
        <v>370</v>
      </c>
      <c r="E353">
        <f>IFERROR(__xludf.DUMMYFUNCTION("""COMPUTED_VALUE"""),2.75)</f>
        <v>2.75</v>
      </c>
      <c r="F353">
        <f>IFERROR(__xludf.DUMMYFUNCTION("""COMPUTED_VALUE"""),7.6)</f>
        <v>7.6</v>
      </c>
      <c r="G353">
        <f>IFERROR(__xludf.DUMMYFUNCTION("""COMPUTED_VALUE"""),78.68)</f>
        <v>78.68</v>
      </c>
    </row>
    <row r="354">
      <c r="A354">
        <f>IFERROR(__xludf.DUMMYFUNCTION("""COMPUTED_VALUE"""),168877.0)</f>
        <v>168877</v>
      </c>
      <c r="B354" t="str">
        <f>IFERROR(__xludf.DUMMYFUNCTION("""COMPUTED_VALUE"""),"Rice White Long-Grain Regular Raw Enriched")</f>
        <v>Rice White Long-Grain Regular Raw Enriched</v>
      </c>
      <c r="C354" t="str">
        <f>IFERROR(__xludf.DUMMYFUNCTION("""COMPUTED_VALUE"""),"Grains and Pasta")</f>
        <v>Grains and Pasta</v>
      </c>
      <c r="D354">
        <f>IFERROR(__xludf.DUMMYFUNCTION("""COMPUTED_VALUE"""),365.0)</f>
        <v>365</v>
      </c>
      <c r="E354">
        <f>IFERROR(__xludf.DUMMYFUNCTION("""COMPUTED_VALUE"""),0.66)</f>
        <v>0.66</v>
      </c>
      <c r="F354">
        <f>IFERROR(__xludf.DUMMYFUNCTION("""COMPUTED_VALUE"""),7.13)</f>
        <v>7.13</v>
      </c>
      <c r="G354">
        <f>IFERROR(__xludf.DUMMYFUNCTION("""COMPUTED_VALUE"""),79.95)</f>
        <v>79.95</v>
      </c>
    </row>
    <row r="355">
      <c r="A355">
        <f>IFERROR(__xludf.DUMMYFUNCTION("""COMPUTED_VALUE"""),168878.0)</f>
        <v>168878</v>
      </c>
      <c r="B355" t="str">
        <f>IFERROR(__xludf.DUMMYFUNCTION("""COMPUTED_VALUE"""),"White Rice")</f>
        <v>White Rice</v>
      </c>
      <c r="C355" t="str">
        <f>IFERROR(__xludf.DUMMYFUNCTION("""COMPUTED_VALUE"""),"Grains and Pasta")</f>
        <v>Grains and Pasta</v>
      </c>
      <c r="D355">
        <f>IFERROR(__xludf.DUMMYFUNCTION("""COMPUTED_VALUE"""),130.0)</f>
        <v>130</v>
      </c>
      <c r="E355">
        <f>IFERROR(__xludf.DUMMYFUNCTION("""COMPUTED_VALUE"""),0.28)</f>
        <v>0.28</v>
      </c>
      <c r="F355">
        <f>IFERROR(__xludf.DUMMYFUNCTION("""COMPUTED_VALUE"""),2.69)</f>
        <v>2.69</v>
      </c>
      <c r="G355">
        <f>IFERROR(__xludf.DUMMYFUNCTION("""COMPUTED_VALUE"""),28.17)</f>
        <v>28.17</v>
      </c>
    </row>
    <row r="356">
      <c r="A356">
        <f>IFERROR(__xludf.DUMMYFUNCTION("""COMPUTED_VALUE"""),168879.0)</f>
        <v>168879</v>
      </c>
      <c r="B356" t="str">
        <f>IFERROR(__xludf.DUMMYFUNCTION("""COMPUTED_VALUE"""),"Rice White Medium-Grain Raw Enriched")</f>
        <v>Rice White Medium-Grain Raw Enriched</v>
      </c>
      <c r="C356" t="str">
        <f>IFERROR(__xludf.DUMMYFUNCTION("""COMPUTED_VALUE"""),"Grains and Pasta")</f>
        <v>Grains and Pasta</v>
      </c>
      <c r="D356">
        <f>IFERROR(__xludf.DUMMYFUNCTION("""COMPUTED_VALUE"""),360.0)</f>
        <v>360</v>
      </c>
      <c r="E356">
        <f>IFERROR(__xludf.DUMMYFUNCTION("""COMPUTED_VALUE"""),0.58)</f>
        <v>0.58</v>
      </c>
      <c r="F356">
        <f>IFERROR(__xludf.DUMMYFUNCTION("""COMPUTED_VALUE"""),6.61)</f>
        <v>6.61</v>
      </c>
      <c r="G356">
        <f>IFERROR(__xludf.DUMMYFUNCTION("""COMPUTED_VALUE"""),79.34)</f>
        <v>79.34</v>
      </c>
    </row>
    <row r="357">
      <c r="A357">
        <f>IFERROR(__xludf.DUMMYFUNCTION("""COMPUTED_VALUE"""),168880.0)</f>
        <v>168880</v>
      </c>
      <c r="B357" t="str">
        <f>IFERROR(__xludf.DUMMYFUNCTION("""COMPUTED_VALUE"""),"Medium Grain White Rice")</f>
        <v>Medium Grain White Rice</v>
      </c>
      <c r="C357" t="str">
        <f>IFERROR(__xludf.DUMMYFUNCTION("""COMPUTED_VALUE"""),"Grains and Pasta")</f>
        <v>Grains and Pasta</v>
      </c>
      <c r="D357">
        <f>IFERROR(__xludf.DUMMYFUNCTION("""COMPUTED_VALUE"""),130.0)</f>
        <v>130</v>
      </c>
      <c r="E357">
        <f>IFERROR(__xludf.DUMMYFUNCTION("""COMPUTED_VALUE"""),0.21)</f>
        <v>0.21</v>
      </c>
      <c r="F357">
        <f>IFERROR(__xludf.DUMMYFUNCTION("""COMPUTED_VALUE"""),2.38)</f>
        <v>2.38</v>
      </c>
      <c r="G357">
        <f>IFERROR(__xludf.DUMMYFUNCTION("""COMPUTED_VALUE"""),28.59)</f>
        <v>28.59</v>
      </c>
    </row>
    <row r="358">
      <c r="A358">
        <f>IFERROR(__xludf.DUMMYFUNCTION("""COMPUTED_VALUE"""),168881.0)</f>
        <v>168881</v>
      </c>
      <c r="B358" t="str">
        <f>IFERROR(__xludf.DUMMYFUNCTION("""COMPUTED_VALUE"""),"Rice White Short-Grain Enriched Uncooked")</f>
        <v>Rice White Short-Grain Enriched Uncooked</v>
      </c>
      <c r="C358" t="str">
        <f>IFERROR(__xludf.DUMMYFUNCTION("""COMPUTED_VALUE"""),"Grains and Pasta")</f>
        <v>Grains and Pasta</v>
      </c>
      <c r="D358">
        <f>IFERROR(__xludf.DUMMYFUNCTION("""COMPUTED_VALUE"""),358.0)</f>
        <v>358</v>
      </c>
      <c r="E358">
        <f>IFERROR(__xludf.DUMMYFUNCTION("""COMPUTED_VALUE"""),0.52)</f>
        <v>0.52</v>
      </c>
      <c r="F358">
        <f>IFERROR(__xludf.DUMMYFUNCTION("""COMPUTED_VALUE"""),6.5)</f>
        <v>6.5</v>
      </c>
      <c r="G358">
        <f>IFERROR(__xludf.DUMMYFUNCTION("""COMPUTED_VALUE"""),79.15)</f>
        <v>79.15</v>
      </c>
    </row>
    <row r="359">
      <c r="A359">
        <f>IFERROR(__xludf.DUMMYFUNCTION("""COMPUTED_VALUE"""),168882.0)</f>
        <v>168882</v>
      </c>
      <c r="B359" t="str">
        <f>IFERROR(__xludf.DUMMYFUNCTION("""COMPUTED_VALUE"""),"Rice White Short-Grain Enriched Cooked")</f>
        <v>Rice White Short-Grain Enriched Cooked</v>
      </c>
      <c r="C359" t="str">
        <f>IFERROR(__xludf.DUMMYFUNCTION("""COMPUTED_VALUE"""),"Grains and Pasta")</f>
        <v>Grains and Pasta</v>
      </c>
      <c r="D359">
        <f>IFERROR(__xludf.DUMMYFUNCTION("""COMPUTED_VALUE"""),130.0)</f>
        <v>130</v>
      </c>
      <c r="E359">
        <f>IFERROR(__xludf.DUMMYFUNCTION("""COMPUTED_VALUE"""),0.19)</f>
        <v>0.19</v>
      </c>
      <c r="F359">
        <f>IFERROR(__xludf.DUMMYFUNCTION("""COMPUTED_VALUE"""),2.36)</f>
        <v>2.36</v>
      </c>
      <c r="G359">
        <f>IFERROR(__xludf.DUMMYFUNCTION("""COMPUTED_VALUE"""),28.73)</f>
        <v>28.73</v>
      </c>
    </row>
    <row r="360">
      <c r="A360">
        <f>IFERROR(__xludf.DUMMYFUNCTION("""COMPUTED_VALUE"""),168883.0)</f>
        <v>168883</v>
      </c>
      <c r="B360" t="str">
        <f>IFERROR(__xludf.DUMMYFUNCTION("""COMPUTED_VALUE"""),"Rice White Glutinous Unenriched Uncooked")</f>
        <v>Rice White Glutinous Unenriched Uncooked</v>
      </c>
      <c r="C360" t="str">
        <f>IFERROR(__xludf.DUMMYFUNCTION("""COMPUTED_VALUE"""),"Grains and Pasta")</f>
        <v>Grains and Pasta</v>
      </c>
      <c r="D360">
        <f>IFERROR(__xludf.DUMMYFUNCTION("""COMPUTED_VALUE"""),370.0)</f>
        <v>370</v>
      </c>
      <c r="E360">
        <f>IFERROR(__xludf.DUMMYFUNCTION("""COMPUTED_VALUE"""),0.55)</f>
        <v>0.55</v>
      </c>
      <c r="F360">
        <f>IFERROR(__xludf.DUMMYFUNCTION("""COMPUTED_VALUE"""),6.81)</f>
        <v>6.81</v>
      </c>
      <c r="G360">
        <f>IFERROR(__xludf.DUMMYFUNCTION("""COMPUTED_VALUE"""),81.68)</f>
        <v>81.68</v>
      </c>
    </row>
    <row r="361">
      <c r="A361">
        <f>IFERROR(__xludf.DUMMYFUNCTION("""COMPUTED_VALUE"""),168884.0)</f>
        <v>168884</v>
      </c>
      <c r="B361" t="str">
        <f>IFERROR(__xludf.DUMMYFUNCTION("""COMPUTED_VALUE"""),"Rye Grain")</f>
        <v>Rye Grain</v>
      </c>
      <c r="C361" t="str">
        <f>IFERROR(__xludf.DUMMYFUNCTION("""COMPUTED_VALUE"""),"Grains and Pasta")</f>
        <v>Grains and Pasta</v>
      </c>
      <c r="D361">
        <f>IFERROR(__xludf.DUMMYFUNCTION("""COMPUTED_VALUE"""),338.0)</f>
        <v>338</v>
      </c>
      <c r="E361">
        <f>IFERROR(__xludf.DUMMYFUNCTION("""COMPUTED_VALUE"""),1.63)</f>
        <v>1.63</v>
      </c>
      <c r="F361">
        <f>IFERROR(__xludf.DUMMYFUNCTION("""COMPUTED_VALUE"""),10.34)</f>
        <v>10.34</v>
      </c>
      <c r="G361">
        <f>IFERROR(__xludf.DUMMYFUNCTION("""COMPUTED_VALUE"""),75.86)</f>
        <v>75.86</v>
      </c>
    </row>
    <row r="362">
      <c r="A362">
        <f>IFERROR(__xludf.DUMMYFUNCTION("""COMPUTED_VALUE"""),168885.0)</f>
        <v>168885</v>
      </c>
      <c r="B362" t="str">
        <f>IFERROR(__xludf.DUMMYFUNCTION("""COMPUTED_VALUE"""),"Rye Flour Dark")</f>
        <v>Rye Flour Dark</v>
      </c>
      <c r="C362" t="str">
        <f>IFERROR(__xludf.DUMMYFUNCTION("""COMPUTED_VALUE"""),"Grains and Pasta")</f>
        <v>Grains and Pasta</v>
      </c>
      <c r="D362">
        <f>IFERROR(__xludf.DUMMYFUNCTION("""COMPUTED_VALUE"""),325.0)</f>
        <v>325</v>
      </c>
      <c r="E362">
        <f>IFERROR(__xludf.DUMMYFUNCTION("""COMPUTED_VALUE"""),2.22)</f>
        <v>2.22</v>
      </c>
      <c r="F362">
        <f>IFERROR(__xludf.DUMMYFUNCTION("""COMPUTED_VALUE"""),15.91)</f>
        <v>15.91</v>
      </c>
      <c r="G362">
        <f>IFERROR(__xludf.DUMMYFUNCTION("""COMPUTED_VALUE"""),68.63)</f>
        <v>68.63</v>
      </c>
    </row>
    <row r="363">
      <c r="A363">
        <f>IFERROR(__xludf.DUMMYFUNCTION("""COMPUTED_VALUE"""),168886.0)</f>
        <v>168886</v>
      </c>
      <c r="B363" t="str">
        <f>IFERROR(__xludf.DUMMYFUNCTION("""COMPUTED_VALUE"""),"Rye Flour Medium")</f>
        <v>Rye Flour Medium</v>
      </c>
      <c r="C363" t="str">
        <f>IFERROR(__xludf.DUMMYFUNCTION("""COMPUTED_VALUE"""),"Grains and Pasta")</f>
        <v>Grains and Pasta</v>
      </c>
      <c r="D363">
        <f>IFERROR(__xludf.DUMMYFUNCTION("""COMPUTED_VALUE"""),349.0)</f>
        <v>349</v>
      </c>
      <c r="E363">
        <f>IFERROR(__xludf.DUMMYFUNCTION("""COMPUTED_VALUE"""),1.52)</f>
        <v>1.52</v>
      </c>
      <c r="F363">
        <f>IFERROR(__xludf.DUMMYFUNCTION("""COMPUTED_VALUE"""),10.88)</f>
        <v>10.88</v>
      </c>
      <c r="G363">
        <f>IFERROR(__xludf.DUMMYFUNCTION("""COMPUTED_VALUE"""),75.43)</f>
        <v>75.43</v>
      </c>
    </row>
    <row r="364">
      <c r="A364">
        <f>IFERROR(__xludf.DUMMYFUNCTION("""COMPUTED_VALUE"""),168887.0)</f>
        <v>168887</v>
      </c>
      <c r="B364" t="str">
        <f>IFERROR(__xludf.DUMMYFUNCTION("""COMPUTED_VALUE"""),"Rye Flour Light")</f>
        <v>Rye Flour Light</v>
      </c>
      <c r="C364" t="str">
        <f>IFERROR(__xludf.DUMMYFUNCTION("""COMPUTED_VALUE"""),"Grains and Pasta")</f>
        <v>Grains and Pasta</v>
      </c>
      <c r="D364">
        <f>IFERROR(__xludf.DUMMYFUNCTION("""COMPUTED_VALUE"""),357.0)</f>
        <v>357</v>
      </c>
      <c r="E364">
        <f>IFERROR(__xludf.DUMMYFUNCTION("""COMPUTED_VALUE"""),1.33)</f>
        <v>1.33</v>
      </c>
      <c r="F364">
        <f>IFERROR(__xludf.DUMMYFUNCTION("""COMPUTED_VALUE"""),9.82)</f>
        <v>9.82</v>
      </c>
      <c r="G364">
        <f>IFERROR(__xludf.DUMMYFUNCTION("""COMPUTED_VALUE"""),76.68)</f>
        <v>76.68</v>
      </c>
    </row>
    <row r="365">
      <c r="A365">
        <f>IFERROR(__xludf.DUMMYFUNCTION("""COMPUTED_VALUE"""),168888.0)</f>
        <v>168888</v>
      </c>
      <c r="B365" t="str">
        <f>IFERROR(__xludf.DUMMYFUNCTION("""COMPUTED_VALUE"""),"Triticale Flour Whole-Grain")</f>
        <v>Triticale Flour Whole-Grain</v>
      </c>
      <c r="C365" t="str">
        <f>IFERROR(__xludf.DUMMYFUNCTION("""COMPUTED_VALUE"""),"Grains and Pasta")</f>
        <v>Grains and Pasta</v>
      </c>
      <c r="D365">
        <f>IFERROR(__xludf.DUMMYFUNCTION("""COMPUTED_VALUE"""),338.0)</f>
        <v>338</v>
      </c>
      <c r="E365">
        <f>IFERROR(__xludf.DUMMYFUNCTION("""COMPUTED_VALUE"""),1.81)</f>
        <v>1.81</v>
      </c>
      <c r="F365">
        <f>IFERROR(__xludf.DUMMYFUNCTION("""COMPUTED_VALUE"""),13.18)</f>
        <v>13.18</v>
      </c>
      <c r="G365">
        <f>IFERROR(__xludf.DUMMYFUNCTION("""COMPUTED_VALUE"""),73.14)</f>
        <v>73.14</v>
      </c>
    </row>
    <row r="366">
      <c r="A366">
        <f>IFERROR(__xludf.DUMMYFUNCTION("""COMPUTED_VALUE"""),168889.0)</f>
        <v>168889</v>
      </c>
      <c r="B366" t="str">
        <f>IFERROR(__xludf.DUMMYFUNCTION("""COMPUTED_VALUE"""),"Wheat Hard Red Spring")</f>
        <v>Wheat Hard Red Spring</v>
      </c>
      <c r="C366" t="str">
        <f>IFERROR(__xludf.DUMMYFUNCTION("""COMPUTED_VALUE"""),"Grains and Pasta")</f>
        <v>Grains and Pasta</v>
      </c>
      <c r="D366">
        <f>IFERROR(__xludf.DUMMYFUNCTION("""COMPUTED_VALUE"""),329.0)</f>
        <v>329</v>
      </c>
      <c r="E366">
        <f>IFERROR(__xludf.DUMMYFUNCTION("""COMPUTED_VALUE"""),1.92)</f>
        <v>1.92</v>
      </c>
      <c r="F366">
        <f>IFERROR(__xludf.DUMMYFUNCTION("""COMPUTED_VALUE"""),15.4)</f>
        <v>15.4</v>
      </c>
      <c r="G366">
        <f>IFERROR(__xludf.DUMMYFUNCTION("""COMPUTED_VALUE"""),68.03)</f>
        <v>68.03</v>
      </c>
    </row>
    <row r="367">
      <c r="A367">
        <f>IFERROR(__xludf.DUMMYFUNCTION("""COMPUTED_VALUE"""),168890.0)</f>
        <v>168890</v>
      </c>
      <c r="B367" t="str">
        <f>IFERROR(__xludf.DUMMYFUNCTION("""COMPUTED_VALUE"""),"Wheat Hard Red Winter")</f>
        <v>Wheat Hard Red Winter</v>
      </c>
      <c r="C367" t="str">
        <f>IFERROR(__xludf.DUMMYFUNCTION("""COMPUTED_VALUE"""),"Grains and Pasta")</f>
        <v>Grains and Pasta</v>
      </c>
      <c r="D367">
        <f>IFERROR(__xludf.DUMMYFUNCTION("""COMPUTED_VALUE"""),327.0)</f>
        <v>327</v>
      </c>
      <c r="E367">
        <f>IFERROR(__xludf.DUMMYFUNCTION("""COMPUTED_VALUE"""),1.54)</f>
        <v>1.54</v>
      </c>
      <c r="F367">
        <f>IFERROR(__xludf.DUMMYFUNCTION("""COMPUTED_VALUE"""),12.61)</f>
        <v>12.61</v>
      </c>
      <c r="G367">
        <f>IFERROR(__xludf.DUMMYFUNCTION("""COMPUTED_VALUE"""),71.18)</f>
        <v>71.18</v>
      </c>
    </row>
    <row r="368">
      <c r="A368">
        <f>IFERROR(__xludf.DUMMYFUNCTION("""COMPUTED_VALUE"""),168891.0)</f>
        <v>168891</v>
      </c>
      <c r="B368" t="str">
        <f>IFERROR(__xludf.DUMMYFUNCTION("""COMPUTED_VALUE"""),"Wheat Soft Red Winter")</f>
        <v>Wheat Soft Red Winter</v>
      </c>
      <c r="C368" t="str">
        <f>IFERROR(__xludf.DUMMYFUNCTION("""COMPUTED_VALUE"""),"Grains and Pasta")</f>
        <v>Grains and Pasta</v>
      </c>
      <c r="D368">
        <f>IFERROR(__xludf.DUMMYFUNCTION("""COMPUTED_VALUE"""),331.0)</f>
        <v>331</v>
      </c>
      <c r="E368">
        <f>IFERROR(__xludf.DUMMYFUNCTION("""COMPUTED_VALUE"""),1.56)</f>
        <v>1.56</v>
      </c>
      <c r="F368">
        <f>IFERROR(__xludf.DUMMYFUNCTION("""COMPUTED_VALUE"""),10.35)</f>
        <v>10.35</v>
      </c>
      <c r="G368">
        <f>IFERROR(__xludf.DUMMYFUNCTION("""COMPUTED_VALUE"""),74.24)</f>
        <v>74.24</v>
      </c>
    </row>
    <row r="369">
      <c r="A369">
        <f>IFERROR(__xludf.DUMMYFUNCTION("""COMPUTED_VALUE"""),168892.0)</f>
        <v>168892</v>
      </c>
      <c r="B369" t="str">
        <f>IFERROR(__xludf.DUMMYFUNCTION("""COMPUTED_VALUE"""),"Wheat Germ Crude")</f>
        <v>Wheat Germ Crude</v>
      </c>
      <c r="C369" t="str">
        <f>IFERROR(__xludf.DUMMYFUNCTION("""COMPUTED_VALUE"""),"Grains and Pasta")</f>
        <v>Grains and Pasta</v>
      </c>
      <c r="D369">
        <f>IFERROR(__xludf.DUMMYFUNCTION("""COMPUTED_VALUE"""),360.0)</f>
        <v>360</v>
      </c>
      <c r="E369">
        <f>IFERROR(__xludf.DUMMYFUNCTION("""COMPUTED_VALUE"""),9.72)</f>
        <v>9.72</v>
      </c>
      <c r="F369">
        <f>IFERROR(__xludf.DUMMYFUNCTION("""COMPUTED_VALUE"""),23.15)</f>
        <v>23.15</v>
      </c>
      <c r="G369">
        <f>IFERROR(__xludf.DUMMYFUNCTION("""COMPUTED_VALUE"""),51.8)</f>
        <v>51.8</v>
      </c>
    </row>
    <row r="370">
      <c r="A370">
        <f>IFERROR(__xludf.DUMMYFUNCTION("""COMPUTED_VALUE"""),168893.0)</f>
        <v>168893</v>
      </c>
      <c r="B370" t="str">
        <f>IFERROR(__xludf.DUMMYFUNCTION("""COMPUTED_VALUE"""),"Wheat Flour Whole-Grain")</f>
        <v>Wheat Flour Whole-Grain</v>
      </c>
      <c r="C370" t="str">
        <f>IFERROR(__xludf.DUMMYFUNCTION("""COMPUTED_VALUE"""),"Grains and Pasta")</f>
        <v>Grains and Pasta</v>
      </c>
      <c r="D370">
        <f>IFERROR(__xludf.DUMMYFUNCTION("""COMPUTED_VALUE"""),340.0)</f>
        <v>340</v>
      </c>
      <c r="E370">
        <f>IFERROR(__xludf.DUMMYFUNCTION("""COMPUTED_VALUE"""),2.5)</f>
        <v>2.5</v>
      </c>
      <c r="F370">
        <f>IFERROR(__xludf.DUMMYFUNCTION("""COMPUTED_VALUE"""),13.21)</f>
        <v>13.21</v>
      </c>
      <c r="G370">
        <f>IFERROR(__xludf.DUMMYFUNCTION("""COMPUTED_VALUE"""),71.97)</f>
        <v>71.97</v>
      </c>
    </row>
    <row r="371">
      <c r="A371">
        <f>IFERROR(__xludf.DUMMYFUNCTION("""COMPUTED_VALUE"""),168894.0)</f>
        <v>168894</v>
      </c>
      <c r="B371" t="str">
        <f>IFERROR(__xludf.DUMMYFUNCTION("""COMPUTED_VALUE"""),"Wheat Flour White All-Purpose Enriched Bleached")</f>
        <v>Wheat Flour White All-Purpose Enriched Bleached</v>
      </c>
      <c r="C371" t="str">
        <f>IFERROR(__xludf.DUMMYFUNCTION("""COMPUTED_VALUE"""),"Grains and Pasta")</f>
        <v>Grains and Pasta</v>
      </c>
      <c r="D371">
        <f>IFERROR(__xludf.DUMMYFUNCTION("""COMPUTED_VALUE"""),364.0)</f>
        <v>364</v>
      </c>
      <c r="E371">
        <f>IFERROR(__xludf.DUMMYFUNCTION("""COMPUTED_VALUE"""),0.98)</f>
        <v>0.98</v>
      </c>
      <c r="F371">
        <f>IFERROR(__xludf.DUMMYFUNCTION("""COMPUTED_VALUE"""),10.33)</f>
        <v>10.33</v>
      </c>
      <c r="G371">
        <f>IFERROR(__xludf.DUMMYFUNCTION("""COMPUTED_VALUE"""),76.31)</f>
        <v>76.31</v>
      </c>
    </row>
    <row r="372">
      <c r="A372">
        <f>IFERROR(__xludf.DUMMYFUNCTION("""COMPUTED_VALUE"""),168895.0)</f>
        <v>168895</v>
      </c>
      <c r="B372" t="str">
        <f>IFERROR(__xludf.DUMMYFUNCTION("""COMPUTED_VALUE"""),"Wheat Flour White All-Purpose Self-Rising Enriched")</f>
        <v>Wheat Flour White All-Purpose Self-Rising Enriched</v>
      </c>
      <c r="C372" t="str">
        <f>IFERROR(__xludf.DUMMYFUNCTION("""COMPUTED_VALUE"""),"Grains and Pasta")</f>
        <v>Grains and Pasta</v>
      </c>
      <c r="D372">
        <f>IFERROR(__xludf.DUMMYFUNCTION("""COMPUTED_VALUE"""),354.0)</f>
        <v>354</v>
      </c>
      <c r="E372">
        <f>IFERROR(__xludf.DUMMYFUNCTION("""COMPUTED_VALUE"""),0.97)</f>
        <v>0.97</v>
      </c>
      <c r="F372">
        <f>IFERROR(__xludf.DUMMYFUNCTION("""COMPUTED_VALUE"""),9.89)</f>
        <v>9.89</v>
      </c>
      <c r="G372">
        <f>IFERROR(__xludf.DUMMYFUNCTION("""COMPUTED_VALUE"""),74.22)</f>
        <v>74.22</v>
      </c>
    </row>
    <row r="373">
      <c r="A373">
        <f>IFERROR(__xludf.DUMMYFUNCTION("""COMPUTED_VALUE"""),168896.0)</f>
        <v>168896</v>
      </c>
      <c r="B373" t="str">
        <f>IFERROR(__xludf.DUMMYFUNCTION("""COMPUTED_VALUE"""),"Wheat Flour White Bread Enriched")</f>
        <v>Wheat Flour White Bread Enriched</v>
      </c>
      <c r="C373" t="str">
        <f>IFERROR(__xludf.DUMMYFUNCTION("""COMPUTED_VALUE"""),"Grains and Pasta")</f>
        <v>Grains and Pasta</v>
      </c>
      <c r="D373">
        <f>IFERROR(__xludf.DUMMYFUNCTION("""COMPUTED_VALUE"""),361.0)</f>
        <v>361</v>
      </c>
      <c r="E373">
        <f>IFERROR(__xludf.DUMMYFUNCTION("""COMPUTED_VALUE"""),1.66)</f>
        <v>1.66</v>
      </c>
      <c r="F373">
        <f>IFERROR(__xludf.DUMMYFUNCTION("""COMPUTED_VALUE"""),11.98)</f>
        <v>11.98</v>
      </c>
      <c r="G373">
        <f>IFERROR(__xludf.DUMMYFUNCTION("""COMPUTED_VALUE"""),72.53)</f>
        <v>72.53</v>
      </c>
    </row>
    <row r="374">
      <c r="A374">
        <f>IFERROR(__xludf.DUMMYFUNCTION("""COMPUTED_VALUE"""),168897.0)</f>
        <v>168897</v>
      </c>
      <c r="B374" t="str">
        <f>IFERROR(__xludf.DUMMYFUNCTION("""COMPUTED_VALUE"""),"Cooked Wild Rice")</f>
        <v>Cooked Wild Rice</v>
      </c>
      <c r="C374" t="str">
        <f>IFERROR(__xludf.DUMMYFUNCTION("""COMPUTED_VALUE"""),"Grains and Pasta")</f>
        <v>Grains and Pasta</v>
      </c>
      <c r="D374">
        <f>IFERROR(__xludf.DUMMYFUNCTION("""COMPUTED_VALUE"""),101.0)</f>
        <v>101</v>
      </c>
      <c r="E374">
        <f>IFERROR(__xludf.DUMMYFUNCTION("""COMPUTED_VALUE"""),0.34)</f>
        <v>0.34</v>
      </c>
      <c r="F374">
        <f>IFERROR(__xludf.DUMMYFUNCTION("""COMPUTED_VALUE"""),3.99)</f>
        <v>3.99</v>
      </c>
      <c r="G374">
        <f>IFERROR(__xludf.DUMMYFUNCTION("""COMPUTED_VALUE"""),21.34)</f>
        <v>21.34</v>
      </c>
    </row>
    <row r="375">
      <c r="A375">
        <f>IFERROR(__xludf.DUMMYFUNCTION("""COMPUTED_VALUE"""),168898.0)</f>
        <v>168898</v>
      </c>
      <c r="B375" t="str">
        <f>IFERROR(__xludf.DUMMYFUNCTION("""COMPUTED_VALUE"""),"Rice Flour Brown")</f>
        <v>Rice Flour Brown</v>
      </c>
      <c r="C375" t="str">
        <f>IFERROR(__xludf.DUMMYFUNCTION("""COMPUTED_VALUE"""),"Grains and Pasta")</f>
        <v>Grains and Pasta</v>
      </c>
      <c r="D375">
        <f>IFERROR(__xludf.DUMMYFUNCTION("""COMPUTED_VALUE"""),363.0)</f>
        <v>363</v>
      </c>
      <c r="E375">
        <f>IFERROR(__xludf.DUMMYFUNCTION("""COMPUTED_VALUE"""),2.78)</f>
        <v>2.78</v>
      </c>
      <c r="F375">
        <f>IFERROR(__xludf.DUMMYFUNCTION("""COMPUTED_VALUE"""),7.23)</f>
        <v>7.23</v>
      </c>
      <c r="G375">
        <f>IFERROR(__xludf.DUMMYFUNCTION("""COMPUTED_VALUE"""),76.48)</f>
        <v>76.48</v>
      </c>
    </row>
    <row r="376">
      <c r="A376">
        <f>IFERROR(__xludf.DUMMYFUNCTION("""COMPUTED_VALUE"""),168899.0)</f>
        <v>168899</v>
      </c>
      <c r="B376" t="str">
        <f>IFERROR(__xludf.DUMMYFUNCTION("""COMPUTED_VALUE"""),"Pasta Gluten-Free Corn Dry")</f>
        <v>Pasta Gluten-Free Corn Dry</v>
      </c>
      <c r="C376" t="str">
        <f>IFERROR(__xludf.DUMMYFUNCTION("""COMPUTED_VALUE"""),"Grains and Pasta")</f>
        <v>Grains and Pasta</v>
      </c>
      <c r="D376">
        <f>IFERROR(__xludf.DUMMYFUNCTION("""COMPUTED_VALUE"""),357.0)</f>
        <v>357</v>
      </c>
      <c r="E376">
        <f>IFERROR(__xludf.DUMMYFUNCTION("""COMPUTED_VALUE"""),2.08)</f>
        <v>2.08</v>
      </c>
      <c r="F376">
        <f>IFERROR(__xludf.DUMMYFUNCTION("""COMPUTED_VALUE"""),7.46)</f>
        <v>7.46</v>
      </c>
      <c r="G376">
        <f>IFERROR(__xludf.DUMMYFUNCTION("""COMPUTED_VALUE"""),79.26)</f>
        <v>79.26</v>
      </c>
    </row>
    <row r="377">
      <c r="A377">
        <f>IFERROR(__xludf.DUMMYFUNCTION("""COMPUTED_VALUE"""),168900.0)</f>
        <v>168900</v>
      </c>
      <c r="B377" t="str">
        <f>IFERROR(__xludf.DUMMYFUNCTION("""COMPUTED_VALUE"""),"Gluten Free Corn Noodles (Cooked)")</f>
        <v>Gluten Free Corn Noodles (Cooked)</v>
      </c>
      <c r="C377" t="str">
        <f>IFERROR(__xludf.DUMMYFUNCTION("""COMPUTED_VALUE"""),"Grains and Pasta")</f>
        <v>Grains and Pasta</v>
      </c>
      <c r="D377">
        <f>IFERROR(__xludf.DUMMYFUNCTION("""COMPUTED_VALUE"""),126.0)</f>
        <v>126</v>
      </c>
      <c r="E377">
        <f>IFERROR(__xludf.DUMMYFUNCTION("""COMPUTED_VALUE"""),0.73)</f>
        <v>0.73</v>
      </c>
      <c r="F377">
        <f>IFERROR(__xludf.DUMMYFUNCTION("""COMPUTED_VALUE"""),2.63)</f>
        <v>2.63</v>
      </c>
      <c r="G377">
        <f>IFERROR(__xludf.DUMMYFUNCTION("""COMPUTED_VALUE"""),27.91)</f>
        <v>27.91</v>
      </c>
    </row>
    <row r="378">
      <c r="A378">
        <f>IFERROR(__xludf.DUMMYFUNCTION("""COMPUTED_VALUE"""),168901.0)</f>
        <v>168901</v>
      </c>
      <c r="B378" t="str">
        <f>IFERROR(__xludf.DUMMYFUNCTION("""COMPUTED_VALUE"""),"Pasta Homemade Made With Egg Cooked")</f>
        <v>Pasta Homemade Made With Egg Cooked</v>
      </c>
      <c r="C378" t="str">
        <f>IFERROR(__xludf.DUMMYFUNCTION("""COMPUTED_VALUE"""),"Grains and Pasta")</f>
        <v>Grains and Pasta</v>
      </c>
      <c r="D378">
        <f>IFERROR(__xludf.DUMMYFUNCTION("""COMPUTED_VALUE"""),130.0)</f>
        <v>130</v>
      </c>
      <c r="E378">
        <f>IFERROR(__xludf.DUMMYFUNCTION("""COMPUTED_VALUE"""),1.74)</f>
        <v>1.74</v>
      </c>
      <c r="F378">
        <f>IFERROR(__xludf.DUMMYFUNCTION("""COMPUTED_VALUE"""),5.28)</f>
        <v>5.28</v>
      </c>
      <c r="G378">
        <f>IFERROR(__xludf.DUMMYFUNCTION("""COMPUTED_VALUE"""),23.54)</f>
        <v>23.54</v>
      </c>
    </row>
    <row r="379">
      <c r="A379">
        <f>IFERROR(__xludf.DUMMYFUNCTION("""COMPUTED_VALUE"""),168902.0)</f>
        <v>168902</v>
      </c>
      <c r="B379" t="str">
        <f>IFERROR(__xludf.DUMMYFUNCTION("""COMPUTED_VALUE"""),"Pasta Homemade Made Without Egg Cooked")</f>
        <v>Pasta Homemade Made Without Egg Cooked</v>
      </c>
      <c r="C379" t="str">
        <f>IFERROR(__xludf.DUMMYFUNCTION("""COMPUTED_VALUE"""),"Grains and Pasta")</f>
        <v>Grains and Pasta</v>
      </c>
      <c r="D379">
        <f>IFERROR(__xludf.DUMMYFUNCTION("""COMPUTED_VALUE"""),124.0)</f>
        <v>124</v>
      </c>
      <c r="E379">
        <f>IFERROR(__xludf.DUMMYFUNCTION("""COMPUTED_VALUE"""),0.98)</f>
        <v>0.98</v>
      </c>
      <c r="F379">
        <f>IFERROR(__xludf.DUMMYFUNCTION("""COMPUTED_VALUE"""),4.37)</f>
        <v>4.37</v>
      </c>
      <c r="G379">
        <f>IFERROR(__xludf.DUMMYFUNCTION("""COMPUTED_VALUE"""),25.12)</f>
        <v>25.12</v>
      </c>
    </row>
    <row r="380">
      <c r="A380">
        <f>IFERROR(__xludf.DUMMYFUNCTION("""COMPUTED_VALUE"""),168903.0)</f>
        <v>168903</v>
      </c>
      <c r="B380" t="str">
        <f>IFERROR(__xludf.DUMMYFUNCTION("""COMPUTED_VALUE"""),"Macaroni Vegetable Enriched Dry")</f>
        <v>Macaroni Vegetable Enriched Dry</v>
      </c>
      <c r="C380" t="str">
        <f>IFERROR(__xludf.DUMMYFUNCTION("""COMPUTED_VALUE"""),"Grains and Pasta")</f>
        <v>Grains and Pasta</v>
      </c>
      <c r="D380">
        <f>IFERROR(__xludf.DUMMYFUNCTION("""COMPUTED_VALUE"""),367.0)</f>
        <v>367</v>
      </c>
      <c r="E380">
        <f>IFERROR(__xludf.DUMMYFUNCTION("""COMPUTED_VALUE"""),1.04)</f>
        <v>1.04</v>
      </c>
      <c r="F380">
        <f>IFERROR(__xludf.DUMMYFUNCTION("""COMPUTED_VALUE"""),13.14)</f>
        <v>13.14</v>
      </c>
      <c r="G380">
        <f>IFERROR(__xludf.DUMMYFUNCTION("""COMPUTED_VALUE"""),74.88)</f>
        <v>74.88</v>
      </c>
    </row>
    <row r="381">
      <c r="A381">
        <f>IFERROR(__xludf.DUMMYFUNCTION("""COMPUTED_VALUE"""),168904.0)</f>
        <v>168904</v>
      </c>
      <c r="B381" t="str">
        <f>IFERROR(__xludf.DUMMYFUNCTION("""COMPUTED_VALUE"""),"Macaroni Vegetable Enriched Cooked")</f>
        <v>Macaroni Vegetable Enriched Cooked</v>
      </c>
      <c r="C381" t="str">
        <f>IFERROR(__xludf.DUMMYFUNCTION("""COMPUTED_VALUE"""),"Grains and Pasta")</f>
        <v>Grains and Pasta</v>
      </c>
      <c r="D381">
        <f>IFERROR(__xludf.DUMMYFUNCTION("""COMPUTED_VALUE"""),128.0)</f>
        <v>128</v>
      </c>
      <c r="E381">
        <f>IFERROR(__xludf.DUMMYFUNCTION("""COMPUTED_VALUE"""),0.11)</f>
        <v>0.11</v>
      </c>
      <c r="F381">
        <f>IFERROR(__xludf.DUMMYFUNCTION("""COMPUTED_VALUE"""),4.53)</f>
        <v>4.53</v>
      </c>
      <c r="G381">
        <f>IFERROR(__xludf.DUMMYFUNCTION("""COMPUTED_VALUE"""),26.61)</f>
        <v>26.61</v>
      </c>
    </row>
    <row r="382">
      <c r="A382">
        <f>IFERROR(__xludf.DUMMYFUNCTION("""COMPUTED_VALUE"""),168905.0)</f>
        <v>168905</v>
      </c>
      <c r="B382" t="str">
        <f>IFERROR(__xludf.DUMMYFUNCTION("""COMPUTED_VALUE"""),"Noodles Chinese Chow Mein")</f>
        <v>Noodles Chinese Chow Mein</v>
      </c>
      <c r="C382" t="str">
        <f>IFERROR(__xludf.DUMMYFUNCTION("""COMPUTED_VALUE"""),"Grains and Pasta")</f>
        <v>Grains and Pasta</v>
      </c>
      <c r="D382">
        <f>IFERROR(__xludf.DUMMYFUNCTION("""COMPUTED_VALUE"""),471.0)</f>
        <v>471</v>
      </c>
      <c r="E382">
        <f>IFERROR(__xludf.DUMMYFUNCTION("""COMPUTED_VALUE"""),21.24)</f>
        <v>21.24</v>
      </c>
      <c r="F382">
        <f>IFERROR(__xludf.DUMMYFUNCTION("""COMPUTED_VALUE"""),10.88)</f>
        <v>10.88</v>
      </c>
      <c r="G382">
        <f>IFERROR(__xludf.DUMMYFUNCTION("""COMPUTED_VALUE"""),63.64)</f>
        <v>63.64</v>
      </c>
    </row>
    <row r="383">
      <c r="A383">
        <f>IFERROR(__xludf.DUMMYFUNCTION("""COMPUTED_VALUE"""),168906.0)</f>
        <v>168906</v>
      </c>
      <c r="B383" t="str">
        <f>IFERROR(__xludf.DUMMYFUNCTION("""COMPUTED_VALUE"""),"Noodles Japanese Soba Dry")</f>
        <v>Noodles Japanese Soba Dry</v>
      </c>
      <c r="C383" t="str">
        <f>IFERROR(__xludf.DUMMYFUNCTION("""COMPUTED_VALUE"""),"Grains and Pasta")</f>
        <v>Grains and Pasta</v>
      </c>
      <c r="D383">
        <f>IFERROR(__xludf.DUMMYFUNCTION("""COMPUTED_VALUE"""),336.0)</f>
        <v>336</v>
      </c>
      <c r="E383">
        <f>IFERROR(__xludf.DUMMYFUNCTION("""COMPUTED_VALUE"""),0.71)</f>
        <v>0.71</v>
      </c>
      <c r="F383">
        <f>IFERROR(__xludf.DUMMYFUNCTION("""COMPUTED_VALUE"""),14.38)</f>
        <v>14.38</v>
      </c>
      <c r="G383">
        <f>IFERROR(__xludf.DUMMYFUNCTION("""COMPUTED_VALUE"""),74.62)</f>
        <v>74.62</v>
      </c>
    </row>
    <row r="384">
      <c r="A384">
        <f>IFERROR(__xludf.DUMMYFUNCTION("""COMPUTED_VALUE"""),168907.0)</f>
        <v>168907</v>
      </c>
      <c r="B384" t="str">
        <f>IFERROR(__xludf.DUMMYFUNCTION("""COMPUTED_VALUE"""),"Japanese Soba Noodles (Buckwheat)")</f>
        <v>Japanese Soba Noodles (Buckwheat)</v>
      </c>
      <c r="C384" t="str">
        <f>IFERROR(__xludf.DUMMYFUNCTION("""COMPUTED_VALUE"""),"Grains and Pasta")</f>
        <v>Grains and Pasta</v>
      </c>
      <c r="D384">
        <f>IFERROR(__xludf.DUMMYFUNCTION("""COMPUTED_VALUE"""),99.0)</f>
        <v>99</v>
      </c>
      <c r="E384">
        <f>IFERROR(__xludf.DUMMYFUNCTION("""COMPUTED_VALUE"""),0.1)</f>
        <v>0.1</v>
      </c>
      <c r="F384">
        <f>IFERROR(__xludf.DUMMYFUNCTION("""COMPUTED_VALUE"""),5.06)</f>
        <v>5.06</v>
      </c>
      <c r="G384">
        <f>IFERROR(__xludf.DUMMYFUNCTION("""COMPUTED_VALUE"""),21.44)</f>
        <v>21.44</v>
      </c>
    </row>
    <row r="385">
      <c r="A385">
        <f>IFERROR(__xludf.DUMMYFUNCTION("""COMPUTED_VALUE"""),168908.0)</f>
        <v>168908</v>
      </c>
      <c r="B385" t="str">
        <f>IFERROR(__xludf.DUMMYFUNCTION("""COMPUTED_VALUE"""),"Noodles Japanese Somen Dry")</f>
        <v>Noodles Japanese Somen Dry</v>
      </c>
      <c r="C385" t="str">
        <f>IFERROR(__xludf.DUMMYFUNCTION("""COMPUTED_VALUE"""),"Grains and Pasta")</f>
        <v>Grains and Pasta</v>
      </c>
      <c r="D385">
        <f>IFERROR(__xludf.DUMMYFUNCTION("""COMPUTED_VALUE"""),356.0)</f>
        <v>356</v>
      </c>
      <c r="E385">
        <f>IFERROR(__xludf.DUMMYFUNCTION("""COMPUTED_VALUE"""),0.81)</f>
        <v>0.81</v>
      </c>
      <c r="F385">
        <f>IFERROR(__xludf.DUMMYFUNCTION("""COMPUTED_VALUE"""),11.35)</f>
        <v>11.35</v>
      </c>
      <c r="G385">
        <f>IFERROR(__xludf.DUMMYFUNCTION("""COMPUTED_VALUE"""),74.1)</f>
        <v>74.1</v>
      </c>
    </row>
    <row r="386">
      <c r="A386">
        <f>IFERROR(__xludf.DUMMYFUNCTION("""COMPUTED_VALUE"""),168909.0)</f>
        <v>168909</v>
      </c>
      <c r="B386" t="str">
        <f>IFERROR(__xludf.DUMMYFUNCTION("""COMPUTED_VALUE"""),"Cooked Japanese Somen")</f>
        <v>Cooked Japanese Somen</v>
      </c>
      <c r="C386" t="str">
        <f>IFERROR(__xludf.DUMMYFUNCTION("""COMPUTED_VALUE"""),"Grains and Pasta")</f>
        <v>Grains and Pasta</v>
      </c>
      <c r="D386">
        <f>IFERROR(__xludf.DUMMYFUNCTION("""COMPUTED_VALUE"""),131.0)</f>
        <v>131</v>
      </c>
      <c r="E386">
        <f>IFERROR(__xludf.DUMMYFUNCTION("""COMPUTED_VALUE"""),0.18)</f>
        <v>0.18</v>
      </c>
      <c r="F386">
        <f>IFERROR(__xludf.DUMMYFUNCTION("""COMPUTED_VALUE"""),4.0)</f>
        <v>4</v>
      </c>
      <c r="G386">
        <f>IFERROR(__xludf.DUMMYFUNCTION("""COMPUTED_VALUE"""),27.54)</f>
        <v>27.54</v>
      </c>
    </row>
    <row r="387">
      <c r="A387">
        <f>IFERROR(__xludf.DUMMYFUNCTION("""COMPUTED_VALUE"""),168910.0)</f>
        <v>168910</v>
      </c>
      <c r="B387" t="str">
        <f>IFERROR(__xludf.DUMMYFUNCTION("""COMPUTED_VALUE"""),"Whole Wheat Pasta")</f>
        <v>Whole Wheat Pasta</v>
      </c>
      <c r="C387" t="str">
        <f>IFERROR(__xludf.DUMMYFUNCTION("""COMPUTED_VALUE"""),"Grains and Pasta")</f>
        <v>Grains and Pasta</v>
      </c>
      <c r="D387">
        <f>IFERROR(__xludf.DUMMYFUNCTION("""COMPUTED_VALUE"""),149.0)</f>
        <v>149</v>
      </c>
      <c r="E387">
        <f>IFERROR(__xludf.DUMMYFUNCTION("""COMPUTED_VALUE"""),1.71)</f>
        <v>1.71</v>
      </c>
      <c r="F387">
        <f>IFERROR(__xludf.DUMMYFUNCTION("""COMPUTED_VALUE"""),5.99)</f>
        <v>5.99</v>
      </c>
      <c r="G387">
        <f>IFERROR(__xludf.DUMMYFUNCTION("""COMPUTED_VALUE"""),30.07)</f>
        <v>30.07</v>
      </c>
    </row>
    <row r="388">
      <c r="A388">
        <f>IFERROR(__xludf.DUMMYFUNCTION("""COMPUTED_VALUE"""),168911.0)</f>
        <v>168911</v>
      </c>
      <c r="B388" t="str">
        <f>IFERROR(__xludf.DUMMYFUNCTION("""COMPUTED_VALUE"""),"Spaghetti Spinach Dry")</f>
        <v>Spaghetti Spinach Dry</v>
      </c>
      <c r="C388" t="str">
        <f>IFERROR(__xludf.DUMMYFUNCTION("""COMPUTED_VALUE"""),"Grains and Pasta")</f>
        <v>Grains and Pasta</v>
      </c>
      <c r="D388">
        <f>IFERROR(__xludf.DUMMYFUNCTION("""COMPUTED_VALUE"""),372.0)</f>
        <v>372</v>
      </c>
      <c r="E388">
        <f>IFERROR(__xludf.DUMMYFUNCTION("""COMPUTED_VALUE"""),1.57)</f>
        <v>1.57</v>
      </c>
      <c r="F388">
        <f>IFERROR(__xludf.DUMMYFUNCTION("""COMPUTED_VALUE"""),13.35)</f>
        <v>13.35</v>
      </c>
      <c r="G388">
        <f>IFERROR(__xludf.DUMMYFUNCTION("""COMPUTED_VALUE"""),74.81)</f>
        <v>74.81</v>
      </c>
    </row>
    <row r="389">
      <c r="A389">
        <f>IFERROR(__xludf.DUMMYFUNCTION("""COMPUTED_VALUE"""),168912.0)</f>
        <v>168912</v>
      </c>
      <c r="B389" t="str">
        <f>IFERROR(__xludf.DUMMYFUNCTION("""COMPUTED_VALUE"""),"Spaghetti Spinach Cooked")</f>
        <v>Spaghetti Spinach Cooked</v>
      </c>
      <c r="C389" t="str">
        <f>IFERROR(__xludf.DUMMYFUNCTION("""COMPUTED_VALUE"""),"Grains and Pasta")</f>
        <v>Grains and Pasta</v>
      </c>
      <c r="D389">
        <f>IFERROR(__xludf.DUMMYFUNCTION("""COMPUTED_VALUE"""),130.0)</f>
        <v>130</v>
      </c>
      <c r="E389">
        <f>IFERROR(__xludf.DUMMYFUNCTION("""COMPUTED_VALUE"""),0.63)</f>
        <v>0.63</v>
      </c>
      <c r="F389">
        <f>IFERROR(__xludf.DUMMYFUNCTION("""COMPUTED_VALUE"""),4.58)</f>
        <v>4.58</v>
      </c>
      <c r="G389">
        <f>IFERROR(__xludf.DUMMYFUNCTION("""COMPUTED_VALUE"""),26.15)</f>
        <v>26.15</v>
      </c>
    </row>
    <row r="390">
      <c r="A390">
        <f>IFERROR(__xludf.DUMMYFUNCTION("""COMPUTED_VALUE"""),168913.0)</f>
        <v>168913</v>
      </c>
      <c r="B390" t="str">
        <f>IFERROR(__xludf.DUMMYFUNCTION("""COMPUTED_VALUE"""),"Wheat Flours Bread Unenriched")</f>
        <v>Wheat Flours Bread Unenriched</v>
      </c>
      <c r="C390" t="str">
        <f>IFERROR(__xludf.DUMMYFUNCTION("""COMPUTED_VALUE"""),"Grains and Pasta")</f>
        <v>Grains and Pasta</v>
      </c>
      <c r="D390">
        <f>IFERROR(__xludf.DUMMYFUNCTION("""COMPUTED_VALUE"""),361.0)</f>
        <v>361</v>
      </c>
      <c r="E390">
        <f>IFERROR(__xludf.DUMMYFUNCTION("""COMPUTED_VALUE"""),1.66)</f>
        <v>1.66</v>
      </c>
      <c r="F390">
        <f>IFERROR(__xludf.DUMMYFUNCTION("""COMPUTED_VALUE"""),11.98)</f>
        <v>11.98</v>
      </c>
      <c r="G390">
        <f>IFERROR(__xludf.DUMMYFUNCTION("""COMPUTED_VALUE"""),72.53)</f>
        <v>72.53</v>
      </c>
    </row>
    <row r="391">
      <c r="A391">
        <f>IFERROR(__xludf.DUMMYFUNCTION("""COMPUTED_VALUE"""),168914.0)</f>
        <v>168914</v>
      </c>
      <c r="B391" t="str">
        <f>IFERROR(__xludf.DUMMYFUNCTION("""COMPUTED_VALUE"""),"Rice Noodles (Cooked)")</f>
        <v>Rice Noodles (Cooked)</v>
      </c>
      <c r="C391" t="str">
        <f>IFERROR(__xludf.DUMMYFUNCTION("""COMPUTED_VALUE"""),"Grains and Pasta")</f>
        <v>Grains and Pasta</v>
      </c>
      <c r="D391">
        <f>IFERROR(__xludf.DUMMYFUNCTION("""COMPUTED_VALUE"""),108.0)</f>
        <v>108</v>
      </c>
      <c r="E391">
        <f>IFERROR(__xludf.DUMMYFUNCTION("""COMPUTED_VALUE"""),0.2)</f>
        <v>0.2</v>
      </c>
      <c r="F391">
        <f>IFERROR(__xludf.DUMMYFUNCTION("""COMPUTED_VALUE"""),1.79)</f>
        <v>1.79</v>
      </c>
      <c r="G391">
        <f>IFERROR(__xludf.DUMMYFUNCTION("""COMPUTED_VALUE"""),24.01)</f>
        <v>24.01</v>
      </c>
    </row>
    <row r="392">
      <c r="A392">
        <f>IFERROR(__xludf.DUMMYFUNCTION("""COMPUTED_VALUE"""),168915.0)</f>
        <v>168915</v>
      </c>
      <c r="B392" t="str">
        <f>IFERROR(__xludf.DUMMYFUNCTION("""COMPUTED_VALUE"""),"Pasta Whole Grain 51% Whole Wheat Remaining Unenriched Semolina Dry")</f>
        <v>Pasta Whole Grain 51% Whole Wheat Remaining Unenriched Semolina Dry</v>
      </c>
      <c r="C392" t="str">
        <f>IFERROR(__xludf.DUMMYFUNCTION("""COMPUTED_VALUE"""),"Grains and Pasta")</f>
        <v>Grains and Pasta</v>
      </c>
      <c r="D392">
        <f>IFERROR(__xludf.DUMMYFUNCTION("""COMPUTED_VALUE"""),362.0)</f>
        <v>362</v>
      </c>
      <c r="E392">
        <f>IFERROR(__xludf.DUMMYFUNCTION("""COMPUTED_VALUE"""),2.68)</f>
        <v>2.68</v>
      </c>
      <c r="F392">
        <f>IFERROR(__xludf.DUMMYFUNCTION("""COMPUTED_VALUE"""),13.51)</f>
        <v>13.51</v>
      </c>
      <c r="G392">
        <f>IFERROR(__xludf.DUMMYFUNCTION("""COMPUTED_VALUE"""),73.1)</f>
        <v>73.1</v>
      </c>
    </row>
    <row r="393">
      <c r="A393">
        <f>IFERROR(__xludf.DUMMYFUNCTION("""COMPUTED_VALUE"""),168916.0)</f>
        <v>168916</v>
      </c>
      <c r="B393" t="str">
        <f>IFERROR(__xludf.DUMMYFUNCTION("""COMPUTED_VALUE"""),"Pasta Whole Grain 51% Whole Wheat Remaining Unenriched Semolina Cooked")</f>
        <v>Pasta Whole Grain 51% Whole Wheat Remaining Unenriched Semolina Cooked</v>
      </c>
      <c r="C393" t="str">
        <f>IFERROR(__xludf.DUMMYFUNCTION("""COMPUTED_VALUE"""),"Grains and Pasta")</f>
        <v>Grains and Pasta</v>
      </c>
      <c r="D393">
        <f>IFERROR(__xludf.DUMMYFUNCTION("""COMPUTED_VALUE"""),159.0)</f>
        <v>159</v>
      </c>
      <c r="E393">
        <f>IFERROR(__xludf.DUMMYFUNCTION("""COMPUTED_VALUE"""),1.5)</f>
        <v>1.5</v>
      </c>
      <c r="F393">
        <f>IFERROR(__xludf.DUMMYFUNCTION("""COMPUTED_VALUE"""),5.82)</f>
        <v>5.82</v>
      </c>
      <c r="G393">
        <f>IFERROR(__xludf.DUMMYFUNCTION("""COMPUTED_VALUE"""),31.51)</f>
        <v>31.51</v>
      </c>
    </row>
    <row r="394">
      <c r="A394">
        <f>IFERROR(__xludf.DUMMYFUNCTION("""COMPUTED_VALUE"""),168917.0)</f>
        <v>168917</v>
      </c>
      <c r="B394" t="str">
        <f>IFERROR(__xludf.DUMMYFUNCTION("""COMPUTED_VALUE"""),"Quinoa Cooked")</f>
        <v>Quinoa Cooked</v>
      </c>
      <c r="C394" t="str">
        <f>IFERROR(__xludf.DUMMYFUNCTION("""COMPUTED_VALUE"""),"Grains and Pasta")</f>
        <v>Grains and Pasta</v>
      </c>
      <c r="D394">
        <f>IFERROR(__xludf.DUMMYFUNCTION("""COMPUTED_VALUE"""),120.0)</f>
        <v>120</v>
      </c>
      <c r="E394">
        <f>IFERROR(__xludf.DUMMYFUNCTION("""COMPUTED_VALUE"""),1.92)</f>
        <v>1.92</v>
      </c>
      <c r="F394">
        <f>IFERROR(__xludf.DUMMYFUNCTION("""COMPUTED_VALUE"""),4.4)</f>
        <v>4.4</v>
      </c>
      <c r="G394">
        <f>IFERROR(__xludf.DUMMYFUNCTION("""COMPUTED_VALUE"""),21.3)</f>
        <v>21.3</v>
      </c>
    </row>
    <row r="395">
      <c r="A395">
        <f>IFERROR(__xludf.DUMMYFUNCTION("""COMPUTED_VALUE"""),168918.0)</f>
        <v>168918</v>
      </c>
      <c r="B395" t="str">
        <f>IFERROR(__xludf.DUMMYFUNCTION("""COMPUTED_VALUE"""),"Cooked Teff")</f>
        <v>Cooked Teff</v>
      </c>
      <c r="C395" t="str">
        <f>IFERROR(__xludf.DUMMYFUNCTION("""COMPUTED_VALUE"""),"Grains and Pasta")</f>
        <v>Grains and Pasta</v>
      </c>
      <c r="D395">
        <f>IFERROR(__xludf.DUMMYFUNCTION("""COMPUTED_VALUE"""),101.0)</f>
        <v>101</v>
      </c>
      <c r="E395">
        <f>IFERROR(__xludf.DUMMYFUNCTION("""COMPUTED_VALUE"""),0.65)</f>
        <v>0.65</v>
      </c>
      <c r="F395">
        <f>IFERROR(__xludf.DUMMYFUNCTION("""COMPUTED_VALUE"""),3.87)</f>
        <v>3.87</v>
      </c>
      <c r="G395">
        <f>IFERROR(__xludf.DUMMYFUNCTION("""COMPUTED_VALUE"""),19.86)</f>
        <v>19.86</v>
      </c>
    </row>
    <row r="396">
      <c r="A396">
        <f>IFERROR(__xludf.DUMMYFUNCTION("""COMPUTED_VALUE"""),168919.0)</f>
        <v>168919</v>
      </c>
      <c r="B396" t="str">
        <f>IFERROR(__xludf.DUMMYFUNCTION("""COMPUTED_VALUE"""),"Noodles Egg Cooked Enriched With Added Salt")</f>
        <v>Noodles Egg Cooked Enriched With Added Salt</v>
      </c>
      <c r="C396" t="str">
        <f>IFERROR(__xludf.DUMMYFUNCTION("""COMPUTED_VALUE"""),"Grains and Pasta")</f>
        <v>Grains and Pasta</v>
      </c>
      <c r="D396">
        <f>IFERROR(__xludf.DUMMYFUNCTION("""COMPUTED_VALUE"""),138.0)</f>
        <v>138</v>
      </c>
      <c r="E396">
        <f>IFERROR(__xludf.DUMMYFUNCTION("""COMPUTED_VALUE"""),2.07)</f>
        <v>2.07</v>
      </c>
      <c r="F396">
        <f>IFERROR(__xludf.DUMMYFUNCTION("""COMPUTED_VALUE"""),4.54)</f>
        <v>4.54</v>
      </c>
      <c r="G396">
        <f>IFERROR(__xludf.DUMMYFUNCTION("""COMPUTED_VALUE"""),25.16)</f>
        <v>25.16</v>
      </c>
    </row>
    <row r="397">
      <c r="A397">
        <f>IFERROR(__xludf.DUMMYFUNCTION("""COMPUTED_VALUE"""),168920.0)</f>
        <v>168920</v>
      </c>
      <c r="B397" t="str">
        <f>IFERROR(__xludf.DUMMYFUNCTION("""COMPUTED_VALUE"""),"Corn Grain White")</f>
        <v>Corn Grain White</v>
      </c>
      <c r="C397" t="str">
        <f>IFERROR(__xludf.DUMMYFUNCTION("""COMPUTED_VALUE"""),"Grains and Pasta")</f>
        <v>Grains and Pasta</v>
      </c>
      <c r="D397">
        <f>IFERROR(__xludf.DUMMYFUNCTION("""COMPUTED_VALUE"""),365.0)</f>
        <v>365</v>
      </c>
      <c r="E397">
        <f>IFERROR(__xludf.DUMMYFUNCTION("""COMPUTED_VALUE"""),4.74)</f>
        <v>4.74</v>
      </c>
      <c r="F397">
        <f>IFERROR(__xludf.DUMMYFUNCTION("""COMPUTED_VALUE"""),9.42)</f>
        <v>9.42</v>
      </c>
      <c r="G397">
        <f>IFERROR(__xludf.DUMMYFUNCTION("""COMPUTED_VALUE"""),74.26)</f>
        <v>74.26</v>
      </c>
    </row>
    <row r="398">
      <c r="A398">
        <f>IFERROR(__xludf.DUMMYFUNCTION("""COMPUTED_VALUE"""),168921.0)</f>
        <v>168921</v>
      </c>
      <c r="B398" t="str">
        <f>IFERROR(__xludf.DUMMYFUNCTION("""COMPUTED_VALUE"""),"Corn Flour Whole-Grain Blue (Harina De Maiz Morado)")</f>
        <v>Corn Flour Whole-Grain Blue (Harina De Maiz Morado)</v>
      </c>
      <c r="C398" t="str">
        <f>IFERROR(__xludf.DUMMYFUNCTION("""COMPUTED_VALUE"""),"Grains and Pasta")</f>
        <v>Grains and Pasta</v>
      </c>
      <c r="D398">
        <f>IFERROR(__xludf.DUMMYFUNCTION("""COMPUTED_VALUE"""),364.0)</f>
        <v>364</v>
      </c>
      <c r="E398">
        <f>IFERROR(__xludf.DUMMYFUNCTION("""COMPUTED_VALUE"""),5.09)</f>
        <v>5.09</v>
      </c>
      <c r="F398">
        <f>IFERROR(__xludf.DUMMYFUNCTION("""COMPUTED_VALUE"""),8.75)</f>
        <v>8.75</v>
      </c>
      <c r="G398">
        <f>IFERROR(__xludf.DUMMYFUNCTION("""COMPUTED_VALUE"""),73.89)</f>
        <v>73.89</v>
      </c>
    </row>
    <row r="399">
      <c r="A399">
        <f>IFERROR(__xludf.DUMMYFUNCTION("""COMPUTED_VALUE"""),168922.0)</f>
        <v>168922</v>
      </c>
      <c r="B399" t="str">
        <f>IFERROR(__xludf.DUMMYFUNCTION("""COMPUTED_VALUE"""),"Cornmeal Degermed Enriched White")</f>
        <v>Cornmeal Degermed Enriched White</v>
      </c>
      <c r="C399" t="str">
        <f>IFERROR(__xludf.DUMMYFUNCTION("""COMPUTED_VALUE"""),"Grains and Pasta")</f>
        <v>Grains and Pasta</v>
      </c>
      <c r="D399">
        <f>IFERROR(__xludf.DUMMYFUNCTION("""COMPUTED_VALUE"""),370.0)</f>
        <v>370</v>
      </c>
      <c r="E399">
        <f>IFERROR(__xludf.DUMMYFUNCTION("""COMPUTED_VALUE"""),1.75)</f>
        <v>1.75</v>
      </c>
      <c r="F399">
        <f>IFERROR(__xludf.DUMMYFUNCTION("""COMPUTED_VALUE"""),7.11)</f>
        <v>7.11</v>
      </c>
      <c r="G399">
        <f>IFERROR(__xludf.DUMMYFUNCTION("""COMPUTED_VALUE"""),79.45)</f>
        <v>79.45</v>
      </c>
    </row>
    <row r="400">
      <c r="A400">
        <f>IFERROR(__xludf.DUMMYFUNCTION("""COMPUTED_VALUE"""),168923.0)</f>
        <v>168923</v>
      </c>
      <c r="B400" t="str">
        <f>IFERROR(__xludf.DUMMYFUNCTION("""COMPUTED_VALUE"""),"Cornmeal White Self-Rising Bolted Plain Enriched")</f>
        <v>Cornmeal White Self-Rising Bolted Plain Enriched</v>
      </c>
      <c r="C400" t="str">
        <f>IFERROR(__xludf.DUMMYFUNCTION("""COMPUTED_VALUE"""),"Grains and Pasta")</f>
        <v>Grains and Pasta</v>
      </c>
      <c r="D400">
        <f>IFERROR(__xludf.DUMMYFUNCTION("""COMPUTED_VALUE"""),334.0)</f>
        <v>334</v>
      </c>
      <c r="E400">
        <f>IFERROR(__xludf.DUMMYFUNCTION("""COMPUTED_VALUE"""),3.4)</f>
        <v>3.4</v>
      </c>
      <c r="F400">
        <f>IFERROR(__xludf.DUMMYFUNCTION("""COMPUTED_VALUE"""),8.28)</f>
        <v>8.28</v>
      </c>
      <c r="G400">
        <f>IFERROR(__xludf.DUMMYFUNCTION("""COMPUTED_VALUE"""),70.28)</f>
        <v>70.28</v>
      </c>
    </row>
    <row r="401">
      <c r="A401">
        <f>IFERROR(__xludf.DUMMYFUNCTION("""COMPUTED_VALUE"""),168924.0)</f>
        <v>168924</v>
      </c>
      <c r="B401" t="str">
        <f>IFERROR(__xludf.DUMMYFUNCTION("""COMPUTED_VALUE"""),"Cornmeal White Self-Rising Bolted With Wheat Flour Added Enriched")</f>
        <v>Cornmeal White Self-Rising Bolted With Wheat Flour Added Enriched</v>
      </c>
      <c r="C401" t="str">
        <f>IFERROR(__xludf.DUMMYFUNCTION("""COMPUTED_VALUE"""),"Grains and Pasta")</f>
        <v>Grains and Pasta</v>
      </c>
      <c r="D401">
        <f>IFERROR(__xludf.DUMMYFUNCTION("""COMPUTED_VALUE"""),348.0)</f>
        <v>348</v>
      </c>
      <c r="E401">
        <f>IFERROR(__xludf.DUMMYFUNCTION("""COMPUTED_VALUE"""),2.85)</f>
        <v>2.85</v>
      </c>
      <c r="F401">
        <f>IFERROR(__xludf.DUMMYFUNCTION("""COMPUTED_VALUE"""),8.41)</f>
        <v>8.41</v>
      </c>
      <c r="G401">
        <f>IFERROR(__xludf.DUMMYFUNCTION("""COMPUTED_VALUE"""),73.43)</f>
        <v>73.43</v>
      </c>
    </row>
    <row r="402">
      <c r="A402">
        <f>IFERROR(__xludf.DUMMYFUNCTION("""COMPUTED_VALUE"""),168925.0)</f>
        <v>168925</v>
      </c>
      <c r="B402" t="str">
        <f>IFERROR(__xludf.DUMMYFUNCTION("""COMPUTED_VALUE"""),"Cornmeal White Self-Rising Degermed Enriched")</f>
        <v>Cornmeal White Self-Rising Degermed Enriched</v>
      </c>
      <c r="C402" t="str">
        <f>IFERROR(__xludf.DUMMYFUNCTION("""COMPUTED_VALUE"""),"Grains and Pasta")</f>
        <v>Grains and Pasta</v>
      </c>
      <c r="D402">
        <f>IFERROR(__xludf.DUMMYFUNCTION("""COMPUTED_VALUE"""),355.0)</f>
        <v>355</v>
      </c>
      <c r="E402">
        <f>IFERROR(__xludf.DUMMYFUNCTION("""COMPUTED_VALUE"""),1.72)</f>
        <v>1.72</v>
      </c>
      <c r="F402">
        <f>IFERROR(__xludf.DUMMYFUNCTION("""COMPUTED_VALUE"""),8.41)</f>
        <v>8.41</v>
      </c>
      <c r="G402">
        <f>IFERROR(__xludf.DUMMYFUNCTION("""COMPUTED_VALUE"""),74.79)</f>
        <v>74.79</v>
      </c>
    </row>
    <row r="403">
      <c r="A403">
        <f>IFERROR(__xludf.DUMMYFUNCTION("""COMPUTED_VALUE"""),168926.0)</f>
        <v>168926</v>
      </c>
      <c r="B403" t="str">
        <f>IFERROR(__xludf.DUMMYFUNCTION("""COMPUTED_VALUE"""),"Noodles Egg Unenriched Cooked Without Added Salt")</f>
        <v>Noodles Egg Unenriched Cooked Without Added Salt</v>
      </c>
      <c r="C403" t="str">
        <f>IFERROR(__xludf.DUMMYFUNCTION("""COMPUTED_VALUE"""),"Grains and Pasta")</f>
        <v>Grains and Pasta</v>
      </c>
      <c r="D403">
        <f>IFERROR(__xludf.DUMMYFUNCTION("""COMPUTED_VALUE"""),138.0)</f>
        <v>138</v>
      </c>
      <c r="E403">
        <f>IFERROR(__xludf.DUMMYFUNCTION("""COMPUTED_VALUE"""),2.07)</f>
        <v>2.07</v>
      </c>
      <c r="F403">
        <f>IFERROR(__xludf.DUMMYFUNCTION("""COMPUTED_VALUE"""),4.54)</f>
        <v>4.54</v>
      </c>
      <c r="G403">
        <f>IFERROR(__xludf.DUMMYFUNCTION("""COMPUTED_VALUE"""),25.16)</f>
        <v>25.16</v>
      </c>
    </row>
    <row r="404">
      <c r="A404">
        <f>IFERROR(__xludf.DUMMYFUNCTION("""COMPUTED_VALUE"""),168927.0)</f>
        <v>168927</v>
      </c>
      <c r="B404" t="str">
        <f>IFERROR(__xludf.DUMMYFUNCTION("""COMPUTED_VALUE"""),"Pasta Dry Unenriched")</f>
        <v>Pasta Dry Unenriched</v>
      </c>
      <c r="C404" t="str">
        <f>IFERROR(__xludf.DUMMYFUNCTION("""COMPUTED_VALUE"""),"Grains and Pasta")</f>
        <v>Grains and Pasta</v>
      </c>
      <c r="D404">
        <f>IFERROR(__xludf.DUMMYFUNCTION("""COMPUTED_VALUE"""),371.0)</f>
        <v>371</v>
      </c>
      <c r="E404">
        <f>IFERROR(__xludf.DUMMYFUNCTION("""COMPUTED_VALUE"""),1.51)</f>
        <v>1.51</v>
      </c>
      <c r="F404">
        <f>IFERROR(__xludf.DUMMYFUNCTION("""COMPUTED_VALUE"""),13.04)</f>
        <v>13.04</v>
      </c>
      <c r="G404">
        <f>IFERROR(__xludf.DUMMYFUNCTION("""COMPUTED_VALUE"""),74.67)</f>
        <v>74.67</v>
      </c>
    </row>
    <row r="405">
      <c r="A405">
        <f>IFERROR(__xludf.DUMMYFUNCTION("""COMPUTED_VALUE"""),168928.0)</f>
        <v>168928</v>
      </c>
      <c r="B405" t="str">
        <f>IFERROR(__xludf.DUMMYFUNCTION("""COMPUTED_VALUE"""),"Cooked Pasta (Unenriched)")</f>
        <v>Cooked Pasta (Unenriched)</v>
      </c>
      <c r="C405" t="str">
        <f>IFERROR(__xludf.DUMMYFUNCTION("""COMPUTED_VALUE"""),"Grains and Pasta")</f>
        <v>Grains and Pasta</v>
      </c>
      <c r="D405">
        <f>IFERROR(__xludf.DUMMYFUNCTION("""COMPUTED_VALUE"""),158.0)</f>
        <v>158</v>
      </c>
      <c r="E405">
        <f>IFERROR(__xludf.DUMMYFUNCTION("""COMPUTED_VALUE"""),0.93)</f>
        <v>0.93</v>
      </c>
      <c r="F405">
        <f>IFERROR(__xludf.DUMMYFUNCTION("""COMPUTED_VALUE"""),5.8)</f>
        <v>5.8</v>
      </c>
      <c r="G405">
        <f>IFERROR(__xludf.DUMMYFUNCTION("""COMPUTED_VALUE"""),30.86)</f>
        <v>30.86</v>
      </c>
    </row>
    <row r="406">
      <c r="A406">
        <f>IFERROR(__xludf.DUMMYFUNCTION("""COMPUTED_VALUE"""),168929.0)</f>
        <v>168929</v>
      </c>
      <c r="B406" t="str">
        <f>IFERROR(__xludf.DUMMYFUNCTION("""COMPUTED_VALUE"""),"Cornmeal Degermed Unenriched Yellow")</f>
        <v>Cornmeal Degermed Unenriched Yellow</v>
      </c>
      <c r="C406" t="str">
        <f>IFERROR(__xludf.DUMMYFUNCTION("""COMPUTED_VALUE"""),"Grains and Pasta")</f>
        <v>Grains and Pasta</v>
      </c>
      <c r="D406">
        <f>IFERROR(__xludf.DUMMYFUNCTION("""COMPUTED_VALUE"""),370.0)</f>
        <v>370</v>
      </c>
      <c r="E406">
        <f>IFERROR(__xludf.DUMMYFUNCTION("""COMPUTED_VALUE"""),1.75)</f>
        <v>1.75</v>
      </c>
      <c r="F406">
        <f>IFERROR(__xludf.DUMMYFUNCTION("""COMPUTED_VALUE"""),7.11)</f>
        <v>7.11</v>
      </c>
      <c r="G406">
        <f>IFERROR(__xludf.DUMMYFUNCTION("""COMPUTED_VALUE"""),79.45)</f>
        <v>79.45</v>
      </c>
    </row>
    <row r="407">
      <c r="A407">
        <f>IFERROR(__xludf.DUMMYFUNCTION("""COMPUTED_VALUE"""),168930.0)</f>
        <v>168930</v>
      </c>
      <c r="B407" t="str">
        <f>IFERROR(__xludf.DUMMYFUNCTION("""COMPUTED_VALUE"""),"Rice White Medium-Grain Cooked Unenriched")</f>
        <v>Rice White Medium-Grain Cooked Unenriched</v>
      </c>
      <c r="C407" t="str">
        <f>IFERROR(__xludf.DUMMYFUNCTION("""COMPUTED_VALUE"""),"Grains and Pasta")</f>
        <v>Grains and Pasta</v>
      </c>
      <c r="D407">
        <f>IFERROR(__xludf.DUMMYFUNCTION("""COMPUTED_VALUE"""),130.0)</f>
        <v>130</v>
      </c>
      <c r="E407">
        <f>IFERROR(__xludf.DUMMYFUNCTION("""COMPUTED_VALUE"""),0.21)</f>
        <v>0.21</v>
      </c>
      <c r="F407">
        <f>IFERROR(__xludf.DUMMYFUNCTION("""COMPUTED_VALUE"""),2.38)</f>
        <v>2.38</v>
      </c>
      <c r="G407">
        <f>IFERROR(__xludf.DUMMYFUNCTION("""COMPUTED_VALUE"""),28.59)</f>
        <v>28.59</v>
      </c>
    </row>
    <row r="408">
      <c r="A408">
        <f>IFERROR(__xludf.DUMMYFUNCTION("""COMPUTED_VALUE"""),168931.0)</f>
        <v>168931</v>
      </c>
      <c r="B408" t="str">
        <f>IFERROR(__xludf.DUMMYFUNCTION("""COMPUTED_VALUE"""),"Rice White Short-Grain Raw Unenriched")</f>
        <v>Rice White Short-Grain Raw Unenriched</v>
      </c>
      <c r="C408" t="str">
        <f>IFERROR(__xludf.DUMMYFUNCTION("""COMPUTED_VALUE"""),"Grains and Pasta")</f>
        <v>Grains and Pasta</v>
      </c>
      <c r="D408">
        <f>IFERROR(__xludf.DUMMYFUNCTION("""COMPUTED_VALUE"""),358.0)</f>
        <v>358</v>
      </c>
      <c r="E408">
        <f>IFERROR(__xludf.DUMMYFUNCTION("""COMPUTED_VALUE"""),0.52)</f>
        <v>0.52</v>
      </c>
      <c r="F408">
        <f>IFERROR(__xludf.DUMMYFUNCTION("""COMPUTED_VALUE"""),6.5)</f>
        <v>6.5</v>
      </c>
      <c r="G408">
        <f>IFERROR(__xludf.DUMMYFUNCTION("""COMPUTED_VALUE"""),79.15)</f>
        <v>79.15</v>
      </c>
    </row>
    <row r="409">
      <c r="A409">
        <f>IFERROR(__xludf.DUMMYFUNCTION("""COMPUTED_VALUE"""),168932.0)</f>
        <v>168932</v>
      </c>
      <c r="B409" t="str">
        <f>IFERROR(__xludf.DUMMYFUNCTION("""COMPUTED_VALUE"""),"Rice White Short-Grain Cooked Unenriched")</f>
        <v>Rice White Short-Grain Cooked Unenriched</v>
      </c>
      <c r="C409" t="str">
        <f>IFERROR(__xludf.DUMMYFUNCTION("""COMPUTED_VALUE"""),"Grains and Pasta")</f>
        <v>Grains and Pasta</v>
      </c>
      <c r="D409">
        <f>IFERROR(__xludf.DUMMYFUNCTION("""COMPUTED_VALUE"""),130.0)</f>
        <v>130</v>
      </c>
      <c r="E409">
        <f>IFERROR(__xludf.DUMMYFUNCTION("""COMPUTED_VALUE"""),0.19)</f>
        <v>0.19</v>
      </c>
      <c r="F409">
        <f>IFERROR(__xludf.DUMMYFUNCTION("""COMPUTED_VALUE"""),2.36)</f>
        <v>2.36</v>
      </c>
      <c r="G409">
        <f>IFERROR(__xludf.DUMMYFUNCTION("""COMPUTED_VALUE"""),28.73)</f>
        <v>28.73</v>
      </c>
    </row>
    <row r="410">
      <c r="A410">
        <f>IFERROR(__xludf.DUMMYFUNCTION("""COMPUTED_VALUE"""),168933.0)</f>
        <v>168933</v>
      </c>
      <c r="B410" t="str">
        <f>IFERROR(__xludf.DUMMYFUNCTION("""COMPUTED_VALUE"""),"Semolina Unenriched")</f>
        <v>Semolina Unenriched</v>
      </c>
      <c r="C410" t="str">
        <f>IFERROR(__xludf.DUMMYFUNCTION("""COMPUTED_VALUE"""),"Grains and Pasta")</f>
        <v>Grains and Pasta</v>
      </c>
      <c r="D410">
        <f>IFERROR(__xludf.DUMMYFUNCTION("""COMPUTED_VALUE"""),360.0)</f>
        <v>360</v>
      </c>
      <c r="E410">
        <f>IFERROR(__xludf.DUMMYFUNCTION("""COMPUTED_VALUE"""),1.05)</f>
        <v>1.05</v>
      </c>
      <c r="F410">
        <f>IFERROR(__xludf.DUMMYFUNCTION("""COMPUTED_VALUE"""),12.68)</f>
        <v>12.68</v>
      </c>
      <c r="G410">
        <f>IFERROR(__xludf.DUMMYFUNCTION("""COMPUTED_VALUE"""),72.83)</f>
        <v>72.83</v>
      </c>
    </row>
    <row r="411">
      <c r="A411">
        <f>IFERROR(__xludf.DUMMYFUNCTION("""COMPUTED_VALUE"""),168934.0)</f>
        <v>168934</v>
      </c>
      <c r="B411" t="str">
        <f>IFERROR(__xludf.DUMMYFUNCTION("""COMPUTED_VALUE"""),"Spaghetti Protein-Fortified Cooked Enriched (N X 6.25)")</f>
        <v>Spaghetti Protein-Fortified Cooked Enriched (N X 6.25)</v>
      </c>
      <c r="C411" t="str">
        <f>IFERROR(__xludf.DUMMYFUNCTION("""COMPUTED_VALUE"""),"Grains and Pasta")</f>
        <v>Grains and Pasta</v>
      </c>
      <c r="D411">
        <f>IFERROR(__xludf.DUMMYFUNCTION("""COMPUTED_VALUE"""),164.0)</f>
        <v>164</v>
      </c>
      <c r="E411">
        <f>IFERROR(__xludf.DUMMYFUNCTION("""COMPUTED_VALUE"""),0.21)</f>
        <v>0.21</v>
      </c>
      <c r="F411">
        <f>IFERROR(__xludf.DUMMYFUNCTION("""COMPUTED_VALUE"""),8.86)</f>
        <v>8.86</v>
      </c>
      <c r="G411">
        <f>IFERROR(__xludf.DUMMYFUNCTION("""COMPUTED_VALUE"""),30.88)</f>
        <v>30.88</v>
      </c>
    </row>
    <row r="412">
      <c r="A412">
        <f>IFERROR(__xludf.DUMMYFUNCTION("""COMPUTED_VALUE"""),168935.0)</f>
        <v>168935</v>
      </c>
      <c r="B412" t="str">
        <f>IFERROR(__xludf.DUMMYFUNCTION("""COMPUTED_VALUE"""),"Rice White Long-Grain Regular Cooked Unenriched With Salt")</f>
        <v>Rice White Long-Grain Regular Cooked Unenriched With Salt</v>
      </c>
      <c r="C412" t="str">
        <f>IFERROR(__xludf.DUMMYFUNCTION("""COMPUTED_VALUE"""),"Grains and Pasta")</f>
        <v>Grains and Pasta</v>
      </c>
      <c r="D412">
        <f>IFERROR(__xludf.DUMMYFUNCTION("""COMPUTED_VALUE"""),130.0)</f>
        <v>130</v>
      </c>
      <c r="E412">
        <f>IFERROR(__xludf.DUMMYFUNCTION("""COMPUTED_VALUE"""),0.28)</f>
        <v>0.28</v>
      </c>
      <c r="F412">
        <f>IFERROR(__xludf.DUMMYFUNCTION("""COMPUTED_VALUE"""),2.69)</f>
        <v>2.69</v>
      </c>
      <c r="G412">
        <f>IFERROR(__xludf.DUMMYFUNCTION("""COMPUTED_VALUE"""),28.17)</f>
        <v>28.17</v>
      </c>
    </row>
    <row r="413">
      <c r="A413">
        <f>IFERROR(__xludf.DUMMYFUNCTION("""COMPUTED_VALUE"""),168936.0)</f>
        <v>168936</v>
      </c>
      <c r="B413" t="str">
        <f>IFERROR(__xludf.DUMMYFUNCTION("""COMPUTED_VALUE"""),"Wheat Flour White All-Purpose Enriched Unbleached")</f>
        <v>Wheat Flour White All-Purpose Enriched Unbleached</v>
      </c>
      <c r="C413" t="str">
        <f>IFERROR(__xludf.DUMMYFUNCTION("""COMPUTED_VALUE"""),"Grains and Pasta")</f>
        <v>Grains and Pasta</v>
      </c>
      <c r="D413">
        <f>IFERROR(__xludf.DUMMYFUNCTION("""COMPUTED_VALUE"""),364.0)</f>
        <v>364</v>
      </c>
      <c r="E413">
        <f>IFERROR(__xludf.DUMMYFUNCTION("""COMPUTED_VALUE"""),0.98)</f>
        <v>0.98</v>
      </c>
      <c r="F413">
        <f>IFERROR(__xludf.DUMMYFUNCTION("""COMPUTED_VALUE"""),10.33)</f>
        <v>10.33</v>
      </c>
      <c r="G413">
        <f>IFERROR(__xludf.DUMMYFUNCTION("""COMPUTED_VALUE"""),76.31)</f>
        <v>76.31</v>
      </c>
    </row>
    <row r="414">
      <c r="A414">
        <f>IFERROR(__xludf.DUMMYFUNCTION("""COMPUTED_VALUE"""),168937.0)</f>
        <v>168937</v>
      </c>
      <c r="B414" t="str">
        <f>IFERROR(__xludf.DUMMYFUNCTION("""COMPUTED_VALUE"""),"Spaghetti Protein-Fortified Dry Enriched (N X 6.25)")</f>
        <v>Spaghetti Protein-Fortified Dry Enriched (N X 6.25)</v>
      </c>
      <c r="C414" t="str">
        <f>IFERROR(__xludf.DUMMYFUNCTION("""COMPUTED_VALUE"""),"Grains and Pasta")</f>
        <v>Grains and Pasta</v>
      </c>
      <c r="D414">
        <f>IFERROR(__xludf.DUMMYFUNCTION("""COMPUTED_VALUE"""),374.0)</f>
        <v>374</v>
      </c>
      <c r="E414">
        <f>IFERROR(__xludf.DUMMYFUNCTION("""COMPUTED_VALUE"""),2.23)</f>
        <v>2.23</v>
      </c>
      <c r="F414">
        <f>IFERROR(__xludf.DUMMYFUNCTION("""COMPUTED_VALUE"""),21.78)</f>
        <v>21.78</v>
      </c>
      <c r="G414">
        <f>IFERROR(__xludf.DUMMYFUNCTION("""COMPUTED_VALUE"""),65.65)</f>
        <v>65.65</v>
      </c>
    </row>
    <row r="415">
      <c r="A415">
        <f>IFERROR(__xludf.DUMMYFUNCTION("""COMPUTED_VALUE"""),168938.0)</f>
        <v>168938</v>
      </c>
      <c r="B415" t="str">
        <f>IFERROR(__xludf.DUMMYFUNCTION("""COMPUTED_VALUE"""),"Wheat Flour White (Industrial) 10% Protein Unbleached Enriched")</f>
        <v>Wheat Flour White (Industrial) 10% Protein Unbleached Enriched</v>
      </c>
      <c r="C415" t="str">
        <f>IFERROR(__xludf.DUMMYFUNCTION("""COMPUTED_VALUE"""),"Grains and Pasta")</f>
        <v>Grains and Pasta</v>
      </c>
      <c r="D415">
        <f>IFERROR(__xludf.DUMMYFUNCTION("""COMPUTED_VALUE"""),366.0)</f>
        <v>366</v>
      </c>
      <c r="E415">
        <f>IFERROR(__xludf.DUMMYFUNCTION("""COMPUTED_VALUE"""),1.48)</f>
        <v>1.48</v>
      </c>
      <c r="F415">
        <f>IFERROR(__xludf.DUMMYFUNCTION("""COMPUTED_VALUE"""),9.71)</f>
        <v>9.71</v>
      </c>
      <c r="G415">
        <f>IFERROR(__xludf.DUMMYFUNCTION("""COMPUTED_VALUE"""),76.22)</f>
        <v>76.22</v>
      </c>
    </row>
    <row r="416">
      <c r="A416">
        <f>IFERROR(__xludf.DUMMYFUNCTION("""COMPUTED_VALUE"""),168939.0)</f>
        <v>168939</v>
      </c>
      <c r="B416" t="str">
        <f>IFERROR(__xludf.DUMMYFUNCTION("""COMPUTED_VALUE"""),"Wheat Flour White (Industrial) 11.5% Protein Bleached Enriched")</f>
        <v>Wheat Flour White (Industrial) 11.5% Protein Bleached Enriched</v>
      </c>
      <c r="C416" t="str">
        <f>IFERROR(__xludf.DUMMYFUNCTION("""COMPUTED_VALUE"""),"Grains and Pasta")</f>
        <v>Grains and Pasta</v>
      </c>
      <c r="D416">
        <f>IFERROR(__xludf.DUMMYFUNCTION("""COMPUTED_VALUE"""),363.0)</f>
        <v>363</v>
      </c>
      <c r="E416">
        <f>IFERROR(__xludf.DUMMYFUNCTION("""COMPUTED_VALUE"""),1.45)</f>
        <v>1.45</v>
      </c>
      <c r="F416">
        <f>IFERROR(__xludf.DUMMYFUNCTION("""COMPUTED_VALUE"""),11.5)</f>
        <v>11.5</v>
      </c>
      <c r="G416">
        <f>IFERROR(__xludf.DUMMYFUNCTION("""COMPUTED_VALUE"""),73.81)</f>
        <v>73.81</v>
      </c>
    </row>
    <row r="417">
      <c r="A417">
        <f>IFERROR(__xludf.DUMMYFUNCTION("""COMPUTED_VALUE"""),168940.0)</f>
        <v>168940</v>
      </c>
      <c r="B417" t="str">
        <f>IFERROR(__xludf.DUMMYFUNCTION("""COMPUTED_VALUE"""),"Wheat Flour White (Industrial) 11.5% Protein Bleached Unenriched")</f>
        <v>Wheat Flour White (Industrial) 11.5% Protein Bleached Unenriched</v>
      </c>
      <c r="C417" t="str">
        <f>IFERROR(__xludf.DUMMYFUNCTION("""COMPUTED_VALUE"""),"Grains and Pasta")</f>
        <v>Grains and Pasta</v>
      </c>
      <c r="D417">
        <f>IFERROR(__xludf.DUMMYFUNCTION("""COMPUTED_VALUE"""),363.0)</f>
        <v>363</v>
      </c>
      <c r="E417">
        <f>IFERROR(__xludf.DUMMYFUNCTION("""COMPUTED_VALUE"""),1.45)</f>
        <v>1.45</v>
      </c>
      <c r="F417">
        <f>IFERROR(__xludf.DUMMYFUNCTION("""COMPUTED_VALUE"""),11.5)</f>
        <v>11.5</v>
      </c>
      <c r="G417">
        <f>IFERROR(__xludf.DUMMYFUNCTION("""COMPUTED_VALUE"""),73.81)</f>
        <v>73.81</v>
      </c>
    </row>
    <row r="418">
      <c r="A418">
        <f>IFERROR(__xludf.DUMMYFUNCTION("""COMPUTED_VALUE"""),168941.0)</f>
        <v>168941</v>
      </c>
      <c r="B418" t="str">
        <f>IFERROR(__xludf.DUMMYFUNCTION("""COMPUTED_VALUE"""),"Wheat Flour White (Industrial) 11.5% Protein Unbleached Enriched")</f>
        <v>Wheat Flour White (Industrial) 11.5% Protein Unbleached Enriched</v>
      </c>
      <c r="C418" t="str">
        <f>IFERROR(__xludf.DUMMYFUNCTION("""COMPUTED_VALUE"""),"Grains and Pasta")</f>
        <v>Grains and Pasta</v>
      </c>
      <c r="D418">
        <f>IFERROR(__xludf.DUMMYFUNCTION("""COMPUTED_VALUE"""),363.0)</f>
        <v>363</v>
      </c>
      <c r="E418">
        <f>IFERROR(__xludf.DUMMYFUNCTION("""COMPUTED_VALUE"""),1.45)</f>
        <v>1.45</v>
      </c>
      <c r="F418">
        <f>IFERROR(__xludf.DUMMYFUNCTION("""COMPUTED_VALUE"""),11.5)</f>
        <v>11.5</v>
      </c>
      <c r="G418">
        <f>IFERROR(__xludf.DUMMYFUNCTION("""COMPUTED_VALUE"""),73.81)</f>
        <v>73.81</v>
      </c>
    </row>
    <row r="419">
      <c r="A419">
        <f>IFERROR(__xludf.DUMMYFUNCTION("""COMPUTED_VALUE"""),168942.0)</f>
        <v>168942</v>
      </c>
      <c r="B419" t="str">
        <f>IFERROR(__xludf.DUMMYFUNCTION("""COMPUTED_VALUE"""),"Wheat Flour White (Industrial) 13% Protein Bleached Enriched")</f>
        <v>Wheat Flour White (Industrial) 13% Protein Bleached Enriched</v>
      </c>
      <c r="C419" t="str">
        <f>IFERROR(__xludf.DUMMYFUNCTION("""COMPUTED_VALUE"""),"Grains and Pasta")</f>
        <v>Grains and Pasta</v>
      </c>
      <c r="D419">
        <f>IFERROR(__xludf.DUMMYFUNCTION("""COMPUTED_VALUE"""),362.0)</f>
        <v>362</v>
      </c>
      <c r="E419">
        <f>IFERROR(__xludf.DUMMYFUNCTION("""COMPUTED_VALUE"""),1.38)</f>
        <v>1.38</v>
      </c>
      <c r="F419">
        <f>IFERROR(__xludf.DUMMYFUNCTION("""COMPUTED_VALUE"""),13.07)</f>
        <v>13.07</v>
      </c>
      <c r="G419">
        <f>IFERROR(__xludf.DUMMYFUNCTION("""COMPUTED_VALUE"""),72.2)</f>
        <v>72.2</v>
      </c>
    </row>
    <row r="420">
      <c r="A420">
        <f>IFERROR(__xludf.DUMMYFUNCTION("""COMPUTED_VALUE"""),168943.0)</f>
        <v>168943</v>
      </c>
      <c r="B420" t="str">
        <f>IFERROR(__xludf.DUMMYFUNCTION("""COMPUTED_VALUE"""),"Whole Grain Sorghum Flour")</f>
        <v>Whole Grain Sorghum Flour</v>
      </c>
      <c r="C420" t="str">
        <f>IFERROR(__xludf.DUMMYFUNCTION("""COMPUTED_VALUE"""),"Grains and Pasta")</f>
        <v>Grains and Pasta</v>
      </c>
      <c r="D420">
        <f>IFERROR(__xludf.DUMMYFUNCTION("""COMPUTED_VALUE"""),359.0)</f>
        <v>359</v>
      </c>
      <c r="E420">
        <f>IFERROR(__xludf.DUMMYFUNCTION("""COMPUTED_VALUE"""),3.34)</f>
        <v>3.34</v>
      </c>
      <c r="F420">
        <f>IFERROR(__xludf.DUMMYFUNCTION("""COMPUTED_VALUE"""),8.43)</f>
        <v>8.43</v>
      </c>
      <c r="G420">
        <f>IFERROR(__xludf.DUMMYFUNCTION("""COMPUTED_VALUE"""),76.64)</f>
        <v>76.64</v>
      </c>
    </row>
    <row r="421">
      <c r="A421">
        <f>IFERROR(__xludf.DUMMYFUNCTION("""COMPUTED_VALUE"""),168944.0)</f>
        <v>168944</v>
      </c>
      <c r="B421" t="str">
        <f>IFERROR(__xludf.DUMMYFUNCTION("""COMPUTED_VALUE"""),"Wheat Flour Whole-Grain Soft Wheat")</f>
        <v>Wheat Flour Whole-Grain Soft Wheat</v>
      </c>
      <c r="C421" t="str">
        <f>IFERROR(__xludf.DUMMYFUNCTION("""COMPUTED_VALUE"""),"Grains and Pasta")</f>
        <v>Grains and Pasta</v>
      </c>
      <c r="D421">
        <f>IFERROR(__xludf.DUMMYFUNCTION("""COMPUTED_VALUE"""),332.0)</f>
        <v>332</v>
      </c>
      <c r="E421">
        <f>IFERROR(__xludf.DUMMYFUNCTION("""COMPUTED_VALUE"""),1.95)</f>
        <v>1.95</v>
      </c>
      <c r="F421">
        <f>IFERROR(__xludf.DUMMYFUNCTION("""COMPUTED_VALUE"""),9.61)</f>
        <v>9.61</v>
      </c>
      <c r="G421">
        <f>IFERROR(__xludf.DUMMYFUNCTION("""COMPUTED_VALUE"""),74.48)</f>
        <v>74.48</v>
      </c>
    </row>
    <row r="422">
      <c r="A422">
        <f>IFERROR(__xludf.DUMMYFUNCTION("""COMPUTED_VALUE"""),168945.0)</f>
        <v>168945</v>
      </c>
      <c r="B422" t="str">
        <f>IFERROR(__xludf.DUMMYFUNCTION("""COMPUTED_VALUE"""),"Potatoes Yellow Fleshed Hash Brown Shredded Salt Added In Processing Frozen Unprepared")</f>
        <v>Potatoes Yellow Fleshed Hash Brown Shredded Salt Added In Processing Frozen Unprepared</v>
      </c>
      <c r="C422" t="str">
        <f>IFERROR(__xludf.DUMMYFUNCTION("""COMPUTED_VALUE"""),"Vegetables")</f>
        <v>Vegetables</v>
      </c>
      <c r="D422">
        <f>IFERROR(__xludf.DUMMYFUNCTION("""COMPUTED_VALUE"""),81.0)</f>
        <v>81</v>
      </c>
      <c r="E422">
        <f>IFERROR(__xludf.DUMMYFUNCTION("""COMPUTED_VALUE"""),0.07)</f>
        <v>0.07</v>
      </c>
      <c r="F422">
        <f>IFERROR(__xludf.DUMMYFUNCTION("""COMPUTED_VALUE"""),2.04)</f>
        <v>2.04</v>
      </c>
      <c r="G422">
        <f>IFERROR(__xludf.DUMMYFUNCTION("""COMPUTED_VALUE"""),17.98)</f>
        <v>17.98</v>
      </c>
    </row>
    <row r="423">
      <c r="A423">
        <f>IFERROR(__xludf.DUMMYFUNCTION("""COMPUTED_VALUE"""),168946.0)</f>
        <v>168946</v>
      </c>
      <c r="B423" t="str">
        <f>IFERROR(__xludf.DUMMYFUNCTION("""COMPUTED_VALUE"""),"Potatoes French Fried Wedge Cut Frozen Unprepared")</f>
        <v>Potatoes French Fried Wedge Cut Frozen Unprepared</v>
      </c>
      <c r="C423" t="str">
        <f>IFERROR(__xludf.DUMMYFUNCTION("""COMPUTED_VALUE"""),"Vegetables")</f>
        <v>Vegetables</v>
      </c>
      <c r="D423">
        <f>IFERROR(__xludf.DUMMYFUNCTION("""COMPUTED_VALUE"""),162.0)</f>
        <v>162</v>
      </c>
      <c r="E423">
        <f>IFERROR(__xludf.DUMMYFUNCTION("""COMPUTED_VALUE"""),7.47)</f>
        <v>7.47</v>
      </c>
      <c r="F423">
        <f>IFERROR(__xludf.DUMMYFUNCTION("""COMPUTED_VALUE"""),2.56)</f>
        <v>2.56</v>
      </c>
      <c r="G423">
        <f>IFERROR(__xludf.DUMMYFUNCTION("""COMPUTED_VALUE"""),22.22)</f>
        <v>22.22</v>
      </c>
    </row>
    <row r="424">
      <c r="A424">
        <f>IFERROR(__xludf.DUMMYFUNCTION("""COMPUTED_VALUE"""),168947.0)</f>
        <v>168947</v>
      </c>
      <c r="B424" t="str">
        <f>IFERROR(__xludf.DUMMYFUNCTION("""COMPUTED_VALUE"""),"Potatoes French Fried Steak Cut Salt Not Added In Processing Frozen Unprepared")</f>
        <v>Potatoes French Fried Steak Cut Salt Not Added In Processing Frozen Unprepared</v>
      </c>
      <c r="C424" t="str">
        <f>IFERROR(__xludf.DUMMYFUNCTION("""COMPUTED_VALUE"""),"Vegetables")</f>
        <v>Vegetables</v>
      </c>
      <c r="D424">
        <f>IFERROR(__xludf.DUMMYFUNCTION("""COMPUTED_VALUE"""),134.0)</f>
        <v>134</v>
      </c>
      <c r="E424">
        <f>IFERROR(__xludf.DUMMYFUNCTION("""COMPUTED_VALUE"""),3.42)</f>
        <v>3.42</v>
      </c>
      <c r="F424">
        <f>IFERROR(__xludf.DUMMYFUNCTION("""COMPUTED_VALUE"""),2.4)</f>
        <v>2.4</v>
      </c>
      <c r="G424">
        <f>IFERROR(__xludf.DUMMYFUNCTION("""COMPUTED_VALUE"""),24.31)</f>
        <v>24.31</v>
      </c>
    </row>
    <row r="425">
      <c r="A425">
        <f>IFERROR(__xludf.DUMMYFUNCTION("""COMPUTED_VALUE"""),168948.0)</f>
        <v>168948</v>
      </c>
      <c r="B425" t="str">
        <f>IFERROR(__xludf.DUMMYFUNCTION("""COMPUTED_VALUE"""),"Potatoes French Fried Cross Cut Frozen Unprepared")</f>
        <v>Potatoes French Fried Cross Cut Frozen Unprepared</v>
      </c>
      <c r="C425" t="str">
        <f>IFERROR(__xludf.DUMMYFUNCTION("""COMPUTED_VALUE"""),"Vegetables")</f>
        <v>Vegetables</v>
      </c>
      <c r="D425">
        <f>IFERROR(__xludf.DUMMYFUNCTION("""COMPUTED_VALUE"""),187.0)</f>
        <v>187</v>
      </c>
      <c r="E425">
        <f>IFERROR(__xludf.DUMMYFUNCTION("""COMPUTED_VALUE"""),10.0)</f>
        <v>10</v>
      </c>
      <c r="F425">
        <f>IFERROR(__xludf.DUMMYFUNCTION("""COMPUTED_VALUE"""),2.7)</f>
        <v>2.7</v>
      </c>
      <c r="G425">
        <f>IFERROR(__xludf.DUMMYFUNCTION("""COMPUTED_VALUE"""),22.95)</f>
        <v>22.95</v>
      </c>
    </row>
    <row r="426">
      <c r="A426">
        <f>IFERROR(__xludf.DUMMYFUNCTION("""COMPUTED_VALUE"""),169065.0)</f>
        <v>169065</v>
      </c>
      <c r="B426" t="str">
        <f>IFERROR(__xludf.DUMMYFUNCTION("""COMPUTED_VALUE"""),"Beans Chili Barbecue Ranch Style Cooked")</f>
        <v>Beans Chili Barbecue Ranch Style Cooked</v>
      </c>
      <c r="C426" t="str">
        <f>IFERROR(__xludf.DUMMYFUNCTION("""COMPUTED_VALUE"""),"Beans and Lentils")</f>
        <v>Beans and Lentils</v>
      </c>
      <c r="D426">
        <f>IFERROR(__xludf.DUMMYFUNCTION("""COMPUTED_VALUE"""),97.0)</f>
        <v>97</v>
      </c>
      <c r="E426">
        <f>IFERROR(__xludf.DUMMYFUNCTION("""COMPUTED_VALUE"""),1.0)</f>
        <v>1</v>
      </c>
      <c r="F426">
        <f>IFERROR(__xludf.DUMMYFUNCTION("""COMPUTED_VALUE"""),5.0)</f>
        <v>5</v>
      </c>
      <c r="G426">
        <f>IFERROR(__xludf.DUMMYFUNCTION("""COMPUTED_VALUE"""),16.9)</f>
        <v>16.9</v>
      </c>
    </row>
    <row r="427">
      <c r="A427">
        <f>IFERROR(__xludf.DUMMYFUNCTION("""COMPUTED_VALUE"""),169066.0)</f>
        <v>169066</v>
      </c>
      <c r="B427" t="str">
        <f>IFERROR(__xludf.DUMMYFUNCTION("""COMPUTED_VALUE"""),"Luncheon Slices Meatless")</f>
        <v>Luncheon Slices Meatless</v>
      </c>
      <c r="C427" t="str">
        <f>IFERROR(__xludf.DUMMYFUNCTION("""COMPUTED_VALUE"""),"Beans and Lentils")</f>
        <v>Beans and Lentils</v>
      </c>
      <c r="D427">
        <f>IFERROR(__xludf.DUMMYFUNCTION("""COMPUTED_VALUE"""),189.0)</f>
        <v>189</v>
      </c>
      <c r="E427">
        <f>IFERROR(__xludf.DUMMYFUNCTION("""COMPUTED_VALUE"""),11.11)</f>
        <v>11.11</v>
      </c>
      <c r="F427">
        <f>IFERROR(__xludf.DUMMYFUNCTION("""COMPUTED_VALUE"""),17.78)</f>
        <v>17.78</v>
      </c>
      <c r="G427">
        <f>IFERROR(__xludf.DUMMYFUNCTION("""COMPUTED_VALUE"""),4.44)</f>
        <v>4.44</v>
      </c>
    </row>
    <row r="428">
      <c r="A428">
        <f>IFERROR(__xludf.DUMMYFUNCTION("""COMPUTED_VALUE"""),169067.0)</f>
        <v>169067</v>
      </c>
      <c r="B428" t="str">
        <f>IFERROR(__xludf.DUMMYFUNCTION("""COMPUTED_VALUE"""),"Meatballs Meatless")</f>
        <v>Meatballs Meatless</v>
      </c>
      <c r="C428" t="str">
        <f>IFERROR(__xludf.DUMMYFUNCTION("""COMPUTED_VALUE"""),"Beans and Lentils")</f>
        <v>Beans and Lentils</v>
      </c>
      <c r="D428">
        <f>IFERROR(__xludf.DUMMYFUNCTION("""COMPUTED_VALUE"""),197.0)</f>
        <v>197</v>
      </c>
      <c r="E428">
        <f>IFERROR(__xludf.DUMMYFUNCTION("""COMPUTED_VALUE"""),9.0)</f>
        <v>9</v>
      </c>
      <c r="F428">
        <f>IFERROR(__xludf.DUMMYFUNCTION("""COMPUTED_VALUE"""),21.0)</f>
        <v>21</v>
      </c>
      <c r="G428">
        <f>IFERROR(__xludf.DUMMYFUNCTION("""COMPUTED_VALUE"""),8.0)</f>
        <v>8</v>
      </c>
    </row>
    <row r="429">
      <c r="A429">
        <f>IFERROR(__xludf.DUMMYFUNCTION("""COMPUTED_VALUE"""),169068.0)</f>
        <v>169068</v>
      </c>
      <c r="B429" t="str">
        <f>IFERROR(__xludf.DUMMYFUNCTION("""COMPUTED_VALUE"""),"Vegetarian Fillets")</f>
        <v>Vegetarian Fillets</v>
      </c>
      <c r="C429" t="str">
        <f>IFERROR(__xludf.DUMMYFUNCTION("""COMPUTED_VALUE"""),"Beans and Lentils")</f>
        <v>Beans and Lentils</v>
      </c>
      <c r="D429">
        <f>IFERROR(__xludf.DUMMYFUNCTION("""COMPUTED_VALUE"""),290.0)</f>
        <v>290</v>
      </c>
      <c r="E429">
        <f>IFERROR(__xludf.DUMMYFUNCTION("""COMPUTED_VALUE"""),18.0)</f>
        <v>18</v>
      </c>
      <c r="F429">
        <f>IFERROR(__xludf.DUMMYFUNCTION("""COMPUTED_VALUE"""),23.0)</f>
        <v>23</v>
      </c>
      <c r="G429">
        <f>IFERROR(__xludf.DUMMYFUNCTION("""COMPUTED_VALUE"""),9.0)</f>
        <v>9</v>
      </c>
    </row>
    <row r="430">
      <c r="A430">
        <f>IFERROR(__xludf.DUMMYFUNCTION("""COMPUTED_VALUE"""),169069.0)</f>
        <v>169069</v>
      </c>
      <c r="B430" t="str">
        <f>IFERROR(__xludf.DUMMYFUNCTION("""COMPUTED_VALUE"""),"Sandwich Spread Meatless")</f>
        <v>Sandwich Spread Meatless</v>
      </c>
      <c r="C430" t="str">
        <f>IFERROR(__xludf.DUMMYFUNCTION("""COMPUTED_VALUE"""),"Beans and Lentils")</f>
        <v>Beans and Lentils</v>
      </c>
      <c r="D430">
        <f>IFERROR(__xludf.DUMMYFUNCTION("""COMPUTED_VALUE"""),149.0)</f>
        <v>149</v>
      </c>
      <c r="E430">
        <f>IFERROR(__xludf.DUMMYFUNCTION("""COMPUTED_VALUE"""),9.0)</f>
        <v>9</v>
      </c>
      <c r="F430">
        <f>IFERROR(__xludf.DUMMYFUNCTION("""COMPUTED_VALUE"""),8.0)</f>
        <v>8</v>
      </c>
      <c r="G430">
        <f>IFERROR(__xludf.DUMMYFUNCTION("""COMPUTED_VALUE"""),9.0)</f>
        <v>9</v>
      </c>
    </row>
    <row r="431">
      <c r="A431">
        <f>IFERROR(__xludf.DUMMYFUNCTION("""COMPUTED_VALUE"""),169074.0)</f>
        <v>169074</v>
      </c>
      <c r="B431" t="str">
        <f>IFERROR(__xludf.DUMMYFUNCTION("""COMPUTED_VALUE"""),"Tomato Sauce Canned No Salt Added")</f>
        <v>Tomato Sauce Canned No Salt Added</v>
      </c>
      <c r="C431" t="str">
        <f>IFERROR(__xludf.DUMMYFUNCTION("""COMPUTED_VALUE"""),"Vegetables")</f>
        <v>Vegetables</v>
      </c>
      <c r="D431">
        <f>IFERROR(__xludf.DUMMYFUNCTION("""COMPUTED_VALUE"""),24.0)</f>
        <v>24</v>
      </c>
      <c r="E431">
        <f>IFERROR(__xludf.DUMMYFUNCTION("""COMPUTED_VALUE"""),0.3)</f>
        <v>0.3</v>
      </c>
      <c r="F431">
        <f>IFERROR(__xludf.DUMMYFUNCTION("""COMPUTED_VALUE"""),1.2)</f>
        <v>1.2</v>
      </c>
      <c r="G431">
        <f>IFERROR(__xludf.DUMMYFUNCTION("""COMPUTED_VALUE"""),5.31)</f>
        <v>5.31</v>
      </c>
    </row>
    <row r="432">
      <c r="A432">
        <f>IFERROR(__xludf.DUMMYFUNCTION("""COMPUTED_VALUE"""),169083.0)</f>
        <v>169083</v>
      </c>
      <c r="B432" t="str">
        <f>IFERROR(__xludf.DUMMYFUNCTION("""COMPUTED_VALUE"""),"Soybean Curd Cheese")</f>
        <v>Soybean Curd Cheese</v>
      </c>
      <c r="C432" t="str">
        <f>IFERROR(__xludf.DUMMYFUNCTION("""COMPUTED_VALUE"""),"Beans and Lentils")</f>
        <v>Beans and Lentils</v>
      </c>
      <c r="D432">
        <f>IFERROR(__xludf.DUMMYFUNCTION("""COMPUTED_VALUE"""),151.0)</f>
        <v>151</v>
      </c>
      <c r="E432">
        <f>IFERROR(__xludf.DUMMYFUNCTION("""COMPUTED_VALUE"""),8.1)</f>
        <v>8.1</v>
      </c>
      <c r="F432">
        <f>IFERROR(__xludf.DUMMYFUNCTION("""COMPUTED_VALUE"""),12.5)</f>
        <v>12.5</v>
      </c>
      <c r="G432">
        <f>IFERROR(__xludf.DUMMYFUNCTION("""COMPUTED_VALUE"""),6.9)</f>
        <v>6.9</v>
      </c>
    </row>
    <row r="433">
      <c r="A433">
        <f>IFERROR(__xludf.DUMMYFUNCTION("""COMPUTED_VALUE"""),169084.0)</f>
        <v>169084</v>
      </c>
      <c r="B433" t="str">
        <f>IFERROR(__xludf.DUMMYFUNCTION("""COMPUTED_VALUE"""),"Potatoes Canned Drained Solids No Salt Added")</f>
        <v>Potatoes Canned Drained Solids No Salt Added</v>
      </c>
      <c r="C433" t="str">
        <f>IFERROR(__xludf.DUMMYFUNCTION("""COMPUTED_VALUE"""),"Vegetables")</f>
        <v>Vegetables</v>
      </c>
      <c r="D433">
        <f>IFERROR(__xludf.DUMMYFUNCTION("""COMPUTED_VALUE"""),60.0)</f>
        <v>60</v>
      </c>
      <c r="E433">
        <f>IFERROR(__xludf.DUMMYFUNCTION("""COMPUTED_VALUE"""),0.2)</f>
        <v>0.2</v>
      </c>
      <c r="F433">
        <f>IFERROR(__xludf.DUMMYFUNCTION("""COMPUTED_VALUE"""),1.4)</f>
        <v>1.4</v>
      </c>
      <c r="G433">
        <f>IFERROR(__xludf.DUMMYFUNCTION("""COMPUTED_VALUE"""),13.6)</f>
        <v>13.6</v>
      </c>
    </row>
    <row r="434">
      <c r="A434">
        <f>IFERROR(__xludf.DUMMYFUNCTION("""COMPUTED_VALUE"""),169085.0)</f>
        <v>169085</v>
      </c>
      <c r="B434" t="str">
        <f>IFERROR(__xludf.DUMMYFUNCTION("""COMPUTED_VALUE"""),"Vegetables Mixed (Corn Lima Beans Peas Green Beans Carrots) Canned No Salt Added")</f>
        <v>Vegetables Mixed (Corn Lima Beans Peas Green Beans Carrots) Canned No Salt Added</v>
      </c>
      <c r="C434" t="str">
        <f>IFERROR(__xludf.DUMMYFUNCTION("""COMPUTED_VALUE"""),"Vegetables")</f>
        <v>Vegetables</v>
      </c>
      <c r="D434">
        <f>IFERROR(__xludf.DUMMYFUNCTION("""COMPUTED_VALUE"""),37.0)</f>
        <v>37</v>
      </c>
      <c r="E434">
        <f>IFERROR(__xludf.DUMMYFUNCTION("""COMPUTED_VALUE"""),0.2)</f>
        <v>0.2</v>
      </c>
      <c r="F434">
        <f>IFERROR(__xludf.DUMMYFUNCTION("""COMPUTED_VALUE"""),1.4)</f>
        <v>1.4</v>
      </c>
      <c r="G434">
        <f>IFERROR(__xludf.DUMMYFUNCTION("""COMPUTED_VALUE"""),7.31)</f>
        <v>7.31</v>
      </c>
    </row>
    <row r="435">
      <c r="A435">
        <f>IFERROR(__xludf.DUMMYFUNCTION("""COMPUTED_VALUE"""),169086.0)</f>
        <v>169086</v>
      </c>
      <c r="B435" t="str">
        <f>IFERROR(__xludf.DUMMYFUNCTION("""COMPUTED_VALUE"""),"Litchis")</f>
        <v>Litchis</v>
      </c>
      <c r="C435" t="str">
        <f>IFERROR(__xludf.DUMMYFUNCTION("""COMPUTED_VALUE"""),"Fruits")</f>
        <v>Fruits</v>
      </c>
      <c r="D435">
        <f>IFERROR(__xludf.DUMMYFUNCTION("""COMPUTED_VALUE"""),66.0)</f>
        <v>66</v>
      </c>
      <c r="E435">
        <f>IFERROR(__xludf.DUMMYFUNCTION("""COMPUTED_VALUE"""),0.44)</f>
        <v>0.44</v>
      </c>
      <c r="F435">
        <f>IFERROR(__xludf.DUMMYFUNCTION("""COMPUTED_VALUE"""),0.83)</f>
        <v>0.83</v>
      </c>
      <c r="G435">
        <f>IFERROR(__xludf.DUMMYFUNCTION("""COMPUTED_VALUE"""),16.53)</f>
        <v>16.53</v>
      </c>
    </row>
    <row r="436">
      <c r="A436">
        <f>IFERROR(__xludf.DUMMYFUNCTION("""COMPUTED_VALUE"""),169087.0)</f>
        <v>169087</v>
      </c>
      <c r="B436" t="str">
        <f>IFERROR(__xludf.DUMMYFUNCTION("""COMPUTED_VALUE"""),"Dried Litchis")</f>
        <v>Dried Litchis</v>
      </c>
      <c r="C436" t="str">
        <f>IFERROR(__xludf.DUMMYFUNCTION("""COMPUTED_VALUE"""),"Fruits")</f>
        <v>Fruits</v>
      </c>
      <c r="D436">
        <f>IFERROR(__xludf.DUMMYFUNCTION("""COMPUTED_VALUE"""),277.0)</f>
        <v>277</v>
      </c>
      <c r="E436">
        <f>IFERROR(__xludf.DUMMYFUNCTION("""COMPUTED_VALUE"""),1.2)</f>
        <v>1.2</v>
      </c>
      <c r="F436">
        <f>IFERROR(__xludf.DUMMYFUNCTION("""COMPUTED_VALUE"""),3.8)</f>
        <v>3.8</v>
      </c>
      <c r="G436">
        <f>IFERROR(__xludf.DUMMYFUNCTION("""COMPUTED_VALUE"""),70.7)</f>
        <v>70.7</v>
      </c>
    </row>
    <row r="437">
      <c r="A437">
        <f>IFERROR(__xludf.DUMMYFUNCTION("""COMPUTED_VALUE"""),169088.0)</f>
        <v>169088</v>
      </c>
      <c r="B437" t="str">
        <f>IFERROR(__xludf.DUMMYFUNCTION("""COMPUTED_VALUE"""),"Loganberries (Frozen)")</f>
        <v>Loganberries (Frozen)</v>
      </c>
      <c r="C437" t="str">
        <f>IFERROR(__xludf.DUMMYFUNCTION("""COMPUTED_VALUE"""),"Fruits")</f>
        <v>Fruits</v>
      </c>
      <c r="D437">
        <f>IFERROR(__xludf.DUMMYFUNCTION("""COMPUTED_VALUE"""),55.0)</f>
        <v>55</v>
      </c>
      <c r="E437">
        <f>IFERROR(__xludf.DUMMYFUNCTION("""COMPUTED_VALUE"""),0.31)</f>
        <v>0.31</v>
      </c>
      <c r="F437">
        <f>IFERROR(__xludf.DUMMYFUNCTION("""COMPUTED_VALUE"""),1.52)</f>
        <v>1.52</v>
      </c>
      <c r="G437">
        <f>IFERROR(__xludf.DUMMYFUNCTION("""COMPUTED_VALUE"""),13.02)</f>
        <v>13.02</v>
      </c>
    </row>
    <row r="438">
      <c r="A438">
        <f>IFERROR(__xludf.DUMMYFUNCTION("""COMPUTED_VALUE"""),169089.0)</f>
        <v>169089</v>
      </c>
      <c r="B438" t="str">
        <f>IFERROR(__xludf.DUMMYFUNCTION("""COMPUTED_VALUE"""),"Longans")</f>
        <v>Longans</v>
      </c>
      <c r="C438" t="str">
        <f>IFERROR(__xludf.DUMMYFUNCTION("""COMPUTED_VALUE"""),"Fruits")</f>
        <v>Fruits</v>
      </c>
      <c r="D438">
        <f>IFERROR(__xludf.DUMMYFUNCTION("""COMPUTED_VALUE"""),60.0)</f>
        <v>60</v>
      </c>
      <c r="E438">
        <f>IFERROR(__xludf.DUMMYFUNCTION("""COMPUTED_VALUE"""),0.1)</f>
        <v>0.1</v>
      </c>
      <c r="F438">
        <f>IFERROR(__xludf.DUMMYFUNCTION("""COMPUTED_VALUE"""),1.31)</f>
        <v>1.31</v>
      </c>
      <c r="G438">
        <f>IFERROR(__xludf.DUMMYFUNCTION("""COMPUTED_VALUE"""),15.14)</f>
        <v>15.14</v>
      </c>
    </row>
    <row r="439">
      <c r="A439">
        <f>IFERROR(__xludf.DUMMYFUNCTION("""COMPUTED_VALUE"""),169090.0)</f>
        <v>169090</v>
      </c>
      <c r="B439" t="str">
        <f>IFERROR(__xludf.DUMMYFUNCTION("""COMPUTED_VALUE"""),"Mangosteen Canned Syrup Pack")</f>
        <v>Mangosteen Canned Syrup Pack</v>
      </c>
      <c r="C439" t="str">
        <f>IFERROR(__xludf.DUMMYFUNCTION("""COMPUTED_VALUE"""),"Fruits")</f>
        <v>Fruits</v>
      </c>
      <c r="D439">
        <f>IFERROR(__xludf.DUMMYFUNCTION("""COMPUTED_VALUE"""),73.0)</f>
        <v>73</v>
      </c>
      <c r="E439">
        <f>IFERROR(__xludf.DUMMYFUNCTION("""COMPUTED_VALUE"""),0.58)</f>
        <v>0.58</v>
      </c>
      <c r="F439">
        <f>IFERROR(__xludf.DUMMYFUNCTION("""COMPUTED_VALUE"""),0.41)</f>
        <v>0.41</v>
      </c>
      <c r="G439">
        <f>IFERROR(__xludf.DUMMYFUNCTION("""COMPUTED_VALUE"""),17.91)</f>
        <v>17.91</v>
      </c>
    </row>
    <row r="440">
      <c r="A440">
        <f>IFERROR(__xludf.DUMMYFUNCTION("""COMPUTED_VALUE"""),169091.0)</f>
        <v>169091</v>
      </c>
      <c r="B440" t="str">
        <f>IFERROR(__xludf.DUMMYFUNCTION("""COMPUTED_VALUE"""),"Dried Sweetened Mango")</f>
        <v>Dried Sweetened Mango</v>
      </c>
      <c r="C440" t="str">
        <f>IFERROR(__xludf.DUMMYFUNCTION("""COMPUTED_VALUE"""),"Fruits")</f>
        <v>Fruits</v>
      </c>
      <c r="D440">
        <f>IFERROR(__xludf.DUMMYFUNCTION("""COMPUTED_VALUE"""),319.0)</f>
        <v>319</v>
      </c>
      <c r="E440">
        <f>IFERROR(__xludf.DUMMYFUNCTION("""COMPUTED_VALUE"""),1.18)</f>
        <v>1.18</v>
      </c>
      <c r="F440">
        <f>IFERROR(__xludf.DUMMYFUNCTION("""COMPUTED_VALUE"""),2.45)</f>
        <v>2.45</v>
      </c>
      <c r="G440">
        <f>IFERROR(__xludf.DUMMYFUNCTION("""COMPUTED_VALUE"""),78.58)</f>
        <v>78.58</v>
      </c>
    </row>
    <row r="441">
      <c r="A441">
        <f>IFERROR(__xludf.DUMMYFUNCTION("""COMPUTED_VALUE"""),169092.0)</f>
        <v>169092</v>
      </c>
      <c r="B441" t="str">
        <f>IFERROR(__xludf.DUMMYFUNCTION("""COMPUTED_VALUE"""),"Cantaloupe Melons")</f>
        <v>Cantaloupe Melons</v>
      </c>
      <c r="C441" t="str">
        <f>IFERROR(__xludf.DUMMYFUNCTION("""COMPUTED_VALUE"""),"Fruits")</f>
        <v>Fruits</v>
      </c>
      <c r="D441">
        <f>IFERROR(__xludf.DUMMYFUNCTION("""COMPUTED_VALUE"""),34.0)</f>
        <v>34</v>
      </c>
      <c r="E441">
        <f>IFERROR(__xludf.DUMMYFUNCTION("""COMPUTED_VALUE"""),0.19)</f>
        <v>0.19</v>
      </c>
      <c r="F441">
        <f>IFERROR(__xludf.DUMMYFUNCTION("""COMPUTED_VALUE"""),0.84)</f>
        <v>0.84</v>
      </c>
      <c r="G441">
        <f>IFERROR(__xludf.DUMMYFUNCTION("""COMPUTED_VALUE"""),8.16)</f>
        <v>8.16</v>
      </c>
    </row>
    <row r="442">
      <c r="A442">
        <f>IFERROR(__xludf.DUMMYFUNCTION("""COMPUTED_VALUE"""),169093.0)</f>
        <v>169093</v>
      </c>
      <c r="B442" t="str">
        <f>IFERROR(__xludf.DUMMYFUNCTION("""COMPUTED_VALUE"""),"Casaba Melon")</f>
        <v>Casaba Melon</v>
      </c>
      <c r="C442" t="str">
        <f>IFERROR(__xludf.DUMMYFUNCTION("""COMPUTED_VALUE"""),"Fruits")</f>
        <v>Fruits</v>
      </c>
      <c r="D442">
        <f>IFERROR(__xludf.DUMMYFUNCTION("""COMPUTED_VALUE"""),28.0)</f>
        <v>28</v>
      </c>
      <c r="E442">
        <f>IFERROR(__xludf.DUMMYFUNCTION("""COMPUTED_VALUE"""),0.1)</f>
        <v>0.1</v>
      </c>
      <c r="F442">
        <f>IFERROR(__xludf.DUMMYFUNCTION("""COMPUTED_VALUE"""),1.11)</f>
        <v>1.11</v>
      </c>
      <c r="G442">
        <f>IFERROR(__xludf.DUMMYFUNCTION("""COMPUTED_VALUE"""),6.58)</f>
        <v>6.58</v>
      </c>
    </row>
    <row r="443">
      <c r="A443">
        <f>IFERROR(__xludf.DUMMYFUNCTION("""COMPUTED_VALUE"""),169094.0)</f>
        <v>169094</v>
      </c>
      <c r="B443" t="str">
        <f>IFERROR(__xludf.DUMMYFUNCTION("""COMPUTED_VALUE"""),"Olives")</f>
        <v>Olives</v>
      </c>
      <c r="C443" t="str">
        <f>IFERROR(__xludf.DUMMYFUNCTION("""COMPUTED_VALUE"""),"Fruits")</f>
        <v>Fruits</v>
      </c>
      <c r="D443">
        <f>IFERROR(__xludf.DUMMYFUNCTION("""COMPUTED_VALUE"""),116.0)</f>
        <v>116</v>
      </c>
      <c r="E443">
        <f>IFERROR(__xludf.DUMMYFUNCTION("""COMPUTED_VALUE"""),10.9)</f>
        <v>10.9</v>
      </c>
      <c r="F443">
        <f>IFERROR(__xludf.DUMMYFUNCTION("""COMPUTED_VALUE"""),0.84)</f>
        <v>0.84</v>
      </c>
      <c r="G443">
        <f>IFERROR(__xludf.DUMMYFUNCTION("""COMPUTED_VALUE"""),6.04)</f>
        <v>6.04</v>
      </c>
    </row>
    <row r="444">
      <c r="A444">
        <f>IFERROR(__xludf.DUMMYFUNCTION("""COMPUTED_VALUE"""),169095.0)</f>
        <v>169095</v>
      </c>
      <c r="B444" t="str">
        <f>IFERROR(__xludf.DUMMYFUNCTION("""COMPUTED_VALUE"""),"Jumbo Olives")</f>
        <v>Jumbo Olives</v>
      </c>
      <c r="C444" t="str">
        <f>IFERROR(__xludf.DUMMYFUNCTION("""COMPUTED_VALUE"""),"Fruits")</f>
        <v>Fruits</v>
      </c>
      <c r="D444">
        <f>IFERROR(__xludf.DUMMYFUNCTION("""COMPUTED_VALUE"""),81.0)</f>
        <v>81</v>
      </c>
      <c r="E444">
        <f>IFERROR(__xludf.DUMMYFUNCTION("""COMPUTED_VALUE"""),6.87)</f>
        <v>6.87</v>
      </c>
      <c r="F444">
        <f>IFERROR(__xludf.DUMMYFUNCTION("""COMPUTED_VALUE"""),0.97)</f>
        <v>0.97</v>
      </c>
      <c r="G444">
        <f>IFERROR(__xludf.DUMMYFUNCTION("""COMPUTED_VALUE"""),5.61)</f>
        <v>5.61</v>
      </c>
    </row>
    <row r="445">
      <c r="A445">
        <f>IFERROR(__xludf.DUMMYFUNCTION("""COMPUTED_VALUE"""),169096.0)</f>
        <v>169096</v>
      </c>
      <c r="B445" t="str">
        <f>IFERROR(__xludf.DUMMYFUNCTION("""COMPUTED_VALUE"""),"Green Olives")</f>
        <v>Green Olives</v>
      </c>
      <c r="C445" t="str">
        <f>IFERROR(__xludf.DUMMYFUNCTION("""COMPUTED_VALUE"""),"Fruits")</f>
        <v>Fruits</v>
      </c>
      <c r="D445">
        <f>IFERROR(__xludf.DUMMYFUNCTION("""COMPUTED_VALUE"""),145.0)</f>
        <v>145</v>
      </c>
      <c r="E445">
        <f>IFERROR(__xludf.DUMMYFUNCTION("""COMPUTED_VALUE"""),15.32)</f>
        <v>15.32</v>
      </c>
      <c r="F445">
        <f>IFERROR(__xludf.DUMMYFUNCTION("""COMPUTED_VALUE"""),1.03)</f>
        <v>1.03</v>
      </c>
      <c r="G445">
        <f>IFERROR(__xludf.DUMMYFUNCTION("""COMPUTED_VALUE"""),3.84)</f>
        <v>3.84</v>
      </c>
    </row>
    <row r="446">
      <c r="A446">
        <f>IFERROR(__xludf.DUMMYFUNCTION("""COMPUTED_VALUE"""),169097.0)</f>
        <v>169097</v>
      </c>
      <c r="B446" t="str">
        <f>IFERROR(__xludf.DUMMYFUNCTION("""COMPUTED_VALUE"""),"Oranges")</f>
        <v>Oranges</v>
      </c>
      <c r="C446" t="str">
        <f>IFERROR(__xludf.DUMMYFUNCTION("""COMPUTED_VALUE"""),"Fruits")</f>
        <v>Fruits</v>
      </c>
      <c r="D446">
        <f>IFERROR(__xludf.DUMMYFUNCTION("""COMPUTED_VALUE"""),47.0)</f>
        <v>47</v>
      </c>
      <c r="E446">
        <f>IFERROR(__xludf.DUMMYFUNCTION("""COMPUTED_VALUE"""),0.12)</f>
        <v>0.12</v>
      </c>
      <c r="F446">
        <f>IFERROR(__xludf.DUMMYFUNCTION("""COMPUTED_VALUE"""),0.94)</f>
        <v>0.94</v>
      </c>
      <c r="G446">
        <f>IFERROR(__xludf.DUMMYFUNCTION("""COMPUTED_VALUE"""),11.75)</f>
        <v>11.75</v>
      </c>
    </row>
    <row r="447">
      <c r="A447">
        <f>IFERROR(__xludf.DUMMYFUNCTION("""COMPUTED_VALUE"""),169098.0)</f>
        <v>169098</v>
      </c>
      <c r="B447" t="str">
        <f>IFERROR(__xludf.DUMMYFUNCTION("""COMPUTED_VALUE"""),"Orange Juice")</f>
        <v>Orange Juice</v>
      </c>
      <c r="C447" t="str">
        <f>IFERROR(__xludf.DUMMYFUNCTION("""COMPUTED_VALUE"""),"Fruits")</f>
        <v>Fruits</v>
      </c>
      <c r="D447">
        <f>IFERROR(__xludf.DUMMYFUNCTION("""COMPUTED_VALUE"""),45.0)</f>
        <v>45</v>
      </c>
      <c r="E447">
        <f>IFERROR(__xludf.DUMMYFUNCTION("""COMPUTED_VALUE"""),0.2)</f>
        <v>0.2</v>
      </c>
      <c r="F447">
        <f>IFERROR(__xludf.DUMMYFUNCTION("""COMPUTED_VALUE"""),0.7)</f>
        <v>0.7</v>
      </c>
      <c r="G447">
        <f>IFERROR(__xludf.DUMMYFUNCTION("""COMPUTED_VALUE"""),10.4)</f>
        <v>10.4</v>
      </c>
    </row>
    <row r="448">
      <c r="A448">
        <f>IFERROR(__xludf.DUMMYFUNCTION("""COMPUTED_VALUE"""),169099.0)</f>
        <v>169099</v>
      </c>
      <c r="B448" t="str">
        <f>IFERROR(__xludf.DUMMYFUNCTION("""COMPUTED_VALUE"""),"Canned Orange Juice")</f>
        <v>Canned Orange Juice</v>
      </c>
      <c r="C448" t="str">
        <f>IFERROR(__xludf.DUMMYFUNCTION("""COMPUTED_VALUE"""),"Fruits")</f>
        <v>Fruits</v>
      </c>
      <c r="D448">
        <f>IFERROR(__xludf.DUMMYFUNCTION("""COMPUTED_VALUE"""),47.0)</f>
        <v>47</v>
      </c>
      <c r="E448">
        <f>IFERROR(__xludf.DUMMYFUNCTION("""COMPUTED_VALUE"""),0.15)</f>
        <v>0.15</v>
      </c>
      <c r="F448">
        <f>IFERROR(__xludf.DUMMYFUNCTION("""COMPUTED_VALUE"""),0.68)</f>
        <v>0.68</v>
      </c>
      <c r="G448">
        <f>IFERROR(__xludf.DUMMYFUNCTION("""COMPUTED_VALUE"""),11.01)</f>
        <v>11.01</v>
      </c>
    </row>
    <row r="449">
      <c r="A449">
        <f>IFERROR(__xludf.DUMMYFUNCTION("""COMPUTED_VALUE"""),169100.0)</f>
        <v>169100</v>
      </c>
      <c r="B449" t="str">
        <f>IFERROR(__xludf.DUMMYFUNCTION("""COMPUTED_VALUE"""),"Orange Juice From Concentrate")</f>
        <v>Orange Juice From Concentrate</v>
      </c>
      <c r="C449" t="str">
        <f>IFERROR(__xludf.DUMMYFUNCTION("""COMPUTED_VALUE"""),"Fruits")</f>
        <v>Fruits</v>
      </c>
      <c r="D449">
        <f>IFERROR(__xludf.DUMMYFUNCTION("""COMPUTED_VALUE"""),49.0)</f>
        <v>49</v>
      </c>
      <c r="E449">
        <f>IFERROR(__xludf.DUMMYFUNCTION("""COMPUTED_VALUE"""),0.12)</f>
        <v>0.12</v>
      </c>
      <c r="F449">
        <f>IFERROR(__xludf.DUMMYFUNCTION("""COMPUTED_VALUE"""),0.68)</f>
        <v>0.68</v>
      </c>
      <c r="G449">
        <f>IFERROR(__xludf.DUMMYFUNCTION("""COMPUTED_VALUE"""),11.54)</f>
        <v>11.54</v>
      </c>
    </row>
    <row r="450">
      <c r="A450">
        <f>IFERROR(__xludf.DUMMYFUNCTION("""COMPUTED_VALUE"""),169101.0)</f>
        <v>169101</v>
      </c>
      <c r="B450" t="str">
        <f>IFERROR(__xludf.DUMMYFUNCTION("""COMPUTED_VALUE"""),"Orange Juice With Added Calcium And Vitamin D")</f>
        <v>Orange Juice With Added Calcium And Vitamin D</v>
      </c>
      <c r="C450" t="str">
        <f>IFERROR(__xludf.DUMMYFUNCTION("""COMPUTED_VALUE"""),"Fruits")</f>
        <v>Fruits</v>
      </c>
      <c r="D450">
        <f>IFERROR(__xludf.DUMMYFUNCTION("""COMPUTED_VALUE"""),47.0)</f>
        <v>47</v>
      </c>
      <c r="E450">
        <f>IFERROR(__xludf.DUMMYFUNCTION("""COMPUTED_VALUE"""),0.12)</f>
        <v>0.12</v>
      </c>
      <c r="F450">
        <f>IFERROR(__xludf.DUMMYFUNCTION("""COMPUTED_VALUE"""),0.68)</f>
        <v>0.68</v>
      </c>
      <c r="G450">
        <f>IFERROR(__xludf.DUMMYFUNCTION("""COMPUTED_VALUE"""),11.27)</f>
        <v>11.27</v>
      </c>
    </row>
    <row r="451">
      <c r="A451">
        <f>IFERROR(__xludf.DUMMYFUNCTION("""COMPUTED_VALUE"""),169102.0)</f>
        <v>169102</v>
      </c>
      <c r="B451" t="str">
        <f>IFERROR(__xludf.DUMMYFUNCTION("""COMPUTED_VALUE"""),"Orange Juice Frozen Concentrate Unsweetened Diluted With 3 Volume Water")</f>
        <v>Orange Juice Frozen Concentrate Unsweetened Diluted With 3 Volume Water</v>
      </c>
      <c r="C451" t="str">
        <f>IFERROR(__xludf.DUMMYFUNCTION("""COMPUTED_VALUE"""),"Fruits")</f>
        <v>Fruits</v>
      </c>
      <c r="D451">
        <f>IFERROR(__xludf.DUMMYFUNCTION("""COMPUTED_VALUE"""),37.0)</f>
        <v>37</v>
      </c>
      <c r="E451">
        <f>IFERROR(__xludf.DUMMYFUNCTION("""COMPUTED_VALUE"""),0.06)</f>
        <v>0.06</v>
      </c>
      <c r="F451">
        <f>IFERROR(__xludf.DUMMYFUNCTION("""COMPUTED_VALUE"""),0.6)</f>
        <v>0.6</v>
      </c>
      <c r="G451">
        <f>IFERROR(__xludf.DUMMYFUNCTION("""COMPUTED_VALUE"""),8.8)</f>
        <v>8.8</v>
      </c>
    </row>
    <row r="452">
      <c r="A452">
        <f>IFERROR(__xludf.DUMMYFUNCTION("""COMPUTED_VALUE"""),169103.0)</f>
        <v>169103</v>
      </c>
      <c r="B452" t="str">
        <f>IFERROR(__xludf.DUMMYFUNCTION("""COMPUTED_VALUE"""),"Orange Peel Raw")</f>
        <v>Orange Peel Raw</v>
      </c>
      <c r="C452" t="str">
        <f>IFERROR(__xludf.DUMMYFUNCTION("""COMPUTED_VALUE"""),"Fruits")</f>
        <v>Fruits</v>
      </c>
      <c r="D452">
        <f>IFERROR(__xludf.DUMMYFUNCTION("""COMPUTED_VALUE"""),97.0)</f>
        <v>97</v>
      </c>
      <c r="E452">
        <f>IFERROR(__xludf.DUMMYFUNCTION("""COMPUTED_VALUE"""),0.2)</f>
        <v>0.2</v>
      </c>
      <c r="F452">
        <f>IFERROR(__xludf.DUMMYFUNCTION("""COMPUTED_VALUE"""),1.5)</f>
        <v>1.5</v>
      </c>
      <c r="G452">
        <f>IFERROR(__xludf.DUMMYFUNCTION("""COMPUTED_VALUE"""),25.0)</f>
        <v>25</v>
      </c>
    </row>
    <row r="453">
      <c r="A453">
        <f>IFERROR(__xludf.DUMMYFUNCTION("""COMPUTED_VALUE"""),169104.0)</f>
        <v>169104</v>
      </c>
      <c r="B453" t="str">
        <f>IFERROR(__xludf.DUMMYFUNCTION("""COMPUTED_VALUE"""),"Orange-Grapefruit Juice Canned Or Bottled Unsweetened")</f>
        <v>Orange-Grapefruit Juice Canned Or Bottled Unsweetened</v>
      </c>
      <c r="C453" t="str">
        <f>IFERROR(__xludf.DUMMYFUNCTION("""COMPUTED_VALUE"""),"Fruits")</f>
        <v>Fruits</v>
      </c>
      <c r="D453">
        <f>IFERROR(__xludf.DUMMYFUNCTION("""COMPUTED_VALUE"""),43.0)</f>
        <v>43</v>
      </c>
      <c r="E453">
        <f>IFERROR(__xludf.DUMMYFUNCTION("""COMPUTED_VALUE"""),0.1)</f>
        <v>0.1</v>
      </c>
      <c r="F453">
        <f>IFERROR(__xludf.DUMMYFUNCTION("""COMPUTED_VALUE"""),0.6)</f>
        <v>0.6</v>
      </c>
      <c r="G453">
        <f>IFERROR(__xludf.DUMMYFUNCTION("""COMPUTED_VALUE"""),10.28)</f>
        <v>10.28</v>
      </c>
    </row>
    <row r="454">
      <c r="A454">
        <f>IFERROR(__xludf.DUMMYFUNCTION("""COMPUTED_VALUE"""),169105.0)</f>
        <v>169105</v>
      </c>
      <c r="B454" t="str">
        <f>IFERROR(__xludf.DUMMYFUNCTION("""COMPUTED_VALUE"""),"Tangerines")</f>
        <v>Tangerines</v>
      </c>
      <c r="C454" t="str">
        <f>IFERROR(__xludf.DUMMYFUNCTION("""COMPUTED_VALUE"""),"Fruits")</f>
        <v>Fruits</v>
      </c>
      <c r="D454">
        <f>IFERROR(__xludf.DUMMYFUNCTION("""COMPUTED_VALUE"""),53.0)</f>
        <v>53</v>
      </c>
      <c r="E454">
        <f>IFERROR(__xludf.DUMMYFUNCTION("""COMPUTED_VALUE"""),0.31)</f>
        <v>0.31</v>
      </c>
      <c r="F454">
        <f>IFERROR(__xludf.DUMMYFUNCTION("""COMPUTED_VALUE"""),0.81)</f>
        <v>0.81</v>
      </c>
      <c r="G454">
        <f>IFERROR(__xludf.DUMMYFUNCTION("""COMPUTED_VALUE"""),13.34)</f>
        <v>13.34</v>
      </c>
    </row>
    <row r="455">
      <c r="A455">
        <f>IFERROR(__xludf.DUMMYFUNCTION("""COMPUTED_VALUE"""),169106.0)</f>
        <v>169106</v>
      </c>
      <c r="B455" t="str">
        <f>IFERROR(__xludf.DUMMYFUNCTION("""COMPUTED_VALUE"""),"Tangerines (Mandarin Oranges) Canned Juice Pack")</f>
        <v>Tangerines (Mandarin Oranges) Canned Juice Pack</v>
      </c>
      <c r="C455" t="str">
        <f>IFERROR(__xludf.DUMMYFUNCTION("""COMPUTED_VALUE"""),"Fruits")</f>
        <v>Fruits</v>
      </c>
      <c r="D455">
        <f>IFERROR(__xludf.DUMMYFUNCTION("""COMPUTED_VALUE"""),37.0)</f>
        <v>37</v>
      </c>
      <c r="E455">
        <f>IFERROR(__xludf.DUMMYFUNCTION("""COMPUTED_VALUE"""),0.03)</f>
        <v>0.03</v>
      </c>
      <c r="F455">
        <f>IFERROR(__xludf.DUMMYFUNCTION("""COMPUTED_VALUE"""),0.62)</f>
        <v>0.62</v>
      </c>
      <c r="G455">
        <f>IFERROR(__xludf.DUMMYFUNCTION("""COMPUTED_VALUE"""),9.57)</f>
        <v>9.57</v>
      </c>
    </row>
    <row r="456">
      <c r="A456">
        <f>IFERROR(__xludf.DUMMYFUNCTION("""COMPUTED_VALUE"""),169107.0)</f>
        <v>169107</v>
      </c>
      <c r="B456" t="str">
        <f>IFERROR(__xludf.DUMMYFUNCTION("""COMPUTED_VALUE"""),"Papaya Nectar Canned")</f>
        <v>Papaya Nectar Canned</v>
      </c>
      <c r="C456" t="str">
        <f>IFERROR(__xludf.DUMMYFUNCTION("""COMPUTED_VALUE"""),"Fruits")</f>
        <v>Fruits</v>
      </c>
      <c r="D456">
        <f>IFERROR(__xludf.DUMMYFUNCTION("""COMPUTED_VALUE"""),57.0)</f>
        <v>57</v>
      </c>
      <c r="E456">
        <f>IFERROR(__xludf.DUMMYFUNCTION("""COMPUTED_VALUE"""),0.15)</f>
        <v>0.15</v>
      </c>
      <c r="F456">
        <f>IFERROR(__xludf.DUMMYFUNCTION("""COMPUTED_VALUE"""),0.17)</f>
        <v>0.17</v>
      </c>
      <c r="G456">
        <f>IFERROR(__xludf.DUMMYFUNCTION("""COMPUTED_VALUE"""),14.51)</f>
        <v>14.51</v>
      </c>
    </row>
    <row r="457">
      <c r="A457">
        <f>IFERROR(__xludf.DUMMYFUNCTION("""COMPUTED_VALUE"""),169108.0)</f>
        <v>169108</v>
      </c>
      <c r="B457" t="str">
        <f>IFERROR(__xludf.DUMMYFUNCTION("""COMPUTED_VALUE"""),"Passion Fruit (Granadilla)")</f>
        <v>Passion Fruit (Granadilla)</v>
      </c>
      <c r="C457" t="str">
        <f>IFERROR(__xludf.DUMMYFUNCTION("""COMPUTED_VALUE"""),"Fruits")</f>
        <v>Fruits</v>
      </c>
      <c r="D457">
        <f>IFERROR(__xludf.DUMMYFUNCTION("""COMPUTED_VALUE"""),97.0)</f>
        <v>97</v>
      </c>
      <c r="E457">
        <f>IFERROR(__xludf.DUMMYFUNCTION("""COMPUTED_VALUE"""),0.7)</f>
        <v>0.7</v>
      </c>
      <c r="F457">
        <f>IFERROR(__xludf.DUMMYFUNCTION("""COMPUTED_VALUE"""),2.2)</f>
        <v>2.2</v>
      </c>
      <c r="G457">
        <f>IFERROR(__xludf.DUMMYFUNCTION("""COMPUTED_VALUE"""),23.38)</f>
        <v>23.38</v>
      </c>
    </row>
    <row r="458">
      <c r="A458">
        <f>IFERROR(__xludf.DUMMYFUNCTION("""COMPUTED_VALUE"""),169109.0)</f>
        <v>169109</v>
      </c>
      <c r="B458" t="str">
        <f>IFERROR(__xludf.DUMMYFUNCTION("""COMPUTED_VALUE"""),"Purple Passion Fruit Juice")</f>
        <v>Purple Passion Fruit Juice</v>
      </c>
      <c r="C458" t="str">
        <f>IFERROR(__xludf.DUMMYFUNCTION("""COMPUTED_VALUE"""),"Fruits")</f>
        <v>Fruits</v>
      </c>
      <c r="D458">
        <f>IFERROR(__xludf.DUMMYFUNCTION("""COMPUTED_VALUE"""),51.0)</f>
        <v>51</v>
      </c>
      <c r="E458">
        <f>IFERROR(__xludf.DUMMYFUNCTION("""COMPUTED_VALUE"""),0.05)</f>
        <v>0.05</v>
      </c>
      <c r="F458">
        <f>IFERROR(__xludf.DUMMYFUNCTION("""COMPUTED_VALUE"""),0.39)</f>
        <v>0.39</v>
      </c>
      <c r="G458">
        <f>IFERROR(__xludf.DUMMYFUNCTION("""COMPUTED_VALUE"""),13.6)</f>
        <v>13.6</v>
      </c>
    </row>
    <row r="459">
      <c r="A459">
        <f>IFERROR(__xludf.DUMMYFUNCTION("""COMPUTED_VALUE"""),169110.0)</f>
        <v>169110</v>
      </c>
      <c r="B459" t="str">
        <f>IFERROR(__xludf.DUMMYFUNCTION("""COMPUTED_VALUE"""),"Yellow Passion Fruit Juice")</f>
        <v>Yellow Passion Fruit Juice</v>
      </c>
      <c r="C459" t="str">
        <f>IFERROR(__xludf.DUMMYFUNCTION("""COMPUTED_VALUE"""),"Fruits")</f>
        <v>Fruits</v>
      </c>
      <c r="D459">
        <f>IFERROR(__xludf.DUMMYFUNCTION("""COMPUTED_VALUE"""),60.0)</f>
        <v>60</v>
      </c>
      <c r="E459">
        <f>IFERROR(__xludf.DUMMYFUNCTION("""COMPUTED_VALUE"""),0.18)</f>
        <v>0.18</v>
      </c>
      <c r="F459">
        <f>IFERROR(__xludf.DUMMYFUNCTION("""COMPUTED_VALUE"""),0.67)</f>
        <v>0.67</v>
      </c>
      <c r="G459">
        <f>IFERROR(__xludf.DUMMYFUNCTION("""COMPUTED_VALUE"""),14.45)</f>
        <v>14.45</v>
      </c>
    </row>
    <row r="460">
      <c r="A460">
        <f>IFERROR(__xludf.DUMMYFUNCTION("""COMPUTED_VALUE"""),169111.0)</f>
        <v>169111</v>
      </c>
      <c r="B460" t="str">
        <f>IFERROR(__xludf.DUMMYFUNCTION("""COMPUTED_VALUE"""),"Peaches Canned Light Syrup Pack Solids And Liquids")</f>
        <v>Peaches Canned Light Syrup Pack Solids And Liquids</v>
      </c>
      <c r="C460" t="str">
        <f>IFERROR(__xludf.DUMMYFUNCTION("""COMPUTED_VALUE"""),"Fruits")</f>
        <v>Fruits</v>
      </c>
      <c r="D460">
        <f>IFERROR(__xludf.DUMMYFUNCTION("""COMPUTED_VALUE"""),54.0)</f>
        <v>54</v>
      </c>
      <c r="E460">
        <f>IFERROR(__xludf.DUMMYFUNCTION("""COMPUTED_VALUE"""),0.03)</f>
        <v>0.03</v>
      </c>
      <c r="F460">
        <f>IFERROR(__xludf.DUMMYFUNCTION("""COMPUTED_VALUE"""),0.45)</f>
        <v>0.45</v>
      </c>
      <c r="G460">
        <f>IFERROR(__xludf.DUMMYFUNCTION("""COMPUTED_VALUE"""),14.55)</f>
        <v>14.55</v>
      </c>
    </row>
    <row r="461">
      <c r="A461">
        <f>IFERROR(__xludf.DUMMYFUNCTION("""COMPUTED_VALUE"""),169112.0)</f>
        <v>169112</v>
      </c>
      <c r="B461" t="str">
        <f>IFERROR(__xludf.DUMMYFUNCTION("""COMPUTED_VALUE"""),"Peaches Canned Heavy Syrup Pack Solids And Liquids")</f>
        <v>Peaches Canned Heavy Syrup Pack Solids And Liquids</v>
      </c>
      <c r="C461" t="str">
        <f>IFERROR(__xludf.DUMMYFUNCTION("""COMPUTED_VALUE"""),"Fruits")</f>
        <v>Fruits</v>
      </c>
      <c r="D461">
        <f>IFERROR(__xludf.DUMMYFUNCTION("""COMPUTED_VALUE"""),74.0)</f>
        <v>74</v>
      </c>
      <c r="E461">
        <f>IFERROR(__xludf.DUMMYFUNCTION("""COMPUTED_VALUE"""),0.1)</f>
        <v>0.1</v>
      </c>
      <c r="F461">
        <f>IFERROR(__xludf.DUMMYFUNCTION("""COMPUTED_VALUE"""),0.45)</f>
        <v>0.45</v>
      </c>
      <c r="G461">
        <f>IFERROR(__xludf.DUMMYFUNCTION("""COMPUTED_VALUE"""),19.94)</f>
        <v>19.94</v>
      </c>
    </row>
    <row r="462">
      <c r="A462">
        <f>IFERROR(__xludf.DUMMYFUNCTION("""COMPUTED_VALUE"""),169113.0)</f>
        <v>169113</v>
      </c>
      <c r="B462" t="str">
        <f>IFERROR(__xludf.DUMMYFUNCTION("""COMPUTED_VALUE"""),"Peaches Canned Extra Heavy Syrup Pack Solids And Liquids")</f>
        <v>Peaches Canned Extra Heavy Syrup Pack Solids And Liquids</v>
      </c>
      <c r="C462" t="str">
        <f>IFERROR(__xludf.DUMMYFUNCTION("""COMPUTED_VALUE"""),"Fruits")</f>
        <v>Fruits</v>
      </c>
      <c r="D462">
        <f>IFERROR(__xludf.DUMMYFUNCTION("""COMPUTED_VALUE"""),96.0)</f>
        <v>96</v>
      </c>
      <c r="E462">
        <f>IFERROR(__xludf.DUMMYFUNCTION("""COMPUTED_VALUE"""),0.03)</f>
        <v>0.03</v>
      </c>
      <c r="F462">
        <f>IFERROR(__xludf.DUMMYFUNCTION("""COMPUTED_VALUE"""),0.47)</f>
        <v>0.47</v>
      </c>
      <c r="G462">
        <f>IFERROR(__xludf.DUMMYFUNCTION("""COMPUTED_VALUE"""),26.06)</f>
        <v>26.06</v>
      </c>
    </row>
    <row r="463">
      <c r="A463">
        <f>IFERROR(__xludf.DUMMYFUNCTION("""COMPUTED_VALUE"""),169114.0)</f>
        <v>169114</v>
      </c>
      <c r="B463" t="str">
        <f>IFERROR(__xludf.DUMMYFUNCTION("""COMPUTED_VALUE"""),"Peaches Spiced Canned Heavy Syrup Pack Solids And Liquids")</f>
        <v>Peaches Spiced Canned Heavy Syrup Pack Solids And Liquids</v>
      </c>
      <c r="C463" t="str">
        <f>IFERROR(__xludf.DUMMYFUNCTION("""COMPUTED_VALUE"""),"Fruits")</f>
        <v>Fruits</v>
      </c>
      <c r="D463">
        <f>IFERROR(__xludf.DUMMYFUNCTION("""COMPUTED_VALUE"""),75.0)</f>
        <v>75</v>
      </c>
      <c r="E463">
        <f>IFERROR(__xludf.DUMMYFUNCTION("""COMPUTED_VALUE"""),0.1)</f>
        <v>0.1</v>
      </c>
      <c r="F463">
        <f>IFERROR(__xludf.DUMMYFUNCTION("""COMPUTED_VALUE"""),0.41)</f>
        <v>0.41</v>
      </c>
      <c r="G463">
        <f>IFERROR(__xludf.DUMMYFUNCTION("""COMPUTED_VALUE"""),20.08)</f>
        <v>20.08</v>
      </c>
    </row>
    <row r="464">
      <c r="A464">
        <f>IFERROR(__xludf.DUMMYFUNCTION("""COMPUTED_VALUE"""),169115.0)</f>
        <v>169115</v>
      </c>
      <c r="B464" t="str">
        <f>IFERROR(__xludf.DUMMYFUNCTION("""COMPUTED_VALUE"""),"Peaches Dried Sulfured Stewed With Added Sugar")</f>
        <v>Peaches Dried Sulfured Stewed With Added Sugar</v>
      </c>
      <c r="C464" t="str">
        <f>IFERROR(__xludf.DUMMYFUNCTION("""COMPUTED_VALUE"""),"Fruits")</f>
        <v>Fruits</v>
      </c>
      <c r="D464">
        <f>IFERROR(__xludf.DUMMYFUNCTION("""COMPUTED_VALUE"""),103.0)</f>
        <v>103</v>
      </c>
      <c r="E464">
        <f>IFERROR(__xludf.DUMMYFUNCTION("""COMPUTED_VALUE"""),0.22)</f>
        <v>0.22</v>
      </c>
      <c r="F464">
        <f>IFERROR(__xludf.DUMMYFUNCTION("""COMPUTED_VALUE"""),1.06)</f>
        <v>1.06</v>
      </c>
      <c r="G464">
        <f>IFERROR(__xludf.DUMMYFUNCTION("""COMPUTED_VALUE"""),26.6)</f>
        <v>26.6</v>
      </c>
    </row>
    <row r="465">
      <c r="A465">
        <f>IFERROR(__xludf.DUMMYFUNCTION("""COMPUTED_VALUE"""),169116.0)</f>
        <v>169116</v>
      </c>
      <c r="B465" t="str">
        <f>IFERROR(__xludf.DUMMYFUNCTION("""COMPUTED_VALUE"""),"Peaches Frozen Sliced Sweetened")</f>
        <v>Peaches Frozen Sliced Sweetened</v>
      </c>
      <c r="C465" t="str">
        <f>IFERROR(__xludf.DUMMYFUNCTION("""COMPUTED_VALUE"""),"Fruits")</f>
        <v>Fruits</v>
      </c>
      <c r="D465">
        <f>IFERROR(__xludf.DUMMYFUNCTION("""COMPUTED_VALUE"""),94.0)</f>
        <v>94</v>
      </c>
      <c r="E465">
        <f>IFERROR(__xludf.DUMMYFUNCTION("""COMPUTED_VALUE"""),0.13)</f>
        <v>0.13</v>
      </c>
      <c r="F465">
        <f>IFERROR(__xludf.DUMMYFUNCTION("""COMPUTED_VALUE"""),0.63)</f>
        <v>0.63</v>
      </c>
      <c r="G465">
        <f>IFERROR(__xludf.DUMMYFUNCTION("""COMPUTED_VALUE"""),23.98)</f>
        <v>23.98</v>
      </c>
    </row>
    <row r="466">
      <c r="A466">
        <f>IFERROR(__xludf.DUMMYFUNCTION("""COMPUTED_VALUE"""),169117.0)</f>
        <v>169117</v>
      </c>
      <c r="B466" t="str">
        <f>IFERROR(__xludf.DUMMYFUNCTION("""COMPUTED_VALUE"""),"Peach Nectar Canned Without Added Ascorbic Acid")</f>
        <v>Peach Nectar Canned Without Added Ascorbic Acid</v>
      </c>
      <c r="C466" t="str">
        <f>IFERROR(__xludf.DUMMYFUNCTION("""COMPUTED_VALUE"""),"Fruits")</f>
        <v>Fruits</v>
      </c>
      <c r="D466">
        <f>IFERROR(__xludf.DUMMYFUNCTION("""COMPUTED_VALUE"""),49.0)</f>
        <v>49</v>
      </c>
      <c r="E466">
        <f>IFERROR(__xludf.DUMMYFUNCTION("""COMPUTED_VALUE"""),0.57)</f>
        <v>0.57</v>
      </c>
      <c r="F466">
        <f>IFERROR(__xludf.DUMMYFUNCTION("""COMPUTED_VALUE"""),0.1)</f>
        <v>0.1</v>
      </c>
      <c r="G466">
        <f>IFERROR(__xludf.DUMMYFUNCTION("""COMPUTED_VALUE"""),11.61)</f>
        <v>11.61</v>
      </c>
    </row>
    <row r="467">
      <c r="A467">
        <f>IFERROR(__xludf.DUMMYFUNCTION("""COMPUTED_VALUE"""),169118.0)</f>
        <v>169118</v>
      </c>
      <c r="B467" t="str">
        <f>IFERROR(__xludf.DUMMYFUNCTION("""COMPUTED_VALUE"""),"Pears")</f>
        <v>Pears</v>
      </c>
      <c r="C467" t="str">
        <f>IFERROR(__xludf.DUMMYFUNCTION("""COMPUTED_VALUE"""),"Fruits")</f>
        <v>Fruits</v>
      </c>
      <c r="D467">
        <f>IFERROR(__xludf.DUMMYFUNCTION("""COMPUTED_VALUE"""),57.0)</f>
        <v>57</v>
      </c>
      <c r="E467">
        <f>IFERROR(__xludf.DUMMYFUNCTION("""COMPUTED_VALUE"""),0.14)</f>
        <v>0.14</v>
      </c>
      <c r="F467">
        <f>IFERROR(__xludf.DUMMYFUNCTION("""COMPUTED_VALUE"""),0.36)</f>
        <v>0.36</v>
      </c>
      <c r="G467">
        <f>IFERROR(__xludf.DUMMYFUNCTION("""COMPUTED_VALUE"""),15.23)</f>
        <v>15.23</v>
      </c>
    </row>
    <row r="468">
      <c r="A468">
        <f>IFERROR(__xludf.DUMMYFUNCTION("""COMPUTED_VALUE"""),169119.0)</f>
        <v>169119</v>
      </c>
      <c r="B468" t="str">
        <f>IFERROR(__xludf.DUMMYFUNCTION("""COMPUTED_VALUE"""),"Pears Canned Water Pack Solids And Liquids")</f>
        <v>Pears Canned Water Pack Solids And Liquids</v>
      </c>
      <c r="C468" t="str">
        <f>IFERROR(__xludf.DUMMYFUNCTION("""COMPUTED_VALUE"""),"Fruits")</f>
        <v>Fruits</v>
      </c>
      <c r="D468">
        <f>IFERROR(__xludf.DUMMYFUNCTION("""COMPUTED_VALUE"""),29.0)</f>
        <v>29</v>
      </c>
      <c r="E468">
        <f>IFERROR(__xludf.DUMMYFUNCTION("""COMPUTED_VALUE"""),0.03)</f>
        <v>0.03</v>
      </c>
      <c r="F468">
        <f>IFERROR(__xludf.DUMMYFUNCTION("""COMPUTED_VALUE"""),0.19)</f>
        <v>0.19</v>
      </c>
      <c r="G468">
        <f>IFERROR(__xludf.DUMMYFUNCTION("""COMPUTED_VALUE"""),7.81)</f>
        <v>7.81</v>
      </c>
    </row>
    <row r="469">
      <c r="A469">
        <f>IFERROR(__xludf.DUMMYFUNCTION("""COMPUTED_VALUE"""),169120.0)</f>
        <v>169120</v>
      </c>
      <c r="B469" t="str">
        <f>IFERROR(__xludf.DUMMYFUNCTION("""COMPUTED_VALUE"""),"Pears Canned In Syrup")</f>
        <v>Pears Canned In Syrup</v>
      </c>
      <c r="C469" t="str">
        <f>IFERROR(__xludf.DUMMYFUNCTION("""COMPUTED_VALUE"""),"Fruits")</f>
        <v>Fruits</v>
      </c>
      <c r="D469">
        <f>IFERROR(__xludf.DUMMYFUNCTION("""COMPUTED_VALUE"""),97.0)</f>
        <v>97</v>
      </c>
      <c r="E469">
        <f>IFERROR(__xludf.DUMMYFUNCTION("""COMPUTED_VALUE"""),0.13)</f>
        <v>0.13</v>
      </c>
      <c r="F469">
        <f>IFERROR(__xludf.DUMMYFUNCTION("""COMPUTED_VALUE"""),0.19)</f>
        <v>0.19</v>
      </c>
      <c r="G469">
        <f>IFERROR(__xludf.DUMMYFUNCTION("""COMPUTED_VALUE"""),25.25)</f>
        <v>25.25</v>
      </c>
    </row>
    <row r="470">
      <c r="A470">
        <f>IFERROR(__xludf.DUMMYFUNCTION("""COMPUTED_VALUE"""),169121.0)</f>
        <v>169121</v>
      </c>
      <c r="B470" t="str">
        <f>IFERROR(__xludf.DUMMYFUNCTION("""COMPUTED_VALUE"""),"Dried Pears")</f>
        <v>Dried Pears</v>
      </c>
      <c r="C470" t="str">
        <f>IFERROR(__xludf.DUMMYFUNCTION("""COMPUTED_VALUE"""),"Fruits")</f>
        <v>Fruits</v>
      </c>
      <c r="D470">
        <f>IFERROR(__xludf.DUMMYFUNCTION("""COMPUTED_VALUE"""),262.0)</f>
        <v>262</v>
      </c>
      <c r="E470">
        <f>IFERROR(__xludf.DUMMYFUNCTION("""COMPUTED_VALUE"""),0.63)</f>
        <v>0.63</v>
      </c>
      <c r="F470">
        <f>IFERROR(__xludf.DUMMYFUNCTION("""COMPUTED_VALUE"""),1.87)</f>
        <v>1.87</v>
      </c>
      <c r="G470">
        <f>IFERROR(__xludf.DUMMYFUNCTION("""COMPUTED_VALUE"""),69.7)</f>
        <v>69.7</v>
      </c>
    </row>
    <row r="471">
      <c r="A471">
        <f>IFERROR(__xludf.DUMMYFUNCTION("""COMPUTED_VALUE"""),169122.0)</f>
        <v>169122</v>
      </c>
      <c r="B471" t="str">
        <f>IFERROR(__xludf.DUMMYFUNCTION("""COMPUTED_VALUE"""),"Pears Dried Sulfured Stewed Without Added Sugar")</f>
        <v>Pears Dried Sulfured Stewed Without Added Sugar</v>
      </c>
      <c r="C471" t="str">
        <f>IFERROR(__xludf.DUMMYFUNCTION("""COMPUTED_VALUE"""),"Fruits")</f>
        <v>Fruits</v>
      </c>
      <c r="D471">
        <f>IFERROR(__xludf.DUMMYFUNCTION("""COMPUTED_VALUE"""),127.0)</f>
        <v>127</v>
      </c>
      <c r="E471">
        <f>IFERROR(__xludf.DUMMYFUNCTION("""COMPUTED_VALUE"""),0.31)</f>
        <v>0.31</v>
      </c>
      <c r="F471">
        <f>IFERROR(__xludf.DUMMYFUNCTION("""COMPUTED_VALUE"""),0.91)</f>
        <v>0.91</v>
      </c>
      <c r="G471">
        <f>IFERROR(__xludf.DUMMYFUNCTION("""COMPUTED_VALUE"""),33.81)</f>
        <v>33.81</v>
      </c>
    </row>
    <row r="472">
      <c r="A472">
        <f>IFERROR(__xludf.DUMMYFUNCTION("""COMPUTED_VALUE"""),169123.0)</f>
        <v>169123</v>
      </c>
      <c r="B472" t="str">
        <f>IFERROR(__xludf.DUMMYFUNCTION("""COMPUTED_VALUE"""),"Pears Dried Sulfured Stewed With Added Sugar")</f>
        <v>Pears Dried Sulfured Stewed With Added Sugar</v>
      </c>
      <c r="C472" t="str">
        <f>IFERROR(__xludf.DUMMYFUNCTION("""COMPUTED_VALUE"""),"Fruits")</f>
        <v>Fruits</v>
      </c>
      <c r="D472">
        <f>IFERROR(__xludf.DUMMYFUNCTION("""COMPUTED_VALUE"""),140.0)</f>
        <v>140</v>
      </c>
      <c r="E472">
        <f>IFERROR(__xludf.DUMMYFUNCTION("""COMPUTED_VALUE"""),0.29)</f>
        <v>0.29</v>
      </c>
      <c r="F472">
        <f>IFERROR(__xludf.DUMMYFUNCTION("""COMPUTED_VALUE"""),0.86)</f>
        <v>0.86</v>
      </c>
      <c r="G472">
        <f>IFERROR(__xludf.DUMMYFUNCTION("""COMPUTED_VALUE"""),37.14)</f>
        <v>37.14</v>
      </c>
    </row>
    <row r="473">
      <c r="A473">
        <f>IFERROR(__xludf.DUMMYFUNCTION("""COMPUTED_VALUE"""),169124.0)</f>
        <v>169124</v>
      </c>
      <c r="B473" t="str">
        <f>IFERROR(__xludf.DUMMYFUNCTION("""COMPUTED_VALUE"""),"Pineapple")</f>
        <v>Pineapple</v>
      </c>
      <c r="C473" t="str">
        <f>IFERROR(__xludf.DUMMYFUNCTION("""COMPUTED_VALUE"""),"Fruits")</f>
        <v>Fruits</v>
      </c>
      <c r="D473">
        <f>IFERROR(__xludf.DUMMYFUNCTION("""COMPUTED_VALUE"""),50.0)</f>
        <v>50</v>
      </c>
      <c r="E473">
        <f>IFERROR(__xludf.DUMMYFUNCTION("""COMPUTED_VALUE"""),0.12)</f>
        <v>0.12</v>
      </c>
      <c r="F473">
        <f>IFERROR(__xludf.DUMMYFUNCTION("""COMPUTED_VALUE"""),0.54)</f>
        <v>0.54</v>
      </c>
      <c r="G473">
        <f>IFERROR(__xludf.DUMMYFUNCTION("""COMPUTED_VALUE"""),13.12)</f>
        <v>13.12</v>
      </c>
    </row>
    <row r="474">
      <c r="A474">
        <f>IFERROR(__xludf.DUMMYFUNCTION("""COMPUTED_VALUE"""),169125.0)</f>
        <v>169125</v>
      </c>
      <c r="B474" t="str">
        <f>IFERROR(__xludf.DUMMYFUNCTION("""COMPUTED_VALUE"""),"Pineapple Canned Water Pack Solids And Liquids")</f>
        <v>Pineapple Canned Water Pack Solids And Liquids</v>
      </c>
      <c r="C474" t="str">
        <f>IFERROR(__xludf.DUMMYFUNCTION("""COMPUTED_VALUE"""),"Fruits")</f>
        <v>Fruits</v>
      </c>
      <c r="D474">
        <f>IFERROR(__xludf.DUMMYFUNCTION("""COMPUTED_VALUE"""),32.0)</f>
        <v>32</v>
      </c>
      <c r="E474">
        <f>IFERROR(__xludf.DUMMYFUNCTION("""COMPUTED_VALUE"""),0.09)</f>
        <v>0.09</v>
      </c>
      <c r="F474">
        <f>IFERROR(__xludf.DUMMYFUNCTION("""COMPUTED_VALUE"""),0.43)</f>
        <v>0.43</v>
      </c>
      <c r="G474">
        <f>IFERROR(__xludf.DUMMYFUNCTION("""COMPUTED_VALUE"""),8.3)</f>
        <v>8.3</v>
      </c>
    </row>
    <row r="475">
      <c r="A475">
        <f>IFERROR(__xludf.DUMMYFUNCTION("""COMPUTED_VALUE"""),169126.0)</f>
        <v>169126</v>
      </c>
      <c r="B475" t="str">
        <f>IFERROR(__xludf.DUMMYFUNCTION("""COMPUTED_VALUE"""),"Pineapple Canned Juice Pack Solids And Liquids")</f>
        <v>Pineapple Canned Juice Pack Solids And Liquids</v>
      </c>
      <c r="C475" t="str">
        <f>IFERROR(__xludf.DUMMYFUNCTION("""COMPUTED_VALUE"""),"Fruits")</f>
        <v>Fruits</v>
      </c>
      <c r="D475">
        <f>IFERROR(__xludf.DUMMYFUNCTION("""COMPUTED_VALUE"""),60.0)</f>
        <v>60</v>
      </c>
      <c r="E475">
        <f>IFERROR(__xludf.DUMMYFUNCTION("""COMPUTED_VALUE"""),0.08)</f>
        <v>0.08</v>
      </c>
      <c r="F475">
        <f>IFERROR(__xludf.DUMMYFUNCTION("""COMPUTED_VALUE"""),0.42)</f>
        <v>0.42</v>
      </c>
      <c r="G475">
        <f>IFERROR(__xludf.DUMMYFUNCTION("""COMPUTED_VALUE"""),15.7)</f>
        <v>15.7</v>
      </c>
    </row>
    <row r="476">
      <c r="A476">
        <f>IFERROR(__xludf.DUMMYFUNCTION("""COMPUTED_VALUE"""),169127.0)</f>
        <v>169127</v>
      </c>
      <c r="B476" t="str">
        <f>IFERROR(__xludf.DUMMYFUNCTION("""COMPUTED_VALUE"""),"Pineapple Canned Light Syrup Pack Solids And Liquids")</f>
        <v>Pineapple Canned Light Syrup Pack Solids And Liquids</v>
      </c>
      <c r="C476" t="str">
        <f>IFERROR(__xludf.DUMMYFUNCTION("""COMPUTED_VALUE"""),"Fruits")</f>
        <v>Fruits</v>
      </c>
      <c r="D476">
        <f>IFERROR(__xludf.DUMMYFUNCTION("""COMPUTED_VALUE"""),52.0)</f>
        <v>52</v>
      </c>
      <c r="E476">
        <f>IFERROR(__xludf.DUMMYFUNCTION("""COMPUTED_VALUE"""),0.12)</f>
        <v>0.12</v>
      </c>
      <c r="F476">
        <f>IFERROR(__xludf.DUMMYFUNCTION("""COMPUTED_VALUE"""),0.36)</f>
        <v>0.36</v>
      </c>
      <c r="G476">
        <f>IFERROR(__xludf.DUMMYFUNCTION("""COMPUTED_VALUE"""),13.45)</f>
        <v>13.45</v>
      </c>
    </row>
    <row r="477">
      <c r="A477">
        <f>IFERROR(__xludf.DUMMYFUNCTION("""COMPUTED_VALUE"""),169128.0)</f>
        <v>169128</v>
      </c>
      <c r="B477" t="str">
        <f>IFERROR(__xludf.DUMMYFUNCTION("""COMPUTED_VALUE"""),"Pineapple Juice Frozen Concentrate Unsweetened Diluted With 3 Volume Water")</f>
        <v>Pineapple Juice Frozen Concentrate Unsweetened Diluted With 3 Volume Water</v>
      </c>
      <c r="C477" t="str">
        <f>IFERROR(__xludf.DUMMYFUNCTION("""COMPUTED_VALUE"""),"Fruits")</f>
        <v>Fruits</v>
      </c>
      <c r="D477">
        <f>IFERROR(__xludf.DUMMYFUNCTION("""COMPUTED_VALUE"""),51.0)</f>
        <v>51</v>
      </c>
      <c r="E477">
        <f>IFERROR(__xludf.DUMMYFUNCTION("""COMPUTED_VALUE"""),0.03)</f>
        <v>0.03</v>
      </c>
      <c r="F477">
        <f>IFERROR(__xludf.DUMMYFUNCTION("""COMPUTED_VALUE"""),0.4)</f>
        <v>0.4</v>
      </c>
      <c r="G477">
        <f>IFERROR(__xludf.DUMMYFUNCTION("""COMPUTED_VALUE"""),12.67)</f>
        <v>12.67</v>
      </c>
    </row>
    <row r="478">
      <c r="A478">
        <f>IFERROR(__xludf.DUMMYFUNCTION("""COMPUTED_VALUE"""),169129.0)</f>
        <v>169129</v>
      </c>
      <c r="B478" t="str">
        <f>IFERROR(__xludf.DUMMYFUNCTION("""COMPUTED_VALUE"""),"Pitanga")</f>
        <v>Pitanga</v>
      </c>
      <c r="C478" t="str">
        <f>IFERROR(__xludf.DUMMYFUNCTION("""COMPUTED_VALUE"""),"Fruits")</f>
        <v>Fruits</v>
      </c>
      <c r="D478">
        <f>IFERROR(__xludf.DUMMYFUNCTION("""COMPUTED_VALUE"""),33.0)</f>
        <v>33</v>
      </c>
      <c r="E478">
        <f>IFERROR(__xludf.DUMMYFUNCTION("""COMPUTED_VALUE"""),0.4)</f>
        <v>0.4</v>
      </c>
      <c r="F478">
        <f>IFERROR(__xludf.DUMMYFUNCTION("""COMPUTED_VALUE"""),0.8)</f>
        <v>0.8</v>
      </c>
      <c r="G478">
        <f>IFERROR(__xludf.DUMMYFUNCTION("""COMPUTED_VALUE"""),7.49)</f>
        <v>7.49</v>
      </c>
    </row>
    <row r="479">
      <c r="A479">
        <f>IFERROR(__xludf.DUMMYFUNCTION("""COMPUTED_VALUE"""),169130.0)</f>
        <v>169130</v>
      </c>
      <c r="B479" t="str">
        <f>IFERROR(__xludf.DUMMYFUNCTION("""COMPUTED_VALUE"""),"Plantains")</f>
        <v>Plantains</v>
      </c>
      <c r="C479" t="str">
        <f>IFERROR(__xludf.DUMMYFUNCTION("""COMPUTED_VALUE"""),"Fruits")</f>
        <v>Fruits</v>
      </c>
      <c r="D479">
        <f>IFERROR(__xludf.DUMMYFUNCTION("""COMPUTED_VALUE"""),122.0)</f>
        <v>122</v>
      </c>
      <c r="E479">
        <f>IFERROR(__xludf.DUMMYFUNCTION("""COMPUTED_VALUE"""),0.35)</f>
        <v>0.35</v>
      </c>
      <c r="F479">
        <f>IFERROR(__xludf.DUMMYFUNCTION("""COMPUTED_VALUE"""),1.3)</f>
        <v>1.3</v>
      </c>
      <c r="G479">
        <f>IFERROR(__xludf.DUMMYFUNCTION("""COMPUTED_VALUE"""),31.89)</f>
        <v>31.89</v>
      </c>
    </row>
    <row r="480">
      <c r="A480">
        <f>IFERROR(__xludf.DUMMYFUNCTION("""COMPUTED_VALUE"""),169131.0)</f>
        <v>169131</v>
      </c>
      <c r="B480" t="str">
        <f>IFERROR(__xludf.DUMMYFUNCTION("""COMPUTED_VALUE"""),"Plantains Cooked")</f>
        <v>Plantains Cooked</v>
      </c>
      <c r="C480" t="str">
        <f>IFERROR(__xludf.DUMMYFUNCTION("""COMPUTED_VALUE"""),"Fruits")</f>
        <v>Fruits</v>
      </c>
      <c r="D480">
        <f>IFERROR(__xludf.DUMMYFUNCTION("""COMPUTED_VALUE"""),155.0)</f>
        <v>155</v>
      </c>
      <c r="E480">
        <f>IFERROR(__xludf.DUMMYFUNCTION("""COMPUTED_VALUE"""),0.16)</f>
        <v>0.16</v>
      </c>
      <c r="F480">
        <f>IFERROR(__xludf.DUMMYFUNCTION("""COMPUTED_VALUE"""),1.52)</f>
        <v>1.52</v>
      </c>
      <c r="G480">
        <f>IFERROR(__xludf.DUMMYFUNCTION("""COMPUTED_VALUE"""),41.37)</f>
        <v>41.37</v>
      </c>
    </row>
    <row r="481">
      <c r="A481">
        <f>IFERROR(__xludf.DUMMYFUNCTION("""COMPUTED_VALUE"""),169132.0)</f>
        <v>169132</v>
      </c>
      <c r="B481" t="str">
        <f>IFERROR(__xludf.DUMMYFUNCTION("""COMPUTED_VALUE"""),"Plums Canned Purple Heavy Syrup Pack Solids And Liquids")</f>
        <v>Plums Canned Purple Heavy Syrup Pack Solids And Liquids</v>
      </c>
      <c r="C481" t="str">
        <f>IFERROR(__xludf.DUMMYFUNCTION("""COMPUTED_VALUE"""),"Fruits")</f>
        <v>Fruits</v>
      </c>
      <c r="D481">
        <f>IFERROR(__xludf.DUMMYFUNCTION("""COMPUTED_VALUE"""),89.0)</f>
        <v>89</v>
      </c>
      <c r="E481">
        <f>IFERROR(__xludf.DUMMYFUNCTION("""COMPUTED_VALUE"""),0.1)</f>
        <v>0.1</v>
      </c>
      <c r="F481">
        <f>IFERROR(__xludf.DUMMYFUNCTION("""COMPUTED_VALUE"""),0.36)</f>
        <v>0.36</v>
      </c>
      <c r="G481">
        <f>IFERROR(__xludf.DUMMYFUNCTION("""COMPUTED_VALUE"""),23.24)</f>
        <v>23.24</v>
      </c>
    </row>
    <row r="482">
      <c r="A482">
        <f>IFERROR(__xludf.DUMMYFUNCTION("""COMPUTED_VALUE"""),169133.0)</f>
        <v>169133</v>
      </c>
      <c r="B482" t="str">
        <f>IFERROR(__xludf.DUMMYFUNCTION("""COMPUTED_VALUE"""),"Plums Canned Purple Extra Heavy Syrup Pack Solids And Liquids")</f>
        <v>Plums Canned Purple Extra Heavy Syrup Pack Solids And Liquids</v>
      </c>
      <c r="C482" t="str">
        <f>IFERROR(__xludf.DUMMYFUNCTION("""COMPUTED_VALUE"""),"Fruits")</f>
        <v>Fruits</v>
      </c>
      <c r="D482">
        <f>IFERROR(__xludf.DUMMYFUNCTION("""COMPUTED_VALUE"""),101.0)</f>
        <v>101</v>
      </c>
      <c r="E482">
        <f>IFERROR(__xludf.DUMMYFUNCTION("""COMPUTED_VALUE"""),0.1)</f>
        <v>0.1</v>
      </c>
      <c r="F482">
        <f>IFERROR(__xludf.DUMMYFUNCTION("""COMPUTED_VALUE"""),0.36)</f>
        <v>0.36</v>
      </c>
      <c r="G482">
        <f>IFERROR(__xludf.DUMMYFUNCTION("""COMPUTED_VALUE"""),26.31)</f>
        <v>26.31</v>
      </c>
    </row>
    <row r="483">
      <c r="A483">
        <f>IFERROR(__xludf.DUMMYFUNCTION("""COMPUTED_VALUE"""),169134.0)</f>
        <v>169134</v>
      </c>
      <c r="B483" t="str">
        <f>IFERROR(__xludf.DUMMYFUNCTION("""COMPUTED_VALUE"""),"Pomegranates")</f>
        <v>Pomegranates</v>
      </c>
      <c r="C483" t="str">
        <f>IFERROR(__xludf.DUMMYFUNCTION("""COMPUTED_VALUE"""),"Fruits")</f>
        <v>Fruits</v>
      </c>
      <c r="D483">
        <f>IFERROR(__xludf.DUMMYFUNCTION("""COMPUTED_VALUE"""),83.0)</f>
        <v>83</v>
      </c>
      <c r="E483">
        <f>IFERROR(__xludf.DUMMYFUNCTION("""COMPUTED_VALUE"""),1.17)</f>
        <v>1.17</v>
      </c>
      <c r="F483">
        <f>IFERROR(__xludf.DUMMYFUNCTION("""COMPUTED_VALUE"""),1.67)</f>
        <v>1.67</v>
      </c>
      <c r="G483">
        <f>IFERROR(__xludf.DUMMYFUNCTION("""COMPUTED_VALUE"""),18.7)</f>
        <v>18.7</v>
      </c>
    </row>
    <row r="484">
      <c r="A484">
        <f>IFERROR(__xludf.DUMMYFUNCTION("""COMPUTED_VALUE"""),169135.0)</f>
        <v>169135</v>
      </c>
      <c r="B484" t="str">
        <f>IFERROR(__xludf.DUMMYFUNCTION("""COMPUTED_VALUE"""),"Cooked Lima Beans")</f>
        <v>Cooked Lima Beans</v>
      </c>
      <c r="C484" t="str">
        <f>IFERROR(__xludf.DUMMYFUNCTION("""COMPUTED_VALUE"""),"Vegetables")</f>
        <v>Vegetables</v>
      </c>
      <c r="D484">
        <f>IFERROR(__xludf.DUMMYFUNCTION("""COMPUTED_VALUE"""),123.0)</f>
        <v>123</v>
      </c>
      <c r="E484">
        <f>IFERROR(__xludf.DUMMYFUNCTION("""COMPUTED_VALUE"""),0.32)</f>
        <v>0.32</v>
      </c>
      <c r="F484">
        <f>IFERROR(__xludf.DUMMYFUNCTION("""COMPUTED_VALUE"""),6.81)</f>
        <v>6.81</v>
      </c>
      <c r="G484">
        <f>IFERROR(__xludf.DUMMYFUNCTION("""COMPUTED_VALUE"""),23.64)</f>
        <v>23.64</v>
      </c>
    </row>
    <row r="485">
      <c r="A485">
        <f>IFERROR(__xludf.DUMMYFUNCTION("""COMPUTED_VALUE"""),169136.0)</f>
        <v>169136</v>
      </c>
      <c r="B485" t="str">
        <f>IFERROR(__xludf.DUMMYFUNCTION("""COMPUTED_VALUE"""),"Lima Beans Immature Seeds Canned Regular Pack Solids And Liquids")</f>
        <v>Lima Beans Immature Seeds Canned Regular Pack Solids And Liquids</v>
      </c>
      <c r="C485" t="str">
        <f>IFERROR(__xludf.DUMMYFUNCTION("""COMPUTED_VALUE"""),"Vegetables")</f>
        <v>Vegetables</v>
      </c>
      <c r="D485">
        <f>IFERROR(__xludf.DUMMYFUNCTION("""COMPUTED_VALUE"""),71.0)</f>
        <v>71</v>
      </c>
      <c r="E485">
        <f>IFERROR(__xludf.DUMMYFUNCTION("""COMPUTED_VALUE"""),0.29)</f>
        <v>0.29</v>
      </c>
      <c r="F485">
        <f>IFERROR(__xludf.DUMMYFUNCTION("""COMPUTED_VALUE"""),4.07)</f>
        <v>4.07</v>
      </c>
      <c r="G485">
        <f>IFERROR(__xludf.DUMMYFUNCTION("""COMPUTED_VALUE"""),13.33)</f>
        <v>13.33</v>
      </c>
    </row>
    <row r="486">
      <c r="A486">
        <f>IFERROR(__xludf.DUMMYFUNCTION("""COMPUTED_VALUE"""),169137.0)</f>
        <v>169137</v>
      </c>
      <c r="B486" t="str">
        <f>IFERROR(__xludf.DUMMYFUNCTION("""COMPUTED_VALUE"""),"Mung Beans Mature Seeds Sprouted Cooked Boiled Drained Without Salt")</f>
        <v>Mung Beans Mature Seeds Sprouted Cooked Boiled Drained Without Salt</v>
      </c>
      <c r="C486" t="str">
        <f>IFERROR(__xludf.DUMMYFUNCTION("""COMPUTED_VALUE"""),"Vegetables")</f>
        <v>Vegetables</v>
      </c>
      <c r="D486">
        <f>IFERROR(__xludf.DUMMYFUNCTION("""COMPUTED_VALUE"""),21.0)</f>
        <v>21</v>
      </c>
      <c r="E486">
        <f>IFERROR(__xludf.DUMMYFUNCTION("""COMPUTED_VALUE"""),0.09)</f>
        <v>0.09</v>
      </c>
      <c r="F486">
        <f>IFERROR(__xludf.DUMMYFUNCTION("""COMPUTED_VALUE"""),2.03)</f>
        <v>2.03</v>
      </c>
      <c r="G486">
        <f>IFERROR(__xludf.DUMMYFUNCTION("""COMPUTED_VALUE"""),4.19)</f>
        <v>4.19</v>
      </c>
    </row>
    <row r="487">
      <c r="A487">
        <f>IFERROR(__xludf.DUMMYFUNCTION("""COMPUTED_VALUE"""),169138.0)</f>
        <v>169138</v>
      </c>
      <c r="B487" t="str">
        <f>IFERROR(__xludf.DUMMYFUNCTION("""COMPUTED_VALUE"""),"Mung Beans Mature Seeds Sprouted Cooked Stir-Fried")</f>
        <v>Mung Beans Mature Seeds Sprouted Cooked Stir-Fried</v>
      </c>
      <c r="C487" t="str">
        <f>IFERROR(__xludf.DUMMYFUNCTION("""COMPUTED_VALUE"""),"Vegetables")</f>
        <v>Vegetables</v>
      </c>
      <c r="D487">
        <f>IFERROR(__xludf.DUMMYFUNCTION("""COMPUTED_VALUE"""),50.0)</f>
        <v>50</v>
      </c>
      <c r="E487">
        <f>IFERROR(__xludf.DUMMYFUNCTION("""COMPUTED_VALUE"""),0.21)</f>
        <v>0.21</v>
      </c>
      <c r="F487">
        <f>IFERROR(__xludf.DUMMYFUNCTION("""COMPUTED_VALUE"""),4.3)</f>
        <v>4.3</v>
      </c>
      <c r="G487">
        <f>IFERROR(__xludf.DUMMYFUNCTION("""COMPUTED_VALUE"""),10.59)</f>
        <v>10.59</v>
      </c>
    </row>
    <row r="488">
      <c r="A488">
        <f>IFERROR(__xludf.DUMMYFUNCTION("""COMPUTED_VALUE"""),169139.0)</f>
        <v>169139</v>
      </c>
      <c r="B488" t="str">
        <f>IFERROR(__xludf.DUMMYFUNCTION("""COMPUTED_VALUE"""),"Beans Navy Mature Seeds Sprouted Raw")</f>
        <v>Beans Navy Mature Seeds Sprouted Raw</v>
      </c>
      <c r="C488" t="str">
        <f>IFERROR(__xludf.DUMMYFUNCTION("""COMPUTED_VALUE"""),"Vegetables")</f>
        <v>Vegetables</v>
      </c>
      <c r="D488">
        <f>IFERROR(__xludf.DUMMYFUNCTION("""COMPUTED_VALUE"""),67.0)</f>
        <v>67</v>
      </c>
      <c r="E488">
        <f>IFERROR(__xludf.DUMMYFUNCTION("""COMPUTED_VALUE"""),0.7)</f>
        <v>0.7</v>
      </c>
      <c r="F488">
        <f>IFERROR(__xludf.DUMMYFUNCTION("""COMPUTED_VALUE"""),6.15)</f>
        <v>6.15</v>
      </c>
      <c r="G488">
        <f>IFERROR(__xludf.DUMMYFUNCTION("""COMPUTED_VALUE"""),13.05)</f>
        <v>13.05</v>
      </c>
    </row>
    <row r="489">
      <c r="A489">
        <f>IFERROR(__xludf.DUMMYFUNCTION("""COMPUTED_VALUE"""),169140.0)</f>
        <v>169140</v>
      </c>
      <c r="B489" t="str">
        <f>IFERROR(__xludf.DUMMYFUNCTION("""COMPUTED_VALUE"""),"Beans Navy Mature Seeds Sprouted Cooked Boiled Drained Without Salt")</f>
        <v>Beans Navy Mature Seeds Sprouted Cooked Boiled Drained Without Salt</v>
      </c>
      <c r="C489" t="str">
        <f>IFERROR(__xludf.DUMMYFUNCTION("""COMPUTED_VALUE"""),"Vegetables")</f>
        <v>Vegetables</v>
      </c>
      <c r="D489">
        <f>IFERROR(__xludf.DUMMYFUNCTION("""COMPUTED_VALUE"""),78.0)</f>
        <v>78</v>
      </c>
      <c r="E489">
        <f>IFERROR(__xludf.DUMMYFUNCTION("""COMPUTED_VALUE"""),0.81)</f>
        <v>0.81</v>
      </c>
      <c r="F489">
        <f>IFERROR(__xludf.DUMMYFUNCTION("""COMPUTED_VALUE"""),7.07)</f>
        <v>7.07</v>
      </c>
      <c r="G489">
        <f>IFERROR(__xludf.DUMMYFUNCTION("""COMPUTED_VALUE"""),15.01)</f>
        <v>15.01</v>
      </c>
    </row>
    <row r="490">
      <c r="A490">
        <f>IFERROR(__xludf.DUMMYFUNCTION("""COMPUTED_VALUE"""),169141.0)</f>
        <v>169141</v>
      </c>
      <c r="B490" t="str">
        <f>IFERROR(__xludf.DUMMYFUNCTION("""COMPUTED_VALUE"""),"Cooked Green Snap Beans")</f>
        <v>Cooked Green Snap Beans</v>
      </c>
      <c r="C490" t="str">
        <f>IFERROR(__xludf.DUMMYFUNCTION("""COMPUTED_VALUE"""),"Vegetables")</f>
        <v>Vegetables</v>
      </c>
      <c r="D490">
        <f>IFERROR(__xludf.DUMMYFUNCTION("""COMPUTED_VALUE"""),35.0)</f>
        <v>35</v>
      </c>
      <c r="E490">
        <f>IFERROR(__xludf.DUMMYFUNCTION("""COMPUTED_VALUE"""),0.28)</f>
        <v>0.28</v>
      </c>
      <c r="F490">
        <f>IFERROR(__xludf.DUMMYFUNCTION("""COMPUTED_VALUE"""),1.89)</f>
        <v>1.89</v>
      </c>
      <c r="G490">
        <f>IFERROR(__xludf.DUMMYFUNCTION("""COMPUTED_VALUE"""),7.88)</f>
        <v>7.88</v>
      </c>
    </row>
    <row r="491">
      <c r="A491">
        <f>IFERROR(__xludf.DUMMYFUNCTION("""COMPUTED_VALUE"""),169142.0)</f>
        <v>169142</v>
      </c>
      <c r="B491" t="str">
        <f>IFERROR(__xludf.DUMMYFUNCTION("""COMPUTED_VALUE"""),"Canned Green Beans")</f>
        <v>Canned Green Beans</v>
      </c>
      <c r="C491" t="str">
        <f>IFERROR(__xludf.DUMMYFUNCTION("""COMPUTED_VALUE"""),"Vegetables")</f>
        <v>Vegetables</v>
      </c>
      <c r="D491">
        <f>IFERROR(__xludf.DUMMYFUNCTION("""COMPUTED_VALUE"""),15.0)</f>
        <v>15</v>
      </c>
      <c r="E491">
        <f>IFERROR(__xludf.DUMMYFUNCTION("""COMPUTED_VALUE"""),0.17)</f>
        <v>0.17</v>
      </c>
      <c r="F491">
        <f>IFERROR(__xludf.DUMMYFUNCTION("""COMPUTED_VALUE"""),0.72)</f>
        <v>0.72</v>
      </c>
      <c r="G491">
        <f>IFERROR(__xludf.DUMMYFUNCTION("""COMPUTED_VALUE"""),3.27)</f>
        <v>3.27</v>
      </c>
    </row>
    <row r="492">
      <c r="A492">
        <f>IFERROR(__xludf.DUMMYFUNCTION("""COMPUTED_VALUE"""),169143.0)</f>
        <v>169143</v>
      </c>
      <c r="B492" t="str">
        <f>IFERROR(__xludf.DUMMYFUNCTION("""COMPUTED_VALUE"""),"Beans Snap Green Canned Regular Pack Drained Solids")</f>
        <v>Beans Snap Green Canned Regular Pack Drained Solids</v>
      </c>
      <c r="C492" t="str">
        <f>IFERROR(__xludf.DUMMYFUNCTION("""COMPUTED_VALUE"""),"Vegetables")</f>
        <v>Vegetables</v>
      </c>
      <c r="D492">
        <f>IFERROR(__xludf.DUMMYFUNCTION("""COMPUTED_VALUE"""),21.0)</f>
        <v>21</v>
      </c>
      <c r="E492">
        <f>IFERROR(__xludf.DUMMYFUNCTION("""COMPUTED_VALUE"""),0.41)</f>
        <v>0.41</v>
      </c>
      <c r="F492">
        <f>IFERROR(__xludf.DUMMYFUNCTION("""COMPUTED_VALUE"""),1.05)</f>
        <v>1.05</v>
      </c>
      <c r="G492">
        <f>IFERROR(__xludf.DUMMYFUNCTION("""COMPUTED_VALUE"""),4.19)</f>
        <v>4.19</v>
      </c>
    </row>
    <row r="493">
      <c r="A493">
        <f>IFERROR(__xludf.DUMMYFUNCTION("""COMPUTED_VALUE"""),169144.0)</f>
        <v>169144</v>
      </c>
      <c r="B493" t="str">
        <f>IFERROR(__xludf.DUMMYFUNCTION("""COMPUTED_VALUE"""),"Beans Snap Canned All Styles Seasoned Solids And Liquids")</f>
        <v>Beans Snap Canned All Styles Seasoned Solids And Liquids</v>
      </c>
      <c r="C493" t="str">
        <f>IFERROR(__xludf.DUMMYFUNCTION("""COMPUTED_VALUE"""),"Vegetables")</f>
        <v>Vegetables</v>
      </c>
      <c r="D493">
        <f>IFERROR(__xludf.DUMMYFUNCTION("""COMPUTED_VALUE"""),16.0)</f>
        <v>16</v>
      </c>
      <c r="E493">
        <f>IFERROR(__xludf.DUMMYFUNCTION("""COMPUTED_VALUE"""),0.2)</f>
        <v>0.2</v>
      </c>
      <c r="F493">
        <f>IFERROR(__xludf.DUMMYFUNCTION("""COMPUTED_VALUE"""),0.83)</f>
        <v>0.83</v>
      </c>
      <c r="G493">
        <f>IFERROR(__xludf.DUMMYFUNCTION("""COMPUTED_VALUE"""),3.49)</f>
        <v>3.49</v>
      </c>
    </row>
    <row r="494">
      <c r="A494">
        <f>IFERROR(__xludf.DUMMYFUNCTION("""COMPUTED_VALUE"""),169145.0)</f>
        <v>169145</v>
      </c>
      <c r="B494" t="str">
        <f>IFERROR(__xludf.DUMMYFUNCTION("""COMPUTED_VALUE"""),"Beets (Raw)")</f>
        <v>Beets (Raw)</v>
      </c>
      <c r="C494" t="str">
        <f>IFERROR(__xludf.DUMMYFUNCTION("""COMPUTED_VALUE"""),"Vegetables")</f>
        <v>Vegetables</v>
      </c>
      <c r="D494">
        <f>IFERROR(__xludf.DUMMYFUNCTION("""COMPUTED_VALUE"""),43.0)</f>
        <v>43</v>
      </c>
      <c r="E494">
        <f>IFERROR(__xludf.DUMMYFUNCTION("""COMPUTED_VALUE"""),0.17)</f>
        <v>0.17</v>
      </c>
      <c r="F494">
        <f>IFERROR(__xludf.DUMMYFUNCTION("""COMPUTED_VALUE"""),1.61)</f>
        <v>1.61</v>
      </c>
      <c r="G494">
        <f>IFERROR(__xludf.DUMMYFUNCTION("""COMPUTED_VALUE"""),9.56)</f>
        <v>9.56</v>
      </c>
    </row>
    <row r="495">
      <c r="A495">
        <f>IFERROR(__xludf.DUMMYFUNCTION("""COMPUTED_VALUE"""),169146.0)</f>
        <v>169146</v>
      </c>
      <c r="B495" t="str">
        <f>IFERROR(__xludf.DUMMYFUNCTION("""COMPUTED_VALUE"""),"Cooked Beets")</f>
        <v>Cooked Beets</v>
      </c>
      <c r="C495" t="str">
        <f>IFERROR(__xludf.DUMMYFUNCTION("""COMPUTED_VALUE"""),"Vegetables")</f>
        <v>Vegetables</v>
      </c>
      <c r="D495">
        <f>IFERROR(__xludf.DUMMYFUNCTION("""COMPUTED_VALUE"""),44.0)</f>
        <v>44</v>
      </c>
      <c r="E495">
        <f>IFERROR(__xludf.DUMMYFUNCTION("""COMPUTED_VALUE"""),0.18)</f>
        <v>0.18</v>
      </c>
      <c r="F495">
        <f>IFERROR(__xludf.DUMMYFUNCTION("""COMPUTED_VALUE"""),1.68)</f>
        <v>1.68</v>
      </c>
      <c r="G495">
        <f>IFERROR(__xludf.DUMMYFUNCTION("""COMPUTED_VALUE"""),9.96)</f>
        <v>9.96</v>
      </c>
    </row>
    <row r="496">
      <c r="A496">
        <f>IFERROR(__xludf.DUMMYFUNCTION("""COMPUTED_VALUE"""),169147.0)</f>
        <v>169147</v>
      </c>
      <c r="B496" t="str">
        <f>IFERROR(__xludf.DUMMYFUNCTION("""COMPUTED_VALUE"""),"Beets Canned Regular Pack Solids And Liquids")</f>
        <v>Beets Canned Regular Pack Solids And Liquids</v>
      </c>
      <c r="C496" t="str">
        <f>IFERROR(__xludf.DUMMYFUNCTION("""COMPUTED_VALUE"""),"Vegetables")</f>
        <v>Vegetables</v>
      </c>
      <c r="D496">
        <f>IFERROR(__xludf.DUMMYFUNCTION("""COMPUTED_VALUE"""),30.0)</f>
        <v>30</v>
      </c>
      <c r="E496">
        <f>IFERROR(__xludf.DUMMYFUNCTION("""COMPUTED_VALUE"""),0.09)</f>
        <v>0.09</v>
      </c>
      <c r="F496">
        <f>IFERROR(__xludf.DUMMYFUNCTION("""COMPUTED_VALUE"""),0.73)</f>
        <v>0.73</v>
      </c>
      <c r="G496">
        <f>IFERROR(__xludf.DUMMYFUNCTION("""COMPUTED_VALUE"""),7.14)</f>
        <v>7.14</v>
      </c>
    </row>
    <row r="497">
      <c r="A497">
        <f>IFERROR(__xludf.DUMMYFUNCTION("""COMPUTED_VALUE"""),169202.0)</f>
        <v>169202</v>
      </c>
      <c r="B497" t="str">
        <f>IFERROR(__xludf.DUMMYFUNCTION("""COMPUTED_VALUE"""),"Amaranth Leaves Cooked Boiled Drained Without Salt")</f>
        <v>Amaranth Leaves Cooked Boiled Drained Without Salt</v>
      </c>
      <c r="C497" t="str">
        <f>IFERROR(__xludf.DUMMYFUNCTION("""COMPUTED_VALUE"""),"Vegetables")</f>
        <v>Vegetables</v>
      </c>
      <c r="D497">
        <f>IFERROR(__xludf.DUMMYFUNCTION("""COMPUTED_VALUE"""),21.0)</f>
        <v>21</v>
      </c>
      <c r="E497">
        <f>IFERROR(__xludf.DUMMYFUNCTION("""COMPUTED_VALUE"""),0.18)</f>
        <v>0.18</v>
      </c>
      <c r="F497">
        <f>IFERROR(__xludf.DUMMYFUNCTION("""COMPUTED_VALUE"""),2.11)</f>
        <v>2.11</v>
      </c>
      <c r="G497">
        <f>IFERROR(__xludf.DUMMYFUNCTION("""COMPUTED_VALUE"""),4.11)</f>
        <v>4.11</v>
      </c>
    </row>
    <row r="498">
      <c r="A498">
        <f>IFERROR(__xludf.DUMMYFUNCTION("""COMPUTED_VALUE"""),169203.0)</f>
        <v>169203</v>
      </c>
      <c r="B498" t="str">
        <f>IFERROR(__xludf.DUMMYFUNCTION("""COMPUTED_VALUE"""),"Arrowhead Raw")</f>
        <v>Arrowhead Raw</v>
      </c>
      <c r="C498" t="str">
        <f>IFERROR(__xludf.DUMMYFUNCTION("""COMPUTED_VALUE"""),"Vegetables")</f>
        <v>Vegetables</v>
      </c>
      <c r="D498">
        <f>IFERROR(__xludf.DUMMYFUNCTION("""COMPUTED_VALUE"""),99.0)</f>
        <v>99</v>
      </c>
      <c r="E498">
        <f>IFERROR(__xludf.DUMMYFUNCTION("""COMPUTED_VALUE"""),0.29)</f>
        <v>0.29</v>
      </c>
      <c r="F498">
        <f>IFERROR(__xludf.DUMMYFUNCTION("""COMPUTED_VALUE"""),5.33)</f>
        <v>5.33</v>
      </c>
      <c r="G498">
        <f>IFERROR(__xludf.DUMMYFUNCTION("""COMPUTED_VALUE"""),20.23)</f>
        <v>20.23</v>
      </c>
    </row>
    <row r="499">
      <c r="A499">
        <f>IFERROR(__xludf.DUMMYFUNCTION("""COMPUTED_VALUE"""),169204.0)</f>
        <v>169204</v>
      </c>
      <c r="B499" t="str">
        <f>IFERROR(__xludf.DUMMYFUNCTION("""COMPUTED_VALUE"""),"Arrowhead Cooked Boiled Drained Without Salt")</f>
        <v>Arrowhead Cooked Boiled Drained Without Salt</v>
      </c>
      <c r="C499" t="str">
        <f>IFERROR(__xludf.DUMMYFUNCTION("""COMPUTED_VALUE"""),"Vegetables")</f>
        <v>Vegetables</v>
      </c>
      <c r="D499">
        <f>IFERROR(__xludf.DUMMYFUNCTION("""COMPUTED_VALUE"""),78.0)</f>
        <v>78</v>
      </c>
      <c r="E499">
        <f>IFERROR(__xludf.DUMMYFUNCTION("""COMPUTED_VALUE"""),0.1)</f>
        <v>0.1</v>
      </c>
      <c r="F499">
        <f>IFERROR(__xludf.DUMMYFUNCTION("""COMPUTED_VALUE"""),4.49)</f>
        <v>4.49</v>
      </c>
      <c r="G499">
        <f>IFERROR(__xludf.DUMMYFUNCTION("""COMPUTED_VALUE"""),16.14)</f>
        <v>16.14</v>
      </c>
    </row>
    <row r="500">
      <c r="A500">
        <f>IFERROR(__xludf.DUMMYFUNCTION("""COMPUTED_VALUE"""),169205.0)</f>
        <v>169205</v>
      </c>
      <c r="B500" t="str">
        <f>IFERROR(__xludf.DUMMYFUNCTION("""COMPUTED_VALUE"""),"Artichokes (Globe Or French)")</f>
        <v>Artichokes (Globe Or French)</v>
      </c>
      <c r="C500" t="str">
        <f>IFERROR(__xludf.DUMMYFUNCTION("""COMPUTED_VALUE"""),"Vegetables")</f>
        <v>Vegetables</v>
      </c>
      <c r="D500">
        <f>IFERROR(__xludf.DUMMYFUNCTION("""COMPUTED_VALUE"""),47.0)</f>
        <v>47</v>
      </c>
      <c r="E500">
        <f>IFERROR(__xludf.DUMMYFUNCTION("""COMPUTED_VALUE"""),0.15)</f>
        <v>0.15</v>
      </c>
      <c r="F500">
        <f>IFERROR(__xludf.DUMMYFUNCTION("""COMPUTED_VALUE"""),3.27)</f>
        <v>3.27</v>
      </c>
      <c r="G500">
        <f>IFERROR(__xludf.DUMMYFUNCTION("""COMPUTED_VALUE"""),10.51)</f>
        <v>10.51</v>
      </c>
    </row>
    <row r="501">
      <c r="A501">
        <f>IFERROR(__xludf.DUMMYFUNCTION("""COMPUTED_VALUE"""),169206.0)</f>
        <v>169206</v>
      </c>
      <c r="B501" t="str">
        <f>IFERROR(__xludf.DUMMYFUNCTION("""COMPUTED_VALUE"""),"Asparagus Canned Regular Pack Solids And Liquids")</f>
        <v>Asparagus Canned Regular Pack Solids And Liquids</v>
      </c>
      <c r="C501" t="str">
        <f>IFERROR(__xludf.DUMMYFUNCTION("""COMPUTED_VALUE"""),"Vegetables")</f>
        <v>Vegetables</v>
      </c>
      <c r="D501">
        <f>IFERROR(__xludf.DUMMYFUNCTION("""COMPUTED_VALUE"""),15.0)</f>
        <v>15</v>
      </c>
      <c r="E501">
        <f>IFERROR(__xludf.DUMMYFUNCTION("""COMPUTED_VALUE"""),0.18)</f>
        <v>0.18</v>
      </c>
      <c r="F501">
        <f>IFERROR(__xludf.DUMMYFUNCTION("""COMPUTED_VALUE"""),1.8)</f>
        <v>1.8</v>
      </c>
      <c r="G501">
        <f>IFERROR(__xludf.DUMMYFUNCTION("""COMPUTED_VALUE"""),2.48)</f>
        <v>2.48</v>
      </c>
    </row>
    <row r="502">
      <c r="A502">
        <f>IFERROR(__xludf.DUMMYFUNCTION("""COMPUTED_VALUE"""),169207.0)</f>
        <v>169207</v>
      </c>
      <c r="B502" t="str">
        <f>IFERROR(__xludf.DUMMYFUNCTION("""COMPUTED_VALUE"""),"Canned Asparagus")</f>
        <v>Canned Asparagus</v>
      </c>
      <c r="C502" t="str">
        <f>IFERROR(__xludf.DUMMYFUNCTION("""COMPUTED_VALUE"""),"Vegetables")</f>
        <v>Vegetables</v>
      </c>
      <c r="D502">
        <f>IFERROR(__xludf.DUMMYFUNCTION("""COMPUTED_VALUE"""),19.0)</f>
        <v>19</v>
      </c>
      <c r="E502">
        <f>IFERROR(__xludf.DUMMYFUNCTION("""COMPUTED_VALUE"""),0.65)</f>
        <v>0.65</v>
      </c>
      <c r="F502">
        <f>IFERROR(__xludf.DUMMYFUNCTION("""COMPUTED_VALUE"""),2.14)</f>
        <v>2.14</v>
      </c>
      <c r="G502">
        <f>IFERROR(__xludf.DUMMYFUNCTION("""COMPUTED_VALUE"""),2.46)</f>
        <v>2.46</v>
      </c>
    </row>
    <row r="503">
      <c r="A503">
        <f>IFERROR(__xludf.DUMMYFUNCTION("""COMPUTED_VALUE"""),169208.0)</f>
        <v>169208</v>
      </c>
      <c r="B503" t="str">
        <f>IFERROR(__xludf.DUMMYFUNCTION("""COMPUTED_VALUE"""),"Asparagus Frozen Unprepared")</f>
        <v>Asparagus Frozen Unprepared</v>
      </c>
      <c r="C503" t="str">
        <f>IFERROR(__xludf.DUMMYFUNCTION("""COMPUTED_VALUE"""),"Vegetables")</f>
        <v>Vegetables</v>
      </c>
      <c r="D503">
        <f>IFERROR(__xludf.DUMMYFUNCTION("""COMPUTED_VALUE"""),24.0)</f>
        <v>24</v>
      </c>
      <c r="E503">
        <f>IFERROR(__xludf.DUMMYFUNCTION("""COMPUTED_VALUE"""),0.23)</f>
        <v>0.23</v>
      </c>
      <c r="F503">
        <f>IFERROR(__xludf.DUMMYFUNCTION("""COMPUTED_VALUE"""),3.23)</f>
        <v>3.23</v>
      </c>
      <c r="G503">
        <f>IFERROR(__xludf.DUMMYFUNCTION("""COMPUTED_VALUE"""),4.1)</f>
        <v>4.1</v>
      </c>
    </row>
    <row r="504">
      <c r="A504">
        <f>IFERROR(__xludf.DUMMYFUNCTION("""COMPUTED_VALUE"""),169209.0)</f>
        <v>169209</v>
      </c>
      <c r="B504" t="str">
        <f>IFERROR(__xludf.DUMMYFUNCTION("""COMPUTED_VALUE"""),"Asparagus Frozen Cooked Boiled Drained Without Salt")</f>
        <v>Asparagus Frozen Cooked Boiled Drained Without Salt</v>
      </c>
      <c r="C504" t="str">
        <f>IFERROR(__xludf.DUMMYFUNCTION("""COMPUTED_VALUE"""),"Vegetables")</f>
        <v>Vegetables</v>
      </c>
      <c r="D504">
        <f>IFERROR(__xludf.DUMMYFUNCTION("""COMPUTED_VALUE"""),18.0)</f>
        <v>18</v>
      </c>
      <c r="E504">
        <f>IFERROR(__xludf.DUMMYFUNCTION("""COMPUTED_VALUE"""),0.42)</f>
        <v>0.42</v>
      </c>
      <c r="F504">
        <f>IFERROR(__xludf.DUMMYFUNCTION("""COMPUTED_VALUE"""),2.95)</f>
        <v>2.95</v>
      </c>
      <c r="G504">
        <f>IFERROR(__xludf.DUMMYFUNCTION("""COMPUTED_VALUE"""),1.92)</f>
        <v>1.92</v>
      </c>
    </row>
    <row r="505">
      <c r="A505">
        <f>IFERROR(__xludf.DUMMYFUNCTION("""COMPUTED_VALUE"""),169210.0)</f>
        <v>169210</v>
      </c>
      <c r="B505" t="str">
        <f>IFERROR(__xludf.DUMMYFUNCTION("""COMPUTED_VALUE"""),"Bamboo Shoots")</f>
        <v>Bamboo Shoots</v>
      </c>
      <c r="C505" t="str">
        <f>IFERROR(__xludf.DUMMYFUNCTION("""COMPUTED_VALUE"""),"Vegetables")</f>
        <v>Vegetables</v>
      </c>
      <c r="D505">
        <f>IFERROR(__xludf.DUMMYFUNCTION("""COMPUTED_VALUE"""),27.0)</f>
        <v>27</v>
      </c>
      <c r="E505">
        <f>IFERROR(__xludf.DUMMYFUNCTION("""COMPUTED_VALUE"""),0.3)</f>
        <v>0.3</v>
      </c>
      <c r="F505">
        <f>IFERROR(__xludf.DUMMYFUNCTION("""COMPUTED_VALUE"""),2.6)</f>
        <v>2.6</v>
      </c>
      <c r="G505">
        <f>IFERROR(__xludf.DUMMYFUNCTION("""COMPUTED_VALUE"""),5.2)</f>
        <v>5.2</v>
      </c>
    </row>
    <row r="506">
      <c r="A506">
        <f>IFERROR(__xludf.DUMMYFUNCTION("""COMPUTED_VALUE"""),169211.0)</f>
        <v>169211</v>
      </c>
      <c r="B506" t="str">
        <f>IFERROR(__xludf.DUMMYFUNCTION("""COMPUTED_VALUE"""),"Bamboo Shoots (Cooked)")</f>
        <v>Bamboo Shoots (Cooked)</v>
      </c>
      <c r="C506" t="str">
        <f>IFERROR(__xludf.DUMMYFUNCTION("""COMPUTED_VALUE"""),"Vegetables")</f>
        <v>Vegetables</v>
      </c>
      <c r="D506">
        <f>IFERROR(__xludf.DUMMYFUNCTION("""COMPUTED_VALUE"""),12.0)</f>
        <v>12</v>
      </c>
      <c r="E506">
        <f>IFERROR(__xludf.DUMMYFUNCTION("""COMPUTED_VALUE"""),0.22)</f>
        <v>0.22</v>
      </c>
      <c r="F506">
        <f>IFERROR(__xludf.DUMMYFUNCTION("""COMPUTED_VALUE"""),1.53)</f>
        <v>1.53</v>
      </c>
      <c r="G506">
        <f>IFERROR(__xludf.DUMMYFUNCTION("""COMPUTED_VALUE"""),1.92)</f>
        <v>1.92</v>
      </c>
    </row>
    <row r="507">
      <c r="A507">
        <f>IFERROR(__xludf.DUMMYFUNCTION("""COMPUTED_VALUE"""),169212.0)</f>
        <v>169212</v>
      </c>
      <c r="B507" t="str">
        <f>IFERROR(__xludf.DUMMYFUNCTION("""COMPUTED_VALUE"""),"Bamboo Shoots (Canned)")</f>
        <v>Bamboo Shoots (Canned)</v>
      </c>
      <c r="C507" t="str">
        <f>IFERROR(__xludf.DUMMYFUNCTION("""COMPUTED_VALUE"""),"Vegetables")</f>
        <v>Vegetables</v>
      </c>
      <c r="D507">
        <f>IFERROR(__xludf.DUMMYFUNCTION("""COMPUTED_VALUE"""),19.0)</f>
        <v>19</v>
      </c>
      <c r="E507">
        <f>IFERROR(__xludf.DUMMYFUNCTION("""COMPUTED_VALUE"""),0.4)</f>
        <v>0.4</v>
      </c>
      <c r="F507">
        <f>IFERROR(__xludf.DUMMYFUNCTION("""COMPUTED_VALUE"""),1.72)</f>
        <v>1.72</v>
      </c>
      <c r="G507">
        <f>IFERROR(__xludf.DUMMYFUNCTION("""COMPUTED_VALUE"""),3.22)</f>
        <v>3.22</v>
      </c>
    </row>
    <row r="508">
      <c r="A508">
        <f>IFERROR(__xludf.DUMMYFUNCTION("""COMPUTED_VALUE"""),169213.0)</f>
        <v>169213</v>
      </c>
      <c r="B508" t="str">
        <f>IFERROR(__xludf.DUMMYFUNCTION("""COMPUTED_VALUE"""),"Kidney Bean Sprouts")</f>
        <v>Kidney Bean Sprouts</v>
      </c>
      <c r="C508" t="str">
        <f>IFERROR(__xludf.DUMMYFUNCTION("""COMPUTED_VALUE"""),"Vegetables")</f>
        <v>Vegetables</v>
      </c>
      <c r="D508">
        <f>IFERROR(__xludf.DUMMYFUNCTION("""COMPUTED_VALUE"""),29.0)</f>
        <v>29</v>
      </c>
      <c r="E508">
        <f>IFERROR(__xludf.DUMMYFUNCTION("""COMPUTED_VALUE"""),0.5)</f>
        <v>0.5</v>
      </c>
      <c r="F508">
        <f>IFERROR(__xludf.DUMMYFUNCTION("""COMPUTED_VALUE"""),4.2)</f>
        <v>4.2</v>
      </c>
      <c r="G508">
        <f>IFERROR(__xludf.DUMMYFUNCTION("""COMPUTED_VALUE"""),4.1)</f>
        <v>4.1</v>
      </c>
    </row>
    <row r="509">
      <c r="A509">
        <f>IFERROR(__xludf.DUMMYFUNCTION("""COMPUTED_VALUE"""),169214.0)</f>
        <v>169214</v>
      </c>
      <c r="B509" t="str">
        <f>IFERROR(__xludf.DUMMYFUNCTION("""COMPUTED_VALUE"""),"Corn Sweet Yellow Canned Whole Kernel Drained Solids")</f>
        <v>Corn Sweet Yellow Canned Whole Kernel Drained Solids</v>
      </c>
      <c r="C509" t="str">
        <f>IFERROR(__xludf.DUMMYFUNCTION("""COMPUTED_VALUE"""),"Vegetables")</f>
        <v>Vegetables</v>
      </c>
      <c r="D509">
        <f>IFERROR(__xludf.DUMMYFUNCTION("""COMPUTED_VALUE"""),67.0)</f>
        <v>67</v>
      </c>
      <c r="E509">
        <f>IFERROR(__xludf.DUMMYFUNCTION("""COMPUTED_VALUE"""),1.22)</f>
        <v>1.22</v>
      </c>
      <c r="F509">
        <f>IFERROR(__xludf.DUMMYFUNCTION("""COMPUTED_VALUE"""),2.29)</f>
        <v>2.29</v>
      </c>
      <c r="G509">
        <f>IFERROR(__xludf.DUMMYFUNCTION("""COMPUTED_VALUE"""),14.34)</f>
        <v>14.34</v>
      </c>
    </row>
    <row r="510">
      <c r="A510">
        <f>IFERROR(__xludf.DUMMYFUNCTION("""COMPUTED_VALUE"""),169215.0)</f>
        <v>169215</v>
      </c>
      <c r="B510" t="str">
        <f>IFERROR(__xludf.DUMMYFUNCTION("""COMPUTED_VALUE"""),"Corn Sweet Yellow Canned Cream Style Regular Pack")</f>
        <v>Corn Sweet Yellow Canned Cream Style Regular Pack</v>
      </c>
      <c r="C510" t="str">
        <f>IFERROR(__xludf.DUMMYFUNCTION("""COMPUTED_VALUE"""),"Vegetables")</f>
        <v>Vegetables</v>
      </c>
      <c r="D510">
        <f>IFERROR(__xludf.DUMMYFUNCTION("""COMPUTED_VALUE"""),72.0)</f>
        <v>72</v>
      </c>
      <c r="E510">
        <f>IFERROR(__xludf.DUMMYFUNCTION("""COMPUTED_VALUE"""),0.42)</f>
        <v>0.42</v>
      </c>
      <c r="F510">
        <f>IFERROR(__xludf.DUMMYFUNCTION("""COMPUTED_VALUE"""),1.74)</f>
        <v>1.74</v>
      </c>
      <c r="G510">
        <f>IFERROR(__xludf.DUMMYFUNCTION("""COMPUTED_VALUE"""),18.13)</f>
        <v>18.13</v>
      </c>
    </row>
    <row r="511">
      <c r="A511">
        <f>IFERROR(__xludf.DUMMYFUNCTION("""COMPUTED_VALUE"""),169216.0)</f>
        <v>169216</v>
      </c>
      <c r="B511" t="str">
        <f>IFERROR(__xludf.DUMMYFUNCTION("""COMPUTED_VALUE"""),"Corn Sweet Yellow Canned Vacuum Pack Regular Pack")</f>
        <v>Corn Sweet Yellow Canned Vacuum Pack Regular Pack</v>
      </c>
      <c r="C511" t="str">
        <f>IFERROR(__xludf.DUMMYFUNCTION("""COMPUTED_VALUE"""),"Vegetables")</f>
        <v>Vegetables</v>
      </c>
      <c r="D511">
        <f>IFERROR(__xludf.DUMMYFUNCTION("""COMPUTED_VALUE"""),79.0)</f>
        <v>79</v>
      </c>
      <c r="E511">
        <f>IFERROR(__xludf.DUMMYFUNCTION("""COMPUTED_VALUE"""),0.5)</f>
        <v>0.5</v>
      </c>
      <c r="F511">
        <f>IFERROR(__xludf.DUMMYFUNCTION("""COMPUTED_VALUE"""),2.41)</f>
        <v>2.41</v>
      </c>
      <c r="G511">
        <f>IFERROR(__xludf.DUMMYFUNCTION("""COMPUTED_VALUE"""),19.44)</f>
        <v>19.44</v>
      </c>
    </row>
    <row r="512">
      <c r="A512">
        <f>IFERROR(__xludf.DUMMYFUNCTION("""COMPUTED_VALUE"""),169217.0)</f>
        <v>169217</v>
      </c>
      <c r="B512" t="str">
        <f>IFERROR(__xludf.DUMMYFUNCTION("""COMPUTED_VALUE"""),"Corn Yellow Whole Kernel Frozen Microwaved")</f>
        <v>Corn Yellow Whole Kernel Frozen Microwaved</v>
      </c>
      <c r="C512" t="str">
        <f>IFERROR(__xludf.DUMMYFUNCTION("""COMPUTED_VALUE"""),"Vegetables")</f>
        <v>Vegetables</v>
      </c>
      <c r="D512">
        <f>IFERROR(__xludf.DUMMYFUNCTION("""COMPUTED_VALUE"""),113.0)</f>
        <v>113</v>
      </c>
      <c r="E512">
        <f>IFERROR(__xludf.DUMMYFUNCTION("""COMPUTED_VALUE"""),1.42)</f>
        <v>1.42</v>
      </c>
      <c r="F512">
        <f>IFERROR(__xludf.DUMMYFUNCTION("""COMPUTED_VALUE"""),3.62)</f>
        <v>3.62</v>
      </c>
      <c r="G512">
        <f>IFERROR(__xludf.DUMMYFUNCTION("""COMPUTED_VALUE"""),25.87)</f>
        <v>25.87</v>
      </c>
    </row>
    <row r="513">
      <c r="A513">
        <f>IFERROR(__xludf.DUMMYFUNCTION("""COMPUTED_VALUE"""),169218.0)</f>
        <v>169218</v>
      </c>
      <c r="B513" t="str">
        <f>IFERROR(__xludf.DUMMYFUNCTION("""COMPUTED_VALUE"""),"Corn With Red And Green Peppers Canned Solids And Liquids")</f>
        <v>Corn With Red And Green Peppers Canned Solids And Liquids</v>
      </c>
      <c r="C513" t="str">
        <f>IFERROR(__xludf.DUMMYFUNCTION("""COMPUTED_VALUE"""),"Vegetables")</f>
        <v>Vegetables</v>
      </c>
      <c r="D513">
        <f>IFERROR(__xludf.DUMMYFUNCTION("""COMPUTED_VALUE"""),75.0)</f>
        <v>75</v>
      </c>
      <c r="E513">
        <f>IFERROR(__xludf.DUMMYFUNCTION("""COMPUTED_VALUE"""),0.55)</f>
        <v>0.55</v>
      </c>
      <c r="F513">
        <f>IFERROR(__xludf.DUMMYFUNCTION("""COMPUTED_VALUE"""),2.33)</f>
        <v>2.33</v>
      </c>
      <c r="G513">
        <f>IFERROR(__xludf.DUMMYFUNCTION("""COMPUTED_VALUE"""),18.17)</f>
        <v>18.17</v>
      </c>
    </row>
    <row r="514">
      <c r="A514">
        <f>IFERROR(__xludf.DUMMYFUNCTION("""COMPUTED_VALUE"""),169219.0)</f>
        <v>169219</v>
      </c>
      <c r="B514" t="str">
        <f>IFERROR(__xludf.DUMMYFUNCTION("""COMPUTED_VALUE"""),"Cornsalad Raw")</f>
        <v>Cornsalad Raw</v>
      </c>
      <c r="C514" t="str">
        <f>IFERROR(__xludf.DUMMYFUNCTION("""COMPUTED_VALUE"""),"Vegetables")</f>
        <v>Vegetables</v>
      </c>
      <c r="D514">
        <f>IFERROR(__xludf.DUMMYFUNCTION("""COMPUTED_VALUE"""),21.0)</f>
        <v>21</v>
      </c>
      <c r="E514">
        <f>IFERROR(__xludf.DUMMYFUNCTION("""COMPUTED_VALUE"""),0.4)</f>
        <v>0.4</v>
      </c>
      <c r="F514">
        <f>IFERROR(__xludf.DUMMYFUNCTION("""COMPUTED_VALUE"""),2.0)</f>
        <v>2</v>
      </c>
      <c r="G514">
        <f>IFERROR(__xludf.DUMMYFUNCTION("""COMPUTED_VALUE"""),3.6)</f>
        <v>3.6</v>
      </c>
    </row>
    <row r="515">
      <c r="A515">
        <f>IFERROR(__xludf.DUMMYFUNCTION("""COMPUTED_VALUE"""),169220.0)</f>
        <v>169220</v>
      </c>
      <c r="B515" t="str">
        <f>IFERROR(__xludf.DUMMYFUNCTION("""COMPUTED_VALUE"""),"Cowpeas (Blackeyes) Immature Seeds Raw")</f>
        <v>Cowpeas (Blackeyes) Immature Seeds Raw</v>
      </c>
      <c r="C515" t="str">
        <f>IFERROR(__xludf.DUMMYFUNCTION("""COMPUTED_VALUE"""),"Vegetables")</f>
        <v>Vegetables</v>
      </c>
      <c r="D515">
        <f>IFERROR(__xludf.DUMMYFUNCTION("""COMPUTED_VALUE"""),90.0)</f>
        <v>90</v>
      </c>
      <c r="E515">
        <f>IFERROR(__xludf.DUMMYFUNCTION("""COMPUTED_VALUE"""),0.35)</f>
        <v>0.35</v>
      </c>
      <c r="F515">
        <f>IFERROR(__xludf.DUMMYFUNCTION("""COMPUTED_VALUE"""),2.95)</f>
        <v>2.95</v>
      </c>
      <c r="G515">
        <f>IFERROR(__xludf.DUMMYFUNCTION("""COMPUTED_VALUE"""),18.83)</f>
        <v>18.83</v>
      </c>
    </row>
    <row r="516">
      <c r="A516">
        <f>IFERROR(__xludf.DUMMYFUNCTION("""COMPUTED_VALUE"""),169221.0)</f>
        <v>169221</v>
      </c>
      <c r="B516" t="str">
        <f>IFERROR(__xludf.DUMMYFUNCTION("""COMPUTED_VALUE"""),"Cowpeas Young Pods With Seeds Cooked Boiled Drained Without Salt")</f>
        <v>Cowpeas Young Pods With Seeds Cooked Boiled Drained Without Salt</v>
      </c>
      <c r="C516" t="str">
        <f>IFERROR(__xludf.DUMMYFUNCTION("""COMPUTED_VALUE"""),"Vegetables")</f>
        <v>Vegetables</v>
      </c>
      <c r="D516">
        <f>IFERROR(__xludf.DUMMYFUNCTION("""COMPUTED_VALUE"""),34.0)</f>
        <v>34</v>
      </c>
      <c r="E516">
        <f>IFERROR(__xludf.DUMMYFUNCTION("""COMPUTED_VALUE"""),0.3)</f>
        <v>0.3</v>
      </c>
      <c r="F516">
        <f>IFERROR(__xludf.DUMMYFUNCTION("""COMPUTED_VALUE"""),2.6)</f>
        <v>2.6</v>
      </c>
      <c r="G516">
        <f>IFERROR(__xludf.DUMMYFUNCTION("""COMPUTED_VALUE"""),7.0)</f>
        <v>7</v>
      </c>
    </row>
    <row r="517">
      <c r="A517">
        <f>IFERROR(__xludf.DUMMYFUNCTION("""COMPUTED_VALUE"""),169222.0)</f>
        <v>169222</v>
      </c>
      <c r="B517" t="str">
        <f>IFERROR(__xludf.DUMMYFUNCTION("""COMPUTED_VALUE"""),"Yardlong Bean Raw")</f>
        <v>Yardlong Bean Raw</v>
      </c>
      <c r="C517" t="str">
        <f>IFERROR(__xludf.DUMMYFUNCTION("""COMPUTED_VALUE"""),"Vegetables")</f>
        <v>Vegetables</v>
      </c>
      <c r="D517">
        <f>IFERROR(__xludf.DUMMYFUNCTION("""COMPUTED_VALUE"""),47.0)</f>
        <v>47</v>
      </c>
      <c r="E517">
        <f>IFERROR(__xludf.DUMMYFUNCTION("""COMPUTED_VALUE"""),0.4)</f>
        <v>0.4</v>
      </c>
      <c r="F517">
        <f>IFERROR(__xludf.DUMMYFUNCTION("""COMPUTED_VALUE"""),2.8)</f>
        <v>2.8</v>
      </c>
      <c r="G517">
        <f>IFERROR(__xludf.DUMMYFUNCTION("""COMPUTED_VALUE"""),8.35)</f>
        <v>8.35</v>
      </c>
    </row>
    <row r="518">
      <c r="A518">
        <f>IFERROR(__xludf.DUMMYFUNCTION("""COMPUTED_VALUE"""),169223.0)</f>
        <v>169223</v>
      </c>
      <c r="B518" t="str">
        <f>IFERROR(__xludf.DUMMYFUNCTION("""COMPUTED_VALUE"""),"Yardlong Bean Cooked Boiled Drained Without Salt")</f>
        <v>Yardlong Bean Cooked Boiled Drained Without Salt</v>
      </c>
      <c r="C518" t="str">
        <f>IFERROR(__xludf.DUMMYFUNCTION("""COMPUTED_VALUE"""),"Vegetables")</f>
        <v>Vegetables</v>
      </c>
      <c r="D518">
        <f>IFERROR(__xludf.DUMMYFUNCTION("""COMPUTED_VALUE"""),47.0)</f>
        <v>47</v>
      </c>
      <c r="E518">
        <f>IFERROR(__xludf.DUMMYFUNCTION("""COMPUTED_VALUE"""),0.1)</f>
        <v>0.1</v>
      </c>
      <c r="F518">
        <f>IFERROR(__xludf.DUMMYFUNCTION("""COMPUTED_VALUE"""),2.53)</f>
        <v>2.53</v>
      </c>
      <c r="G518">
        <f>IFERROR(__xludf.DUMMYFUNCTION("""COMPUTED_VALUE"""),9.18)</f>
        <v>9.18</v>
      </c>
    </row>
    <row r="519">
      <c r="A519">
        <f>IFERROR(__xludf.DUMMYFUNCTION("""COMPUTED_VALUE"""),169224.0)</f>
        <v>169224</v>
      </c>
      <c r="B519" t="str">
        <f>IFERROR(__xludf.DUMMYFUNCTION("""COMPUTED_VALUE"""),"Cowpeas Leafy Tips Raw")</f>
        <v>Cowpeas Leafy Tips Raw</v>
      </c>
      <c r="C519" t="str">
        <f>IFERROR(__xludf.DUMMYFUNCTION("""COMPUTED_VALUE"""),"Vegetables")</f>
        <v>Vegetables</v>
      </c>
      <c r="D519">
        <f>IFERROR(__xludf.DUMMYFUNCTION("""COMPUTED_VALUE"""),29.0)</f>
        <v>29</v>
      </c>
      <c r="E519">
        <f>IFERROR(__xludf.DUMMYFUNCTION("""COMPUTED_VALUE"""),0.25)</f>
        <v>0.25</v>
      </c>
      <c r="F519">
        <f>IFERROR(__xludf.DUMMYFUNCTION("""COMPUTED_VALUE"""),4.1)</f>
        <v>4.1</v>
      </c>
      <c r="G519">
        <f>IFERROR(__xludf.DUMMYFUNCTION("""COMPUTED_VALUE"""),4.82)</f>
        <v>4.82</v>
      </c>
    </row>
    <row r="520">
      <c r="A520">
        <f>IFERROR(__xludf.DUMMYFUNCTION("""COMPUTED_VALUE"""),169225.0)</f>
        <v>169225</v>
      </c>
      <c r="B520" t="str">
        <f>IFERROR(__xludf.DUMMYFUNCTION("""COMPUTED_VALUE"""),"Cucumber Peeled Raw")</f>
        <v>Cucumber Peeled Raw</v>
      </c>
      <c r="C520" t="str">
        <f>IFERROR(__xludf.DUMMYFUNCTION("""COMPUTED_VALUE"""),"Vegetables")</f>
        <v>Vegetables</v>
      </c>
      <c r="D520">
        <f>IFERROR(__xludf.DUMMYFUNCTION("""COMPUTED_VALUE"""),10.0)</f>
        <v>10</v>
      </c>
      <c r="E520">
        <f>IFERROR(__xludf.DUMMYFUNCTION("""COMPUTED_VALUE"""),0.16)</f>
        <v>0.16</v>
      </c>
      <c r="F520">
        <f>IFERROR(__xludf.DUMMYFUNCTION("""COMPUTED_VALUE"""),0.59)</f>
        <v>0.59</v>
      </c>
      <c r="G520">
        <f>IFERROR(__xludf.DUMMYFUNCTION("""COMPUTED_VALUE"""),2.16)</f>
        <v>2.16</v>
      </c>
    </row>
    <row r="521">
      <c r="A521">
        <f>IFERROR(__xludf.DUMMYFUNCTION("""COMPUTED_VALUE"""),169226.0)</f>
        <v>169226</v>
      </c>
      <c r="B521" t="str">
        <f>IFERROR(__xludf.DUMMYFUNCTION("""COMPUTED_VALUE"""),"Dandelion Greens")</f>
        <v>Dandelion Greens</v>
      </c>
      <c r="C521" t="str">
        <f>IFERROR(__xludf.DUMMYFUNCTION("""COMPUTED_VALUE"""),"Vegetables")</f>
        <v>Vegetables</v>
      </c>
      <c r="D521">
        <f>IFERROR(__xludf.DUMMYFUNCTION("""COMPUTED_VALUE"""),45.0)</f>
        <v>45</v>
      </c>
      <c r="E521">
        <f>IFERROR(__xludf.DUMMYFUNCTION("""COMPUTED_VALUE"""),0.7)</f>
        <v>0.7</v>
      </c>
      <c r="F521">
        <f>IFERROR(__xludf.DUMMYFUNCTION("""COMPUTED_VALUE"""),2.7)</f>
        <v>2.7</v>
      </c>
      <c r="G521">
        <f>IFERROR(__xludf.DUMMYFUNCTION("""COMPUTED_VALUE"""),9.2)</f>
        <v>9.2</v>
      </c>
    </row>
    <row r="522">
      <c r="A522">
        <f>IFERROR(__xludf.DUMMYFUNCTION("""COMPUTED_VALUE"""),169227.0)</f>
        <v>169227</v>
      </c>
      <c r="B522" t="str">
        <f>IFERROR(__xludf.DUMMYFUNCTION("""COMPUTED_VALUE"""),"Cooked Dandelion Greens")</f>
        <v>Cooked Dandelion Greens</v>
      </c>
      <c r="C522" t="str">
        <f>IFERROR(__xludf.DUMMYFUNCTION("""COMPUTED_VALUE"""),"Vegetables")</f>
        <v>Vegetables</v>
      </c>
      <c r="D522">
        <f>IFERROR(__xludf.DUMMYFUNCTION("""COMPUTED_VALUE"""),33.0)</f>
        <v>33</v>
      </c>
      <c r="E522">
        <f>IFERROR(__xludf.DUMMYFUNCTION("""COMPUTED_VALUE"""),0.6)</f>
        <v>0.6</v>
      </c>
      <c r="F522">
        <f>IFERROR(__xludf.DUMMYFUNCTION("""COMPUTED_VALUE"""),2.0)</f>
        <v>2</v>
      </c>
      <c r="G522">
        <f>IFERROR(__xludf.DUMMYFUNCTION("""COMPUTED_VALUE"""),6.4)</f>
        <v>6.4</v>
      </c>
    </row>
    <row r="523">
      <c r="A523">
        <f>IFERROR(__xludf.DUMMYFUNCTION("""COMPUTED_VALUE"""),169228.0)</f>
        <v>169228</v>
      </c>
      <c r="B523" t="str">
        <f>IFERROR(__xludf.DUMMYFUNCTION("""COMPUTED_VALUE"""),"Eggplant")</f>
        <v>Eggplant</v>
      </c>
      <c r="C523" t="str">
        <f>IFERROR(__xludf.DUMMYFUNCTION("""COMPUTED_VALUE"""),"Vegetables")</f>
        <v>Vegetables</v>
      </c>
      <c r="D523">
        <f>IFERROR(__xludf.DUMMYFUNCTION("""COMPUTED_VALUE"""),25.0)</f>
        <v>25</v>
      </c>
      <c r="E523">
        <f>IFERROR(__xludf.DUMMYFUNCTION("""COMPUTED_VALUE"""),0.18)</f>
        <v>0.18</v>
      </c>
      <c r="F523">
        <f>IFERROR(__xludf.DUMMYFUNCTION("""COMPUTED_VALUE"""),0.98)</f>
        <v>0.98</v>
      </c>
      <c r="G523">
        <f>IFERROR(__xludf.DUMMYFUNCTION("""COMPUTED_VALUE"""),5.88)</f>
        <v>5.88</v>
      </c>
    </row>
    <row r="524">
      <c r="A524">
        <f>IFERROR(__xludf.DUMMYFUNCTION("""COMPUTED_VALUE"""),169229.0)</f>
        <v>169229</v>
      </c>
      <c r="B524" t="str">
        <f>IFERROR(__xludf.DUMMYFUNCTION("""COMPUTED_VALUE"""),"Cooked Eggplant")</f>
        <v>Cooked Eggplant</v>
      </c>
      <c r="C524" t="str">
        <f>IFERROR(__xludf.DUMMYFUNCTION("""COMPUTED_VALUE"""),"Vegetables")</f>
        <v>Vegetables</v>
      </c>
      <c r="D524">
        <f>IFERROR(__xludf.DUMMYFUNCTION("""COMPUTED_VALUE"""),35.0)</f>
        <v>35</v>
      </c>
      <c r="E524">
        <f>IFERROR(__xludf.DUMMYFUNCTION("""COMPUTED_VALUE"""),0.23)</f>
        <v>0.23</v>
      </c>
      <c r="F524">
        <f>IFERROR(__xludf.DUMMYFUNCTION("""COMPUTED_VALUE"""),0.83)</f>
        <v>0.83</v>
      </c>
      <c r="G524">
        <f>IFERROR(__xludf.DUMMYFUNCTION("""COMPUTED_VALUE"""),8.73)</f>
        <v>8.73</v>
      </c>
    </row>
    <row r="525">
      <c r="A525">
        <f>IFERROR(__xludf.DUMMYFUNCTION("""COMPUTED_VALUE"""),169230.0)</f>
        <v>169230</v>
      </c>
      <c r="B525" t="str">
        <f>IFERROR(__xludf.DUMMYFUNCTION("""COMPUTED_VALUE"""),"Garlic")</f>
        <v>Garlic</v>
      </c>
      <c r="C525" t="str">
        <f>IFERROR(__xludf.DUMMYFUNCTION("""COMPUTED_VALUE"""),"Vegetables")</f>
        <v>Vegetables</v>
      </c>
      <c r="D525">
        <f>IFERROR(__xludf.DUMMYFUNCTION("""COMPUTED_VALUE"""),149.0)</f>
        <v>149</v>
      </c>
      <c r="E525">
        <f>IFERROR(__xludf.DUMMYFUNCTION("""COMPUTED_VALUE"""),0.5)</f>
        <v>0.5</v>
      </c>
      <c r="F525">
        <f>IFERROR(__xludf.DUMMYFUNCTION("""COMPUTED_VALUE"""),6.36)</f>
        <v>6.36</v>
      </c>
      <c r="G525">
        <f>IFERROR(__xludf.DUMMYFUNCTION("""COMPUTED_VALUE"""),33.06)</f>
        <v>33.06</v>
      </c>
    </row>
    <row r="526">
      <c r="A526">
        <f>IFERROR(__xludf.DUMMYFUNCTION("""COMPUTED_VALUE"""),169231.0)</f>
        <v>169231</v>
      </c>
      <c r="B526" t="str">
        <f>IFERROR(__xludf.DUMMYFUNCTION("""COMPUTED_VALUE"""),"Ginger")</f>
        <v>Ginger</v>
      </c>
      <c r="C526" t="str">
        <f>IFERROR(__xludf.DUMMYFUNCTION("""COMPUTED_VALUE"""),"Vegetables")</f>
        <v>Vegetables</v>
      </c>
      <c r="D526">
        <f>IFERROR(__xludf.DUMMYFUNCTION("""COMPUTED_VALUE"""),80.0)</f>
        <v>80</v>
      </c>
      <c r="E526">
        <f>IFERROR(__xludf.DUMMYFUNCTION("""COMPUTED_VALUE"""),0.75)</f>
        <v>0.75</v>
      </c>
      <c r="F526">
        <f>IFERROR(__xludf.DUMMYFUNCTION("""COMPUTED_VALUE"""),1.82)</f>
        <v>1.82</v>
      </c>
      <c r="G526">
        <f>IFERROR(__xludf.DUMMYFUNCTION("""COMPUTED_VALUE"""),17.77)</f>
        <v>17.77</v>
      </c>
    </row>
    <row r="527">
      <c r="A527">
        <f>IFERROR(__xludf.DUMMYFUNCTION("""COMPUTED_VALUE"""),169232.0)</f>
        <v>169232</v>
      </c>
      <c r="B527" t="str">
        <f>IFERROR(__xludf.DUMMYFUNCTION("""COMPUTED_VALUE"""),"Gourd White-Flowered (Calabash) Raw")</f>
        <v>Gourd White-Flowered (Calabash) Raw</v>
      </c>
      <c r="C527" t="str">
        <f>IFERROR(__xludf.DUMMYFUNCTION("""COMPUTED_VALUE"""),"Vegetables")</f>
        <v>Vegetables</v>
      </c>
      <c r="D527">
        <f>IFERROR(__xludf.DUMMYFUNCTION("""COMPUTED_VALUE"""),14.0)</f>
        <v>14</v>
      </c>
      <c r="E527">
        <f>IFERROR(__xludf.DUMMYFUNCTION("""COMPUTED_VALUE"""),0.02)</f>
        <v>0.02</v>
      </c>
      <c r="F527">
        <f>IFERROR(__xludf.DUMMYFUNCTION("""COMPUTED_VALUE"""),0.62)</f>
        <v>0.62</v>
      </c>
      <c r="G527">
        <f>IFERROR(__xludf.DUMMYFUNCTION("""COMPUTED_VALUE"""),3.39)</f>
        <v>3.39</v>
      </c>
    </row>
    <row r="528">
      <c r="A528">
        <f>IFERROR(__xludf.DUMMYFUNCTION("""COMPUTED_VALUE"""),169233.0)</f>
        <v>169233</v>
      </c>
      <c r="B528" t="str">
        <f>IFERROR(__xludf.DUMMYFUNCTION("""COMPUTED_VALUE"""),"Gourd White-Flowered (Calabash) Cooked Boiled Drained Without Salt")</f>
        <v>Gourd White-Flowered (Calabash) Cooked Boiled Drained Without Salt</v>
      </c>
      <c r="C528" t="str">
        <f>IFERROR(__xludf.DUMMYFUNCTION("""COMPUTED_VALUE"""),"Vegetables")</f>
        <v>Vegetables</v>
      </c>
      <c r="D528">
        <f>IFERROR(__xludf.DUMMYFUNCTION("""COMPUTED_VALUE"""),15.0)</f>
        <v>15</v>
      </c>
      <c r="E528">
        <f>IFERROR(__xludf.DUMMYFUNCTION("""COMPUTED_VALUE"""),0.02)</f>
        <v>0.02</v>
      </c>
      <c r="F528">
        <f>IFERROR(__xludf.DUMMYFUNCTION("""COMPUTED_VALUE"""),0.6)</f>
        <v>0.6</v>
      </c>
      <c r="G528">
        <f>IFERROR(__xludf.DUMMYFUNCTION("""COMPUTED_VALUE"""),3.69)</f>
        <v>3.69</v>
      </c>
    </row>
    <row r="529">
      <c r="A529">
        <f>IFERROR(__xludf.DUMMYFUNCTION("""COMPUTED_VALUE"""),169234.0)</f>
        <v>169234</v>
      </c>
      <c r="B529" t="str">
        <f>IFERROR(__xludf.DUMMYFUNCTION("""COMPUTED_VALUE"""),"Hyacinth-Beans Immature Seeds Raw")</f>
        <v>Hyacinth-Beans Immature Seeds Raw</v>
      </c>
      <c r="C529" t="str">
        <f>IFERROR(__xludf.DUMMYFUNCTION("""COMPUTED_VALUE"""),"Vegetables")</f>
        <v>Vegetables</v>
      </c>
      <c r="D529">
        <f>IFERROR(__xludf.DUMMYFUNCTION("""COMPUTED_VALUE"""),46.0)</f>
        <v>46</v>
      </c>
      <c r="E529">
        <f>IFERROR(__xludf.DUMMYFUNCTION("""COMPUTED_VALUE"""),0.2)</f>
        <v>0.2</v>
      </c>
      <c r="F529">
        <f>IFERROR(__xludf.DUMMYFUNCTION("""COMPUTED_VALUE"""),2.1)</f>
        <v>2.1</v>
      </c>
      <c r="G529">
        <f>IFERROR(__xludf.DUMMYFUNCTION("""COMPUTED_VALUE"""),9.19)</f>
        <v>9.19</v>
      </c>
    </row>
    <row r="530">
      <c r="A530">
        <f>IFERROR(__xludf.DUMMYFUNCTION("""COMPUTED_VALUE"""),169235.0)</f>
        <v>169235</v>
      </c>
      <c r="B530" t="str">
        <f>IFERROR(__xludf.DUMMYFUNCTION("""COMPUTED_VALUE"""),"Hyacinth-Beans Immature Seeds Cooked Boiled Drained Without Salt")</f>
        <v>Hyacinth-Beans Immature Seeds Cooked Boiled Drained Without Salt</v>
      </c>
      <c r="C530" t="str">
        <f>IFERROR(__xludf.DUMMYFUNCTION("""COMPUTED_VALUE"""),"Vegetables")</f>
        <v>Vegetables</v>
      </c>
      <c r="D530">
        <f>IFERROR(__xludf.DUMMYFUNCTION("""COMPUTED_VALUE"""),50.0)</f>
        <v>50</v>
      </c>
      <c r="E530">
        <f>IFERROR(__xludf.DUMMYFUNCTION("""COMPUTED_VALUE"""),0.27)</f>
        <v>0.27</v>
      </c>
      <c r="F530">
        <f>IFERROR(__xludf.DUMMYFUNCTION("""COMPUTED_VALUE"""),2.95)</f>
        <v>2.95</v>
      </c>
      <c r="G530">
        <f>IFERROR(__xludf.DUMMYFUNCTION("""COMPUTED_VALUE"""),9.2)</f>
        <v>9.2</v>
      </c>
    </row>
    <row r="531">
      <c r="A531">
        <f>IFERROR(__xludf.DUMMYFUNCTION("""COMPUTED_VALUE"""),169236.0)</f>
        <v>169236</v>
      </c>
      <c r="B531" t="str">
        <f>IFERROR(__xludf.DUMMYFUNCTION("""COMPUTED_VALUE"""),"Jerusalem-Artichokes Raw")</f>
        <v>Jerusalem-Artichokes Raw</v>
      </c>
      <c r="C531" t="str">
        <f>IFERROR(__xludf.DUMMYFUNCTION("""COMPUTED_VALUE"""),"Vegetables")</f>
        <v>Vegetables</v>
      </c>
      <c r="D531">
        <f>IFERROR(__xludf.DUMMYFUNCTION("""COMPUTED_VALUE"""),73.0)</f>
        <v>73</v>
      </c>
      <c r="E531">
        <f>IFERROR(__xludf.DUMMYFUNCTION("""COMPUTED_VALUE"""),0.01)</f>
        <v>0.01</v>
      </c>
      <c r="F531">
        <f>IFERROR(__xludf.DUMMYFUNCTION("""COMPUTED_VALUE"""),2.0)</f>
        <v>2</v>
      </c>
      <c r="G531">
        <f>IFERROR(__xludf.DUMMYFUNCTION("""COMPUTED_VALUE"""),17.44)</f>
        <v>17.44</v>
      </c>
    </row>
    <row r="532">
      <c r="A532">
        <f>IFERROR(__xludf.DUMMYFUNCTION("""COMPUTED_VALUE"""),169237.0)</f>
        <v>169237</v>
      </c>
      <c r="B532" t="str">
        <f>IFERROR(__xludf.DUMMYFUNCTION("""COMPUTED_VALUE"""),"Jews Ear")</f>
        <v>Jews Ear</v>
      </c>
      <c r="C532" t="str">
        <f>IFERROR(__xludf.DUMMYFUNCTION("""COMPUTED_VALUE"""),"Vegetables")</f>
        <v>Vegetables</v>
      </c>
      <c r="D532">
        <f>IFERROR(__xludf.DUMMYFUNCTION("""COMPUTED_VALUE"""),25.0)</f>
        <v>25</v>
      </c>
      <c r="E532">
        <f>IFERROR(__xludf.DUMMYFUNCTION("""COMPUTED_VALUE"""),0.04)</f>
        <v>0.04</v>
      </c>
      <c r="F532">
        <f>IFERROR(__xludf.DUMMYFUNCTION("""COMPUTED_VALUE"""),0.48)</f>
        <v>0.48</v>
      </c>
      <c r="G532">
        <f>IFERROR(__xludf.DUMMYFUNCTION("""COMPUTED_VALUE"""),6.75)</f>
        <v>6.75</v>
      </c>
    </row>
    <row r="533">
      <c r="A533">
        <f>IFERROR(__xludf.DUMMYFUNCTION("""COMPUTED_VALUE"""),169238.0)</f>
        <v>169238</v>
      </c>
      <c r="B533" t="str">
        <f>IFERROR(__xludf.DUMMYFUNCTION("""COMPUTED_VALUE"""),"Cooked Kale")</f>
        <v>Cooked Kale</v>
      </c>
      <c r="C533" t="str">
        <f>IFERROR(__xludf.DUMMYFUNCTION("""COMPUTED_VALUE"""),"Vegetables")</f>
        <v>Vegetables</v>
      </c>
      <c r="D533">
        <f>IFERROR(__xludf.DUMMYFUNCTION("""COMPUTED_VALUE"""),36.0)</f>
        <v>36</v>
      </c>
      <c r="E533">
        <f>IFERROR(__xludf.DUMMYFUNCTION("""COMPUTED_VALUE"""),1.21)</f>
        <v>1.21</v>
      </c>
      <c r="F533">
        <f>IFERROR(__xludf.DUMMYFUNCTION("""COMPUTED_VALUE"""),2.94)</f>
        <v>2.94</v>
      </c>
      <c r="G533">
        <f>IFERROR(__xludf.DUMMYFUNCTION("""COMPUTED_VALUE"""),5.3)</f>
        <v>5.3</v>
      </c>
    </row>
    <row r="534">
      <c r="A534">
        <f>IFERROR(__xludf.DUMMYFUNCTION("""COMPUTED_VALUE"""),169239.0)</f>
        <v>169239</v>
      </c>
      <c r="B534" t="str">
        <f>IFERROR(__xludf.DUMMYFUNCTION("""COMPUTED_VALUE"""),"Kale Frozen Unprepared")</f>
        <v>Kale Frozen Unprepared</v>
      </c>
      <c r="C534" t="str">
        <f>IFERROR(__xludf.DUMMYFUNCTION("""COMPUTED_VALUE"""),"Vegetables")</f>
        <v>Vegetables</v>
      </c>
      <c r="D534">
        <f>IFERROR(__xludf.DUMMYFUNCTION("""COMPUTED_VALUE"""),28.0)</f>
        <v>28</v>
      </c>
      <c r="E534">
        <f>IFERROR(__xludf.DUMMYFUNCTION("""COMPUTED_VALUE"""),0.46)</f>
        <v>0.46</v>
      </c>
      <c r="F534">
        <f>IFERROR(__xludf.DUMMYFUNCTION("""COMPUTED_VALUE"""),2.66)</f>
        <v>2.66</v>
      </c>
      <c r="G534">
        <f>IFERROR(__xludf.DUMMYFUNCTION("""COMPUTED_VALUE"""),4.88)</f>
        <v>4.88</v>
      </c>
    </row>
    <row r="535">
      <c r="A535">
        <f>IFERROR(__xludf.DUMMYFUNCTION("""COMPUTED_VALUE"""),169240.0)</f>
        <v>169240</v>
      </c>
      <c r="B535" t="str">
        <f>IFERROR(__xludf.DUMMYFUNCTION("""COMPUTED_VALUE"""),"Kale Frozen Cooked Boiled Drained Without Salt")</f>
        <v>Kale Frozen Cooked Boiled Drained Without Salt</v>
      </c>
      <c r="C535" t="str">
        <f>IFERROR(__xludf.DUMMYFUNCTION("""COMPUTED_VALUE"""),"Vegetables")</f>
        <v>Vegetables</v>
      </c>
      <c r="D535">
        <f>IFERROR(__xludf.DUMMYFUNCTION("""COMPUTED_VALUE"""),36.0)</f>
        <v>36</v>
      </c>
      <c r="E535">
        <f>IFERROR(__xludf.DUMMYFUNCTION("""COMPUTED_VALUE"""),1.21)</f>
        <v>1.21</v>
      </c>
      <c r="F535">
        <f>IFERROR(__xludf.DUMMYFUNCTION("""COMPUTED_VALUE"""),2.94)</f>
        <v>2.94</v>
      </c>
      <c r="G535">
        <f>IFERROR(__xludf.DUMMYFUNCTION("""COMPUTED_VALUE"""),5.3)</f>
        <v>5.3</v>
      </c>
    </row>
    <row r="536">
      <c r="A536">
        <f>IFERROR(__xludf.DUMMYFUNCTION("""COMPUTED_VALUE"""),169241.0)</f>
        <v>169241</v>
      </c>
      <c r="B536" t="str">
        <f>IFERROR(__xludf.DUMMYFUNCTION("""COMPUTED_VALUE"""),"Kanpyo")</f>
        <v>Kanpyo</v>
      </c>
      <c r="C536" t="str">
        <f>IFERROR(__xludf.DUMMYFUNCTION("""COMPUTED_VALUE"""),"Vegetables")</f>
        <v>Vegetables</v>
      </c>
      <c r="D536">
        <f>IFERROR(__xludf.DUMMYFUNCTION("""COMPUTED_VALUE"""),258.0)</f>
        <v>258</v>
      </c>
      <c r="E536">
        <f>IFERROR(__xludf.DUMMYFUNCTION("""COMPUTED_VALUE"""),0.56)</f>
        <v>0.56</v>
      </c>
      <c r="F536">
        <f>IFERROR(__xludf.DUMMYFUNCTION("""COMPUTED_VALUE"""),8.58)</f>
        <v>8.58</v>
      </c>
      <c r="G536">
        <f>IFERROR(__xludf.DUMMYFUNCTION("""COMPUTED_VALUE"""),65.03)</f>
        <v>65.03</v>
      </c>
    </row>
    <row r="537">
      <c r="A537">
        <f>IFERROR(__xludf.DUMMYFUNCTION("""COMPUTED_VALUE"""),169242.0)</f>
        <v>169242</v>
      </c>
      <c r="B537" t="str">
        <f>IFERROR(__xludf.DUMMYFUNCTION("""COMPUTED_VALUE"""),"Shiitake Mushrooms")</f>
        <v>Shiitake Mushrooms</v>
      </c>
      <c r="C537" t="str">
        <f>IFERROR(__xludf.DUMMYFUNCTION("""COMPUTED_VALUE"""),"Vegetables")</f>
        <v>Vegetables</v>
      </c>
      <c r="D537">
        <f>IFERROR(__xludf.DUMMYFUNCTION("""COMPUTED_VALUE"""),34.0)</f>
        <v>34</v>
      </c>
      <c r="E537">
        <f>IFERROR(__xludf.DUMMYFUNCTION("""COMPUTED_VALUE"""),0.49)</f>
        <v>0.49</v>
      </c>
      <c r="F537">
        <f>IFERROR(__xludf.DUMMYFUNCTION("""COMPUTED_VALUE"""),2.24)</f>
        <v>2.24</v>
      </c>
      <c r="G537">
        <f>IFERROR(__xludf.DUMMYFUNCTION("""COMPUTED_VALUE"""),6.79)</f>
        <v>6.79</v>
      </c>
    </row>
    <row r="538">
      <c r="A538">
        <f>IFERROR(__xludf.DUMMYFUNCTION("""COMPUTED_VALUE"""),169243.0)</f>
        <v>169243</v>
      </c>
      <c r="B538" t="str">
        <f>IFERROR(__xludf.DUMMYFUNCTION("""COMPUTED_VALUE"""),"Mushrooms Portobellos Grilled")</f>
        <v>Mushrooms Portobellos Grilled</v>
      </c>
      <c r="C538" t="str">
        <f>IFERROR(__xludf.DUMMYFUNCTION("""COMPUTED_VALUE"""),"Vegetables")</f>
        <v>Vegetables</v>
      </c>
      <c r="D538">
        <f>IFERROR(__xludf.DUMMYFUNCTION("""COMPUTED_VALUE"""),29.0)</f>
        <v>29</v>
      </c>
      <c r="E538">
        <f>IFERROR(__xludf.DUMMYFUNCTION("""COMPUTED_VALUE"""),0.58)</f>
        <v>0.58</v>
      </c>
      <c r="F538">
        <f>IFERROR(__xludf.DUMMYFUNCTION("""COMPUTED_VALUE"""),3.28)</f>
        <v>3.28</v>
      </c>
      <c r="G538">
        <f>IFERROR(__xludf.DUMMYFUNCTION("""COMPUTED_VALUE"""),4.44)</f>
        <v>4.44</v>
      </c>
    </row>
    <row r="539">
      <c r="A539">
        <f>IFERROR(__xludf.DUMMYFUNCTION("""COMPUTED_VALUE"""),169244.0)</f>
        <v>169244</v>
      </c>
      <c r="B539" t="str">
        <f>IFERROR(__xludf.DUMMYFUNCTION("""COMPUTED_VALUE"""),"Lambsquarters Raw")</f>
        <v>Lambsquarters Raw</v>
      </c>
      <c r="C539" t="str">
        <f>IFERROR(__xludf.DUMMYFUNCTION("""COMPUTED_VALUE"""),"Vegetables")</f>
        <v>Vegetables</v>
      </c>
      <c r="D539">
        <f>IFERROR(__xludf.DUMMYFUNCTION("""COMPUTED_VALUE"""),43.0)</f>
        <v>43</v>
      </c>
      <c r="E539">
        <f>IFERROR(__xludf.DUMMYFUNCTION("""COMPUTED_VALUE"""),0.8)</f>
        <v>0.8</v>
      </c>
      <c r="F539">
        <f>IFERROR(__xludf.DUMMYFUNCTION("""COMPUTED_VALUE"""),4.2)</f>
        <v>4.2</v>
      </c>
      <c r="G539">
        <f>IFERROR(__xludf.DUMMYFUNCTION("""COMPUTED_VALUE"""),7.3)</f>
        <v>7.3</v>
      </c>
    </row>
    <row r="540">
      <c r="A540">
        <f>IFERROR(__xludf.DUMMYFUNCTION("""COMPUTED_VALUE"""),169245.0)</f>
        <v>169245</v>
      </c>
      <c r="B540" t="str">
        <f>IFERROR(__xludf.DUMMYFUNCTION("""COMPUTED_VALUE"""),"Lambsquarters Cooked Boiled Drained Without Salt")</f>
        <v>Lambsquarters Cooked Boiled Drained Without Salt</v>
      </c>
      <c r="C540" t="str">
        <f>IFERROR(__xludf.DUMMYFUNCTION("""COMPUTED_VALUE"""),"Vegetables")</f>
        <v>Vegetables</v>
      </c>
      <c r="D540">
        <f>IFERROR(__xludf.DUMMYFUNCTION("""COMPUTED_VALUE"""),32.0)</f>
        <v>32</v>
      </c>
      <c r="E540">
        <f>IFERROR(__xludf.DUMMYFUNCTION("""COMPUTED_VALUE"""),0.7)</f>
        <v>0.7</v>
      </c>
      <c r="F540">
        <f>IFERROR(__xludf.DUMMYFUNCTION("""COMPUTED_VALUE"""),3.2)</f>
        <v>3.2</v>
      </c>
      <c r="G540">
        <f>IFERROR(__xludf.DUMMYFUNCTION("""COMPUTED_VALUE"""),5.0)</f>
        <v>5</v>
      </c>
    </row>
    <row r="541">
      <c r="A541">
        <f>IFERROR(__xludf.DUMMYFUNCTION("""COMPUTED_VALUE"""),169246.0)</f>
        <v>169246</v>
      </c>
      <c r="B541" t="str">
        <f>IFERROR(__xludf.DUMMYFUNCTION("""COMPUTED_VALUE"""),"Leeks")</f>
        <v>Leeks</v>
      </c>
      <c r="C541" t="str">
        <f>IFERROR(__xludf.DUMMYFUNCTION("""COMPUTED_VALUE"""),"Vegetables")</f>
        <v>Vegetables</v>
      </c>
      <c r="D541">
        <f>IFERROR(__xludf.DUMMYFUNCTION("""COMPUTED_VALUE"""),61.0)</f>
        <v>61</v>
      </c>
      <c r="E541">
        <f>IFERROR(__xludf.DUMMYFUNCTION("""COMPUTED_VALUE"""),0.3)</f>
        <v>0.3</v>
      </c>
      <c r="F541">
        <f>IFERROR(__xludf.DUMMYFUNCTION("""COMPUTED_VALUE"""),1.5)</f>
        <v>1.5</v>
      </c>
      <c r="G541">
        <f>IFERROR(__xludf.DUMMYFUNCTION("""COMPUTED_VALUE"""),14.15)</f>
        <v>14.15</v>
      </c>
    </row>
    <row r="542">
      <c r="A542">
        <f>IFERROR(__xludf.DUMMYFUNCTION("""COMPUTED_VALUE"""),169247.0)</f>
        <v>169247</v>
      </c>
      <c r="B542" t="str">
        <f>IFERROR(__xludf.DUMMYFUNCTION("""COMPUTED_VALUE"""),"Romaine Lettuce")</f>
        <v>Romaine Lettuce</v>
      </c>
      <c r="C542" t="str">
        <f>IFERROR(__xludf.DUMMYFUNCTION("""COMPUTED_VALUE"""),"Vegetables")</f>
        <v>Vegetables</v>
      </c>
      <c r="D542">
        <f>IFERROR(__xludf.DUMMYFUNCTION("""COMPUTED_VALUE"""),17.0)</f>
        <v>17</v>
      </c>
      <c r="E542">
        <f>IFERROR(__xludf.DUMMYFUNCTION("""COMPUTED_VALUE"""),0.3)</f>
        <v>0.3</v>
      </c>
      <c r="F542">
        <f>IFERROR(__xludf.DUMMYFUNCTION("""COMPUTED_VALUE"""),1.23)</f>
        <v>1.23</v>
      </c>
      <c r="G542">
        <f>IFERROR(__xludf.DUMMYFUNCTION("""COMPUTED_VALUE"""),3.29)</f>
        <v>3.29</v>
      </c>
    </row>
    <row r="543">
      <c r="A543">
        <f>IFERROR(__xludf.DUMMYFUNCTION("""COMPUTED_VALUE"""),169248.0)</f>
        <v>169248</v>
      </c>
      <c r="B543" t="str">
        <f>IFERROR(__xludf.DUMMYFUNCTION("""COMPUTED_VALUE"""),"Iceberg Lettuce")</f>
        <v>Iceberg Lettuce</v>
      </c>
      <c r="C543" t="str">
        <f>IFERROR(__xludf.DUMMYFUNCTION("""COMPUTED_VALUE"""),"Vegetables")</f>
        <v>Vegetables</v>
      </c>
      <c r="D543">
        <f>IFERROR(__xludf.DUMMYFUNCTION("""COMPUTED_VALUE"""),14.0)</f>
        <v>14</v>
      </c>
      <c r="E543">
        <f>IFERROR(__xludf.DUMMYFUNCTION("""COMPUTED_VALUE"""),0.14)</f>
        <v>0.14</v>
      </c>
      <c r="F543">
        <f>IFERROR(__xludf.DUMMYFUNCTION("""COMPUTED_VALUE"""),0.9)</f>
        <v>0.9</v>
      </c>
      <c r="G543">
        <f>IFERROR(__xludf.DUMMYFUNCTION("""COMPUTED_VALUE"""),2.97)</f>
        <v>2.97</v>
      </c>
    </row>
    <row r="544">
      <c r="A544">
        <f>IFERROR(__xludf.DUMMYFUNCTION("""COMPUTED_VALUE"""),169249.0)</f>
        <v>169249</v>
      </c>
      <c r="B544" t="str">
        <f>IFERROR(__xludf.DUMMYFUNCTION("""COMPUTED_VALUE"""),"Green Leaf Lettuce")</f>
        <v>Green Leaf Lettuce</v>
      </c>
      <c r="C544" t="str">
        <f>IFERROR(__xludf.DUMMYFUNCTION("""COMPUTED_VALUE"""),"Vegetables")</f>
        <v>Vegetables</v>
      </c>
      <c r="D544">
        <f>IFERROR(__xludf.DUMMYFUNCTION("""COMPUTED_VALUE"""),15.0)</f>
        <v>15</v>
      </c>
      <c r="E544">
        <f>IFERROR(__xludf.DUMMYFUNCTION("""COMPUTED_VALUE"""),0.15)</f>
        <v>0.15</v>
      </c>
      <c r="F544">
        <f>IFERROR(__xludf.DUMMYFUNCTION("""COMPUTED_VALUE"""),1.36)</f>
        <v>1.36</v>
      </c>
      <c r="G544">
        <f>IFERROR(__xludf.DUMMYFUNCTION("""COMPUTED_VALUE"""),2.87)</f>
        <v>2.87</v>
      </c>
    </row>
    <row r="545">
      <c r="A545">
        <f>IFERROR(__xludf.DUMMYFUNCTION("""COMPUTED_VALUE"""),169250.0)</f>
        <v>169250</v>
      </c>
      <c r="B545" t="str">
        <f>IFERROR(__xludf.DUMMYFUNCTION("""COMPUTED_VALUE"""),"Lotus Root")</f>
        <v>Lotus Root</v>
      </c>
      <c r="C545" t="str">
        <f>IFERROR(__xludf.DUMMYFUNCTION("""COMPUTED_VALUE"""),"Vegetables")</f>
        <v>Vegetables</v>
      </c>
      <c r="D545">
        <f>IFERROR(__xludf.DUMMYFUNCTION("""COMPUTED_VALUE"""),74.0)</f>
        <v>74</v>
      </c>
      <c r="E545">
        <f>IFERROR(__xludf.DUMMYFUNCTION("""COMPUTED_VALUE"""),0.1)</f>
        <v>0.1</v>
      </c>
      <c r="F545">
        <f>IFERROR(__xludf.DUMMYFUNCTION("""COMPUTED_VALUE"""),2.6)</f>
        <v>2.6</v>
      </c>
      <c r="G545">
        <f>IFERROR(__xludf.DUMMYFUNCTION("""COMPUTED_VALUE"""),17.23)</f>
        <v>17.23</v>
      </c>
    </row>
    <row r="546">
      <c r="A546">
        <f>IFERROR(__xludf.DUMMYFUNCTION("""COMPUTED_VALUE"""),169251.0)</f>
        <v>169251</v>
      </c>
      <c r="B546" t="str">
        <f>IFERROR(__xludf.DUMMYFUNCTION("""COMPUTED_VALUE"""),"White Button Mushrooms")</f>
        <v>White Button Mushrooms</v>
      </c>
      <c r="C546" t="str">
        <f>IFERROR(__xludf.DUMMYFUNCTION("""COMPUTED_VALUE"""),"Vegetables")</f>
        <v>Vegetables</v>
      </c>
      <c r="D546">
        <f>IFERROR(__xludf.DUMMYFUNCTION("""COMPUTED_VALUE"""),22.0)</f>
        <v>22</v>
      </c>
      <c r="E546">
        <f>IFERROR(__xludf.DUMMYFUNCTION("""COMPUTED_VALUE"""),0.34)</f>
        <v>0.34</v>
      </c>
      <c r="F546">
        <f>IFERROR(__xludf.DUMMYFUNCTION("""COMPUTED_VALUE"""),3.09)</f>
        <v>3.09</v>
      </c>
      <c r="G546">
        <f>IFERROR(__xludf.DUMMYFUNCTION("""COMPUTED_VALUE"""),3.26)</f>
        <v>3.26</v>
      </c>
    </row>
    <row r="547">
      <c r="A547">
        <f>IFERROR(__xludf.DUMMYFUNCTION("""COMPUTED_VALUE"""),169252.0)</f>
        <v>169252</v>
      </c>
      <c r="B547" t="str">
        <f>IFERROR(__xludf.DUMMYFUNCTION("""COMPUTED_VALUE"""),"Cooked White Button Mushrooms")</f>
        <v>Cooked White Button Mushrooms</v>
      </c>
      <c r="C547" t="str">
        <f>IFERROR(__xludf.DUMMYFUNCTION("""COMPUTED_VALUE"""),"Vegetables")</f>
        <v>Vegetables</v>
      </c>
      <c r="D547">
        <f>IFERROR(__xludf.DUMMYFUNCTION("""COMPUTED_VALUE"""),28.0)</f>
        <v>28</v>
      </c>
      <c r="E547">
        <f>IFERROR(__xludf.DUMMYFUNCTION("""COMPUTED_VALUE"""),0.47)</f>
        <v>0.47</v>
      </c>
      <c r="F547">
        <f>IFERROR(__xludf.DUMMYFUNCTION("""COMPUTED_VALUE"""),2.17)</f>
        <v>2.17</v>
      </c>
      <c r="G547">
        <f>IFERROR(__xludf.DUMMYFUNCTION("""COMPUTED_VALUE"""),5.29)</f>
        <v>5.29</v>
      </c>
    </row>
    <row r="548">
      <c r="A548">
        <f>IFERROR(__xludf.DUMMYFUNCTION("""COMPUTED_VALUE"""),169253.0)</f>
        <v>169253</v>
      </c>
      <c r="B548" t="str">
        <f>IFERROR(__xludf.DUMMYFUNCTION("""COMPUTED_VALUE"""),"White Button Mushrooms (Stir-Fried)")</f>
        <v>White Button Mushrooms (Stir-Fried)</v>
      </c>
      <c r="C548" t="str">
        <f>IFERROR(__xludf.DUMMYFUNCTION("""COMPUTED_VALUE"""),"Vegetables")</f>
        <v>Vegetables</v>
      </c>
      <c r="D548">
        <f>IFERROR(__xludf.DUMMYFUNCTION("""COMPUTED_VALUE"""),26.0)</f>
        <v>26</v>
      </c>
      <c r="E548">
        <f>IFERROR(__xludf.DUMMYFUNCTION("""COMPUTED_VALUE"""),0.33)</f>
        <v>0.33</v>
      </c>
      <c r="F548">
        <f>IFERROR(__xludf.DUMMYFUNCTION("""COMPUTED_VALUE"""),3.58)</f>
        <v>3.58</v>
      </c>
      <c r="G548">
        <f>IFERROR(__xludf.DUMMYFUNCTION("""COMPUTED_VALUE"""),4.04)</f>
        <v>4.04</v>
      </c>
    </row>
    <row r="549">
      <c r="A549">
        <f>IFERROR(__xludf.DUMMYFUNCTION("""COMPUTED_VALUE"""),169254.0)</f>
        <v>169254</v>
      </c>
      <c r="B549" t="str">
        <f>IFERROR(__xludf.DUMMYFUNCTION("""COMPUTED_VALUE"""),"Canned Mushrooms")</f>
        <v>Canned Mushrooms</v>
      </c>
      <c r="C549" t="str">
        <f>IFERROR(__xludf.DUMMYFUNCTION("""COMPUTED_VALUE"""),"Vegetables")</f>
        <v>Vegetables</v>
      </c>
      <c r="D549">
        <f>IFERROR(__xludf.DUMMYFUNCTION("""COMPUTED_VALUE"""),25.0)</f>
        <v>25</v>
      </c>
      <c r="E549">
        <f>IFERROR(__xludf.DUMMYFUNCTION("""COMPUTED_VALUE"""),0.29)</f>
        <v>0.29</v>
      </c>
      <c r="F549">
        <f>IFERROR(__xludf.DUMMYFUNCTION("""COMPUTED_VALUE"""),1.87)</f>
        <v>1.87</v>
      </c>
      <c r="G549">
        <f>IFERROR(__xludf.DUMMYFUNCTION("""COMPUTED_VALUE"""),5.09)</f>
        <v>5.09</v>
      </c>
    </row>
    <row r="550">
      <c r="A550">
        <f>IFERROR(__xludf.DUMMYFUNCTION("""COMPUTED_VALUE"""),169255.0)</f>
        <v>169255</v>
      </c>
      <c r="B550" t="str">
        <f>IFERROR(__xludf.DUMMYFUNCTION("""COMPUTED_VALUE"""),"Portobellos Mushrooms")</f>
        <v>Portobellos Mushrooms</v>
      </c>
      <c r="C550" t="str">
        <f>IFERROR(__xludf.DUMMYFUNCTION("""COMPUTED_VALUE"""),"Vegetables")</f>
        <v>Vegetables</v>
      </c>
      <c r="D550">
        <f>IFERROR(__xludf.DUMMYFUNCTION("""COMPUTED_VALUE"""),22.0)</f>
        <v>22</v>
      </c>
      <c r="E550">
        <f>IFERROR(__xludf.DUMMYFUNCTION("""COMPUTED_VALUE"""),0.35)</f>
        <v>0.35</v>
      </c>
      <c r="F550">
        <f>IFERROR(__xludf.DUMMYFUNCTION("""COMPUTED_VALUE"""),2.11)</f>
        <v>2.11</v>
      </c>
      <c r="G550">
        <f>IFERROR(__xludf.DUMMYFUNCTION("""COMPUTED_VALUE"""),3.87)</f>
        <v>3.87</v>
      </c>
    </row>
    <row r="551">
      <c r="A551">
        <f>IFERROR(__xludf.DUMMYFUNCTION("""COMPUTED_VALUE"""),169256.0)</f>
        <v>169256</v>
      </c>
      <c r="B551" t="str">
        <f>IFERROR(__xludf.DUMMYFUNCTION("""COMPUTED_VALUE"""),"Mustard Greens")</f>
        <v>Mustard Greens</v>
      </c>
      <c r="C551" t="str">
        <f>IFERROR(__xludf.DUMMYFUNCTION("""COMPUTED_VALUE"""),"Vegetables")</f>
        <v>Vegetables</v>
      </c>
      <c r="D551">
        <f>IFERROR(__xludf.DUMMYFUNCTION("""COMPUTED_VALUE"""),27.0)</f>
        <v>27</v>
      </c>
      <c r="E551">
        <f>IFERROR(__xludf.DUMMYFUNCTION("""COMPUTED_VALUE"""),0.42)</f>
        <v>0.42</v>
      </c>
      <c r="F551">
        <f>IFERROR(__xludf.DUMMYFUNCTION("""COMPUTED_VALUE"""),2.86)</f>
        <v>2.86</v>
      </c>
      <c r="G551">
        <f>IFERROR(__xludf.DUMMYFUNCTION("""COMPUTED_VALUE"""),4.67)</f>
        <v>4.67</v>
      </c>
    </row>
    <row r="552">
      <c r="A552">
        <f>IFERROR(__xludf.DUMMYFUNCTION("""COMPUTED_VALUE"""),169257.0)</f>
        <v>169257</v>
      </c>
      <c r="B552" t="str">
        <f>IFERROR(__xludf.DUMMYFUNCTION("""COMPUTED_VALUE"""),"Cooked Mustard Greens")</f>
        <v>Cooked Mustard Greens</v>
      </c>
      <c r="C552" t="str">
        <f>IFERROR(__xludf.DUMMYFUNCTION("""COMPUTED_VALUE"""),"Vegetables")</f>
        <v>Vegetables</v>
      </c>
      <c r="D552">
        <f>IFERROR(__xludf.DUMMYFUNCTION("""COMPUTED_VALUE"""),26.0)</f>
        <v>26</v>
      </c>
      <c r="E552">
        <f>IFERROR(__xludf.DUMMYFUNCTION("""COMPUTED_VALUE"""),0.47)</f>
        <v>0.47</v>
      </c>
      <c r="F552">
        <f>IFERROR(__xludf.DUMMYFUNCTION("""COMPUTED_VALUE"""),2.56)</f>
        <v>2.56</v>
      </c>
      <c r="G552">
        <f>IFERROR(__xludf.DUMMYFUNCTION("""COMPUTED_VALUE"""),4.51)</f>
        <v>4.51</v>
      </c>
    </row>
    <row r="553">
      <c r="A553">
        <f>IFERROR(__xludf.DUMMYFUNCTION("""COMPUTED_VALUE"""),169258.0)</f>
        <v>169258</v>
      </c>
      <c r="B553" t="str">
        <f>IFERROR(__xludf.DUMMYFUNCTION("""COMPUTED_VALUE"""),"Mustard Greens Frozen Unprepared")</f>
        <v>Mustard Greens Frozen Unprepared</v>
      </c>
      <c r="C553" t="str">
        <f>IFERROR(__xludf.DUMMYFUNCTION("""COMPUTED_VALUE"""),"Vegetables")</f>
        <v>Vegetables</v>
      </c>
      <c r="D553">
        <f>IFERROR(__xludf.DUMMYFUNCTION("""COMPUTED_VALUE"""),20.0)</f>
        <v>20</v>
      </c>
      <c r="E553">
        <f>IFERROR(__xludf.DUMMYFUNCTION("""COMPUTED_VALUE"""),0.27)</f>
        <v>0.27</v>
      </c>
      <c r="F553">
        <f>IFERROR(__xludf.DUMMYFUNCTION("""COMPUTED_VALUE"""),2.49)</f>
        <v>2.49</v>
      </c>
      <c r="G553">
        <f>IFERROR(__xludf.DUMMYFUNCTION("""COMPUTED_VALUE"""),3.41)</f>
        <v>3.41</v>
      </c>
    </row>
    <row r="554">
      <c r="A554">
        <f>IFERROR(__xludf.DUMMYFUNCTION("""COMPUTED_VALUE"""),169259.0)</f>
        <v>169259</v>
      </c>
      <c r="B554" t="str">
        <f>IFERROR(__xludf.DUMMYFUNCTION("""COMPUTED_VALUE"""),"Mustard Greens Frozen Cooked Boiled Drained Without Salt")</f>
        <v>Mustard Greens Frozen Cooked Boiled Drained Without Salt</v>
      </c>
      <c r="C554" t="str">
        <f>IFERROR(__xludf.DUMMYFUNCTION("""COMPUTED_VALUE"""),"Vegetables")</f>
        <v>Vegetables</v>
      </c>
      <c r="D554">
        <f>IFERROR(__xludf.DUMMYFUNCTION("""COMPUTED_VALUE"""),19.0)</f>
        <v>19</v>
      </c>
      <c r="E554">
        <f>IFERROR(__xludf.DUMMYFUNCTION("""COMPUTED_VALUE"""),0.25)</f>
        <v>0.25</v>
      </c>
      <c r="F554">
        <f>IFERROR(__xludf.DUMMYFUNCTION("""COMPUTED_VALUE"""),2.27)</f>
        <v>2.27</v>
      </c>
      <c r="G554">
        <f>IFERROR(__xludf.DUMMYFUNCTION("""COMPUTED_VALUE"""),3.11)</f>
        <v>3.11</v>
      </c>
    </row>
    <row r="555">
      <c r="A555">
        <f>IFERROR(__xludf.DUMMYFUNCTION("""COMPUTED_VALUE"""),169260.0)</f>
        <v>169260</v>
      </c>
      <c r="B555" t="str">
        <f>IFERROR(__xludf.DUMMYFUNCTION("""COMPUTED_VALUE"""),"Okra")</f>
        <v>Okra</v>
      </c>
      <c r="C555" t="str">
        <f>IFERROR(__xludf.DUMMYFUNCTION("""COMPUTED_VALUE"""),"Vegetables")</f>
        <v>Vegetables</v>
      </c>
      <c r="D555">
        <f>IFERROR(__xludf.DUMMYFUNCTION("""COMPUTED_VALUE"""),33.0)</f>
        <v>33</v>
      </c>
      <c r="E555">
        <f>IFERROR(__xludf.DUMMYFUNCTION("""COMPUTED_VALUE"""),0.19)</f>
        <v>0.19</v>
      </c>
      <c r="F555">
        <f>IFERROR(__xludf.DUMMYFUNCTION("""COMPUTED_VALUE"""),1.93)</f>
        <v>1.93</v>
      </c>
      <c r="G555">
        <f>IFERROR(__xludf.DUMMYFUNCTION("""COMPUTED_VALUE"""),7.45)</f>
        <v>7.45</v>
      </c>
    </row>
    <row r="556">
      <c r="A556">
        <f>IFERROR(__xludf.DUMMYFUNCTION("""COMPUTED_VALUE"""),169261.0)</f>
        <v>169261</v>
      </c>
      <c r="B556" t="str">
        <f>IFERROR(__xludf.DUMMYFUNCTION("""COMPUTED_VALUE"""),"Cooked Okra")</f>
        <v>Cooked Okra</v>
      </c>
      <c r="C556" t="str">
        <f>IFERROR(__xludf.DUMMYFUNCTION("""COMPUTED_VALUE"""),"Vegetables")</f>
        <v>Vegetables</v>
      </c>
      <c r="D556">
        <f>IFERROR(__xludf.DUMMYFUNCTION("""COMPUTED_VALUE"""),22.0)</f>
        <v>22</v>
      </c>
      <c r="E556">
        <f>IFERROR(__xludf.DUMMYFUNCTION("""COMPUTED_VALUE"""),0.21)</f>
        <v>0.21</v>
      </c>
      <c r="F556">
        <f>IFERROR(__xludf.DUMMYFUNCTION("""COMPUTED_VALUE"""),1.87)</f>
        <v>1.87</v>
      </c>
      <c r="G556">
        <f>IFERROR(__xludf.DUMMYFUNCTION("""COMPUTED_VALUE"""),4.51)</f>
        <v>4.51</v>
      </c>
    </row>
    <row r="557">
      <c r="A557">
        <f>IFERROR(__xludf.DUMMYFUNCTION("""COMPUTED_VALUE"""),169262.0)</f>
        <v>169262</v>
      </c>
      <c r="B557" t="str">
        <f>IFERROR(__xludf.DUMMYFUNCTION("""COMPUTED_VALUE"""),"Okra Frozen Unprepared")</f>
        <v>Okra Frozen Unprepared</v>
      </c>
      <c r="C557" t="str">
        <f>IFERROR(__xludf.DUMMYFUNCTION("""COMPUTED_VALUE"""),"Vegetables")</f>
        <v>Vegetables</v>
      </c>
      <c r="D557">
        <f>IFERROR(__xludf.DUMMYFUNCTION("""COMPUTED_VALUE"""),30.0)</f>
        <v>30</v>
      </c>
      <c r="E557">
        <f>IFERROR(__xludf.DUMMYFUNCTION("""COMPUTED_VALUE"""),0.25)</f>
        <v>0.25</v>
      </c>
      <c r="F557">
        <f>IFERROR(__xludf.DUMMYFUNCTION("""COMPUTED_VALUE"""),1.69)</f>
        <v>1.69</v>
      </c>
      <c r="G557">
        <f>IFERROR(__xludf.DUMMYFUNCTION("""COMPUTED_VALUE"""),6.63)</f>
        <v>6.63</v>
      </c>
    </row>
    <row r="558">
      <c r="A558">
        <f>IFERROR(__xludf.DUMMYFUNCTION("""COMPUTED_VALUE"""),169263.0)</f>
        <v>169263</v>
      </c>
      <c r="B558" t="str">
        <f>IFERROR(__xludf.DUMMYFUNCTION("""COMPUTED_VALUE"""),"Cooked Okra (Previously Frozen)")</f>
        <v>Cooked Okra (Previously Frozen)</v>
      </c>
      <c r="C558" t="str">
        <f>IFERROR(__xludf.DUMMYFUNCTION("""COMPUTED_VALUE"""),"Vegetables")</f>
        <v>Vegetables</v>
      </c>
      <c r="D558">
        <f>IFERROR(__xludf.DUMMYFUNCTION("""COMPUTED_VALUE"""),29.0)</f>
        <v>29</v>
      </c>
      <c r="E558">
        <f>IFERROR(__xludf.DUMMYFUNCTION("""COMPUTED_VALUE"""),0.24)</f>
        <v>0.24</v>
      </c>
      <c r="F558">
        <f>IFERROR(__xludf.DUMMYFUNCTION("""COMPUTED_VALUE"""),1.63)</f>
        <v>1.63</v>
      </c>
      <c r="G558">
        <f>IFERROR(__xludf.DUMMYFUNCTION("""COMPUTED_VALUE"""),6.41)</f>
        <v>6.41</v>
      </c>
    </row>
    <row r="559">
      <c r="A559">
        <f>IFERROR(__xludf.DUMMYFUNCTION("""COMPUTED_VALUE"""),169264.0)</f>
        <v>169264</v>
      </c>
      <c r="B559" t="str">
        <f>IFERROR(__xludf.DUMMYFUNCTION("""COMPUTED_VALUE"""),"Potatoes French Fried All Types Salt Added In Processing Frozen Home-Prepared Oven Heated")</f>
        <v>Potatoes French Fried All Types Salt Added In Processing Frozen Home-Prepared Oven Heated</v>
      </c>
      <c r="C559" t="str">
        <f>IFERROR(__xludf.DUMMYFUNCTION("""COMPUTED_VALUE"""),"Vegetables")</f>
        <v>Vegetables</v>
      </c>
      <c r="D559">
        <f>IFERROR(__xludf.DUMMYFUNCTION("""COMPUTED_VALUE"""),158.0)</f>
        <v>158</v>
      </c>
      <c r="E559">
        <f>IFERROR(__xludf.DUMMYFUNCTION("""COMPUTED_VALUE"""),5.48)</f>
        <v>5.48</v>
      </c>
      <c r="F559">
        <f>IFERROR(__xludf.DUMMYFUNCTION("""COMPUTED_VALUE"""),2.75)</f>
        <v>2.75</v>
      </c>
      <c r="G559">
        <f>IFERROR(__xludf.DUMMYFUNCTION("""COMPUTED_VALUE"""),25.55)</f>
        <v>25.55</v>
      </c>
    </row>
    <row r="560">
      <c r="A560">
        <f>IFERROR(__xludf.DUMMYFUNCTION("""COMPUTED_VALUE"""),169265.0)</f>
        <v>169265</v>
      </c>
      <c r="B560" t="str">
        <f>IFERROR(__xludf.DUMMYFUNCTION("""COMPUTED_VALUE"""),"Potatoes French Fried Cottage-Cut Salt Not Added In Processing Frozen As Purchased")</f>
        <v>Potatoes French Fried Cottage-Cut Salt Not Added In Processing Frozen As Purchased</v>
      </c>
      <c r="C560" t="str">
        <f>IFERROR(__xludf.DUMMYFUNCTION("""COMPUTED_VALUE"""),"Vegetables")</f>
        <v>Vegetables</v>
      </c>
      <c r="D560">
        <f>IFERROR(__xludf.DUMMYFUNCTION("""COMPUTED_VALUE"""),153.0)</f>
        <v>153</v>
      </c>
      <c r="E560">
        <f>IFERROR(__xludf.DUMMYFUNCTION("""COMPUTED_VALUE"""),5.78)</f>
        <v>5.78</v>
      </c>
      <c r="F560">
        <f>IFERROR(__xludf.DUMMYFUNCTION("""COMPUTED_VALUE"""),2.42)</f>
        <v>2.42</v>
      </c>
      <c r="G560">
        <f>IFERROR(__xludf.DUMMYFUNCTION("""COMPUTED_VALUE"""),23.98)</f>
        <v>23.98</v>
      </c>
    </row>
    <row r="561">
      <c r="A561">
        <f>IFERROR(__xludf.DUMMYFUNCTION("""COMPUTED_VALUE"""),169266.0)</f>
        <v>169266</v>
      </c>
      <c r="B561" t="str">
        <f>IFERROR(__xludf.DUMMYFUNCTION("""COMPUTED_VALUE"""),"Potatoes French Fried Cottage-Cut Salt Not Added In Processing Frozen Oven-Heated")</f>
        <v>Potatoes French Fried Cottage-Cut Salt Not Added In Processing Frozen Oven-Heated</v>
      </c>
      <c r="C561" t="str">
        <f>IFERROR(__xludf.DUMMYFUNCTION("""COMPUTED_VALUE"""),"Vegetables")</f>
        <v>Vegetables</v>
      </c>
      <c r="D561">
        <f>IFERROR(__xludf.DUMMYFUNCTION("""COMPUTED_VALUE"""),218.0)</f>
        <v>218</v>
      </c>
      <c r="E561">
        <f>IFERROR(__xludf.DUMMYFUNCTION("""COMPUTED_VALUE"""),8.2)</f>
        <v>8.2</v>
      </c>
      <c r="F561">
        <f>IFERROR(__xludf.DUMMYFUNCTION("""COMPUTED_VALUE"""),3.44)</f>
        <v>3.44</v>
      </c>
      <c r="G561">
        <f>IFERROR(__xludf.DUMMYFUNCTION("""COMPUTED_VALUE"""),34.03)</f>
        <v>34.03</v>
      </c>
    </row>
    <row r="562">
      <c r="A562">
        <f>IFERROR(__xludf.DUMMYFUNCTION("""COMPUTED_VALUE"""),169267.0)</f>
        <v>169267</v>
      </c>
      <c r="B562" t="str">
        <f>IFERROR(__xludf.DUMMYFUNCTION("""COMPUTED_VALUE"""),"Potatoes Frozen French Fried Par Fried Extruded Unprepared")</f>
        <v>Potatoes Frozen French Fried Par Fried Extruded Unprepared</v>
      </c>
      <c r="C562" t="str">
        <f>IFERROR(__xludf.DUMMYFUNCTION("""COMPUTED_VALUE"""),"Vegetables")</f>
        <v>Vegetables</v>
      </c>
      <c r="D562">
        <f>IFERROR(__xludf.DUMMYFUNCTION("""COMPUTED_VALUE"""),260.0)</f>
        <v>260</v>
      </c>
      <c r="E562">
        <f>IFERROR(__xludf.DUMMYFUNCTION("""COMPUTED_VALUE"""),14.95)</f>
        <v>14.95</v>
      </c>
      <c r="F562">
        <f>IFERROR(__xludf.DUMMYFUNCTION("""COMPUTED_VALUE"""),2.83)</f>
        <v>2.83</v>
      </c>
      <c r="G562">
        <f>IFERROR(__xludf.DUMMYFUNCTION("""COMPUTED_VALUE"""),30.15)</f>
        <v>30.15</v>
      </c>
    </row>
    <row r="563">
      <c r="A563">
        <f>IFERROR(__xludf.DUMMYFUNCTION("""COMPUTED_VALUE"""),169268.0)</f>
        <v>169268</v>
      </c>
      <c r="B563" t="str">
        <f>IFERROR(__xludf.DUMMYFUNCTION("""COMPUTED_VALUE"""),"Potatoes Frozen French Fried Par Fried Extruded Prepared Heated In Oven Without Salt")</f>
        <v>Potatoes Frozen French Fried Par Fried Extruded Prepared Heated In Oven Without Salt</v>
      </c>
      <c r="C563" t="str">
        <f>IFERROR(__xludf.DUMMYFUNCTION("""COMPUTED_VALUE"""),"Vegetables")</f>
        <v>Vegetables</v>
      </c>
      <c r="D563">
        <f>IFERROR(__xludf.DUMMYFUNCTION("""COMPUTED_VALUE"""),333.0)</f>
        <v>333</v>
      </c>
      <c r="E563">
        <f>IFERROR(__xludf.DUMMYFUNCTION("""COMPUTED_VALUE"""),18.71)</f>
        <v>18.71</v>
      </c>
      <c r="F563">
        <f>IFERROR(__xludf.DUMMYFUNCTION("""COMPUTED_VALUE"""),3.55)</f>
        <v>3.55</v>
      </c>
      <c r="G563">
        <f>IFERROR(__xludf.DUMMYFUNCTION("""COMPUTED_VALUE"""),39.68)</f>
        <v>39.68</v>
      </c>
    </row>
    <row r="564">
      <c r="A564">
        <f>IFERROR(__xludf.DUMMYFUNCTION("""COMPUTED_VALUE"""),169269.0)</f>
        <v>169269</v>
      </c>
      <c r="B564" t="str">
        <f>IFERROR(__xludf.DUMMYFUNCTION("""COMPUTED_VALUE"""),"Potato Salad Home-Prepared")</f>
        <v>Potato Salad Home-Prepared</v>
      </c>
      <c r="C564" t="str">
        <f>IFERROR(__xludf.DUMMYFUNCTION("""COMPUTED_VALUE"""),"Vegetables")</f>
        <v>Vegetables</v>
      </c>
      <c r="D564">
        <f>IFERROR(__xludf.DUMMYFUNCTION("""COMPUTED_VALUE"""),143.0)</f>
        <v>143</v>
      </c>
      <c r="E564">
        <f>IFERROR(__xludf.DUMMYFUNCTION("""COMPUTED_VALUE"""),8.2)</f>
        <v>8.2</v>
      </c>
      <c r="F564">
        <f>IFERROR(__xludf.DUMMYFUNCTION("""COMPUTED_VALUE"""),2.68)</f>
        <v>2.68</v>
      </c>
      <c r="G564">
        <f>IFERROR(__xludf.DUMMYFUNCTION("""COMPUTED_VALUE"""),11.17)</f>
        <v>11.17</v>
      </c>
    </row>
    <row r="565">
      <c r="A565">
        <f>IFERROR(__xludf.DUMMYFUNCTION("""COMPUTED_VALUE"""),169270.0)</f>
        <v>169270</v>
      </c>
      <c r="B565" t="str">
        <f>IFERROR(__xludf.DUMMYFUNCTION("""COMPUTED_VALUE"""),"Pumpkin Flowers")</f>
        <v>Pumpkin Flowers</v>
      </c>
      <c r="C565" t="str">
        <f>IFERROR(__xludf.DUMMYFUNCTION("""COMPUTED_VALUE"""),"Vegetables")</f>
        <v>Vegetables</v>
      </c>
      <c r="D565">
        <f>IFERROR(__xludf.DUMMYFUNCTION("""COMPUTED_VALUE"""),15.0)</f>
        <v>15</v>
      </c>
      <c r="E565">
        <f>IFERROR(__xludf.DUMMYFUNCTION("""COMPUTED_VALUE"""),0.07)</f>
        <v>0.07</v>
      </c>
      <c r="F565">
        <f>IFERROR(__xludf.DUMMYFUNCTION("""COMPUTED_VALUE"""),1.03)</f>
        <v>1.03</v>
      </c>
      <c r="G565">
        <f>IFERROR(__xludf.DUMMYFUNCTION("""COMPUTED_VALUE"""),3.28)</f>
        <v>3.28</v>
      </c>
    </row>
    <row r="566">
      <c r="A566">
        <f>IFERROR(__xludf.DUMMYFUNCTION("""COMPUTED_VALUE"""),169271.0)</f>
        <v>169271</v>
      </c>
      <c r="B566" t="str">
        <f>IFERROR(__xludf.DUMMYFUNCTION("""COMPUTED_VALUE"""),"Cooked Pumpkin Flowers")</f>
        <v>Cooked Pumpkin Flowers</v>
      </c>
      <c r="C566" t="str">
        <f>IFERROR(__xludf.DUMMYFUNCTION("""COMPUTED_VALUE"""),"Vegetables")</f>
        <v>Vegetables</v>
      </c>
      <c r="D566">
        <f>IFERROR(__xludf.DUMMYFUNCTION("""COMPUTED_VALUE"""),15.0)</f>
        <v>15</v>
      </c>
      <c r="E566">
        <f>IFERROR(__xludf.DUMMYFUNCTION("""COMPUTED_VALUE"""),0.08)</f>
        <v>0.08</v>
      </c>
      <c r="F566">
        <f>IFERROR(__xludf.DUMMYFUNCTION("""COMPUTED_VALUE"""),1.09)</f>
        <v>1.09</v>
      </c>
      <c r="G566">
        <f>IFERROR(__xludf.DUMMYFUNCTION("""COMPUTED_VALUE"""),3.3)</f>
        <v>3.3</v>
      </c>
    </row>
    <row r="567">
      <c r="A567">
        <f>IFERROR(__xludf.DUMMYFUNCTION("""COMPUTED_VALUE"""),169272.0)</f>
        <v>169272</v>
      </c>
      <c r="B567" t="str">
        <f>IFERROR(__xludf.DUMMYFUNCTION("""COMPUTED_VALUE"""),"Pumpkin Leaves")</f>
        <v>Pumpkin Leaves</v>
      </c>
      <c r="C567" t="str">
        <f>IFERROR(__xludf.DUMMYFUNCTION("""COMPUTED_VALUE"""),"Vegetables")</f>
        <v>Vegetables</v>
      </c>
      <c r="D567">
        <f>IFERROR(__xludf.DUMMYFUNCTION("""COMPUTED_VALUE"""),19.0)</f>
        <v>19</v>
      </c>
      <c r="E567">
        <f>IFERROR(__xludf.DUMMYFUNCTION("""COMPUTED_VALUE"""),0.4)</f>
        <v>0.4</v>
      </c>
      <c r="F567">
        <f>IFERROR(__xludf.DUMMYFUNCTION("""COMPUTED_VALUE"""),3.15)</f>
        <v>3.15</v>
      </c>
      <c r="G567">
        <f>IFERROR(__xludf.DUMMYFUNCTION("""COMPUTED_VALUE"""),2.33)</f>
        <v>2.33</v>
      </c>
    </row>
    <row r="568">
      <c r="A568">
        <f>IFERROR(__xludf.DUMMYFUNCTION("""COMPUTED_VALUE"""),169273.0)</f>
        <v>169273</v>
      </c>
      <c r="B568" t="str">
        <f>IFERROR(__xludf.DUMMYFUNCTION("""COMPUTED_VALUE"""),"Pumpkin Pie Mix Canned")</f>
        <v>Pumpkin Pie Mix Canned</v>
      </c>
      <c r="C568" t="str">
        <f>IFERROR(__xludf.DUMMYFUNCTION("""COMPUTED_VALUE"""),"Vegetables")</f>
        <v>Vegetables</v>
      </c>
      <c r="D568">
        <f>IFERROR(__xludf.DUMMYFUNCTION("""COMPUTED_VALUE"""),104.0)</f>
        <v>104</v>
      </c>
      <c r="E568">
        <f>IFERROR(__xludf.DUMMYFUNCTION("""COMPUTED_VALUE"""),0.13)</f>
        <v>0.13</v>
      </c>
      <c r="F568">
        <f>IFERROR(__xludf.DUMMYFUNCTION("""COMPUTED_VALUE"""),1.09)</f>
        <v>1.09</v>
      </c>
      <c r="G568">
        <f>IFERROR(__xludf.DUMMYFUNCTION("""COMPUTED_VALUE"""),26.39)</f>
        <v>26.39</v>
      </c>
    </row>
    <row r="569">
      <c r="A569">
        <f>IFERROR(__xludf.DUMMYFUNCTION("""COMPUTED_VALUE"""),169274.0)</f>
        <v>169274</v>
      </c>
      <c r="B569" t="str">
        <f>IFERROR(__xludf.DUMMYFUNCTION("""COMPUTED_VALUE"""),"Purslane")</f>
        <v>Purslane</v>
      </c>
      <c r="C569" t="str">
        <f>IFERROR(__xludf.DUMMYFUNCTION("""COMPUTED_VALUE"""),"Vegetables")</f>
        <v>Vegetables</v>
      </c>
      <c r="D569">
        <f>IFERROR(__xludf.DUMMYFUNCTION("""COMPUTED_VALUE"""),20.0)</f>
        <v>20</v>
      </c>
      <c r="E569">
        <f>IFERROR(__xludf.DUMMYFUNCTION("""COMPUTED_VALUE"""),0.36)</f>
        <v>0.36</v>
      </c>
      <c r="F569">
        <f>IFERROR(__xludf.DUMMYFUNCTION("""COMPUTED_VALUE"""),2.03)</f>
        <v>2.03</v>
      </c>
      <c r="G569">
        <f>IFERROR(__xludf.DUMMYFUNCTION("""COMPUTED_VALUE"""),3.39)</f>
        <v>3.39</v>
      </c>
    </row>
    <row r="570">
      <c r="A570">
        <f>IFERROR(__xludf.DUMMYFUNCTION("""COMPUTED_VALUE"""),169275.0)</f>
        <v>169275</v>
      </c>
      <c r="B570" t="str">
        <f>IFERROR(__xludf.DUMMYFUNCTION("""COMPUTED_VALUE"""),"Cooked Purslane")</f>
        <v>Cooked Purslane</v>
      </c>
      <c r="C570" t="str">
        <f>IFERROR(__xludf.DUMMYFUNCTION("""COMPUTED_VALUE"""),"Vegetables")</f>
        <v>Vegetables</v>
      </c>
      <c r="D570">
        <f>IFERROR(__xludf.DUMMYFUNCTION("""COMPUTED_VALUE"""),18.0)</f>
        <v>18</v>
      </c>
      <c r="E570">
        <f>IFERROR(__xludf.DUMMYFUNCTION("""COMPUTED_VALUE"""),0.19)</f>
        <v>0.19</v>
      </c>
      <c r="F570">
        <f>IFERROR(__xludf.DUMMYFUNCTION("""COMPUTED_VALUE"""),1.49)</f>
        <v>1.49</v>
      </c>
      <c r="G570">
        <f>IFERROR(__xludf.DUMMYFUNCTION("""COMPUTED_VALUE"""),3.55)</f>
        <v>3.55</v>
      </c>
    </row>
    <row r="571">
      <c r="A571">
        <f>IFERROR(__xludf.DUMMYFUNCTION("""COMPUTED_VALUE"""),169276.0)</f>
        <v>169276</v>
      </c>
      <c r="B571" t="str">
        <f>IFERROR(__xludf.DUMMYFUNCTION("""COMPUTED_VALUE"""),"Radishes")</f>
        <v>Radishes</v>
      </c>
      <c r="C571" t="str">
        <f>IFERROR(__xludf.DUMMYFUNCTION("""COMPUTED_VALUE"""),"Vegetables")</f>
        <v>Vegetables</v>
      </c>
      <c r="D571">
        <f>IFERROR(__xludf.DUMMYFUNCTION("""COMPUTED_VALUE"""),16.0)</f>
        <v>16</v>
      </c>
      <c r="E571">
        <f>IFERROR(__xludf.DUMMYFUNCTION("""COMPUTED_VALUE"""),0.1)</f>
        <v>0.1</v>
      </c>
      <c r="F571">
        <f>IFERROR(__xludf.DUMMYFUNCTION("""COMPUTED_VALUE"""),0.68)</f>
        <v>0.68</v>
      </c>
      <c r="G571">
        <f>IFERROR(__xludf.DUMMYFUNCTION("""COMPUTED_VALUE"""),3.4)</f>
        <v>3.4</v>
      </c>
    </row>
    <row r="572">
      <c r="A572">
        <f>IFERROR(__xludf.DUMMYFUNCTION("""COMPUTED_VALUE"""),169277.0)</f>
        <v>169277</v>
      </c>
      <c r="B572" t="str">
        <f>IFERROR(__xludf.DUMMYFUNCTION("""COMPUTED_VALUE"""),"Salsify (Vegetable Oyster) Raw")</f>
        <v>Salsify (Vegetable Oyster) Raw</v>
      </c>
      <c r="C572" t="str">
        <f>IFERROR(__xludf.DUMMYFUNCTION("""COMPUTED_VALUE"""),"Vegetables")</f>
        <v>Vegetables</v>
      </c>
      <c r="D572">
        <f>IFERROR(__xludf.DUMMYFUNCTION("""COMPUTED_VALUE"""),82.0)</f>
        <v>82</v>
      </c>
      <c r="E572">
        <f>IFERROR(__xludf.DUMMYFUNCTION("""COMPUTED_VALUE"""),0.2)</f>
        <v>0.2</v>
      </c>
      <c r="F572">
        <f>IFERROR(__xludf.DUMMYFUNCTION("""COMPUTED_VALUE"""),3.3)</f>
        <v>3.3</v>
      </c>
      <c r="G572">
        <f>IFERROR(__xludf.DUMMYFUNCTION("""COMPUTED_VALUE"""),18.6)</f>
        <v>18.6</v>
      </c>
    </row>
    <row r="573">
      <c r="A573">
        <f>IFERROR(__xludf.DUMMYFUNCTION("""COMPUTED_VALUE"""),169278.0)</f>
        <v>169278</v>
      </c>
      <c r="B573" t="str">
        <f>IFERROR(__xludf.DUMMYFUNCTION("""COMPUTED_VALUE"""),"Salsify Cooked Boiled Drained Without Salt")</f>
        <v>Salsify Cooked Boiled Drained Without Salt</v>
      </c>
      <c r="C573" t="str">
        <f>IFERROR(__xludf.DUMMYFUNCTION("""COMPUTED_VALUE"""),"Vegetables")</f>
        <v>Vegetables</v>
      </c>
      <c r="D573">
        <f>IFERROR(__xludf.DUMMYFUNCTION("""COMPUTED_VALUE"""),68.0)</f>
        <v>68</v>
      </c>
      <c r="E573">
        <f>IFERROR(__xludf.DUMMYFUNCTION("""COMPUTED_VALUE"""),0.17)</f>
        <v>0.17</v>
      </c>
      <c r="F573">
        <f>IFERROR(__xludf.DUMMYFUNCTION("""COMPUTED_VALUE"""),2.73)</f>
        <v>2.73</v>
      </c>
      <c r="G573">
        <f>IFERROR(__xludf.DUMMYFUNCTION("""COMPUTED_VALUE"""),15.36)</f>
        <v>15.36</v>
      </c>
    </row>
    <row r="574">
      <c r="A574">
        <f>IFERROR(__xludf.DUMMYFUNCTION("""COMPUTED_VALUE"""),169279.0)</f>
        <v>169279</v>
      </c>
      <c r="B574" t="str">
        <f>IFERROR(__xludf.DUMMYFUNCTION("""COMPUTED_VALUE"""),"Sauerkraut")</f>
        <v>Sauerkraut</v>
      </c>
      <c r="C574" t="str">
        <f>IFERROR(__xludf.DUMMYFUNCTION("""COMPUTED_VALUE"""),"Vegetables")</f>
        <v>Vegetables</v>
      </c>
      <c r="D574">
        <f>IFERROR(__xludf.DUMMYFUNCTION("""COMPUTED_VALUE"""),19.0)</f>
        <v>19</v>
      </c>
      <c r="E574">
        <f>IFERROR(__xludf.DUMMYFUNCTION("""COMPUTED_VALUE"""),0.14)</f>
        <v>0.14</v>
      </c>
      <c r="F574">
        <f>IFERROR(__xludf.DUMMYFUNCTION("""COMPUTED_VALUE"""),0.91)</f>
        <v>0.91</v>
      </c>
      <c r="G574">
        <f>IFERROR(__xludf.DUMMYFUNCTION("""COMPUTED_VALUE"""),4.28)</f>
        <v>4.28</v>
      </c>
    </row>
    <row r="575">
      <c r="A575">
        <f>IFERROR(__xludf.DUMMYFUNCTION("""COMPUTED_VALUE"""),169280.0)</f>
        <v>169280</v>
      </c>
      <c r="B575" t="str">
        <f>IFERROR(__xludf.DUMMYFUNCTION("""COMPUTED_VALUE"""),"Seaweed Agar Raw")</f>
        <v>Seaweed Agar Raw</v>
      </c>
      <c r="C575" t="str">
        <f>IFERROR(__xludf.DUMMYFUNCTION("""COMPUTED_VALUE"""),"Vegetables")</f>
        <v>Vegetables</v>
      </c>
      <c r="D575">
        <f>IFERROR(__xludf.DUMMYFUNCTION("""COMPUTED_VALUE"""),26.0)</f>
        <v>26</v>
      </c>
      <c r="E575">
        <f>IFERROR(__xludf.DUMMYFUNCTION("""COMPUTED_VALUE"""),0.03)</f>
        <v>0.03</v>
      </c>
      <c r="F575">
        <f>IFERROR(__xludf.DUMMYFUNCTION("""COMPUTED_VALUE"""),0.54)</f>
        <v>0.54</v>
      </c>
      <c r="G575">
        <f>IFERROR(__xludf.DUMMYFUNCTION("""COMPUTED_VALUE"""),6.75)</f>
        <v>6.75</v>
      </c>
    </row>
    <row r="576">
      <c r="A576">
        <f>IFERROR(__xludf.DUMMYFUNCTION("""COMPUTED_VALUE"""),169281.0)</f>
        <v>169281</v>
      </c>
      <c r="B576" t="str">
        <f>IFERROR(__xludf.DUMMYFUNCTION("""COMPUTED_VALUE"""),"Sesbania Flower Cooked Steamed Without Salt")</f>
        <v>Sesbania Flower Cooked Steamed Without Salt</v>
      </c>
      <c r="C576" t="str">
        <f>IFERROR(__xludf.DUMMYFUNCTION("""COMPUTED_VALUE"""),"Vegetables")</f>
        <v>Vegetables</v>
      </c>
      <c r="D576">
        <f>IFERROR(__xludf.DUMMYFUNCTION("""COMPUTED_VALUE"""),22.0)</f>
        <v>22</v>
      </c>
      <c r="E576">
        <f>IFERROR(__xludf.DUMMYFUNCTION("""COMPUTED_VALUE"""),0.05)</f>
        <v>0.05</v>
      </c>
      <c r="F576">
        <f>IFERROR(__xludf.DUMMYFUNCTION("""COMPUTED_VALUE"""),1.14)</f>
        <v>1.14</v>
      </c>
      <c r="G576">
        <f>IFERROR(__xludf.DUMMYFUNCTION("""COMPUTED_VALUE"""),5.23)</f>
        <v>5.23</v>
      </c>
    </row>
    <row r="577">
      <c r="A577">
        <f>IFERROR(__xludf.DUMMYFUNCTION("""COMPUTED_VALUE"""),169282.0)</f>
        <v>169282</v>
      </c>
      <c r="B577" t="str">
        <f>IFERROR(__xludf.DUMMYFUNCTION("""COMPUTED_VALUE"""),"Green Soybeans")</f>
        <v>Green Soybeans</v>
      </c>
      <c r="C577" t="str">
        <f>IFERROR(__xludf.DUMMYFUNCTION("""COMPUTED_VALUE"""),"Beans and Lentils")</f>
        <v>Beans and Lentils</v>
      </c>
      <c r="D577">
        <f>IFERROR(__xludf.DUMMYFUNCTION("""COMPUTED_VALUE"""),147.0)</f>
        <v>147</v>
      </c>
      <c r="E577">
        <f>IFERROR(__xludf.DUMMYFUNCTION("""COMPUTED_VALUE"""),6.8)</f>
        <v>6.8</v>
      </c>
      <c r="F577">
        <f>IFERROR(__xludf.DUMMYFUNCTION("""COMPUTED_VALUE"""),12.95)</f>
        <v>12.95</v>
      </c>
      <c r="G577">
        <f>IFERROR(__xludf.DUMMYFUNCTION("""COMPUTED_VALUE"""),11.05)</f>
        <v>11.05</v>
      </c>
    </row>
    <row r="578">
      <c r="A578">
        <f>IFERROR(__xludf.DUMMYFUNCTION("""COMPUTED_VALUE"""),169283.0)</f>
        <v>169283</v>
      </c>
      <c r="B578" t="str">
        <f>IFERROR(__xludf.DUMMYFUNCTION("""COMPUTED_VALUE"""),"Cooked Green Soybeans")</f>
        <v>Cooked Green Soybeans</v>
      </c>
      <c r="C578" t="str">
        <f>IFERROR(__xludf.DUMMYFUNCTION("""COMPUTED_VALUE"""),"Beans and Lentils")</f>
        <v>Beans and Lentils</v>
      </c>
      <c r="D578">
        <f>IFERROR(__xludf.DUMMYFUNCTION("""COMPUTED_VALUE"""),141.0)</f>
        <v>141</v>
      </c>
      <c r="E578">
        <f>IFERROR(__xludf.DUMMYFUNCTION("""COMPUTED_VALUE"""),6.4)</f>
        <v>6.4</v>
      </c>
      <c r="F578">
        <f>IFERROR(__xludf.DUMMYFUNCTION("""COMPUTED_VALUE"""),12.35)</f>
        <v>12.35</v>
      </c>
      <c r="G578">
        <f>IFERROR(__xludf.DUMMYFUNCTION("""COMPUTED_VALUE"""),11.05)</f>
        <v>11.05</v>
      </c>
    </row>
    <row r="579">
      <c r="A579">
        <f>IFERROR(__xludf.DUMMYFUNCTION("""COMPUTED_VALUE"""),169284.0)</f>
        <v>169284</v>
      </c>
      <c r="B579" t="str">
        <f>IFERROR(__xludf.DUMMYFUNCTION("""COMPUTED_VALUE"""),"Soybean Sprouts")</f>
        <v>Soybean Sprouts</v>
      </c>
      <c r="C579" t="str">
        <f>IFERROR(__xludf.DUMMYFUNCTION("""COMPUTED_VALUE"""),"Vegetables")</f>
        <v>Vegetables</v>
      </c>
      <c r="D579">
        <f>IFERROR(__xludf.DUMMYFUNCTION("""COMPUTED_VALUE"""),122.0)</f>
        <v>122</v>
      </c>
      <c r="E579">
        <f>IFERROR(__xludf.DUMMYFUNCTION("""COMPUTED_VALUE"""),6.7)</f>
        <v>6.7</v>
      </c>
      <c r="F579">
        <f>IFERROR(__xludf.DUMMYFUNCTION("""COMPUTED_VALUE"""),13.09)</f>
        <v>13.09</v>
      </c>
      <c r="G579">
        <f>IFERROR(__xludf.DUMMYFUNCTION("""COMPUTED_VALUE"""),9.57)</f>
        <v>9.57</v>
      </c>
    </row>
    <row r="580">
      <c r="A580">
        <f>IFERROR(__xludf.DUMMYFUNCTION("""COMPUTED_VALUE"""),169285.0)</f>
        <v>169285</v>
      </c>
      <c r="B580" t="str">
        <f>IFERROR(__xludf.DUMMYFUNCTION("""COMPUTED_VALUE"""),"Spinach Canned Regular Pack Solids And Liquids")</f>
        <v>Spinach Canned Regular Pack Solids And Liquids</v>
      </c>
      <c r="C580" t="str">
        <f>IFERROR(__xludf.DUMMYFUNCTION("""COMPUTED_VALUE"""),"Vegetables")</f>
        <v>Vegetables</v>
      </c>
      <c r="D580">
        <f>IFERROR(__xludf.DUMMYFUNCTION("""COMPUTED_VALUE"""),19.0)</f>
        <v>19</v>
      </c>
      <c r="E580">
        <f>IFERROR(__xludf.DUMMYFUNCTION("""COMPUTED_VALUE"""),0.37)</f>
        <v>0.37</v>
      </c>
      <c r="F580">
        <f>IFERROR(__xludf.DUMMYFUNCTION("""COMPUTED_VALUE"""),2.11)</f>
        <v>2.11</v>
      </c>
      <c r="G580">
        <f>IFERROR(__xludf.DUMMYFUNCTION("""COMPUTED_VALUE"""),2.92)</f>
        <v>2.92</v>
      </c>
    </row>
    <row r="581">
      <c r="A581">
        <f>IFERROR(__xludf.DUMMYFUNCTION("""COMPUTED_VALUE"""),169286.0)</f>
        <v>169286</v>
      </c>
      <c r="B581" t="str">
        <f>IFERROR(__xludf.DUMMYFUNCTION("""COMPUTED_VALUE"""),"Spinach Canned Regular Pack Drained Solids")</f>
        <v>Spinach Canned Regular Pack Drained Solids</v>
      </c>
      <c r="C581" t="str">
        <f>IFERROR(__xludf.DUMMYFUNCTION("""COMPUTED_VALUE"""),"Vegetables")</f>
        <v>Vegetables</v>
      </c>
      <c r="D581">
        <f>IFERROR(__xludf.DUMMYFUNCTION("""COMPUTED_VALUE"""),23.0)</f>
        <v>23</v>
      </c>
      <c r="E581">
        <f>IFERROR(__xludf.DUMMYFUNCTION("""COMPUTED_VALUE"""),0.5)</f>
        <v>0.5</v>
      </c>
      <c r="F581">
        <f>IFERROR(__xludf.DUMMYFUNCTION("""COMPUTED_VALUE"""),2.81)</f>
        <v>2.81</v>
      </c>
      <c r="G581">
        <f>IFERROR(__xludf.DUMMYFUNCTION("""COMPUTED_VALUE"""),3.4)</f>
        <v>3.4</v>
      </c>
    </row>
    <row r="582">
      <c r="A582">
        <f>IFERROR(__xludf.DUMMYFUNCTION("""COMPUTED_VALUE"""),169287.0)</f>
        <v>169287</v>
      </c>
      <c r="B582" t="str">
        <f>IFERROR(__xludf.DUMMYFUNCTION("""COMPUTED_VALUE"""),"Spinach Frozen Chopped Or Leaf Unprepared")</f>
        <v>Spinach Frozen Chopped Or Leaf Unprepared</v>
      </c>
      <c r="C582" t="str">
        <f>IFERROR(__xludf.DUMMYFUNCTION("""COMPUTED_VALUE"""),"Vegetables")</f>
        <v>Vegetables</v>
      </c>
      <c r="D582">
        <f>IFERROR(__xludf.DUMMYFUNCTION("""COMPUTED_VALUE"""),29.0)</f>
        <v>29</v>
      </c>
      <c r="E582">
        <f>IFERROR(__xludf.DUMMYFUNCTION("""COMPUTED_VALUE"""),0.57)</f>
        <v>0.57</v>
      </c>
      <c r="F582">
        <f>IFERROR(__xludf.DUMMYFUNCTION("""COMPUTED_VALUE"""),3.63)</f>
        <v>3.63</v>
      </c>
      <c r="G582">
        <f>IFERROR(__xludf.DUMMYFUNCTION("""COMPUTED_VALUE"""),4.21)</f>
        <v>4.21</v>
      </c>
    </row>
    <row r="583">
      <c r="A583">
        <f>IFERROR(__xludf.DUMMYFUNCTION("""COMPUTED_VALUE"""),169288.0)</f>
        <v>169288</v>
      </c>
      <c r="B583" t="str">
        <f>IFERROR(__xludf.DUMMYFUNCTION("""COMPUTED_VALUE"""),"Spinach Frozen Chopped Or Leaf Cooked Boiled Drained Without Salt")</f>
        <v>Spinach Frozen Chopped Or Leaf Cooked Boiled Drained Without Salt</v>
      </c>
      <c r="C583" t="str">
        <f>IFERROR(__xludf.DUMMYFUNCTION("""COMPUTED_VALUE"""),"Vegetables")</f>
        <v>Vegetables</v>
      </c>
      <c r="D583">
        <f>IFERROR(__xludf.DUMMYFUNCTION("""COMPUTED_VALUE"""),34.0)</f>
        <v>34</v>
      </c>
      <c r="E583">
        <f>IFERROR(__xludf.DUMMYFUNCTION("""COMPUTED_VALUE"""),0.87)</f>
        <v>0.87</v>
      </c>
      <c r="F583">
        <f>IFERROR(__xludf.DUMMYFUNCTION("""COMPUTED_VALUE"""),4.01)</f>
        <v>4.01</v>
      </c>
      <c r="G583">
        <f>IFERROR(__xludf.DUMMYFUNCTION("""COMPUTED_VALUE"""),4.8)</f>
        <v>4.8</v>
      </c>
    </row>
    <row r="584">
      <c r="A584">
        <f>IFERROR(__xludf.DUMMYFUNCTION("""COMPUTED_VALUE"""),169289.0)</f>
        <v>169289</v>
      </c>
      <c r="B584" t="str">
        <f>IFERROR(__xludf.DUMMYFUNCTION("""COMPUTED_VALUE"""),"Scallop Squash")</f>
        <v>Scallop Squash</v>
      </c>
      <c r="C584" t="str">
        <f>IFERROR(__xludf.DUMMYFUNCTION("""COMPUTED_VALUE"""),"Vegetables")</f>
        <v>Vegetables</v>
      </c>
      <c r="D584">
        <f>IFERROR(__xludf.DUMMYFUNCTION("""COMPUTED_VALUE"""),18.0)</f>
        <v>18</v>
      </c>
      <c r="E584">
        <f>IFERROR(__xludf.DUMMYFUNCTION("""COMPUTED_VALUE"""),0.2)</f>
        <v>0.2</v>
      </c>
      <c r="F584">
        <f>IFERROR(__xludf.DUMMYFUNCTION("""COMPUTED_VALUE"""),1.2)</f>
        <v>1.2</v>
      </c>
      <c r="G584">
        <f>IFERROR(__xludf.DUMMYFUNCTION("""COMPUTED_VALUE"""),3.84)</f>
        <v>3.84</v>
      </c>
    </row>
    <row r="585">
      <c r="A585">
        <f>IFERROR(__xludf.DUMMYFUNCTION("""COMPUTED_VALUE"""),169290.0)</f>
        <v>169290</v>
      </c>
      <c r="B585" t="str">
        <f>IFERROR(__xludf.DUMMYFUNCTION("""COMPUTED_VALUE"""),"Cooked Scallop Squash")</f>
        <v>Cooked Scallop Squash</v>
      </c>
      <c r="C585" t="str">
        <f>IFERROR(__xludf.DUMMYFUNCTION("""COMPUTED_VALUE"""),"Vegetables")</f>
        <v>Vegetables</v>
      </c>
      <c r="D585">
        <f>IFERROR(__xludf.DUMMYFUNCTION("""COMPUTED_VALUE"""),16.0)</f>
        <v>16</v>
      </c>
      <c r="E585">
        <f>IFERROR(__xludf.DUMMYFUNCTION("""COMPUTED_VALUE"""),0.17)</f>
        <v>0.17</v>
      </c>
      <c r="F585">
        <f>IFERROR(__xludf.DUMMYFUNCTION("""COMPUTED_VALUE"""),1.03)</f>
        <v>1.03</v>
      </c>
      <c r="G585">
        <f>IFERROR(__xludf.DUMMYFUNCTION("""COMPUTED_VALUE"""),3.3)</f>
        <v>3.3</v>
      </c>
    </row>
    <row r="586">
      <c r="A586">
        <f>IFERROR(__xludf.DUMMYFUNCTION("""COMPUTED_VALUE"""),169291.0)</f>
        <v>169291</v>
      </c>
      <c r="B586" t="str">
        <f>IFERROR(__xludf.DUMMYFUNCTION("""COMPUTED_VALUE"""),"Zucchini")</f>
        <v>Zucchini</v>
      </c>
      <c r="C586" t="str">
        <f>IFERROR(__xludf.DUMMYFUNCTION("""COMPUTED_VALUE"""),"Vegetables")</f>
        <v>Vegetables</v>
      </c>
      <c r="D586">
        <f>IFERROR(__xludf.DUMMYFUNCTION("""COMPUTED_VALUE"""),17.0)</f>
        <v>17</v>
      </c>
      <c r="E586">
        <f>IFERROR(__xludf.DUMMYFUNCTION("""COMPUTED_VALUE"""),0.32)</f>
        <v>0.32</v>
      </c>
      <c r="F586">
        <f>IFERROR(__xludf.DUMMYFUNCTION("""COMPUTED_VALUE"""),1.21)</f>
        <v>1.21</v>
      </c>
      <c r="G586">
        <f>IFERROR(__xludf.DUMMYFUNCTION("""COMPUTED_VALUE"""),3.11)</f>
        <v>3.11</v>
      </c>
    </row>
    <row r="587">
      <c r="A587">
        <f>IFERROR(__xludf.DUMMYFUNCTION("""COMPUTED_VALUE"""),169292.0)</f>
        <v>169292</v>
      </c>
      <c r="B587" t="str">
        <f>IFERROR(__xludf.DUMMYFUNCTION("""COMPUTED_VALUE"""),"Cooked Zucchini")</f>
        <v>Cooked Zucchini</v>
      </c>
      <c r="C587" t="str">
        <f>IFERROR(__xludf.DUMMYFUNCTION("""COMPUTED_VALUE"""),"Vegetables")</f>
        <v>Vegetables</v>
      </c>
      <c r="D587">
        <f>IFERROR(__xludf.DUMMYFUNCTION("""COMPUTED_VALUE"""),15.0)</f>
        <v>15</v>
      </c>
      <c r="E587">
        <f>IFERROR(__xludf.DUMMYFUNCTION("""COMPUTED_VALUE"""),0.36)</f>
        <v>0.36</v>
      </c>
      <c r="F587">
        <f>IFERROR(__xludf.DUMMYFUNCTION("""COMPUTED_VALUE"""),1.14)</f>
        <v>1.14</v>
      </c>
      <c r="G587">
        <f>IFERROR(__xludf.DUMMYFUNCTION("""COMPUTED_VALUE"""),2.69)</f>
        <v>2.69</v>
      </c>
    </row>
    <row r="588">
      <c r="A588">
        <f>IFERROR(__xludf.DUMMYFUNCTION("""COMPUTED_VALUE"""),169293.0)</f>
        <v>169293</v>
      </c>
      <c r="B588" t="str">
        <f>IFERROR(__xludf.DUMMYFUNCTION("""COMPUTED_VALUE"""),"Baked Acorn Squash")</f>
        <v>Baked Acorn Squash</v>
      </c>
      <c r="C588" t="str">
        <f>IFERROR(__xludf.DUMMYFUNCTION("""COMPUTED_VALUE"""),"Vegetables")</f>
        <v>Vegetables</v>
      </c>
      <c r="D588">
        <f>IFERROR(__xludf.DUMMYFUNCTION("""COMPUTED_VALUE"""),56.0)</f>
        <v>56</v>
      </c>
      <c r="E588">
        <f>IFERROR(__xludf.DUMMYFUNCTION("""COMPUTED_VALUE"""),0.14)</f>
        <v>0.14</v>
      </c>
      <c r="F588">
        <f>IFERROR(__xludf.DUMMYFUNCTION("""COMPUTED_VALUE"""),1.12)</f>
        <v>1.12</v>
      </c>
      <c r="G588">
        <f>IFERROR(__xludf.DUMMYFUNCTION("""COMPUTED_VALUE"""),14.58)</f>
        <v>14.58</v>
      </c>
    </row>
    <row r="589">
      <c r="A589">
        <f>IFERROR(__xludf.DUMMYFUNCTION("""COMPUTED_VALUE"""),169294.0)</f>
        <v>169294</v>
      </c>
      <c r="B589" t="str">
        <f>IFERROR(__xludf.DUMMYFUNCTION("""COMPUTED_VALUE"""),"Cooked Acorn Squash")</f>
        <v>Cooked Acorn Squash</v>
      </c>
      <c r="C589" t="str">
        <f>IFERROR(__xludf.DUMMYFUNCTION("""COMPUTED_VALUE"""),"Vegetables")</f>
        <v>Vegetables</v>
      </c>
      <c r="D589">
        <f>IFERROR(__xludf.DUMMYFUNCTION("""COMPUTED_VALUE"""),34.0)</f>
        <v>34</v>
      </c>
      <c r="E589">
        <f>IFERROR(__xludf.DUMMYFUNCTION("""COMPUTED_VALUE"""),0.08)</f>
        <v>0.08</v>
      </c>
      <c r="F589">
        <f>IFERROR(__xludf.DUMMYFUNCTION("""COMPUTED_VALUE"""),0.67)</f>
        <v>0.67</v>
      </c>
      <c r="G589">
        <f>IFERROR(__xludf.DUMMYFUNCTION("""COMPUTED_VALUE"""),8.79)</f>
        <v>8.79</v>
      </c>
    </row>
    <row r="590">
      <c r="A590">
        <f>IFERROR(__xludf.DUMMYFUNCTION("""COMPUTED_VALUE"""),169295.0)</f>
        <v>169295</v>
      </c>
      <c r="B590" t="str">
        <f>IFERROR(__xludf.DUMMYFUNCTION("""COMPUTED_VALUE"""),"Butternut Squash")</f>
        <v>Butternut Squash</v>
      </c>
      <c r="C590" t="str">
        <f>IFERROR(__xludf.DUMMYFUNCTION("""COMPUTED_VALUE"""),"Vegetables")</f>
        <v>Vegetables</v>
      </c>
      <c r="D590">
        <f>IFERROR(__xludf.DUMMYFUNCTION("""COMPUTED_VALUE"""),45.0)</f>
        <v>45</v>
      </c>
      <c r="E590">
        <f>IFERROR(__xludf.DUMMYFUNCTION("""COMPUTED_VALUE"""),0.1)</f>
        <v>0.1</v>
      </c>
      <c r="F590">
        <f>IFERROR(__xludf.DUMMYFUNCTION("""COMPUTED_VALUE"""),1.0)</f>
        <v>1</v>
      </c>
      <c r="G590">
        <f>IFERROR(__xludf.DUMMYFUNCTION("""COMPUTED_VALUE"""),11.69)</f>
        <v>11.69</v>
      </c>
    </row>
    <row r="591">
      <c r="A591">
        <f>IFERROR(__xludf.DUMMYFUNCTION("""COMPUTED_VALUE"""),169296.0)</f>
        <v>169296</v>
      </c>
      <c r="B591" t="str">
        <f>IFERROR(__xludf.DUMMYFUNCTION("""COMPUTED_VALUE"""),"Cooked Butternut Squash")</f>
        <v>Cooked Butternut Squash</v>
      </c>
      <c r="C591" t="str">
        <f>IFERROR(__xludf.DUMMYFUNCTION("""COMPUTED_VALUE"""),"Vegetables")</f>
        <v>Vegetables</v>
      </c>
      <c r="D591">
        <f>IFERROR(__xludf.DUMMYFUNCTION("""COMPUTED_VALUE"""),40.0)</f>
        <v>40</v>
      </c>
      <c r="E591">
        <f>IFERROR(__xludf.DUMMYFUNCTION("""COMPUTED_VALUE"""),0.09)</f>
        <v>0.09</v>
      </c>
      <c r="F591">
        <f>IFERROR(__xludf.DUMMYFUNCTION("""COMPUTED_VALUE"""),0.9)</f>
        <v>0.9</v>
      </c>
      <c r="G591">
        <f>IFERROR(__xludf.DUMMYFUNCTION("""COMPUTED_VALUE"""),10.49)</f>
        <v>10.49</v>
      </c>
    </row>
    <row r="592">
      <c r="A592">
        <f>IFERROR(__xludf.DUMMYFUNCTION("""COMPUTED_VALUE"""),169297.0)</f>
        <v>169297</v>
      </c>
      <c r="B592" t="str">
        <f>IFERROR(__xludf.DUMMYFUNCTION("""COMPUTED_VALUE"""),"Squash Winter Hubbard Cooked Boiled Mashed Without Salt")</f>
        <v>Squash Winter Hubbard Cooked Boiled Mashed Without Salt</v>
      </c>
      <c r="C592" t="str">
        <f>IFERROR(__xludf.DUMMYFUNCTION("""COMPUTED_VALUE"""),"Vegetables")</f>
        <v>Vegetables</v>
      </c>
      <c r="D592">
        <f>IFERROR(__xludf.DUMMYFUNCTION("""COMPUTED_VALUE"""),30.0)</f>
        <v>30</v>
      </c>
      <c r="E592">
        <f>IFERROR(__xludf.DUMMYFUNCTION("""COMPUTED_VALUE"""),0.37)</f>
        <v>0.37</v>
      </c>
      <c r="F592">
        <f>IFERROR(__xludf.DUMMYFUNCTION("""COMPUTED_VALUE"""),1.48)</f>
        <v>1.48</v>
      </c>
      <c r="G592">
        <f>IFERROR(__xludf.DUMMYFUNCTION("""COMPUTED_VALUE"""),6.46)</f>
        <v>6.46</v>
      </c>
    </row>
    <row r="593">
      <c r="A593">
        <f>IFERROR(__xludf.DUMMYFUNCTION("""COMPUTED_VALUE"""),169298.0)</f>
        <v>169298</v>
      </c>
      <c r="B593" t="str">
        <f>IFERROR(__xludf.DUMMYFUNCTION("""COMPUTED_VALUE"""),"Spaghetti Squash")</f>
        <v>Spaghetti Squash</v>
      </c>
      <c r="C593" t="str">
        <f>IFERROR(__xludf.DUMMYFUNCTION("""COMPUTED_VALUE"""),"Vegetables")</f>
        <v>Vegetables</v>
      </c>
      <c r="D593">
        <f>IFERROR(__xludf.DUMMYFUNCTION("""COMPUTED_VALUE"""),31.0)</f>
        <v>31</v>
      </c>
      <c r="E593">
        <f>IFERROR(__xludf.DUMMYFUNCTION("""COMPUTED_VALUE"""),0.57)</f>
        <v>0.57</v>
      </c>
      <c r="F593">
        <f>IFERROR(__xludf.DUMMYFUNCTION("""COMPUTED_VALUE"""),0.64)</f>
        <v>0.64</v>
      </c>
      <c r="G593">
        <f>IFERROR(__xludf.DUMMYFUNCTION("""COMPUTED_VALUE"""),6.91)</f>
        <v>6.91</v>
      </c>
    </row>
    <row r="594">
      <c r="A594">
        <f>IFERROR(__xludf.DUMMYFUNCTION("""COMPUTED_VALUE"""),169299.0)</f>
        <v>169299</v>
      </c>
      <c r="B594" t="str">
        <f>IFERROR(__xludf.DUMMYFUNCTION("""COMPUTED_VALUE"""),"Cooked Spaghetti Squash")</f>
        <v>Cooked Spaghetti Squash</v>
      </c>
      <c r="C594" t="str">
        <f>IFERROR(__xludf.DUMMYFUNCTION("""COMPUTED_VALUE"""),"Vegetables")</f>
        <v>Vegetables</v>
      </c>
      <c r="D594">
        <f>IFERROR(__xludf.DUMMYFUNCTION("""COMPUTED_VALUE"""),27.0)</f>
        <v>27</v>
      </c>
      <c r="E594">
        <f>IFERROR(__xludf.DUMMYFUNCTION("""COMPUTED_VALUE"""),0.26)</f>
        <v>0.26</v>
      </c>
      <c r="F594">
        <f>IFERROR(__xludf.DUMMYFUNCTION("""COMPUTED_VALUE"""),0.66)</f>
        <v>0.66</v>
      </c>
      <c r="G594">
        <f>IFERROR(__xludf.DUMMYFUNCTION("""COMPUTED_VALUE"""),6.46)</f>
        <v>6.46</v>
      </c>
    </row>
    <row r="595">
      <c r="A595">
        <f>IFERROR(__xludf.DUMMYFUNCTION("""COMPUTED_VALUE"""),169300.0)</f>
        <v>169300</v>
      </c>
      <c r="B595" t="str">
        <f>IFERROR(__xludf.DUMMYFUNCTION("""COMPUTED_VALUE"""),"Succotash (Corn And Limas) Raw")</f>
        <v>Succotash (Corn And Limas) Raw</v>
      </c>
      <c r="C595" t="str">
        <f>IFERROR(__xludf.DUMMYFUNCTION("""COMPUTED_VALUE"""),"Vegetables")</f>
        <v>Vegetables</v>
      </c>
      <c r="D595">
        <f>IFERROR(__xludf.DUMMYFUNCTION("""COMPUTED_VALUE"""),99.0)</f>
        <v>99</v>
      </c>
      <c r="E595">
        <f>IFERROR(__xludf.DUMMYFUNCTION("""COMPUTED_VALUE"""),1.02)</f>
        <v>1.02</v>
      </c>
      <c r="F595">
        <f>IFERROR(__xludf.DUMMYFUNCTION("""COMPUTED_VALUE"""),5.03)</f>
        <v>5.03</v>
      </c>
      <c r="G595">
        <f>IFERROR(__xludf.DUMMYFUNCTION("""COMPUTED_VALUE"""),19.59)</f>
        <v>19.59</v>
      </c>
    </row>
    <row r="596">
      <c r="A596">
        <f>IFERROR(__xludf.DUMMYFUNCTION("""COMPUTED_VALUE"""),169301.0)</f>
        <v>169301</v>
      </c>
      <c r="B596" t="str">
        <f>IFERROR(__xludf.DUMMYFUNCTION("""COMPUTED_VALUE"""),"Swamp Cabbage")</f>
        <v>Swamp Cabbage</v>
      </c>
      <c r="C596" t="str">
        <f>IFERROR(__xludf.DUMMYFUNCTION("""COMPUTED_VALUE"""),"Vegetables")</f>
        <v>Vegetables</v>
      </c>
      <c r="D596">
        <f>IFERROR(__xludf.DUMMYFUNCTION("""COMPUTED_VALUE"""),19.0)</f>
        <v>19</v>
      </c>
      <c r="E596">
        <f>IFERROR(__xludf.DUMMYFUNCTION("""COMPUTED_VALUE"""),0.2)</f>
        <v>0.2</v>
      </c>
      <c r="F596">
        <f>IFERROR(__xludf.DUMMYFUNCTION("""COMPUTED_VALUE"""),2.6)</f>
        <v>2.6</v>
      </c>
      <c r="G596">
        <f>IFERROR(__xludf.DUMMYFUNCTION("""COMPUTED_VALUE"""),3.13)</f>
        <v>3.13</v>
      </c>
    </row>
    <row r="597">
      <c r="A597">
        <f>IFERROR(__xludf.DUMMYFUNCTION("""COMPUTED_VALUE"""),169302.0)</f>
        <v>169302</v>
      </c>
      <c r="B597" t="str">
        <f>IFERROR(__xludf.DUMMYFUNCTION("""COMPUTED_VALUE"""),"Cooked Swamp Cabbage")</f>
        <v>Cooked Swamp Cabbage</v>
      </c>
      <c r="C597" t="str">
        <f>IFERROR(__xludf.DUMMYFUNCTION("""COMPUTED_VALUE"""),"Vegetables")</f>
        <v>Vegetables</v>
      </c>
      <c r="D597">
        <f>IFERROR(__xludf.DUMMYFUNCTION("""COMPUTED_VALUE"""),20.0)</f>
        <v>20</v>
      </c>
      <c r="E597">
        <f>IFERROR(__xludf.DUMMYFUNCTION("""COMPUTED_VALUE"""),0.24)</f>
        <v>0.24</v>
      </c>
      <c r="F597">
        <f>IFERROR(__xludf.DUMMYFUNCTION("""COMPUTED_VALUE"""),2.08)</f>
        <v>2.08</v>
      </c>
      <c r="G597">
        <f>IFERROR(__xludf.DUMMYFUNCTION("""COMPUTED_VALUE"""),3.7)</f>
        <v>3.7</v>
      </c>
    </row>
    <row r="598">
      <c r="A598">
        <f>IFERROR(__xludf.DUMMYFUNCTION("""COMPUTED_VALUE"""),169303.0)</f>
        <v>169303</v>
      </c>
      <c r="B598" t="str">
        <f>IFERROR(__xludf.DUMMYFUNCTION("""COMPUTED_VALUE"""),"Sweet Potato Leaves Raw")</f>
        <v>Sweet Potato Leaves Raw</v>
      </c>
      <c r="C598" t="str">
        <f>IFERROR(__xludf.DUMMYFUNCTION("""COMPUTED_VALUE"""),"Vegetables")</f>
        <v>Vegetables</v>
      </c>
      <c r="D598">
        <f>IFERROR(__xludf.DUMMYFUNCTION("""COMPUTED_VALUE"""),42.0)</f>
        <v>42</v>
      </c>
      <c r="E598">
        <f>IFERROR(__xludf.DUMMYFUNCTION("""COMPUTED_VALUE"""),0.51)</f>
        <v>0.51</v>
      </c>
      <c r="F598">
        <f>IFERROR(__xludf.DUMMYFUNCTION("""COMPUTED_VALUE"""),2.49)</f>
        <v>2.49</v>
      </c>
      <c r="G598">
        <f>IFERROR(__xludf.DUMMYFUNCTION("""COMPUTED_VALUE"""),8.82)</f>
        <v>8.82</v>
      </c>
    </row>
    <row r="599">
      <c r="A599">
        <f>IFERROR(__xludf.DUMMYFUNCTION("""COMPUTED_VALUE"""),169304.0)</f>
        <v>169304</v>
      </c>
      <c r="B599" t="str">
        <f>IFERROR(__xludf.DUMMYFUNCTION("""COMPUTED_VALUE"""),"Sweet Potato Leaves Cooked Steamed Without Salt")</f>
        <v>Sweet Potato Leaves Cooked Steamed Without Salt</v>
      </c>
      <c r="C599" t="str">
        <f>IFERROR(__xludf.DUMMYFUNCTION("""COMPUTED_VALUE"""),"Vegetables")</f>
        <v>Vegetables</v>
      </c>
      <c r="D599">
        <f>IFERROR(__xludf.DUMMYFUNCTION("""COMPUTED_VALUE"""),35.0)</f>
        <v>35</v>
      </c>
      <c r="E599">
        <f>IFERROR(__xludf.DUMMYFUNCTION("""COMPUTED_VALUE"""),0.34)</f>
        <v>0.34</v>
      </c>
      <c r="F599">
        <f>IFERROR(__xludf.DUMMYFUNCTION("""COMPUTED_VALUE"""),2.18)</f>
        <v>2.18</v>
      </c>
      <c r="G599">
        <f>IFERROR(__xludf.DUMMYFUNCTION("""COMPUTED_VALUE"""),7.38)</f>
        <v>7.38</v>
      </c>
    </row>
    <row r="600">
      <c r="A600">
        <f>IFERROR(__xludf.DUMMYFUNCTION("""COMPUTED_VALUE"""),169305.0)</f>
        <v>169305</v>
      </c>
      <c r="B600" t="str">
        <f>IFERROR(__xludf.DUMMYFUNCTION("""COMPUTED_VALUE"""),"Mashed Sweet Potatoes")</f>
        <v>Mashed Sweet Potatoes</v>
      </c>
      <c r="C600" t="str">
        <f>IFERROR(__xludf.DUMMYFUNCTION("""COMPUTED_VALUE"""),"Vegetables")</f>
        <v>Vegetables</v>
      </c>
      <c r="D600">
        <f>IFERROR(__xludf.DUMMYFUNCTION("""COMPUTED_VALUE"""),101.0)</f>
        <v>101</v>
      </c>
      <c r="E600">
        <f>IFERROR(__xludf.DUMMYFUNCTION("""COMPUTED_VALUE"""),0.2)</f>
        <v>0.2</v>
      </c>
      <c r="F600">
        <f>IFERROR(__xludf.DUMMYFUNCTION("""COMPUTED_VALUE"""),1.98)</f>
        <v>1.98</v>
      </c>
      <c r="G600">
        <f>IFERROR(__xludf.DUMMYFUNCTION("""COMPUTED_VALUE"""),23.19)</f>
        <v>23.19</v>
      </c>
    </row>
    <row r="601">
      <c r="A601">
        <f>IFERROR(__xludf.DUMMYFUNCTION("""COMPUTED_VALUE"""),169306.0)</f>
        <v>169306</v>
      </c>
      <c r="B601" t="str">
        <f>IFERROR(__xludf.DUMMYFUNCTION("""COMPUTED_VALUE"""),"Sweet Potato Frozen Unprepared")</f>
        <v>Sweet Potato Frozen Unprepared</v>
      </c>
      <c r="C601" t="str">
        <f>IFERROR(__xludf.DUMMYFUNCTION("""COMPUTED_VALUE"""),"Vegetables")</f>
        <v>Vegetables</v>
      </c>
      <c r="D601">
        <f>IFERROR(__xludf.DUMMYFUNCTION("""COMPUTED_VALUE"""),96.0)</f>
        <v>96</v>
      </c>
      <c r="E601">
        <f>IFERROR(__xludf.DUMMYFUNCTION("""COMPUTED_VALUE"""),0.18)</f>
        <v>0.18</v>
      </c>
      <c r="F601">
        <f>IFERROR(__xludf.DUMMYFUNCTION("""COMPUTED_VALUE"""),1.71)</f>
        <v>1.71</v>
      </c>
      <c r="G601">
        <f>IFERROR(__xludf.DUMMYFUNCTION("""COMPUTED_VALUE"""),22.22)</f>
        <v>22.22</v>
      </c>
    </row>
    <row r="602">
      <c r="A602">
        <f>IFERROR(__xludf.DUMMYFUNCTION("""COMPUTED_VALUE"""),169307.0)</f>
        <v>169307</v>
      </c>
      <c r="B602" t="str">
        <f>IFERROR(__xludf.DUMMYFUNCTION("""COMPUTED_VALUE"""),"Sweet Potato Frozen Cooked Baked Without Salt")</f>
        <v>Sweet Potato Frozen Cooked Baked Without Salt</v>
      </c>
      <c r="C602" t="str">
        <f>IFERROR(__xludf.DUMMYFUNCTION("""COMPUTED_VALUE"""),"Vegetables")</f>
        <v>Vegetables</v>
      </c>
      <c r="D602">
        <f>IFERROR(__xludf.DUMMYFUNCTION("""COMPUTED_VALUE"""),100.0)</f>
        <v>100</v>
      </c>
      <c r="E602">
        <f>IFERROR(__xludf.DUMMYFUNCTION("""COMPUTED_VALUE"""),0.12)</f>
        <v>0.12</v>
      </c>
      <c r="F602">
        <f>IFERROR(__xludf.DUMMYFUNCTION("""COMPUTED_VALUE"""),1.71)</f>
        <v>1.71</v>
      </c>
      <c r="G602">
        <f>IFERROR(__xludf.DUMMYFUNCTION("""COMPUTED_VALUE"""),23.4)</f>
        <v>23.4</v>
      </c>
    </row>
    <row r="603">
      <c r="A603">
        <f>IFERROR(__xludf.DUMMYFUNCTION("""COMPUTED_VALUE"""),169308.0)</f>
        <v>169308</v>
      </c>
      <c r="B603" t="str">
        <f>IFERROR(__xludf.DUMMYFUNCTION("""COMPUTED_VALUE"""),"Taro")</f>
        <v>Taro</v>
      </c>
      <c r="C603" t="str">
        <f>IFERROR(__xludf.DUMMYFUNCTION("""COMPUTED_VALUE"""),"Vegetables")</f>
        <v>Vegetables</v>
      </c>
      <c r="D603">
        <f>IFERROR(__xludf.DUMMYFUNCTION("""COMPUTED_VALUE"""),112.0)</f>
        <v>112</v>
      </c>
      <c r="E603">
        <f>IFERROR(__xludf.DUMMYFUNCTION("""COMPUTED_VALUE"""),0.2)</f>
        <v>0.2</v>
      </c>
      <c r="F603">
        <f>IFERROR(__xludf.DUMMYFUNCTION("""COMPUTED_VALUE"""),1.5)</f>
        <v>1.5</v>
      </c>
      <c r="G603">
        <f>IFERROR(__xludf.DUMMYFUNCTION("""COMPUTED_VALUE"""),26.46)</f>
        <v>26.46</v>
      </c>
    </row>
    <row r="604">
      <c r="A604">
        <f>IFERROR(__xludf.DUMMYFUNCTION("""COMPUTED_VALUE"""),169309.0)</f>
        <v>169309</v>
      </c>
      <c r="B604" t="str">
        <f>IFERROR(__xludf.DUMMYFUNCTION("""COMPUTED_VALUE"""),"Taro Shoots Cooked Without Salt")</f>
        <v>Taro Shoots Cooked Without Salt</v>
      </c>
      <c r="C604" t="str">
        <f>IFERROR(__xludf.DUMMYFUNCTION("""COMPUTED_VALUE"""),"Vegetables")</f>
        <v>Vegetables</v>
      </c>
      <c r="D604">
        <f>IFERROR(__xludf.DUMMYFUNCTION("""COMPUTED_VALUE"""),14.0)</f>
        <v>14</v>
      </c>
      <c r="E604">
        <f>IFERROR(__xludf.DUMMYFUNCTION("""COMPUTED_VALUE"""),0.08)</f>
        <v>0.08</v>
      </c>
      <c r="F604">
        <f>IFERROR(__xludf.DUMMYFUNCTION("""COMPUTED_VALUE"""),0.73)</f>
        <v>0.73</v>
      </c>
      <c r="G604">
        <f>IFERROR(__xludf.DUMMYFUNCTION("""COMPUTED_VALUE"""),3.2)</f>
        <v>3.2</v>
      </c>
    </row>
    <row r="605">
      <c r="A605">
        <f>IFERROR(__xludf.DUMMYFUNCTION("""COMPUTED_VALUE"""),169310.0)</f>
        <v>169310</v>
      </c>
      <c r="B605" t="str">
        <f>IFERROR(__xludf.DUMMYFUNCTION("""COMPUTED_VALUE"""),"Tahitian Taro")</f>
        <v>Tahitian Taro</v>
      </c>
      <c r="C605" t="str">
        <f>IFERROR(__xludf.DUMMYFUNCTION("""COMPUTED_VALUE"""),"Vegetables")</f>
        <v>Vegetables</v>
      </c>
      <c r="D605">
        <f>IFERROR(__xludf.DUMMYFUNCTION("""COMPUTED_VALUE"""),44.0)</f>
        <v>44</v>
      </c>
      <c r="E605">
        <f>IFERROR(__xludf.DUMMYFUNCTION("""COMPUTED_VALUE"""),0.97)</f>
        <v>0.97</v>
      </c>
      <c r="F605">
        <f>IFERROR(__xludf.DUMMYFUNCTION("""COMPUTED_VALUE"""),2.79)</f>
        <v>2.79</v>
      </c>
      <c r="G605">
        <f>IFERROR(__xludf.DUMMYFUNCTION("""COMPUTED_VALUE"""),6.91)</f>
        <v>6.91</v>
      </c>
    </row>
    <row r="606">
      <c r="A606">
        <f>IFERROR(__xludf.DUMMYFUNCTION("""COMPUTED_VALUE"""),169311.0)</f>
        <v>169311</v>
      </c>
      <c r="B606" t="str">
        <f>IFERROR(__xludf.DUMMYFUNCTION("""COMPUTED_VALUE"""),"Artichokes (Globe Or French) Cooked Boiled Drained With Salt")</f>
        <v>Artichokes (Globe Or French) Cooked Boiled Drained With Salt</v>
      </c>
      <c r="C606" t="str">
        <f>IFERROR(__xludf.DUMMYFUNCTION("""COMPUTED_VALUE"""),"Vegetables")</f>
        <v>Vegetables</v>
      </c>
      <c r="D606">
        <f>IFERROR(__xludf.DUMMYFUNCTION("""COMPUTED_VALUE"""),51.0)</f>
        <v>51</v>
      </c>
      <c r="E606">
        <f>IFERROR(__xludf.DUMMYFUNCTION("""COMPUTED_VALUE"""),0.34)</f>
        <v>0.34</v>
      </c>
      <c r="F606">
        <f>IFERROR(__xludf.DUMMYFUNCTION("""COMPUTED_VALUE"""),2.89)</f>
        <v>2.89</v>
      </c>
      <c r="G606">
        <f>IFERROR(__xludf.DUMMYFUNCTION("""COMPUTED_VALUE"""),11.39)</f>
        <v>11.39</v>
      </c>
    </row>
    <row r="607">
      <c r="A607">
        <f>IFERROR(__xludf.DUMMYFUNCTION("""COMPUTED_VALUE"""),169312.0)</f>
        <v>169312</v>
      </c>
      <c r="B607" t="str">
        <f>IFERROR(__xludf.DUMMYFUNCTION("""COMPUTED_VALUE"""),"Artichokes (Globe Or French) Frozen Cooked Boiled Drained With Salt")</f>
        <v>Artichokes (Globe Or French) Frozen Cooked Boiled Drained With Salt</v>
      </c>
      <c r="C607" t="str">
        <f>IFERROR(__xludf.DUMMYFUNCTION("""COMPUTED_VALUE"""),"Vegetables")</f>
        <v>Vegetables</v>
      </c>
      <c r="D607">
        <f>IFERROR(__xludf.DUMMYFUNCTION("""COMPUTED_VALUE"""),45.0)</f>
        <v>45</v>
      </c>
      <c r="E607">
        <f>IFERROR(__xludf.DUMMYFUNCTION("""COMPUTED_VALUE"""),0.5)</f>
        <v>0.5</v>
      </c>
      <c r="F607">
        <f>IFERROR(__xludf.DUMMYFUNCTION("""COMPUTED_VALUE"""),3.11)</f>
        <v>3.11</v>
      </c>
      <c r="G607">
        <f>IFERROR(__xludf.DUMMYFUNCTION("""COMPUTED_VALUE"""),9.18)</f>
        <v>9.18</v>
      </c>
    </row>
    <row r="608">
      <c r="A608">
        <f>IFERROR(__xludf.DUMMYFUNCTION("""COMPUTED_VALUE"""),169313.0)</f>
        <v>169313</v>
      </c>
      <c r="B608" t="str">
        <f>IFERROR(__xludf.DUMMYFUNCTION("""COMPUTED_VALUE"""),"Asparagus Cooked Boiled Drained With Salt")</f>
        <v>Asparagus Cooked Boiled Drained With Salt</v>
      </c>
      <c r="C608" t="str">
        <f>IFERROR(__xludf.DUMMYFUNCTION("""COMPUTED_VALUE"""),"Vegetables")</f>
        <v>Vegetables</v>
      </c>
      <c r="D608">
        <f>IFERROR(__xludf.DUMMYFUNCTION("""COMPUTED_VALUE"""),22.0)</f>
        <v>22</v>
      </c>
      <c r="E608">
        <f>IFERROR(__xludf.DUMMYFUNCTION("""COMPUTED_VALUE"""),0.22)</f>
        <v>0.22</v>
      </c>
      <c r="F608">
        <f>IFERROR(__xludf.DUMMYFUNCTION("""COMPUTED_VALUE"""),2.4)</f>
        <v>2.4</v>
      </c>
      <c r="G608">
        <f>IFERROR(__xludf.DUMMYFUNCTION("""COMPUTED_VALUE"""),4.11)</f>
        <v>4.11</v>
      </c>
    </row>
    <row r="609">
      <c r="A609">
        <f>IFERROR(__xludf.DUMMYFUNCTION("""COMPUTED_VALUE"""),169314.0)</f>
        <v>169314</v>
      </c>
      <c r="B609" t="str">
        <f>IFERROR(__xludf.DUMMYFUNCTION("""COMPUTED_VALUE"""),"Asparagus Canned No Salt Added Solids And Liquids")</f>
        <v>Asparagus Canned No Salt Added Solids And Liquids</v>
      </c>
      <c r="C609" t="str">
        <f>IFERROR(__xludf.DUMMYFUNCTION("""COMPUTED_VALUE"""),"Vegetables")</f>
        <v>Vegetables</v>
      </c>
      <c r="D609">
        <f>IFERROR(__xludf.DUMMYFUNCTION("""COMPUTED_VALUE"""),15.0)</f>
        <v>15</v>
      </c>
      <c r="E609">
        <f>IFERROR(__xludf.DUMMYFUNCTION("""COMPUTED_VALUE"""),0.18)</f>
        <v>0.18</v>
      </c>
      <c r="F609">
        <f>IFERROR(__xludf.DUMMYFUNCTION("""COMPUTED_VALUE"""),1.8)</f>
        <v>1.8</v>
      </c>
      <c r="G609">
        <f>IFERROR(__xludf.DUMMYFUNCTION("""COMPUTED_VALUE"""),2.48)</f>
        <v>2.48</v>
      </c>
    </row>
    <row r="610">
      <c r="A610">
        <f>IFERROR(__xludf.DUMMYFUNCTION("""COMPUTED_VALUE"""),169315.0)</f>
        <v>169315</v>
      </c>
      <c r="B610" t="str">
        <f>IFERROR(__xludf.DUMMYFUNCTION("""COMPUTED_VALUE"""),"Beans Kidney Mature Seeds Sprouted Cooked Boiled Drained With Salt")</f>
        <v>Beans Kidney Mature Seeds Sprouted Cooked Boiled Drained With Salt</v>
      </c>
      <c r="C610" t="str">
        <f>IFERROR(__xludf.DUMMYFUNCTION("""COMPUTED_VALUE"""),"Vegetables")</f>
        <v>Vegetables</v>
      </c>
      <c r="D610">
        <f>IFERROR(__xludf.DUMMYFUNCTION("""COMPUTED_VALUE"""),33.0)</f>
        <v>33</v>
      </c>
      <c r="E610">
        <f>IFERROR(__xludf.DUMMYFUNCTION("""COMPUTED_VALUE"""),0.58)</f>
        <v>0.58</v>
      </c>
      <c r="F610">
        <f>IFERROR(__xludf.DUMMYFUNCTION("""COMPUTED_VALUE"""),4.83)</f>
        <v>4.83</v>
      </c>
      <c r="G610">
        <f>IFERROR(__xludf.DUMMYFUNCTION("""COMPUTED_VALUE"""),4.72)</f>
        <v>4.72</v>
      </c>
    </row>
    <row r="611">
      <c r="A611">
        <f>IFERROR(__xludf.DUMMYFUNCTION("""COMPUTED_VALUE"""),169316.0)</f>
        <v>169316</v>
      </c>
      <c r="B611" t="str">
        <f>IFERROR(__xludf.DUMMYFUNCTION("""COMPUTED_VALUE"""),"Lima Beans Immature Seeds Cooked Boiled Drained With Salt")</f>
        <v>Lima Beans Immature Seeds Cooked Boiled Drained With Salt</v>
      </c>
      <c r="C611" t="str">
        <f>IFERROR(__xludf.DUMMYFUNCTION("""COMPUTED_VALUE"""),"Vegetables")</f>
        <v>Vegetables</v>
      </c>
      <c r="D611">
        <f>IFERROR(__xludf.DUMMYFUNCTION("""COMPUTED_VALUE"""),123.0)</f>
        <v>123</v>
      </c>
      <c r="E611">
        <f>IFERROR(__xludf.DUMMYFUNCTION("""COMPUTED_VALUE"""),0.32)</f>
        <v>0.32</v>
      </c>
      <c r="F611">
        <f>IFERROR(__xludf.DUMMYFUNCTION("""COMPUTED_VALUE"""),6.81)</f>
        <v>6.81</v>
      </c>
      <c r="G611">
        <f>IFERROR(__xludf.DUMMYFUNCTION("""COMPUTED_VALUE"""),23.64)</f>
        <v>23.64</v>
      </c>
    </row>
    <row r="612">
      <c r="A612">
        <f>IFERROR(__xludf.DUMMYFUNCTION("""COMPUTED_VALUE"""),169317.0)</f>
        <v>169317</v>
      </c>
      <c r="B612" t="str">
        <f>IFERROR(__xludf.DUMMYFUNCTION("""COMPUTED_VALUE"""),"Canned Lima Beans")</f>
        <v>Canned Lima Beans</v>
      </c>
      <c r="C612" t="str">
        <f>IFERROR(__xludf.DUMMYFUNCTION("""COMPUTED_VALUE"""),"Vegetables")</f>
        <v>Vegetables</v>
      </c>
      <c r="D612">
        <f>IFERROR(__xludf.DUMMYFUNCTION("""COMPUTED_VALUE"""),71.0)</f>
        <v>71</v>
      </c>
      <c r="E612">
        <f>IFERROR(__xludf.DUMMYFUNCTION("""COMPUTED_VALUE"""),0.29)</f>
        <v>0.29</v>
      </c>
      <c r="F612">
        <f>IFERROR(__xludf.DUMMYFUNCTION("""COMPUTED_VALUE"""),4.07)</f>
        <v>4.07</v>
      </c>
      <c r="G612">
        <f>IFERROR(__xludf.DUMMYFUNCTION("""COMPUTED_VALUE"""),13.33)</f>
        <v>13.33</v>
      </c>
    </row>
    <row r="613">
      <c r="A613">
        <f>IFERROR(__xludf.DUMMYFUNCTION("""COMPUTED_VALUE"""),169318.0)</f>
        <v>169318</v>
      </c>
      <c r="B613" t="str">
        <f>IFERROR(__xludf.DUMMYFUNCTION("""COMPUTED_VALUE"""),"Lima Beans Immature Seeds Frozen Baby Cooked Boiled Drained With Salt")</f>
        <v>Lima Beans Immature Seeds Frozen Baby Cooked Boiled Drained With Salt</v>
      </c>
      <c r="C613" t="str">
        <f>IFERROR(__xludf.DUMMYFUNCTION("""COMPUTED_VALUE"""),"Vegetables")</f>
        <v>Vegetables</v>
      </c>
      <c r="D613">
        <f>IFERROR(__xludf.DUMMYFUNCTION("""COMPUTED_VALUE"""),105.0)</f>
        <v>105</v>
      </c>
      <c r="E613">
        <f>IFERROR(__xludf.DUMMYFUNCTION("""COMPUTED_VALUE"""),0.3)</f>
        <v>0.3</v>
      </c>
      <c r="F613">
        <f>IFERROR(__xludf.DUMMYFUNCTION("""COMPUTED_VALUE"""),6.65)</f>
        <v>6.65</v>
      </c>
      <c r="G613">
        <f>IFERROR(__xludf.DUMMYFUNCTION("""COMPUTED_VALUE"""),19.45)</f>
        <v>19.45</v>
      </c>
    </row>
    <row r="614">
      <c r="A614">
        <f>IFERROR(__xludf.DUMMYFUNCTION("""COMPUTED_VALUE"""),169319.0)</f>
        <v>169319</v>
      </c>
      <c r="B614" t="str">
        <f>IFERROR(__xludf.DUMMYFUNCTION("""COMPUTED_VALUE"""),"Beans Pinto Mature Seeds Sprouted Cooked Boiled Drained With Salt")</f>
        <v>Beans Pinto Mature Seeds Sprouted Cooked Boiled Drained With Salt</v>
      </c>
      <c r="C614" t="str">
        <f>IFERROR(__xludf.DUMMYFUNCTION("""COMPUTED_VALUE"""),"Vegetables")</f>
        <v>Vegetables</v>
      </c>
      <c r="D614">
        <f>IFERROR(__xludf.DUMMYFUNCTION("""COMPUTED_VALUE"""),20.0)</f>
        <v>20</v>
      </c>
      <c r="E614">
        <f>IFERROR(__xludf.DUMMYFUNCTION("""COMPUTED_VALUE"""),0.32)</f>
        <v>0.32</v>
      </c>
      <c r="F614">
        <f>IFERROR(__xludf.DUMMYFUNCTION("""COMPUTED_VALUE"""),1.86)</f>
        <v>1.86</v>
      </c>
      <c r="G614">
        <f>IFERROR(__xludf.DUMMYFUNCTION("""COMPUTED_VALUE"""),3.5)</f>
        <v>3.5</v>
      </c>
    </row>
    <row r="615">
      <c r="A615">
        <f>IFERROR(__xludf.DUMMYFUNCTION("""COMPUTED_VALUE"""),169320.0)</f>
        <v>169320</v>
      </c>
      <c r="B615" t="str">
        <f>IFERROR(__xludf.DUMMYFUNCTION("""COMPUTED_VALUE"""),"Yellow Snap Beans")</f>
        <v>Yellow Snap Beans</v>
      </c>
      <c r="C615" t="str">
        <f>IFERROR(__xludf.DUMMYFUNCTION("""COMPUTED_VALUE"""),"Vegetables")</f>
        <v>Vegetables</v>
      </c>
      <c r="D615">
        <f>IFERROR(__xludf.DUMMYFUNCTION("""COMPUTED_VALUE"""),31.0)</f>
        <v>31</v>
      </c>
      <c r="E615">
        <f>IFERROR(__xludf.DUMMYFUNCTION("""COMPUTED_VALUE"""),0.12)</f>
        <v>0.12</v>
      </c>
      <c r="F615">
        <f>IFERROR(__xludf.DUMMYFUNCTION("""COMPUTED_VALUE"""),1.82)</f>
        <v>1.82</v>
      </c>
      <c r="G615">
        <f>IFERROR(__xludf.DUMMYFUNCTION("""COMPUTED_VALUE"""),7.13)</f>
        <v>7.13</v>
      </c>
    </row>
    <row r="616">
      <c r="A616">
        <f>IFERROR(__xludf.DUMMYFUNCTION("""COMPUTED_VALUE"""),169321.0)</f>
        <v>169321</v>
      </c>
      <c r="B616" t="str">
        <f>IFERROR(__xludf.DUMMYFUNCTION("""COMPUTED_VALUE"""),"Beans Snap Green Cooked Boiled Drained With Salt")</f>
        <v>Beans Snap Green Cooked Boiled Drained With Salt</v>
      </c>
      <c r="C616" t="str">
        <f>IFERROR(__xludf.DUMMYFUNCTION("""COMPUTED_VALUE"""),"Vegetables")</f>
        <v>Vegetables</v>
      </c>
      <c r="D616">
        <f>IFERROR(__xludf.DUMMYFUNCTION("""COMPUTED_VALUE"""),35.0)</f>
        <v>35</v>
      </c>
      <c r="E616">
        <f>IFERROR(__xludf.DUMMYFUNCTION("""COMPUTED_VALUE"""),0.28)</f>
        <v>0.28</v>
      </c>
      <c r="F616">
        <f>IFERROR(__xludf.DUMMYFUNCTION("""COMPUTED_VALUE"""),1.89)</f>
        <v>1.89</v>
      </c>
      <c r="G616">
        <f>IFERROR(__xludf.DUMMYFUNCTION("""COMPUTED_VALUE"""),7.88)</f>
        <v>7.88</v>
      </c>
    </row>
    <row r="617">
      <c r="A617">
        <f>IFERROR(__xludf.DUMMYFUNCTION("""COMPUTED_VALUE"""),169322.0)</f>
        <v>169322</v>
      </c>
      <c r="B617" t="str">
        <f>IFERROR(__xludf.DUMMYFUNCTION("""COMPUTED_VALUE"""),"Cooked Yellow Snap Beans")</f>
        <v>Cooked Yellow Snap Beans</v>
      </c>
      <c r="C617" t="str">
        <f>IFERROR(__xludf.DUMMYFUNCTION("""COMPUTED_VALUE"""),"Vegetables")</f>
        <v>Vegetables</v>
      </c>
      <c r="D617">
        <f>IFERROR(__xludf.DUMMYFUNCTION("""COMPUTED_VALUE"""),35.0)</f>
        <v>35</v>
      </c>
      <c r="E617">
        <f>IFERROR(__xludf.DUMMYFUNCTION("""COMPUTED_VALUE"""),0.28)</f>
        <v>0.28</v>
      </c>
      <c r="F617">
        <f>IFERROR(__xludf.DUMMYFUNCTION("""COMPUTED_VALUE"""),1.89)</f>
        <v>1.89</v>
      </c>
      <c r="G617">
        <f>IFERROR(__xludf.DUMMYFUNCTION("""COMPUTED_VALUE"""),7.88)</f>
        <v>7.88</v>
      </c>
    </row>
    <row r="618">
      <c r="A618">
        <f>IFERROR(__xludf.DUMMYFUNCTION("""COMPUTED_VALUE"""),169323.0)</f>
        <v>169323</v>
      </c>
      <c r="B618" t="str">
        <f>IFERROR(__xludf.DUMMYFUNCTION("""COMPUTED_VALUE"""),"Beans Snap Yellow Cooked Boiled Drained With Salt")</f>
        <v>Beans Snap Yellow Cooked Boiled Drained With Salt</v>
      </c>
      <c r="C618" t="str">
        <f>IFERROR(__xludf.DUMMYFUNCTION("""COMPUTED_VALUE"""),"Vegetables")</f>
        <v>Vegetables</v>
      </c>
      <c r="D618">
        <f>IFERROR(__xludf.DUMMYFUNCTION("""COMPUTED_VALUE"""),35.0)</f>
        <v>35</v>
      </c>
      <c r="E618">
        <f>IFERROR(__xludf.DUMMYFUNCTION("""COMPUTED_VALUE"""),0.28)</f>
        <v>0.28</v>
      </c>
      <c r="F618">
        <f>IFERROR(__xludf.DUMMYFUNCTION("""COMPUTED_VALUE"""),1.89)</f>
        <v>1.89</v>
      </c>
      <c r="G618">
        <f>IFERROR(__xludf.DUMMYFUNCTION("""COMPUTED_VALUE"""),7.88)</f>
        <v>7.88</v>
      </c>
    </row>
    <row r="619">
      <c r="A619">
        <f>IFERROR(__xludf.DUMMYFUNCTION("""COMPUTED_VALUE"""),169324.0)</f>
        <v>169324</v>
      </c>
      <c r="B619" t="str">
        <f>IFERROR(__xludf.DUMMYFUNCTION("""COMPUTED_VALUE"""),"Beans Snap Yellow Frozen All Styles Unprepared")</f>
        <v>Beans Snap Yellow Frozen All Styles Unprepared</v>
      </c>
      <c r="C619" t="str">
        <f>IFERROR(__xludf.DUMMYFUNCTION("""COMPUTED_VALUE"""),"Vegetables")</f>
        <v>Vegetables</v>
      </c>
      <c r="D619">
        <f>IFERROR(__xludf.DUMMYFUNCTION("""COMPUTED_VALUE"""),33.0)</f>
        <v>33</v>
      </c>
      <c r="E619">
        <f>IFERROR(__xludf.DUMMYFUNCTION("""COMPUTED_VALUE"""),0.21)</f>
        <v>0.21</v>
      </c>
      <c r="F619">
        <f>IFERROR(__xludf.DUMMYFUNCTION("""COMPUTED_VALUE"""),1.8)</f>
        <v>1.8</v>
      </c>
      <c r="G619">
        <f>IFERROR(__xludf.DUMMYFUNCTION("""COMPUTED_VALUE"""),7.58)</f>
        <v>7.58</v>
      </c>
    </row>
    <row r="620">
      <c r="A620">
        <f>IFERROR(__xludf.DUMMYFUNCTION("""COMPUTED_VALUE"""),169325.0)</f>
        <v>169325</v>
      </c>
      <c r="B620" t="str">
        <f>IFERROR(__xludf.DUMMYFUNCTION("""COMPUTED_VALUE"""),"Beans Snap Green Frozen Cooked Boiled Drained With Salt")</f>
        <v>Beans Snap Green Frozen Cooked Boiled Drained With Salt</v>
      </c>
      <c r="C620" t="str">
        <f>IFERROR(__xludf.DUMMYFUNCTION("""COMPUTED_VALUE"""),"Vegetables")</f>
        <v>Vegetables</v>
      </c>
      <c r="D620">
        <f>IFERROR(__xludf.DUMMYFUNCTION("""COMPUTED_VALUE"""),28.0)</f>
        <v>28</v>
      </c>
      <c r="E620">
        <f>IFERROR(__xludf.DUMMYFUNCTION("""COMPUTED_VALUE"""),0.17)</f>
        <v>0.17</v>
      </c>
      <c r="F620">
        <f>IFERROR(__xludf.DUMMYFUNCTION("""COMPUTED_VALUE"""),1.49)</f>
        <v>1.49</v>
      </c>
      <c r="G620">
        <f>IFERROR(__xludf.DUMMYFUNCTION("""COMPUTED_VALUE"""),6.45)</f>
        <v>6.45</v>
      </c>
    </row>
    <row r="621">
      <c r="A621">
        <f>IFERROR(__xludf.DUMMYFUNCTION("""COMPUTED_VALUE"""),169326.0)</f>
        <v>169326</v>
      </c>
      <c r="B621" t="str">
        <f>IFERROR(__xludf.DUMMYFUNCTION("""COMPUTED_VALUE"""),"Beans Snap Yellow Frozen Cooked Boiled Drained Without Salt")</f>
        <v>Beans Snap Yellow Frozen Cooked Boiled Drained Without Salt</v>
      </c>
      <c r="C621" t="str">
        <f>IFERROR(__xludf.DUMMYFUNCTION("""COMPUTED_VALUE"""),"Vegetables")</f>
        <v>Vegetables</v>
      </c>
      <c r="D621">
        <f>IFERROR(__xludf.DUMMYFUNCTION("""COMPUTED_VALUE"""),28.0)</f>
        <v>28</v>
      </c>
      <c r="E621">
        <f>IFERROR(__xludf.DUMMYFUNCTION("""COMPUTED_VALUE"""),0.17)</f>
        <v>0.17</v>
      </c>
      <c r="F621">
        <f>IFERROR(__xludf.DUMMYFUNCTION("""COMPUTED_VALUE"""),1.49)</f>
        <v>1.49</v>
      </c>
      <c r="G621">
        <f>IFERROR(__xludf.DUMMYFUNCTION("""COMPUTED_VALUE"""),6.45)</f>
        <v>6.45</v>
      </c>
    </row>
    <row r="622">
      <c r="A622">
        <f>IFERROR(__xludf.DUMMYFUNCTION("""COMPUTED_VALUE"""),169327.0)</f>
        <v>169327</v>
      </c>
      <c r="B622" t="str">
        <f>IFERROR(__xludf.DUMMYFUNCTION("""COMPUTED_VALUE"""),"Beans Snap Yellow Frozen Cooked Boiled Drained With Salt")</f>
        <v>Beans Snap Yellow Frozen Cooked Boiled Drained With Salt</v>
      </c>
      <c r="C622" t="str">
        <f>IFERROR(__xludf.DUMMYFUNCTION("""COMPUTED_VALUE"""),"Vegetables")</f>
        <v>Vegetables</v>
      </c>
      <c r="D622">
        <f>IFERROR(__xludf.DUMMYFUNCTION("""COMPUTED_VALUE"""),28.0)</f>
        <v>28</v>
      </c>
      <c r="E622">
        <f>IFERROR(__xludf.DUMMYFUNCTION("""COMPUTED_VALUE"""),0.17)</f>
        <v>0.17</v>
      </c>
      <c r="F622">
        <f>IFERROR(__xludf.DUMMYFUNCTION("""COMPUTED_VALUE"""),1.49)</f>
        <v>1.49</v>
      </c>
      <c r="G622">
        <f>IFERROR(__xludf.DUMMYFUNCTION("""COMPUTED_VALUE"""),6.45)</f>
        <v>6.45</v>
      </c>
    </row>
    <row r="623">
      <c r="A623">
        <f>IFERROR(__xludf.DUMMYFUNCTION("""COMPUTED_VALUE"""),169328.0)</f>
        <v>169328</v>
      </c>
      <c r="B623" t="str">
        <f>IFERROR(__xludf.DUMMYFUNCTION("""COMPUTED_VALUE"""),"Broadbeans Immature Seeds Cooked Boiled Drained With Salt")</f>
        <v>Broadbeans Immature Seeds Cooked Boiled Drained With Salt</v>
      </c>
      <c r="C623" t="str">
        <f>IFERROR(__xludf.DUMMYFUNCTION("""COMPUTED_VALUE"""),"Vegetables")</f>
        <v>Vegetables</v>
      </c>
      <c r="D623">
        <f>IFERROR(__xludf.DUMMYFUNCTION("""COMPUTED_VALUE"""),62.0)</f>
        <v>62</v>
      </c>
      <c r="E623">
        <f>IFERROR(__xludf.DUMMYFUNCTION("""COMPUTED_VALUE"""),0.5)</f>
        <v>0.5</v>
      </c>
      <c r="F623">
        <f>IFERROR(__xludf.DUMMYFUNCTION("""COMPUTED_VALUE"""),4.8)</f>
        <v>4.8</v>
      </c>
      <c r="G623">
        <f>IFERROR(__xludf.DUMMYFUNCTION("""COMPUTED_VALUE"""),10.1)</f>
        <v>10.1</v>
      </c>
    </row>
    <row r="624">
      <c r="A624">
        <f>IFERROR(__xludf.DUMMYFUNCTION("""COMPUTED_VALUE"""),169329.0)</f>
        <v>169329</v>
      </c>
      <c r="B624" t="str">
        <f>IFERROR(__xludf.DUMMYFUNCTION("""COMPUTED_VALUE"""),"Broccoli Leaves Raw")</f>
        <v>Broccoli Leaves Raw</v>
      </c>
      <c r="C624" t="str">
        <f>IFERROR(__xludf.DUMMYFUNCTION("""COMPUTED_VALUE"""),"Vegetables")</f>
        <v>Vegetables</v>
      </c>
      <c r="D624">
        <f>IFERROR(__xludf.DUMMYFUNCTION("""COMPUTED_VALUE"""),28.0)</f>
        <v>28</v>
      </c>
      <c r="E624">
        <f>IFERROR(__xludf.DUMMYFUNCTION("""COMPUTED_VALUE"""),0.35)</f>
        <v>0.35</v>
      </c>
      <c r="F624">
        <f>IFERROR(__xludf.DUMMYFUNCTION("""COMPUTED_VALUE"""),2.98)</f>
        <v>2.98</v>
      </c>
      <c r="G624">
        <f>IFERROR(__xludf.DUMMYFUNCTION("""COMPUTED_VALUE"""),5.06)</f>
        <v>5.06</v>
      </c>
    </row>
    <row r="625">
      <c r="A625">
        <f>IFERROR(__xludf.DUMMYFUNCTION("""COMPUTED_VALUE"""),169330.0)</f>
        <v>169330</v>
      </c>
      <c r="B625" t="str">
        <f>IFERROR(__xludf.DUMMYFUNCTION("""COMPUTED_VALUE"""),"Broccoli Flower Clusters Raw")</f>
        <v>Broccoli Flower Clusters Raw</v>
      </c>
      <c r="C625" t="str">
        <f>IFERROR(__xludf.DUMMYFUNCTION("""COMPUTED_VALUE"""),"Vegetables")</f>
        <v>Vegetables</v>
      </c>
      <c r="D625">
        <f>IFERROR(__xludf.DUMMYFUNCTION("""COMPUTED_VALUE"""),28.0)</f>
        <v>28</v>
      </c>
      <c r="E625">
        <f>IFERROR(__xludf.DUMMYFUNCTION("""COMPUTED_VALUE"""),0.35)</f>
        <v>0.35</v>
      </c>
      <c r="F625">
        <f>IFERROR(__xludf.DUMMYFUNCTION("""COMPUTED_VALUE"""),2.98)</f>
        <v>2.98</v>
      </c>
      <c r="G625">
        <f>IFERROR(__xludf.DUMMYFUNCTION("""COMPUTED_VALUE"""),5.06)</f>
        <v>5.06</v>
      </c>
    </row>
    <row r="626">
      <c r="A626">
        <f>IFERROR(__xludf.DUMMYFUNCTION("""COMPUTED_VALUE"""),169331.0)</f>
        <v>169331</v>
      </c>
      <c r="B626" t="str">
        <f>IFERROR(__xludf.DUMMYFUNCTION("""COMPUTED_VALUE"""),"Broccoli Stalks Raw")</f>
        <v>Broccoli Stalks Raw</v>
      </c>
      <c r="C626" t="str">
        <f>IFERROR(__xludf.DUMMYFUNCTION("""COMPUTED_VALUE"""),"Vegetables")</f>
        <v>Vegetables</v>
      </c>
      <c r="D626">
        <f>IFERROR(__xludf.DUMMYFUNCTION("""COMPUTED_VALUE"""),28.0)</f>
        <v>28</v>
      </c>
      <c r="E626">
        <f>IFERROR(__xludf.DUMMYFUNCTION("""COMPUTED_VALUE"""),0.35)</f>
        <v>0.35</v>
      </c>
      <c r="F626">
        <f>IFERROR(__xludf.DUMMYFUNCTION("""COMPUTED_VALUE"""),2.98)</f>
        <v>2.98</v>
      </c>
      <c r="G626">
        <f>IFERROR(__xludf.DUMMYFUNCTION("""COMPUTED_VALUE"""),5.24)</f>
        <v>5.24</v>
      </c>
    </row>
    <row r="627">
      <c r="A627">
        <f>IFERROR(__xludf.DUMMYFUNCTION("""COMPUTED_VALUE"""),169332.0)</f>
        <v>169332</v>
      </c>
      <c r="B627" t="str">
        <f>IFERROR(__xludf.DUMMYFUNCTION("""COMPUTED_VALUE"""),"Brussels Sprouts Frozen Cooked Boiled Drained With Salt")</f>
        <v>Brussels Sprouts Frozen Cooked Boiled Drained With Salt</v>
      </c>
      <c r="C627" t="str">
        <f>IFERROR(__xludf.DUMMYFUNCTION("""COMPUTED_VALUE"""),"Vegetables")</f>
        <v>Vegetables</v>
      </c>
      <c r="D627">
        <f>IFERROR(__xludf.DUMMYFUNCTION("""COMPUTED_VALUE"""),42.0)</f>
        <v>42</v>
      </c>
      <c r="E627">
        <f>IFERROR(__xludf.DUMMYFUNCTION("""COMPUTED_VALUE"""),0.39)</f>
        <v>0.39</v>
      </c>
      <c r="F627">
        <f>IFERROR(__xludf.DUMMYFUNCTION("""COMPUTED_VALUE"""),3.64)</f>
        <v>3.64</v>
      </c>
      <c r="G627">
        <f>IFERROR(__xludf.DUMMYFUNCTION("""COMPUTED_VALUE"""),8.32)</f>
        <v>8.32</v>
      </c>
    </row>
    <row r="628">
      <c r="A628">
        <f>IFERROR(__xludf.DUMMYFUNCTION("""COMPUTED_VALUE"""),169333.0)</f>
        <v>169333</v>
      </c>
      <c r="B628" t="str">
        <f>IFERROR(__xludf.DUMMYFUNCTION("""COMPUTED_VALUE"""),"Burdock Root Cooked Boiled Drained With Salt")</f>
        <v>Burdock Root Cooked Boiled Drained With Salt</v>
      </c>
      <c r="C628" t="str">
        <f>IFERROR(__xludf.DUMMYFUNCTION("""COMPUTED_VALUE"""),"Vegetables")</f>
        <v>Vegetables</v>
      </c>
      <c r="D628">
        <f>IFERROR(__xludf.DUMMYFUNCTION("""COMPUTED_VALUE"""),88.0)</f>
        <v>88</v>
      </c>
      <c r="E628">
        <f>IFERROR(__xludf.DUMMYFUNCTION("""COMPUTED_VALUE"""),0.14)</f>
        <v>0.14</v>
      </c>
      <c r="F628">
        <f>IFERROR(__xludf.DUMMYFUNCTION("""COMPUTED_VALUE"""),2.09)</f>
        <v>2.09</v>
      </c>
      <c r="G628">
        <f>IFERROR(__xludf.DUMMYFUNCTION("""COMPUTED_VALUE"""),21.15)</f>
        <v>21.15</v>
      </c>
    </row>
    <row r="629">
      <c r="A629">
        <f>IFERROR(__xludf.DUMMYFUNCTION("""COMPUTED_VALUE"""),169334.0)</f>
        <v>169334</v>
      </c>
      <c r="B629" t="str">
        <f>IFERROR(__xludf.DUMMYFUNCTION("""COMPUTED_VALUE"""),"Butterbur Cooked Boiled Drained With Salt")</f>
        <v>Butterbur Cooked Boiled Drained With Salt</v>
      </c>
      <c r="C629" t="str">
        <f>IFERROR(__xludf.DUMMYFUNCTION("""COMPUTED_VALUE"""),"Vegetables")</f>
        <v>Vegetables</v>
      </c>
      <c r="D629">
        <f>IFERROR(__xludf.DUMMYFUNCTION("""COMPUTED_VALUE"""),8.0)</f>
        <v>8</v>
      </c>
      <c r="E629">
        <f>IFERROR(__xludf.DUMMYFUNCTION("""COMPUTED_VALUE"""),0.02)</f>
        <v>0.02</v>
      </c>
      <c r="F629">
        <f>IFERROR(__xludf.DUMMYFUNCTION("""COMPUTED_VALUE"""),0.23)</f>
        <v>0.23</v>
      </c>
      <c r="G629">
        <f>IFERROR(__xludf.DUMMYFUNCTION("""COMPUTED_VALUE"""),2.16)</f>
        <v>2.16</v>
      </c>
    </row>
    <row r="630">
      <c r="A630">
        <f>IFERROR(__xludf.DUMMYFUNCTION("""COMPUTED_VALUE"""),169335.0)</f>
        <v>169335</v>
      </c>
      <c r="B630" t="str">
        <f>IFERROR(__xludf.DUMMYFUNCTION("""COMPUTED_VALUE"""),"Cabbage Common (Danish Domestic And Pointed Types) Freshly Harvest Raw")</f>
        <v>Cabbage Common (Danish Domestic And Pointed Types) Freshly Harvest Raw</v>
      </c>
      <c r="C630" t="str">
        <f>IFERROR(__xludf.DUMMYFUNCTION("""COMPUTED_VALUE"""),"Vegetables")</f>
        <v>Vegetables</v>
      </c>
      <c r="D630">
        <f>IFERROR(__xludf.DUMMYFUNCTION("""COMPUTED_VALUE"""),24.0)</f>
        <v>24</v>
      </c>
      <c r="E630">
        <f>IFERROR(__xludf.DUMMYFUNCTION("""COMPUTED_VALUE"""),0.18)</f>
        <v>0.18</v>
      </c>
      <c r="F630">
        <f>IFERROR(__xludf.DUMMYFUNCTION("""COMPUTED_VALUE"""),1.21)</f>
        <v>1.21</v>
      </c>
      <c r="G630">
        <f>IFERROR(__xludf.DUMMYFUNCTION("""COMPUTED_VALUE"""),5.37)</f>
        <v>5.37</v>
      </c>
    </row>
    <row r="631">
      <c r="A631">
        <f>IFERROR(__xludf.DUMMYFUNCTION("""COMPUTED_VALUE"""),169336.0)</f>
        <v>169336</v>
      </c>
      <c r="B631" t="str">
        <f>IFERROR(__xludf.DUMMYFUNCTION("""COMPUTED_VALUE"""),"Cabbage Common (Danish Domestic And Pointed Types) Stored Raw")</f>
        <v>Cabbage Common (Danish Domestic And Pointed Types) Stored Raw</v>
      </c>
      <c r="C631" t="str">
        <f>IFERROR(__xludf.DUMMYFUNCTION("""COMPUTED_VALUE"""),"Vegetables")</f>
        <v>Vegetables</v>
      </c>
      <c r="D631">
        <f>IFERROR(__xludf.DUMMYFUNCTION("""COMPUTED_VALUE"""),24.0)</f>
        <v>24</v>
      </c>
      <c r="E631">
        <f>IFERROR(__xludf.DUMMYFUNCTION("""COMPUTED_VALUE"""),0.18)</f>
        <v>0.18</v>
      </c>
      <c r="F631">
        <f>IFERROR(__xludf.DUMMYFUNCTION("""COMPUTED_VALUE"""),1.21)</f>
        <v>1.21</v>
      </c>
      <c r="G631">
        <f>IFERROR(__xludf.DUMMYFUNCTION("""COMPUTED_VALUE"""),5.37)</f>
        <v>5.37</v>
      </c>
    </row>
    <row r="632">
      <c r="A632">
        <f>IFERROR(__xludf.DUMMYFUNCTION("""COMPUTED_VALUE"""),169337.0)</f>
        <v>169337</v>
      </c>
      <c r="B632" t="str">
        <f>IFERROR(__xludf.DUMMYFUNCTION("""COMPUTED_VALUE"""),"Cabbage Chinese (Pe-Tsai) Cooked Boiled Drained With Salt")</f>
        <v>Cabbage Chinese (Pe-Tsai) Cooked Boiled Drained With Salt</v>
      </c>
      <c r="C632" t="str">
        <f>IFERROR(__xludf.DUMMYFUNCTION("""COMPUTED_VALUE"""),"Vegetables")</f>
        <v>Vegetables</v>
      </c>
      <c r="D632">
        <f>IFERROR(__xludf.DUMMYFUNCTION("""COMPUTED_VALUE"""),14.0)</f>
        <v>14</v>
      </c>
      <c r="E632">
        <f>IFERROR(__xludf.DUMMYFUNCTION("""COMPUTED_VALUE"""),0.17)</f>
        <v>0.17</v>
      </c>
      <c r="F632">
        <f>IFERROR(__xludf.DUMMYFUNCTION("""COMPUTED_VALUE"""),1.5)</f>
        <v>1.5</v>
      </c>
      <c r="G632">
        <f>IFERROR(__xludf.DUMMYFUNCTION("""COMPUTED_VALUE"""),2.41)</f>
        <v>2.41</v>
      </c>
    </row>
    <row r="633">
      <c r="A633">
        <f>IFERROR(__xludf.DUMMYFUNCTION("""COMPUTED_VALUE"""),169338.0)</f>
        <v>169338</v>
      </c>
      <c r="B633" t="str">
        <f>IFERROR(__xludf.DUMMYFUNCTION("""COMPUTED_VALUE"""),"Cardoon Cooked Boiled Drained With Salt")</f>
        <v>Cardoon Cooked Boiled Drained With Salt</v>
      </c>
      <c r="C633" t="str">
        <f>IFERROR(__xludf.DUMMYFUNCTION("""COMPUTED_VALUE"""),"Vegetables")</f>
        <v>Vegetables</v>
      </c>
      <c r="D633">
        <f>IFERROR(__xludf.DUMMYFUNCTION("""COMPUTED_VALUE"""),20.0)</f>
        <v>20</v>
      </c>
      <c r="E633">
        <f>IFERROR(__xludf.DUMMYFUNCTION("""COMPUTED_VALUE"""),0.11)</f>
        <v>0.11</v>
      </c>
      <c r="F633">
        <f>IFERROR(__xludf.DUMMYFUNCTION("""COMPUTED_VALUE"""),0.76)</f>
        <v>0.76</v>
      </c>
      <c r="G633">
        <f>IFERROR(__xludf.DUMMYFUNCTION("""COMPUTED_VALUE"""),4.74)</f>
        <v>4.74</v>
      </c>
    </row>
    <row r="634">
      <c r="A634">
        <f>IFERROR(__xludf.DUMMYFUNCTION("""COMPUTED_VALUE"""),169339.0)</f>
        <v>169339</v>
      </c>
      <c r="B634" t="str">
        <f>IFERROR(__xludf.DUMMYFUNCTION("""COMPUTED_VALUE"""),"Carrots Cooked Boiled Drained With Salt")</f>
        <v>Carrots Cooked Boiled Drained With Salt</v>
      </c>
      <c r="C634" t="str">
        <f>IFERROR(__xludf.DUMMYFUNCTION("""COMPUTED_VALUE"""),"Vegetables")</f>
        <v>Vegetables</v>
      </c>
      <c r="D634">
        <f>IFERROR(__xludf.DUMMYFUNCTION("""COMPUTED_VALUE"""),35.0)</f>
        <v>35</v>
      </c>
      <c r="E634">
        <f>IFERROR(__xludf.DUMMYFUNCTION("""COMPUTED_VALUE"""),0.18)</f>
        <v>0.18</v>
      </c>
      <c r="F634">
        <f>IFERROR(__xludf.DUMMYFUNCTION("""COMPUTED_VALUE"""),0.76)</f>
        <v>0.76</v>
      </c>
      <c r="G634">
        <f>IFERROR(__xludf.DUMMYFUNCTION("""COMPUTED_VALUE"""),8.22)</f>
        <v>8.22</v>
      </c>
    </row>
    <row r="635">
      <c r="A635">
        <f>IFERROR(__xludf.DUMMYFUNCTION("""COMPUTED_VALUE"""),169340.0)</f>
        <v>169340</v>
      </c>
      <c r="B635" t="str">
        <f>IFERROR(__xludf.DUMMYFUNCTION("""COMPUTED_VALUE"""),"Carrots Canned No Salt Added Solids And Liquids")</f>
        <v>Carrots Canned No Salt Added Solids And Liquids</v>
      </c>
      <c r="C635" t="str">
        <f>IFERROR(__xludf.DUMMYFUNCTION("""COMPUTED_VALUE"""),"Vegetables")</f>
        <v>Vegetables</v>
      </c>
      <c r="D635">
        <f>IFERROR(__xludf.DUMMYFUNCTION("""COMPUTED_VALUE"""),23.0)</f>
        <v>23</v>
      </c>
      <c r="E635">
        <f>IFERROR(__xludf.DUMMYFUNCTION("""COMPUTED_VALUE"""),0.14)</f>
        <v>0.14</v>
      </c>
      <c r="F635">
        <f>IFERROR(__xludf.DUMMYFUNCTION("""COMPUTED_VALUE"""),0.59)</f>
        <v>0.59</v>
      </c>
      <c r="G635">
        <f>IFERROR(__xludf.DUMMYFUNCTION("""COMPUTED_VALUE"""),5.36)</f>
        <v>5.36</v>
      </c>
    </row>
    <row r="636">
      <c r="A636">
        <f>IFERROR(__xludf.DUMMYFUNCTION("""COMPUTED_VALUE"""),169341.0)</f>
        <v>169341</v>
      </c>
      <c r="B636" t="str">
        <f>IFERROR(__xludf.DUMMYFUNCTION("""COMPUTED_VALUE"""),"Celeriac Cooked Boiled Drained With Salt")</f>
        <v>Celeriac Cooked Boiled Drained With Salt</v>
      </c>
      <c r="C636" t="str">
        <f>IFERROR(__xludf.DUMMYFUNCTION("""COMPUTED_VALUE"""),"Vegetables")</f>
        <v>Vegetables</v>
      </c>
      <c r="D636">
        <f>IFERROR(__xludf.DUMMYFUNCTION("""COMPUTED_VALUE"""),27.0)</f>
        <v>27</v>
      </c>
      <c r="E636">
        <f>IFERROR(__xludf.DUMMYFUNCTION("""COMPUTED_VALUE"""),0.19)</f>
        <v>0.19</v>
      </c>
      <c r="F636">
        <f>IFERROR(__xludf.DUMMYFUNCTION("""COMPUTED_VALUE"""),0.96)</f>
        <v>0.96</v>
      </c>
      <c r="G636">
        <f>IFERROR(__xludf.DUMMYFUNCTION("""COMPUTED_VALUE"""),5.9)</f>
        <v>5.9</v>
      </c>
    </row>
    <row r="637">
      <c r="A637">
        <f>IFERROR(__xludf.DUMMYFUNCTION("""COMPUTED_VALUE"""),169342.0)</f>
        <v>169342</v>
      </c>
      <c r="B637" t="str">
        <f>IFERROR(__xludf.DUMMYFUNCTION("""COMPUTED_VALUE"""),"Celery Cooked Boiled Drained With Salt")</f>
        <v>Celery Cooked Boiled Drained With Salt</v>
      </c>
      <c r="C637" t="str">
        <f>IFERROR(__xludf.DUMMYFUNCTION("""COMPUTED_VALUE"""),"Vegetables")</f>
        <v>Vegetables</v>
      </c>
      <c r="D637">
        <f>IFERROR(__xludf.DUMMYFUNCTION("""COMPUTED_VALUE"""),18.0)</f>
        <v>18</v>
      </c>
      <c r="E637">
        <f>IFERROR(__xludf.DUMMYFUNCTION("""COMPUTED_VALUE"""),0.16)</f>
        <v>0.16</v>
      </c>
      <c r="F637">
        <f>IFERROR(__xludf.DUMMYFUNCTION("""COMPUTED_VALUE"""),0.83)</f>
        <v>0.83</v>
      </c>
      <c r="G637">
        <f>IFERROR(__xludf.DUMMYFUNCTION("""COMPUTED_VALUE"""),4.0)</f>
        <v>4</v>
      </c>
    </row>
    <row r="638">
      <c r="A638">
        <f>IFERROR(__xludf.DUMMYFUNCTION("""COMPUTED_VALUE"""),169343.0)</f>
        <v>169343</v>
      </c>
      <c r="B638" t="str">
        <f>IFERROR(__xludf.DUMMYFUNCTION("""COMPUTED_VALUE"""),"Chard Swiss Cooked Boiled Drained With Salt")</f>
        <v>Chard Swiss Cooked Boiled Drained With Salt</v>
      </c>
      <c r="C638" t="str">
        <f>IFERROR(__xludf.DUMMYFUNCTION("""COMPUTED_VALUE"""),"Vegetables")</f>
        <v>Vegetables</v>
      </c>
      <c r="D638">
        <f>IFERROR(__xludf.DUMMYFUNCTION("""COMPUTED_VALUE"""),20.0)</f>
        <v>20</v>
      </c>
      <c r="E638">
        <f>IFERROR(__xludf.DUMMYFUNCTION("""COMPUTED_VALUE"""),0.08)</f>
        <v>0.08</v>
      </c>
      <c r="F638">
        <f>IFERROR(__xludf.DUMMYFUNCTION("""COMPUTED_VALUE"""),1.88)</f>
        <v>1.88</v>
      </c>
      <c r="G638">
        <f>IFERROR(__xludf.DUMMYFUNCTION("""COMPUTED_VALUE"""),4.13)</f>
        <v>4.13</v>
      </c>
    </row>
    <row r="639">
      <c r="A639">
        <f>IFERROR(__xludf.DUMMYFUNCTION("""COMPUTED_VALUE"""),169344.0)</f>
        <v>169344</v>
      </c>
      <c r="B639" t="str">
        <f>IFERROR(__xludf.DUMMYFUNCTION("""COMPUTED_VALUE"""),"Chayote Fruit Cooked Boiled Drained With Salt")</f>
        <v>Chayote Fruit Cooked Boiled Drained With Salt</v>
      </c>
      <c r="C639" t="str">
        <f>IFERROR(__xludf.DUMMYFUNCTION("""COMPUTED_VALUE"""),"Vegetables")</f>
        <v>Vegetables</v>
      </c>
      <c r="D639">
        <f>IFERROR(__xludf.DUMMYFUNCTION("""COMPUTED_VALUE"""),22.0)</f>
        <v>22</v>
      </c>
      <c r="E639">
        <f>IFERROR(__xludf.DUMMYFUNCTION("""COMPUTED_VALUE"""),0.48)</f>
        <v>0.48</v>
      </c>
      <c r="F639">
        <f>IFERROR(__xludf.DUMMYFUNCTION("""COMPUTED_VALUE"""),0.62)</f>
        <v>0.62</v>
      </c>
      <c r="G639">
        <f>IFERROR(__xludf.DUMMYFUNCTION("""COMPUTED_VALUE"""),4.5)</f>
        <v>4.5</v>
      </c>
    </row>
    <row r="640">
      <c r="A640">
        <f>IFERROR(__xludf.DUMMYFUNCTION("""COMPUTED_VALUE"""),169345.0)</f>
        <v>169345</v>
      </c>
      <c r="B640" t="str">
        <f>IFERROR(__xludf.DUMMYFUNCTION("""COMPUTED_VALUE"""),"Corn Sweet Yellow Canned No Salt Added Solids And Liquids")</f>
        <v>Corn Sweet Yellow Canned No Salt Added Solids And Liquids</v>
      </c>
      <c r="C640" t="str">
        <f>IFERROR(__xludf.DUMMYFUNCTION("""COMPUTED_VALUE"""),"Vegetables")</f>
        <v>Vegetables</v>
      </c>
      <c r="D640">
        <f>IFERROR(__xludf.DUMMYFUNCTION("""COMPUTED_VALUE"""),61.0)</f>
        <v>61</v>
      </c>
      <c r="E640">
        <f>IFERROR(__xludf.DUMMYFUNCTION("""COMPUTED_VALUE"""),0.77)</f>
        <v>0.77</v>
      </c>
      <c r="F640">
        <f>IFERROR(__xludf.DUMMYFUNCTION("""COMPUTED_VALUE"""),1.95)</f>
        <v>1.95</v>
      </c>
      <c r="G640">
        <f>IFERROR(__xludf.DUMMYFUNCTION("""COMPUTED_VALUE"""),13.86)</f>
        <v>13.86</v>
      </c>
    </row>
    <row r="641">
      <c r="A641">
        <f>IFERROR(__xludf.DUMMYFUNCTION("""COMPUTED_VALUE"""),169346.0)</f>
        <v>169346</v>
      </c>
      <c r="B641" t="str">
        <f>IFERROR(__xludf.DUMMYFUNCTION("""COMPUTED_VALUE"""),"Corn Sweet Yellow Canned Cream Style No Salt Added")</f>
        <v>Corn Sweet Yellow Canned Cream Style No Salt Added</v>
      </c>
      <c r="C641" t="str">
        <f>IFERROR(__xludf.DUMMYFUNCTION("""COMPUTED_VALUE"""),"Vegetables")</f>
        <v>Vegetables</v>
      </c>
      <c r="D641">
        <f>IFERROR(__xludf.DUMMYFUNCTION("""COMPUTED_VALUE"""),72.0)</f>
        <v>72</v>
      </c>
      <c r="E641">
        <f>IFERROR(__xludf.DUMMYFUNCTION("""COMPUTED_VALUE"""),0.42)</f>
        <v>0.42</v>
      </c>
      <c r="F641">
        <f>IFERROR(__xludf.DUMMYFUNCTION("""COMPUTED_VALUE"""),1.74)</f>
        <v>1.74</v>
      </c>
      <c r="G641">
        <f>IFERROR(__xludf.DUMMYFUNCTION("""COMPUTED_VALUE"""),18.13)</f>
        <v>18.13</v>
      </c>
    </row>
    <row r="642">
      <c r="A642">
        <f>IFERROR(__xludf.DUMMYFUNCTION("""COMPUTED_VALUE"""),169347.0)</f>
        <v>169347</v>
      </c>
      <c r="B642" t="str">
        <f>IFERROR(__xludf.DUMMYFUNCTION("""COMPUTED_VALUE"""),"Corn Sweet Yellow Canned Vacuum Pack No Salt Added")</f>
        <v>Corn Sweet Yellow Canned Vacuum Pack No Salt Added</v>
      </c>
      <c r="C642" t="str">
        <f>IFERROR(__xludf.DUMMYFUNCTION("""COMPUTED_VALUE"""),"Vegetables")</f>
        <v>Vegetables</v>
      </c>
      <c r="D642">
        <f>IFERROR(__xludf.DUMMYFUNCTION("""COMPUTED_VALUE"""),79.0)</f>
        <v>79</v>
      </c>
      <c r="E642">
        <f>IFERROR(__xludf.DUMMYFUNCTION("""COMPUTED_VALUE"""),0.5)</f>
        <v>0.5</v>
      </c>
      <c r="F642">
        <f>IFERROR(__xludf.DUMMYFUNCTION("""COMPUTED_VALUE"""),2.41)</f>
        <v>2.41</v>
      </c>
      <c r="G642">
        <f>IFERROR(__xludf.DUMMYFUNCTION("""COMPUTED_VALUE"""),19.44)</f>
        <v>19.44</v>
      </c>
    </row>
    <row r="643">
      <c r="A643">
        <f>IFERROR(__xludf.DUMMYFUNCTION("""COMPUTED_VALUE"""),169348.0)</f>
        <v>169348</v>
      </c>
      <c r="B643" t="str">
        <f>IFERROR(__xludf.DUMMYFUNCTION("""COMPUTED_VALUE"""),"Corn Sweet Yellow Frozen Kernels Cut Off Cob Boiled Drained With Salt")</f>
        <v>Corn Sweet Yellow Frozen Kernels Cut Off Cob Boiled Drained With Salt</v>
      </c>
      <c r="C643" t="str">
        <f>IFERROR(__xludf.DUMMYFUNCTION("""COMPUTED_VALUE"""),"Vegetables")</f>
        <v>Vegetables</v>
      </c>
      <c r="D643">
        <f>IFERROR(__xludf.DUMMYFUNCTION("""COMPUTED_VALUE"""),79.0)</f>
        <v>79</v>
      </c>
      <c r="E643">
        <f>IFERROR(__xludf.DUMMYFUNCTION("""COMPUTED_VALUE"""),0.67)</f>
        <v>0.67</v>
      </c>
      <c r="F643">
        <f>IFERROR(__xludf.DUMMYFUNCTION("""COMPUTED_VALUE"""),2.55)</f>
        <v>2.55</v>
      </c>
      <c r="G643">
        <f>IFERROR(__xludf.DUMMYFUNCTION("""COMPUTED_VALUE"""),18.71)</f>
        <v>18.71</v>
      </c>
    </row>
    <row r="644">
      <c r="A644">
        <f>IFERROR(__xludf.DUMMYFUNCTION("""COMPUTED_VALUE"""),169349.0)</f>
        <v>169349</v>
      </c>
      <c r="B644" t="str">
        <f>IFERROR(__xludf.DUMMYFUNCTION("""COMPUTED_VALUE"""),"Corn Sweet Yellow Frozen Kernels On Cob Cooked Boiled Drained With Salt")</f>
        <v>Corn Sweet Yellow Frozen Kernels On Cob Cooked Boiled Drained With Salt</v>
      </c>
      <c r="C644" t="str">
        <f>IFERROR(__xludf.DUMMYFUNCTION("""COMPUTED_VALUE"""),"Vegetables")</f>
        <v>Vegetables</v>
      </c>
      <c r="D644">
        <f>IFERROR(__xludf.DUMMYFUNCTION("""COMPUTED_VALUE"""),94.0)</f>
        <v>94</v>
      </c>
      <c r="E644">
        <f>IFERROR(__xludf.DUMMYFUNCTION("""COMPUTED_VALUE"""),0.74)</f>
        <v>0.74</v>
      </c>
      <c r="F644">
        <f>IFERROR(__xludf.DUMMYFUNCTION("""COMPUTED_VALUE"""),3.11)</f>
        <v>3.11</v>
      </c>
      <c r="G644">
        <f>IFERROR(__xludf.DUMMYFUNCTION("""COMPUTED_VALUE"""),22.33)</f>
        <v>22.33</v>
      </c>
    </row>
    <row r="645">
      <c r="A645">
        <f>IFERROR(__xludf.DUMMYFUNCTION("""COMPUTED_VALUE"""),169350.0)</f>
        <v>169350</v>
      </c>
      <c r="B645" t="str">
        <f>IFERROR(__xludf.DUMMYFUNCTION("""COMPUTED_VALUE"""),"Cress Garden Cooked Boiled Drained With Salt")</f>
        <v>Cress Garden Cooked Boiled Drained With Salt</v>
      </c>
      <c r="C645" t="str">
        <f>IFERROR(__xludf.DUMMYFUNCTION("""COMPUTED_VALUE"""),"Vegetables")</f>
        <v>Vegetables</v>
      </c>
      <c r="D645">
        <f>IFERROR(__xludf.DUMMYFUNCTION("""COMPUTED_VALUE"""),23.0)</f>
        <v>23</v>
      </c>
      <c r="E645">
        <f>IFERROR(__xludf.DUMMYFUNCTION("""COMPUTED_VALUE"""),0.6)</f>
        <v>0.6</v>
      </c>
      <c r="F645">
        <f>IFERROR(__xludf.DUMMYFUNCTION("""COMPUTED_VALUE"""),1.9)</f>
        <v>1.9</v>
      </c>
      <c r="G645">
        <f>IFERROR(__xludf.DUMMYFUNCTION("""COMPUTED_VALUE"""),3.8)</f>
        <v>3.8</v>
      </c>
    </row>
    <row r="646">
      <c r="A646">
        <f>IFERROR(__xludf.DUMMYFUNCTION("""COMPUTED_VALUE"""),169351.0)</f>
        <v>169351</v>
      </c>
      <c r="B646" t="str">
        <f>IFERROR(__xludf.DUMMYFUNCTION("""COMPUTED_VALUE"""),"Dandelion Greens Cooked Boiled Drained With Salt")</f>
        <v>Dandelion Greens Cooked Boiled Drained With Salt</v>
      </c>
      <c r="C646" t="str">
        <f>IFERROR(__xludf.DUMMYFUNCTION("""COMPUTED_VALUE"""),"Vegetables")</f>
        <v>Vegetables</v>
      </c>
      <c r="D646">
        <f>IFERROR(__xludf.DUMMYFUNCTION("""COMPUTED_VALUE"""),33.0)</f>
        <v>33</v>
      </c>
      <c r="E646">
        <f>IFERROR(__xludf.DUMMYFUNCTION("""COMPUTED_VALUE"""),0.6)</f>
        <v>0.6</v>
      </c>
      <c r="F646">
        <f>IFERROR(__xludf.DUMMYFUNCTION("""COMPUTED_VALUE"""),2.0)</f>
        <v>2</v>
      </c>
      <c r="G646">
        <f>IFERROR(__xludf.DUMMYFUNCTION("""COMPUTED_VALUE"""),6.4)</f>
        <v>6.4</v>
      </c>
    </row>
    <row r="647">
      <c r="A647">
        <f>IFERROR(__xludf.DUMMYFUNCTION("""COMPUTED_VALUE"""),169352.0)</f>
        <v>169352</v>
      </c>
      <c r="B647" t="str">
        <f>IFERROR(__xludf.DUMMYFUNCTION("""COMPUTED_VALUE"""),"Eggplant Cooked Boiled Drained With Salt")</f>
        <v>Eggplant Cooked Boiled Drained With Salt</v>
      </c>
      <c r="C647" t="str">
        <f>IFERROR(__xludf.DUMMYFUNCTION("""COMPUTED_VALUE"""),"Vegetables")</f>
        <v>Vegetables</v>
      </c>
      <c r="D647">
        <f>IFERROR(__xludf.DUMMYFUNCTION("""COMPUTED_VALUE"""),33.0)</f>
        <v>33</v>
      </c>
      <c r="E647">
        <f>IFERROR(__xludf.DUMMYFUNCTION("""COMPUTED_VALUE"""),0.23)</f>
        <v>0.23</v>
      </c>
      <c r="F647">
        <f>IFERROR(__xludf.DUMMYFUNCTION("""COMPUTED_VALUE"""),0.83)</f>
        <v>0.83</v>
      </c>
      <c r="G647">
        <f>IFERROR(__xludf.DUMMYFUNCTION("""COMPUTED_VALUE"""),8.14)</f>
        <v>8.14</v>
      </c>
    </row>
    <row r="648">
      <c r="A648">
        <f>IFERROR(__xludf.DUMMYFUNCTION("""COMPUTED_VALUE"""),169353.0)</f>
        <v>169353</v>
      </c>
      <c r="B648" t="str">
        <f>IFERROR(__xludf.DUMMYFUNCTION("""COMPUTED_VALUE"""),"Gourd White-Flowered (Calabash) Cooked Boiled Drained With Salt")</f>
        <v>Gourd White-Flowered (Calabash) Cooked Boiled Drained With Salt</v>
      </c>
      <c r="C648" t="str">
        <f>IFERROR(__xludf.DUMMYFUNCTION("""COMPUTED_VALUE"""),"Vegetables")</f>
        <v>Vegetables</v>
      </c>
      <c r="D648">
        <f>IFERROR(__xludf.DUMMYFUNCTION("""COMPUTED_VALUE"""),13.0)</f>
        <v>13</v>
      </c>
      <c r="E648">
        <f>IFERROR(__xludf.DUMMYFUNCTION("""COMPUTED_VALUE"""),0.02)</f>
        <v>0.02</v>
      </c>
      <c r="F648">
        <f>IFERROR(__xludf.DUMMYFUNCTION("""COMPUTED_VALUE"""),0.6)</f>
        <v>0.6</v>
      </c>
      <c r="G648">
        <f>IFERROR(__xludf.DUMMYFUNCTION("""COMPUTED_VALUE"""),3.1)</f>
        <v>3.1</v>
      </c>
    </row>
    <row r="649">
      <c r="A649">
        <f>IFERROR(__xludf.DUMMYFUNCTION("""COMPUTED_VALUE"""),169354.0)</f>
        <v>169354</v>
      </c>
      <c r="B649" t="str">
        <f>IFERROR(__xludf.DUMMYFUNCTION("""COMPUTED_VALUE"""),"Jute Potherb Cooked Boiled Drained With Salt")</f>
        <v>Jute Potherb Cooked Boiled Drained With Salt</v>
      </c>
      <c r="C649" t="str">
        <f>IFERROR(__xludf.DUMMYFUNCTION("""COMPUTED_VALUE"""),"Vegetables")</f>
        <v>Vegetables</v>
      </c>
      <c r="D649">
        <f>IFERROR(__xludf.DUMMYFUNCTION("""COMPUTED_VALUE"""),37.0)</f>
        <v>37</v>
      </c>
      <c r="E649">
        <f>IFERROR(__xludf.DUMMYFUNCTION("""COMPUTED_VALUE"""),0.2)</f>
        <v>0.2</v>
      </c>
      <c r="F649">
        <f>IFERROR(__xludf.DUMMYFUNCTION("""COMPUTED_VALUE"""),3.68)</f>
        <v>3.68</v>
      </c>
      <c r="G649">
        <f>IFERROR(__xludf.DUMMYFUNCTION("""COMPUTED_VALUE"""),7.29)</f>
        <v>7.29</v>
      </c>
    </row>
    <row r="650">
      <c r="A650">
        <f>IFERROR(__xludf.DUMMYFUNCTION("""COMPUTED_VALUE"""),169355.0)</f>
        <v>169355</v>
      </c>
      <c r="B650" t="str">
        <f>IFERROR(__xludf.DUMMYFUNCTION("""COMPUTED_VALUE"""),"Kale Cooked Boiled Drained With Salt")</f>
        <v>Kale Cooked Boiled Drained With Salt</v>
      </c>
      <c r="C650" t="str">
        <f>IFERROR(__xludf.DUMMYFUNCTION("""COMPUTED_VALUE"""),"Vegetables")</f>
        <v>Vegetables</v>
      </c>
      <c r="D650">
        <f>IFERROR(__xludf.DUMMYFUNCTION("""COMPUTED_VALUE"""),44.0)</f>
        <v>44</v>
      </c>
      <c r="E650">
        <f>IFERROR(__xludf.DUMMYFUNCTION("""COMPUTED_VALUE"""),1.21)</f>
        <v>1.21</v>
      </c>
      <c r="F650">
        <f>IFERROR(__xludf.DUMMYFUNCTION("""COMPUTED_VALUE"""),2.94)</f>
        <v>2.94</v>
      </c>
      <c r="G650">
        <f>IFERROR(__xludf.DUMMYFUNCTION("""COMPUTED_VALUE"""),5.3)</f>
        <v>5.3</v>
      </c>
    </row>
    <row r="651">
      <c r="A651">
        <f>IFERROR(__xludf.DUMMYFUNCTION("""COMPUTED_VALUE"""),169356.0)</f>
        <v>169356</v>
      </c>
      <c r="B651" t="str">
        <f>IFERROR(__xludf.DUMMYFUNCTION("""COMPUTED_VALUE"""),"Kale Frozen Cooked Boiled Drained With Salt")</f>
        <v>Kale Frozen Cooked Boiled Drained With Salt</v>
      </c>
      <c r="C651" t="str">
        <f>IFERROR(__xludf.DUMMYFUNCTION("""COMPUTED_VALUE"""),"Vegetables")</f>
        <v>Vegetables</v>
      </c>
      <c r="D651">
        <f>IFERROR(__xludf.DUMMYFUNCTION("""COMPUTED_VALUE"""),36.0)</f>
        <v>36</v>
      </c>
      <c r="E651">
        <f>IFERROR(__xludf.DUMMYFUNCTION("""COMPUTED_VALUE"""),1.21)</f>
        <v>1.21</v>
      </c>
      <c r="F651">
        <f>IFERROR(__xludf.DUMMYFUNCTION("""COMPUTED_VALUE"""),2.94)</f>
        <v>2.94</v>
      </c>
      <c r="G651">
        <f>IFERROR(__xludf.DUMMYFUNCTION("""COMPUTED_VALUE"""),5.3)</f>
        <v>5.3</v>
      </c>
    </row>
    <row r="652">
      <c r="A652">
        <f>IFERROR(__xludf.DUMMYFUNCTION("""COMPUTED_VALUE"""),169357.0)</f>
        <v>169357</v>
      </c>
      <c r="B652" t="str">
        <f>IFERROR(__xludf.DUMMYFUNCTION("""COMPUTED_VALUE"""),"Kohlrabi Cooked Boiled Drained With Salt")</f>
        <v>Kohlrabi Cooked Boiled Drained With Salt</v>
      </c>
      <c r="C652" t="str">
        <f>IFERROR(__xludf.DUMMYFUNCTION("""COMPUTED_VALUE"""),"Vegetables")</f>
        <v>Vegetables</v>
      </c>
      <c r="D652">
        <f>IFERROR(__xludf.DUMMYFUNCTION("""COMPUTED_VALUE"""),29.0)</f>
        <v>29</v>
      </c>
      <c r="E652">
        <f>IFERROR(__xludf.DUMMYFUNCTION("""COMPUTED_VALUE"""),0.11)</f>
        <v>0.11</v>
      </c>
      <c r="F652">
        <f>IFERROR(__xludf.DUMMYFUNCTION("""COMPUTED_VALUE"""),1.8)</f>
        <v>1.8</v>
      </c>
      <c r="G652">
        <f>IFERROR(__xludf.DUMMYFUNCTION("""COMPUTED_VALUE"""),6.69)</f>
        <v>6.69</v>
      </c>
    </row>
    <row r="653">
      <c r="A653">
        <f>IFERROR(__xludf.DUMMYFUNCTION("""COMPUTED_VALUE"""),169358.0)</f>
        <v>169358</v>
      </c>
      <c r="B653" t="str">
        <f>IFERROR(__xludf.DUMMYFUNCTION("""COMPUTED_VALUE"""),"Yambean (Jicama) Cooked Boiled Drained With Salt")</f>
        <v>Yambean (Jicama) Cooked Boiled Drained With Salt</v>
      </c>
      <c r="C653" t="str">
        <f>IFERROR(__xludf.DUMMYFUNCTION("""COMPUTED_VALUE"""),"Vegetables")</f>
        <v>Vegetables</v>
      </c>
      <c r="D653">
        <f>IFERROR(__xludf.DUMMYFUNCTION("""COMPUTED_VALUE"""),36.0)</f>
        <v>36</v>
      </c>
      <c r="E653">
        <f>IFERROR(__xludf.DUMMYFUNCTION("""COMPUTED_VALUE"""),0.09)</f>
        <v>0.09</v>
      </c>
      <c r="F653">
        <f>IFERROR(__xludf.DUMMYFUNCTION("""COMPUTED_VALUE"""),0.72)</f>
        <v>0.72</v>
      </c>
      <c r="G653">
        <f>IFERROR(__xludf.DUMMYFUNCTION("""COMPUTED_VALUE"""),8.23)</f>
        <v>8.23</v>
      </c>
    </row>
    <row r="654">
      <c r="A654">
        <f>IFERROR(__xludf.DUMMYFUNCTION("""COMPUTED_VALUE"""),169359.0)</f>
        <v>169359</v>
      </c>
      <c r="B654" t="str">
        <f>IFERROR(__xludf.DUMMYFUNCTION("""COMPUTED_VALUE"""),"Yardlong Bean Cooked Boiled Drained With Salt")</f>
        <v>Yardlong Bean Cooked Boiled Drained With Salt</v>
      </c>
      <c r="C654" t="str">
        <f>IFERROR(__xludf.DUMMYFUNCTION("""COMPUTED_VALUE"""),"Vegetables")</f>
        <v>Vegetables</v>
      </c>
      <c r="D654">
        <f>IFERROR(__xludf.DUMMYFUNCTION("""COMPUTED_VALUE"""),47.0)</f>
        <v>47</v>
      </c>
      <c r="E654">
        <f>IFERROR(__xludf.DUMMYFUNCTION("""COMPUTED_VALUE"""),0.1)</f>
        <v>0.1</v>
      </c>
      <c r="F654">
        <f>IFERROR(__xludf.DUMMYFUNCTION("""COMPUTED_VALUE"""),2.53)</f>
        <v>2.53</v>
      </c>
      <c r="G654">
        <f>IFERROR(__xludf.DUMMYFUNCTION("""COMPUTED_VALUE"""),9.17)</f>
        <v>9.17</v>
      </c>
    </row>
    <row r="655">
      <c r="A655">
        <f>IFERROR(__xludf.DUMMYFUNCTION("""COMPUTED_VALUE"""),169360.0)</f>
        <v>169360</v>
      </c>
      <c r="B655" t="str">
        <f>IFERROR(__xludf.DUMMYFUNCTION("""COMPUTED_VALUE"""),"Corn Sweet White Canned Whole Kernel No Salt Added Solids And Liquids")</f>
        <v>Corn Sweet White Canned Whole Kernel No Salt Added Solids And Liquids</v>
      </c>
      <c r="C655" t="str">
        <f>IFERROR(__xludf.DUMMYFUNCTION("""COMPUTED_VALUE"""),"Vegetables")</f>
        <v>Vegetables</v>
      </c>
      <c r="D655">
        <f>IFERROR(__xludf.DUMMYFUNCTION("""COMPUTED_VALUE"""),64.0)</f>
        <v>64</v>
      </c>
      <c r="E655">
        <f>IFERROR(__xludf.DUMMYFUNCTION("""COMPUTED_VALUE"""),0.5)</f>
        <v>0.5</v>
      </c>
      <c r="F655">
        <f>IFERROR(__xludf.DUMMYFUNCTION("""COMPUTED_VALUE"""),1.95)</f>
        <v>1.95</v>
      </c>
      <c r="G655">
        <f>IFERROR(__xludf.DUMMYFUNCTION("""COMPUTED_VALUE"""),15.41)</f>
        <v>15.41</v>
      </c>
    </row>
    <row r="656">
      <c r="A656">
        <f>IFERROR(__xludf.DUMMYFUNCTION("""COMPUTED_VALUE"""),169361.0)</f>
        <v>169361</v>
      </c>
      <c r="B656" t="str">
        <f>IFERROR(__xludf.DUMMYFUNCTION("""COMPUTED_VALUE"""),"Corn Sweet White Canned Whole Kernel Drained Solids")</f>
        <v>Corn Sweet White Canned Whole Kernel Drained Solids</v>
      </c>
      <c r="C656" t="str">
        <f>IFERROR(__xludf.DUMMYFUNCTION("""COMPUTED_VALUE"""),"Vegetables")</f>
        <v>Vegetables</v>
      </c>
      <c r="D656">
        <f>IFERROR(__xludf.DUMMYFUNCTION("""COMPUTED_VALUE"""),67.0)</f>
        <v>67</v>
      </c>
      <c r="E656">
        <f>IFERROR(__xludf.DUMMYFUNCTION("""COMPUTED_VALUE"""),1.22)</f>
        <v>1.22</v>
      </c>
      <c r="F656">
        <f>IFERROR(__xludf.DUMMYFUNCTION("""COMPUTED_VALUE"""),2.29)</f>
        <v>2.29</v>
      </c>
      <c r="G656">
        <f>IFERROR(__xludf.DUMMYFUNCTION("""COMPUTED_VALUE"""),14.34)</f>
        <v>14.34</v>
      </c>
    </row>
    <row r="657">
      <c r="A657">
        <f>IFERROR(__xludf.DUMMYFUNCTION("""COMPUTED_VALUE"""),169362.0)</f>
        <v>169362</v>
      </c>
      <c r="B657" t="str">
        <f>IFERROR(__xludf.DUMMYFUNCTION("""COMPUTED_VALUE"""),"Corn Sweet White Canned Cream Style Regular Pack")</f>
        <v>Corn Sweet White Canned Cream Style Regular Pack</v>
      </c>
      <c r="C657" t="str">
        <f>IFERROR(__xludf.DUMMYFUNCTION("""COMPUTED_VALUE"""),"Vegetables")</f>
        <v>Vegetables</v>
      </c>
      <c r="D657">
        <f>IFERROR(__xludf.DUMMYFUNCTION("""COMPUTED_VALUE"""),74.0)</f>
        <v>74</v>
      </c>
      <c r="E657">
        <f>IFERROR(__xludf.DUMMYFUNCTION("""COMPUTED_VALUE"""),0.42)</f>
        <v>0.42</v>
      </c>
      <c r="F657">
        <f>IFERROR(__xludf.DUMMYFUNCTION("""COMPUTED_VALUE"""),1.74)</f>
        <v>1.74</v>
      </c>
      <c r="G657">
        <f>IFERROR(__xludf.DUMMYFUNCTION("""COMPUTED_VALUE"""),18.62)</f>
        <v>18.62</v>
      </c>
    </row>
    <row r="658">
      <c r="A658">
        <f>IFERROR(__xludf.DUMMYFUNCTION("""COMPUTED_VALUE"""),169363.0)</f>
        <v>169363</v>
      </c>
      <c r="B658" t="str">
        <f>IFERROR(__xludf.DUMMYFUNCTION("""COMPUTED_VALUE"""),"Corn Sweet White Canned Cream Style No Salt Added")</f>
        <v>Corn Sweet White Canned Cream Style No Salt Added</v>
      </c>
      <c r="C658" t="str">
        <f>IFERROR(__xludf.DUMMYFUNCTION("""COMPUTED_VALUE"""),"Vegetables")</f>
        <v>Vegetables</v>
      </c>
      <c r="D658">
        <f>IFERROR(__xludf.DUMMYFUNCTION("""COMPUTED_VALUE"""),72.0)</f>
        <v>72</v>
      </c>
      <c r="E658">
        <f>IFERROR(__xludf.DUMMYFUNCTION("""COMPUTED_VALUE"""),0.42)</f>
        <v>0.42</v>
      </c>
      <c r="F658">
        <f>IFERROR(__xludf.DUMMYFUNCTION("""COMPUTED_VALUE"""),1.74)</f>
        <v>1.74</v>
      </c>
      <c r="G658">
        <f>IFERROR(__xludf.DUMMYFUNCTION("""COMPUTED_VALUE"""),18.13)</f>
        <v>18.13</v>
      </c>
    </row>
    <row r="659">
      <c r="A659">
        <f>IFERROR(__xludf.DUMMYFUNCTION("""COMPUTED_VALUE"""),169364.0)</f>
        <v>169364</v>
      </c>
      <c r="B659" t="str">
        <f>IFERROR(__xludf.DUMMYFUNCTION("""COMPUTED_VALUE"""),"Corn Sweet White Frozen Kernels Cut Off Cob Boiled Drained With Salt")</f>
        <v>Corn Sweet White Frozen Kernels Cut Off Cob Boiled Drained With Salt</v>
      </c>
      <c r="C659" t="str">
        <f>IFERROR(__xludf.DUMMYFUNCTION("""COMPUTED_VALUE"""),"Vegetables")</f>
        <v>Vegetables</v>
      </c>
      <c r="D659">
        <f>IFERROR(__xludf.DUMMYFUNCTION("""COMPUTED_VALUE"""),80.0)</f>
        <v>80</v>
      </c>
      <c r="E659">
        <f>IFERROR(__xludf.DUMMYFUNCTION("""COMPUTED_VALUE"""),0.43)</f>
        <v>0.43</v>
      </c>
      <c r="F659">
        <f>IFERROR(__xludf.DUMMYFUNCTION("""COMPUTED_VALUE"""),2.75)</f>
        <v>2.75</v>
      </c>
      <c r="G659">
        <f>IFERROR(__xludf.DUMMYFUNCTION("""COMPUTED_VALUE"""),19.56)</f>
        <v>19.56</v>
      </c>
    </row>
    <row r="660">
      <c r="A660">
        <f>IFERROR(__xludf.DUMMYFUNCTION("""COMPUTED_VALUE"""),169365.0)</f>
        <v>169365</v>
      </c>
      <c r="B660" t="str">
        <f>IFERROR(__xludf.DUMMYFUNCTION("""COMPUTED_VALUE"""),"Corn Sweet White Frozen Kernels On Cob Unprepared")</f>
        <v>Corn Sweet White Frozen Kernels On Cob Unprepared</v>
      </c>
      <c r="C660" t="str">
        <f>IFERROR(__xludf.DUMMYFUNCTION("""COMPUTED_VALUE"""),"Vegetables")</f>
        <v>Vegetables</v>
      </c>
      <c r="D660">
        <f>IFERROR(__xludf.DUMMYFUNCTION("""COMPUTED_VALUE"""),98.0)</f>
        <v>98</v>
      </c>
      <c r="E660">
        <f>IFERROR(__xludf.DUMMYFUNCTION("""COMPUTED_VALUE"""),0.78)</f>
        <v>0.78</v>
      </c>
      <c r="F660">
        <f>IFERROR(__xludf.DUMMYFUNCTION("""COMPUTED_VALUE"""),3.28)</f>
        <v>3.28</v>
      </c>
      <c r="G660">
        <f>IFERROR(__xludf.DUMMYFUNCTION("""COMPUTED_VALUE"""),23.5)</f>
        <v>23.5</v>
      </c>
    </row>
    <row r="661">
      <c r="A661">
        <f>IFERROR(__xludf.DUMMYFUNCTION("""COMPUTED_VALUE"""),169366.0)</f>
        <v>169366</v>
      </c>
      <c r="B661" t="str">
        <f>IFERROR(__xludf.DUMMYFUNCTION("""COMPUTED_VALUE"""),"Corn Sweet White Frozen Kernels On Cob Cooked Boiled Drained Without Salt")</f>
        <v>Corn Sweet White Frozen Kernels On Cob Cooked Boiled Drained Without Salt</v>
      </c>
      <c r="C661" t="str">
        <f>IFERROR(__xludf.DUMMYFUNCTION("""COMPUTED_VALUE"""),"Vegetables")</f>
        <v>Vegetables</v>
      </c>
      <c r="D661">
        <f>IFERROR(__xludf.DUMMYFUNCTION("""COMPUTED_VALUE"""),94.0)</f>
        <v>94</v>
      </c>
      <c r="E661">
        <f>IFERROR(__xludf.DUMMYFUNCTION("""COMPUTED_VALUE"""),0.74)</f>
        <v>0.74</v>
      </c>
      <c r="F661">
        <f>IFERROR(__xludf.DUMMYFUNCTION("""COMPUTED_VALUE"""),3.11)</f>
        <v>3.11</v>
      </c>
      <c r="G661">
        <f>IFERROR(__xludf.DUMMYFUNCTION("""COMPUTED_VALUE"""),22.33)</f>
        <v>22.33</v>
      </c>
    </row>
    <row r="662">
      <c r="A662">
        <f>IFERROR(__xludf.DUMMYFUNCTION("""COMPUTED_VALUE"""),169367.0)</f>
        <v>169367</v>
      </c>
      <c r="B662" t="str">
        <f>IFERROR(__xludf.DUMMYFUNCTION("""COMPUTED_VALUE"""),"Corn Sweet White Frozen Kernels On Cob Cooked Boiled Drained With Salt")</f>
        <v>Corn Sweet White Frozen Kernels On Cob Cooked Boiled Drained With Salt</v>
      </c>
      <c r="C662" t="str">
        <f>IFERROR(__xludf.DUMMYFUNCTION("""COMPUTED_VALUE"""),"Vegetables")</f>
        <v>Vegetables</v>
      </c>
      <c r="D662">
        <f>IFERROR(__xludf.DUMMYFUNCTION("""COMPUTED_VALUE"""),94.0)</f>
        <v>94</v>
      </c>
      <c r="E662">
        <f>IFERROR(__xludf.DUMMYFUNCTION("""COMPUTED_VALUE"""),0.74)</f>
        <v>0.74</v>
      </c>
      <c r="F662">
        <f>IFERROR(__xludf.DUMMYFUNCTION("""COMPUTED_VALUE"""),3.11)</f>
        <v>3.11</v>
      </c>
      <c r="G662">
        <f>IFERROR(__xludf.DUMMYFUNCTION("""COMPUTED_VALUE"""),22.33)</f>
        <v>22.33</v>
      </c>
    </row>
    <row r="663">
      <c r="A663">
        <f>IFERROR(__xludf.DUMMYFUNCTION("""COMPUTED_VALUE"""),169368.0)</f>
        <v>169368</v>
      </c>
      <c r="B663" t="str">
        <f>IFERROR(__xludf.DUMMYFUNCTION("""COMPUTED_VALUE"""),"Sesbania Flower Cooked Steamed With Salt")</f>
        <v>Sesbania Flower Cooked Steamed With Salt</v>
      </c>
      <c r="C663" t="str">
        <f>IFERROR(__xludf.DUMMYFUNCTION("""COMPUTED_VALUE"""),"Vegetables")</f>
        <v>Vegetables</v>
      </c>
      <c r="D663">
        <f>IFERROR(__xludf.DUMMYFUNCTION("""COMPUTED_VALUE"""),21.0)</f>
        <v>21</v>
      </c>
      <c r="E663">
        <f>IFERROR(__xludf.DUMMYFUNCTION("""COMPUTED_VALUE"""),0.05)</f>
        <v>0.05</v>
      </c>
      <c r="F663">
        <f>IFERROR(__xludf.DUMMYFUNCTION("""COMPUTED_VALUE"""),1.14)</f>
        <v>1.14</v>
      </c>
      <c r="G663">
        <f>IFERROR(__xludf.DUMMYFUNCTION("""COMPUTED_VALUE"""),5.1)</f>
        <v>5.1</v>
      </c>
    </row>
    <row r="664">
      <c r="A664">
        <f>IFERROR(__xludf.DUMMYFUNCTION("""COMPUTED_VALUE"""),169369.0)</f>
        <v>169369</v>
      </c>
      <c r="B664" t="str">
        <f>IFERROR(__xludf.DUMMYFUNCTION("""COMPUTED_VALUE"""),"Soybeans Mature Seeds Sprouted Cooked Steamed With Salt")</f>
        <v>Soybeans Mature Seeds Sprouted Cooked Steamed With Salt</v>
      </c>
      <c r="C664" t="str">
        <f>IFERROR(__xludf.DUMMYFUNCTION("""COMPUTED_VALUE"""),"Vegetables")</f>
        <v>Vegetables</v>
      </c>
      <c r="D664">
        <f>IFERROR(__xludf.DUMMYFUNCTION("""COMPUTED_VALUE"""),81.0)</f>
        <v>81</v>
      </c>
      <c r="E664">
        <f>IFERROR(__xludf.DUMMYFUNCTION("""COMPUTED_VALUE"""),4.45)</f>
        <v>4.45</v>
      </c>
      <c r="F664">
        <f>IFERROR(__xludf.DUMMYFUNCTION("""COMPUTED_VALUE"""),8.47)</f>
        <v>8.47</v>
      </c>
      <c r="G664">
        <f>IFERROR(__xludf.DUMMYFUNCTION("""COMPUTED_VALUE"""),6.53)</f>
        <v>6.53</v>
      </c>
    </row>
    <row r="665">
      <c r="A665">
        <f>IFERROR(__xludf.DUMMYFUNCTION("""COMPUTED_VALUE"""),169370.0)</f>
        <v>169370</v>
      </c>
      <c r="B665" t="str">
        <f>IFERROR(__xludf.DUMMYFUNCTION("""COMPUTED_VALUE"""),"Soybeans Mature Seeds Sprouted Cooked Stir-Fried With Salt")</f>
        <v>Soybeans Mature Seeds Sprouted Cooked Stir-Fried With Salt</v>
      </c>
      <c r="C665" t="str">
        <f>IFERROR(__xludf.DUMMYFUNCTION("""COMPUTED_VALUE"""),"Vegetables")</f>
        <v>Vegetables</v>
      </c>
      <c r="D665">
        <f>IFERROR(__xludf.DUMMYFUNCTION("""COMPUTED_VALUE"""),125.0)</f>
        <v>125</v>
      </c>
      <c r="E665">
        <f>IFERROR(__xludf.DUMMYFUNCTION("""COMPUTED_VALUE"""),7.1)</f>
        <v>7.1</v>
      </c>
      <c r="F665">
        <f>IFERROR(__xludf.DUMMYFUNCTION("""COMPUTED_VALUE"""),13.1)</f>
        <v>13.1</v>
      </c>
      <c r="G665">
        <f>IFERROR(__xludf.DUMMYFUNCTION("""COMPUTED_VALUE"""),9.4)</f>
        <v>9.4</v>
      </c>
    </row>
    <row r="666">
      <c r="A666">
        <f>IFERROR(__xludf.DUMMYFUNCTION("""COMPUTED_VALUE"""),169371.0)</f>
        <v>169371</v>
      </c>
      <c r="B666" t="str">
        <f>IFERROR(__xludf.DUMMYFUNCTION("""COMPUTED_VALUE"""),"Dock Cooked Boiled Drained With Salt")</f>
        <v>Dock Cooked Boiled Drained With Salt</v>
      </c>
      <c r="C666" t="str">
        <f>IFERROR(__xludf.DUMMYFUNCTION("""COMPUTED_VALUE"""),"Vegetables")</f>
        <v>Vegetables</v>
      </c>
      <c r="D666">
        <f>IFERROR(__xludf.DUMMYFUNCTION("""COMPUTED_VALUE"""),20.0)</f>
        <v>20</v>
      </c>
      <c r="E666">
        <f>IFERROR(__xludf.DUMMYFUNCTION("""COMPUTED_VALUE"""),0.64)</f>
        <v>0.64</v>
      </c>
      <c r="F666">
        <f>IFERROR(__xludf.DUMMYFUNCTION("""COMPUTED_VALUE"""),1.83)</f>
        <v>1.83</v>
      </c>
      <c r="G666">
        <f>IFERROR(__xludf.DUMMYFUNCTION("""COMPUTED_VALUE"""),2.93)</f>
        <v>2.93</v>
      </c>
    </row>
    <row r="667">
      <c r="A667">
        <f>IFERROR(__xludf.DUMMYFUNCTION("""COMPUTED_VALUE"""),169372.0)</f>
        <v>169372</v>
      </c>
      <c r="B667" t="str">
        <f>IFERROR(__xludf.DUMMYFUNCTION("""COMPUTED_VALUE"""),"Potatoes Mashed Dehydrated Prepared From Flakes Without Milk Whole Milk And Margarine Added")</f>
        <v>Potatoes Mashed Dehydrated Prepared From Flakes Without Milk Whole Milk And Margarine Added</v>
      </c>
      <c r="C667" t="str">
        <f>IFERROR(__xludf.DUMMYFUNCTION("""COMPUTED_VALUE"""),"Vegetables")</f>
        <v>Vegetables</v>
      </c>
      <c r="D667">
        <f>IFERROR(__xludf.DUMMYFUNCTION("""COMPUTED_VALUE"""),113.0)</f>
        <v>113</v>
      </c>
      <c r="E667">
        <f>IFERROR(__xludf.DUMMYFUNCTION("""COMPUTED_VALUE"""),5.6)</f>
        <v>5.6</v>
      </c>
      <c r="F667">
        <f>IFERROR(__xludf.DUMMYFUNCTION("""COMPUTED_VALUE"""),1.9)</f>
        <v>1.9</v>
      </c>
      <c r="G667">
        <f>IFERROR(__xludf.DUMMYFUNCTION("""COMPUTED_VALUE"""),15.02)</f>
        <v>15.02</v>
      </c>
    </row>
    <row r="668">
      <c r="A668">
        <f>IFERROR(__xludf.DUMMYFUNCTION("""COMPUTED_VALUE"""),169373.0)</f>
        <v>169373</v>
      </c>
      <c r="B668" t="str">
        <f>IFERROR(__xludf.DUMMYFUNCTION("""COMPUTED_VALUE"""),"Peppers Sweet Red Freeze-Dried")</f>
        <v>Peppers Sweet Red Freeze-Dried</v>
      </c>
      <c r="C668" t="str">
        <f>IFERROR(__xludf.DUMMYFUNCTION("""COMPUTED_VALUE"""),"Vegetables")</f>
        <v>Vegetables</v>
      </c>
      <c r="D668">
        <f>IFERROR(__xludf.DUMMYFUNCTION("""COMPUTED_VALUE"""),314.0)</f>
        <v>314</v>
      </c>
      <c r="E668">
        <f>IFERROR(__xludf.DUMMYFUNCTION("""COMPUTED_VALUE"""),3.0)</f>
        <v>3</v>
      </c>
      <c r="F668">
        <f>IFERROR(__xludf.DUMMYFUNCTION("""COMPUTED_VALUE"""),17.9)</f>
        <v>17.9</v>
      </c>
      <c r="G668">
        <f>IFERROR(__xludf.DUMMYFUNCTION("""COMPUTED_VALUE"""),68.7)</f>
        <v>68.7</v>
      </c>
    </row>
    <row r="669">
      <c r="A669">
        <f>IFERROR(__xludf.DUMMYFUNCTION("""COMPUTED_VALUE"""),169374.0)</f>
        <v>169374</v>
      </c>
      <c r="B669" t="str">
        <f>IFERROR(__xludf.DUMMYFUNCTION("""COMPUTED_VALUE"""),"Beans Snap Yellow Canned Regular Pack Drained Solids")</f>
        <v>Beans Snap Yellow Canned Regular Pack Drained Solids</v>
      </c>
      <c r="C669" t="str">
        <f>IFERROR(__xludf.DUMMYFUNCTION("""COMPUTED_VALUE"""),"Vegetables")</f>
        <v>Vegetables</v>
      </c>
      <c r="D669">
        <f>IFERROR(__xludf.DUMMYFUNCTION("""COMPUTED_VALUE"""),20.0)</f>
        <v>20</v>
      </c>
      <c r="E669">
        <f>IFERROR(__xludf.DUMMYFUNCTION("""COMPUTED_VALUE"""),0.1)</f>
        <v>0.1</v>
      </c>
      <c r="F669">
        <f>IFERROR(__xludf.DUMMYFUNCTION("""COMPUTED_VALUE"""),1.15)</f>
        <v>1.15</v>
      </c>
      <c r="G669">
        <f>IFERROR(__xludf.DUMMYFUNCTION("""COMPUTED_VALUE"""),4.5)</f>
        <v>4.5</v>
      </c>
    </row>
    <row r="670">
      <c r="A670">
        <f>IFERROR(__xludf.DUMMYFUNCTION("""COMPUTED_VALUE"""),169375.0)</f>
        <v>169375</v>
      </c>
      <c r="B670" t="str">
        <f>IFERROR(__xludf.DUMMYFUNCTION("""COMPUTED_VALUE"""),"Beans Snap Yellow Canned No Salt Added Drained Solids")</f>
        <v>Beans Snap Yellow Canned No Salt Added Drained Solids</v>
      </c>
      <c r="C670" t="str">
        <f>IFERROR(__xludf.DUMMYFUNCTION("""COMPUTED_VALUE"""),"Vegetables")</f>
        <v>Vegetables</v>
      </c>
      <c r="D670">
        <f>IFERROR(__xludf.DUMMYFUNCTION("""COMPUTED_VALUE"""),20.0)</f>
        <v>20</v>
      </c>
      <c r="E670">
        <f>IFERROR(__xludf.DUMMYFUNCTION("""COMPUTED_VALUE"""),0.1)</f>
        <v>0.1</v>
      </c>
      <c r="F670">
        <f>IFERROR(__xludf.DUMMYFUNCTION("""COMPUTED_VALUE"""),1.15)</f>
        <v>1.15</v>
      </c>
      <c r="G670">
        <f>IFERROR(__xludf.DUMMYFUNCTION("""COMPUTED_VALUE"""),4.5)</f>
        <v>4.5</v>
      </c>
    </row>
    <row r="671">
      <c r="A671">
        <f>IFERROR(__xludf.DUMMYFUNCTION("""COMPUTED_VALUE"""),169376.0)</f>
        <v>169376</v>
      </c>
      <c r="B671" t="str">
        <f>IFERROR(__xludf.DUMMYFUNCTION("""COMPUTED_VALUE"""),"Raw White Button Mushrooms (Exposed To Sunlight Or Uv)")</f>
        <v>Raw White Button Mushrooms (Exposed To Sunlight Or Uv)</v>
      </c>
      <c r="C671" t="str">
        <f>IFERROR(__xludf.DUMMYFUNCTION("""COMPUTED_VALUE"""),"Vegetables")</f>
        <v>Vegetables</v>
      </c>
      <c r="D671">
        <f>IFERROR(__xludf.DUMMYFUNCTION("""COMPUTED_VALUE"""),22.0)</f>
        <v>22</v>
      </c>
      <c r="E671">
        <f>IFERROR(__xludf.DUMMYFUNCTION("""COMPUTED_VALUE"""),0.34)</f>
        <v>0.34</v>
      </c>
      <c r="F671">
        <f>IFERROR(__xludf.DUMMYFUNCTION("""COMPUTED_VALUE"""),3.09)</f>
        <v>3.09</v>
      </c>
      <c r="G671">
        <f>IFERROR(__xludf.DUMMYFUNCTION("""COMPUTED_VALUE"""),3.26)</f>
        <v>3.26</v>
      </c>
    </row>
    <row r="672">
      <c r="A672">
        <f>IFERROR(__xludf.DUMMYFUNCTION("""COMPUTED_VALUE"""),169377.0)</f>
        <v>169377</v>
      </c>
      <c r="B672" t="str">
        <f>IFERROR(__xludf.DUMMYFUNCTION("""COMPUTED_VALUE"""),"Portobellos (Exposed To Sunlight Or Uv)")</f>
        <v>Portobellos (Exposed To Sunlight Or Uv)</v>
      </c>
      <c r="C672" t="str">
        <f>IFERROR(__xludf.DUMMYFUNCTION("""COMPUTED_VALUE"""),"Vegetables")</f>
        <v>Vegetables</v>
      </c>
      <c r="D672">
        <f>IFERROR(__xludf.DUMMYFUNCTION("""COMPUTED_VALUE"""),29.0)</f>
        <v>29</v>
      </c>
      <c r="E672">
        <f>IFERROR(__xludf.DUMMYFUNCTION("""COMPUTED_VALUE"""),0.58)</f>
        <v>0.58</v>
      </c>
      <c r="F672">
        <f>IFERROR(__xludf.DUMMYFUNCTION("""COMPUTED_VALUE"""),3.28)</f>
        <v>3.28</v>
      </c>
      <c r="G672">
        <f>IFERROR(__xludf.DUMMYFUNCTION("""COMPUTED_VALUE"""),4.44)</f>
        <v>4.44</v>
      </c>
    </row>
    <row r="673">
      <c r="A673">
        <f>IFERROR(__xludf.DUMMYFUNCTION("""COMPUTED_VALUE"""),169378.0)</f>
        <v>169378</v>
      </c>
      <c r="B673" t="str">
        <f>IFERROR(__xludf.DUMMYFUNCTION("""COMPUTED_VALUE"""),"Sweet Pickled Cucumbers")</f>
        <v>Sweet Pickled Cucumbers</v>
      </c>
      <c r="C673" t="str">
        <f>IFERROR(__xludf.DUMMYFUNCTION("""COMPUTED_VALUE"""),"Vegetables")</f>
        <v>Vegetables</v>
      </c>
      <c r="D673">
        <f>IFERROR(__xludf.DUMMYFUNCTION("""COMPUTED_VALUE"""),91.0)</f>
        <v>91</v>
      </c>
      <c r="E673">
        <f>IFERROR(__xludf.DUMMYFUNCTION("""COMPUTED_VALUE"""),0.41)</f>
        <v>0.41</v>
      </c>
      <c r="F673">
        <f>IFERROR(__xludf.DUMMYFUNCTION("""COMPUTED_VALUE"""),0.58)</f>
        <v>0.58</v>
      </c>
      <c r="G673">
        <f>IFERROR(__xludf.DUMMYFUNCTION("""COMPUTED_VALUE"""),21.15)</f>
        <v>21.15</v>
      </c>
    </row>
    <row r="674">
      <c r="A674">
        <f>IFERROR(__xludf.DUMMYFUNCTION("""COMPUTED_VALUE"""),169379.0)</f>
        <v>169379</v>
      </c>
      <c r="B674" t="str">
        <f>IFERROR(__xludf.DUMMYFUNCTION("""COMPUTED_VALUE"""),"Sour Pickled Cucumber")</f>
        <v>Sour Pickled Cucumber</v>
      </c>
      <c r="C674" t="str">
        <f>IFERROR(__xludf.DUMMYFUNCTION("""COMPUTED_VALUE"""),"Vegetables")</f>
        <v>Vegetables</v>
      </c>
      <c r="D674">
        <f>IFERROR(__xludf.DUMMYFUNCTION("""COMPUTED_VALUE"""),11.0)</f>
        <v>11</v>
      </c>
      <c r="E674">
        <f>IFERROR(__xludf.DUMMYFUNCTION("""COMPUTED_VALUE"""),0.2)</f>
        <v>0.2</v>
      </c>
      <c r="F674">
        <f>IFERROR(__xludf.DUMMYFUNCTION("""COMPUTED_VALUE"""),0.33)</f>
        <v>0.33</v>
      </c>
      <c r="G674">
        <f>IFERROR(__xludf.DUMMYFUNCTION("""COMPUTED_VALUE"""),2.26)</f>
        <v>2.26</v>
      </c>
    </row>
    <row r="675">
      <c r="A675">
        <f>IFERROR(__xludf.DUMMYFUNCTION("""COMPUTED_VALUE"""),169380.0)</f>
        <v>169380</v>
      </c>
      <c r="B675" t="str">
        <f>IFERROR(__xludf.DUMMYFUNCTION("""COMPUTED_VALUE"""),"Low Sodium Sweet Pickles")</f>
        <v>Low Sodium Sweet Pickles</v>
      </c>
      <c r="C675" t="str">
        <f>IFERROR(__xludf.DUMMYFUNCTION("""COMPUTED_VALUE"""),"Vegetables")</f>
        <v>Vegetables</v>
      </c>
      <c r="D675">
        <f>IFERROR(__xludf.DUMMYFUNCTION("""COMPUTED_VALUE"""),122.0)</f>
        <v>122</v>
      </c>
      <c r="E675">
        <f>IFERROR(__xludf.DUMMYFUNCTION("""COMPUTED_VALUE"""),0.26)</f>
        <v>0.26</v>
      </c>
      <c r="F675">
        <f>IFERROR(__xludf.DUMMYFUNCTION("""COMPUTED_VALUE"""),0.37)</f>
        <v>0.37</v>
      </c>
      <c r="G675">
        <f>IFERROR(__xludf.DUMMYFUNCTION("""COMPUTED_VALUE"""),33.73)</f>
        <v>33.73</v>
      </c>
    </row>
    <row r="676">
      <c r="A676">
        <f>IFERROR(__xludf.DUMMYFUNCTION("""COMPUTED_VALUE"""),169381.0)</f>
        <v>169381</v>
      </c>
      <c r="B676" t="str">
        <f>IFERROR(__xludf.DUMMYFUNCTION("""COMPUTED_VALUE"""),"Low Sodium Ketchup")</f>
        <v>Low Sodium Ketchup</v>
      </c>
      <c r="C676" t="str">
        <f>IFERROR(__xludf.DUMMYFUNCTION("""COMPUTED_VALUE"""),"Vegetables")</f>
        <v>Vegetables</v>
      </c>
      <c r="D676">
        <f>IFERROR(__xludf.DUMMYFUNCTION("""COMPUTED_VALUE"""),101.0)</f>
        <v>101</v>
      </c>
      <c r="E676">
        <f>IFERROR(__xludf.DUMMYFUNCTION("""COMPUTED_VALUE"""),0.1)</f>
        <v>0.1</v>
      </c>
      <c r="F676">
        <f>IFERROR(__xludf.DUMMYFUNCTION("""COMPUTED_VALUE"""),1.04)</f>
        <v>1.04</v>
      </c>
      <c r="G676">
        <f>IFERROR(__xludf.DUMMYFUNCTION("""COMPUTED_VALUE"""),27.4)</f>
        <v>27.4</v>
      </c>
    </row>
    <row r="677">
      <c r="A677">
        <f>IFERROR(__xludf.DUMMYFUNCTION("""COMPUTED_VALUE"""),169382.0)</f>
        <v>169382</v>
      </c>
      <c r="B677" t="str">
        <f>IFERROR(__xludf.DUMMYFUNCTION("""COMPUTED_VALUE"""),"Enoki Mushrooms")</f>
        <v>Enoki Mushrooms</v>
      </c>
      <c r="C677" t="str">
        <f>IFERROR(__xludf.DUMMYFUNCTION("""COMPUTED_VALUE"""),"Vegetables")</f>
        <v>Vegetables</v>
      </c>
      <c r="D677">
        <f>IFERROR(__xludf.DUMMYFUNCTION("""COMPUTED_VALUE"""),37.0)</f>
        <v>37</v>
      </c>
      <c r="E677">
        <f>IFERROR(__xludf.DUMMYFUNCTION("""COMPUTED_VALUE"""),0.29)</f>
        <v>0.29</v>
      </c>
      <c r="F677">
        <f>IFERROR(__xludf.DUMMYFUNCTION("""COMPUTED_VALUE"""),2.66)</f>
        <v>2.66</v>
      </c>
      <c r="G677">
        <f>IFERROR(__xludf.DUMMYFUNCTION("""COMPUTED_VALUE"""),7.81)</f>
        <v>7.81</v>
      </c>
    </row>
    <row r="678">
      <c r="A678">
        <f>IFERROR(__xludf.DUMMYFUNCTION("""COMPUTED_VALUE"""),169383.0)</f>
        <v>169383</v>
      </c>
      <c r="B678" t="str">
        <f>IFERROR(__xludf.DUMMYFUNCTION("""COMPUTED_VALUE"""),"Sweet Yellow Peppers")</f>
        <v>Sweet Yellow Peppers</v>
      </c>
      <c r="C678" t="str">
        <f>IFERROR(__xludf.DUMMYFUNCTION("""COMPUTED_VALUE"""),"Vegetables")</f>
        <v>Vegetables</v>
      </c>
      <c r="D678">
        <f>IFERROR(__xludf.DUMMYFUNCTION("""COMPUTED_VALUE"""),27.0)</f>
        <v>27</v>
      </c>
      <c r="E678">
        <f>IFERROR(__xludf.DUMMYFUNCTION("""COMPUTED_VALUE"""),0.21)</f>
        <v>0.21</v>
      </c>
      <c r="F678">
        <f>IFERROR(__xludf.DUMMYFUNCTION("""COMPUTED_VALUE"""),1.0)</f>
        <v>1</v>
      </c>
      <c r="G678">
        <f>IFERROR(__xludf.DUMMYFUNCTION("""COMPUTED_VALUE"""),6.32)</f>
        <v>6.32</v>
      </c>
    </row>
    <row r="679">
      <c r="A679">
        <f>IFERROR(__xludf.DUMMYFUNCTION("""COMPUTED_VALUE"""),169384.0)</f>
        <v>169384</v>
      </c>
      <c r="B679" t="str">
        <f>IFERROR(__xludf.DUMMYFUNCTION("""COMPUTED_VALUE"""),"Tomatoes Sun-Dried Packed In Oil Drained")</f>
        <v>Tomatoes Sun-Dried Packed In Oil Drained</v>
      </c>
      <c r="C679" t="str">
        <f>IFERROR(__xludf.DUMMYFUNCTION("""COMPUTED_VALUE"""),"Vegetables")</f>
        <v>Vegetables</v>
      </c>
      <c r="D679">
        <f>IFERROR(__xludf.DUMMYFUNCTION("""COMPUTED_VALUE"""),213.0)</f>
        <v>213</v>
      </c>
      <c r="E679">
        <f>IFERROR(__xludf.DUMMYFUNCTION("""COMPUTED_VALUE"""),14.08)</f>
        <v>14.08</v>
      </c>
      <c r="F679">
        <f>IFERROR(__xludf.DUMMYFUNCTION("""COMPUTED_VALUE"""),5.06)</f>
        <v>5.06</v>
      </c>
      <c r="G679">
        <f>IFERROR(__xludf.DUMMYFUNCTION("""COMPUTED_VALUE"""),23.33)</f>
        <v>23.33</v>
      </c>
    </row>
    <row r="680">
      <c r="A680">
        <f>IFERROR(__xludf.DUMMYFUNCTION("""COMPUTED_VALUE"""),169385.0)</f>
        <v>169385</v>
      </c>
      <c r="B680" t="str">
        <f>IFERROR(__xludf.DUMMYFUNCTION("""COMPUTED_VALUE"""),"Fennel")</f>
        <v>Fennel</v>
      </c>
      <c r="C680" t="str">
        <f>IFERROR(__xludf.DUMMYFUNCTION("""COMPUTED_VALUE"""),"Vegetables")</f>
        <v>Vegetables</v>
      </c>
      <c r="D680">
        <f>IFERROR(__xludf.DUMMYFUNCTION("""COMPUTED_VALUE"""),31.0)</f>
        <v>31</v>
      </c>
      <c r="E680">
        <f>IFERROR(__xludf.DUMMYFUNCTION("""COMPUTED_VALUE"""),0.2)</f>
        <v>0.2</v>
      </c>
      <c r="F680">
        <f>IFERROR(__xludf.DUMMYFUNCTION("""COMPUTED_VALUE"""),1.24)</f>
        <v>1.24</v>
      </c>
      <c r="G680">
        <f>IFERROR(__xludf.DUMMYFUNCTION("""COMPUTED_VALUE"""),7.3)</f>
        <v>7.3</v>
      </c>
    </row>
    <row r="681">
      <c r="A681">
        <f>IFERROR(__xludf.DUMMYFUNCTION("""COMPUTED_VALUE"""),169386.0)</f>
        <v>169386</v>
      </c>
      <c r="B681" t="str">
        <f>IFERROR(__xludf.DUMMYFUNCTION("""COMPUTED_VALUE"""),"Pickle Relish Hamburger")</f>
        <v>Pickle Relish Hamburger</v>
      </c>
      <c r="C681" t="str">
        <f>IFERROR(__xludf.DUMMYFUNCTION("""COMPUTED_VALUE"""),"Vegetables")</f>
        <v>Vegetables</v>
      </c>
      <c r="D681">
        <f>IFERROR(__xludf.DUMMYFUNCTION("""COMPUTED_VALUE"""),129.0)</f>
        <v>129</v>
      </c>
      <c r="E681">
        <f>IFERROR(__xludf.DUMMYFUNCTION("""COMPUTED_VALUE"""),0.54)</f>
        <v>0.54</v>
      </c>
      <c r="F681">
        <f>IFERROR(__xludf.DUMMYFUNCTION("""COMPUTED_VALUE"""),0.63)</f>
        <v>0.63</v>
      </c>
      <c r="G681">
        <f>IFERROR(__xludf.DUMMYFUNCTION("""COMPUTED_VALUE"""),34.48)</f>
        <v>34.48</v>
      </c>
    </row>
    <row r="682">
      <c r="A682">
        <f>IFERROR(__xludf.DUMMYFUNCTION("""COMPUTED_VALUE"""),169387.0)</f>
        <v>169387</v>
      </c>
      <c r="B682" t="str">
        <f>IFERROR(__xludf.DUMMYFUNCTION("""COMPUTED_VALUE"""),"Arugula")</f>
        <v>Arugula</v>
      </c>
      <c r="C682" t="str">
        <f>IFERROR(__xludf.DUMMYFUNCTION("""COMPUTED_VALUE"""),"Vegetables")</f>
        <v>Vegetables</v>
      </c>
      <c r="D682">
        <f>IFERROR(__xludf.DUMMYFUNCTION("""COMPUTED_VALUE"""),25.0)</f>
        <v>25</v>
      </c>
      <c r="E682">
        <f>IFERROR(__xludf.DUMMYFUNCTION("""COMPUTED_VALUE"""),0.66)</f>
        <v>0.66</v>
      </c>
      <c r="F682">
        <f>IFERROR(__xludf.DUMMYFUNCTION("""COMPUTED_VALUE"""),2.58)</f>
        <v>2.58</v>
      </c>
      <c r="G682">
        <f>IFERROR(__xludf.DUMMYFUNCTION("""COMPUTED_VALUE"""),3.65)</f>
        <v>3.65</v>
      </c>
    </row>
    <row r="683">
      <c r="A683">
        <f>IFERROR(__xludf.DUMMYFUNCTION("""COMPUTED_VALUE"""),169388.0)</f>
        <v>169388</v>
      </c>
      <c r="B683" t="str">
        <f>IFERROR(__xludf.DUMMYFUNCTION("""COMPUTED_VALUE"""),"Cooked Nopales")</f>
        <v>Cooked Nopales</v>
      </c>
      <c r="C683" t="str">
        <f>IFERROR(__xludf.DUMMYFUNCTION("""COMPUTED_VALUE"""),"Vegetables")</f>
        <v>Vegetables</v>
      </c>
      <c r="D683">
        <f>IFERROR(__xludf.DUMMYFUNCTION("""COMPUTED_VALUE"""),15.0)</f>
        <v>15</v>
      </c>
      <c r="E683">
        <f>IFERROR(__xludf.DUMMYFUNCTION("""COMPUTED_VALUE"""),0.05)</f>
        <v>0.05</v>
      </c>
      <c r="F683">
        <f>IFERROR(__xludf.DUMMYFUNCTION("""COMPUTED_VALUE"""),1.35)</f>
        <v>1.35</v>
      </c>
      <c r="G683">
        <f>IFERROR(__xludf.DUMMYFUNCTION("""COMPUTED_VALUE"""),3.28)</f>
        <v>3.28</v>
      </c>
    </row>
    <row r="684">
      <c r="A684">
        <f>IFERROR(__xludf.DUMMYFUNCTION("""COMPUTED_VALUE"""),169389.0)</f>
        <v>169389</v>
      </c>
      <c r="B684" t="str">
        <f>IFERROR(__xludf.DUMMYFUNCTION("""COMPUTED_VALUE"""),"Green Cauliflower")</f>
        <v>Green Cauliflower</v>
      </c>
      <c r="C684" t="str">
        <f>IFERROR(__xludf.DUMMYFUNCTION("""COMPUTED_VALUE"""),"Vegetables")</f>
        <v>Vegetables</v>
      </c>
      <c r="D684">
        <f>IFERROR(__xludf.DUMMYFUNCTION("""COMPUTED_VALUE"""),31.0)</f>
        <v>31</v>
      </c>
      <c r="E684">
        <f>IFERROR(__xludf.DUMMYFUNCTION("""COMPUTED_VALUE"""),0.3)</f>
        <v>0.3</v>
      </c>
      <c r="F684">
        <f>IFERROR(__xludf.DUMMYFUNCTION("""COMPUTED_VALUE"""),2.95)</f>
        <v>2.95</v>
      </c>
      <c r="G684">
        <f>IFERROR(__xludf.DUMMYFUNCTION("""COMPUTED_VALUE"""),6.09)</f>
        <v>6.09</v>
      </c>
    </row>
    <row r="685">
      <c r="A685">
        <f>IFERROR(__xludf.DUMMYFUNCTION("""COMPUTED_VALUE"""),169390.0)</f>
        <v>169390</v>
      </c>
      <c r="B685" t="str">
        <f>IFERROR(__xludf.DUMMYFUNCTION("""COMPUTED_VALUE"""),"Cooked Green Cauliflower")</f>
        <v>Cooked Green Cauliflower</v>
      </c>
      <c r="C685" t="str">
        <f>IFERROR(__xludf.DUMMYFUNCTION("""COMPUTED_VALUE"""),"Vegetables")</f>
        <v>Vegetables</v>
      </c>
      <c r="D685">
        <f>IFERROR(__xludf.DUMMYFUNCTION("""COMPUTED_VALUE"""),32.0)</f>
        <v>32</v>
      </c>
      <c r="E685">
        <f>IFERROR(__xludf.DUMMYFUNCTION("""COMPUTED_VALUE"""),0.31)</f>
        <v>0.31</v>
      </c>
      <c r="F685">
        <f>IFERROR(__xludf.DUMMYFUNCTION("""COMPUTED_VALUE"""),3.04)</f>
        <v>3.04</v>
      </c>
      <c r="G685">
        <f>IFERROR(__xludf.DUMMYFUNCTION("""COMPUTED_VALUE"""),6.28)</f>
        <v>6.28</v>
      </c>
    </row>
    <row r="686">
      <c r="A686">
        <f>IFERROR(__xludf.DUMMYFUNCTION("""COMPUTED_VALUE"""),169391.0)</f>
        <v>169391</v>
      </c>
      <c r="B686" t="str">
        <f>IFERROR(__xludf.DUMMYFUNCTION("""COMPUTED_VALUE"""),"Cauliflower Green Cooked With Salt")</f>
        <v>Cauliflower Green Cooked With Salt</v>
      </c>
      <c r="C686" t="str">
        <f>IFERROR(__xludf.DUMMYFUNCTION("""COMPUTED_VALUE"""),"Vegetables")</f>
        <v>Vegetables</v>
      </c>
      <c r="D686">
        <f>IFERROR(__xludf.DUMMYFUNCTION("""COMPUTED_VALUE"""),32.0)</f>
        <v>32</v>
      </c>
      <c r="E686">
        <f>IFERROR(__xludf.DUMMYFUNCTION("""COMPUTED_VALUE"""),0.31)</f>
        <v>0.31</v>
      </c>
      <c r="F686">
        <f>IFERROR(__xludf.DUMMYFUNCTION("""COMPUTED_VALUE"""),3.04)</f>
        <v>3.04</v>
      </c>
      <c r="G686">
        <f>IFERROR(__xludf.DUMMYFUNCTION("""COMPUTED_VALUE"""),6.28)</f>
        <v>6.28</v>
      </c>
    </row>
    <row r="687">
      <c r="A687">
        <f>IFERROR(__xludf.DUMMYFUNCTION("""COMPUTED_VALUE"""),169392.0)</f>
        <v>169392</v>
      </c>
      <c r="B687" t="str">
        <f>IFERROR(__xludf.DUMMYFUNCTION("""COMPUTED_VALUE"""),"Cooked Chinese Broccoli")</f>
        <v>Cooked Chinese Broccoli</v>
      </c>
      <c r="C687" t="str">
        <f>IFERROR(__xludf.DUMMYFUNCTION("""COMPUTED_VALUE"""),"Vegetables")</f>
        <v>Vegetables</v>
      </c>
      <c r="D687">
        <f>IFERROR(__xludf.DUMMYFUNCTION("""COMPUTED_VALUE"""),22.0)</f>
        <v>22</v>
      </c>
      <c r="E687">
        <f>IFERROR(__xludf.DUMMYFUNCTION("""COMPUTED_VALUE"""),0.72)</f>
        <v>0.72</v>
      </c>
      <c r="F687">
        <f>IFERROR(__xludf.DUMMYFUNCTION("""COMPUTED_VALUE"""),1.14)</f>
        <v>1.14</v>
      </c>
      <c r="G687">
        <f>IFERROR(__xludf.DUMMYFUNCTION("""COMPUTED_VALUE"""),3.81)</f>
        <v>3.81</v>
      </c>
    </row>
    <row r="688">
      <c r="A688">
        <f>IFERROR(__xludf.DUMMYFUNCTION("""COMPUTED_VALUE"""),169393.0)</f>
        <v>169393</v>
      </c>
      <c r="B688" t="str">
        <f>IFERROR(__xludf.DUMMYFUNCTION("""COMPUTED_VALUE"""),"Grape Leaves Canned")</f>
        <v>Grape Leaves Canned</v>
      </c>
      <c r="C688" t="str">
        <f>IFERROR(__xludf.DUMMYFUNCTION("""COMPUTED_VALUE"""),"Vegetables")</f>
        <v>Vegetables</v>
      </c>
      <c r="D688">
        <f>IFERROR(__xludf.DUMMYFUNCTION("""COMPUTED_VALUE"""),69.0)</f>
        <v>69</v>
      </c>
      <c r="E688">
        <f>IFERROR(__xludf.DUMMYFUNCTION("""COMPUTED_VALUE"""),1.97)</f>
        <v>1.97</v>
      </c>
      <c r="F688">
        <f>IFERROR(__xludf.DUMMYFUNCTION("""COMPUTED_VALUE"""),4.27)</f>
        <v>4.27</v>
      </c>
      <c r="G688">
        <f>IFERROR(__xludf.DUMMYFUNCTION("""COMPUTED_VALUE"""),11.71)</f>
        <v>11.71</v>
      </c>
    </row>
    <row r="689">
      <c r="A689">
        <f>IFERROR(__xludf.DUMMYFUNCTION("""COMPUTED_VALUE"""),169394.0)</f>
        <v>169394</v>
      </c>
      <c r="B689" t="str">
        <f>IFERROR(__xludf.DUMMYFUNCTION("""COMPUTED_VALUE"""),"Banana Peppers")</f>
        <v>Banana Peppers</v>
      </c>
      <c r="C689" t="str">
        <f>IFERROR(__xludf.DUMMYFUNCTION("""COMPUTED_VALUE"""),"Vegetables")</f>
        <v>Vegetables</v>
      </c>
      <c r="D689">
        <f>IFERROR(__xludf.DUMMYFUNCTION("""COMPUTED_VALUE"""),27.0)</f>
        <v>27</v>
      </c>
      <c r="E689">
        <f>IFERROR(__xludf.DUMMYFUNCTION("""COMPUTED_VALUE"""),0.45)</f>
        <v>0.45</v>
      </c>
      <c r="F689">
        <f>IFERROR(__xludf.DUMMYFUNCTION("""COMPUTED_VALUE"""),1.66)</f>
        <v>1.66</v>
      </c>
      <c r="G689">
        <f>IFERROR(__xludf.DUMMYFUNCTION("""COMPUTED_VALUE"""),5.35)</f>
        <v>5.35</v>
      </c>
    </row>
    <row r="690">
      <c r="A690">
        <f>IFERROR(__xludf.DUMMYFUNCTION("""COMPUTED_VALUE"""),169395.0)</f>
        <v>169395</v>
      </c>
      <c r="B690" t="str">
        <f>IFERROR(__xludf.DUMMYFUNCTION("""COMPUTED_VALUE"""),"Serrano Peppers")</f>
        <v>Serrano Peppers</v>
      </c>
      <c r="C690" t="str">
        <f>IFERROR(__xludf.DUMMYFUNCTION("""COMPUTED_VALUE"""),"Vegetables")</f>
        <v>Vegetables</v>
      </c>
      <c r="D690">
        <f>IFERROR(__xludf.DUMMYFUNCTION("""COMPUTED_VALUE"""),32.0)</f>
        <v>32</v>
      </c>
      <c r="E690">
        <f>IFERROR(__xludf.DUMMYFUNCTION("""COMPUTED_VALUE"""),0.44)</f>
        <v>0.44</v>
      </c>
      <c r="F690">
        <f>IFERROR(__xludf.DUMMYFUNCTION("""COMPUTED_VALUE"""),1.74)</f>
        <v>1.74</v>
      </c>
      <c r="G690">
        <f>IFERROR(__xludf.DUMMYFUNCTION("""COMPUTED_VALUE"""),6.7)</f>
        <v>6.7</v>
      </c>
    </row>
    <row r="691">
      <c r="A691">
        <f>IFERROR(__xludf.DUMMYFUNCTION("""COMPUTED_VALUE"""),169396.0)</f>
        <v>169396</v>
      </c>
      <c r="B691" t="str">
        <f>IFERROR(__xludf.DUMMYFUNCTION("""COMPUTED_VALUE"""),"Dried Ancho Peppers")</f>
        <v>Dried Ancho Peppers</v>
      </c>
      <c r="C691" t="str">
        <f>IFERROR(__xludf.DUMMYFUNCTION("""COMPUTED_VALUE"""),"Vegetables")</f>
        <v>Vegetables</v>
      </c>
      <c r="D691">
        <f>IFERROR(__xludf.DUMMYFUNCTION("""COMPUTED_VALUE"""),281.0)</f>
        <v>281</v>
      </c>
      <c r="E691">
        <f>IFERROR(__xludf.DUMMYFUNCTION("""COMPUTED_VALUE"""),8.2)</f>
        <v>8.2</v>
      </c>
      <c r="F691">
        <f>IFERROR(__xludf.DUMMYFUNCTION("""COMPUTED_VALUE"""),11.86)</f>
        <v>11.86</v>
      </c>
      <c r="G691">
        <f>IFERROR(__xludf.DUMMYFUNCTION("""COMPUTED_VALUE"""),51.42)</f>
        <v>51.42</v>
      </c>
    </row>
    <row r="692">
      <c r="A692">
        <f>IFERROR(__xludf.DUMMYFUNCTION("""COMPUTED_VALUE"""),169397.0)</f>
        <v>169397</v>
      </c>
      <c r="B692" t="str">
        <f>IFERROR(__xludf.DUMMYFUNCTION("""COMPUTED_VALUE"""),"Pickles Chowchow With Cauliflower Onion Mustard Sweet")</f>
        <v>Pickles Chowchow With Cauliflower Onion Mustard Sweet</v>
      </c>
      <c r="C692" t="str">
        <f>IFERROR(__xludf.DUMMYFUNCTION("""COMPUTED_VALUE"""),"Vegetables")</f>
        <v>Vegetables</v>
      </c>
      <c r="D692">
        <f>IFERROR(__xludf.DUMMYFUNCTION("""COMPUTED_VALUE"""),121.0)</f>
        <v>121</v>
      </c>
      <c r="E692">
        <f>IFERROR(__xludf.DUMMYFUNCTION("""COMPUTED_VALUE"""),0.9)</f>
        <v>0.9</v>
      </c>
      <c r="F692">
        <f>IFERROR(__xludf.DUMMYFUNCTION("""COMPUTED_VALUE"""),1.5)</f>
        <v>1.5</v>
      </c>
      <c r="G692">
        <f>IFERROR(__xludf.DUMMYFUNCTION("""COMPUTED_VALUE"""),26.64)</f>
        <v>26.64</v>
      </c>
    </row>
    <row r="693">
      <c r="A693">
        <f>IFERROR(__xludf.DUMMYFUNCTION("""COMPUTED_VALUE"""),169398.0)</f>
        <v>169398</v>
      </c>
      <c r="B693" t="str">
        <f>IFERROR(__xludf.DUMMYFUNCTION("""COMPUTED_VALUE"""),"Epazote Raw")</f>
        <v>Epazote Raw</v>
      </c>
      <c r="C693" t="str">
        <f>IFERROR(__xludf.DUMMYFUNCTION("""COMPUTED_VALUE"""),"Vegetables")</f>
        <v>Vegetables</v>
      </c>
      <c r="D693">
        <f>IFERROR(__xludf.DUMMYFUNCTION("""COMPUTED_VALUE"""),32.0)</f>
        <v>32</v>
      </c>
      <c r="E693">
        <f>IFERROR(__xludf.DUMMYFUNCTION("""COMPUTED_VALUE"""),0.52)</f>
        <v>0.52</v>
      </c>
      <c r="F693">
        <f>IFERROR(__xludf.DUMMYFUNCTION("""COMPUTED_VALUE"""),0.33)</f>
        <v>0.33</v>
      </c>
      <c r="G693">
        <f>IFERROR(__xludf.DUMMYFUNCTION("""COMPUTED_VALUE"""),7.44)</f>
        <v>7.44</v>
      </c>
    </row>
    <row r="694">
      <c r="A694">
        <f>IFERROR(__xludf.DUMMYFUNCTION("""COMPUTED_VALUE"""),169399.0)</f>
        <v>169399</v>
      </c>
      <c r="B694" t="str">
        <f>IFERROR(__xludf.DUMMYFUNCTION("""COMPUTED_VALUE"""),"Fireweed Leaves Raw")</f>
        <v>Fireweed Leaves Raw</v>
      </c>
      <c r="C694" t="str">
        <f>IFERROR(__xludf.DUMMYFUNCTION("""COMPUTED_VALUE"""),"Vegetables")</f>
        <v>Vegetables</v>
      </c>
      <c r="D694">
        <f>IFERROR(__xludf.DUMMYFUNCTION("""COMPUTED_VALUE"""),103.0)</f>
        <v>103</v>
      </c>
      <c r="E694">
        <f>IFERROR(__xludf.DUMMYFUNCTION("""COMPUTED_VALUE"""),2.75)</f>
        <v>2.75</v>
      </c>
      <c r="F694">
        <f>IFERROR(__xludf.DUMMYFUNCTION("""COMPUTED_VALUE"""),4.71)</f>
        <v>4.71</v>
      </c>
      <c r="G694">
        <f>IFERROR(__xludf.DUMMYFUNCTION("""COMPUTED_VALUE"""),19.22)</f>
        <v>19.22</v>
      </c>
    </row>
    <row r="695">
      <c r="A695">
        <f>IFERROR(__xludf.DUMMYFUNCTION("""COMPUTED_VALUE"""),169400.0)</f>
        <v>169400</v>
      </c>
      <c r="B695" t="str">
        <f>IFERROR(__xludf.DUMMYFUNCTION("""COMPUTED_VALUE"""),"Cooked Malabar Spinach")</f>
        <v>Cooked Malabar Spinach</v>
      </c>
      <c r="C695" t="str">
        <f>IFERROR(__xludf.DUMMYFUNCTION("""COMPUTED_VALUE"""),"Vegetables")</f>
        <v>Vegetables</v>
      </c>
      <c r="D695">
        <f>IFERROR(__xludf.DUMMYFUNCTION("""COMPUTED_VALUE"""),23.0)</f>
        <v>23</v>
      </c>
      <c r="E695">
        <f>IFERROR(__xludf.DUMMYFUNCTION("""COMPUTED_VALUE"""),0.78)</f>
        <v>0.78</v>
      </c>
      <c r="F695">
        <f>IFERROR(__xludf.DUMMYFUNCTION("""COMPUTED_VALUE"""),2.98)</f>
        <v>2.98</v>
      </c>
      <c r="G695">
        <f>IFERROR(__xludf.DUMMYFUNCTION("""COMPUTED_VALUE"""),2.71)</f>
        <v>2.71</v>
      </c>
    </row>
    <row r="696">
      <c r="A696">
        <f>IFERROR(__xludf.DUMMYFUNCTION("""COMPUTED_VALUE"""),169401.0)</f>
        <v>169401</v>
      </c>
      <c r="B696" t="str">
        <f>IFERROR(__xludf.DUMMYFUNCTION("""COMPUTED_VALUE"""),"Yautia")</f>
        <v>Yautia</v>
      </c>
      <c r="C696" t="str">
        <f>IFERROR(__xludf.DUMMYFUNCTION("""COMPUTED_VALUE"""),"Vegetables")</f>
        <v>Vegetables</v>
      </c>
      <c r="D696">
        <f>IFERROR(__xludf.DUMMYFUNCTION("""COMPUTED_VALUE"""),98.0)</f>
        <v>98</v>
      </c>
      <c r="E696">
        <f>IFERROR(__xludf.DUMMYFUNCTION("""COMPUTED_VALUE"""),0.4)</f>
        <v>0.4</v>
      </c>
      <c r="F696">
        <f>IFERROR(__xludf.DUMMYFUNCTION("""COMPUTED_VALUE"""),1.46)</f>
        <v>1.46</v>
      </c>
      <c r="G696">
        <f>IFERROR(__xludf.DUMMYFUNCTION("""COMPUTED_VALUE"""),23.63)</f>
        <v>23.63</v>
      </c>
    </row>
    <row r="697">
      <c r="A697">
        <f>IFERROR(__xludf.DUMMYFUNCTION("""COMPUTED_VALUE"""),169402.0)</f>
        <v>169402</v>
      </c>
      <c r="B697" t="str">
        <f>IFERROR(__xludf.DUMMYFUNCTION("""COMPUTED_VALUE"""),"Mushrooms White Microwaved")</f>
        <v>Mushrooms White Microwaved</v>
      </c>
      <c r="C697" t="str">
        <f>IFERROR(__xludf.DUMMYFUNCTION("""COMPUTED_VALUE"""),"Vegetables")</f>
        <v>Vegetables</v>
      </c>
      <c r="D697">
        <f>IFERROR(__xludf.DUMMYFUNCTION("""COMPUTED_VALUE"""),35.0)</f>
        <v>35</v>
      </c>
      <c r="E697">
        <f>IFERROR(__xludf.DUMMYFUNCTION("""COMPUTED_VALUE"""),0.46)</f>
        <v>0.46</v>
      </c>
      <c r="F697">
        <f>IFERROR(__xludf.DUMMYFUNCTION("""COMPUTED_VALUE"""),3.91)</f>
        <v>3.91</v>
      </c>
      <c r="G697">
        <f>IFERROR(__xludf.DUMMYFUNCTION("""COMPUTED_VALUE"""),6.04)</f>
        <v>6.04</v>
      </c>
    </row>
    <row r="698">
      <c r="A698">
        <f>IFERROR(__xludf.DUMMYFUNCTION("""COMPUTED_VALUE"""),169403.0)</f>
        <v>169403</v>
      </c>
      <c r="B698" t="str">
        <f>IFERROR(__xludf.DUMMYFUNCTION("""COMPUTED_VALUE"""),"Maitake Mushrooms")</f>
        <v>Maitake Mushrooms</v>
      </c>
      <c r="C698" t="str">
        <f>IFERROR(__xludf.DUMMYFUNCTION("""COMPUTED_VALUE"""),"Vegetables")</f>
        <v>Vegetables</v>
      </c>
      <c r="D698">
        <f>IFERROR(__xludf.DUMMYFUNCTION("""COMPUTED_VALUE"""),31.0)</f>
        <v>31</v>
      </c>
      <c r="E698">
        <f>IFERROR(__xludf.DUMMYFUNCTION("""COMPUTED_VALUE"""),0.19)</f>
        <v>0.19</v>
      </c>
      <c r="F698">
        <f>IFERROR(__xludf.DUMMYFUNCTION("""COMPUTED_VALUE"""),1.94)</f>
        <v>1.94</v>
      </c>
      <c r="G698">
        <f>IFERROR(__xludf.DUMMYFUNCTION("""COMPUTED_VALUE"""),6.97)</f>
        <v>6.97</v>
      </c>
    </row>
    <row r="699">
      <c r="A699">
        <f>IFERROR(__xludf.DUMMYFUNCTION("""COMPUTED_VALUE"""),169404.0)</f>
        <v>169404</v>
      </c>
      <c r="B699" t="str">
        <f>IFERROR(__xludf.DUMMYFUNCTION("""COMPUTED_VALUE"""),"Chinese Broccoli")</f>
        <v>Chinese Broccoli</v>
      </c>
      <c r="C699" t="str">
        <f>IFERROR(__xludf.DUMMYFUNCTION("""COMPUTED_VALUE"""),"Vegetables")</f>
        <v>Vegetables</v>
      </c>
      <c r="D699">
        <f>IFERROR(__xludf.DUMMYFUNCTION("""COMPUTED_VALUE"""),26.0)</f>
        <v>26</v>
      </c>
      <c r="E699">
        <f>IFERROR(__xludf.DUMMYFUNCTION("""COMPUTED_VALUE"""),0.76)</f>
        <v>0.76</v>
      </c>
      <c r="F699">
        <f>IFERROR(__xludf.DUMMYFUNCTION("""COMPUTED_VALUE"""),1.2)</f>
        <v>1.2</v>
      </c>
      <c r="G699">
        <f>IFERROR(__xludf.DUMMYFUNCTION("""COMPUTED_VALUE"""),4.67)</f>
        <v>4.67</v>
      </c>
    </row>
    <row r="700">
      <c r="A700">
        <f>IFERROR(__xludf.DUMMYFUNCTION("""COMPUTED_VALUE"""),169405.0)</f>
        <v>169405</v>
      </c>
      <c r="B700" t="str">
        <f>IFERROR(__xludf.DUMMYFUNCTION("""COMPUTED_VALUE"""),"Fiddlehead Ferns")</f>
        <v>Fiddlehead Ferns</v>
      </c>
      <c r="C700" t="str">
        <f>IFERROR(__xludf.DUMMYFUNCTION("""COMPUTED_VALUE"""),"Vegetables")</f>
        <v>Vegetables</v>
      </c>
      <c r="D700">
        <f>IFERROR(__xludf.DUMMYFUNCTION("""COMPUTED_VALUE"""),34.0)</f>
        <v>34</v>
      </c>
      <c r="E700">
        <f>IFERROR(__xludf.DUMMYFUNCTION("""COMPUTED_VALUE"""),0.4)</f>
        <v>0.4</v>
      </c>
      <c r="F700">
        <f>IFERROR(__xludf.DUMMYFUNCTION("""COMPUTED_VALUE"""),4.55)</f>
        <v>4.55</v>
      </c>
      <c r="G700">
        <f>IFERROR(__xludf.DUMMYFUNCTION("""COMPUTED_VALUE"""),5.54)</f>
        <v>5.54</v>
      </c>
    </row>
    <row r="701">
      <c r="A701">
        <f>IFERROR(__xludf.DUMMYFUNCTION("""COMPUTED_VALUE"""),169694.0)</f>
        <v>169694</v>
      </c>
      <c r="B701" t="str">
        <f>IFERROR(__xludf.DUMMYFUNCTION("""COMPUTED_VALUE"""),"Corn Flour Masa Enriched White")</f>
        <v>Corn Flour Masa Enriched White</v>
      </c>
      <c r="C701" t="str">
        <f>IFERROR(__xludf.DUMMYFUNCTION("""COMPUTED_VALUE"""),"Grains and Pasta")</f>
        <v>Grains and Pasta</v>
      </c>
      <c r="D701">
        <f>IFERROR(__xludf.DUMMYFUNCTION("""COMPUTED_VALUE"""),363.0)</f>
        <v>363</v>
      </c>
      <c r="E701">
        <f>IFERROR(__xludf.DUMMYFUNCTION("""COMPUTED_VALUE"""),3.69)</f>
        <v>3.69</v>
      </c>
      <c r="F701">
        <f>IFERROR(__xludf.DUMMYFUNCTION("""COMPUTED_VALUE"""),8.46)</f>
        <v>8.46</v>
      </c>
      <c r="G701">
        <f>IFERROR(__xludf.DUMMYFUNCTION("""COMPUTED_VALUE"""),76.59)</f>
        <v>76.59</v>
      </c>
    </row>
    <row r="702">
      <c r="A702">
        <f>IFERROR(__xludf.DUMMYFUNCTION("""COMPUTED_VALUE"""),169695.0)</f>
        <v>169695</v>
      </c>
      <c r="B702" t="str">
        <f>IFERROR(__xludf.DUMMYFUNCTION("""COMPUTED_VALUE"""),"Corn Flour Yellow Degermed Unenriched")</f>
        <v>Corn Flour Yellow Degermed Unenriched</v>
      </c>
      <c r="C702" t="str">
        <f>IFERROR(__xludf.DUMMYFUNCTION("""COMPUTED_VALUE"""),"Grains and Pasta")</f>
        <v>Grains and Pasta</v>
      </c>
      <c r="D702">
        <f>IFERROR(__xludf.DUMMYFUNCTION("""COMPUTED_VALUE"""),375.0)</f>
        <v>375</v>
      </c>
      <c r="E702">
        <f>IFERROR(__xludf.DUMMYFUNCTION("""COMPUTED_VALUE"""),1.39)</f>
        <v>1.39</v>
      </c>
      <c r="F702">
        <f>IFERROR(__xludf.DUMMYFUNCTION("""COMPUTED_VALUE"""),5.59)</f>
        <v>5.59</v>
      </c>
      <c r="G702">
        <f>IFERROR(__xludf.DUMMYFUNCTION("""COMPUTED_VALUE"""),82.75)</f>
        <v>82.75</v>
      </c>
    </row>
    <row r="703">
      <c r="A703">
        <f>IFERROR(__xludf.DUMMYFUNCTION("""COMPUTED_VALUE"""),169696.0)</f>
        <v>169696</v>
      </c>
      <c r="B703" t="str">
        <f>IFERROR(__xludf.DUMMYFUNCTION("""COMPUTED_VALUE"""),"Corn Flour Masa Unenriched White")</f>
        <v>Corn Flour Masa Unenriched White</v>
      </c>
      <c r="C703" t="str">
        <f>IFERROR(__xludf.DUMMYFUNCTION("""COMPUTED_VALUE"""),"Grains and Pasta")</f>
        <v>Grains and Pasta</v>
      </c>
      <c r="D703">
        <f>IFERROR(__xludf.DUMMYFUNCTION("""COMPUTED_VALUE"""),363.0)</f>
        <v>363</v>
      </c>
      <c r="E703">
        <f>IFERROR(__xludf.DUMMYFUNCTION("""COMPUTED_VALUE"""),3.69)</f>
        <v>3.69</v>
      </c>
      <c r="F703">
        <f>IFERROR(__xludf.DUMMYFUNCTION("""COMPUTED_VALUE"""),8.46)</f>
        <v>8.46</v>
      </c>
      <c r="G703">
        <f>IFERROR(__xludf.DUMMYFUNCTION("""COMPUTED_VALUE"""),76.59)</f>
        <v>76.59</v>
      </c>
    </row>
    <row r="704">
      <c r="A704">
        <f>IFERROR(__xludf.DUMMYFUNCTION("""COMPUTED_VALUE"""),169697.0)</f>
        <v>169697</v>
      </c>
      <c r="B704" t="str">
        <f>IFERROR(__xludf.DUMMYFUNCTION("""COMPUTED_VALUE"""),"Uncooked Yellow Cornmeal")</f>
        <v>Uncooked Yellow Cornmeal</v>
      </c>
      <c r="C704" t="str">
        <f>IFERROR(__xludf.DUMMYFUNCTION("""COMPUTED_VALUE"""),"Grains and Pasta")</f>
        <v>Grains and Pasta</v>
      </c>
      <c r="D704">
        <f>IFERROR(__xludf.DUMMYFUNCTION("""COMPUTED_VALUE"""),362.0)</f>
        <v>362</v>
      </c>
      <c r="E704">
        <f>IFERROR(__xludf.DUMMYFUNCTION("""COMPUTED_VALUE"""),3.59)</f>
        <v>3.59</v>
      </c>
      <c r="F704">
        <f>IFERROR(__xludf.DUMMYFUNCTION("""COMPUTED_VALUE"""),8.12)</f>
        <v>8.12</v>
      </c>
      <c r="G704">
        <f>IFERROR(__xludf.DUMMYFUNCTION("""COMPUTED_VALUE"""),76.89)</f>
        <v>76.89</v>
      </c>
    </row>
    <row r="705">
      <c r="A705">
        <f>IFERROR(__xludf.DUMMYFUNCTION("""COMPUTED_VALUE"""),169698.0)</f>
        <v>169698</v>
      </c>
      <c r="B705" t="str">
        <f>IFERROR(__xludf.DUMMYFUNCTION("""COMPUTED_VALUE"""),"Cornstarch")</f>
        <v>Cornstarch</v>
      </c>
      <c r="C705" t="str">
        <f>IFERROR(__xludf.DUMMYFUNCTION("""COMPUTED_VALUE"""),"Grains and Pasta")</f>
        <v>Grains and Pasta</v>
      </c>
      <c r="D705">
        <f>IFERROR(__xludf.DUMMYFUNCTION("""COMPUTED_VALUE"""),381.0)</f>
        <v>381</v>
      </c>
      <c r="E705">
        <f>IFERROR(__xludf.DUMMYFUNCTION("""COMPUTED_VALUE"""),0.05)</f>
        <v>0.05</v>
      </c>
      <c r="F705">
        <f>IFERROR(__xludf.DUMMYFUNCTION("""COMPUTED_VALUE"""),0.26)</f>
        <v>0.26</v>
      </c>
      <c r="G705">
        <f>IFERROR(__xludf.DUMMYFUNCTION("""COMPUTED_VALUE"""),91.27)</f>
        <v>91.27</v>
      </c>
    </row>
    <row r="706">
      <c r="A706">
        <f>IFERROR(__xludf.DUMMYFUNCTION("""COMPUTED_VALUE"""),169699.0)</f>
        <v>169699</v>
      </c>
      <c r="B706" t="str">
        <f>IFERROR(__xludf.DUMMYFUNCTION("""COMPUTED_VALUE"""),"Couscous Dry")</f>
        <v>Couscous Dry</v>
      </c>
      <c r="C706" t="str">
        <f>IFERROR(__xludf.DUMMYFUNCTION("""COMPUTED_VALUE"""),"Grains and Pasta")</f>
        <v>Grains and Pasta</v>
      </c>
      <c r="D706">
        <f>IFERROR(__xludf.DUMMYFUNCTION("""COMPUTED_VALUE"""),376.0)</f>
        <v>376</v>
      </c>
      <c r="E706">
        <f>IFERROR(__xludf.DUMMYFUNCTION("""COMPUTED_VALUE"""),0.64)</f>
        <v>0.64</v>
      </c>
      <c r="F706">
        <f>IFERROR(__xludf.DUMMYFUNCTION("""COMPUTED_VALUE"""),12.76)</f>
        <v>12.76</v>
      </c>
      <c r="G706">
        <f>IFERROR(__xludf.DUMMYFUNCTION("""COMPUTED_VALUE"""),77.43)</f>
        <v>77.43</v>
      </c>
    </row>
    <row r="707">
      <c r="A707">
        <f>IFERROR(__xludf.DUMMYFUNCTION("""COMPUTED_VALUE"""),169700.0)</f>
        <v>169700</v>
      </c>
      <c r="B707" t="str">
        <f>IFERROR(__xludf.DUMMYFUNCTION("""COMPUTED_VALUE"""),"Cooked Couscous")</f>
        <v>Cooked Couscous</v>
      </c>
      <c r="C707" t="str">
        <f>IFERROR(__xludf.DUMMYFUNCTION("""COMPUTED_VALUE"""),"Grains and Pasta")</f>
        <v>Grains and Pasta</v>
      </c>
      <c r="D707">
        <f>IFERROR(__xludf.DUMMYFUNCTION("""COMPUTED_VALUE"""),112.0)</f>
        <v>112</v>
      </c>
      <c r="E707">
        <f>IFERROR(__xludf.DUMMYFUNCTION("""COMPUTED_VALUE"""),0.16)</f>
        <v>0.16</v>
      </c>
      <c r="F707">
        <f>IFERROR(__xludf.DUMMYFUNCTION("""COMPUTED_VALUE"""),3.79)</f>
        <v>3.79</v>
      </c>
      <c r="G707">
        <f>IFERROR(__xludf.DUMMYFUNCTION("""COMPUTED_VALUE"""),23.22)</f>
        <v>23.22</v>
      </c>
    </row>
    <row r="708">
      <c r="A708">
        <f>IFERROR(__xludf.DUMMYFUNCTION("""COMPUTED_VALUE"""),169701.0)</f>
        <v>169701</v>
      </c>
      <c r="B708" t="str">
        <f>IFERROR(__xludf.DUMMYFUNCTION("""COMPUTED_VALUE"""),"Canned Hominy")</f>
        <v>Canned Hominy</v>
      </c>
      <c r="C708" t="str">
        <f>IFERROR(__xludf.DUMMYFUNCTION("""COMPUTED_VALUE"""),"Grains and Pasta")</f>
        <v>Grains and Pasta</v>
      </c>
      <c r="D708">
        <f>IFERROR(__xludf.DUMMYFUNCTION("""COMPUTED_VALUE"""),72.0)</f>
        <v>72</v>
      </c>
      <c r="E708">
        <f>IFERROR(__xludf.DUMMYFUNCTION("""COMPUTED_VALUE"""),0.88)</f>
        <v>0.88</v>
      </c>
      <c r="F708">
        <f>IFERROR(__xludf.DUMMYFUNCTION("""COMPUTED_VALUE"""),1.48)</f>
        <v>1.48</v>
      </c>
      <c r="G708">
        <f>IFERROR(__xludf.DUMMYFUNCTION("""COMPUTED_VALUE"""),14.26)</f>
        <v>14.26</v>
      </c>
    </row>
    <row r="709">
      <c r="A709">
        <f>IFERROR(__xludf.DUMMYFUNCTION("""COMPUTED_VALUE"""),169702.0)</f>
        <v>169702</v>
      </c>
      <c r="B709" t="str">
        <f>IFERROR(__xludf.DUMMYFUNCTION("""COMPUTED_VALUE"""),"Millet Raw")</f>
        <v>Millet Raw</v>
      </c>
      <c r="C709" t="str">
        <f>IFERROR(__xludf.DUMMYFUNCTION("""COMPUTED_VALUE"""),"Grains and Pasta")</f>
        <v>Grains and Pasta</v>
      </c>
      <c r="D709">
        <f>IFERROR(__xludf.DUMMYFUNCTION("""COMPUTED_VALUE"""),378.0)</f>
        <v>378</v>
      </c>
      <c r="E709">
        <f>IFERROR(__xludf.DUMMYFUNCTION("""COMPUTED_VALUE"""),4.22)</f>
        <v>4.22</v>
      </c>
      <c r="F709">
        <f>IFERROR(__xludf.DUMMYFUNCTION("""COMPUTED_VALUE"""),11.02)</f>
        <v>11.02</v>
      </c>
      <c r="G709">
        <f>IFERROR(__xludf.DUMMYFUNCTION("""COMPUTED_VALUE"""),72.85)</f>
        <v>72.85</v>
      </c>
    </row>
    <row r="710">
      <c r="A710">
        <f>IFERROR(__xludf.DUMMYFUNCTION("""COMPUTED_VALUE"""),169703.0)</f>
        <v>169703</v>
      </c>
      <c r="B710" t="str">
        <f>IFERROR(__xludf.DUMMYFUNCTION("""COMPUTED_VALUE"""),"Rice Brown Long-Grain Raw")</f>
        <v>Rice Brown Long-Grain Raw</v>
      </c>
      <c r="C710" t="str">
        <f>IFERROR(__xludf.DUMMYFUNCTION("""COMPUTED_VALUE"""),"Grains and Pasta")</f>
        <v>Grains and Pasta</v>
      </c>
      <c r="D710">
        <f>IFERROR(__xludf.DUMMYFUNCTION("""COMPUTED_VALUE"""),367.0)</f>
        <v>367</v>
      </c>
      <c r="E710">
        <f>IFERROR(__xludf.DUMMYFUNCTION("""COMPUTED_VALUE"""),3.2)</f>
        <v>3.2</v>
      </c>
      <c r="F710">
        <f>IFERROR(__xludf.DUMMYFUNCTION("""COMPUTED_VALUE"""),7.54)</f>
        <v>7.54</v>
      </c>
      <c r="G710">
        <f>IFERROR(__xludf.DUMMYFUNCTION("""COMPUTED_VALUE"""),76.25)</f>
        <v>76.25</v>
      </c>
    </row>
    <row r="711">
      <c r="A711">
        <f>IFERROR(__xludf.DUMMYFUNCTION("""COMPUTED_VALUE"""),169704.0)</f>
        <v>169704</v>
      </c>
      <c r="B711" t="str">
        <f>IFERROR(__xludf.DUMMYFUNCTION("""COMPUTED_VALUE"""),"Brown Rice")</f>
        <v>Brown Rice</v>
      </c>
      <c r="C711" t="str">
        <f>IFERROR(__xludf.DUMMYFUNCTION("""COMPUTED_VALUE"""),"Grains and Pasta")</f>
        <v>Grains and Pasta</v>
      </c>
      <c r="D711">
        <f>IFERROR(__xludf.DUMMYFUNCTION("""COMPUTED_VALUE"""),123.0)</f>
        <v>123</v>
      </c>
      <c r="E711">
        <f>IFERROR(__xludf.DUMMYFUNCTION("""COMPUTED_VALUE"""),0.97)</f>
        <v>0.97</v>
      </c>
      <c r="F711">
        <f>IFERROR(__xludf.DUMMYFUNCTION("""COMPUTED_VALUE"""),2.74)</f>
        <v>2.74</v>
      </c>
      <c r="G711">
        <f>IFERROR(__xludf.DUMMYFUNCTION("""COMPUTED_VALUE"""),25.58)</f>
        <v>25.58</v>
      </c>
    </row>
    <row r="712">
      <c r="A712">
        <f>IFERROR(__xludf.DUMMYFUNCTION("""COMPUTED_VALUE"""),169705.0)</f>
        <v>169705</v>
      </c>
      <c r="B712" t="str">
        <f>IFERROR(__xludf.DUMMYFUNCTION("""COMPUTED_VALUE"""),"Uncooked Oats")</f>
        <v>Uncooked Oats</v>
      </c>
      <c r="C712" t="str">
        <f>IFERROR(__xludf.DUMMYFUNCTION("""COMPUTED_VALUE"""),"Grains and Pasta")</f>
        <v>Grains and Pasta</v>
      </c>
      <c r="D712">
        <f>IFERROR(__xludf.DUMMYFUNCTION("""COMPUTED_VALUE"""),389.0)</f>
        <v>389</v>
      </c>
      <c r="E712">
        <f>IFERROR(__xludf.DUMMYFUNCTION("""COMPUTED_VALUE"""),6.9)</f>
        <v>6.9</v>
      </c>
      <c r="F712">
        <f>IFERROR(__xludf.DUMMYFUNCTION("""COMPUTED_VALUE"""),16.89)</f>
        <v>16.89</v>
      </c>
      <c r="G712">
        <f>IFERROR(__xludf.DUMMYFUNCTION("""COMPUTED_VALUE"""),66.27)</f>
        <v>66.27</v>
      </c>
    </row>
    <row r="713">
      <c r="A713">
        <f>IFERROR(__xludf.DUMMYFUNCTION("""COMPUTED_VALUE"""),169706.0)</f>
        <v>169706</v>
      </c>
      <c r="B713" t="str">
        <f>IFERROR(__xludf.DUMMYFUNCTION("""COMPUTED_VALUE"""),"Rice Brown Medium-Grain Raw")</f>
        <v>Rice Brown Medium-Grain Raw</v>
      </c>
      <c r="C713" t="str">
        <f>IFERROR(__xludf.DUMMYFUNCTION("""COMPUTED_VALUE"""),"Grains and Pasta")</f>
        <v>Grains and Pasta</v>
      </c>
      <c r="D713">
        <f>IFERROR(__xludf.DUMMYFUNCTION("""COMPUTED_VALUE"""),362.0)</f>
        <v>362</v>
      </c>
      <c r="E713">
        <f>IFERROR(__xludf.DUMMYFUNCTION("""COMPUTED_VALUE"""),2.68)</f>
        <v>2.68</v>
      </c>
      <c r="F713">
        <f>IFERROR(__xludf.DUMMYFUNCTION("""COMPUTED_VALUE"""),7.5)</f>
        <v>7.5</v>
      </c>
      <c r="G713">
        <f>IFERROR(__xludf.DUMMYFUNCTION("""COMPUTED_VALUE"""),76.17)</f>
        <v>76.17</v>
      </c>
    </row>
    <row r="714">
      <c r="A714">
        <f>IFERROR(__xludf.DUMMYFUNCTION("""COMPUTED_VALUE"""),169707.0)</f>
        <v>169707</v>
      </c>
      <c r="B714" t="str">
        <f>IFERROR(__xludf.DUMMYFUNCTION("""COMPUTED_VALUE"""),"Rice White Long-Grain Parboiled Enriched Dry")</f>
        <v>Rice White Long-Grain Parboiled Enriched Dry</v>
      </c>
      <c r="C714" t="str">
        <f>IFERROR(__xludf.DUMMYFUNCTION("""COMPUTED_VALUE"""),"Grains and Pasta")</f>
        <v>Grains and Pasta</v>
      </c>
      <c r="D714">
        <f>IFERROR(__xludf.DUMMYFUNCTION("""COMPUTED_VALUE"""),374.0)</f>
        <v>374</v>
      </c>
      <c r="E714">
        <f>IFERROR(__xludf.DUMMYFUNCTION("""COMPUTED_VALUE"""),1.03)</f>
        <v>1.03</v>
      </c>
      <c r="F714">
        <f>IFERROR(__xludf.DUMMYFUNCTION("""COMPUTED_VALUE"""),7.51)</f>
        <v>7.51</v>
      </c>
      <c r="G714">
        <f>IFERROR(__xludf.DUMMYFUNCTION("""COMPUTED_VALUE"""),80.89)</f>
        <v>80.89</v>
      </c>
    </row>
    <row r="715">
      <c r="A715">
        <f>IFERROR(__xludf.DUMMYFUNCTION("""COMPUTED_VALUE"""),169708.0)</f>
        <v>169708</v>
      </c>
      <c r="B715" t="str">
        <f>IFERROR(__xludf.DUMMYFUNCTION("""COMPUTED_VALUE"""),"Rice White Long-Grain Parboiled Enriched Cooked")</f>
        <v>Rice White Long-Grain Parboiled Enriched Cooked</v>
      </c>
      <c r="C715" t="str">
        <f>IFERROR(__xludf.DUMMYFUNCTION("""COMPUTED_VALUE"""),"Grains and Pasta")</f>
        <v>Grains and Pasta</v>
      </c>
      <c r="D715">
        <f>IFERROR(__xludf.DUMMYFUNCTION("""COMPUTED_VALUE"""),123.0)</f>
        <v>123</v>
      </c>
      <c r="E715">
        <f>IFERROR(__xludf.DUMMYFUNCTION("""COMPUTED_VALUE"""),0.37)</f>
        <v>0.37</v>
      </c>
      <c r="F715">
        <f>IFERROR(__xludf.DUMMYFUNCTION("""COMPUTED_VALUE"""),2.91)</f>
        <v>2.91</v>
      </c>
      <c r="G715">
        <f>IFERROR(__xludf.DUMMYFUNCTION("""COMPUTED_VALUE"""),26.05)</f>
        <v>26.05</v>
      </c>
    </row>
    <row r="716">
      <c r="A716">
        <f>IFERROR(__xludf.DUMMYFUNCTION("""COMPUTED_VALUE"""),169709.0)</f>
        <v>169709</v>
      </c>
      <c r="B716" t="str">
        <f>IFERROR(__xludf.DUMMYFUNCTION("""COMPUTED_VALUE"""),"Rice White Long-Grain Precooked Or Instant Enriched Dry")</f>
        <v>Rice White Long-Grain Precooked Or Instant Enriched Dry</v>
      </c>
      <c r="C716" t="str">
        <f>IFERROR(__xludf.DUMMYFUNCTION("""COMPUTED_VALUE"""),"Grains and Pasta")</f>
        <v>Grains and Pasta</v>
      </c>
      <c r="D716">
        <f>IFERROR(__xludf.DUMMYFUNCTION("""COMPUTED_VALUE"""),380.0)</f>
        <v>380</v>
      </c>
      <c r="E716">
        <f>IFERROR(__xludf.DUMMYFUNCTION("""COMPUTED_VALUE"""),0.94)</f>
        <v>0.94</v>
      </c>
      <c r="F716">
        <f>IFERROR(__xludf.DUMMYFUNCTION("""COMPUTED_VALUE"""),7.82)</f>
        <v>7.82</v>
      </c>
      <c r="G716">
        <f>IFERROR(__xludf.DUMMYFUNCTION("""COMPUTED_VALUE"""),82.32)</f>
        <v>82.32</v>
      </c>
    </row>
    <row r="717">
      <c r="A717">
        <f>IFERROR(__xludf.DUMMYFUNCTION("""COMPUTED_VALUE"""),169710.0)</f>
        <v>169710</v>
      </c>
      <c r="B717" t="str">
        <f>IFERROR(__xludf.DUMMYFUNCTION("""COMPUTED_VALUE"""),"Rice White Long-Grain Precooked Or Instant Enriched Prepared")</f>
        <v>Rice White Long-Grain Precooked Or Instant Enriched Prepared</v>
      </c>
      <c r="C717" t="str">
        <f>IFERROR(__xludf.DUMMYFUNCTION("""COMPUTED_VALUE"""),"Grains and Pasta")</f>
        <v>Grains and Pasta</v>
      </c>
      <c r="D717">
        <f>IFERROR(__xludf.DUMMYFUNCTION("""COMPUTED_VALUE"""),124.0)</f>
        <v>124</v>
      </c>
      <c r="E717">
        <f>IFERROR(__xludf.DUMMYFUNCTION("""COMPUTED_VALUE"""),0.5)</f>
        <v>0.5</v>
      </c>
      <c r="F717">
        <f>IFERROR(__xludf.DUMMYFUNCTION("""COMPUTED_VALUE"""),2.18)</f>
        <v>2.18</v>
      </c>
      <c r="G717">
        <f>IFERROR(__xludf.DUMMYFUNCTION("""COMPUTED_VALUE"""),26.76)</f>
        <v>26.76</v>
      </c>
    </row>
    <row r="718">
      <c r="A718">
        <f>IFERROR(__xludf.DUMMYFUNCTION("""COMPUTED_VALUE"""),169711.0)</f>
        <v>169711</v>
      </c>
      <c r="B718" t="str">
        <f>IFERROR(__xludf.DUMMYFUNCTION("""COMPUTED_VALUE"""),"Rice White Glutinous Unenriched Cooked")</f>
        <v>Rice White Glutinous Unenriched Cooked</v>
      </c>
      <c r="C718" t="str">
        <f>IFERROR(__xludf.DUMMYFUNCTION("""COMPUTED_VALUE"""),"Grains and Pasta")</f>
        <v>Grains and Pasta</v>
      </c>
      <c r="D718">
        <f>IFERROR(__xludf.DUMMYFUNCTION("""COMPUTED_VALUE"""),97.0)</f>
        <v>97</v>
      </c>
      <c r="E718">
        <f>IFERROR(__xludf.DUMMYFUNCTION("""COMPUTED_VALUE"""),0.19)</f>
        <v>0.19</v>
      </c>
      <c r="F718">
        <f>IFERROR(__xludf.DUMMYFUNCTION("""COMPUTED_VALUE"""),2.02)</f>
        <v>2.02</v>
      </c>
      <c r="G718">
        <f>IFERROR(__xludf.DUMMYFUNCTION("""COMPUTED_VALUE"""),21.09)</f>
        <v>21.09</v>
      </c>
    </row>
    <row r="719">
      <c r="A719">
        <f>IFERROR(__xludf.DUMMYFUNCTION("""COMPUTED_VALUE"""),169712.0)</f>
        <v>169712</v>
      </c>
      <c r="B719" t="str">
        <f>IFERROR(__xludf.DUMMYFUNCTION("""COMPUTED_VALUE"""),"Rice White Steamed Chinese Restaurant")</f>
        <v>Rice White Steamed Chinese Restaurant</v>
      </c>
      <c r="C719" t="str">
        <f>IFERROR(__xludf.DUMMYFUNCTION("""COMPUTED_VALUE"""),"Grains and Pasta")</f>
        <v>Grains and Pasta</v>
      </c>
      <c r="D719">
        <f>IFERROR(__xludf.DUMMYFUNCTION("""COMPUTED_VALUE"""),151.0)</f>
        <v>151</v>
      </c>
      <c r="E719">
        <f>IFERROR(__xludf.DUMMYFUNCTION("""COMPUTED_VALUE"""),0.27)</f>
        <v>0.27</v>
      </c>
      <c r="F719">
        <f>IFERROR(__xludf.DUMMYFUNCTION("""COMPUTED_VALUE"""),3.2)</f>
        <v>3.2</v>
      </c>
      <c r="G719">
        <f>IFERROR(__xludf.DUMMYFUNCTION("""COMPUTED_VALUE"""),33.88)</f>
        <v>33.88</v>
      </c>
    </row>
    <row r="720">
      <c r="A720">
        <f>IFERROR(__xludf.DUMMYFUNCTION("""COMPUTED_VALUE"""),169713.0)</f>
        <v>169713</v>
      </c>
      <c r="B720" t="str">
        <f>IFERROR(__xludf.DUMMYFUNCTION("""COMPUTED_VALUE"""),"Rice Bran")</f>
        <v>Rice Bran</v>
      </c>
      <c r="C720" t="str">
        <f>IFERROR(__xludf.DUMMYFUNCTION("""COMPUTED_VALUE"""),"Grains and Pasta")</f>
        <v>Grains and Pasta</v>
      </c>
      <c r="D720">
        <f>IFERROR(__xludf.DUMMYFUNCTION("""COMPUTED_VALUE"""),316.0)</f>
        <v>316</v>
      </c>
      <c r="E720">
        <f>IFERROR(__xludf.DUMMYFUNCTION("""COMPUTED_VALUE"""),20.85)</f>
        <v>20.85</v>
      </c>
      <c r="F720">
        <f>IFERROR(__xludf.DUMMYFUNCTION("""COMPUTED_VALUE"""),13.35)</f>
        <v>13.35</v>
      </c>
      <c r="G720">
        <f>IFERROR(__xludf.DUMMYFUNCTION("""COMPUTED_VALUE"""),49.69)</f>
        <v>49.69</v>
      </c>
    </row>
    <row r="721">
      <c r="A721">
        <f>IFERROR(__xludf.DUMMYFUNCTION("""COMPUTED_VALUE"""),169714.0)</f>
        <v>169714</v>
      </c>
      <c r="B721" t="str">
        <f>IFERROR(__xludf.DUMMYFUNCTION("""COMPUTED_VALUE"""),"Rice Flour White Unenriched")</f>
        <v>Rice Flour White Unenriched</v>
      </c>
      <c r="C721" t="str">
        <f>IFERROR(__xludf.DUMMYFUNCTION("""COMPUTED_VALUE"""),"Grains and Pasta")</f>
        <v>Grains and Pasta</v>
      </c>
      <c r="D721">
        <f>IFERROR(__xludf.DUMMYFUNCTION("""COMPUTED_VALUE"""),366.0)</f>
        <v>366</v>
      </c>
      <c r="E721">
        <f>IFERROR(__xludf.DUMMYFUNCTION("""COMPUTED_VALUE"""),1.42)</f>
        <v>1.42</v>
      </c>
      <c r="F721">
        <f>IFERROR(__xludf.DUMMYFUNCTION("""COMPUTED_VALUE"""),5.95)</f>
        <v>5.95</v>
      </c>
      <c r="G721">
        <f>IFERROR(__xludf.DUMMYFUNCTION("""COMPUTED_VALUE"""),80.13)</f>
        <v>80.13</v>
      </c>
    </row>
    <row r="722">
      <c r="A722">
        <f>IFERROR(__xludf.DUMMYFUNCTION("""COMPUTED_VALUE"""),169715.0)</f>
        <v>169715</v>
      </c>
      <c r="B722" t="str">
        <f>IFERROR(__xludf.DUMMYFUNCTION("""COMPUTED_VALUE"""),"Semolina Enriched")</f>
        <v>Semolina Enriched</v>
      </c>
      <c r="C722" t="str">
        <f>IFERROR(__xludf.DUMMYFUNCTION("""COMPUTED_VALUE"""),"Grains and Pasta")</f>
        <v>Grains and Pasta</v>
      </c>
      <c r="D722">
        <f>IFERROR(__xludf.DUMMYFUNCTION("""COMPUTED_VALUE"""),360.0)</f>
        <v>360</v>
      </c>
      <c r="E722">
        <f>IFERROR(__xludf.DUMMYFUNCTION("""COMPUTED_VALUE"""),1.05)</f>
        <v>1.05</v>
      </c>
      <c r="F722">
        <f>IFERROR(__xludf.DUMMYFUNCTION("""COMPUTED_VALUE"""),12.68)</f>
        <v>12.68</v>
      </c>
      <c r="G722">
        <f>IFERROR(__xludf.DUMMYFUNCTION("""COMPUTED_VALUE"""),72.83)</f>
        <v>72.83</v>
      </c>
    </row>
    <row r="723">
      <c r="A723">
        <f>IFERROR(__xludf.DUMMYFUNCTION("""COMPUTED_VALUE"""),169716.0)</f>
        <v>169716</v>
      </c>
      <c r="B723" t="str">
        <f>IFERROR(__xludf.DUMMYFUNCTION("""COMPUTED_VALUE"""),"Sorghum Grain")</f>
        <v>Sorghum Grain</v>
      </c>
      <c r="C723" t="str">
        <f>IFERROR(__xludf.DUMMYFUNCTION("""COMPUTED_VALUE"""),"Grains and Pasta")</f>
        <v>Grains and Pasta</v>
      </c>
      <c r="D723">
        <f>IFERROR(__xludf.DUMMYFUNCTION("""COMPUTED_VALUE"""),329.0)</f>
        <v>329</v>
      </c>
      <c r="E723">
        <f>IFERROR(__xludf.DUMMYFUNCTION("""COMPUTED_VALUE"""),3.46)</f>
        <v>3.46</v>
      </c>
      <c r="F723">
        <f>IFERROR(__xludf.DUMMYFUNCTION("""COMPUTED_VALUE"""),10.62)</f>
        <v>10.62</v>
      </c>
      <c r="G723">
        <f>IFERROR(__xludf.DUMMYFUNCTION("""COMPUTED_VALUE"""),72.09)</f>
        <v>72.09</v>
      </c>
    </row>
    <row r="724">
      <c r="A724">
        <f>IFERROR(__xludf.DUMMYFUNCTION("""COMPUTED_VALUE"""),169717.0)</f>
        <v>169717</v>
      </c>
      <c r="B724" t="str">
        <f>IFERROR(__xludf.DUMMYFUNCTION("""COMPUTED_VALUE"""),"Tapioca Pearl Dry")</f>
        <v>Tapioca Pearl Dry</v>
      </c>
      <c r="C724" t="str">
        <f>IFERROR(__xludf.DUMMYFUNCTION("""COMPUTED_VALUE"""),"Grains and Pasta")</f>
        <v>Grains and Pasta</v>
      </c>
      <c r="D724">
        <f>IFERROR(__xludf.DUMMYFUNCTION("""COMPUTED_VALUE"""),358.0)</f>
        <v>358</v>
      </c>
      <c r="E724">
        <f>IFERROR(__xludf.DUMMYFUNCTION("""COMPUTED_VALUE"""),0.02)</f>
        <v>0.02</v>
      </c>
      <c r="F724">
        <f>IFERROR(__xludf.DUMMYFUNCTION("""COMPUTED_VALUE"""),0.19)</f>
        <v>0.19</v>
      </c>
      <c r="G724">
        <f>IFERROR(__xludf.DUMMYFUNCTION("""COMPUTED_VALUE"""),88.69)</f>
        <v>88.69</v>
      </c>
    </row>
    <row r="725">
      <c r="A725">
        <f>IFERROR(__xludf.DUMMYFUNCTION("""COMPUTED_VALUE"""),169718.0)</f>
        <v>169718</v>
      </c>
      <c r="B725" t="str">
        <f>IFERROR(__xludf.DUMMYFUNCTION("""COMPUTED_VALUE"""),"Triticale")</f>
        <v>Triticale</v>
      </c>
      <c r="C725" t="str">
        <f>IFERROR(__xludf.DUMMYFUNCTION("""COMPUTED_VALUE"""),"Grains and Pasta")</f>
        <v>Grains and Pasta</v>
      </c>
      <c r="D725">
        <f>IFERROR(__xludf.DUMMYFUNCTION("""COMPUTED_VALUE"""),336.0)</f>
        <v>336</v>
      </c>
      <c r="E725">
        <f>IFERROR(__xludf.DUMMYFUNCTION("""COMPUTED_VALUE"""),2.09)</f>
        <v>2.09</v>
      </c>
      <c r="F725">
        <f>IFERROR(__xludf.DUMMYFUNCTION("""COMPUTED_VALUE"""),13.05)</f>
        <v>13.05</v>
      </c>
      <c r="G725">
        <f>IFERROR(__xludf.DUMMYFUNCTION("""COMPUTED_VALUE"""),72.13)</f>
        <v>72.13</v>
      </c>
    </row>
    <row r="726">
      <c r="A726">
        <f>IFERROR(__xludf.DUMMYFUNCTION("""COMPUTED_VALUE"""),169719.0)</f>
        <v>169719</v>
      </c>
      <c r="B726" t="str">
        <f>IFERROR(__xludf.DUMMYFUNCTION("""COMPUTED_VALUE"""),"Wheat Hard White")</f>
        <v>Wheat Hard White</v>
      </c>
      <c r="C726" t="str">
        <f>IFERROR(__xludf.DUMMYFUNCTION("""COMPUTED_VALUE"""),"Grains and Pasta")</f>
        <v>Grains and Pasta</v>
      </c>
      <c r="D726">
        <f>IFERROR(__xludf.DUMMYFUNCTION("""COMPUTED_VALUE"""),342.0)</f>
        <v>342</v>
      </c>
      <c r="E726">
        <f>IFERROR(__xludf.DUMMYFUNCTION("""COMPUTED_VALUE"""),1.71)</f>
        <v>1.71</v>
      </c>
      <c r="F726">
        <f>IFERROR(__xludf.DUMMYFUNCTION("""COMPUTED_VALUE"""),11.31)</f>
        <v>11.31</v>
      </c>
      <c r="G726">
        <f>IFERROR(__xludf.DUMMYFUNCTION("""COMPUTED_VALUE"""),75.9)</f>
        <v>75.9</v>
      </c>
    </row>
    <row r="727">
      <c r="A727">
        <f>IFERROR(__xludf.DUMMYFUNCTION("""COMPUTED_VALUE"""),169720.0)</f>
        <v>169720</v>
      </c>
      <c r="B727" t="str">
        <f>IFERROR(__xludf.DUMMYFUNCTION("""COMPUTED_VALUE"""),"Wheat Soft White")</f>
        <v>Wheat Soft White</v>
      </c>
      <c r="C727" t="str">
        <f>IFERROR(__xludf.DUMMYFUNCTION("""COMPUTED_VALUE"""),"Grains and Pasta")</f>
        <v>Grains and Pasta</v>
      </c>
      <c r="D727">
        <f>IFERROR(__xludf.DUMMYFUNCTION("""COMPUTED_VALUE"""),340.0)</f>
        <v>340</v>
      </c>
      <c r="E727">
        <f>IFERROR(__xludf.DUMMYFUNCTION("""COMPUTED_VALUE"""),1.99)</f>
        <v>1.99</v>
      </c>
      <c r="F727">
        <f>IFERROR(__xludf.DUMMYFUNCTION("""COMPUTED_VALUE"""),10.69)</f>
        <v>10.69</v>
      </c>
      <c r="G727">
        <f>IFERROR(__xludf.DUMMYFUNCTION("""COMPUTED_VALUE"""),75.36)</f>
        <v>75.36</v>
      </c>
    </row>
    <row r="728">
      <c r="A728">
        <f>IFERROR(__xludf.DUMMYFUNCTION("""COMPUTED_VALUE"""),169721.0)</f>
        <v>169721</v>
      </c>
      <c r="B728" t="str">
        <f>IFERROR(__xludf.DUMMYFUNCTION("""COMPUTED_VALUE"""),"Wheat Durum")</f>
        <v>Wheat Durum</v>
      </c>
      <c r="C728" t="str">
        <f>IFERROR(__xludf.DUMMYFUNCTION("""COMPUTED_VALUE"""),"Grains and Pasta")</f>
        <v>Grains and Pasta</v>
      </c>
      <c r="D728">
        <f>IFERROR(__xludf.DUMMYFUNCTION("""COMPUTED_VALUE"""),339.0)</f>
        <v>339</v>
      </c>
      <c r="E728">
        <f>IFERROR(__xludf.DUMMYFUNCTION("""COMPUTED_VALUE"""),2.47)</f>
        <v>2.47</v>
      </c>
      <c r="F728">
        <f>IFERROR(__xludf.DUMMYFUNCTION("""COMPUTED_VALUE"""),13.68)</f>
        <v>13.68</v>
      </c>
      <c r="G728">
        <f>IFERROR(__xludf.DUMMYFUNCTION("""COMPUTED_VALUE"""),71.13)</f>
        <v>71.13</v>
      </c>
    </row>
    <row r="729">
      <c r="A729">
        <f>IFERROR(__xludf.DUMMYFUNCTION("""COMPUTED_VALUE"""),169722.0)</f>
        <v>169722</v>
      </c>
      <c r="B729" t="str">
        <f>IFERROR(__xludf.DUMMYFUNCTION("""COMPUTED_VALUE"""),"Wheat Bran Crude")</f>
        <v>Wheat Bran Crude</v>
      </c>
      <c r="C729" t="str">
        <f>IFERROR(__xludf.DUMMYFUNCTION("""COMPUTED_VALUE"""),"Grains and Pasta")</f>
        <v>Grains and Pasta</v>
      </c>
      <c r="D729">
        <f>IFERROR(__xludf.DUMMYFUNCTION("""COMPUTED_VALUE"""),216.0)</f>
        <v>216</v>
      </c>
      <c r="E729">
        <f>IFERROR(__xludf.DUMMYFUNCTION("""COMPUTED_VALUE"""),4.25)</f>
        <v>4.25</v>
      </c>
      <c r="F729">
        <f>IFERROR(__xludf.DUMMYFUNCTION("""COMPUTED_VALUE"""),15.55)</f>
        <v>15.55</v>
      </c>
      <c r="G729">
        <f>IFERROR(__xludf.DUMMYFUNCTION("""COMPUTED_VALUE"""),64.51)</f>
        <v>64.51</v>
      </c>
    </row>
    <row r="730">
      <c r="A730">
        <f>IFERROR(__xludf.DUMMYFUNCTION("""COMPUTED_VALUE"""),169723.0)</f>
        <v>169723</v>
      </c>
      <c r="B730" t="str">
        <f>IFERROR(__xludf.DUMMYFUNCTION("""COMPUTED_VALUE"""),"Wheat Flour White Cake Enriched")</f>
        <v>Wheat Flour White Cake Enriched</v>
      </c>
      <c r="C730" t="str">
        <f>IFERROR(__xludf.DUMMYFUNCTION("""COMPUTED_VALUE"""),"Grains and Pasta")</f>
        <v>Grains and Pasta</v>
      </c>
      <c r="D730">
        <f>IFERROR(__xludf.DUMMYFUNCTION("""COMPUTED_VALUE"""),362.0)</f>
        <v>362</v>
      </c>
      <c r="E730">
        <f>IFERROR(__xludf.DUMMYFUNCTION("""COMPUTED_VALUE"""),0.86)</f>
        <v>0.86</v>
      </c>
      <c r="F730">
        <f>IFERROR(__xludf.DUMMYFUNCTION("""COMPUTED_VALUE"""),8.2)</f>
        <v>8.2</v>
      </c>
      <c r="G730">
        <f>IFERROR(__xludf.DUMMYFUNCTION("""COMPUTED_VALUE"""),78.03)</f>
        <v>78.03</v>
      </c>
    </row>
    <row r="731">
      <c r="A731">
        <f>IFERROR(__xludf.DUMMYFUNCTION("""COMPUTED_VALUE"""),169724.0)</f>
        <v>169724</v>
      </c>
      <c r="B731" t="str">
        <f>IFERROR(__xludf.DUMMYFUNCTION("""COMPUTED_VALUE"""),"Wheat Flour White Tortilla Mix Enriched")</f>
        <v>Wheat Flour White Tortilla Mix Enriched</v>
      </c>
      <c r="C731" t="str">
        <f>IFERROR(__xludf.DUMMYFUNCTION("""COMPUTED_VALUE"""),"Grains and Pasta")</f>
        <v>Grains and Pasta</v>
      </c>
      <c r="D731">
        <f>IFERROR(__xludf.DUMMYFUNCTION("""COMPUTED_VALUE"""),405.0)</f>
        <v>405</v>
      </c>
      <c r="E731">
        <f>IFERROR(__xludf.DUMMYFUNCTION("""COMPUTED_VALUE"""),10.63)</f>
        <v>10.63</v>
      </c>
      <c r="F731">
        <f>IFERROR(__xludf.DUMMYFUNCTION("""COMPUTED_VALUE"""),9.66)</f>
        <v>9.66</v>
      </c>
      <c r="G731">
        <f>IFERROR(__xludf.DUMMYFUNCTION("""COMPUTED_VALUE"""),67.14)</f>
        <v>67.14</v>
      </c>
    </row>
    <row r="732">
      <c r="A732">
        <f>IFERROR(__xludf.DUMMYFUNCTION("""COMPUTED_VALUE"""),169725.0)</f>
        <v>169725</v>
      </c>
      <c r="B732" t="str">
        <f>IFERROR(__xludf.DUMMYFUNCTION("""COMPUTED_VALUE"""),"Wheat Sprouted")</f>
        <v>Wheat Sprouted</v>
      </c>
      <c r="C732" t="str">
        <f>IFERROR(__xludf.DUMMYFUNCTION("""COMPUTED_VALUE"""),"Grains and Pasta")</f>
        <v>Grains and Pasta</v>
      </c>
      <c r="D732">
        <f>IFERROR(__xludf.DUMMYFUNCTION("""COMPUTED_VALUE"""),198.0)</f>
        <v>198</v>
      </c>
      <c r="E732">
        <f>IFERROR(__xludf.DUMMYFUNCTION("""COMPUTED_VALUE"""),1.27)</f>
        <v>1.27</v>
      </c>
      <c r="F732">
        <f>IFERROR(__xludf.DUMMYFUNCTION("""COMPUTED_VALUE"""),7.49)</f>
        <v>7.49</v>
      </c>
      <c r="G732">
        <f>IFERROR(__xludf.DUMMYFUNCTION("""COMPUTED_VALUE"""),42.53)</f>
        <v>42.53</v>
      </c>
    </row>
    <row r="733">
      <c r="A733">
        <f>IFERROR(__xludf.DUMMYFUNCTION("""COMPUTED_VALUE"""),169726.0)</f>
        <v>169726</v>
      </c>
      <c r="B733" t="str">
        <f>IFERROR(__xludf.DUMMYFUNCTION("""COMPUTED_VALUE"""),"Wild Rice Raw")</f>
        <v>Wild Rice Raw</v>
      </c>
      <c r="C733" t="str">
        <f>IFERROR(__xludf.DUMMYFUNCTION("""COMPUTED_VALUE"""),"Grains and Pasta")</f>
        <v>Grains and Pasta</v>
      </c>
      <c r="D733">
        <f>IFERROR(__xludf.DUMMYFUNCTION("""COMPUTED_VALUE"""),357.0)</f>
        <v>357</v>
      </c>
      <c r="E733">
        <f>IFERROR(__xludf.DUMMYFUNCTION("""COMPUTED_VALUE"""),1.08)</f>
        <v>1.08</v>
      </c>
      <c r="F733">
        <f>IFERROR(__xludf.DUMMYFUNCTION("""COMPUTED_VALUE"""),14.73)</f>
        <v>14.73</v>
      </c>
      <c r="G733">
        <f>IFERROR(__xludf.DUMMYFUNCTION("""COMPUTED_VALUE"""),74.9)</f>
        <v>74.9</v>
      </c>
    </row>
    <row r="734">
      <c r="A734">
        <f>IFERROR(__xludf.DUMMYFUNCTION("""COMPUTED_VALUE"""),169727.0)</f>
        <v>169727</v>
      </c>
      <c r="B734" t="str">
        <f>IFERROR(__xludf.DUMMYFUNCTION("""COMPUTED_VALUE"""),"Pasta Fresh-Refrigerated Plain As Purchased")</f>
        <v>Pasta Fresh-Refrigerated Plain As Purchased</v>
      </c>
      <c r="C734" t="str">
        <f>IFERROR(__xludf.DUMMYFUNCTION("""COMPUTED_VALUE"""),"Grains and Pasta")</f>
        <v>Grains and Pasta</v>
      </c>
      <c r="D734">
        <f>IFERROR(__xludf.DUMMYFUNCTION("""COMPUTED_VALUE"""),288.0)</f>
        <v>288</v>
      </c>
      <c r="E734">
        <f>IFERROR(__xludf.DUMMYFUNCTION("""COMPUTED_VALUE"""),2.3)</f>
        <v>2.3</v>
      </c>
      <c r="F734">
        <f>IFERROR(__xludf.DUMMYFUNCTION("""COMPUTED_VALUE"""),11.31)</f>
        <v>11.31</v>
      </c>
      <c r="G734">
        <f>IFERROR(__xludf.DUMMYFUNCTION("""COMPUTED_VALUE"""),54.73)</f>
        <v>54.73</v>
      </c>
    </row>
    <row r="735">
      <c r="A735">
        <f>IFERROR(__xludf.DUMMYFUNCTION("""COMPUTED_VALUE"""),169728.0)</f>
        <v>169728</v>
      </c>
      <c r="B735" t="str">
        <f>IFERROR(__xludf.DUMMYFUNCTION("""COMPUTED_VALUE"""),"Pasta Fresh-Refrigerated Plain Cooked")</f>
        <v>Pasta Fresh-Refrigerated Plain Cooked</v>
      </c>
      <c r="C735" t="str">
        <f>IFERROR(__xludf.DUMMYFUNCTION("""COMPUTED_VALUE"""),"Grains and Pasta")</f>
        <v>Grains and Pasta</v>
      </c>
      <c r="D735">
        <f>IFERROR(__xludf.DUMMYFUNCTION("""COMPUTED_VALUE"""),131.0)</f>
        <v>131</v>
      </c>
      <c r="E735">
        <f>IFERROR(__xludf.DUMMYFUNCTION("""COMPUTED_VALUE"""),1.05)</f>
        <v>1.05</v>
      </c>
      <c r="F735">
        <f>IFERROR(__xludf.DUMMYFUNCTION("""COMPUTED_VALUE"""),5.15)</f>
        <v>5.15</v>
      </c>
      <c r="G735">
        <f>IFERROR(__xludf.DUMMYFUNCTION("""COMPUTED_VALUE"""),24.93)</f>
        <v>24.93</v>
      </c>
    </row>
    <row r="736">
      <c r="A736">
        <f>IFERROR(__xludf.DUMMYFUNCTION("""COMPUTED_VALUE"""),169729.0)</f>
        <v>169729</v>
      </c>
      <c r="B736" t="str">
        <f>IFERROR(__xludf.DUMMYFUNCTION("""COMPUTED_VALUE"""),"Pasta Fresh-Refrigerated Spinach As Purchased")</f>
        <v>Pasta Fresh-Refrigerated Spinach As Purchased</v>
      </c>
      <c r="C736" t="str">
        <f>IFERROR(__xludf.DUMMYFUNCTION("""COMPUTED_VALUE"""),"Grains and Pasta")</f>
        <v>Grains and Pasta</v>
      </c>
      <c r="D736">
        <f>IFERROR(__xludf.DUMMYFUNCTION("""COMPUTED_VALUE"""),289.0)</f>
        <v>289</v>
      </c>
      <c r="E736">
        <f>IFERROR(__xludf.DUMMYFUNCTION("""COMPUTED_VALUE"""),2.1)</f>
        <v>2.1</v>
      </c>
      <c r="F736">
        <f>IFERROR(__xludf.DUMMYFUNCTION("""COMPUTED_VALUE"""),11.26)</f>
        <v>11.26</v>
      </c>
      <c r="G736">
        <f>IFERROR(__xludf.DUMMYFUNCTION("""COMPUTED_VALUE"""),55.72)</f>
        <v>55.72</v>
      </c>
    </row>
    <row r="737">
      <c r="A737">
        <f>IFERROR(__xludf.DUMMYFUNCTION("""COMPUTED_VALUE"""),169730.0)</f>
        <v>169730</v>
      </c>
      <c r="B737" t="str">
        <f>IFERROR(__xludf.DUMMYFUNCTION("""COMPUTED_VALUE"""),"Pasta Fresh-Refrigerated Spinach Cooked")</f>
        <v>Pasta Fresh-Refrigerated Spinach Cooked</v>
      </c>
      <c r="C737" t="str">
        <f>IFERROR(__xludf.DUMMYFUNCTION("""COMPUTED_VALUE"""),"Grains and Pasta")</f>
        <v>Grains and Pasta</v>
      </c>
      <c r="D737">
        <f>IFERROR(__xludf.DUMMYFUNCTION("""COMPUTED_VALUE"""),130.0)</f>
        <v>130</v>
      </c>
      <c r="E737">
        <f>IFERROR(__xludf.DUMMYFUNCTION("""COMPUTED_VALUE"""),0.94)</f>
        <v>0.94</v>
      </c>
      <c r="F737">
        <f>IFERROR(__xludf.DUMMYFUNCTION("""COMPUTED_VALUE"""),5.06)</f>
        <v>5.06</v>
      </c>
      <c r="G737">
        <f>IFERROR(__xludf.DUMMYFUNCTION("""COMPUTED_VALUE"""),25.04)</f>
        <v>25.04</v>
      </c>
    </row>
    <row r="738">
      <c r="A738">
        <f>IFERROR(__xludf.DUMMYFUNCTION("""COMPUTED_VALUE"""),169731.0)</f>
        <v>169731</v>
      </c>
      <c r="B738" t="str">
        <f>IFERROR(__xludf.DUMMYFUNCTION("""COMPUTED_VALUE"""),"Noodles Egg Dry Enriched")</f>
        <v>Noodles Egg Dry Enriched</v>
      </c>
      <c r="C738" t="str">
        <f>IFERROR(__xludf.DUMMYFUNCTION("""COMPUTED_VALUE"""),"Grains and Pasta")</f>
        <v>Grains and Pasta</v>
      </c>
      <c r="D738">
        <f>IFERROR(__xludf.DUMMYFUNCTION("""COMPUTED_VALUE"""),384.0)</f>
        <v>384</v>
      </c>
      <c r="E738">
        <f>IFERROR(__xludf.DUMMYFUNCTION("""COMPUTED_VALUE"""),4.44)</f>
        <v>4.44</v>
      </c>
      <c r="F738">
        <f>IFERROR(__xludf.DUMMYFUNCTION("""COMPUTED_VALUE"""),14.16)</f>
        <v>14.16</v>
      </c>
      <c r="G738">
        <f>IFERROR(__xludf.DUMMYFUNCTION("""COMPUTED_VALUE"""),71.27)</f>
        <v>71.27</v>
      </c>
    </row>
    <row r="739">
      <c r="A739">
        <f>IFERROR(__xludf.DUMMYFUNCTION("""COMPUTED_VALUE"""),169732.0)</f>
        <v>169732</v>
      </c>
      <c r="B739" t="str">
        <f>IFERROR(__xludf.DUMMYFUNCTION("""COMPUTED_VALUE"""),"Egg Noodles (Cooked)")</f>
        <v>Egg Noodles (Cooked)</v>
      </c>
      <c r="C739" t="str">
        <f>IFERROR(__xludf.DUMMYFUNCTION("""COMPUTED_VALUE"""),"Grains and Pasta")</f>
        <v>Grains and Pasta</v>
      </c>
      <c r="D739">
        <f>IFERROR(__xludf.DUMMYFUNCTION("""COMPUTED_VALUE"""),138.0)</f>
        <v>138</v>
      </c>
      <c r="E739">
        <f>IFERROR(__xludf.DUMMYFUNCTION("""COMPUTED_VALUE"""),2.07)</f>
        <v>2.07</v>
      </c>
      <c r="F739">
        <f>IFERROR(__xludf.DUMMYFUNCTION("""COMPUTED_VALUE"""),4.54)</f>
        <v>4.54</v>
      </c>
      <c r="G739">
        <f>IFERROR(__xludf.DUMMYFUNCTION("""COMPUTED_VALUE"""),25.16)</f>
        <v>25.16</v>
      </c>
    </row>
    <row r="740">
      <c r="A740">
        <f>IFERROR(__xludf.DUMMYFUNCTION("""COMPUTED_VALUE"""),169733.0)</f>
        <v>169733</v>
      </c>
      <c r="B740" t="str">
        <f>IFERROR(__xludf.DUMMYFUNCTION("""COMPUTED_VALUE"""),"Noodles Egg Spinach Enriched Dry")</f>
        <v>Noodles Egg Spinach Enriched Dry</v>
      </c>
      <c r="C740" t="str">
        <f>IFERROR(__xludf.DUMMYFUNCTION("""COMPUTED_VALUE"""),"Grains and Pasta")</f>
        <v>Grains and Pasta</v>
      </c>
      <c r="D740">
        <f>IFERROR(__xludf.DUMMYFUNCTION("""COMPUTED_VALUE"""),382.0)</f>
        <v>382</v>
      </c>
      <c r="E740">
        <f>IFERROR(__xludf.DUMMYFUNCTION("""COMPUTED_VALUE"""),4.55)</f>
        <v>4.55</v>
      </c>
      <c r="F740">
        <f>IFERROR(__xludf.DUMMYFUNCTION("""COMPUTED_VALUE"""),14.61)</f>
        <v>14.61</v>
      </c>
      <c r="G740">
        <f>IFERROR(__xludf.DUMMYFUNCTION("""COMPUTED_VALUE"""),70.32)</f>
        <v>70.32</v>
      </c>
    </row>
    <row r="741">
      <c r="A741">
        <f>IFERROR(__xludf.DUMMYFUNCTION("""COMPUTED_VALUE"""),169734.0)</f>
        <v>169734</v>
      </c>
      <c r="B741" t="str">
        <f>IFERROR(__xludf.DUMMYFUNCTION("""COMPUTED_VALUE"""),"Spinach Egg Noodles (Cooked)")</f>
        <v>Spinach Egg Noodles (Cooked)</v>
      </c>
      <c r="C741" t="str">
        <f>IFERROR(__xludf.DUMMYFUNCTION("""COMPUTED_VALUE"""),"Grains and Pasta")</f>
        <v>Grains and Pasta</v>
      </c>
      <c r="D741">
        <f>IFERROR(__xludf.DUMMYFUNCTION("""COMPUTED_VALUE"""),132.0)</f>
        <v>132</v>
      </c>
      <c r="E741">
        <f>IFERROR(__xludf.DUMMYFUNCTION("""COMPUTED_VALUE"""),1.57)</f>
        <v>1.57</v>
      </c>
      <c r="F741">
        <f>IFERROR(__xludf.DUMMYFUNCTION("""COMPUTED_VALUE"""),5.04)</f>
        <v>5.04</v>
      </c>
      <c r="G741">
        <f>IFERROR(__xludf.DUMMYFUNCTION("""COMPUTED_VALUE"""),24.25)</f>
        <v>24.25</v>
      </c>
    </row>
    <row r="742">
      <c r="A742">
        <f>IFERROR(__xludf.DUMMYFUNCTION("""COMPUTED_VALUE"""),169735.0)</f>
        <v>169735</v>
      </c>
      <c r="B742" t="str">
        <f>IFERROR(__xludf.DUMMYFUNCTION("""COMPUTED_VALUE"""),"Noodles Flat Crunchy Chinese Restaurant")</f>
        <v>Noodles Flat Crunchy Chinese Restaurant</v>
      </c>
      <c r="C742" t="str">
        <f>IFERROR(__xludf.DUMMYFUNCTION("""COMPUTED_VALUE"""),"Grains and Pasta")</f>
        <v>Grains and Pasta</v>
      </c>
      <c r="D742">
        <f>IFERROR(__xludf.DUMMYFUNCTION("""COMPUTED_VALUE"""),521.0)</f>
        <v>521</v>
      </c>
      <c r="E742">
        <f>IFERROR(__xludf.DUMMYFUNCTION("""COMPUTED_VALUE"""),31.72)</f>
        <v>31.72</v>
      </c>
      <c r="F742">
        <f>IFERROR(__xludf.DUMMYFUNCTION("""COMPUTED_VALUE"""),10.33)</f>
        <v>10.33</v>
      </c>
      <c r="G742">
        <f>IFERROR(__xludf.DUMMYFUNCTION("""COMPUTED_VALUE"""),51.9)</f>
        <v>51.9</v>
      </c>
    </row>
    <row r="743">
      <c r="A743">
        <f>IFERROR(__xludf.DUMMYFUNCTION("""COMPUTED_VALUE"""),169736.0)</f>
        <v>169736</v>
      </c>
      <c r="B743" t="str">
        <f>IFERROR(__xludf.DUMMYFUNCTION("""COMPUTED_VALUE"""),"Pasta Dry Enriched")</f>
        <v>Pasta Dry Enriched</v>
      </c>
      <c r="C743" t="str">
        <f>IFERROR(__xludf.DUMMYFUNCTION("""COMPUTED_VALUE"""),"Grains and Pasta")</f>
        <v>Grains and Pasta</v>
      </c>
      <c r="D743">
        <f>IFERROR(__xludf.DUMMYFUNCTION("""COMPUTED_VALUE"""),371.0)</f>
        <v>371</v>
      </c>
      <c r="E743">
        <f>IFERROR(__xludf.DUMMYFUNCTION("""COMPUTED_VALUE"""),1.51)</f>
        <v>1.51</v>
      </c>
      <c r="F743">
        <f>IFERROR(__xludf.DUMMYFUNCTION("""COMPUTED_VALUE"""),13.04)</f>
        <v>13.04</v>
      </c>
      <c r="G743">
        <f>IFERROR(__xludf.DUMMYFUNCTION("""COMPUTED_VALUE"""),74.67)</f>
        <v>74.67</v>
      </c>
    </row>
    <row r="744">
      <c r="A744">
        <f>IFERROR(__xludf.DUMMYFUNCTION("""COMPUTED_VALUE"""),169737.0)</f>
        <v>169737</v>
      </c>
      <c r="B744" t="str">
        <f>IFERROR(__xludf.DUMMYFUNCTION("""COMPUTED_VALUE"""),"Pasta Cooked Enriched Without Added Salt")</f>
        <v>Pasta Cooked Enriched Without Added Salt</v>
      </c>
      <c r="C744" t="str">
        <f>IFERROR(__xludf.DUMMYFUNCTION("""COMPUTED_VALUE"""),"Grains and Pasta")</f>
        <v>Grains and Pasta</v>
      </c>
      <c r="D744">
        <f>IFERROR(__xludf.DUMMYFUNCTION("""COMPUTED_VALUE"""),158.0)</f>
        <v>158</v>
      </c>
      <c r="E744">
        <f>IFERROR(__xludf.DUMMYFUNCTION("""COMPUTED_VALUE"""),0.93)</f>
        <v>0.93</v>
      </c>
      <c r="F744">
        <f>IFERROR(__xludf.DUMMYFUNCTION("""COMPUTED_VALUE"""),5.8)</f>
        <v>5.8</v>
      </c>
      <c r="G744">
        <f>IFERROR(__xludf.DUMMYFUNCTION("""COMPUTED_VALUE"""),30.86)</f>
        <v>30.86</v>
      </c>
    </row>
    <row r="745">
      <c r="A745">
        <f>IFERROR(__xludf.DUMMYFUNCTION("""COMPUTED_VALUE"""),169738.0)</f>
        <v>169738</v>
      </c>
      <c r="B745" t="str">
        <f>IFERROR(__xludf.DUMMYFUNCTION("""COMPUTED_VALUE"""),"Pasta Whole-Wheat Dry")</f>
        <v>Pasta Whole-Wheat Dry</v>
      </c>
      <c r="C745" t="str">
        <f>IFERROR(__xludf.DUMMYFUNCTION("""COMPUTED_VALUE"""),"Grains and Pasta")</f>
        <v>Grains and Pasta</v>
      </c>
      <c r="D745">
        <f>IFERROR(__xludf.DUMMYFUNCTION("""COMPUTED_VALUE"""),352.0)</f>
        <v>352</v>
      </c>
      <c r="E745">
        <f>IFERROR(__xludf.DUMMYFUNCTION("""COMPUTED_VALUE"""),2.93)</f>
        <v>2.93</v>
      </c>
      <c r="F745">
        <f>IFERROR(__xludf.DUMMYFUNCTION("""COMPUTED_VALUE"""),13.87)</f>
        <v>13.87</v>
      </c>
      <c r="G745">
        <f>IFERROR(__xludf.DUMMYFUNCTION("""COMPUTED_VALUE"""),73.37)</f>
        <v>73.37</v>
      </c>
    </row>
    <row r="746">
      <c r="A746">
        <f>IFERROR(__xludf.DUMMYFUNCTION("""COMPUTED_VALUE"""),169739.0)</f>
        <v>169739</v>
      </c>
      <c r="B746" t="str">
        <f>IFERROR(__xludf.DUMMYFUNCTION("""COMPUTED_VALUE"""),"Barley Flour Or Meal")</f>
        <v>Barley Flour Or Meal</v>
      </c>
      <c r="C746" t="str">
        <f>IFERROR(__xludf.DUMMYFUNCTION("""COMPUTED_VALUE"""),"Grains and Pasta")</f>
        <v>Grains and Pasta</v>
      </c>
      <c r="D746">
        <f>IFERROR(__xludf.DUMMYFUNCTION("""COMPUTED_VALUE"""),345.0)</f>
        <v>345</v>
      </c>
      <c r="E746">
        <f>IFERROR(__xludf.DUMMYFUNCTION("""COMPUTED_VALUE"""),1.6)</f>
        <v>1.6</v>
      </c>
      <c r="F746">
        <f>IFERROR(__xludf.DUMMYFUNCTION("""COMPUTED_VALUE"""),10.5)</f>
        <v>10.5</v>
      </c>
      <c r="G746">
        <f>IFERROR(__xludf.DUMMYFUNCTION("""COMPUTED_VALUE"""),74.52)</f>
        <v>74.52</v>
      </c>
    </row>
    <row r="747">
      <c r="A747">
        <f>IFERROR(__xludf.DUMMYFUNCTION("""COMPUTED_VALUE"""),169740.0)</f>
        <v>169740</v>
      </c>
      <c r="B747" t="str">
        <f>IFERROR(__xludf.DUMMYFUNCTION("""COMPUTED_VALUE"""),"Barley Malt Flour")</f>
        <v>Barley Malt Flour</v>
      </c>
      <c r="C747" t="str">
        <f>IFERROR(__xludf.DUMMYFUNCTION("""COMPUTED_VALUE"""),"Grains and Pasta")</f>
        <v>Grains and Pasta</v>
      </c>
      <c r="D747">
        <f>IFERROR(__xludf.DUMMYFUNCTION("""COMPUTED_VALUE"""),361.0)</f>
        <v>361</v>
      </c>
      <c r="E747">
        <f>IFERROR(__xludf.DUMMYFUNCTION("""COMPUTED_VALUE"""),1.84)</f>
        <v>1.84</v>
      </c>
      <c r="F747">
        <f>IFERROR(__xludf.DUMMYFUNCTION("""COMPUTED_VALUE"""),10.28)</f>
        <v>10.28</v>
      </c>
      <c r="G747">
        <f>IFERROR(__xludf.DUMMYFUNCTION("""COMPUTED_VALUE"""),78.3)</f>
        <v>78.3</v>
      </c>
    </row>
    <row r="748">
      <c r="A748">
        <f>IFERROR(__xludf.DUMMYFUNCTION("""COMPUTED_VALUE"""),169741.0)</f>
        <v>169741</v>
      </c>
      <c r="B748" t="str">
        <f>IFERROR(__xludf.DUMMYFUNCTION("""COMPUTED_VALUE"""),"Oat Flour Partially Debranned")</f>
        <v>Oat Flour Partially Debranned</v>
      </c>
      <c r="C748" t="str">
        <f>IFERROR(__xludf.DUMMYFUNCTION("""COMPUTED_VALUE"""),"Grains and Pasta")</f>
        <v>Grains and Pasta</v>
      </c>
      <c r="D748">
        <f>IFERROR(__xludf.DUMMYFUNCTION("""COMPUTED_VALUE"""),404.0)</f>
        <v>404</v>
      </c>
      <c r="E748">
        <f>IFERROR(__xludf.DUMMYFUNCTION("""COMPUTED_VALUE"""),9.12)</f>
        <v>9.12</v>
      </c>
      <c r="F748">
        <f>IFERROR(__xludf.DUMMYFUNCTION("""COMPUTED_VALUE"""),14.66)</f>
        <v>14.66</v>
      </c>
      <c r="G748">
        <f>IFERROR(__xludf.DUMMYFUNCTION("""COMPUTED_VALUE"""),65.7)</f>
        <v>65.7</v>
      </c>
    </row>
    <row r="749">
      <c r="A749">
        <f>IFERROR(__xludf.DUMMYFUNCTION("""COMPUTED_VALUE"""),169742.0)</f>
        <v>169742</v>
      </c>
      <c r="B749" t="str">
        <f>IFERROR(__xludf.DUMMYFUNCTION("""COMPUTED_VALUE"""),"Rice Noodles Dry")</f>
        <v>Rice Noodles Dry</v>
      </c>
      <c r="C749" t="str">
        <f>IFERROR(__xludf.DUMMYFUNCTION("""COMPUTED_VALUE"""),"Grains and Pasta")</f>
        <v>Grains and Pasta</v>
      </c>
      <c r="D749">
        <f>IFERROR(__xludf.DUMMYFUNCTION("""COMPUTED_VALUE"""),364.0)</f>
        <v>364</v>
      </c>
      <c r="E749">
        <f>IFERROR(__xludf.DUMMYFUNCTION("""COMPUTED_VALUE"""),0.56)</f>
        <v>0.56</v>
      </c>
      <c r="F749">
        <f>IFERROR(__xludf.DUMMYFUNCTION("""COMPUTED_VALUE"""),5.95)</f>
        <v>5.95</v>
      </c>
      <c r="G749">
        <f>IFERROR(__xludf.DUMMYFUNCTION("""COMPUTED_VALUE"""),80.18)</f>
        <v>80.18</v>
      </c>
    </row>
    <row r="750">
      <c r="A750">
        <f>IFERROR(__xludf.DUMMYFUNCTION("""COMPUTED_VALUE"""),169743.0)</f>
        <v>169743</v>
      </c>
      <c r="B750" t="str">
        <f>IFERROR(__xludf.DUMMYFUNCTION("""COMPUTED_VALUE"""),"Wheat Kamut Khorasan Uncooked")</f>
        <v>Wheat Kamut Khorasan Uncooked</v>
      </c>
      <c r="C750" t="str">
        <f>IFERROR(__xludf.DUMMYFUNCTION("""COMPUTED_VALUE"""),"Grains and Pasta")</f>
        <v>Grains and Pasta</v>
      </c>
      <c r="D750">
        <f>IFERROR(__xludf.DUMMYFUNCTION("""COMPUTED_VALUE"""),337.0)</f>
        <v>337</v>
      </c>
      <c r="E750">
        <f>IFERROR(__xludf.DUMMYFUNCTION("""COMPUTED_VALUE"""),2.13)</f>
        <v>2.13</v>
      </c>
      <c r="F750">
        <f>IFERROR(__xludf.DUMMYFUNCTION("""COMPUTED_VALUE"""),14.54)</f>
        <v>14.54</v>
      </c>
      <c r="G750">
        <f>IFERROR(__xludf.DUMMYFUNCTION("""COMPUTED_VALUE"""),70.58)</f>
        <v>70.58</v>
      </c>
    </row>
    <row r="751">
      <c r="A751">
        <f>IFERROR(__xludf.DUMMYFUNCTION("""COMPUTED_VALUE"""),169744.0)</f>
        <v>169744</v>
      </c>
      <c r="B751" t="str">
        <f>IFERROR(__xludf.DUMMYFUNCTION("""COMPUTED_VALUE"""),"Kamut Cooked")</f>
        <v>Kamut Cooked</v>
      </c>
      <c r="C751" t="str">
        <f>IFERROR(__xludf.DUMMYFUNCTION("""COMPUTED_VALUE"""),"Grains and Pasta")</f>
        <v>Grains and Pasta</v>
      </c>
      <c r="D751">
        <f>IFERROR(__xludf.DUMMYFUNCTION("""COMPUTED_VALUE"""),132.0)</f>
        <v>132</v>
      </c>
      <c r="E751">
        <f>IFERROR(__xludf.DUMMYFUNCTION("""COMPUTED_VALUE"""),0.83)</f>
        <v>0.83</v>
      </c>
      <c r="F751">
        <f>IFERROR(__xludf.DUMMYFUNCTION("""COMPUTED_VALUE"""),5.71)</f>
        <v>5.71</v>
      </c>
      <c r="G751">
        <f>IFERROR(__xludf.DUMMYFUNCTION("""COMPUTED_VALUE"""),27.6)</f>
        <v>27.6</v>
      </c>
    </row>
    <row r="752">
      <c r="A752">
        <f>IFERROR(__xludf.DUMMYFUNCTION("""COMPUTED_VALUE"""),169745.0)</f>
        <v>169745</v>
      </c>
      <c r="B752" t="str">
        <f>IFERROR(__xludf.DUMMYFUNCTION("""COMPUTED_VALUE"""),"Spelt Uncooked")</f>
        <v>Spelt Uncooked</v>
      </c>
      <c r="C752" t="str">
        <f>IFERROR(__xludf.DUMMYFUNCTION("""COMPUTED_VALUE"""),"Grains and Pasta")</f>
        <v>Grains and Pasta</v>
      </c>
      <c r="D752">
        <f>IFERROR(__xludf.DUMMYFUNCTION("""COMPUTED_VALUE"""),338.0)</f>
        <v>338</v>
      </c>
      <c r="E752">
        <f>IFERROR(__xludf.DUMMYFUNCTION("""COMPUTED_VALUE"""),2.43)</f>
        <v>2.43</v>
      </c>
      <c r="F752">
        <f>IFERROR(__xludf.DUMMYFUNCTION("""COMPUTED_VALUE"""),14.57)</f>
        <v>14.57</v>
      </c>
      <c r="G752">
        <f>IFERROR(__xludf.DUMMYFUNCTION("""COMPUTED_VALUE"""),70.19)</f>
        <v>70.19</v>
      </c>
    </row>
    <row r="753">
      <c r="A753">
        <f>IFERROR(__xludf.DUMMYFUNCTION("""COMPUTED_VALUE"""),169746.0)</f>
        <v>169746</v>
      </c>
      <c r="B753" t="str">
        <f>IFERROR(__xludf.DUMMYFUNCTION("""COMPUTED_VALUE"""),"Cooked Spelt")</f>
        <v>Cooked Spelt</v>
      </c>
      <c r="C753" t="str">
        <f>IFERROR(__xludf.DUMMYFUNCTION("""COMPUTED_VALUE"""),"Grains and Pasta")</f>
        <v>Grains and Pasta</v>
      </c>
      <c r="D753">
        <f>IFERROR(__xludf.DUMMYFUNCTION("""COMPUTED_VALUE"""),127.0)</f>
        <v>127</v>
      </c>
      <c r="E753">
        <f>IFERROR(__xludf.DUMMYFUNCTION("""COMPUTED_VALUE"""),0.85)</f>
        <v>0.85</v>
      </c>
      <c r="F753">
        <f>IFERROR(__xludf.DUMMYFUNCTION("""COMPUTED_VALUE"""),5.5)</f>
        <v>5.5</v>
      </c>
      <c r="G753">
        <f>IFERROR(__xludf.DUMMYFUNCTION("""COMPUTED_VALUE"""),26.44)</f>
        <v>26.44</v>
      </c>
    </row>
    <row r="754">
      <c r="A754">
        <f>IFERROR(__xludf.DUMMYFUNCTION("""COMPUTED_VALUE"""),169747.0)</f>
        <v>169747</v>
      </c>
      <c r="B754" t="str">
        <f>IFERROR(__xludf.DUMMYFUNCTION("""COMPUTED_VALUE"""),"Teff Uncooked")</f>
        <v>Teff Uncooked</v>
      </c>
      <c r="C754" t="str">
        <f>IFERROR(__xludf.DUMMYFUNCTION("""COMPUTED_VALUE"""),"Grains and Pasta")</f>
        <v>Grains and Pasta</v>
      </c>
      <c r="D754">
        <f>IFERROR(__xludf.DUMMYFUNCTION("""COMPUTED_VALUE"""),367.0)</f>
        <v>367</v>
      </c>
      <c r="E754">
        <f>IFERROR(__xludf.DUMMYFUNCTION("""COMPUTED_VALUE"""),2.38)</f>
        <v>2.38</v>
      </c>
      <c r="F754">
        <f>IFERROR(__xludf.DUMMYFUNCTION("""COMPUTED_VALUE"""),13.3)</f>
        <v>13.3</v>
      </c>
      <c r="G754">
        <f>IFERROR(__xludf.DUMMYFUNCTION("""COMPUTED_VALUE"""),73.13)</f>
        <v>73.13</v>
      </c>
    </row>
    <row r="755">
      <c r="A755">
        <f>IFERROR(__xludf.DUMMYFUNCTION("""COMPUTED_VALUE"""),169748.0)</f>
        <v>169748</v>
      </c>
      <c r="B755" t="str">
        <f>IFERROR(__xludf.DUMMYFUNCTION("""COMPUTED_VALUE"""),"Corn Flour Whole-Grain White")</f>
        <v>Corn Flour Whole-Grain White</v>
      </c>
      <c r="C755" t="str">
        <f>IFERROR(__xludf.DUMMYFUNCTION("""COMPUTED_VALUE"""),"Grains and Pasta")</f>
        <v>Grains and Pasta</v>
      </c>
      <c r="D755">
        <f>IFERROR(__xludf.DUMMYFUNCTION("""COMPUTED_VALUE"""),361.0)</f>
        <v>361</v>
      </c>
      <c r="E755">
        <f>IFERROR(__xludf.DUMMYFUNCTION("""COMPUTED_VALUE"""),3.86)</f>
        <v>3.86</v>
      </c>
      <c r="F755">
        <f>IFERROR(__xludf.DUMMYFUNCTION("""COMPUTED_VALUE"""),6.93)</f>
        <v>6.93</v>
      </c>
      <c r="G755">
        <f>IFERROR(__xludf.DUMMYFUNCTION("""COMPUTED_VALUE"""),76.85)</f>
        <v>76.85</v>
      </c>
    </row>
    <row r="756">
      <c r="A756">
        <f>IFERROR(__xludf.DUMMYFUNCTION("""COMPUTED_VALUE"""),169749.0)</f>
        <v>169749</v>
      </c>
      <c r="B756" t="str">
        <f>IFERROR(__xludf.DUMMYFUNCTION("""COMPUTED_VALUE"""),"Corn Flour Yellow Masa Enriched")</f>
        <v>Corn Flour Yellow Masa Enriched</v>
      </c>
      <c r="C756" t="str">
        <f>IFERROR(__xludf.DUMMYFUNCTION("""COMPUTED_VALUE"""),"Grains and Pasta")</f>
        <v>Grains and Pasta</v>
      </c>
      <c r="D756">
        <f>IFERROR(__xludf.DUMMYFUNCTION("""COMPUTED_VALUE"""),363.0)</f>
        <v>363</v>
      </c>
      <c r="E756">
        <f>IFERROR(__xludf.DUMMYFUNCTION("""COMPUTED_VALUE"""),3.69)</f>
        <v>3.69</v>
      </c>
      <c r="F756">
        <f>IFERROR(__xludf.DUMMYFUNCTION("""COMPUTED_VALUE"""),8.46)</f>
        <v>8.46</v>
      </c>
      <c r="G756">
        <f>IFERROR(__xludf.DUMMYFUNCTION("""COMPUTED_VALUE"""),76.59)</f>
        <v>76.59</v>
      </c>
    </row>
    <row r="757">
      <c r="A757">
        <f>IFERROR(__xludf.DUMMYFUNCTION("""COMPUTED_VALUE"""),169750.0)</f>
        <v>169750</v>
      </c>
      <c r="B757" t="str">
        <f>IFERROR(__xludf.DUMMYFUNCTION("""COMPUTED_VALUE"""),"Uncooked Whole-Grain Cornmeal")</f>
        <v>Uncooked Whole-Grain Cornmeal</v>
      </c>
      <c r="C757" t="str">
        <f>IFERROR(__xludf.DUMMYFUNCTION("""COMPUTED_VALUE"""),"Grains and Pasta")</f>
        <v>Grains and Pasta</v>
      </c>
      <c r="D757">
        <f>IFERROR(__xludf.DUMMYFUNCTION("""COMPUTED_VALUE"""),362.0)</f>
        <v>362</v>
      </c>
      <c r="E757">
        <f>IFERROR(__xludf.DUMMYFUNCTION("""COMPUTED_VALUE"""),3.59)</f>
        <v>3.59</v>
      </c>
      <c r="F757">
        <f>IFERROR(__xludf.DUMMYFUNCTION("""COMPUTED_VALUE"""),8.12)</f>
        <v>8.12</v>
      </c>
      <c r="G757">
        <f>IFERROR(__xludf.DUMMYFUNCTION("""COMPUTED_VALUE"""),76.89)</f>
        <v>76.89</v>
      </c>
    </row>
    <row r="758">
      <c r="A758">
        <f>IFERROR(__xludf.DUMMYFUNCTION("""COMPUTED_VALUE"""),169751.0)</f>
        <v>169751</v>
      </c>
      <c r="B758" t="str">
        <f>IFERROR(__xludf.DUMMYFUNCTION("""COMPUTED_VALUE"""),"Pasta Cooked Enriched With Added Salt")</f>
        <v>Pasta Cooked Enriched With Added Salt</v>
      </c>
      <c r="C758" t="str">
        <f>IFERROR(__xludf.DUMMYFUNCTION("""COMPUTED_VALUE"""),"Grains and Pasta")</f>
        <v>Grains and Pasta</v>
      </c>
      <c r="D758">
        <f>IFERROR(__xludf.DUMMYFUNCTION("""COMPUTED_VALUE"""),157.0)</f>
        <v>157</v>
      </c>
      <c r="E758">
        <f>IFERROR(__xludf.DUMMYFUNCTION("""COMPUTED_VALUE"""),0.93)</f>
        <v>0.93</v>
      </c>
      <c r="F758">
        <f>IFERROR(__xludf.DUMMYFUNCTION("""COMPUTED_VALUE"""),5.8)</f>
        <v>5.8</v>
      </c>
      <c r="G758">
        <f>IFERROR(__xludf.DUMMYFUNCTION("""COMPUTED_VALUE"""),30.59)</f>
        <v>30.59</v>
      </c>
    </row>
    <row r="759">
      <c r="A759">
        <f>IFERROR(__xludf.DUMMYFUNCTION("""COMPUTED_VALUE"""),169752.0)</f>
        <v>169752</v>
      </c>
      <c r="B759" t="str">
        <f>IFERROR(__xludf.DUMMYFUNCTION("""COMPUTED_VALUE"""),"Hominy Canned Yellow")</f>
        <v>Hominy Canned Yellow</v>
      </c>
      <c r="C759" t="str">
        <f>IFERROR(__xludf.DUMMYFUNCTION("""COMPUTED_VALUE"""),"Grains and Pasta")</f>
        <v>Grains and Pasta</v>
      </c>
      <c r="D759">
        <f>IFERROR(__xludf.DUMMYFUNCTION("""COMPUTED_VALUE"""),72.0)</f>
        <v>72</v>
      </c>
      <c r="E759">
        <f>IFERROR(__xludf.DUMMYFUNCTION("""COMPUTED_VALUE"""),0.88)</f>
        <v>0.88</v>
      </c>
      <c r="F759">
        <f>IFERROR(__xludf.DUMMYFUNCTION("""COMPUTED_VALUE"""),1.48)</f>
        <v>1.48</v>
      </c>
      <c r="G759">
        <f>IFERROR(__xludf.DUMMYFUNCTION("""COMPUTED_VALUE"""),14.26)</f>
        <v>14.26</v>
      </c>
    </row>
    <row r="760">
      <c r="A760">
        <f>IFERROR(__xludf.DUMMYFUNCTION("""COMPUTED_VALUE"""),169753.0)</f>
        <v>169753</v>
      </c>
      <c r="B760" t="str">
        <f>IFERROR(__xludf.DUMMYFUNCTION("""COMPUTED_VALUE"""),"Rice White Long-Grain Regular Cooked Enriched With Salt")</f>
        <v>Rice White Long-Grain Regular Cooked Enriched With Salt</v>
      </c>
      <c r="C760" t="str">
        <f>IFERROR(__xludf.DUMMYFUNCTION("""COMPUTED_VALUE"""),"Grains and Pasta")</f>
        <v>Grains and Pasta</v>
      </c>
      <c r="D760">
        <f>IFERROR(__xludf.DUMMYFUNCTION("""COMPUTED_VALUE"""),130.0)</f>
        <v>130</v>
      </c>
      <c r="E760">
        <f>IFERROR(__xludf.DUMMYFUNCTION("""COMPUTED_VALUE"""),0.28)</f>
        <v>0.28</v>
      </c>
      <c r="F760">
        <f>IFERROR(__xludf.DUMMYFUNCTION("""COMPUTED_VALUE"""),2.69)</f>
        <v>2.69</v>
      </c>
      <c r="G760">
        <f>IFERROR(__xludf.DUMMYFUNCTION("""COMPUTED_VALUE"""),28.17)</f>
        <v>28.17</v>
      </c>
    </row>
    <row r="761">
      <c r="A761">
        <f>IFERROR(__xludf.DUMMYFUNCTION("""COMPUTED_VALUE"""),169754.0)</f>
        <v>169754</v>
      </c>
      <c r="B761" t="str">
        <f>IFERROR(__xludf.DUMMYFUNCTION("""COMPUTED_VALUE"""),"Wheat Flour White All-Purpose Enriched Calcium-Fortified")</f>
        <v>Wheat Flour White All-Purpose Enriched Calcium-Fortified</v>
      </c>
      <c r="C761" t="str">
        <f>IFERROR(__xludf.DUMMYFUNCTION("""COMPUTED_VALUE"""),"Grains and Pasta")</f>
        <v>Grains and Pasta</v>
      </c>
      <c r="D761">
        <f>IFERROR(__xludf.DUMMYFUNCTION("""COMPUTED_VALUE"""),364.0)</f>
        <v>364</v>
      </c>
      <c r="E761">
        <f>IFERROR(__xludf.DUMMYFUNCTION("""COMPUTED_VALUE"""),0.98)</f>
        <v>0.98</v>
      </c>
      <c r="F761">
        <f>IFERROR(__xludf.DUMMYFUNCTION("""COMPUTED_VALUE"""),10.33)</f>
        <v>10.33</v>
      </c>
      <c r="G761">
        <f>IFERROR(__xludf.DUMMYFUNCTION("""COMPUTED_VALUE"""),76.31)</f>
        <v>76.31</v>
      </c>
    </row>
    <row r="762">
      <c r="A762">
        <f>IFERROR(__xludf.DUMMYFUNCTION("""COMPUTED_VALUE"""),169755.0)</f>
        <v>169755</v>
      </c>
      <c r="B762" t="str">
        <f>IFERROR(__xludf.DUMMYFUNCTION("""COMPUTED_VALUE"""),"Noodles Egg Dry Unenriched")</f>
        <v>Noodles Egg Dry Unenriched</v>
      </c>
      <c r="C762" t="str">
        <f>IFERROR(__xludf.DUMMYFUNCTION("""COMPUTED_VALUE"""),"Grains and Pasta")</f>
        <v>Grains and Pasta</v>
      </c>
      <c r="D762">
        <f>IFERROR(__xludf.DUMMYFUNCTION("""COMPUTED_VALUE"""),384.0)</f>
        <v>384</v>
      </c>
      <c r="E762">
        <f>IFERROR(__xludf.DUMMYFUNCTION("""COMPUTED_VALUE"""),4.44)</f>
        <v>4.44</v>
      </c>
      <c r="F762">
        <f>IFERROR(__xludf.DUMMYFUNCTION("""COMPUTED_VALUE"""),14.16)</f>
        <v>14.16</v>
      </c>
      <c r="G762">
        <f>IFERROR(__xludf.DUMMYFUNCTION("""COMPUTED_VALUE"""),71.27)</f>
        <v>71.27</v>
      </c>
    </row>
    <row r="763">
      <c r="A763">
        <f>IFERROR(__xludf.DUMMYFUNCTION("""COMPUTED_VALUE"""),169756.0)</f>
        <v>169756</v>
      </c>
      <c r="B763" t="str">
        <f>IFERROR(__xludf.DUMMYFUNCTION("""COMPUTED_VALUE"""),"Rice White Long-Grain Regular Raw Unenriched")</f>
        <v>Rice White Long-Grain Regular Raw Unenriched</v>
      </c>
      <c r="C763" t="str">
        <f>IFERROR(__xludf.DUMMYFUNCTION("""COMPUTED_VALUE"""),"Grains and Pasta")</f>
        <v>Grains and Pasta</v>
      </c>
      <c r="D763">
        <f>IFERROR(__xludf.DUMMYFUNCTION("""COMPUTED_VALUE"""),365.0)</f>
        <v>365</v>
      </c>
      <c r="E763">
        <f>IFERROR(__xludf.DUMMYFUNCTION("""COMPUTED_VALUE"""),0.66)</f>
        <v>0.66</v>
      </c>
      <c r="F763">
        <f>IFERROR(__xludf.DUMMYFUNCTION("""COMPUTED_VALUE"""),7.13)</f>
        <v>7.13</v>
      </c>
      <c r="G763">
        <f>IFERROR(__xludf.DUMMYFUNCTION("""COMPUTED_VALUE"""),79.95)</f>
        <v>79.95</v>
      </c>
    </row>
    <row r="764">
      <c r="A764">
        <f>IFERROR(__xludf.DUMMYFUNCTION("""COMPUTED_VALUE"""),169757.0)</f>
        <v>169757</v>
      </c>
      <c r="B764" t="str">
        <f>IFERROR(__xludf.DUMMYFUNCTION("""COMPUTED_VALUE"""),"Rice White Long-Grain Regular Unenriched Cooked Without Salt")</f>
        <v>Rice White Long-Grain Regular Unenriched Cooked Without Salt</v>
      </c>
      <c r="C764" t="str">
        <f>IFERROR(__xludf.DUMMYFUNCTION("""COMPUTED_VALUE"""),"Grains and Pasta")</f>
        <v>Grains and Pasta</v>
      </c>
      <c r="D764">
        <f>IFERROR(__xludf.DUMMYFUNCTION("""COMPUTED_VALUE"""),130.0)</f>
        <v>130</v>
      </c>
      <c r="E764">
        <f>IFERROR(__xludf.DUMMYFUNCTION("""COMPUTED_VALUE"""),0.28)</f>
        <v>0.28</v>
      </c>
      <c r="F764">
        <f>IFERROR(__xludf.DUMMYFUNCTION("""COMPUTED_VALUE"""),2.69)</f>
        <v>2.69</v>
      </c>
      <c r="G764">
        <f>IFERROR(__xludf.DUMMYFUNCTION("""COMPUTED_VALUE"""),28.17)</f>
        <v>28.17</v>
      </c>
    </row>
    <row r="765">
      <c r="A765">
        <f>IFERROR(__xludf.DUMMYFUNCTION("""COMPUTED_VALUE"""),169758.0)</f>
        <v>169758</v>
      </c>
      <c r="B765" t="str">
        <f>IFERROR(__xludf.DUMMYFUNCTION("""COMPUTED_VALUE"""),"Rice White Long-Grain Parboiled Unenriched Dry")</f>
        <v>Rice White Long-Grain Parboiled Unenriched Dry</v>
      </c>
      <c r="C765" t="str">
        <f>IFERROR(__xludf.DUMMYFUNCTION("""COMPUTED_VALUE"""),"Grains and Pasta")</f>
        <v>Grains and Pasta</v>
      </c>
      <c r="D765">
        <f>IFERROR(__xludf.DUMMYFUNCTION("""COMPUTED_VALUE"""),374.0)</f>
        <v>374</v>
      </c>
      <c r="E765">
        <f>IFERROR(__xludf.DUMMYFUNCTION("""COMPUTED_VALUE"""),1.03)</f>
        <v>1.03</v>
      </c>
      <c r="F765">
        <f>IFERROR(__xludf.DUMMYFUNCTION("""COMPUTED_VALUE"""),7.51)</f>
        <v>7.51</v>
      </c>
      <c r="G765">
        <f>IFERROR(__xludf.DUMMYFUNCTION("""COMPUTED_VALUE"""),80.89)</f>
        <v>80.89</v>
      </c>
    </row>
    <row r="766">
      <c r="A766">
        <f>IFERROR(__xludf.DUMMYFUNCTION("""COMPUTED_VALUE"""),169759.0)</f>
        <v>169759</v>
      </c>
      <c r="B766" t="str">
        <f>IFERROR(__xludf.DUMMYFUNCTION("""COMPUTED_VALUE"""),"Rice White Long-Grain Parboiled Unenriched Cooked")</f>
        <v>Rice White Long-Grain Parboiled Unenriched Cooked</v>
      </c>
      <c r="C766" t="str">
        <f>IFERROR(__xludf.DUMMYFUNCTION("""COMPUTED_VALUE"""),"Grains and Pasta")</f>
        <v>Grains and Pasta</v>
      </c>
      <c r="D766">
        <f>IFERROR(__xludf.DUMMYFUNCTION("""COMPUTED_VALUE"""),123.0)</f>
        <v>123</v>
      </c>
      <c r="E766">
        <f>IFERROR(__xludf.DUMMYFUNCTION("""COMPUTED_VALUE"""),0.37)</f>
        <v>0.37</v>
      </c>
      <c r="F766">
        <f>IFERROR(__xludf.DUMMYFUNCTION("""COMPUTED_VALUE"""),2.91)</f>
        <v>2.91</v>
      </c>
      <c r="G766">
        <f>IFERROR(__xludf.DUMMYFUNCTION("""COMPUTED_VALUE"""),26.05)</f>
        <v>26.05</v>
      </c>
    </row>
    <row r="767">
      <c r="A767">
        <f>IFERROR(__xludf.DUMMYFUNCTION("""COMPUTED_VALUE"""),169760.0)</f>
        <v>169760</v>
      </c>
      <c r="B767" t="str">
        <f>IFERROR(__xludf.DUMMYFUNCTION("""COMPUTED_VALUE"""),"Rice White Medium-Grain Raw Unenriched")</f>
        <v>Rice White Medium-Grain Raw Unenriched</v>
      </c>
      <c r="C767" t="str">
        <f>IFERROR(__xludf.DUMMYFUNCTION("""COMPUTED_VALUE"""),"Grains and Pasta")</f>
        <v>Grains and Pasta</v>
      </c>
      <c r="D767">
        <f>IFERROR(__xludf.DUMMYFUNCTION("""COMPUTED_VALUE"""),360.0)</f>
        <v>360</v>
      </c>
      <c r="E767">
        <f>IFERROR(__xludf.DUMMYFUNCTION("""COMPUTED_VALUE"""),0.58)</f>
        <v>0.58</v>
      </c>
      <c r="F767">
        <f>IFERROR(__xludf.DUMMYFUNCTION("""COMPUTED_VALUE"""),6.61)</f>
        <v>6.61</v>
      </c>
      <c r="G767">
        <f>IFERROR(__xludf.DUMMYFUNCTION("""COMPUTED_VALUE"""),79.34)</f>
        <v>79.34</v>
      </c>
    </row>
    <row r="768">
      <c r="A768">
        <f>IFERROR(__xludf.DUMMYFUNCTION("""COMPUTED_VALUE"""),169761.0)</f>
        <v>169761</v>
      </c>
      <c r="B768" t="str">
        <f>IFERROR(__xludf.DUMMYFUNCTION("""COMPUTED_VALUE"""),"Wheat Flour White All-Purpose Unenriched")</f>
        <v>Wheat Flour White All-Purpose Unenriched</v>
      </c>
      <c r="C768" t="str">
        <f>IFERROR(__xludf.DUMMYFUNCTION("""COMPUTED_VALUE"""),"Grains and Pasta")</f>
        <v>Grains and Pasta</v>
      </c>
      <c r="D768">
        <f>IFERROR(__xludf.DUMMYFUNCTION("""COMPUTED_VALUE"""),364.0)</f>
        <v>364</v>
      </c>
      <c r="E768">
        <f>IFERROR(__xludf.DUMMYFUNCTION("""COMPUTED_VALUE"""),0.98)</f>
        <v>0.98</v>
      </c>
      <c r="F768">
        <f>IFERROR(__xludf.DUMMYFUNCTION("""COMPUTED_VALUE"""),10.33)</f>
        <v>10.33</v>
      </c>
      <c r="G768">
        <f>IFERROR(__xludf.DUMMYFUNCTION("""COMPUTED_VALUE"""),76.31)</f>
        <v>76.31</v>
      </c>
    </row>
    <row r="769">
      <c r="A769">
        <f>IFERROR(__xludf.DUMMYFUNCTION("""COMPUTED_VALUE"""),169762.0)</f>
        <v>169762</v>
      </c>
      <c r="B769" t="str">
        <f>IFERROR(__xludf.DUMMYFUNCTION("""COMPUTED_VALUE"""),"Noodles Egg Cooked Unenriched With Added Salt")</f>
        <v>Noodles Egg Cooked Unenriched With Added Salt</v>
      </c>
      <c r="C769" t="str">
        <f>IFERROR(__xludf.DUMMYFUNCTION("""COMPUTED_VALUE"""),"Grains and Pasta")</f>
        <v>Grains and Pasta</v>
      </c>
      <c r="D769">
        <f>IFERROR(__xludf.DUMMYFUNCTION("""COMPUTED_VALUE"""),138.0)</f>
        <v>138</v>
      </c>
      <c r="E769">
        <f>IFERROR(__xludf.DUMMYFUNCTION("""COMPUTED_VALUE"""),2.07)</f>
        <v>2.07</v>
      </c>
      <c r="F769">
        <f>IFERROR(__xludf.DUMMYFUNCTION("""COMPUTED_VALUE"""),4.54)</f>
        <v>4.54</v>
      </c>
      <c r="G769">
        <f>IFERROR(__xludf.DUMMYFUNCTION("""COMPUTED_VALUE"""),25.16)</f>
        <v>25.16</v>
      </c>
    </row>
    <row r="770">
      <c r="A770">
        <f>IFERROR(__xludf.DUMMYFUNCTION("""COMPUTED_VALUE"""),169763.0)</f>
        <v>169763</v>
      </c>
      <c r="B770" t="str">
        <f>IFERROR(__xludf.DUMMYFUNCTION("""COMPUTED_VALUE"""),"Potatoes Yellow Fleshed Roasted Salt Added In Processing Frozen Unprepared")</f>
        <v>Potatoes Yellow Fleshed Roasted Salt Added In Processing Frozen Unprepared</v>
      </c>
      <c r="C770" t="str">
        <f>IFERROR(__xludf.DUMMYFUNCTION("""COMPUTED_VALUE"""),"Vegetables")</f>
        <v>Vegetables</v>
      </c>
      <c r="D770">
        <f>IFERROR(__xludf.DUMMYFUNCTION("""COMPUTED_VALUE"""),119.0)</f>
        <v>119</v>
      </c>
      <c r="E770">
        <f>IFERROR(__xludf.DUMMYFUNCTION("""COMPUTED_VALUE"""),1.85)</f>
        <v>1.85</v>
      </c>
      <c r="F770">
        <f>IFERROR(__xludf.DUMMYFUNCTION("""COMPUTED_VALUE"""),1.99)</f>
        <v>1.99</v>
      </c>
      <c r="G770">
        <f>IFERROR(__xludf.DUMMYFUNCTION("""COMPUTED_VALUE"""),23.44)</f>
        <v>23.44</v>
      </c>
    </row>
    <row r="771">
      <c r="A771">
        <f>IFERROR(__xludf.DUMMYFUNCTION("""COMPUTED_VALUE"""),169764.0)</f>
        <v>169764</v>
      </c>
      <c r="B771" t="str">
        <f>IFERROR(__xludf.DUMMYFUNCTION("""COMPUTED_VALUE"""),"Potatoes Yellow Fleshed French Fried Frozen Unprepared")</f>
        <v>Potatoes Yellow Fleshed French Fried Frozen Unprepared</v>
      </c>
      <c r="C771" t="str">
        <f>IFERROR(__xludf.DUMMYFUNCTION("""COMPUTED_VALUE"""),"Vegetables")</f>
        <v>Vegetables</v>
      </c>
      <c r="D771">
        <f>IFERROR(__xludf.DUMMYFUNCTION("""COMPUTED_VALUE"""),162.0)</f>
        <v>162</v>
      </c>
      <c r="E771">
        <f>IFERROR(__xludf.DUMMYFUNCTION("""COMPUTED_VALUE"""),5.84)</f>
        <v>5.84</v>
      </c>
      <c r="F771">
        <f>IFERROR(__xludf.DUMMYFUNCTION("""COMPUTED_VALUE"""),2.47)</f>
        <v>2.47</v>
      </c>
      <c r="G771">
        <f>IFERROR(__xludf.DUMMYFUNCTION("""COMPUTED_VALUE"""),25.01)</f>
        <v>25.01</v>
      </c>
    </row>
    <row r="772">
      <c r="A772">
        <f>IFERROR(__xludf.DUMMYFUNCTION("""COMPUTED_VALUE"""),169765.0)</f>
        <v>169765</v>
      </c>
      <c r="B772" t="str">
        <f>IFERROR(__xludf.DUMMYFUNCTION("""COMPUTED_VALUE"""),"Ginger Root Pickled Canned With Artificial Sweetener")</f>
        <v>Ginger Root Pickled Canned With Artificial Sweetener</v>
      </c>
      <c r="C772" t="str">
        <f>IFERROR(__xludf.DUMMYFUNCTION("""COMPUTED_VALUE"""),"Vegetables")</f>
        <v>Vegetables</v>
      </c>
      <c r="D772">
        <f>IFERROR(__xludf.DUMMYFUNCTION("""COMPUTED_VALUE"""),20.0)</f>
        <v>20</v>
      </c>
      <c r="E772">
        <f>IFERROR(__xludf.DUMMYFUNCTION("""COMPUTED_VALUE"""),0.1)</f>
        <v>0.1</v>
      </c>
      <c r="F772">
        <f>IFERROR(__xludf.DUMMYFUNCTION("""COMPUTED_VALUE"""),0.33)</f>
        <v>0.33</v>
      </c>
      <c r="G772">
        <f>IFERROR(__xludf.DUMMYFUNCTION("""COMPUTED_VALUE"""),4.83)</f>
        <v>4.83</v>
      </c>
    </row>
    <row r="773">
      <c r="A773">
        <f>IFERROR(__xludf.DUMMYFUNCTION("""COMPUTED_VALUE"""),169766.0)</f>
        <v>169766</v>
      </c>
      <c r="B773" t="str">
        <f>IFERROR(__xludf.DUMMYFUNCTION("""COMPUTED_VALUE"""),"Peppers Hot Pickled Canned")</f>
        <v>Peppers Hot Pickled Canned</v>
      </c>
      <c r="C773" t="str">
        <f>IFERROR(__xludf.DUMMYFUNCTION("""COMPUTED_VALUE"""),"Vegetables")</f>
        <v>Vegetables</v>
      </c>
      <c r="D773">
        <f>IFERROR(__xludf.DUMMYFUNCTION("""COMPUTED_VALUE"""),22.0)</f>
        <v>22</v>
      </c>
      <c r="E773">
        <f>IFERROR(__xludf.DUMMYFUNCTION("""COMPUTED_VALUE"""),0.4)</f>
        <v>0.4</v>
      </c>
      <c r="F773">
        <f>IFERROR(__xludf.DUMMYFUNCTION("""COMPUTED_VALUE"""),0.8)</f>
        <v>0.8</v>
      </c>
      <c r="G773">
        <f>IFERROR(__xludf.DUMMYFUNCTION("""COMPUTED_VALUE"""),4.56)</f>
        <v>4.56</v>
      </c>
    </row>
    <row r="774">
      <c r="A774">
        <f>IFERROR(__xludf.DUMMYFUNCTION("""COMPUTED_VALUE"""),169767.0)</f>
        <v>169767</v>
      </c>
      <c r="B774" t="str">
        <f>IFERROR(__xludf.DUMMYFUNCTION("""COMPUTED_VALUE"""),"Vegetable Juice Bolthouse Farms Daily Greens")</f>
        <v>Vegetable Juice Bolthouse Farms Daily Greens</v>
      </c>
      <c r="C774" t="str">
        <f>IFERROR(__xludf.DUMMYFUNCTION("""COMPUTED_VALUE"""),"Vegetables")</f>
        <v>Vegetables</v>
      </c>
      <c r="D774">
        <f>IFERROR(__xludf.DUMMYFUNCTION("""COMPUTED_VALUE"""),31.0)</f>
        <v>31</v>
      </c>
      <c r="E774">
        <f>IFERROR(__xludf.DUMMYFUNCTION("""COMPUTED_VALUE"""),0.04)</f>
        <v>0.04</v>
      </c>
      <c r="F774">
        <f>IFERROR(__xludf.DUMMYFUNCTION("""COMPUTED_VALUE"""),0.49)</f>
        <v>0.49</v>
      </c>
      <c r="G774">
        <f>IFERROR(__xludf.DUMMYFUNCTION("""COMPUTED_VALUE"""),8.13)</f>
        <v>8.13</v>
      </c>
    </row>
    <row r="775">
      <c r="A775">
        <f>IFERROR(__xludf.DUMMYFUNCTION("""COMPUTED_VALUE"""),169768.0)</f>
        <v>169768</v>
      </c>
      <c r="B775" t="str">
        <f>IFERROR(__xludf.DUMMYFUNCTION("""COMPUTED_VALUE"""),"Potatoes Mashed Ready-To-Eat")</f>
        <v>Potatoes Mashed Ready-To-Eat</v>
      </c>
      <c r="C775" t="str">
        <f>IFERROR(__xludf.DUMMYFUNCTION("""COMPUTED_VALUE"""),"Vegetables")</f>
        <v>Vegetables</v>
      </c>
      <c r="D775">
        <f>IFERROR(__xludf.DUMMYFUNCTION("""COMPUTED_VALUE"""),106.0)</f>
        <v>106</v>
      </c>
      <c r="E775">
        <f>IFERROR(__xludf.DUMMYFUNCTION("""COMPUTED_VALUE"""),5.01)</f>
        <v>5.01</v>
      </c>
      <c r="F775">
        <f>IFERROR(__xludf.DUMMYFUNCTION("""COMPUTED_VALUE"""),1.97)</f>
        <v>1.97</v>
      </c>
      <c r="G775">
        <f>IFERROR(__xludf.DUMMYFUNCTION("""COMPUTED_VALUE"""),13.29)</f>
        <v>13.29</v>
      </c>
    </row>
    <row r="776">
      <c r="A776">
        <f>IFERROR(__xludf.DUMMYFUNCTION("""COMPUTED_VALUE"""),169869.0)</f>
        <v>169869</v>
      </c>
      <c r="B776" t="str">
        <f>IFERROR(__xludf.DUMMYFUNCTION("""COMPUTED_VALUE"""),"Peanut Butter Reduced Sodium")</f>
        <v>Peanut Butter Reduced Sodium</v>
      </c>
      <c r="C776" t="str">
        <f>IFERROR(__xludf.DUMMYFUNCTION("""COMPUTED_VALUE"""),"Beans and Lentils")</f>
        <v>Beans and Lentils</v>
      </c>
      <c r="D776">
        <f>IFERROR(__xludf.DUMMYFUNCTION("""COMPUTED_VALUE"""),590.0)</f>
        <v>590</v>
      </c>
      <c r="E776">
        <f>IFERROR(__xludf.DUMMYFUNCTION("""COMPUTED_VALUE"""),49.9)</f>
        <v>49.9</v>
      </c>
      <c r="F776">
        <f>IFERROR(__xludf.DUMMYFUNCTION("""COMPUTED_VALUE"""),24.0)</f>
        <v>24</v>
      </c>
      <c r="G776">
        <f>IFERROR(__xludf.DUMMYFUNCTION("""COMPUTED_VALUE"""),21.83)</f>
        <v>21.83</v>
      </c>
    </row>
    <row r="777">
      <c r="A777">
        <f>IFERROR(__xludf.DUMMYFUNCTION("""COMPUTED_VALUE"""),169884.0)</f>
        <v>169884</v>
      </c>
      <c r="B777" t="str">
        <f>IFERROR(__xludf.DUMMYFUNCTION("""COMPUTED_VALUE"""),"Vermicelli Made From Soy")</f>
        <v>Vermicelli Made From Soy</v>
      </c>
      <c r="C777" t="str">
        <f>IFERROR(__xludf.DUMMYFUNCTION("""COMPUTED_VALUE"""),"Beans and Lentils")</f>
        <v>Beans and Lentils</v>
      </c>
      <c r="D777">
        <f>IFERROR(__xludf.DUMMYFUNCTION("""COMPUTED_VALUE"""),331.0)</f>
        <v>331</v>
      </c>
      <c r="E777">
        <f>IFERROR(__xludf.DUMMYFUNCTION("""COMPUTED_VALUE"""),0.1)</f>
        <v>0.1</v>
      </c>
      <c r="F777">
        <f>IFERROR(__xludf.DUMMYFUNCTION("""COMPUTED_VALUE"""),0.1)</f>
        <v>0.1</v>
      </c>
      <c r="G777">
        <f>IFERROR(__xludf.DUMMYFUNCTION("""COMPUTED_VALUE"""),82.32)</f>
        <v>82.32</v>
      </c>
    </row>
    <row r="778">
      <c r="A778">
        <f>IFERROR(__xludf.DUMMYFUNCTION("""COMPUTED_VALUE"""),169885.0)</f>
        <v>169885</v>
      </c>
      <c r="B778" t="str">
        <f>IFERROR(__xludf.DUMMYFUNCTION("""COMPUTED_VALUE"""),"Beans Liquid From Stewed Kidney Beans")</f>
        <v>Beans Liquid From Stewed Kidney Beans</v>
      </c>
      <c r="C778" t="str">
        <f>IFERROR(__xludf.DUMMYFUNCTION("""COMPUTED_VALUE"""),"Beans and Lentils")</f>
        <v>Beans and Lentils</v>
      </c>
      <c r="D778">
        <f>IFERROR(__xludf.DUMMYFUNCTION("""COMPUTED_VALUE"""),47.0)</f>
        <v>47</v>
      </c>
      <c r="E778">
        <f>IFERROR(__xludf.DUMMYFUNCTION("""COMPUTED_VALUE"""),3.2)</f>
        <v>3.2</v>
      </c>
      <c r="F778">
        <f>IFERROR(__xludf.DUMMYFUNCTION("""COMPUTED_VALUE"""),1.8)</f>
        <v>1.8</v>
      </c>
      <c r="G778">
        <f>IFERROR(__xludf.DUMMYFUNCTION("""COMPUTED_VALUE"""),2.8)</f>
        <v>2.8</v>
      </c>
    </row>
    <row r="779">
      <c r="A779">
        <f>IFERROR(__xludf.DUMMYFUNCTION("""COMPUTED_VALUE"""),169886.0)</f>
        <v>169886</v>
      </c>
      <c r="B779" t="str">
        <f>IFERROR(__xludf.DUMMYFUNCTION("""COMPUTED_VALUE"""),"Chicken Meatless")</f>
        <v>Chicken Meatless</v>
      </c>
      <c r="C779" t="str">
        <f>IFERROR(__xludf.DUMMYFUNCTION("""COMPUTED_VALUE"""),"Beans and Lentils")</f>
        <v>Beans and Lentils</v>
      </c>
      <c r="D779">
        <f>IFERROR(__xludf.DUMMYFUNCTION("""COMPUTED_VALUE"""),224.0)</f>
        <v>224</v>
      </c>
      <c r="E779">
        <f>IFERROR(__xludf.DUMMYFUNCTION("""COMPUTED_VALUE"""),12.73)</f>
        <v>12.73</v>
      </c>
      <c r="F779">
        <f>IFERROR(__xludf.DUMMYFUNCTION("""COMPUTED_VALUE"""),23.64)</f>
        <v>23.64</v>
      </c>
      <c r="G779">
        <f>IFERROR(__xludf.DUMMYFUNCTION("""COMPUTED_VALUE"""),3.64)</f>
        <v>3.64</v>
      </c>
    </row>
    <row r="780">
      <c r="A780">
        <f>IFERROR(__xludf.DUMMYFUNCTION("""COMPUTED_VALUE"""),169887.0)</f>
        <v>169887</v>
      </c>
      <c r="B780" t="str">
        <f>IFERROR(__xludf.DUMMYFUNCTION("""COMPUTED_VALUE"""),"Frankfurter Meatless")</f>
        <v>Frankfurter Meatless</v>
      </c>
      <c r="C780" t="str">
        <f>IFERROR(__xludf.DUMMYFUNCTION("""COMPUTED_VALUE"""),"Beans and Lentils")</f>
        <v>Beans and Lentils</v>
      </c>
      <c r="D780">
        <f>IFERROR(__xludf.DUMMYFUNCTION("""COMPUTED_VALUE"""),233.0)</f>
        <v>233</v>
      </c>
      <c r="E780">
        <f>IFERROR(__xludf.DUMMYFUNCTION("""COMPUTED_VALUE"""),13.73)</f>
        <v>13.73</v>
      </c>
      <c r="F780">
        <f>IFERROR(__xludf.DUMMYFUNCTION("""COMPUTED_VALUE"""),19.61)</f>
        <v>19.61</v>
      </c>
      <c r="G780">
        <f>IFERROR(__xludf.DUMMYFUNCTION("""COMPUTED_VALUE"""),7.7)</f>
        <v>7.7</v>
      </c>
    </row>
    <row r="781">
      <c r="A781">
        <f>IFERROR(__xludf.DUMMYFUNCTION("""COMPUTED_VALUE"""),169888.0)</f>
        <v>169888</v>
      </c>
      <c r="B781" t="str">
        <f>IFERROR(__xludf.DUMMYFUNCTION("""COMPUTED_VALUE"""),"Vegetarian Meatloaf Or Patties")</f>
        <v>Vegetarian Meatloaf Or Patties</v>
      </c>
      <c r="C781" t="str">
        <f>IFERROR(__xludf.DUMMYFUNCTION("""COMPUTED_VALUE"""),"Beans and Lentils")</f>
        <v>Beans and Lentils</v>
      </c>
      <c r="D781">
        <f>IFERROR(__xludf.DUMMYFUNCTION("""COMPUTED_VALUE"""),197.0)</f>
        <v>197</v>
      </c>
      <c r="E781">
        <f>IFERROR(__xludf.DUMMYFUNCTION("""COMPUTED_VALUE"""),9.0)</f>
        <v>9</v>
      </c>
      <c r="F781">
        <f>IFERROR(__xludf.DUMMYFUNCTION("""COMPUTED_VALUE"""),21.0)</f>
        <v>21</v>
      </c>
      <c r="G781">
        <f>IFERROR(__xludf.DUMMYFUNCTION("""COMPUTED_VALUE"""),8.0)</f>
        <v>8</v>
      </c>
    </row>
    <row r="782">
      <c r="A782">
        <f>IFERROR(__xludf.DUMMYFUNCTION("""COMPUTED_VALUE"""),169889.0)</f>
        <v>169889</v>
      </c>
      <c r="B782" t="str">
        <f>IFERROR(__xludf.DUMMYFUNCTION("""COMPUTED_VALUE"""),"Radishes Hawaiian Style Pickled")</f>
        <v>Radishes Hawaiian Style Pickled</v>
      </c>
      <c r="C782" t="str">
        <f>IFERROR(__xludf.DUMMYFUNCTION("""COMPUTED_VALUE"""),"Vegetables")</f>
        <v>Vegetables</v>
      </c>
      <c r="D782">
        <f>IFERROR(__xludf.DUMMYFUNCTION("""COMPUTED_VALUE"""),28.0)</f>
        <v>28</v>
      </c>
      <c r="E782">
        <f>IFERROR(__xludf.DUMMYFUNCTION("""COMPUTED_VALUE"""),0.3)</f>
        <v>0.3</v>
      </c>
      <c r="F782">
        <f>IFERROR(__xludf.DUMMYFUNCTION("""COMPUTED_VALUE"""),1.1)</f>
        <v>1.1</v>
      </c>
      <c r="G782">
        <f>IFERROR(__xludf.DUMMYFUNCTION("""COMPUTED_VALUE"""),5.2)</f>
        <v>5.2</v>
      </c>
    </row>
    <row r="783">
      <c r="A783">
        <f>IFERROR(__xludf.DUMMYFUNCTION("""COMPUTED_VALUE"""),169890.0)</f>
        <v>169890</v>
      </c>
      <c r="B783" t="str">
        <f>IFERROR(__xludf.DUMMYFUNCTION("""COMPUTED_VALUE"""),"Cabbage Japanese Style Fresh Pickled")</f>
        <v>Cabbage Japanese Style Fresh Pickled</v>
      </c>
      <c r="C783" t="str">
        <f>IFERROR(__xludf.DUMMYFUNCTION("""COMPUTED_VALUE"""),"Vegetables")</f>
        <v>Vegetables</v>
      </c>
      <c r="D783">
        <f>IFERROR(__xludf.DUMMYFUNCTION("""COMPUTED_VALUE"""),30.0)</f>
        <v>30</v>
      </c>
      <c r="E783">
        <f>IFERROR(__xludf.DUMMYFUNCTION("""COMPUTED_VALUE"""),0.1)</f>
        <v>0.1</v>
      </c>
      <c r="F783">
        <f>IFERROR(__xludf.DUMMYFUNCTION("""COMPUTED_VALUE"""),1.6)</f>
        <v>1.6</v>
      </c>
      <c r="G783">
        <f>IFERROR(__xludf.DUMMYFUNCTION("""COMPUTED_VALUE"""),5.67)</f>
        <v>5.67</v>
      </c>
    </row>
    <row r="784">
      <c r="A784">
        <f>IFERROR(__xludf.DUMMYFUNCTION("""COMPUTED_VALUE"""),169891.0)</f>
        <v>169891</v>
      </c>
      <c r="B784" t="str">
        <f>IFERROR(__xludf.DUMMYFUNCTION("""COMPUTED_VALUE"""),"Cabbage Mustard Salted")</f>
        <v>Cabbage Mustard Salted</v>
      </c>
      <c r="C784" t="str">
        <f>IFERROR(__xludf.DUMMYFUNCTION("""COMPUTED_VALUE"""),"Vegetables")</f>
        <v>Vegetables</v>
      </c>
      <c r="D784">
        <f>IFERROR(__xludf.DUMMYFUNCTION("""COMPUTED_VALUE"""),28.0)</f>
        <v>28</v>
      </c>
      <c r="E784">
        <f>IFERROR(__xludf.DUMMYFUNCTION("""COMPUTED_VALUE"""),0.1)</f>
        <v>0.1</v>
      </c>
      <c r="F784">
        <f>IFERROR(__xludf.DUMMYFUNCTION("""COMPUTED_VALUE"""),1.1)</f>
        <v>1.1</v>
      </c>
      <c r="G784">
        <f>IFERROR(__xludf.DUMMYFUNCTION("""COMPUTED_VALUE"""),5.63)</f>
        <v>5.63</v>
      </c>
    </row>
    <row r="785">
      <c r="A785">
        <f>IFERROR(__xludf.DUMMYFUNCTION("""COMPUTED_VALUE"""),169892.0)</f>
        <v>169892</v>
      </c>
      <c r="B785" t="str">
        <f>IFERROR(__xludf.DUMMYFUNCTION("""COMPUTED_VALUE"""),"Eggplant Pickled")</f>
        <v>Eggplant Pickled</v>
      </c>
      <c r="C785" t="str">
        <f>IFERROR(__xludf.DUMMYFUNCTION("""COMPUTED_VALUE"""),"Vegetables")</f>
        <v>Vegetables</v>
      </c>
      <c r="D785">
        <f>IFERROR(__xludf.DUMMYFUNCTION("""COMPUTED_VALUE"""),49.0)</f>
        <v>49</v>
      </c>
      <c r="E785">
        <f>IFERROR(__xludf.DUMMYFUNCTION("""COMPUTED_VALUE"""),0.7)</f>
        <v>0.7</v>
      </c>
      <c r="F785">
        <f>IFERROR(__xludf.DUMMYFUNCTION("""COMPUTED_VALUE"""),0.9)</f>
        <v>0.9</v>
      </c>
      <c r="G785">
        <f>IFERROR(__xludf.DUMMYFUNCTION("""COMPUTED_VALUE"""),9.77)</f>
        <v>9.77</v>
      </c>
    </row>
    <row r="786">
      <c r="A786">
        <f>IFERROR(__xludf.DUMMYFUNCTION("""COMPUTED_VALUE"""),169893.0)</f>
        <v>169893</v>
      </c>
      <c r="B786" t="str">
        <f>IFERROR(__xludf.DUMMYFUNCTION("""COMPUTED_VALUE"""),"Bacon Bits Meatless")</f>
        <v>Bacon Bits Meatless</v>
      </c>
      <c r="C786" t="str">
        <f>IFERROR(__xludf.DUMMYFUNCTION("""COMPUTED_VALUE"""),"Beans and Lentils")</f>
        <v>Beans and Lentils</v>
      </c>
      <c r="D786">
        <f>IFERROR(__xludf.DUMMYFUNCTION("""COMPUTED_VALUE"""),476.0)</f>
        <v>476</v>
      </c>
      <c r="E786">
        <f>IFERROR(__xludf.DUMMYFUNCTION("""COMPUTED_VALUE"""),25.9)</f>
        <v>25.9</v>
      </c>
      <c r="F786">
        <f>IFERROR(__xludf.DUMMYFUNCTION("""COMPUTED_VALUE"""),32.0)</f>
        <v>32</v>
      </c>
      <c r="G786">
        <f>IFERROR(__xludf.DUMMYFUNCTION("""COMPUTED_VALUE"""),28.6)</f>
        <v>28.6</v>
      </c>
    </row>
    <row r="787">
      <c r="A787">
        <f>IFERROR(__xludf.DUMMYFUNCTION("""COMPUTED_VALUE"""),169907.0)</f>
        <v>169907</v>
      </c>
      <c r="B787" t="str">
        <f>IFERROR(__xludf.DUMMYFUNCTION("""COMPUTED_VALUE"""),"Dried Longans")</f>
        <v>Dried Longans</v>
      </c>
      <c r="C787" t="str">
        <f>IFERROR(__xludf.DUMMYFUNCTION("""COMPUTED_VALUE"""),"Fruits")</f>
        <v>Fruits</v>
      </c>
      <c r="D787">
        <f>IFERROR(__xludf.DUMMYFUNCTION("""COMPUTED_VALUE"""),286.0)</f>
        <v>286</v>
      </c>
      <c r="E787">
        <f>IFERROR(__xludf.DUMMYFUNCTION("""COMPUTED_VALUE"""),0.4)</f>
        <v>0.4</v>
      </c>
      <c r="F787">
        <f>IFERROR(__xludf.DUMMYFUNCTION("""COMPUTED_VALUE"""),4.9)</f>
        <v>4.9</v>
      </c>
      <c r="G787">
        <f>IFERROR(__xludf.DUMMYFUNCTION("""COMPUTED_VALUE"""),74.0)</f>
        <v>74</v>
      </c>
    </row>
    <row r="788">
      <c r="A788">
        <f>IFERROR(__xludf.DUMMYFUNCTION("""COMPUTED_VALUE"""),169908.0)</f>
        <v>169908</v>
      </c>
      <c r="B788" t="str">
        <f>IFERROR(__xludf.DUMMYFUNCTION("""COMPUTED_VALUE"""),"Loquats")</f>
        <v>Loquats</v>
      </c>
      <c r="C788" t="str">
        <f>IFERROR(__xludf.DUMMYFUNCTION("""COMPUTED_VALUE"""),"Fruits")</f>
        <v>Fruits</v>
      </c>
      <c r="D788">
        <f>IFERROR(__xludf.DUMMYFUNCTION("""COMPUTED_VALUE"""),47.0)</f>
        <v>47</v>
      </c>
      <c r="E788">
        <f>IFERROR(__xludf.DUMMYFUNCTION("""COMPUTED_VALUE"""),0.2)</f>
        <v>0.2</v>
      </c>
      <c r="F788">
        <f>IFERROR(__xludf.DUMMYFUNCTION("""COMPUTED_VALUE"""),0.43)</f>
        <v>0.43</v>
      </c>
      <c r="G788">
        <f>IFERROR(__xludf.DUMMYFUNCTION("""COMPUTED_VALUE"""),12.14)</f>
        <v>12.14</v>
      </c>
    </row>
    <row r="789">
      <c r="A789">
        <f>IFERROR(__xludf.DUMMYFUNCTION("""COMPUTED_VALUE"""),169909.0)</f>
        <v>169909</v>
      </c>
      <c r="B789" t="str">
        <f>IFERROR(__xludf.DUMMYFUNCTION("""COMPUTED_VALUE"""),"Mammy Apple")</f>
        <v>Mammy Apple</v>
      </c>
      <c r="C789" t="str">
        <f>IFERROR(__xludf.DUMMYFUNCTION("""COMPUTED_VALUE"""),"Fruits")</f>
        <v>Fruits</v>
      </c>
      <c r="D789">
        <f>IFERROR(__xludf.DUMMYFUNCTION("""COMPUTED_VALUE"""),51.0)</f>
        <v>51</v>
      </c>
      <c r="E789">
        <f>IFERROR(__xludf.DUMMYFUNCTION("""COMPUTED_VALUE"""),0.5)</f>
        <v>0.5</v>
      </c>
      <c r="F789">
        <f>IFERROR(__xludf.DUMMYFUNCTION("""COMPUTED_VALUE"""),0.5)</f>
        <v>0.5</v>
      </c>
      <c r="G789">
        <f>IFERROR(__xludf.DUMMYFUNCTION("""COMPUTED_VALUE"""),12.5)</f>
        <v>12.5</v>
      </c>
    </row>
    <row r="790">
      <c r="A790">
        <f>IFERROR(__xludf.DUMMYFUNCTION("""COMPUTED_VALUE"""),169910.0)</f>
        <v>169910</v>
      </c>
      <c r="B790" t="str">
        <f>IFERROR(__xludf.DUMMYFUNCTION("""COMPUTED_VALUE"""),"Mangos")</f>
        <v>Mangos</v>
      </c>
      <c r="C790" t="str">
        <f>IFERROR(__xludf.DUMMYFUNCTION("""COMPUTED_VALUE"""),"Fruits")</f>
        <v>Fruits</v>
      </c>
      <c r="D790">
        <f>IFERROR(__xludf.DUMMYFUNCTION("""COMPUTED_VALUE"""),60.0)</f>
        <v>60</v>
      </c>
      <c r="E790">
        <f>IFERROR(__xludf.DUMMYFUNCTION("""COMPUTED_VALUE"""),0.38)</f>
        <v>0.38</v>
      </c>
      <c r="F790">
        <f>IFERROR(__xludf.DUMMYFUNCTION("""COMPUTED_VALUE"""),0.82)</f>
        <v>0.82</v>
      </c>
      <c r="G790">
        <f>IFERROR(__xludf.DUMMYFUNCTION("""COMPUTED_VALUE"""),14.98)</f>
        <v>14.98</v>
      </c>
    </row>
    <row r="791">
      <c r="A791">
        <f>IFERROR(__xludf.DUMMYFUNCTION("""COMPUTED_VALUE"""),169911.0)</f>
        <v>169911</v>
      </c>
      <c r="B791" t="str">
        <f>IFERROR(__xludf.DUMMYFUNCTION("""COMPUTED_VALUE"""),"Honeydew Melon")</f>
        <v>Honeydew Melon</v>
      </c>
      <c r="C791" t="str">
        <f>IFERROR(__xludf.DUMMYFUNCTION("""COMPUTED_VALUE"""),"Fruits")</f>
        <v>Fruits</v>
      </c>
      <c r="D791">
        <f>IFERROR(__xludf.DUMMYFUNCTION("""COMPUTED_VALUE"""),36.0)</f>
        <v>36</v>
      </c>
      <c r="E791">
        <f>IFERROR(__xludf.DUMMYFUNCTION("""COMPUTED_VALUE"""),0.14)</f>
        <v>0.14</v>
      </c>
      <c r="F791">
        <f>IFERROR(__xludf.DUMMYFUNCTION("""COMPUTED_VALUE"""),0.54)</f>
        <v>0.54</v>
      </c>
      <c r="G791">
        <f>IFERROR(__xludf.DUMMYFUNCTION("""COMPUTED_VALUE"""),9.09)</f>
        <v>9.09</v>
      </c>
    </row>
    <row r="792">
      <c r="A792">
        <f>IFERROR(__xludf.DUMMYFUNCTION("""COMPUTED_VALUE"""),169912.0)</f>
        <v>169912</v>
      </c>
      <c r="B792" t="str">
        <f>IFERROR(__xludf.DUMMYFUNCTION("""COMPUTED_VALUE"""),"Melon Balls")</f>
        <v>Melon Balls</v>
      </c>
      <c r="C792" t="str">
        <f>IFERROR(__xludf.DUMMYFUNCTION("""COMPUTED_VALUE"""),"Fruits")</f>
        <v>Fruits</v>
      </c>
      <c r="D792">
        <f>IFERROR(__xludf.DUMMYFUNCTION("""COMPUTED_VALUE"""),33.0)</f>
        <v>33</v>
      </c>
      <c r="E792">
        <f>IFERROR(__xludf.DUMMYFUNCTION("""COMPUTED_VALUE"""),0.25)</f>
        <v>0.25</v>
      </c>
      <c r="F792">
        <f>IFERROR(__xludf.DUMMYFUNCTION("""COMPUTED_VALUE"""),0.84)</f>
        <v>0.84</v>
      </c>
      <c r="G792">
        <f>IFERROR(__xludf.DUMMYFUNCTION("""COMPUTED_VALUE"""),7.94)</f>
        <v>7.94</v>
      </c>
    </row>
    <row r="793">
      <c r="A793">
        <f>IFERROR(__xludf.DUMMYFUNCTION("""COMPUTED_VALUE"""),169913.0)</f>
        <v>169913</v>
      </c>
      <c r="B793" t="str">
        <f>IFERROR(__xludf.DUMMYFUNCTION("""COMPUTED_VALUE"""),"Mulberries")</f>
        <v>Mulberries</v>
      </c>
      <c r="C793" t="str">
        <f>IFERROR(__xludf.DUMMYFUNCTION("""COMPUTED_VALUE"""),"Fruits")</f>
        <v>Fruits</v>
      </c>
      <c r="D793">
        <f>IFERROR(__xludf.DUMMYFUNCTION("""COMPUTED_VALUE"""),43.0)</f>
        <v>43</v>
      </c>
      <c r="E793">
        <f>IFERROR(__xludf.DUMMYFUNCTION("""COMPUTED_VALUE"""),0.39)</f>
        <v>0.39</v>
      </c>
      <c r="F793">
        <f>IFERROR(__xludf.DUMMYFUNCTION("""COMPUTED_VALUE"""),1.44)</f>
        <v>1.44</v>
      </c>
      <c r="G793">
        <f>IFERROR(__xludf.DUMMYFUNCTION("""COMPUTED_VALUE"""),9.8)</f>
        <v>9.8</v>
      </c>
    </row>
    <row r="794">
      <c r="A794">
        <f>IFERROR(__xludf.DUMMYFUNCTION("""COMPUTED_VALUE"""),169914.0)</f>
        <v>169914</v>
      </c>
      <c r="B794" t="str">
        <f>IFERROR(__xludf.DUMMYFUNCTION("""COMPUTED_VALUE"""),"Nectarines")</f>
        <v>Nectarines</v>
      </c>
      <c r="C794" t="str">
        <f>IFERROR(__xludf.DUMMYFUNCTION("""COMPUTED_VALUE"""),"Fruits")</f>
        <v>Fruits</v>
      </c>
      <c r="D794">
        <f>IFERROR(__xludf.DUMMYFUNCTION("""COMPUTED_VALUE"""),44.0)</f>
        <v>44</v>
      </c>
      <c r="E794">
        <f>IFERROR(__xludf.DUMMYFUNCTION("""COMPUTED_VALUE"""),0.32)</f>
        <v>0.32</v>
      </c>
      <c r="F794">
        <f>IFERROR(__xludf.DUMMYFUNCTION("""COMPUTED_VALUE"""),1.06)</f>
        <v>1.06</v>
      </c>
      <c r="G794">
        <f>IFERROR(__xludf.DUMMYFUNCTION("""COMPUTED_VALUE"""),10.55)</f>
        <v>10.55</v>
      </c>
    </row>
    <row r="795">
      <c r="A795">
        <f>IFERROR(__xludf.DUMMYFUNCTION("""COMPUTED_VALUE"""),169915.0)</f>
        <v>169915</v>
      </c>
      <c r="B795" t="str">
        <f>IFERROR(__xludf.DUMMYFUNCTION("""COMPUTED_VALUE"""),"Oheloberries")</f>
        <v>Oheloberries</v>
      </c>
      <c r="C795" t="str">
        <f>IFERROR(__xludf.DUMMYFUNCTION("""COMPUTED_VALUE"""),"Fruits")</f>
        <v>Fruits</v>
      </c>
      <c r="D795">
        <f>IFERROR(__xludf.DUMMYFUNCTION("""COMPUTED_VALUE"""),28.0)</f>
        <v>28</v>
      </c>
      <c r="E795">
        <f>IFERROR(__xludf.DUMMYFUNCTION("""COMPUTED_VALUE"""),0.22)</f>
        <v>0.22</v>
      </c>
      <c r="F795">
        <f>IFERROR(__xludf.DUMMYFUNCTION("""COMPUTED_VALUE"""),0.38)</f>
        <v>0.38</v>
      </c>
      <c r="G795">
        <f>IFERROR(__xludf.DUMMYFUNCTION("""COMPUTED_VALUE"""),6.84)</f>
        <v>6.84</v>
      </c>
    </row>
    <row r="796">
      <c r="A796">
        <f>IFERROR(__xludf.DUMMYFUNCTION("""COMPUTED_VALUE"""),169916.0)</f>
        <v>169916</v>
      </c>
      <c r="B796" t="str">
        <f>IFERROR(__xludf.DUMMYFUNCTION("""COMPUTED_VALUE"""),"California Valencia Oranges")</f>
        <v>California Valencia Oranges</v>
      </c>
      <c r="C796" t="str">
        <f>IFERROR(__xludf.DUMMYFUNCTION("""COMPUTED_VALUE"""),"Fruits")</f>
        <v>Fruits</v>
      </c>
      <c r="D796">
        <f>IFERROR(__xludf.DUMMYFUNCTION("""COMPUTED_VALUE"""),49.0)</f>
        <v>49</v>
      </c>
      <c r="E796">
        <f>IFERROR(__xludf.DUMMYFUNCTION("""COMPUTED_VALUE"""),0.3)</f>
        <v>0.3</v>
      </c>
      <c r="F796">
        <f>IFERROR(__xludf.DUMMYFUNCTION("""COMPUTED_VALUE"""),1.04)</f>
        <v>1.04</v>
      </c>
      <c r="G796">
        <f>IFERROR(__xludf.DUMMYFUNCTION("""COMPUTED_VALUE"""),11.89)</f>
        <v>11.89</v>
      </c>
    </row>
    <row r="797">
      <c r="A797">
        <f>IFERROR(__xludf.DUMMYFUNCTION("""COMPUTED_VALUE"""),169917.0)</f>
        <v>169917</v>
      </c>
      <c r="B797" t="str">
        <f>IFERROR(__xludf.DUMMYFUNCTION("""COMPUTED_VALUE"""),"Navel Oranges")</f>
        <v>Navel Oranges</v>
      </c>
      <c r="C797" t="str">
        <f>IFERROR(__xludf.DUMMYFUNCTION("""COMPUTED_VALUE"""),"Fruits")</f>
        <v>Fruits</v>
      </c>
      <c r="D797">
        <f>IFERROR(__xludf.DUMMYFUNCTION("""COMPUTED_VALUE"""),49.0)</f>
        <v>49</v>
      </c>
      <c r="E797">
        <f>IFERROR(__xludf.DUMMYFUNCTION("""COMPUTED_VALUE"""),0.15)</f>
        <v>0.15</v>
      </c>
      <c r="F797">
        <f>IFERROR(__xludf.DUMMYFUNCTION("""COMPUTED_VALUE"""),0.91)</f>
        <v>0.91</v>
      </c>
      <c r="G797">
        <f>IFERROR(__xludf.DUMMYFUNCTION("""COMPUTED_VALUE"""),12.54)</f>
        <v>12.54</v>
      </c>
    </row>
    <row r="798">
      <c r="A798">
        <f>IFERROR(__xludf.DUMMYFUNCTION("""COMPUTED_VALUE"""),169918.0)</f>
        <v>169918</v>
      </c>
      <c r="B798" t="str">
        <f>IFERROR(__xludf.DUMMYFUNCTION("""COMPUTED_VALUE"""),"Florida Oranges")</f>
        <v>Florida Oranges</v>
      </c>
      <c r="C798" t="str">
        <f>IFERROR(__xludf.DUMMYFUNCTION("""COMPUTED_VALUE"""),"Fruits")</f>
        <v>Fruits</v>
      </c>
      <c r="D798">
        <f>IFERROR(__xludf.DUMMYFUNCTION("""COMPUTED_VALUE"""),46.0)</f>
        <v>46</v>
      </c>
      <c r="E798">
        <f>IFERROR(__xludf.DUMMYFUNCTION("""COMPUTED_VALUE"""),0.21)</f>
        <v>0.21</v>
      </c>
      <c r="F798">
        <f>IFERROR(__xludf.DUMMYFUNCTION("""COMPUTED_VALUE"""),0.7)</f>
        <v>0.7</v>
      </c>
      <c r="G798">
        <f>IFERROR(__xludf.DUMMYFUNCTION("""COMPUTED_VALUE"""),11.54)</f>
        <v>11.54</v>
      </c>
    </row>
    <row r="799">
      <c r="A799">
        <f>IFERROR(__xludf.DUMMYFUNCTION("""COMPUTED_VALUE"""),169919.0)</f>
        <v>169919</v>
      </c>
      <c r="B799" t="str">
        <f>IFERROR(__xludf.DUMMYFUNCTION("""COMPUTED_VALUE"""),"Oranges Raw With Peel")</f>
        <v>Oranges Raw With Peel</v>
      </c>
      <c r="C799" t="str">
        <f>IFERROR(__xludf.DUMMYFUNCTION("""COMPUTED_VALUE"""),"Fruits")</f>
        <v>Fruits</v>
      </c>
      <c r="D799">
        <f>IFERROR(__xludf.DUMMYFUNCTION("""COMPUTED_VALUE"""),63.0)</f>
        <v>63</v>
      </c>
      <c r="E799">
        <f>IFERROR(__xludf.DUMMYFUNCTION("""COMPUTED_VALUE"""),0.3)</f>
        <v>0.3</v>
      </c>
      <c r="F799">
        <f>IFERROR(__xludf.DUMMYFUNCTION("""COMPUTED_VALUE"""),1.3)</f>
        <v>1.3</v>
      </c>
      <c r="G799">
        <f>IFERROR(__xludf.DUMMYFUNCTION("""COMPUTED_VALUE"""),15.5)</f>
        <v>15.5</v>
      </c>
    </row>
    <row r="800">
      <c r="A800">
        <f>IFERROR(__xludf.DUMMYFUNCTION("""COMPUTED_VALUE"""),169920.0)</f>
        <v>169920</v>
      </c>
      <c r="B800" t="str">
        <f>IFERROR(__xludf.DUMMYFUNCTION("""COMPUTED_VALUE"""),"Orange Juice With Added Calcium")</f>
        <v>Orange Juice With Added Calcium</v>
      </c>
      <c r="C800" t="str">
        <f>IFERROR(__xludf.DUMMYFUNCTION("""COMPUTED_VALUE"""),"Fruits")</f>
        <v>Fruits</v>
      </c>
      <c r="D800">
        <f>IFERROR(__xludf.DUMMYFUNCTION("""COMPUTED_VALUE"""),47.0)</f>
        <v>47</v>
      </c>
      <c r="E800">
        <f>IFERROR(__xludf.DUMMYFUNCTION("""COMPUTED_VALUE"""),0.12)</f>
        <v>0.12</v>
      </c>
      <c r="F800">
        <f>IFERROR(__xludf.DUMMYFUNCTION("""COMPUTED_VALUE"""),0.68)</f>
        <v>0.68</v>
      </c>
      <c r="G800">
        <f>IFERROR(__xludf.DUMMYFUNCTION("""COMPUTED_VALUE"""),11.27)</f>
        <v>11.27</v>
      </c>
    </row>
    <row r="801">
      <c r="A801">
        <f>IFERROR(__xludf.DUMMYFUNCTION("""COMPUTED_VALUE"""),169921.0)</f>
        <v>169921</v>
      </c>
      <c r="B801" t="str">
        <f>IFERROR(__xludf.DUMMYFUNCTION("""COMPUTED_VALUE"""),"Orange Juice Frozen Concentrate Unsweetened Diluted With 3 Volume Water With Added Calcium")</f>
        <v>Orange Juice Frozen Concentrate Unsweetened Diluted With 3 Volume Water With Added Calcium</v>
      </c>
      <c r="C801" t="str">
        <f>IFERROR(__xludf.DUMMYFUNCTION("""COMPUTED_VALUE"""),"Fruits")</f>
        <v>Fruits</v>
      </c>
      <c r="D801">
        <f>IFERROR(__xludf.DUMMYFUNCTION("""COMPUTED_VALUE"""),37.0)</f>
        <v>37</v>
      </c>
      <c r="E801">
        <f>IFERROR(__xludf.DUMMYFUNCTION("""COMPUTED_VALUE"""),0.06)</f>
        <v>0.06</v>
      </c>
      <c r="F801">
        <f>IFERROR(__xludf.DUMMYFUNCTION("""COMPUTED_VALUE"""),0.6)</f>
        <v>0.6</v>
      </c>
      <c r="G801">
        <f>IFERROR(__xludf.DUMMYFUNCTION("""COMPUTED_VALUE"""),8.47)</f>
        <v>8.47</v>
      </c>
    </row>
    <row r="802">
      <c r="A802">
        <f>IFERROR(__xludf.DUMMYFUNCTION("""COMPUTED_VALUE"""),169922.0)</f>
        <v>169922</v>
      </c>
      <c r="B802" t="str">
        <f>IFERROR(__xludf.DUMMYFUNCTION("""COMPUTED_VALUE"""),"Orange Juice Frozen Concentrate Unsweetened Undiluted With Added Calcium")</f>
        <v>Orange Juice Frozen Concentrate Unsweetened Undiluted With Added Calcium</v>
      </c>
      <c r="C802" t="str">
        <f>IFERROR(__xludf.DUMMYFUNCTION("""COMPUTED_VALUE"""),"Fruits")</f>
        <v>Fruits</v>
      </c>
      <c r="D802">
        <f>IFERROR(__xludf.DUMMYFUNCTION("""COMPUTED_VALUE"""),147.0)</f>
        <v>147</v>
      </c>
      <c r="E802">
        <f>IFERROR(__xludf.DUMMYFUNCTION("""COMPUTED_VALUE"""),0.25)</f>
        <v>0.25</v>
      </c>
      <c r="F802">
        <f>IFERROR(__xludf.DUMMYFUNCTION("""COMPUTED_VALUE"""),2.4)</f>
        <v>2.4</v>
      </c>
      <c r="G802">
        <f>IFERROR(__xludf.DUMMYFUNCTION("""COMPUTED_VALUE"""),33.86)</f>
        <v>33.86</v>
      </c>
    </row>
    <row r="803">
      <c r="A803">
        <f>IFERROR(__xludf.DUMMYFUNCTION("""COMPUTED_VALUE"""),169923.0)</f>
        <v>169923</v>
      </c>
      <c r="B803" t="str">
        <f>IFERROR(__xludf.DUMMYFUNCTION("""COMPUTED_VALUE"""),"Orange Juice Frozen Concentrate Unsweetened Undiluted")</f>
        <v>Orange Juice Frozen Concentrate Unsweetened Undiluted</v>
      </c>
      <c r="C803" t="str">
        <f>IFERROR(__xludf.DUMMYFUNCTION("""COMPUTED_VALUE"""),"Fruits")</f>
        <v>Fruits</v>
      </c>
      <c r="D803">
        <f>IFERROR(__xludf.DUMMYFUNCTION("""COMPUTED_VALUE"""),148.0)</f>
        <v>148</v>
      </c>
      <c r="E803">
        <f>IFERROR(__xludf.DUMMYFUNCTION("""COMPUTED_VALUE"""),0.25)</f>
        <v>0.25</v>
      </c>
      <c r="F803">
        <f>IFERROR(__xludf.DUMMYFUNCTION("""COMPUTED_VALUE"""),2.4)</f>
        <v>2.4</v>
      </c>
      <c r="G803">
        <f>IFERROR(__xludf.DUMMYFUNCTION("""COMPUTED_VALUE"""),35.19)</f>
        <v>35.19</v>
      </c>
    </row>
    <row r="804">
      <c r="A804">
        <f>IFERROR(__xludf.DUMMYFUNCTION("""COMPUTED_VALUE"""),169924.0)</f>
        <v>169924</v>
      </c>
      <c r="B804" t="str">
        <f>IFERROR(__xludf.DUMMYFUNCTION("""COMPUTED_VALUE"""),"Tangerines (Mandarin Oranges) Canned Light Syrup Pack")</f>
        <v>Tangerines (Mandarin Oranges) Canned Light Syrup Pack</v>
      </c>
      <c r="C804" t="str">
        <f>IFERROR(__xludf.DUMMYFUNCTION("""COMPUTED_VALUE"""),"Fruits")</f>
        <v>Fruits</v>
      </c>
      <c r="D804">
        <f>IFERROR(__xludf.DUMMYFUNCTION("""COMPUTED_VALUE"""),61.0)</f>
        <v>61</v>
      </c>
      <c r="E804">
        <f>IFERROR(__xludf.DUMMYFUNCTION("""COMPUTED_VALUE"""),0.1)</f>
        <v>0.1</v>
      </c>
      <c r="F804">
        <f>IFERROR(__xludf.DUMMYFUNCTION("""COMPUTED_VALUE"""),0.45)</f>
        <v>0.45</v>
      </c>
      <c r="G804">
        <f>IFERROR(__xludf.DUMMYFUNCTION("""COMPUTED_VALUE"""),16.19)</f>
        <v>16.19</v>
      </c>
    </row>
    <row r="805">
      <c r="A805">
        <f>IFERROR(__xludf.DUMMYFUNCTION("""COMPUTED_VALUE"""),169925.0)</f>
        <v>169925</v>
      </c>
      <c r="B805" t="str">
        <f>IFERROR(__xludf.DUMMYFUNCTION("""COMPUTED_VALUE"""),"Tangerine Juice")</f>
        <v>Tangerine Juice</v>
      </c>
      <c r="C805" t="str">
        <f>IFERROR(__xludf.DUMMYFUNCTION("""COMPUTED_VALUE"""),"Fruits")</f>
        <v>Fruits</v>
      </c>
      <c r="D805">
        <f>IFERROR(__xludf.DUMMYFUNCTION("""COMPUTED_VALUE"""),43.0)</f>
        <v>43</v>
      </c>
      <c r="E805">
        <f>IFERROR(__xludf.DUMMYFUNCTION("""COMPUTED_VALUE"""),0.2)</f>
        <v>0.2</v>
      </c>
      <c r="F805">
        <f>IFERROR(__xludf.DUMMYFUNCTION("""COMPUTED_VALUE"""),0.5)</f>
        <v>0.5</v>
      </c>
      <c r="G805">
        <f>IFERROR(__xludf.DUMMYFUNCTION("""COMPUTED_VALUE"""),10.1)</f>
        <v>10.1</v>
      </c>
    </row>
    <row r="806">
      <c r="A806">
        <f>IFERROR(__xludf.DUMMYFUNCTION("""COMPUTED_VALUE"""),169926.0)</f>
        <v>169926</v>
      </c>
      <c r="B806" t="str">
        <f>IFERROR(__xludf.DUMMYFUNCTION("""COMPUTED_VALUE"""),"Papaya")</f>
        <v>Papaya</v>
      </c>
      <c r="C806" t="str">
        <f>IFERROR(__xludf.DUMMYFUNCTION("""COMPUTED_VALUE"""),"Fruits")</f>
        <v>Fruits</v>
      </c>
      <c r="D806">
        <f>IFERROR(__xludf.DUMMYFUNCTION("""COMPUTED_VALUE"""),43.0)</f>
        <v>43</v>
      </c>
      <c r="E806">
        <f>IFERROR(__xludf.DUMMYFUNCTION("""COMPUTED_VALUE"""),0.26)</f>
        <v>0.26</v>
      </c>
      <c r="F806">
        <f>IFERROR(__xludf.DUMMYFUNCTION("""COMPUTED_VALUE"""),0.47)</f>
        <v>0.47</v>
      </c>
      <c r="G806">
        <f>IFERROR(__xludf.DUMMYFUNCTION("""COMPUTED_VALUE"""),10.82)</f>
        <v>10.82</v>
      </c>
    </row>
    <row r="807">
      <c r="A807">
        <f>IFERROR(__xludf.DUMMYFUNCTION("""COMPUTED_VALUE"""),169927.0)</f>
        <v>169927</v>
      </c>
      <c r="B807" t="str">
        <f>IFERROR(__xludf.DUMMYFUNCTION("""COMPUTED_VALUE"""),"Papaya Canned Heavy Syrup Drained")</f>
        <v>Papaya Canned Heavy Syrup Drained</v>
      </c>
      <c r="C807" t="str">
        <f>IFERROR(__xludf.DUMMYFUNCTION("""COMPUTED_VALUE"""),"Fruits")</f>
        <v>Fruits</v>
      </c>
      <c r="D807">
        <f>IFERROR(__xludf.DUMMYFUNCTION("""COMPUTED_VALUE"""),206.0)</f>
        <v>206</v>
      </c>
      <c r="E807">
        <f>IFERROR(__xludf.DUMMYFUNCTION("""COMPUTED_VALUE"""),0.55)</f>
        <v>0.55</v>
      </c>
      <c r="F807">
        <f>IFERROR(__xludf.DUMMYFUNCTION("""COMPUTED_VALUE"""),0.14)</f>
        <v>0.14</v>
      </c>
      <c r="G807">
        <f>IFERROR(__xludf.DUMMYFUNCTION("""COMPUTED_VALUE"""),55.83)</f>
        <v>55.83</v>
      </c>
    </row>
    <row r="808">
      <c r="A808">
        <f>IFERROR(__xludf.DUMMYFUNCTION("""COMPUTED_VALUE"""),169928.0)</f>
        <v>169928</v>
      </c>
      <c r="B808" t="str">
        <f>IFERROR(__xludf.DUMMYFUNCTION("""COMPUTED_VALUE"""),"Yellow Peaches")</f>
        <v>Yellow Peaches</v>
      </c>
      <c r="C808" t="str">
        <f>IFERROR(__xludf.DUMMYFUNCTION("""COMPUTED_VALUE"""),"Fruits")</f>
        <v>Fruits</v>
      </c>
      <c r="D808">
        <f>IFERROR(__xludf.DUMMYFUNCTION("""COMPUTED_VALUE"""),39.0)</f>
        <v>39</v>
      </c>
      <c r="E808">
        <f>IFERROR(__xludf.DUMMYFUNCTION("""COMPUTED_VALUE"""),0.25)</f>
        <v>0.25</v>
      </c>
      <c r="F808">
        <f>IFERROR(__xludf.DUMMYFUNCTION("""COMPUTED_VALUE"""),0.91)</f>
        <v>0.91</v>
      </c>
      <c r="G808">
        <f>IFERROR(__xludf.DUMMYFUNCTION("""COMPUTED_VALUE"""),9.54)</f>
        <v>9.54</v>
      </c>
    </row>
    <row r="809">
      <c r="A809">
        <f>IFERROR(__xludf.DUMMYFUNCTION("""COMPUTED_VALUE"""),169929.0)</f>
        <v>169929</v>
      </c>
      <c r="B809" t="str">
        <f>IFERROR(__xludf.DUMMYFUNCTION("""COMPUTED_VALUE"""),"Peaches Canned Water Pack Solids And Liquids")</f>
        <v>Peaches Canned Water Pack Solids And Liquids</v>
      </c>
      <c r="C809" t="str">
        <f>IFERROR(__xludf.DUMMYFUNCTION("""COMPUTED_VALUE"""),"Fruits")</f>
        <v>Fruits</v>
      </c>
      <c r="D809">
        <f>IFERROR(__xludf.DUMMYFUNCTION("""COMPUTED_VALUE"""),24.0)</f>
        <v>24</v>
      </c>
      <c r="E809">
        <f>IFERROR(__xludf.DUMMYFUNCTION("""COMPUTED_VALUE"""),0.06)</f>
        <v>0.06</v>
      </c>
      <c r="F809">
        <f>IFERROR(__xludf.DUMMYFUNCTION("""COMPUTED_VALUE"""),0.44)</f>
        <v>0.44</v>
      </c>
      <c r="G809">
        <f>IFERROR(__xludf.DUMMYFUNCTION("""COMPUTED_VALUE"""),6.11)</f>
        <v>6.11</v>
      </c>
    </row>
    <row r="810">
      <c r="A810">
        <f>IFERROR(__xludf.DUMMYFUNCTION("""COMPUTED_VALUE"""),169930.0)</f>
        <v>169930</v>
      </c>
      <c r="B810" t="str">
        <f>IFERROR(__xludf.DUMMYFUNCTION("""COMPUTED_VALUE"""),"Peaches Canned Juice Pack Solids And Liquids")</f>
        <v>Peaches Canned Juice Pack Solids And Liquids</v>
      </c>
      <c r="C810" t="str">
        <f>IFERROR(__xludf.DUMMYFUNCTION("""COMPUTED_VALUE"""),"Fruits")</f>
        <v>Fruits</v>
      </c>
      <c r="D810">
        <f>IFERROR(__xludf.DUMMYFUNCTION("""COMPUTED_VALUE"""),44.0)</f>
        <v>44</v>
      </c>
      <c r="E810">
        <f>IFERROR(__xludf.DUMMYFUNCTION("""COMPUTED_VALUE"""),0.03)</f>
        <v>0.03</v>
      </c>
      <c r="F810">
        <f>IFERROR(__xludf.DUMMYFUNCTION("""COMPUTED_VALUE"""),0.63)</f>
        <v>0.63</v>
      </c>
      <c r="G810">
        <f>IFERROR(__xludf.DUMMYFUNCTION("""COMPUTED_VALUE"""),11.57)</f>
        <v>11.57</v>
      </c>
    </row>
    <row r="811">
      <c r="A811">
        <f>IFERROR(__xludf.DUMMYFUNCTION("""COMPUTED_VALUE"""),169931.0)</f>
        <v>169931</v>
      </c>
      <c r="B811" t="str">
        <f>IFERROR(__xludf.DUMMYFUNCTION("""COMPUTED_VALUE"""),"Peaches Canned Extra Light Syrup Solids And Liquids")</f>
        <v>Peaches Canned Extra Light Syrup Solids And Liquids</v>
      </c>
      <c r="C811" t="str">
        <f>IFERROR(__xludf.DUMMYFUNCTION("""COMPUTED_VALUE"""),"Fruits")</f>
        <v>Fruits</v>
      </c>
      <c r="D811">
        <f>IFERROR(__xludf.DUMMYFUNCTION("""COMPUTED_VALUE"""),42.0)</f>
        <v>42</v>
      </c>
      <c r="E811">
        <f>IFERROR(__xludf.DUMMYFUNCTION("""COMPUTED_VALUE"""),0.1)</f>
        <v>0.1</v>
      </c>
      <c r="F811">
        <f>IFERROR(__xludf.DUMMYFUNCTION("""COMPUTED_VALUE"""),0.4)</f>
        <v>0.4</v>
      </c>
      <c r="G811">
        <f>IFERROR(__xludf.DUMMYFUNCTION("""COMPUTED_VALUE"""),11.1)</f>
        <v>11.1</v>
      </c>
    </row>
    <row r="812">
      <c r="A812">
        <f>IFERROR(__xludf.DUMMYFUNCTION("""COMPUTED_VALUE"""),169932.0)</f>
        <v>169932</v>
      </c>
      <c r="B812" t="str">
        <f>IFERROR(__xludf.DUMMYFUNCTION("""COMPUTED_VALUE"""),"Dried Peaches (Low-Moisture)")</f>
        <v>Dried Peaches (Low-Moisture)</v>
      </c>
      <c r="C812" t="str">
        <f>IFERROR(__xludf.DUMMYFUNCTION("""COMPUTED_VALUE"""),"Fruits")</f>
        <v>Fruits</v>
      </c>
      <c r="D812">
        <f>IFERROR(__xludf.DUMMYFUNCTION("""COMPUTED_VALUE"""),325.0)</f>
        <v>325</v>
      </c>
      <c r="E812">
        <f>IFERROR(__xludf.DUMMYFUNCTION("""COMPUTED_VALUE"""),1.03)</f>
        <v>1.03</v>
      </c>
      <c r="F812">
        <f>IFERROR(__xludf.DUMMYFUNCTION("""COMPUTED_VALUE"""),4.89)</f>
        <v>4.89</v>
      </c>
      <c r="G812">
        <f>IFERROR(__xludf.DUMMYFUNCTION("""COMPUTED_VALUE"""),83.18)</f>
        <v>83.18</v>
      </c>
    </row>
    <row r="813">
      <c r="A813">
        <f>IFERROR(__xludf.DUMMYFUNCTION("""COMPUTED_VALUE"""),169933.0)</f>
        <v>169933</v>
      </c>
      <c r="B813" t="str">
        <f>IFERROR(__xludf.DUMMYFUNCTION("""COMPUTED_VALUE"""),"Peaches Dehydrated (Low-Moisture) Sulfured Stewed")</f>
        <v>Peaches Dehydrated (Low-Moisture) Sulfured Stewed</v>
      </c>
      <c r="C813" t="str">
        <f>IFERROR(__xludf.DUMMYFUNCTION("""COMPUTED_VALUE"""),"Fruits")</f>
        <v>Fruits</v>
      </c>
      <c r="D813">
        <f>IFERROR(__xludf.DUMMYFUNCTION("""COMPUTED_VALUE"""),133.0)</f>
        <v>133</v>
      </c>
      <c r="E813">
        <f>IFERROR(__xludf.DUMMYFUNCTION("""COMPUTED_VALUE"""),0.42)</f>
        <v>0.42</v>
      </c>
      <c r="F813">
        <f>IFERROR(__xludf.DUMMYFUNCTION("""COMPUTED_VALUE"""),2.01)</f>
        <v>2.01</v>
      </c>
      <c r="G813">
        <f>IFERROR(__xludf.DUMMYFUNCTION("""COMPUTED_VALUE"""),34.14)</f>
        <v>34.14</v>
      </c>
    </row>
    <row r="814">
      <c r="A814">
        <f>IFERROR(__xludf.DUMMYFUNCTION("""COMPUTED_VALUE"""),169934.0)</f>
        <v>169934</v>
      </c>
      <c r="B814" t="str">
        <f>IFERROR(__xludf.DUMMYFUNCTION("""COMPUTED_VALUE"""),"Dried Peaches")</f>
        <v>Dried Peaches</v>
      </c>
      <c r="C814" t="str">
        <f>IFERROR(__xludf.DUMMYFUNCTION("""COMPUTED_VALUE"""),"Fruits")</f>
        <v>Fruits</v>
      </c>
      <c r="D814">
        <f>IFERROR(__xludf.DUMMYFUNCTION("""COMPUTED_VALUE"""),239.0)</f>
        <v>239</v>
      </c>
      <c r="E814">
        <f>IFERROR(__xludf.DUMMYFUNCTION("""COMPUTED_VALUE"""),0.76)</f>
        <v>0.76</v>
      </c>
      <c r="F814">
        <f>IFERROR(__xludf.DUMMYFUNCTION("""COMPUTED_VALUE"""),3.61)</f>
        <v>3.61</v>
      </c>
      <c r="G814">
        <f>IFERROR(__xludf.DUMMYFUNCTION("""COMPUTED_VALUE"""),61.33)</f>
        <v>61.33</v>
      </c>
    </row>
    <row r="815">
      <c r="A815">
        <f>IFERROR(__xludf.DUMMYFUNCTION("""COMPUTED_VALUE"""),169935.0)</f>
        <v>169935</v>
      </c>
      <c r="B815" t="str">
        <f>IFERROR(__xludf.DUMMYFUNCTION("""COMPUTED_VALUE"""),"Peaches Dried Sulfured Stewed Without Added Sugar")</f>
        <v>Peaches Dried Sulfured Stewed Without Added Sugar</v>
      </c>
      <c r="C815" t="str">
        <f>IFERROR(__xludf.DUMMYFUNCTION("""COMPUTED_VALUE"""),"Fruits")</f>
        <v>Fruits</v>
      </c>
      <c r="D815">
        <f>IFERROR(__xludf.DUMMYFUNCTION("""COMPUTED_VALUE"""),77.0)</f>
        <v>77</v>
      </c>
      <c r="E815">
        <f>IFERROR(__xludf.DUMMYFUNCTION("""COMPUTED_VALUE"""),0.25)</f>
        <v>0.25</v>
      </c>
      <c r="F815">
        <f>IFERROR(__xludf.DUMMYFUNCTION("""COMPUTED_VALUE"""),1.16)</f>
        <v>1.16</v>
      </c>
      <c r="G815">
        <f>IFERROR(__xludf.DUMMYFUNCTION("""COMPUTED_VALUE"""),19.69)</f>
        <v>19.69</v>
      </c>
    </row>
    <row r="816">
      <c r="A816">
        <f>IFERROR(__xludf.DUMMYFUNCTION("""COMPUTED_VALUE"""),169936.0)</f>
        <v>169936</v>
      </c>
      <c r="B816" t="str">
        <f>IFERROR(__xludf.DUMMYFUNCTION("""COMPUTED_VALUE"""),"Pears Canned Juice Pack Solids And Liquids")</f>
        <v>Pears Canned Juice Pack Solids And Liquids</v>
      </c>
      <c r="C816" t="str">
        <f>IFERROR(__xludf.DUMMYFUNCTION("""COMPUTED_VALUE"""),"Fruits")</f>
        <v>Fruits</v>
      </c>
      <c r="D816">
        <f>IFERROR(__xludf.DUMMYFUNCTION("""COMPUTED_VALUE"""),50.0)</f>
        <v>50</v>
      </c>
      <c r="E816">
        <f>IFERROR(__xludf.DUMMYFUNCTION("""COMPUTED_VALUE"""),0.07)</f>
        <v>0.07</v>
      </c>
      <c r="F816">
        <f>IFERROR(__xludf.DUMMYFUNCTION("""COMPUTED_VALUE"""),0.34)</f>
        <v>0.34</v>
      </c>
      <c r="G816">
        <f>IFERROR(__xludf.DUMMYFUNCTION("""COMPUTED_VALUE"""),12.94)</f>
        <v>12.94</v>
      </c>
    </row>
    <row r="817">
      <c r="A817">
        <f>IFERROR(__xludf.DUMMYFUNCTION("""COMPUTED_VALUE"""),169937.0)</f>
        <v>169937</v>
      </c>
      <c r="B817" t="str">
        <f>IFERROR(__xludf.DUMMYFUNCTION("""COMPUTED_VALUE"""),"Pears Canned Extra Light Syrup Pack Solids And Liquids")</f>
        <v>Pears Canned Extra Light Syrup Pack Solids And Liquids</v>
      </c>
      <c r="C817" t="str">
        <f>IFERROR(__xludf.DUMMYFUNCTION("""COMPUTED_VALUE"""),"Fruits")</f>
        <v>Fruits</v>
      </c>
      <c r="D817">
        <f>IFERROR(__xludf.DUMMYFUNCTION("""COMPUTED_VALUE"""),47.0)</f>
        <v>47</v>
      </c>
      <c r="E817">
        <f>IFERROR(__xludf.DUMMYFUNCTION("""COMPUTED_VALUE"""),0.1)</f>
        <v>0.1</v>
      </c>
      <c r="F817">
        <f>IFERROR(__xludf.DUMMYFUNCTION("""COMPUTED_VALUE"""),0.3)</f>
        <v>0.3</v>
      </c>
      <c r="G817">
        <f>IFERROR(__xludf.DUMMYFUNCTION("""COMPUTED_VALUE"""),12.2)</f>
        <v>12.2</v>
      </c>
    </row>
    <row r="818">
      <c r="A818">
        <f>IFERROR(__xludf.DUMMYFUNCTION("""COMPUTED_VALUE"""),169938.0)</f>
        <v>169938</v>
      </c>
      <c r="B818" t="str">
        <f>IFERROR(__xludf.DUMMYFUNCTION("""COMPUTED_VALUE"""),"Pears Canned Light Syrup Pack Solids And Liquids")</f>
        <v>Pears Canned Light Syrup Pack Solids And Liquids</v>
      </c>
      <c r="C818" t="str">
        <f>IFERROR(__xludf.DUMMYFUNCTION("""COMPUTED_VALUE"""),"Fruits")</f>
        <v>Fruits</v>
      </c>
      <c r="D818">
        <f>IFERROR(__xludf.DUMMYFUNCTION("""COMPUTED_VALUE"""),57.0)</f>
        <v>57</v>
      </c>
      <c r="E818">
        <f>IFERROR(__xludf.DUMMYFUNCTION("""COMPUTED_VALUE"""),0.03)</f>
        <v>0.03</v>
      </c>
      <c r="F818">
        <f>IFERROR(__xludf.DUMMYFUNCTION("""COMPUTED_VALUE"""),0.19)</f>
        <v>0.19</v>
      </c>
      <c r="G818">
        <f>IFERROR(__xludf.DUMMYFUNCTION("""COMPUTED_VALUE"""),15.17)</f>
        <v>15.17</v>
      </c>
    </row>
    <row r="819">
      <c r="A819">
        <f>IFERROR(__xludf.DUMMYFUNCTION("""COMPUTED_VALUE"""),169939.0)</f>
        <v>169939</v>
      </c>
      <c r="B819" t="str">
        <f>IFERROR(__xludf.DUMMYFUNCTION("""COMPUTED_VALUE"""),"Pears Canned Heavy Syrup Pack Solids And Liquids")</f>
        <v>Pears Canned Heavy Syrup Pack Solids And Liquids</v>
      </c>
      <c r="C819" t="str">
        <f>IFERROR(__xludf.DUMMYFUNCTION("""COMPUTED_VALUE"""),"Fruits")</f>
        <v>Fruits</v>
      </c>
      <c r="D819">
        <f>IFERROR(__xludf.DUMMYFUNCTION("""COMPUTED_VALUE"""),74.0)</f>
        <v>74</v>
      </c>
      <c r="E819">
        <f>IFERROR(__xludf.DUMMYFUNCTION("""COMPUTED_VALUE"""),0.13)</f>
        <v>0.13</v>
      </c>
      <c r="F819">
        <f>IFERROR(__xludf.DUMMYFUNCTION("""COMPUTED_VALUE"""),0.2)</f>
        <v>0.2</v>
      </c>
      <c r="G819">
        <f>IFERROR(__xludf.DUMMYFUNCTION("""COMPUTED_VALUE"""),19.17)</f>
        <v>19.17</v>
      </c>
    </row>
    <row r="820">
      <c r="A820">
        <f>IFERROR(__xludf.DUMMYFUNCTION("""COMPUTED_VALUE"""),169940.0)</f>
        <v>169940</v>
      </c>
      <c r="B820" t="str">
        <f>IFERROR(__xludf.DUMMYFUNCTION("""COMPUTED_VALUE"""),"Pear Nectar Canned Without Added Ascorbic Acid")</f>
        <v>Pear Nectar Canned Without Added Ascorbic Acid</v>
      </c>
      <c r="C820" t="str">
        <f>IFERROR(__xludf.DUMMYFUNCTION("""COMPUTED_VALUE"""),"Fruits")</f>
        <v>Fruits</v>
      </c>
      <c r="D820">
        <f>IFERROR(__xludf.DUMMYFUNCTION("""COMPUTED_VALUE"""),60.0)</f>
        <v>60</v>
      </c>
      <c r="E820">
        <f>IFERROR(__xludf.DUMMYFUNCTION("""COMPUTED_VALUE"""),0.01)</f>
        <v>0.01</v>
      </c>
      <c r="F820">
        <f>IFERROR(__xludf.DUMMYFUNCTION("""COMPUTED_VALUE"""),0.11)</f>
        <v>0.11</v>
      </c>
      <c r="G820">
        <f>IFERROR(__xludf.DUMMYFUNCTION("""COMPUTED_VALUE"""),15.76)</f>
        <v>15.76</v>
      </c>
    </row>
    <row r="821">
      <c r="A821">
        <f>IFERROR(__xludf.DUMMYFUNCTION("""COMPUTED_VALUE"""),169941.0)</f>
        <v>169941</v>
      </c>
      <c r="B821" t="str">
        <f>IFERROR(__xludf.DUMMYFUNCTION("""COMPUTED_VALUE"""),"Fuyu Persimmon")</f>
        <v>Fuyu Persimmon</v>
      </c>
      <c r="C821" t="str">
        <f>IFERROR(__xludf.DUMMYFUNCTION("""COMPUTED_VALUE"""),"Fruits")</f>
        <v>Fruits</v>
      </c>
      <c r="D821">
        <f>IFERROR(__xludf.DUMMYFUNCTION("""COMPUTED_VALUE"""),70.0)</f>
        <v>70</v>
      </c>
      <c r="E821">
        <f>IFERROR(__xludf.DUMMYFUNCTION("""COMPUTED_VALUE"""),0.19)</f>
        <v>0.19</v>
      </c>
      <c r="F821">
        <f>IFERROR(__xludf.DUMMYFUNCTION("""COMPUTED_VALUE"""),0.58)</f>
        <v>0.58</v>
      </c>
      <c r="G821">
        <f>IFERROR(__xludf.DUMMYFUNCTION("""COMPUTED_VALUE"""),18.59)</f>
        <v>18.59</v>
      </c>
    </row>
    <row r="822">
      <c r="A822">
        <f>IFERROR(__xludf.DUMMYFUNCTION("""COMPUTED_VALUE"""),169942.0)</f>
        <v>169942</v>
      </c>
      <c r="B822" t="str">
        <f>IFERROR(__xludf.DUMMYFUNCTION("""COMPUTED_VALUE"""),"Persimmons Japanese Dried")</f>
        <v>Persimmons Japanese Dried</v>
      </c>
      <c r="C822" t="str">
        <f>IFERROR(__xludf.DUMMYFUNCTION("""COMPUTED_VALUE"""),"Fruits")</f>
        <v>Fruits</v>
      </c>
      <c r="D822">
        <f>IFERROR(__xludf.DUMMYFUNCTION("""COMPUTED_VALUE"""),274.0)</f>
        <v>274</v>
      </c>
      <c r="E822">
        <f>IFERROR(__xludf.DUMMYFUNCTION("""COMPUTED_VALUE"""),0.59)</f>
        <v>0.59</v>
      </c>
      <c r="F822">
        <f>IFERROR(__xludf.DUMMYFUNCTION("""COMPUTED_VALUE"""),1.38)</f>
        <v>1.38</v>
      </c>
      <c r="G822">
        <f>IFERROR(__xludf.DUMMYFUNCTION("""COMPUTED_VALUE"""),73.43)</f>
        <v>73.43</v>
      </c>
    </row>
    <row r="823">
      <c r="A823">
        <f>IFERROR(__xludf.DUMMYFUNCTION("""COMPUTED_VALUE"""),169943.0)</f>
        <v>169943</v>
      </c>
      <c r="B823" t="str">
        <f>IFERROR(__xludf.DUMMYFUNCTION("""COMPUTED_VALUE"""),"Persimmons Native Raw")</f>
        <v>Persimmons Native Raw</v>
      </c>
      <c r="C823" t="str">
        <f>IFERROR(__xludf.DUMMYFUNCTION("""COMPUTED_VALUE"""),"Fruits")</f>
        <v>Fruits</v>
      </c>
      <c r="D823">
        <f>IFERROR(__xludf.DUMMYFUNCTION("""COMPUTED_VALUE"""),127.0)</f>
        <v>127</v>
      </c>
      <c r="E823">
        <f>IFERROR(__xludf.DUMMYFUNCTION("""COMPUTED_VALUE"""),0.4)</f>
        <v>0.4</v>
      </c>
      <c r="F823">
        <f>IFERROR(__xludf.DUMMYFUNCTION("""COMPUTED_VALUE"""),0.8)</f>
        <v>0.8</v>
      </c>
      <c r="G823">
        <f>IFERROR(__xludf.DUMMYFUNCTION("""COMPUTED_VALUE"""),33.5)</f>
        <v>33.5</v>
      </c>
    </row>
    <row r="824">
      <c r="A824">
        <f>IFERROR(__xludf.DUMMYFUNCTION("""COMPUTED_VALUE"""),169944.0)</f>
        <v>169944</v>
      </c>
      <c r="B824" t="str">
        <f>IFERROR(__xludf.DUMMYFUNCTION("""COMPUTED_VALUE"""),"Pineapple Canned Heavy Syrup Pack Solids And Liquids")</f>
        <v>Pineapple Canned Heavy Syrup Pack Solids And Liquids</v>
      </c>
      <c r="C824" t="str">
        <f>IFERROR(__xludf.DUMMYFUNCTION("""COMPUTED_VALUE"""),"Fruits")</f>
        <v>Fruits</v>
      </c>
      <c r="D824">
        <f>IFERROR(__xludf.DUMMYFUNCTION("""COMPUTED_VALUE"""),78.0)</f>
        <v>78</v>
      </c>
      <c r="E824">
        <f>IFERROR(__xludf.DUMMYFUNCTION("""COMPUTED_VALUE"""),0.11)</f>
        <v>0.11</v>
      </c>
      <c r="F824">
        <f>IFERROR(__xludf.DUMMYFUNCTION("""COMPUTED_VALUE"""),0.35)</f>
        <v>0.35</v>
      </c>
      <c r="G824">
        <f>IFERROR(__xludf.DUMMYFUNCTION("""COMPUTED_VALUE"""),20.2)</f>
        <v>20.2</v>
      </c>
    </row>
    <row r="825">
      <c r="A825">
        <f>IFERROR(__xludf.DUMMYFUNCTION("""COMPUTED_VALUE"""),169945.0)</f>
        <v>169945</v>
      </c>
      <c r="B825" t="str">
        <f>IFERROR(__xludf.DUMMYFUNCTION("""COMPUTED_VALUE"""),"Pineapple Canned Extra Heavy Syrup Pack Solids And Liquids")</f>
        <v>Pineapple Canned Extra Heavy Syrup Pack Solids And Liquids</v>
      </c>
      <c r="C825" t="str">
        <f>IFERROR(__xludf.DUMMYFUNCTION("""COMPUTED_VALUE"""),"Fruits")</f>
        <v>Fruits</v>
      </c>
      <c r="D825">
        <f>IFERROR(__xludf.DUMMYFUNCTION("""COMPUTED_VALUE"""),83.0)</f>
        <v>83</v>
      </c>
      <c r="E825">
        <f>IFERROR(__xludf.DUMMYFUNCTION("""COMPUTED_VALUE"""),0.11)</f>
        <v>0.11</v>
      </c>
      <c r="F825">
        <f>IFERROR(__xludf.DUMMYFUNCTION("""COMPUTED_VALUE"""),0.34)</f>
        <v>0.34</v>
      </c>
      <c r="G825">
        <f>IFERROR(__xludf.DUMMYFUNCTION("""COMPUTED_VALUE"""),21.5)</f>
        <v>21.5</v>
      </c>
    </row>
    <row r="826">
      <c r="A826">
        <f>IFERROR(__xludf.DUMMYFUNCTION("""COMPUTED_VALUE"""),169946.0)</f>
        <v>169946</v>
      </c>
      <c r="B826" t="str">
        <f>IFERROR(__xludf.DUMMYFUNCTION("""COMPUTED_VALUE"""),"Pineapple Frozen Chunks Sweetened")</f>
        <v>Pineapple Frozen Chunks Sweetened</v>
      </c>
      <c r="C826" t="str">
        <f>IFERROR(__xludf.DUMMYFUNCTION("""COMPUTED_VALUE"""),"Fruits")</f>
        <v>Fruits</v>
      </c>
      <c r="D826">
        <f>IFERROR(__xludf.DUMMYFUNCTION("""COMPUTED_VALUE"""),86.0)</f>
        <v>86</v>
      </c>
      <c r="E826">
        <f>IFERROR(__xludf.DUMMYFUNCTION("""COMPUTED_VALUE"""),0.1)</f>
        <v>0.1</v>
      </c>
      <c r="F826">
        <f>IFERROR(__xludf.DUMMYFUNCTION("""COMPUTED_VALUE"""),0.4)</f>
        <v>0.4</v>
      </c>
      <c r="G826">
        <f>IFERROR(__xludf.DUMMYFUNCTION("""COMPUTED_VALUE"""),22.2)</f>
        <v>22.2</v>
      </c>
    </row>
    <row r="827">
      <c r="A827">
        <f>IFERROR(__xludf.DUMMYFUNCTION("""COMPUTED_VALUE"""),169947.0)</f>
        <v>169947</v>
      </c>
      <c r="B827" t="str">
        <f>IFERROR(__xludf.DUMMYFUNCTION("""COMPUTED_VALUE"""),"Pineapple Juice Canned Or Bottled Unsweetened Without Added Ascorbic Acid")</f>
        <v>Pineapple Juice Canned Or Bottled Unsweetened Without Added Ascorbic Acid</v>
      </c>
      <c r="C827" t="str">
        <f>IFERROR(__xludf.DUMMYFUNCTION("""COMPUTED_VALUE"""),"Fruits")</f>
        <v>Fruits</v>
      </c>
      <c r="D827">
        <f>IFERROR(__xludf.DUMMYFUNCTION("""COMPUTED_VALUE"""),53.0)</f>
        <v>53</v>
      </c>
      <c r="E827">
        <f>IFERROR(__xludf.DUMMYFUNCTION("""COMPUTED_VALUE"""),0.12)</f>
        <v>0.12</v>
      </c>
      <c r="F827">
        <f>IFERROR(__xludf.DUMMYFUNCTION("""COMPUTED_VALUE"""),0.36)</f>
        <v>0.36</v>
      </c>
      <c r="G827">
        <f>IFERROR(__xludf.DUMMYFUNCTION("""COMPUTED_VALUE"""),12.87)</f>
        <v>12.87</v>
      </c>
    </row>
    <row r="828">
      <c r="A828">
        <f>IFERROR(__xludf.DUMMYFUNCTION("""COMPUTED_VALUE"""),169948.0)</f>
        <v>169948</v>
      </c>
      <c r="B828" t="str">
        <f>IFERROR(__xludf.DUMMYFUNCTION("""COMPUTED_VALUE"""),"Pineapple Juice Frozen Concentrate Unsweetened Undiluted")</f>
        <v>Pineapple Juice Frozen Concentrate Unsweetened Undiluted</v>
      </c>
      <c r="C828" t="str">
        <f>IFERROR(__xludf.DUMMYFUNCTION("""COMPUTED_VALUE"""),"Fruits")</f>
        <v>Fruits</v>
      </c>
      <c r="D828">
        <f>IFERROR(__xludf.DUMMYFUNCTION("""COMPUTED_VALUE"""),179.0)</f>
        <v>179</v>
      </c>
      <c r="E828">
        <f>IFERROR(__xludf.DUMMYFUNCTION("""COMPUTED_VALUE"""),0.1)</f>
        <v>0.1</v>
      </c>
      <c r="F828">
        <f>IFERROR(__xludf.DUMMYFUNCTION("""COMPUTED_VALUE"""),1.3)</f>
        <v>1.3</v>
      </c>
      <c r="G828">
        <f>IFERROR(__xludf.DUMMYFUNCTION("""COMPUTED_VALUE"""),44.3)</f>
        <v>44.3</v>
      </c>
    </row>
    <row r="829">
      <c r="A829">
        <f>IFERROR(__xludf.DUMMYFUNCTION("""COMPUTED_VALUE"""),169949.0)</f>
        <v>169949</v>
      </c>
      <c r="B829" t="str">
        <f>IFERROR(__xludf.DUMMYFUNCTION("""COMPUTED_VALUE"""),"Plums")</f>
        <v>Plums</v>
      </c>
      <c r="C829" t="str">
        <f>IFERROR(__xludf.DUMMYFUNCTION("""COMPUTED_VALUE"""),"Fruits")</f>
        <v>Fruits</v>
      </c>
      <c r="D829">
        <f>IFERROR(__xludf.DUMMYFUNCTION("""COMPUTED_VALUE"""),46.0)</f>
        <v>46</v>
      </c>
      <c r="E829">
        <f>IFERROR(__xludf.DUMMYFUNCTION("""COMPUTED_VALUE"""),0.28)</f>
        <v>0.28</v>
      </c>
      <c r="F829">
        <f>IFERROR(__xludf.DUMMYFUNCTION("""COMPUTED_VALUE"""),0.7)</f>
        <v>0.7</v>
      </c>
      <c r="G829">
        <f>IFERROR(__xludf.DUMMYFUNCTION("""COMPUTED_VALUE"""),11.42)</f>
        <v>11.42</v>
      </c>
    </row>
    <row r="830">
      <c r="A830">
        <f>IFERROR(__xludf.DUMMYFUNCTION("""COMPUTED_VALUE"""),169950.0)</f>
        <v>169950</v>
      </c>
      <c r="B830" t="str">
        <f>IFERROR(__xludf.DUMMYFUNCTION("""COMPUTED_VALUE"""),"Plums Canned Purple Water Pack Solids And Liquids")</f>
        <v>Plums Canned Purple Water Pack Solids And Liquids</v>
      </c>
      <c r="C830" t="str">
        <f>IFERROR(__xludf.DUMMYFUNCTION("""COMPUTED_VALUE"""),"Fruits")</f>
        <v>Fruits</v>
      </c>
      <c r="D830">
        <f>IFERROR(__xludf.DUMMYFUNCTION("""COMPUTED_VALUE"""),41.0)</f>
        <v>41</v>
      </c>
      <c r="E830">
        <f>IFERROR(__xludf.DUMMYFUNCTION("""COMPUTED_VALUE"""),0.01)</f>
        <v>0.01</v>
      </c>
      <c r="F830">
        <f>IFERROR(__xludf.DUMMYFUNCTION("""COMPUTED_VALUE"""),0.39)</f>
        <v>0.39</v>
      </c>
      <c r="G830">
        <f>IFERROR(__xludf.DUMMYFUNCTION("""COMPUTED_VALUE"""),11.03)</f>
        <v>11.03</v>
      </c>
    </row>
    <row r="831">
      <c r="A831">
        <f>IFERROR(__xludf.DUMMYFUNCTION("""COMPUTED_VALUE"""),169951.0)</f>
        <v>169951</v>
      </c>
      <c r="B831" t="str">
        <f>IFERROR(__xludf.DUMMYFUNCTION("""COMPUTED_VALUE"""),"Plums Canned Purple Juice Pack Solids And Liquids")</f>
        <v>Plums Canned Purple Juice Pack Solids And Liquids</v>
      </c>
      <c r="C831" t="str">
        <f>IFERROR(__xludf.DUMMYFUNCTION("""COMPUTED_VALUE"""),"Fruits")</f>
        <v>Fruits</v>
      </c>
      <c r="D831">
        <f>IFERROR(__xludf.DUMMYFUNCTION("""COMPUTED_VALUE"""),58.0)</f>
        <v>58</v>
      </c>
      <c r="E831">
        <f>IFERROR(__xludf.DUMMYFUNCTION("""COMPUTED_VALUE"""),0.02)</f>
        <v>0.02</v>
      </c>
      <c r="F831">
        <f>IFERROR(__xludf.DUMMYFUNCTION("""COMPUTED_VALUE"""),0.51)</f>
        <v>0.51</v>
      </c>
      <c r="G831">
        <f>IFERROR(__xludf.DUMMYFUNCTION("""COMPUTED_VALUE"""),15.15)</f>
        <v>15.15</v>
      </c>
    </row>
    <row r="832">
      <c r="A832">
        <f>IFERROR(__xludf.DUMMYFUNCTION("""COMPUTED_VALUE"""),169952.0)</f>
        <v>169952</v>
      </c>
      <c r="B832" t="str">
        <f>IFERROR(__xludf.DUMMYFUNCTION("""COMPUTED_VALUE"""),"Plums Canned Purple Light Syrup Pack Solids And Liquids")</f>
        <v>Plums Canned Purple Light Syrup Pack Solids And Liquids</v>
      </c>
      <c r="C832" t="str">
        <f>IFERROR(__xludf.DUMMYFUNCTION("""COMPUTED_VALUE"""),"Fruits")</f>
        <v>Fruits</v>
      </c>
      <c r="D832">
        <f>IFERROR(__xludf.DUMMYFUNCTION("""COMPUTED_VALUE"""),63.0)</f>
        <v>63</v>
      </c>
      <c r="E832">
        <f>IFERROR(__xludf.DUMMYFUNCTION("""COMPUTED_VALUE"""),0.1)</f>
        <v>0.1</v>
      </c>
      <c r="F832">
        <f>IFERROR(__xludf.DUMMYFUNCTION("""COMPUTED_VALUE"""),0.37)</f>
        <v>0.37</v>
      </c>
      <c r="G832">
        <f>IFERROR(__xludf.DUMMYFUNCTION("""COMPUTED_VALUE"""),16.28)</f>
        <v>16.28</v>
      </c>
    </row>
    <row r="833">
      <c r="A833">
        <f>IFERROR(__xludf.DUMMYFUNCTION("""COMPUTED_VALUE"""),169953.0)</f>
        <v>169953</v>
      </c>
      <c r="B833" t="str">
        <f>IFERROR(__xludf.DUMMYFUNCTION("""COMPUTED_VALUE"""),"Lima Beans Immature Seeds Frozen Fordhook Unprepared")</f>
        <v>Lima Beans Immature Seeds Frozen Fordhook Unprepared</v>
      </c>
      <c r="C833" t="str">
        <f>IFERROR(__xludf.DUMMYFUNCTION("""COMPUTED_VALUE"""),"Vegetables")</f>
        <v>Vegetables</v>
      </c>
      <c r="D833">
        <f>IFERROR(__xludf.DUMMYFUNCTION("""COMPUTED_VALUE"""),106.0)</f>
        <v>106</v>
      </c>
      <c r="E833">
        <f>IFERROR(__xludf.DUMMYFUNCTION("""COMPUTED_VALUE"""),0.35)</f>
        <v>0.35</v>
      </c>
      <c r="F833">
        <f>IFERROR(__xludf.DUMMYFUNCTION("""COMPUTED_VALUE"""),6.4)</f>
        <v>6.4</v>
      </c>
      <c r="G833">
        <f>IFERROR(__xludf.DUMMYFUNCTION("""COMPUTED_VALUE"""),19.83)</f>
        <v>19.83</v>
      </c>
    </row>
    <row r="834">
      <c r="A834">
        <f>IFERROR(__xludf.DUMMYFUNCTION("""COMPUTED_VALUE"""),169954.0)</f>
        <v>169954</v>
      </c>
      <c r="B834" t="str">
        <f>IFERROR(__xludf.DUMMYFUNCTION("""COMPUTED_VALUE"""),"Lima Beans Immature Seeds Frozen Fordhook Cooked Boiled Drained Without Salt")</f>
        <v>Lima Beans Immature Seeds Frozen Fordhook Cooked Boiled Drained Without Salt</v>
      </c>
      <c r="C834" t="str">
        <f>IFERROR(__xludf.DUMMYFUNCTION("""COMPUTED_VALUE"""),"Vegetables")</f>
        <v>Vegetables</v>
      </c>
      <c r="D834">
        <f>IFERROR(__xludf.DUMMYFUNCTION("""COMPUTED_VALUE"""),103.0)</f>
        <v>103</v>
      </c>
      <c r="E834">
        <f>IFERROR(__xludf.DUMMYFUNCTION("""COMPUTED_VALUE"""),0.34)</f>
        <v>0.34</v>
      </c>
      <c r="F834">
        <f>IFERROR(__xludf.DUMMYFUNCTION("""COMPUTED_VALUE"""),6.07)</f>
        <v>6.07</v>
      </c>
      <c r="G834">
        <f>IFERROR(__xludf.DUMMYFUNCTION("""COMPUTED_VALUE"""),19.32)</f>
        <v>19.32</v>
      </c>
    </row>
    <row r="835">
      <c r="A835">
        <f>IFERROR(__xludf.DUMMYFUNCTION("""COMPUTED_VALUE"""),169955.0)</f>
        <v>169955</v>
      </c>
      <c r="B835" t="str">
        <f>IFERROR(__xludf.DUMMYFUNCTION("""COMPUTED_VALUE"""),"Lima Beans Immature Seeds Frozen Baby Unprepared")</f>
        <v>Lima Beans Immature Seeds Frozen Baby Unprepared</v>
      </c>
      <c r="C835" t="str">
        <f>IFERROR(__xludf.DUMMYFUNCTION("""COMPUTED_VALUE"""),"Vegetables")</f>
        <v>Vegetables</v>
      </c>
      <c r="D835">
        <f>IFERROR(__xludf.DUMMYFUNCTION("""COMPUTED_VALUE"""),132.0)</f>
        <v>132</v>
      </c>
      <c r="E835">
        <f>IFERROR(__xludf.DUMMYFUNCTION("""COMPUTED_VALUE"""),0.44)</f>
        <v>0.44</v>
      </c>
      <c r="F835">
        <f>IFERROR(__xludf.DUMMYFUNCTION("""COMPUTED_VALUE"""),7.59)</f>
        <v>7.59</v>
      </c>
      <c r="G835">
        <f>IFERROR(__xludf.DUMMYFUNCTION("""COMPUTED_VALUE"""),25.14)</f>
        <v>25.14</v>
      </c>
    </row>
    <row r="836">
      <c r="A836">
        <f>IFERROR(__xludf.DUMMYFUNCTION("""COMPUTED_VALUE"""),169956.0)</f>
        <v>169956</v>
      </c>
      <c r="B836" t="str">
        <f>IFERROR(__xludf.DUMMYFUNCTION("""COMPUTED_VALUE"""),"Lima Beans Immature Seeds Frozen Baby Cooked Boiled Drained Without Salt")</f>
        <v>Lima Beans Immature Seeds Frozen Baby Cooked Boiled Drained Without Salt</v>
      </c>
      <c r="C836" t="str">
        <f>IFERROR(__xludf.DUMMYFUNCTION("""COMPUTED_VALUE"""),"Vegetables")</f>
        <v>Vegetables</v>
      </c>
      <c r="D836">
        <f>IFERROR(__xludf.DUMMYFUNCTION("""COMPUTED_VALUE"""),105.0)</f>
        <v>105</v>
      </c>
      <c r="E836">
        <f>IFERROR(__xludf.DUMMYFUNCTION("""COMPUTED_VALUE"""),0.3)</f>
        <v>0.3</v>
      </c>
      <c r="F836">
        <f>IFERROR(__xludf.DUMMYFUNCTION("""COMPUTED_VALUE"""),6.65)</f>
        <v>6.65</v>
      </c>
      <c r="G836">
        <f>IFERROR(__xludf.DUMMYFUNCTION("""COMPUTED_VALUE"""),19.45)</f>
        <v>19.45</v>
      </c>
    </row>
    <row r="837">
      <c r="A837">
        <f>IFERROR(__xludf.DUMMYFUNCTION("""COMPUTED_VALUE"""),169957.0)</f>
        <v>169957</v>
      </c>
      <c r="B837" t="str">
        <f>IFERROR(__xludf.DUMMYFUNCTION("""COMPUTED_VALUE"""),"Mung Bean Sprouts")</f>
        <v>Mung Bean Sprouts</v>
      </c>
      <c r="C837" t="str">
        <f>IFERROR(__xludf.DUMMYFUNCTION("""COMPUTED_VALUE"""),"Vegetables")</f>
        <v>Vegetables</v>
      </c>
      <c r="D837">
        <f>IFERROR(__xludf.DUMMYFUNCTION("""COMPUTED_VALUE"""),30.0)</f>
        <v>30</v>
      </c>
      <c r="E837">
        <f>IFERROR(__xludf.DUMMYFUNCTION("""COMPUTED_VALUE"""),0.18)</f>
        <v>0.18</v>
      </c>
      <c r="F837">
        <f>IFERROR(__xludf.DUMMYFUNCTION("""COMPUTED_VALUE"""),3.04)</f>
        <v>3.04</v>
      </c>
      <c r="G837">
        <f>IFERROR(__xludf.DUMMYFUNCTION("""COMPUTED_VALUE"""),5.94)</f>
        <v>5.94</v>
      </c>
    </row>
    <row r="838">
      <c r="A838">
        <f>IFERROR(__xludf.DUMMYFUNCTION("""COMPUTED_VALUE"""),169958.0)</f>
        <v>169958</v>
      </c>
      <c r="B838" t="str">
        <f>IFERROR(__xludf.DUMMYFUNCTION("""COMPUTED_VALUE"""),"Beans Pinto Immature Seeds Frozen Unprepared")</f>
        <v>Beans Pinto Immature Seeds Frozen Unprepared</v>
      </c>
      <c r="C838" t="str">
        <f>IFERROR(__xludf.DUMMYFUNCTION("""COMPUTED_VALUE"""),"Vegetables")</f>
        <v>Vegetables</v>
      </c>
      <c r="D838">
        <f>IFERROR(__xludf.DUMMYFUNCTION("""COMPUTED_VALUE"""),170.0)</f>
        <v>170</v>
      </c>
      <c r="E838">
        <f>IFERROR(__xludf.DUMMYFUNCTION("""COMPUTED_VALUE"""),0.5)</f>
        <v>0.5</v>
      </c>
      <c r="F838">
        <f>IFERROR(__xludf.DUMMYFUNCTION("""COMPUTED_VALUE"""),9.8)</f>
        <v>9.8</v>
      </c>
      <c r="G838">
        <f>IFERROR(__xludf.DUMMYFUNCTION("""COMPUTED_VALUE"""),32.5)</f>
        <v>32.5</v>
      </c>
    </row>
    <row r="839">
      <c r="A839">
        <f>IFERROR(__xludf.DUMMYFUNCTION("""COMPUTED_VALUE"""),169959.0)</f>
        <v>169959</v>
      </c>
      <c r="B839" t="str">
        <f>IFERROR(__xludf.DUMMYFUNCTION("""COMPUTED_VALUE"""),"Beans Pinto Immature Seeds Frozen Cooked Boiled Drained Without Salt")</f>
        <v>Beans Pinto Immature Seeds Frozen Cooked Boiled Drained Without Salt</v>
      </c>
      <c r="C839" t="str">
        <f>IFERROR(__xludf.DUMMYFUNCTION("""COMPUTED_VALUE"""),"Vegetables")</f>
        <v>Vegetables</v>
      </c>
      <c r="D839">
        <f>IFERROR(__xludf.DUMMYFUNCTION("""COMPUTED_VALUE"""),162.0)</f>
        <v>162</v>
      </c>
      <c r="E839">
        <f>IFERROR(__xludf.DUMMYFUNCTION("""COMPUTED_VALUE"""),0.48)</f>
        <v>0.48</v>
      </c>
      <c r="F839">
        <f>IFERROR(__xludf.DUMMYFUNCTION("""COMPUTED_VALUE"""),9.31)</f>
        <v>9.31</v>
      </c>
      <c r="G839">
        <f>IFERROR(__xludf.DUMMYFUNCTION("""COMPUTED_VALUE"""),30.87)</f>
        <v>30.87</v>
      </c>
    </row>
    <row r="840">
      <c r="A840">
        <f>IFERROR(__xludf.DUMMYFUNCTION("""COMPUTED_VALUE"""),169960.0)</f>
        <v>169960</v>
      </c>
      <c r="B840" t="str">
        <f>IFERROR(__xludf.DUMMYFUNCTION("""COMPUTED_VALUE"""),"Beans Shellie Canned Solids And Liquids")</f>
        <v>Beans Shellie Canned Solids And Liquids</v>
      </c>
      <c r="C840" t="str">
        <f>IFERROR(__xludf.DUMMYFUNCTION("""COMPUTED_VALUE"""),"Vegetables")</f>
        <v>Vegetables</v>
      </c>
      <c r="D840">
        <f>IFERROR(__xludf.DUMMYFUNCTION("""COMPUTED_VALUE"""),30.0)</f>
        <v>30</v>
      </c>
      <c r="E840">
        <f>IFERROR(__xludf.DUMMYFUNCTION("""COMPUTED_VALUE"""),0.19)</f>
        <v>0.19</v>
      </c>
      <c r="F840">
        <f>IFERROR(__xludf.DUMMYFUNCTION("""COMPUTED_VALUE"""),1.76)</f>
        <v>1.76</v>
      </c>
      <c r="G840">
        <f>IFERROR(__xludf.DUMMYFUNCTION("""COMPUTED_VALUE"""),6.19)</f>
        <v>6.19</v>
      </c>
    </row>
    <row r="841">
      <c r="A841">
        <f>IFERROR(__xludf.DUMMYFUNCTION("""COMPUTED_VALUE"""),169961.0)</f>
        <v>169961</v>
      </c>
      <c r="B841" t="str">
        <f>IFERROR(__xludf.DUMMYFUNCTION("""COMPUTED_VALUE"""),"Green Snap Beans (Raw)")</f>
        <v>Green Snap Beans (Raw)</v>
      </c>
      <c r="C841" t="str">
        <f>IFERROR(__xludf.DUMMYFUNCTION("""COMPUTED_VALUE"""),"Vegetables")</f>
        <v>Vegetables</v>
      </c>
      <c r="D841">
        <f>IFERROR(__xludf.DUMMYFUNCTION("""COMPUTED_VALUE"""),31.0)</f>
        <v>31</v>
      </c>
      <c r="E841">
        <f>IFERROR(__xludf.DUMMYFUNCTION("""COMPUTED_VALUE"""),0.22)</f>
        <v>0.22</v>
      </c>
      <c r="F841">
        <f>IFERROR(__xludf.DUMMYFUNCTION("""COMPUTED_VALUE"""),1.83)</f>
        <v>1.83</v>
      </c>
      <c r="G841">
        <f>IFERROR(__xludf.DUMMYFUNCTION("""COMPUTED_VALUE"""),6.97)</f>
        <v>6.97</v>
      </c>
    </row>
    <row r="842">
      <c r="A842">
        <f>IFERROR(__xludf.DUMMYFUNCTION("""COMPUTED_VALUE"""),169962.0)</f>
        <v>169962</v>
      </c>
      <c r="B842" t="str">
        <f>IFERROR(__xludf.DUMMYFUNCTION("""COMPUTED_VALUE"""),"Beans Snap Green Frozen All Styles Unprepared")</f>
        <v>Beans Snap Green Frozen All Styles Unprepared</v>
      </c>
      <c r="C842" t="str">
        <f>IFERROR(__xludf.DUMMYFUNCTION("""COMPUTED_VALUE"""),"Vegetables")</f>
        <v>Vegetables</v>
      </c>
      <c r="D842">
        <f>IFERROR(__xludf.DUMMYFUNCTION("""COMPUTED_VALUE"""),33.0)</f>
        <v>33</v>
      </c>
      <c r="E842">
        <f>IFERROR(__xludf.DUMMYFUNCTION("""COMPUTED_VALUE"""),0.21)</f>
        <v>0.21</v>
      </c>
      <c r="F842">
        <f>IFERROR(__xludf.DUMMYFUNCTION("""COMPUTED_VALUE"""),1.79)</f>
        <v>1.79</v>
      </c>
      <c r="G842">
        <f>IFERROR(__xludf.DUMMYFUNCTION("""COMPUTED_VALUE"""),7.54)</f>
        <v>7.54</v>
      </c>
    </row>
    <row r="843">
      <c r="A843">
        <f>IFERROR(__xludf.DUMMYFUNCTION("""COMPUTED_VALUE"""),169963.0)</f>
        <v>169963</v>
      </c>
      <c r="B843" t="str">
        <f>IFERROR(__xludf.DUMMYFUNCTION("""COMPUTED_VALUE"""),"Cooked Green Beans (Previously Frozen)")</f>
        <v>Cooked Green Beans (Previously Frozen)</v>
      </c>
      <c r="C843" t="str">
        <f>IFERROR(__xludf.DUMMYFUNCTION("""COMPUTED_VALUE"""),"Vegetables")</f>
        <v>Vegetables</v>
      </c>
      <c r="D843">
        <f>IFERROR(__xludf.DUMMYFUNCTION("""COMPUTED_VALUE"""),28.0)</f>
        <v>28</v>
      </c>
      <c r="E843">
        <f>IFERROR(__xludf.DUMMYFUNCTION("""COMPUTED_VALUE"""),0.17)</f>
        <v>0.17</v>
      </c>
      <c r="F843">
        <f>IFERROR(__xludf.DUMMYFUNCTION("""COMPUTED_VALUE"""),1.49)</f>
        <v>1.49</v>
      </c>
      <c r="G843">
        <f>IFERROR(__xludf.DUMMYFUNCTION("""COMPUTED_VALUE"""),6.45)</f>
        <v>6.45</v>
      </c>
    </row>
    <row r="844">
      <c r="A844">
        <f>IFERROR(__xludf.DUMMYFUNCTION("""COMPUTED_VALUE"""),169964.0)</f>
        <v>169964</v>
      </c>
      <c r="B844" t="str">
        <f>IFERROR(__xludf.DUMMYFUNCTION("""COMPUTED_VALUE"""),"Beans Snap Green Frozen All Styles Microwaved")</f>
        <v>Beans Snap Green Frozen All Styles Microwaved</v>
      </c>
      <c r="C844" t="str">
        <f>IFERROR(__xludf.DUMMYFUNCTION("""COMPUTED_VALUE"""),"Vegetables")</f>
        <v>Vegetables</v>
      </c>
      <c r="D844">
        <f>IFERROR(__xludf.DUMMYFUNCTION("""COMPUTED_VALUE"""),33.0)</f>
        <v>33</v>
      </c>
      <c r="E844">
        <f>IFERROR(__xludf.DUMMYFUNCTION("""COMPUTED_VALUE"""),0.41)</f>
        <v>0.41</v>
      </c>
      <c r="F844">
        <f>IFERROR(__xludf.DUMMYFUNCTION("""COMPUTED_VALUE"""),1.98)</f>
        <v>1.98</v>
      </c>
      <c r="G844">
        <f>IFERROR(__xludf.DUMMYFUNCTION("""COMPUTED_VALUE"""),6.98)</f>
        <v>6.98</v>
      </c>
    </row>
    <row r="845">
      <c r="A845">
        <f>IFERROR(__xludf.DUMMYFUNCTION("""COMPUTED_VALUE"""),169965.0)</f>
        <v>169965</v>
      </c>
      <c r="B845" t="str">
        <f>IFERROR(__xludf.DUMMYFUNCTION("""COMPUTED_VALUE"""),"Beans Snap Green Microwaved")</f>
        <v>Beans Snap Green Microwaved</v>
      </c>
      <c r="C845" t="str">
        <f>IFERROR(__xludf.DUMMYFUNCTION("""COMPUTED_VALUE"""),"Vegetables")</f>
        <v>Vegetables</v>
      </c>
      <c r="D845">
        <f>IFERROR(__xludf.DUMMYFUNCTION("""COMPUTED_VALUE"""),33.0)</f>
        <v>33</v>
      </c>
      <c r="E845">
        <f>IFERROR(__xludf.DUMMYFUNCTION("""COMPUTED_VALUE"""),0.5)</f>
        <v>0.5</v>
      </c>
      <c r="F845">
        <f>IFERROR(__xludf.DUMMYFUNCTION("""COMPUTED_VALUE"""),2.31)</f>
        <v>2.31</v>
      </c>
      <c r="G845">
        <f>IFERROR(__xludf.DUMMYFUNCTION("""COMPUTED_VALUE"""),6.41)</f>
        <v>6.41</v>
      </c>
    </row>
    <row r="846">
      <c r="A846">
        <f>IFERROR(__xludf.DUMMYFUNCTION("""COMPUTED_VALUE"""),169966.0)</f>
        <v>169966</v>
      </c>
      <c r="B846" t="str">
        <f>IFERROR(__xludf.DUMMYFUNCTION("""COMPUTED_VALUE"""),"Beets Canned Drained Solids")</f>
        <v>Beets Canned Drained Solids</v>
      </c>
      <c r="C846" t="str">
        <f>IFERROR(__xludf.DUMMYFUNCTION("""COMPUTED_VALUE"""),"Vegetables")</f>
        <v>Vegetables</v>
      </c>
      <c r="D846">
        <f>IFERROR(__xludf.DUMMYFUNCTION("""COMPUTED_VALUE"""),31.0)</f>
        <v>31</v>
      </c>
      <c r="E846">
        <f>IFERROR(__xludf.DUMMYFUNCTION("""COMPUTED_VALUE"""),0.14)</f>
        <v>0.14</v>
      </c>
      <c r="F846">
        <f>IFERROR(__xludf.DUMMYFUNCTION("""COMPUTED_VALUE"""),0.91)</f>
        <v>0.91</v>
      </c>
      <c r="G846">
        <f>IFERROR(__xludf.DUMMYFUNCTION("""COMPUTED_VALUE"""),7.21)</f>
        <v>7.21</v>
      </c>
    </row>
    <row r="847">
      <c r="A847">
        <f>IFERROR(__xludf.DUMMYFUNCTION("""COMPUTED_VALUE"""),169967.0)</f>
        <v>169967</v>
      </c>
      <c r="B847" t="str">
        <f>IFERROR(__xludf.DUMMYFUNCTION("""COMPUTED_VALUE"""),"Broccoli (Cooked)")</f>
        <v>Broccoli (Cooked)</v>
      </c>
      <c r="C847" t="str">
        <f>IFERROR(__xludf.DUMMYFUNCTION("""COMPUTED_VALUE"""),"Vegetables")</f>
        <v>Vegetables</v>
      </c>
      <c r="D847">
        <f>IFERROR(__xludf.DUMMYFUNCTION("""COMPUTED_VALUE"""),35.0)</f>
        <v>35</v>
      </c>
      <c r="E847">
        <f>IFERROR(__xludf.DUMMYFUNCTION("""COMPUTED_VALUE"""),0.41)</f>
        <v>0.41</v>
      </c>
      <c r="F847">
        <f>IFERROR(__xludf.DUMMYFUNCTION("""COMPUTED_VALUE"""),2.38)</f>
        <v>2.38</v>
      </c>
      <c r="G847">
        <f>IFERROR(__xludf.DUMMYFUNCTION("""COMPUTED_VALUE"""),7.18)</f>
        <v>7.18</v>
      </c>
    </row>
    <row r="848">
      <c r="A848">
        <f>IFERROR(__xludf.DUMMYFUNCTION("""COMPUTED_VALUE"""),169968.0)</f>
        <v>169968</v>
      </c>
      <c r="B848" t="str">
        <f>IFERROR(__xludf.DUMMYFUNCTION("""COMPUTED_VALUE"""),"Broccoli Frozen Chopped Unprepared")</f>
        <v>Broccoli Frozen Chopped Unprepared</v>
      </c>
      <c r="C848" t="str">
        <f>IFERROR(__xludf.DUMMYFUNCTION("""COMPUTED_VALUE"""),"Vegetables")</f>
        <v>Vegetables</v>
      </c>
      <c r="D848">
        <f>IFERROR(__xludf.DUMMYFUNCTION("""COMPUTED_VALUE"""),26.0)</f>
        <v>26</v>
      </c>
      <c r="E848">
        <f>IFERROR(__xludf.DUMMYFUNCTION("""COMPUTED_VALUE"""),0.29)</f>
        <v>0.29</v>
      </c>
      <c r="F848">
        <f>IFERROR(__xludf.DUMMYFUNCTION("""COMPUTED_VALUE"""),2.81)</f>
        <v>2.81</v>
      </c>
      <c r="G848">
        <f>IFERROR(__xludf.DUMMYFUNCTION("""COMPUTED_VALUE"""),4.78)</f>
        <v>4.78</v>
      </c>
    </row>
    <row r="849">
      <c r="A849">
        <f>IFERROR(__xludf.DUMMYFUNCTION("""COMPUTED_VALUE"""),169969.0)</f>
        <v>169969</v>
      </c>
      <c r="B849" t="str">
        <f>IFERROR(__xludf.DUMMYFUNCTION("""COMPUTED_VALUE"""),"Broccoli Frozen Chopped Cooked Boiled Drained Without Salt")</f>
        <v>Broccoli Frozen Chopped Cooked Boiled Drained Without Salt</v>
      </c>
      <c r="C849" t="str">
        <f>IFERROR(__xludf.DUMMYFUNCTION("""COMPUTED_VALUE"""),"Vegetables")</f>
        <v>Vegetables</v>
      </c>
      <c r="D849">
        <f>IFERROR(__xludf.DUMMYFUNCTION("""COMPUTED_VALUE"""),28.0)</f>
        <v>28</v>
      </c>
      <c r="E849">
        <f>IFERROR(__xludf.DUMMYFUNCTION("""COMPUTED_VALUE"""),0.12)</f>
        <v>0.12</v>
      </c>
      <c r="F849">
        <f>IFERROR(__xludf.DUMMYFUNCTION("""COMPUTED_VALUE"""),3.1)</f>
        <v>3.1</v>
      </c>
      <c r="G849">
        <f>IFERROR(__xludf.DUMMYFUNCTION("""COMPUTED_VALUE"""),5.35)</f>
        <v>5.35</v>
      </c>
    </row>
    <row r="850">
      <c r="A850">
        <f>IFERROR(__xludf.DUMMYFUNCTION("""COMPUTED_VALUE"""),169970.0)</f>
        <v>169970</v>
      </c>
      <c r="B850" t="str">
        <f>IFERROR(__xludf.DUMMYFUNCTION("""COMPUTED_VALUE"""),"Broccoli Frozen Spears Unprepared")</f>
        <v>Broccoli Frozen Spears Unprepared</v>
      </c>
      <c r="C850" t="str">
        <f>IFERROR(__xludf.DUMMYFUNCTION("""COMPUTED_VALUE"""),"Vegetables")</f>
        <v>Vegetables</v>
      </c>
      <c r="D850">
        <f>IFERROR(__xludf.DUMMYFUNCTION("""COMPUTED_VALUE"""),29.0)</f>
        <v>29</v>
      </c>
      <c r="E850">
        <f>IFERROR(__xludf.DUMMYFUNCTION("""COMPUTED_VALUE"""),0.34)</f>
        <v>0.34</v>
      </c>
      <c r="F850">
        <f>IFERROR(__xludf.DUMMYFUNCTION("""COMPUTED_VALUE"""),3.06)</f>
        <v>3.06</v>
      </c>
      <c r="G850">
        <f>IFERROR(__xludf.DUMMYFUNCTION("""COMPUTED_VALUE"""),5.35)</f>
        <v>5.35</v>
      </c>
    </row>
    <row r="851">
      <c r="A851">
        <f>IFERROR(__xludf.DUMMYFUNCTION("""COMPUTED_VALUE"""),169971.0)</f>
        <v>169971</v>
      </c>
      <c r="B851" t="str">
        <f>IFERROR(__xludf.DUMMYFUNCTION("""COMPUTED_VALUE"""),"Brussels Sprouts (Cooked)")</f>
        <v>Brussels Sprouts (Cooked)</v>
      </c>
      <c r="C851" t="str">
        <f>IFERROR(__xludf.DUMMYFUNCTION("""COMPUTED_VALUE"""),"Vegetables")</f>
        <v>Vegetables</v>
      </c>
      <c r="D851">
        <f>IFERROR(__xludf.DUMMYFUNCTION("""COMPUTED_VALUE"""),36.0)</f>
        <v>36</v>
      </c>
      <c r="E851">
        <f>IFERROR(__xludf.DUMMYFUNCTION("""COMPUTED_VALUE"""),0.5)</f>
        <v>0.5</v>
      </c>
      <c r="F851">
        <f>IFERROR(__xludf.DUMMYFUNCTION("""COMPUTED_VALUE"""),2.55)</f>
        <v>2.55</v>
      </c>
      <c r="G851">
        <f>IFERROR(__xludf.DUMMYFUNCTION("""COMPUTED_VALUE"""),7.1)</f>
        <v>7.1</v>
      </c>
    </row>
    <row r="852">
      <c r="A852">
        <f>IFERROR(__xludf.DUMMYFUNCTION("""COMPUTED_VALUE"""),169972.0)</f>
        <v>169972</v>
      </c>
      <c r="B852" t="str">
        <f>IFERROR(__xludf.DUMMYFUNCTION("""COMPUTED_VALUE"""),"Brussels Sprouts Frozen Unprepared")</f>
        <v>Brussels Sprouts Frozen Unprepared</v>
      </c>
      <c r="C852" t="str">
        <f>IFERROR(__xludf.DUMMYFUNCTION("""COMPUTED_VALUE"""),"Vegetables")</f>
        <v>Vegetables</v>
      </c>
      <c r="D852">
        <f>IFERROR(__xludf.DUMMYFUNCTION("""COMPUTED_VALUE"""),41.0)</f>
        <v>41</v>
      </c>
      <c r="E852">
        <f>IFERROR(__xludf.DUMMYFUNCTION("""COMPUTED_VALUE"""),0.41)</f>
        <v>0.41</v>
      </c>
      <c r="F852">
        <f>IFERROR(__xludf.DUMMYFUNCTION("""COMPUTED_VALUE"""),3.78)</f>
        <v>3.78</v>
      </c>
      <c r="G852">
        <f>IFERROR(__xludf.DUMMYFUNCTION("""COMPUTED_VALUE"""),7.86)</f>
        <v>7.86</v>
      </c>
    </row>
    <row r="853">
      <c r="A853">
        <f>IFERROR(__xludf.DUMMYFUNCTION("""COMPUTED_VALUE"""),169973.0)</f>
        <v>169973</v>
      </c>
      <c r="B853" t="str">
        <f>IFERROR(__xludf.DUMMYFUNCTION("""COMPUTED_VALUE"""),"Brussels Sprouts Frozen Cooked Boiled Drained Without Salt")</f>
        <v>Brussels Sprouts Frozen Cooked Boiled Drained Without Salt</v>
      </c>
      <c r="C853" t="str">
        <f>IFERROR(__xludf.DUMMYFUNCTION("""COMPUTED_VALUE"""),"Vegetables")</f>
        <v>Vegetables</v>
      </c>
      <c r="D853">
        <f>IFERROR(__xludf.DUMMYFUNCTION("""COMPUTED_VALUE"""),42.0)</f>
        <v>42</v>
      </c>
      <c r="E853">
        <f>IFERROR(__xludf.DUMMYFUNCTION("""COMPUTED_VALUE"""),0.39)</f>
        <v>0.39</v>
      </c>
      <c r="F853">
        <f>IFERROR(__xludf.DUMMYFUNCTION("""COMPUTED_VALUE"""),3.64)</f>
        <v>3.64</v>
      </c>
      <c r="G853">
        <f>IFERROR(__xludf.DUMMYFUNCTION("""COMPUTED_VALUE"""),8.32)</f>
        <v>8.32</v>
      </c>
    </row>
    <row r="854">
      <c r="A854">
        <f>IFERROR(__xludf.DUMMYFUNCTION("""COMPUTED_VALUE"""),169974.0)</f>
        <v>169974</v>
      </c>
      <c r="B854" t="str">
        <f>IFERROR(__xludf.DUMMYFUNCTION("""COMPUTED_VALUE"""),"Burdock Root Raw")</f>
        <v>Burdock Root Raw</v>
      </c>
      <c r="C854" t="str">
        <f>IFERROR(__xludf.DUMMYFUNCTION("""COMPUTED_VALUE"""),"Vegetables")</f>
        <v>Vegetables</v>
      </c>
      <c r="D854">
        <f>IFERROR(__xludf.DUMMYFUNCTION("""COMPUTED_VALUE"""),72.0)</f>
        <v>72</v>
      </c>
      <c r="E854">
        <f>IFERROR(__xludf.DUMMYFUNCTION("""COMPUTED_VALUE"""),0.15)</f>
        <v>0.15</v>
      </c>
      <c r="F854">
        <f>IFERROR(__xludf.DUMMYFUNCTION("""COMPUTED_VALUE"""),1.53)</f>
        <v>1.53</v>
      </c>
      <c r="G854">
        <f>IFERROR(__xludf.DUMMYFUNCTION("""COMPUTED_VALUE"""),17.34)</f>
        <v>17.34</v>
      </c>
    </row>
    <row r="855">
      <c r="A855">
        <f>IFERROR(__xludf.DUMMYFUNCTION("""COMPUTED_VALUE"""),169975.0)</f>
        <v>169975</v>
      </c>
      <c r="B855" t="str">
        <f>IFERROR(__xludf.DUMMYFUNCTION("""COMPUTED_VALUE"""),"Cabbage")</f>
        <v>Cabbage</v>
      </c>
      <c r="C855" t="str">
        <f>IFERROR(__xludf.DUMMYFUNCTION("""COMPUTED_VALUE"""),"Vegetables")</f>
        <v>Vegetables</v>
      </c>
      <c r="D855">
        <f>IFERROR(__xludf.DUMMYFUNCTION("""COMPUTED_VALUE"""),25.0)</f>
        <v>25</v>
      </c>
      <c r="E855">
        <f>IFERROR(__xludf.DUMMYFUNCTION("""COMPUTED_VALUE"""),0.1)</f>
        <v>0.1</v>
      </c>
      <c r="F855">
        <f>IFERROR(__xludf.DUMMYFUNCTION("""COMPUTED_VALUE"""),1.28)</f>
        <v>1.28</v>
      </c>
      <c r="G855">
        <f>IFERROR(__xludf.DUMMYFUNCTION("""COMPUTED_VALUE"""),5.8)</f>
        <v>5.8</v>
      </c>
    </row>
    <row r="856">
      <c r="A856">
        <f>IFERROR(__xludf.DUMMYFUNCTION("""COMPUTED_VALUE"""),169976.0)</f>
        <v>169976</v>
      </c>
      <c r="B856" t="str">
        <f>IFERROR(__xludf.DUMMYFUNCTION("""COMPUTED_VALUE"""),"Cooked Cabbage")</f>
        <v>Cooked Cabbage</v>
      </c>
      <c r="C856" t="str">
        <f>IFERROR(__xludf.DUMMYFUNCTION("""COMPUTED_VALUE"""),"Vegetables")</f>
        <v>Vegetables</v>
      </c>
      <c r="D856">
        <f>IFERROR(__xludf.DUMMYFUNCTION("""COMPUTED_VALUE"""),23.0)</f>
        <v>23</v>
      </c>
      <c r="E856">
        <f>IFERROR(__xludf.DUMMYFUNCTION("""COMPUTED_VALUE"""),0.06)</f>
        <v>0.06</v>
      </c>
      <c r="F856">
        <f>IFERROR(__xludf.DUMMYFUNCTION("""COMPUTED_VALUE"""),1.27)</f>
        <v>1.27</v>
      </c>
      <c r="G856">
        <f>IFERROR(__xludf.DUMMYFUNCTION("""COMPUTED_VALUE"""),5.51)</f>
        <v>5.51</v>
      </c>
    </row>
    <row r="857">
      <c r="A857">
        <f>IFERROR(__xludf.DUMMYFUNCTION("""COMPUTED_VALUE"""),169977.0)</f>
        <v>169977</v>
      </c>
      <c r="B857" t="str">
        <f>IFERROR(__xludf.DUMMYFUNCTION("""COMPUTED_VALUE"""),"Red Cabbage")</f>
        <v>Red Cabbage</v>
      </c>
      <c r="C857" t="str">
        <f>IFERROR(__xludf.DUMMYFUNCTION("""COMPUTED_VALUE"""),"Vegetables")</f>
        <v>Vegetables</v>
      </c>
      <c r="D857">
        <f>IFERROR(__xludf.DUMMYFUNCTION("""COMPUTED_VALUE"""),31.0)</f>
        <v>31</v>
      </c>
      <c r="E857">
        <f>IFERROR(__xludf.DUMMYFUNCTION("""COMPUTED_VALUE"""),0.16)</f>
        <v>0.16</v>
      </c>
      <c r="F857">
        <f>IFERROR(__xludf.DUMMYFUNCTION("""COMPUTED_VALUE"""),1.43)</f>
        <v>1.43</v>
      </c>
      <c r="G857">
        <f>IFERROR(__xludf.DUMMYFUNCTION("""COMPUTED_VALUE"""),7.37)</f>
        <v>7.37</v>
      </c>
    </row>
    <row r="858">
      <c r="A858">
        <f>IFERROR(__xludf.DUMMYFUNCTION("""COMPUTED_VALUE"""),169978.0)</f>
        <v>169978</v>
      </c>
      <c r="B858" t="str">
        <f>IFERROR(__xludf.DUMMYFUNCTION("""COMPUTED_VALUE"""),"Cooked Red Cabbage")</f>
        <v>Cooked Red Cabbage</v>
      </c>
      <c r="C858" t="str">
        <f>IFERROR(__xludf.DUMMYFUNCTION("""COMPUTED_VALUE"""),"Vegetables")</f>
        <v>Vegetables</v>
      </c>
      <c r="D858">
        <f>IFERROR(__xludf.DUMMYFUNCTION("""COMPUTED_VALUE"""),29.0)</f>
        <v>29</v>
      </c>
      <c r="E858">
        <f>IFERROR(__xludf.DUMMYFUNCTION("""COMPUTED_VALUE"""),0.09)</f>
        <v>0.09</v>
      </c>
      <c r="F858">
        <f>IFERROR(__xludf.DUMMYFUNCTION("""COMPUTED_VALUE"""),1.51)</f>
        <v>1.51</v>
      </c>
      <c r="G858">
        <f>IFERROR(__xludf.DUMMYFUNCTION("""COMPUTED_VALUE"""),6.94)</f>
        <v>6.94</v>
      </c>
    </row>
    <row r="859">
      <c r="A859">
        <f>IFERROR(__xludf.DUMMYFUNCTION("""COMPUTED_VALUE"""),169979.0)</f>
        <v>169979</v>
      </c>
      <c r="B859" t="str">
        <f>IFERROR(__xludf.DUMMYFUNCTION("""COMPUTED_VALUE"""),"Cabbage Chinese (Pe-Tsai) Raw")</f>
        <v>Cabbage Chinese (Pe-Tsai) Raw</v>
      </c>
      <c r="C859" t="str">
        <f>IFERROR(__xludf.DUMMYFUNCTION("""COMPUTED_VALUE"""),"Vegetables")</f>
        <v>Vegetables</v>
      </c>
      <c r="D859">
        <f>IFERROR(__xludf.DUMMYFUNCTION("""COMPUTED_VALUE"""),16.0)</f>
        <v>16</v>
      </c>
      <c r="E859">
        <f>IFERROR(__xludf.DUMMYFUNCTION("""COMPUTED_VALUE"""),0.2)</f>
        <v>0.2</v>
      </c>
      <c r="F859">
        <f>IFERROR(__xludf.DUMMYFUNCTION("""COMPUTED_VALUE"""),1.2)</f>
        <v>1.2</v>
      </c>
      <c r="G859">
        <f>IFERROR(__xludf.DUMMYFUNCTION("""COMPUTED_VALUE"""),3.23)</f>
        <v>3.23</v>
      </c>
    </row>
    <row r="860">
      <c r="A860">
        <f>IFERROR(__xludf.DUMMYFUNCTION("""COMPUTED_VALUE"""),169980.0)</f>
        <v>169980</v>
      </c>
      <c r="B860" t="str">
        <f>IFERROR(__xludf.DUMMYFUNCTION("""COMPUTED_VALUE"""),"Cabbage Chinese (Pe-Tsai) Cooked Boiled Drained Without Salt")</f>
        <v>Cabbage Chinese (Pe-Tsai) Cooked Boiled Drained Without Salt</v>
      </c>
      <c r="C860" t="str">
        <f>IFERROR(__xludf.DUMMYFUNCTION("""COMPUTED_VALUE"""),"Vegetables")</f>
        <v>Vegetables</v>
      </c>
      <c r="D860">
        <f>IFERROR(__xludf.DUMMYFUNCTION("""COMPUTED_VALUE"""),14.0)</f>
        <v>14</v>
      </c>
      <c r="E860">
        <f>IFERROR(__xludf.DUMMYFUNCTION("""COMPUTED_VALUE"""),0.17)</f>
        <v>0.17</v>
      </c>
      <c r="F860">
        <f>IFERROR(__xludf.DUMMYFUNCTION("""COMPUTED_VALUE"""),1.5)</f>
        <v>1.5</v>
      </c>
      <c r="G860">
        <f>IFERROR(__xludf.DUMMYFUNCTION("""COMPUTED_VALUE"""),2.41)</f>
        <v>2.41</v>
      </c>
    </row>
    <row r="861">
      <c r="A861">
        <f>IFERROR(__xludf.DUMMYFUNCTION("""COMPUTED_VALUE"""),169981.0)</f>
        <v>169981</v>
      </c>
      <c r="B861" t="str">
        <f>IFERROR(__xludf.DUMMYFUNCTION("""COMPUTED_VALUE"""),"Cardoon Raw")</f>
        <v>Cardoon Raw</v>
      </c>
      <c r="C861" t="str">
        <f>IFERROR(__xludf.DUMMYFUNCTION("""COMPUTED_VALUE"""),"Vegetables")</f>
        <v>Vegetables</v>
      </c>
      <c r="D861">
        <f>IFERROR(__xludf.DUMMYFUNCTION("""COMPUTED_VALUE"""),17.0)</f>
        <v>17</v>
      </c>
      <c r="E861">
        <f>IFERROR(__xludf.DUMMYFUNCTION("""COMPUTED_VALUE"""),0.1)</f>
        <v>0.1</v>
      </c>
      <c r="F861">
        <f>IFERROR(__xludf.DUMMYFUNCTION("""COMPUTED_VALUE"""),0.7)</f>
        <v>0.7</v>
      </c>
      <c r="G861">
        <f>IFERROR(__xludf.DUMMYFUNCTION("""COMPUTED_VALUE"""),4.07)</f>
        <v>4.07</v>
      </c>
    </row>
    <row r="862">
      <c r="A862">
        <f>IFERROR(__xludf.DUMMYFUNCTION("""COMPUTED_VALUE"""),169982.0)</f>
        <v>169982</v>
      </c>
      <c r="B862" t="str">
        <f>IFERROR(__xludf.DUMMYFUNCTION("""COMPUTED_VALUE"""),"Cardoon Cooked Boiled Drained Without Salt")</f>
        <v>Cardoon Cooked Boiled Drained Without Salt</v>
      </c>
      <c r="C862" t="str">
        <f>IFERROR(__xludf.DUMMYFUNCTION("""COMPUTED_VALUE"""),"Vegetables")</f>
        <v>Vegetables</v>
      </c>
      <c r="D862">
        <f>IFERROR(__xludf.DUMMYFUNCTION("""COMPUTED_VALUE"""),22.0)</f>
        <v>22</v>
      </c>
      <c r="E862">
        <f>IFERROR(__xludf.DUMMYFUNCTION("""COMPUTED_VALUE"""),0.11)</f>
        <v>0.11</v>
      </c>
      <c r="F862">
        <f>IFERROR(__xludf.DUMMYFUNCTION("""COMPUTED_VALUE"""),0.76)</f>
        <v>0.76</v>
      </c>
      <c r="G862">
        <f>IFERROR(__xludf.DUMMYFUNCTION("""COMPUTED_VALUE"""),5.33)</f>
        <v>5.33</v>
      </c>
    </row>
    <row r="863">
      <c r="A863">
        <f>IFERROR(__xludf.DUMMYFUNCTION("""COMPUTED_VALUE"""),169983.0)</f>
        <v>169983</v>
      </c>
      <c r="B863" t="str">
        <f>IFERROR(__xludf.DUMMYFUNCTION("""COMPUTED_VALUE"""),"Carrots Frozen Unprepared")</f>
        <v>Carrots Frozen Unprepared</v>
      </c>
      <c r="C863" t="str">
        <f>IFERROR(__xludf.DUMMYFUNCTION("""COMPUTED_VALUE"""),"Vegetables")</f>
        <v>Vegetables</v>
      </c>
      <c r="D863">
        <f>IFERROR(__xludf.DUMMYFUNCTION("""COMPUTED_VALUE"""),36.0)</f>
        <v>36</v>
      </c>
      <c r="E863">
        <f>IFERROR(__xludf.DUMMYFUNCTION("""COMPUTED_VALUE"""),0.46)</f>
        <v>0.46</v>
      </c>
      <c r="F863">
        <f>IFERROR(__xludf.DUMMYFUNCTION("""COMPUTED_VALUE"""),0.78)</f>
        <v>0.78</v>
      </c>
      <c r="G863">
        <f>IFERROR(__xludf.DUMMYFUNCTION("""COMPUTED_VALUE"""),7.9)</f>
        <v>7.9</v>
      </c>
    </row>
    <row r="864">
      <c r="A864">
        <f>IFERROR(__xludf.DUMMYFUNCTION("""COMPUTED_VALUE"""),169984.0)</f>
        <v>169984</v>
      </c>
      <c r="B864" t="str">
        <f>IFERROR(__xludf.DUMMYFUNCTION("""COMPUTED_VALUE"""),"Carrots Frozen Cooked Boiled Drained Without Salt")</f>
        <v>Carrots Frozen Cooked Boiled Drained Without Salt</v>
      </c>
      <c r="C864" t="str">
        <f>IFERROR(__xludf.DUMMYFUNCTION("""COMPUTED_VALUE"""),"Vegetables")</f>
        <v>Vegetables</v>
      </c>
      <c r="D864">
        <f>IFERROR(__xludf.DUMMYFUNCTION("""COMPUTED_VALUE"""),37.0)</f>
        <v>37</v>
      </c>
      <c r="E864">
        <f>IFERROR(__xludf.DUMMYFUNCTION("""COMPUTED_VALUE"""),0.68)</f>
        <v>0.68</v>
      </c>
      <c r="F864">
        <f>IFERROR(__xludf.DUMMYFUNCTION("""COMPUTED_VALUE"""),0.58)</f>
        <v>0.58</v>
      </c>
      <c r="G864">
        <f>IFERROR(__xludf.DUMMYFUNCTION("""COMPUTED_VALUE"""),7.73)</f>
        <v>7.73</v>
      </c>
    </row>
    <row r="865">
      <c r="A865">
        <f>IFERROR(__xludf.DUMMYFUNCTION("""COMPUTED_VALUE"""),169985.0)</f>
        <v>169985</v>
      </c>
      <c r="B865" t="str">
        <f>IFERROR(__xludf.DUMMYFUNCTION("""COMPUTED_VALUE"""),"Cassava")</f>
        <v>Cassava</v>
      </c>
      <c r="C865" t="str">
        <f>IFERROR(__xludf.DUMMYFUNCTION("""COMPUTED_VALUE"""),"Vegetables")</f>
        <v>Vegetables</v>
      </c>
      <c r="D865">
        <f>IFERROR(__xludf.DUMMYFUNCTION("""COMPUTED_VALUE"""),160.0)</f>
        <v>160</v>
      </c>
      <c r="E865">
        <f>IFERROR(__xludf.DUMMYFUNCTION("""COMPUTED_VALUE"""),0.28)</f>
        <v>0.28</v>
      </c>
      <c r="F865">
        <f>IFERROR(__xludf.DUMMYFUNCTION("""COMPUTED_VALUE"""),1.36)</f>
        <v>1.36</v>
      </c>
      <c r="G865">
        <f>IFERROR(__xludf.DUMMYFUNCTION("""COMPUTED_VALUE"""),38.06)</f>
        <v>38.06</v>
      </c>
    </row>
    <row r="866">
      <c r="A866">
        <f>IFERROR(__xludf.DUMMYFUNCTION("""COMPUTED_VALUE"""),169986.0)</f>
        <v>169986</v>
      </c>
      <c r="B866" t="str">
        <f>IFERROR(__xludf.DUMMYFUNCTION("""COMPUTED_VALUE"""),"Cauliflower")</f>
        <v>Cauliflower</v>
      </c>
      <c r="C866" t="str">
        <f>IFERROR(__xludf.DUMMYFUNCTION("""COMPUTED_VALUE"""),"Vegetables")</f>
        <v>Vegetables</v>
      </c>
      <c r="D866">
        <f>IFERROR(__xludf.DUMMYFUNCTION("""COMPUTED_VALUE"""),25.0)</f>
        <v>25</v>
      </c>
      <c r="E866">
        <f>IFERROR(__xludf.DUMMYFUNCTION("""COMPUTED_VALUE"""),0.28)</f>
        <v>0.28</v>
      </c>
      <c r="F866">
        <f>IFERROR(__xludf.DUMMYFUNCTION("""COMPUTED_VALUE"""),1.92)</f>
        <v>1.92</v>
      </c>
      <c r="G866">
        <f>IFERROR(__xludf.DUMMYFUNCTION("""COMPUTED_VALUE"""),4.97)</f>
        <v>4.97</v>
      </c>
    </row>
    <row r="867">
      <c r="A867">
        <f>IFERROR(__xludf.DUMMYFUNCTION("""COMPUTED_VALUE"""),169987.0)</f>
        <v>169987</v>
      </c>
      <c r="B867" t="str">
        <f>IFERROR(__xludf.DUMMYFUNCTION("""COMPUTED_VALUE"""),"Cooked Celeriac")</f>
        <v>Cooked Celeriac</v>
      </c>
      <c r="C867" t="str">
        <f>IFERROR(__xludf.DUMMYFUNCTION("""COMPUTED_VALUE"""),"Vegetables")</f>
        <v>Vegetables</v>
      </c>
      <c r="D867">
        <f>IFERROR(__xludf.DUMMYFUNCTION("""COMPUTED_VALUE"""),27.0)</f>
        <v>27</v>
      </c>
      <c r="E867">
        <f>IFERROR(__xludf.DUMMYFUNCTION("""COMPUTED_VALUE"""),0.19)</f>
        <v>0.19</v>
      </c>
      <c r="F867">
        <f>IFERROR(__xludf.DUMMYFUNCTION("""COMPUTED_VALUE"""),0.96)</f>
        <v>0.96</v>
      </c>
      <c r="G867">
        <f>IFERROR(__xludf.DUMMYFUNCTION("""COMPUTED_VALUE"""),5.9)</f>
        <v>5.9</v>
      </c>
    </row>
    <row r="868">
      <c r="A868">
        <f>IFERROR(__xludf.DUMMYFUNCTION("""COMPUTED_VALUE"""),169988.0)</f>
        <v>169988</v>
      </c>
      <c r="B868" t="str">
        <f>IFERROR(__xludf.DUMMYFUNCTION("""COMPUTED_VALUE"""),"Celery")</f>
        <v>Celery</v>
      </c>
      <c r="C868" t="str">
        <f>IFERROR(__xludf.DUMMYFUNCTION("""COMPUTED_VALUE"""),"Vegetables")</f>
        <v>Vegetables</v>
      </c>
      <c r="D868">
        <f>IFERROR(__xludf.DUMMYFUNCTION("""COMPUTED_VALUE"""),14.0)</f>
        <v>14</v>
      </c>
      <c r="E868">
        <f>IFERROR(__xludf.DUMMYFUNCTION("""COMPUTED_VALUE"""),0.17)</f>
        <v>0.17</v>
      </c>
      <c r="F868">
        <f>IFERROR(__xludf.DUMMYFUNCTION("""COMPUTED_VALUE"""),0.69)</f>
        <v>0.69</v>
      </c>
      <c r="G868">
        <f>IFERROR(__xludf.DUMMYFUNCTION("""COMPUTED_VALUE"""),2.97)</f>
        <v>2.97</v>
      </c>
    </row>
    <row r="869">
      <c r="A869">
        <f>IFERROR(__xludf.DUMMYFUNCTION("""COMPUTED_VALUE"""),169989.0)</f>
        <v>169989</v>
      </c>
      <c r="B869" t="str">
        <f>IFERROR(__xludf.DUMMYFUNCTION("""COMPUTED_VALUE"""),"Cooked Celery")</f>
        <v>Cooked Celery</v>
      </c>
      <c r="C869" t="str">
        <f>IFERROR(__xludf.DUMMYFUNCTION("""COMPUTED_VALUE"""),"Vegetables")</f>
        <v>Vegetables</v>
      </c>
      <c r="D869">
        <f>IFERROR(__xludf.DUMMYFUNCTION("""COMPUTED_VALUE"""),18.0)</f>
        <v>18</v>
      </c>
      <c r="E869">
        <f>IFERROR(__xludf.DUMMYFUNCTION("""COMPUTED_VALUE"""),0.16)</f>
        <v>0.16</v>
      </c>
      <c r="F869">
        <f>IFERROR(__xludf.DUMMYFUNCTION("""COMPUTED_VALUE"""),0.83)</f>
        <v>0.83</v>
      </c>
      <c r="G869">
        <f>IFERROR(__xludf.DUMMYFUNCTION("""COMPUTED_VALUE"""),4.0)</f>
        <v>4</v>
      </c>
    </row>
    <row r="870">
      <c r="A870">
        <f>IFERROR(__xludf.DUMMYFUNCTION("""COMPUTED_VALUE"""),169990.0)</f>
        <v>169990</v>
      </c>
      <c r="B870" t="str">
        <f>IFERROR(__xludf.DUMMYFUNCTION("""COMPUTED_VALUE"""),"Celtuce")</f>
        <v>Celtuce</v>
      </c>
      <c r="C870" t="str">
        <f>IFERROR(__xludf.DUMMYFUNCTION("""COMPUTED_VALUE"""),"Vegetables")</f>
        <v>Vegetables</v>
      </c>
      <c r="D870">
        <f>IFERROR(__xludf.DUMMYFUNCTION("""COMPUTED_VALUE"""),18.0)</f>
        <v>18</v>
      </c>
      <c r="E870">
        <f>IFERROR(__xludf.DUMMYFUNCTION("""COMPUTED_VALUE"""),0.3)</f>
        <v>0.3</v>
      </c>
      <c r="F870">
        <f>IFERROR(__xludf.DUMMYFUNCTION("""COMPUTED_VALUE"""),0.85)</f>
        <v>0.85</v>
      </c>
      <c r="G870">
        <f>IFERROR(__xludf.DUMMYFUNCTION("""COMPUTED_VALUE"""),3.65)</f>
        <v>3.65</v>
      </c>
    </row>
    <row r="871">
      <c r="A871">
        <f>IFERROR(__xludf.DUMMYFUNCTION("""COMPUTED_VALUE"""),169991.0)</f>
        <v>169991</v>
      </c>
      <c r="B871" t="str">
        <f>IFERROR(__xludf.DUMMYFUNCTION("""COMPUTED_VALUE"""),"Swiss Chard")</f>
        <v>Swiss Chard</v>
      </c>
      <c r="C871" t="str">
        <f>IFERROR(__xludf.DUMMYFUNCTION("""COMPUTED_VALUE"""),"Vegetables")</f>
        <v>Vegetables</v>
      </c>
      <c r="D871">
        <f>IFERROR(__xludf.DUMMYFUNCTION("""COMPUTED_VALUE"""),19.0)</f>
        <v>19</v>
      </c>
      <c r="E871">
        <f>IFERROR(__xludf.DUMMYFUNCTION("""COMPUTED_VALUE"""),0.2)</f>
        <v>0.2</v>
      </c>
      <c r="F871">
        <f>IFERROR(__xludf.DUMMYFUNCTION("""COMPUTED_VALUE"""),1.8)</f>
        <v>1.8</v>
      </c>
      <c r="G871">
        <f>IFERROR(__xludf.DUMMYFUNCTION("""COMPUTED_VALUE"""),3.74)</f>
        <v>3.74</v>
      </c>
    </row>
    <row r="872">
      <c r="A872">
        <f>IFERROR(__xludf.DUMMYFUNCTION("""COMPUTED_VALUE"""),169992.0)</f>
        <v>169992</v>
      </c>
      <c r="B872" t="str">
        <f>IFERROR(__xludf.DUMMYFUNCTION("""COMPUTED_VALUE"""),"Chicory Greens")</f>
        <v>Chicory Greens</v>
      </c>
      <c r="C872" t="str">
        <f>IFERROR(__xludf.DUMMYFUNCTION("""COMPUTED_VALUE"""),"Vegetables")</f>
        <v>Vegetables</v>
      </c>
      <c r="D872">
        <f>IFERROR(__xludf.DUMMYFUNCTION("""COMPUTED_VALUE"""),23.0)</f>
        <v>23</v>
      </c>
      <c r="E872">
        <f>IFERROR(__xludf.DUMMYFUNCTION("""COMPUTED_VALUE"""),0.3)</f>
        <v>0.3</v>
      </c>
      <c r="F872">
        <f>IFERROR(__xludf.DUMMYFUNCTION("""COMPUTED_VALUE"""),1.7)</f>
        <v>1.7</v>
      </c>
      <c r="G872">
        <f>IFERROR(__xludf.DUMMYFUNCTION("""COMPUTED_VALUE"""),4.7)</f>
        <v>4.7</v>
      </c>
    </row>
    <row r="873">
      <c r="A873">
        <f>IFERROR(__xludf.DUMMYFUNCTION("""COMPUTED_VALUE"""),169993.0)</f>
        <v>169993</v>
      </c>
      <c r="B873" t="str">
        <f>IFERROR(__xludf.DUMMYFUNCTION("""COMPUTED_VALUE"""),"Chicory Roots")</f>
        <v>Chicory Roots</v>
      </c>
      <c r="C873" t="str">
        <f>IFERROR(__xludf.DUMMYFUNCTION("""COMPUTED_VALUE"""),"Vegetables")</f>
        <v>Vegetables</v>
      </c>
      <c r="D873">
        <f>IFERROR(__xludf.DUMMYFUNCTION("""COMPUTED_VALUE"""),72.0)</f>
        <v>72</v>
      </c>
      <c r="E873">
        <f>IFERROR(__xludf.DUMMYFUNCTION("""COMPUTED_VALUE"""),0.2)</f>
        <v>0.2</v>
      </c>
      <c r="F873">
        <f>IFERROR(__xludf.DUMMYFUNCTION("""COMPUTED_VALUE"""),1.4)</f>
        <v>1.4</v>
      </c>
      <c r="G873">
        <f>IFERROR(__xludf.DUMMYFUNCTION("""COMPUTED_VALUE"""),17.51)</f>
        <v>17.51</v>
      </c>
    </row>
    <row r="874">
      <c r="A874">
        <f>IFERROR(__xludf.DUMMYFUNCTION("""COMPUTED_VALUE"""),169994.0)</f>
        <v>169994</v>
      </c>
      <c r="B874" t="str">
        <f>IFERROR(__xludf.DUMMYFUNCTION("""COMPUTED_VALUE"""),"Chives")</f>
        <v>Chives</v>
      </c>
      <c r="C874" t="str">
        <f>IFERROR(__xludf.DUMMYFUNCTION("""COMPUTED_VALUE"""),"Vegetables")</f>
        <v>Vegetables</v>
      </c>
      <c r="D874">
        <f>IFERROR(__xludf.DUMMYFUNCTION("""COMPUTED_VALUE"""),30.0)</f>
        <v>30</v>
      </c>
      <c r="E874">
        <f>IFERROR(__xludf.DUMMYFUNCTION("""COMPUTED_VALUE"""),0.73)</f>
        <v>0.73</v>
      </c>
      <c r="F874">
        <f>IFERROR(__xludf.DUMMYFUNCTION("""COMPUTED_VALUE"""),3.27)</f>
        <v>3.27</v>
      </c>
      <c r="G874">
        <f>IFERROR(__xludf.DUMMYFUNCTION("""COMPUTED_VALUE"""),4.35)</f>
        <v>4.35</v>
      </c>
    </row>
    <row r="875">
      <c r="A875">
        <f>IFERROR(__xludf.DUMMYFUNCTION("""COMPUTED_VALUE"""),169995.0)</f>
        <v>169995</v>
      </c>
      <c r="B875" t="str">
        <f>IFERROR(__xludf.DUMMYFUNCTION("""COMPUTED_VALUE"""),"Chrysanthemum")</f>
        <v>Chrysanthemum</v>
      </c>
      <c r="C875" t="str">
        <f>IFERROR(__xludf.DUMMYFUNCTION("""COMPUTED_VALUE"""),"Vegetables")</f>
        <v>Vegetables</v>
      </c>
      <c r="D875">
        <f>IFERROR(__xludf.DUMMYFUNCTION("""COMPUTED_VALUE"""),24.0)</f>
        <v>24</v>
      </c>
      <c r="E875">
        <f>IFERROR(__xludf.DUMMYFUNCTION("""COMPUTED_VALUE"""),0.56)</f>
        <v>0.56</v>
      </c>
      <c r="F875">
        <f>IFERROR(__xludf.DUMMYFUNCTION("""COMPUTED_VALUE"""),3.36)</f>
        <v>3.36</v>
      </c>
      <c r="G875">
        <f>IFERROR(__xludf.DUMMYFUNCTION("""COMPUTED_VALUE"""),3.02)</f>
        <v>3.02</v>
      </c>
    </row>
    <row r="876">
      <c r="A876">
        <f>IFERROR(__xludf.DUMMYFUNCTION("""COMPUTED_VALUE"""),169996.0)</f>
        <v>169996</v>
      </c>
      <c r="B876" t="str">
        <f>IFERROR(__xludf.DUMMYFUNCTION("""COMPUTED_VALUE"""),"Collards Frozen Chopped Cooked Boiled Drained Without Salt")</f>
        <v>Collards Frozen Chopped Cooked Boiled Drained Without Salt</v>
      </c>
      <c r="C876" t="str">
        <f>IFERROR(__xludf.DUMMYFUNCTION("""COMPUTED_VALUE"""),"Vegetables")</f>
        <v>Vegetables</v>
      </c>
      <c r="D876">
        <f>IFERROR(__xludf.DUMMYFUNCTION("""COMPUTED_VALUE"""),36.0)</f>
        <v>36</v>
      </c>
      <c r="E876">
        <f>IFERROR(__xludf.DUMMYFUNCTION("""COMPUTED_VALUE"""),0.41)</f>
        <v>0.41</v>
      </c>
      <c r="F876">
        <f>IFERROR(__xludf.DUMMYFUNCTION("""COMPUTED_VALUE"""),2.97)</f>
        <v>2.97</v>
      </c>
      <c r="G876">
        <f>IFERROR(__xludf.DUMMYFUNCTION("""COMPUTED_VALUE"""),7.1)</f>
        <v>7.1</v>
      </c>
    </row>
    <row r="877">
      <c r="A877">
        <f>IFERROR(__xludf.DUMMYFUNCTION("""COMPUTED_VALUE"""),169997.0)</f>
        <v>169997</v>
      </c>
      <c r="B877" t="str">
        <f>IFERROR(__xludf.DUMMYFUNCTION("""COMPUTED_VALUE"""),"Cilantro")</f>
        <v>Cilantro</v>
      </c>
      <c r="C877" t="str">
        <f>IFERROR(__xludf.DUMMYFUNCTION("""COMPUTED_VALUE"""),"Vegetables")</f>
        <v>Vegetables</v>
      </c>
      <c r="D877">
        <f>IFERROR(__xludf.DUMMYFUNCTION("""COMPUTED_VALUE"""),23.0)</f>
        <v>23</v>
      </c>
      <c r="E877">
        <f>IFERROR(__xludf.DUMMYFUNCTION("""COMPUTED_VALUE"""),0.52)</f>
        <v>0.52</v>
      </c>
      <c r="F877">
        <f>IFERROR(__xludf.DUMMYFUNCTION("""COMPUTED_VALUE"""),2.13)</f>
        <v>2.13</v>
      </c>
      <c r="G877">
        <f>IFERROR(__xludf.DUMMYFUNCTION("""COMPUTED_VALUE"""),3.67)</f>
        <v>3.67</v>
      </c>
    </row>
    <row r="878">
      <c r="A878">
        <f>IFERROR(__xludf.DUMMYFUNCTION("""COMPUTED_VALUE"""),169998.0)</f>
        <v>169998</v>
      </c>
      <c r="B878" t="str">
        <f>IFERROR(__xludf.DUMMYFUNCTION("""COMPUTED_VALUE"""),"Yellow Sweet Corn")</f>
        <v>Yellow Sweet Corn</v>
      </c>
      <c r="C878" t="str">
        <f>IFERROR(__xludf.DUMMYFUNCTION("""COMPUTED_VALUE"""),"Vegetables")</f>
        <v>Vegetables</v>
      </c>
      <c r="D878">
        <f>IFERROR(__xludf.DUMMYFUNCTION("""COMPUTED_VALUE"""),86.0)</f>
        <v>86</v>
      </c>
      <c r="E878">
        <f>IFERROR(__xludf.DUMMYFUNCTION("""COMPUTED_VALUE"""),1.35)</f>
        <v>1.35</v>
      </c>
      <c r="F878">
        <f>IFERROR(__xludf.DUMMYFUNCTION("""COMPUTED_VALUE"""),3.27)</f>
        <v>3.27</v>
      </c>
      <c r="G878">
        <f>IFERROR(__xludf.DUMMYFUNCTION("""COMPUTED_VALUE"""),18.7)</f>
        <v>18.7</v>
      </c>
    </row>
    <row r="879">
      <c r="A879">
        <f>IFERROR(__xludf.DUMMYFUNCTION("""COMPUTED_VALUE"""),169999.0)</f>
        <v>169999</v>
      </c>
      <c r="B879" t="str">
        <f>IFERROR(__xludf.DUMMYFUNCTION("""COMPUTED_VALUE"""),"Cooked Yellow Sweet Corn")</f>
        <v>Cooked Yellow Sweet Corn</v>
      </c>
      <c r="C879" t="str">
        <f>IFERROR(__xludf.DUMMYFUNCTION("""COMPUTED_VALUE"""),"Vegetables")</f>
        <v>Vegetables</v>
      </c>
      <c r="D879">
        <f>IFERROR(__xludf.DUMMYFUNCTION("""COMPUTED_VALUE"""),96.0)</f>
        <v>96</v>
      </c>
      <c r="E879">
        <f>IFERROR(__xludf.DUMMYFUNCTION("""COMPUTED_VALUE"""),1.5)</f>
        <v>1.5</v>
      </c>
      <c r="F879">
        <f>IFERROR(__xludf.DUMMYFUNCTION("""COMPUTED_VALUE"""),3.41)</f>
        <v>3.41</v>
      </c>
      <c r="G879">
        <f>IFERROR(__xludf.DUMMYFUNCTION("""COMPUTED_VALUE"""),20.98)</f>
        <v>20.98</v>
      </c>
    </row>
    <row r="880">
      <c r="A880">
        <f>IFERROR(__xludf.DUMMYFUNCTION("""COMPUTED_VALUE"""),170000.0)</f>
        <v>170000</v>
      </c>
      <c r="B880" t="str">
        <f>IFERROR(__xludf.DUMMYFUNCTION("""COMPUTED_VALUE"""),"Onions")</f>
        <v>Onions</v>
      </c>
      <c r="C880" t="str">
        <f>IFERROR(__xludf.DUMMYFUNCTION("""COMPUTED_VALUE"""),"Vegetables")</f>
        <v>Vegetables</v>
      </c>
      <c r="D880">
        <f>IFERROR(__xludf.DUMMYFUNCTION("""COMPUTED_VALUE"""),40.0)</f>
        <v>40</v>
      </c>
      <c r="E880">
        <f>IFERROR(__xludf.DUMMYFUNCTION("""COMPUTED_VALUE"""),0.1)</f>
        <v>0.1</v>
      </c>
      <c r="F880">
        <f>IFERROR(__xludf.DUMMYFUNCTION("""COMPUTED_VALUE"""),1.1)</f>
        <v>1.1</v>
      </c>
      <c r="G880">
        <f>IFERROR(__xludf.DUMMYFUNCTION("""COMPUTED_VALUE"""),9.34)</f>
        <v>9.34</v>
      </c>
    </row>
    <row r="881">
      <c r="A881">
        <f>IFERROR(__xludf.DUMMYFUNCTION("""COMPUTED_VALUE"""),170001.0)</f>
        <v>170001</v>
      </c>
      <c r="B881" t="str">
        <f>IFERROR(__xludf.DUMMYFUNCTION("""COMPUTED_VALUE"""),"Cooked Onions")</f>
        <v>Cooked Onions</v>
      </c>
      <c r="C881" t="str">
        <f>IFERROR(__xludf.DUMMYFUNCTION("""COMPUTED_VALUE"""),"Vegetables")</f>
        <v>Vegetables</v>
      </c>
      <c r="D881">
        <f>IFERROR(__xludf.DUMMYFUNCTION("""COMPUTED_VALUE"""),44.0)</f>
        <v>44</v>
      </c>
      <c r="E881">
        <f>IFERROR(__xludf.DUMMYFUNCTION("""COMPUTED_VALUE"""),0.19)</f>
        <v>0.19</v>
      </c>
      <c r="F881">
        <f>IFERROR(__xludf.DUMMYFUNCTION("""COMPUTED_VALUE"""),1.36)</f>
        <v>1.36</v>
      </c>
      <c r="G881">
        <f>IFERROR(__xludf.DUMMYFUNCTION("""COMPUTED_VALUE"""),10.15)</f>
        <v>10.15</v>
      </c>
    </row>
    <row r="882">
      <c r="A882">
        <f>IFERROR(__xludf.DUMMYFUNCTION("""COMPUTED_VALUE"""),170002.0)</f>
        <v>170002</v>
      </c>
      <c r="B882" t="str">
        <f>IFERROR(__xludf.DUMMYFUNCTION("""COMPUTED_VALUE"""),"Onions Dehydrated Flakes")</f>
        <v>Onions Dehydrated Flakes</v>
      </c>
      <c r="C882" t="str">
        <f>IFERROR(__xludf.DUMMYFUNCTION("""COMPUTED_VALUE"""),"Vegetables")</f>
        <v>Vegetables</v>
      </c>
      <c r="D882">
        <f>IFERROR(__xludf.DUMMYFUNCTION("""COMPUTED_VALUE"""),349.0)</f>
        <v>349</v>
      </c>
      <c r="E882">
        <f>IFERROR(__xludf.DUMMYFUNCTION("""COMPUTED_VALUE"""),0.46)</f>
        <v>0.46</v>
      </c>
      <c r="F882">
        <f>IFERROR(__xludf.DUMMYFUNCTION("""COMPUTED_VALUE"""),8.95)</f>
        <v>8.95</v>
      </c>
      <c r="G882">
        <f>IFERROR(__xludf.DUMMYFUNCTION("""COMPUTED_VALUE"""),83.28)</f>
        <v>83.28</v>
      </c>
    </row>
    <row r="883">
      <c r="A883">
        <f>IFERROR(__xludf.DUMMYFUNCTION("""COMPUTED_VALUE"""),170003.0)</f>
        <v>170003</v>
      </c>
      <c r="B883" t="str">
        <f>IFERROR(__xludf.DUMMYFUNCTION("""COMPUTED_VALUE"""),"Onions Canned Solids And Liquids")</f>
        <v>Onions Canned Solids And Liquids</v>
      </c>
      <c r="C883" t="str">
        <f>IFERROR(__xludf.DUMMYFUNCTION("""COMPUTED_VALUE"""),"Vegetables")</f>
        <v>Vegetables</v>
      </c>
      <c r="D883">
        <f>IFERROR(__xludf.DUMMYFUNCTION("""COMPUTED_VALUE"""),19.0)</f>
        <v>19</v>
      </c>
      <c r="E883">
        <f>IFERROR(__xludf.DUMMYFUNCTION("""COMPUTED_VALUE"""),0.09)</f>
        <v>0.09</v>
      </c>
      <c r="F883">
        <f>IFERROR(__xludf.DUMMYFUNCTION("""COMPUTED_VALUE"""),0.85)</f>
        <v>0.85</v>
      </c>
      <c r="G883">
        <f>IFERROR(__xludf.DUMMYFUNCTION("""COMPUTED_VALUE"""),4.02)</f>
        <v>4.02</v>
      </c>
    </row>
    <row r="884">
      <c r="A884">
        <f>IFERROR(__xludf.DUMMYFUNCTION("""COMPUTED_VALUE"""),170004.0)</f>
        <v>170004</v>
      </c>
      <c r="B884" t="str">
        <f>IFERROR(__xludf.DUMMYFUNCTION("""COMPUTED_VALUE"""),"Yellow Onions")</f>
        <v>Yellow Onions</v>
      </c>
      <c r="C884" t="str">
        <f>IFERROR(__xludf.DUMMYFUNCTION("""COMPUTED_VALUE"""),"Vegetables")</f>
        <v>Vegetables</v>
      </c>
      <c r="D884">
        <f>IFERROR(__xludf.DUMMYFUNCTION("""COMPUTED_VALUE"""),123.0)</f>
        <v>123</v>
      </c>
      <c r="E884">
        <f>IFERROR(__xludf.DUMMYFUNCTION("""COMPUTED_VALUE"""),10.8)</f>
        <v>10.8</v>
      </c>
      <c r="F884">
        <f>IFERROR(__xludf.DUMMYFUNCTION("""COMPUTED_VALUE"""),0.95)</f>
        <v>0.95</v>
      </c>
      <c r="G884">
        <f>IFERROR(__xludf.DUMMYFUNCTION("""COMPUTED_VALUE"""),7.86)</f>
        <v>7.86</v>
      </c>
    </row>
    <row r="885">
      <c r="A885">
        <f>IFERROR(__xludf.DUMMYFUNCTION("""COMPUTED_VALUE"""),170005.0)</f>
        <v>170005</v>
      </c>
      <c r="B885" t="str">
        <f>IFERROR(__xludf.DUMMYFUNCTION("""COMPUTED_VALUE"""),"Spring Onions")</f>
        <v>Spring Onions</v>
      </c>
      <c r="C885" t="str">
        <f>IFERROR(__xludf.DUMMYFUNCTION("""COMPUTED_VALUE"""),"Vegetables")</f>
        <v>Vegetables</v>
      </c>
      <c r="D885">
        <f>IFERROR(__xludf.DUMMYFUNCTION("""COMPUTED_VALUE"""),32.0)</f>
        <v>32</v>
      </c>
      <c r="E885">
        <f>IFERROR(__xludf.DUMMYFUNCTION("""COMPUTED_VALUE"""),0.19)</f>
        <v>0.19</v>
      </c>
      <c r="F885">
        <f>IFERROR(__xludf.DUMMYFUNCTION("""COMPUTED_VALUE"""),1.83)</f>
        <v>1.83</v>
      </c>
      <c r="G885">
        <f>IFERROR(__xludf.DUMMYFUNCTION("""COMPUTED_VALUE"""),7.34)</f>
        <v>7.34</v>
      </c>
    </row>
    <row r="886">
      <c r="A886">
        <f>IFERROR(__xludf.DUMMYFUNCTION("""COMPUTED_VALUE"""),170006.0)</f>
        <v>170006</v>
      </c>
      <c r="B886" t="str">
        <f>IFERROR(__xludf.DUMMYFUNCTION("""COMPUTED_VALUE"""),"Onions Young Green Tops Only")</f>
        <v>Onions Young Green Tops Only</v>
      </c>
      <c r="C886" t="str">
        <f>IFERROR(__xludf.DUMMYFUNCTION("""COMPUTED_VALUE"""),"Vegetables")</f>
        <v>Vegetables</v>
      </c>
      <c r="D886">
        <f>IFERROR(__xludf.DUMMYFUNCTION("""COMPUTED_VALUE"""),27.0)</f>
        <v>27</v>
      </c>
      <c r="E886">
        <f>IFERROR(__xludf.DUMMYFUNCTION("""COMPUTED_VALUE"""),0.47)</f>
        <v>0.47</v>
      </c>
      <c r="F886">
        <f>IFERROR(__xludf.DUMMYFUNCTION("""COMPUTED_VALUE"""),0.97)</f>
        <v>0.97</v>
      </c>
      <c r="G886">
        <f>IFERROR(__xludf.DUMMYFUNCTION("""COMPUTED_VALUE"""),5.74)</f>
        <v>5.74</v>
      </c>
    </row>
    <row r="887">
      <c r="A887">
        <f>IFERROR(__xludf.DUMMYFUNCTION("""COMPUTED_VALUE"""),170007.0)</f>
        <v>170007</v>
      </c>
      <c r="B887" t="str">
        <f>IFERROR(__xludf.DUMMYFUNCTION("""COMPUTED_VALUE"""),"Onions Welsh Raw")</f>
        <v>Onions Welsh Raw</v>
      </c>
      <c r="C887" t="str">
        <f>IFERROR(__xludf.DUMMYFUNCTION("""COMPUTED_VALUE"""),"Vegetables")</f>
        <v>Vegetables</v>
      </c>
      <c r="D887">
        <f>IFERROR(__xludf.DUMMYFUNCTION("""COMPUTED_VALUE"""),34.0)</f>
        <v>34</v>
      </c>
      <c r="E887">
        <f>IFERROR(__xludf.DUMMYFUNCTION("""COMPUTED_VALUE"""),0.4)</f>
        <v>0.4</v>
      </c>
      <c r="F887">
        <f>IFERROR(__xludf.DUMMYFUNCTION("""COMPUTED_VALUE"""),1.9)</f>
        <v>1.9</v>
      </c>
      <c r="G887">
        <f>IFERROR(__xludf.DUMMYFUNCTION("""COMPUTED_VALUE"""),6.5)</f>
        <v>6.5</v>
      </c>
    </row>
    <row r="888">
      <c r="A888">
        <f>IFERROR(__xludf.DUMMYFUNCTION("""COMPUTED_VALUE"""),170008.0)</f>
        <v>170008</v>
      </c>
      <c r="B888" t="str">
        <f>IFERROR(__xludf.DUMMYFUNCTION("""COMPUTED_VALUE"""),"Sweet Onions")</f>
        <v>Sweet Onions</v>
      </c>
      <c r="C888" t="str">
        <f>IFERROR(__xludf.DUMMYFUNCTION("""COMPUTED_VALUE"""),"Vegetables")</f>
        <v>Vegetables</v>
      </c>
      <c r="D888">
        <f>IFERROR(__xludf.DUMMYFUNCTION("""COMPUTED_VALUE"""),32.0)</f>
        <v>32</v>
      </c>
      <c r="E888">
        <f>IFERROR(__xludf.DUMMYFUNCTION("""COMPUTED_VALUE"""),0.08)</f>
        <v>0.08</v>
      </c>
      <c r="F888">
        <f>IFERROR(__xludf.DUMMYFUNCTION("""COMPUTED_VALUE"""),0.8)</f>
        <v>0.8</v>
      </c>
      <c r="G888">
        <f>IFERROR(__xludf.DUMMYFUNCTION("""COMPUTED_VALUE"""),7.55)</f>
        <v>7.55</v>
      </c>
    </row>
    <row r="889">
      <c r="A889">
        <f>IFERROR(__xludf.DUMMYFUNCTION("""COMPUTED_VALUE"""),170009.0)</f>
        <v>170009</v>
      </c>
      <c r="B889" t="str">
        <f>IFERROR(__xludf.DUMMYFUNCTION("""COMPUTED_VALUE"""),"Cooked Parsnips")</f>
        <v>Cooked Parsnips</v>
      </c>
      <c r="C889" t="str">
        <f>IFERROR(__xludf.DUMMYFUNCTION("""COMPUTED_VALUE"""),"Vegetables")</f>
        <v>Vegetables</v>
      </c>
      <c r="D889">
        <f>IFERROR(__xludf.DUMMYFUNCTION("""COMPUTED_VALUE"""),71.0)</f>
        <v>71</v>
      </c>
      <c r="E889">
        <f>IFERROR(__xludf.DUMMYFUNCTION("""COMPUTED_VALUE"""),0.3)</f>
        <v>0.3</v>
      </c>
      <c r="F889">
        <f>IFERROR(__xludf.DUMMYFUNCTION("""COMPUTED_VALUE"""),1.32)</f>
        <v>1.32</v>
      </c>
      <c r="G889">
        <f>IFERROR(__xludf.DUMMYFUNCTION("""COMPUTED_VALUE"""),17.01)</f>
        <v>17.01</v>
      </c>
    </row>
    <row r="890">
      <c r="A890">
        <f>IFERROR(__xludf.DUMMYFUNCTION("""COMPUTED_VALUE"""),170010.0)</f>
        <v>170010</v>
      </c>
      <c r="B890" t="str">
        <f>IFERROR(__xludf.DUMMYFUNCTION("""COMPUTED_VALUE"""),"Snow Peas")</f>
        <v>Snow Peas</v>
      </c>
      <c r="C890" t="str">
        <f>IFERROR(__xludf.DUMMYFUNCTION("""COMPUTED_VALUE"""),"Vegetables")</f>
        <v>Vegetables</v>
      </c>
      <c r="D890">
        <f>IFERROR(__xludf.DUMMYFUNCTION("""COMPUTED_VALUE"""),42.0)</f>
        <v>42</v>
      </c>
      <c r="E890">
        <f>IFERROR(__xludf.DUMMYFUNCTION("""COMPUTED_VALUE"""),0.2)</f>
        <v>0.2</v>
      </c>
      <c r="F890">
        <f>IFERROR(__xludf.DUMMYFUNCTION("""COMPUTED_VALUE"""),2.8)</f>
        <v>2.8</v>
      </c>
      <c r="G890">
        <f>IFERROR(__xludf.DUMMYFUNCTION("""COMPUTED_VALUE"""),7.55)</f>
        <v>7.55</v>
      </c>
    </row>
    <row r="891">
      <c r="A891">
        <f>IFERROR(__xludf.DUMMYFUNCTION("""COMPUTED_VALUE"""),170011.0)</f>
        <v>170011</v>
      </c>
      <c r="B891" t="str">
        <f>IFERROR(__xludf.DUMMYFUNCTION("""COMPUTED_VALUE"""),"Cooked Snow Peas")</f>
        <v>Cooked Snow Peas</v>
      </c>
      <c r="C891" t="str">
        <f>IFERROR(__xludf.DUMMYFUNCTION("""COMPUTED_VALUE"""),"Vegetables")</f>
        <v>Vegetables</v>
      </c>
      <c r="D891">
        <f>IFERROR(__xludf.DUMMYFUNCTION("""COMPUTED_VALUE"""),42.0)</f>
        <v>42</v>
      </c>
      <c r="E891">
        <f>IFERROR(__xludf.DUMMYFUNCTION("""COMPUTED_VALUE"""),0.23)</f>
        <v>0.23</v>
      </c>
      <c r="F891">
        <f>IFERROR(__xludf.DUMMYFUNCTION("""COMPUTED_VALUE"""),3.27)</f>
        <v>3.27</v>
      </c>
      <c r="G891">
        <f>IFERROR(__xludf.DUMMYFUNCTION("""COMPUTED_VALUE"""),7.05)</f>
        <v>7.05</v>
      </c>
    </row>
    <row r="892">
      <c r="A892">
        <f>IFERROR(__xludf.DUMMYFUNCTION("""COMPUTED_VALUE"""),170012.0)</f>
        <v>170012</v>
      </c>
      <c r="B892" t="str">
        <f>IFERROR(__xludf.DUMMYFUNCTION("""COMPUTED_VALUE"""),"Peas Edible-Podded Frozen Unprepared")</f>
        <v>Peas Edible-Podded Frozen Unprepared</v>
      </c>
      <c r="C892" t="str">
        <f>IFERROR(__xludf.DUMMYFUNCTION("""COMPUTED_VALUE"""),"Vegetables")</f>
        <v>Vegetables</v>
      </c>
      <c r="D892">
        <f>IFERROR(__xludf.DUMMYFUNCTION("""COMPUTED_VALUE"""),42.0)</f>
        <v>42</v>
      </c>
      <c r="E892">
        <f>IFERROR(__xludf.DUMMYFUNCTION("""COMPUTED_VALUE"""),0.3)</f>
        <v>0.3</v>
      </c>
      <c r="F892">
        <f>IFERROR(__xludf.DUMMYFUNCTION("""COMPUTED_VALUE"""),2.8)</f>
        <v>2.8</v>
      </c>
      <c r="G892">
        <f>IFERROR(__xludf.DUMMYFUNCTION("""COMPUTED_VALUE"""),7.2)</f>
        <v>7.2</v>
      </c>
    </row>
    <row r="893">
      <c r="A893">
        <f>IFERROR(__xludf.DUMMYFUNCTION("""COMPUTED_VALUE"""),170013.0)</f>
        <v>170013</v>
      </c>
      <c r="B893" t="str">
        <f>IFERROR(__xludf.DUMMYFUNCTION("""COMPUTED_VALUE"""),"Peas Green (Includes Baby And Lesuer Types) Canned Drained Solids Unprepared")</f>
        <v>Peas Green (Includes Baby And Lesuer Types) Canned Drained Solids Unprepared</v>
      </c>
      <c r="C893" t="str">
        <f>IFERROR(__xludf.DUMMYFUNCTION("""COMPUTED_VALUE"""),"Vegetables")</f>
        <v>Vegetables</v>
      </c>
      <c r="D893">
        <f>IFERROR(__xludf.DUMMYFUNCTION("""COMPUTED_VALUE"""),68.0)</f>
        <v>68</v>
      </c>
      <c r="E893">
        <f>IFERROR(__xludf.DUMMYFUNCTION("""COMPUTED_VALUE"""),0.8)</f>
        <v>0.8</v>
      </c>
      <c r="F893">
        <f>IFERROR(__xludf.DUMMYFUNCTION("""COMPUTED_VALUE"""),4.47)</f>
        <v>4.47</v>
      </c>
      <c r="G893">
        <f>IFERROR(__xludf.DUMMYFUNCTION("""COMPUTED_VALUE"""),11.36)</f>
        <v>11.36</v>
      </c>
    </row>
    <row r="894">
      <c r="A894">
        <f>IFERROR(__xludf.DUMMYFUNCTION("""COMPUTED_VALUE"""),170014.0)</f>
        <v>170014</v>
      </c>
      <c r="B894" t="str">
        <f>IFERROR(__xludf.DUMMYFUNCTION("""COMPUTED_VALUE"""),"Peas Green Canned Seasoned Solids And Liquids")</f>
        <v>Peas Green Canned Seasoned Solids And Liquids</v>
      </c>
      <c r="C894" t="str">
        <f>IFERROR(__xludf.DUMMYFUNCTION("""COMPUTED_VALUE"""),"Vegetables")</f>
        <v>Vegetables</v>
      </c>
      <c r="D894">
        <f>IFERROR(__xludf.DUMMYFUNCTION("""COMPUTED_VALUE"""),50.0)</f>
        <v>50</v>
      </c>
      <c r="E894">
        <f>IFERROR(__xludf.DUMMYFUNCTION("""COMPUTED_VALUE"""),0.27)</f>
        <v>0.27</v>
      </c>
      <c r="F894">
        <f>IFERROR(__xludf.DUMMYFUNCTION("""COMPUTED_VALUE"""),3.09)</f>
        <v>3.09</v>
      </c>
      <c r="G894">
        <f>IFERROR(__xludf.DUMMYFUNCTION("""COMPUTED_VALUE"""),9.25)</f>
        <v>9.25</v>
      </c>
    </row>
    <row r="895">
      <c r="A895">
        <f>IFERROR(__xludf.DUMMYFUNCTION("""COMPUTED_VALUE"""),170015.0)</f>
        <v>170015</v>
      </c>
      <c r="B895" t="str">
        <f>IFERROR(__xludf.DUMMYFUNCTION("""COMPUTED_VALUE"""),"Peas Green Canned Drained Solids Rinsed In Tap Water")</f>
        <v>Peas Green Canned Drained Solids Rinsed In Tap Water</v>
      </c>
      <c r="C895" t="str">
        <f>IFERROR(__xludf.DUMMYFUNCTION("""COMPUTED_VALUE"""),"Vegetables")</f>
        <v>Vegetables</v>
      </c>
      <c r="D895">
        <f>IFERROR(__xludf.DUMMYFUNCTION("""COMPUTED_VALUE"""),71.0)</f>
        <v>71</v>
      </c>
      <c r="E895">
        <f>IFERROR(__xludf.DUMMYFUNCTION("""COMPUTED_VALUE"""),0.95)</f>
        <v>0.95</v>
      </c>
      <c r="F895">
        <f>IFERROR(__xludf.DUMMYFUNCTION("""COMPUTED_VALUE"""),4.33)</f>
        <v>4.33</v>
      </c>
      <c r="G895">
        <f>IFERROR(__xludf.DUMMYFUNCTION("""COMPUTED_VALUE"""),11.82)</f>
        <v>11.82</v>
      </c>
    </row>
    <row r="896">
      <c r="A896">
        <f>IFERROR(__xludf.DUMMYFUNCTION("""COMPUTED_VALUE"""),170016.0)</f>
        <v>170016</v>
      </c>
      <c r="B896" t="str">
        <f>IFERROR(__xludf.DUMMYFUNCTION("""COMPUTED_VALUE"""),"Peas Green Frozen Unprepared")</f>
        <v>Peas Green Frozen Unprepared</v>
      </c>
      <c r="C896" t="str">
        <f>IFERROR(__xludf.DUMMYFUNCTION("""COMPUTED_VALUE"""),"Vegetables")</f>
        <v>Vegetables</v>
      </c>
      <c r="D896">
        <f>IFERROR(__xludf.DUMMYFUNCTION("""COMPUTED_VALUE"""),77.0)</f>
        <v>77</v>
      </c>
      <c r="E896">
        <f>IFERROR(__xludf.DUMMYFUNCTION("""COMPUTED_VALUE"""),0.4)</f>
        <v>0.4</v>
      </c>
      <c r="F896">
        <f>IFERROR(__xludf.DUMMYFUNCTION("""COMPUTED_VALUE"""),5.22)</f>
        <v>5.22</v>
      </c>
      <c r="G896">
        <f>IFERROR(__xludf.DUMMYFUNCTION("""COMPUTED_VALUE"""),13.62)</f>
        <v>13.62</v>
      </c>
    </row>
    <row r="897">
      <c r="A897">
        <f>IFERROR(__xludf.DUMMYFUNCTION("""COMPUTED_VALUE"""),170017.0)</f>
        <v>170017</v>
      </c>
      <c r="B897" t="str">
        <f>IFERROR(__xludf.DUMMYFUNCTION("""COMPUTED_VALUE"""),"Peas Green Frozen Cooked Boiled Drained Without Salt")</f>
        <v>Peas Green Frozen Cooked Boiled Drained Without Salt</v>
      </c>
      <c r="C897" t="str">
        <f>IFERROR(__xludf.DUMMYFUNCTION("""COMPUTED_VALUE"""),"Vegetables")</f>
        <v>Vegetables</v>
      </c>
      <c r="D897">
        <f>IFERROR(__xludf.DUMMYFUNCTION("""COMPUTED_VALUE"""),78.0)</f>
        <v>78</v>
      </c>
      <c r="E897">
        <f>IFERROR(__xludf.DUMMYFUNCTION("""COMPUTED_VALUE"""),0.27)</f>
        <v>0.27</v>
      </c>
      <c r="F897">
        <f>IFERROR(__xludf.DUMMYFUNCTION("""COMPUTED_VALUE"""),5.15)</f>
        <v>5.15</v>
      </c>
      <c r="G897">
        <f>IFERROR(__xludf.DUMMYFUNCTION("""COMPUTED_VALUE"""),14.26)</f>
        <v>14.26</v>
      </c>
    </row>
    <row r="898">
      <c r="A898">
        <f>IFERROR(__xludf.DUMMYFUNCTION("""COMPUTED_VALUE"""),170018.0)</f>
        <v>170018</v>
      </c>
      <c r="B898" t="str">
        <f>IFERROR(__xludf.DUMMYFUNCTION("""COMPUTED_VALUE"""),"Peas And Carrots Frozen Cooked Boiled Drained Without Salt")</f>
        <v>Peas And Carrots Frozen Cooked Boiled Drained Without Salt</v>
      </c>
      <c r="C898" t="str">
        <f>IFERROR(__xludf.DUMMYFUNCTION("""COMPUTED_VALUE"""),"Vegetables")</f>
        <v>Vegetables</v>
      </c>
      <c r="D898">
        <f>IFERROR(__xludf.DUMMYFUNCTION("""COMPUTED_VALUE"""),48.0)</f>
        <v>48</v>
      </c>
      <c r="E898">
        <f>IFERROR(__xludf.DUMMYFUNCTION("""COMPUTED_VALUE"""),0.42)</f>
        <v>0.42</v>
      </c>
      <c r="F898">
        <f>IFERROR(__xludf.DUMMYFUNCTION("""COMPUTED_VALUE"""),3.09)</f>
        <v>3.09</v>
      </c>
      <c r="G898">
        <f>IFERROR(__xludf.DUMMYFUNCTION("""COMPUTED_VALUE"""),10.12)</f>
        <v>10.12</v>
      </c>
    </row>
    <row r="899">
      <c r="A899">
        <f>IFERROR(__xludf.DUMMYFUNCTION("""COMPUTED_VALUE"""),170019.0)</f>
        <v>170019</v>
      </c>
      <c r="B899" t="str">
        <f>IFERROR(__xludf.DUMMYFUNCTION("""COMPUTED_VALUE"""),"Peas And Onions Canned Solids And Liquids")</f>
        <v>Peas And Onions Canned Solids And Liquids</v>
      </c>
      <c r="C899" t="str">
        <f>IFERROR(__xludf.DUMMYFUNCTION("""COMPUTED_VALUE"""),"Vegetables")</f>
        <v>Vegetables</v>
      </c>
      <c r="D899">
        <f>IFERROR(__xludf.DUMMYFUNCTION("""COMPUTED_VALUE"""),51.0)</f>
        <v>51</v>
      </c>
      <c r="E899">
        <f>IFERROR(__xludf.DUMMYFUNCTION("""COMPUTED_VALUE"""),0.38)</f>
        <v>0.38</v>
      </c>
      <c r="F899">
        <f>IFERROR(__xludf.DUMMYFUNCTION("""COMPUTED_VALUE"""),3.28)</f>
        <v>3.28</v>
      </c>
      <c r="G899">
        <f>IFERROR(__xludf.DUMMYFUNCTION("""COMPUTED_VALUE"""),8.57)</f>
        <v>8.57</v>
      </c>
    </row>
    <row r="900">
      <c r="A900">
        <f>IFERROR(__xludf.DUMMYFUNCTION("""COMPUTED_VALUE"""),170020.0)</f>
        <v>170020</v>
      </c>
      <c r="B900" t="str">
        <f>IFERROR(__xludf.DUMMYFUNCTION("""COMPUTED_VALUE"""),"Peas And Onions Frozen Unprepared")</f>
        <v>Peas And Onions Frozen Unprepared</v>
      </c>
      <c r="C900" t="str">
        <f>IFERROR(__xludf.DUMMYFUNCTION("""COMPUTED_VALUE"""),"Vegetables")</f>
        <v>Vegetables</v>
      </c>
      <c r="D900">
        <f>IFERROR(__xludf.DUMMYFUNCTION("""COMPUTED_VALUE"""),70.0)</f>
        <v>70</v>
      </c>
      <c r="E900">
        <f>IFERROR(__xludf.DUMMYFUNCTION("""COMPUTED_VALUE"""),0.32)</f>
        <v>0.32</v>
      </c>
      <c r="F900">
        <f>IFERROR(__xludf.DUMMYFUNCTION("""COMPUTED_VALUE"""),3.98)</f>
        <v>3.98</v>
      </c>
      <c r="G900">
        <f>IFERROR(__xludf.DUMMYFUNCTION("""COMPUTED_VALUE"""),13.51)</f>
        <v>13.51</v>
      </c>
    </row>
    <row r="901">
      <c r="A901">
        <f>IFERROR(__xludf.DUMMYFUNCTION("""COMPUTED_VALUE"""),170021.0)</f>
        <v>170021</v>
      </c>
      <c r="B901" t="str">
        <f>IFERROR(__xludf.DUMMYFUNCTION("""COMPUTED_VALUE"""),"Peas And Onions Frozen Cooked Boiled Drained Without Salt")</f>
        <v>Peas And Onions Frozen Cooked Boiled Drained Without Salt</v>
      </c>
      <c r="C901" t="str">
        <f>IFERROR(__xludf.DUMMYFUNCTION("""COMPUTED_VALUE"""),"Vegetables")</f>
        <v>Vegetables</v>
      </c>
      <c r="D901">
        <f>IFERROR(__xludf.DUMMYFUNCTION("""COMPUTED_VALUE"""),45.0)</f>
        <v>45</v>
      </c>
      <c r="E901">
        <f>IFERROR(__xludf.DUMMYFUNCTION("""COMPUTED_VALUE"""),0.2)</f>
        <v>0.2</v>
      </c>
      <c r="F901">
        <f>IFERROR(__xludf.DUMMYFUNCTION("""COMPUTED_VALUE"""),2.54)</f>
        <v>2.54</v>
      </c>
      <c r="G901">
        <f>IFERROR(__xludf.DUMMYFUNCTION("""COMPUTED_VALUE"""),8.63)</f>
        <v>8.63</v>
      </c>
    </row>
    <row r="902">
      <c r="A902">
        <f>IFERROR(__xludf.DUMMYFUNCTION("""COMPUTED_VALUE"""),170022.0)</f>
        <v>170022</v>
      </c>
      <c r="B902" t="str">
        <f>IFERROR(__xludf.DUMMYFUNCTION("""COMPUTED_VALUE"""),"Peppers Sweet Green Frozen Chopped Unprepared")</f>
        <v>Peppers Sweet Green Frozen Chopped Unprepared</v>
      </c>
      <c r="C902" t="str">
        <f>IFERROR(__xludf.DUMMYFUNCTION("""COMPUTED_VALUE"""),"Vegetables")</f>
        <v>Vegetables</v>
      </c>
      <c r="D902">
        <f>IFERROR(__xludf.DUMMYFUNCTION("""COMPUTED_VALUE"""),20.0)</f>
        <v>20</v>
      </c>
      <c r="E902">
        <f>IFERROR(__xludf.DUMMYFUNCTION("""COMPUTED_VALUE"""),0.21)</f>
        <v>0.21</v>
      </c>
      <c r="F902">
        <f>IFERROR(__xludf.DUMMYFUNCTION("""COMPUTED_VALUE"""),1.08)</f>
        <v>1.08</v>
      </c>
      <c r="G902">
        <f>IFERROR(__xludf.DUMMYFUNCTION("""COMPUTED_VALUE"""),4.45)</f>
        <v>4.45</v>
      </c>
    </row>
    <row r="903">
      <c r="A903">
        <f>IFERROR(__xludf.DUMMYFUNCTION("""COMPUTED_VALUE"""),170023.0)</f>
        <v>170023</v>
      </c>
      <c r="B903" t="str">
        <f>IFERROR(__xludf.DUMMYFUNCTION("""COMPUTED_VALUE"""),"Peppers Sweet Green Frozen Chopped Boiled Drained Without Salt")</f>
        <v>Peppers Sweet Green Frozen Chopped Boiled Drained Without Salt</v>
      </c>
      <c r="C903" t="str">
        <f>IFERROR(__xludf.DUMMYFUNCTION("""COMPUTED_VALUE"""),"Vegetables")</f>
        <v>Vegetables</v>
      </c>
      <c r="D903">
        <f>IFERROR(__xludf.DUMMYFUNCTION("""COMPUTED_VALUE"""),18.0)</f>
        <v>18</v>
      </c>
      <c r="E903">
        <f>IFERROR(__xludf.DUMMYFUNCTION("""COMPUTED_VALUE"""),0.18)</f>
        <v>0.18</v>
      </c>
      <c r="F903">
        <f>IFERROR(__xludf.DUMMYFUNCTION("""COMPUTED_VALUE"""),0.95)</f>
        <v>0.95</v>
      </c>
      <c r="G903">
        <f>IFERROR(__xludf.DUMMYFUNCTION("""COMPUTED_VALUE"""),3.9)</f>
        <v>3.9</v>
      </c>
    </row>
    <row r="904">
      <c r="A904">
        <f>IFERROR(__xludf.DUMMYFUNCTION("""COMPUTED_VALUE"""),170024.0)</f>
        <v>170024</v>
      </c>
      <c r="B904" t="str">
        <f>IFERROR(__xludf.DUMMYFUNCTION("""COMPUTED_VALUE"""),"Sauteed Green Bell Peppers")</f>
        <v>Sauteed Green Bell Peppers</v>
      </c>
      <c r="C904" t="str">
        <f>IFERROR(__xludf.DUMMYFUNCTION("""COMPUTED_VALUE"""),"Vegetables")</f>
        <v>Vegetables</v>
      </c>
      <c r="D904">
        <f>IFERROR(__xludf.DUMMYFUNCTION("""COMPUTED_VALUE"""),116.0)</f>
        <v>116</v>
      </c>
      <c r="E904">
        <f>IFERROR(__xludf.DUMMYFUNCTION("""COMPUTED_VALUE"""),11.85)</f>
        <v>11.85</v>
      </c>
      <c r="F904">
        <f>IFERROR(__xludf.DUMMYFUNCTION("""COMPUTED_VALUE"""),0.78)</f>
        <v>0.78</v>
      </c>
      <c r="G904">
        <f>IFERROR(__xludf.DUMMYFUNCTION("""COMPUTED_VALUE"""),4.22)</f>
        <v>4.22</v>
      </c>
    </row>
    <row r="905">
      <c r="A905">
        <f>IFERROR(__xludf.DUMMYFUNCTION("""COMPUTED_VALUE"""),170025.0)</f>
        <v>170025</v>
      </c>
      <c r="B905" t="str">
        <f>IFERROR(__xludf.DUMMYFUNCTION("""COMPUTED_VALUE"""),"Pigeonpeas Immature Seeds Raw")</f>
        <v>Pigeonpeas Immature Seeds Raw</v>
      </c>
      <c r="C905" t="str">
        <f>IFERROR(__xludf.DUMMYFUNCTION("""COMPUTED_VALUE"""),"Vegetables")</f>
        <v>Vegetables</v>
      </c>
      <c r="D905">
        <f>IFERROR(__xludf.DUMMYFUNCTION("""COMPUTED_VALUE"""),136.0)</f>
        <v>136</v>
      </c>
      <c r="E905">
        <f>IFERROR(__xludf.DUMMYFUNCTION("""COMPUTED_VALUE"""),1.64)</f>
        <v>1.64</v>
      </c>
      <c r="F905">
        <f>IFERROR(__xludf.DUMMYFUNCTION("""COMPUTED_VALUE"""),7.2)</f>
        <v>7.2</v>
      </c>
      <c r="G905">
        <f>IFERROR(__xludf.DUMMYFUNCTION("""COMPUTED_VALUE"""),23.88)</f>
        <v>23.88</v>
      </c>
    </row>
    <row r="906">
      <c r="A906">
        <f>IFERROR(__xludf.DUMMYFUNCTION("""COMPUTED_VALUE"""),170026.0)</f>
        <v>170026</v>
      </c>
      <c r="B906" t="str">
        <f>IFERROR(__xludf.DUMMYFUNCTION("""COMPUTED_VALUE"""),"Potatoes Flesh And Skin Raw")</f>
        <v>Potatoes Flesh And Skin Raw</v>
      </c>
      <c r="C906" t="str">
        <f>IFERROR(__xludf.DUMMYFUNCTION("""COMPUTED_VALUE"""),"Vegetables")</f>
        <v>Vegetables</v>
      </c>
      <c r="D906">
        <f>IFERROR(__xludf.DUMMYFUNCTION("""COMPUTED_VALUE"""),77.0)</f>
        <v>77</v>
      </c>
      <c r="E906">
        <f>IFERROR(__xludf.DUMMYFUNCTION("""COMPUTED_VALUE"""),0.09)</f>
        <v>0.09</v>
      </c>
      <c r="F906">
        <f>IFERROR(__xludf.DUMMYFUNCTION("""COMPUTED_VALUE"""),2.05)</f>
        <v>2.05</v>
      </c>
      <c r="G906">
        <f>IFERROR(__xludf.DUMMYFUNCTION("""COMPUTED_VALUE"""),17.49)</f>
        <v>17.49</v>
      </c>
    </row>
    <row r="907">
      <c r="A907">
        <f>IFERROR(__xludf.DUMMYFUNCTION("""COMPUTED_VALUE"""),170027.0)</f>
        <v>170027</v>
      </c>
      <c r="B907" t="str">
        <f>IFERROR(__xludf.DUMMYFUNCTION("""COMPUTED_VALUE"""),"Potatoes Russet Flesh And Skin Raw")</f>
        <v>Potatoes Russet Flesh And Skin Raw</v>
      </c>
      <c r="C907" t="str">
        <f>IFERROR(__xludf.DUMMYFUNCTION("""COMPUTED_VALUE"""),"Vegetables")</f>
        <v>Vegetables</v>
      </c>
      <c r="D907">
        <f>IFERROR(__xludf.DUMMYFUNCTION("""COMPUTED_VALUE"""),79.0)</f>
        <v>79</v>
      </c>
      <c r="E907">
        <f>IFERROR(__xludf.DUMMYFUNCTION("""COMPUTED_VALUE"""),0.08)</f>
        <v>0.08</v>
      </c>
      <c r="F907">
        <f>IFERROR(__xludf.DUMMYFUNCTION("""COMPUTED_VALUE"""),2.14)</f>
        <v>2.14</v>
      </c>
      <c r="G907">
        <f>IFERROR(__xludf.DUMMYFUNCTION("""COMPUTED_VALUE"""),18.07)</f>
        <v>18.07</v>
      </c>
    </row>
    <row r="908">
      <c r="A908">
        <f>IFERROR(__xludf.DUMMYFUNCTION("""COMPUTED_VALUE"""),170028.0)</f>
        <v>170028</v>
      </c>
      <c r="B908" t="str">
        <f>IFERROR(__xludf.DUMMYFUNCTION("""COMPUTED_VALUE"""),"Potatoes White Flesh And Skin Raw")</f>
        <v>Potatoes White Flesh And Skin Raw</v>
      </c>
      <c r="C908" t="str">
        <f>IFERROR(__xludf.DUMMYFUNCTION("""COMPUTED_VALUE"""),"Vegetables")</f>
        <v>Vegetables</v>
      </c>
      <c r="D908">
        <f>IFERROR(__xludf.DUMMYFUNCTION("""COMPUTED_VALUE"""),69.0)</f>
        <v>69</v>
      </c>
      <c r="E908">
        <f>IFERROR(__xludf.DUMMYFUNCTION("""COMPUTED_VALUE"""),0.1)</f>
        <v>0.1</v>
      </c>
      <c r="F908">
        <f>IFERROR(__xludf.DUMMYFUNCTION("""COMPUTED_VALUE"""),1.68)</f>
        <v>1.68</v>
      </c>
      <c r="G908">
        <f>IFERROR(__xludf.DUMMYFUNCTION("""COMPUTED_VALUE"""),15.71)</f>
        <v>15.71</v>
      </c>
    </row>
    <row r="909">
      <c r="A909">
        <f>IFERROR(__xludf.DUMMYFUNCTION("""COMPUTED_VALUE"""),170029.0)</f>
        <v>170029</v>
      </c>
      <c r="B909" t="str">
        <f>IFERROR(__xludf.DUMMYFUNCTION("""COMPUTED_VALUE"""),"Potatoes Red Flesh And Skin Raw")</f>
        <v>Potatoes Red Flesh And Skin Raw</v>
      </c>
      <c r="C909" t="str">
        <f>IFERROR(__xludf.DUMMYFUNCTION("""COMPUTED_VALUE"""),"Vegetables")</f>
        <v>Vegetables</v>
      </c>
      <c r="D909">
        <f>IFERROR(__xludf.DUMMYFUNCTION("""COMPUTED_VALUE"""),70.0)</f>
        <v>70</v>
      </c>
      <c r="E909">
        <f>IFERROR(__xludf.DUMMYFUNCTION("""COMPUTED_VALUE"""),0.14)</f>
        <v>0.14</v>
      </c>
      <c r="F909">
        <f>IFERROR(__xludf.DUMMYFUNCTION("""COMPUTED_VALUE"""),1.89)</f>
        <v>1.89</v>
      </c>
      <c r="G909">
        <f>IFERROR(__xludf.DUMMYFUNCTION("""COMPUTED_VALUE"""),15.9)</f>
        <v>15.9</v>
      </c>
    </row>
    <row r="910">
      <c r="A910">
        <f>IFERROR(__xludf.DUMMYFUNCTION("""COMPUTED_VALUE"""),170030.0)</f>
        <v>170030</v>
      </c>
      <c r="B910" t="str">
        <f>IFERROR(__xludf.DUMMYFUNCTION("""COMPUTED_VALUE"""),"Baked Russet Potatoes")</f>
        <v>Baked Russet Potatoes</v>
      </c>
      <c r="C910" t="str">
        <f>IFERROR(__xludf.DUMMYFUNCTION("""COMPUTED_VALUE"""),"Vegetables")</f>
        <v>Vegetables</v>
      </c>
      <c r="D910">
        <f>IFERROR(__xludf.DUMMYFUNCTION("""COMPUTED_VALUE"""),95.0)</f>
        <v>95</v>
      </c>
      <c r="E910">
        <f>IFERROR(__xludf.DUMMYFUNCTION("""COMPUTED_VALUE"""),0.13)</f>
        <v>0.13</v>
      </c>
      <c r="F910">
        <f>IFERROR(__xludf.DUMMYFUNCTION("""COMPUTED_VALUE"""),2.63)</f>
        <v>2.63</v>
      </c>
      <c r="G910">
        <f>IFERROR(__xludf.DUMMYFUNCTION("""COMPUTED_VALUE"""),21.44)</f>
        <v>21.44</v>
      </c>
    </row>
    <row r="911">
      <c r="A911">
        <f>IFERROR(__xludf.DUMMYFUNCTION("""COMPUTED_VALUE"""),170031.0)</f>
        <v>170031</v>
      </c>
      <c r="B911" t="str">
        <f>IFERROR(__xludf.DUMMYFUNCTION("""COMPUTED_VALUE"""),"Potatoes Roasted Salt Added In Processing Frozen Unprepared")</f>
        <v>Potatoes Roasted Salt Added In Processing Frozen Unprepared</v>
      </c>
      <c r="C911" t="str">
        <f>IFERROR(__xludf.DUMMYFUNCTION("""COMPUTED_VALUE"""),"Vegetables")</f>
        <v>Vegetables</v>
      </c>
      <c r="D911">
        <f>IFERROR(__xludf.DUMMYFUNCTION("""COMPUTED_VALUE"""),127.0)</f>
        <v>127</v>
      </c>
      <c r="E911">
        <f>IFERROR(__xludf.DUMMYFUNCTION("""COMPUTED_VALUE"""),1.81)</f>
        <v>1.81</v>
      </c>
      <c r="F911">
        <f>IFERROR(__xludf.DUMMYFUNCTION("""COMPUTED_VALUE"""),2.22)</f>
        <v>2.22</v>
      </c>
      <c r="G911">
        <f>IFERROR(__xludf.DUMMYFUNCTION("""COMPUTED_VALUE"""),26.15)</f>
        <v>26.15</v>
      </c>
    </row>
    <row r="912">
      <c r="A912">
        <f>IFERROR(__xludf.DUMMYFUNCTION("""COMPUTED_VALUE"""),170032.0)</f>
        <v>170032</v>
      </c>
      <c r="B912" t="str">
        <f>IFERROR(__xludf.DUMMYFUNCTION("""COMPUTED_VALUE"""),"Potatoes Raw Skin")</f>
        <v>Potatoes Raw Skin</v>
      </c>
      <c r="C912" t="str">
        <f>IFERROR(__xludf.DUMMYFUNCTION("""COMPUTED_VALUE"""),"Vegetables")</f>
        <v>Vegetables</v>
      </c>
      <c r="D912">
        <f>IFERROR(__xludf.DUMMYFUNCTION("""COMPUTED_VALUE"""),58.0)</f>
        <v>58</v>
      </c>
      <c r="E912">
        <f>IFERROR(__xludf.DUMMYFUNCTION("""COMPUTED_VALUE"""),0.1)</f>
        <v>0.1</v>
      </c>
      <c r="F912">
        <f>IFERROR(__xludf.DUMMYFUNCTION("""COMPUTED_VALUE"""),2.57)</f>
        <v>2.57</v>
      </c>
      <c r="G912">
        <f>IFERROR(__xludf.DUMMYFUNCTION("""COMPUTED_VALUE"""),12.44)</f>
        <v>12.44</v>
      </c>
    </row>
    <row r="913">
      <c r="A913">
        <f>IFERROR(__xludf.DUMMYFUNCTION("""COMPUTED_VALUE"""),170033.0)</f>
        <v>170033</v>
      </c>
      <c r="B913" t="str">
        <f>IFERROR(__xludf.DUMMYFUNCTION("""COMPUTED_VALUE"""),"Baked Potato (No Skin)")</f>
        <v>Baked Potato (No Skin)</v>
      </c>
      <c r="C913" t="str">
        <f>IFERROR(__xludf.DUMMYFUNCTION("""COMPUTED_VALUE"""),"Vegetables")</f>
        <v>Vegetables</v>
      </c>
      <c r="D913">
        <f>IFERROR(__xludf.DUMMYFUNCTION("""COMPUTED_VALUE"""),93.0)</f>
        <v>93</v>
      </c>
      <c r="E913">
        <f>IFERROR(__xludf.DUMMYFUNCTION("""COMPUTED_VALUE"""),0.1)</f>
        <v>0.1</v>
      </c>
      <c r="F913">
        <f>IFERROR(__xludf.DUMMYFUNCTION("""COMPUTED_VALUE"""),1.96)</f>
        <v>1.96</v>
      </c>
      <c r="G913">
        <f>IFERROR(__xludf.DUMMYFUNCTION("""COMPUTED_VALUE"""),21.55)</f>
        <v>21.55</v>
      </c>
    </row>
    <row r="914">
      <c r="A914">
        <f>IFERROR(__xludf.DUMMYFUNCTION("""COMPUTED_VALUE"""),170034.0)</f>
        <v>170034</v>
      </c>
      <c r="B914" t="str">
        <f>IFERROR(__xludf.DUMMYFUNCTION("""COMPUTED_VALUE"""),"Potatoes Baked Skin Without Salt")</f>
        <v>Potatoes Baked Skin Without Salt</v>
      </c>
      <c r="C914" t="str">
        <f>IFERROR(__xludf.DUMMYFUNCTION("""COMPUTED_VALUE"""),"Vegetables")</f>
        <v>Vegetables</v>
      </c>
      <c r="D914">
        <f>IFERROR(__xludf.DUMMYFUNCTION("""COMPUTED_VALUE"""),198.0)</f>
        <v>198</v>
      </c>
      <c r="E914">
        <f>IFERROR(__xludf.DUMMYFUNCTION("""COMPUTED_VALUE"""),0.1)</f>
        <v>0.1</v>
      </c>
      <c r="F914">
        <f>IFERROR(__xludf.DUMMYFUNCTION("""COMPUTED_VALUE"""),4.29)</f>
        <v>4.29</v>
      </c>
      <c r="G914">
        <f>IFERROR(__xludf.DUMMYFUNCTION("""COMPUTED_VALUE"""),46.06)</f>
        <v>46.06</v>
      </c>
    </row>
    <row r="915">
      <c r="A915">
        <f>IFERROR(__xludf.DUMMYFUNCTION("""COMPUTED_VALUE"""),170035.0)</f>
        <v>170035</v>
      </c>
      <c r="B915" t="str">
        <f>IFERROR(__xludf.DUMMYFUNCTION("""COMPUTED_VALUE"""),"Potatoes Microwaved Cooked In Skin Skin Without Salt")</f>
        <v>Potatoes Microwaved Cooked In Skin Skin Without Salt</v>
      </c>
      <c r="C915" t="str">
        <f>IFERROR(__xludf.DUMMYFUNCTION("""COMPUTED_VALUE"""),"Vegetables")</f>
        <v>Vegetables</v>
      </c>
      <c r="D915">
        <f>IFERROR(__xludf.DUMMYFUNCTION("""COMPUTED_VALUE"""),132.0)</f>
        <v>132</v>
      </c>
      <c r="E915">
        <f>IFERROR(__xludf.DUMMYFUNCTION("""COMPUTED_VALUE"""),0.1)</f>
        <v>0.1</v>
      </c>
      <c r="F915">
        <f>IFERROR(__xludf.DUMMYFUNCTION("""COMPUTED_VALUE"""),4.39)</f>
        <v>4.39</v>
      </c>
      <c r="G915">
        <f>IFERROR(__xludf.DUMMYFUNCTION("""COMPUTED_VALUE"""),29.63)</f>
        <v>29.63</v>
      </c>
    </row>
    <row r="916">
      <c r="A916">
        <f>IFERROR(__xludf.DUMMYFUNCTION("""COMPUTED_VALUE"""),170037.0)</f>
        <v>170037</v>
      </c>
      <c r="B916" t="str">
        <f>IFERROR(__xludf.DUMMYFUNCTION("""COMPUTED_VALUE"""),"Potatoes Mashed Home-Prepared Whole Milk And Margarine Added")</f>
        <v>Potatoes Mashed Home-Prepared Whole Milk And Margarine Added</v>
      </c>
      <c r="C916" t="str">
        <f>IFERROR(__xludf.DUMMYFUNCTION("""COMPUTED_VALUE"""),"Vegetables")</f>
        <v>Vegetables</v>
      </c>
      <c r="D916">
        <f>IFERROR(__xludf.DUMMYFUNCTION("""COMPUTED_VALUE"""),113.0)</f>
        <v>113</v>
      </c>
      <c r="E916">
        <f>IFERROR(__xludf.DUMMYFUNCTION("""COMPUTED_VALUE"""),4.2)</f>
        <v>4.2</v>
      </c>
      <c r="F916">
        <f>IFERROR(__xludf.DUMMYFUNCTION("""COMPUTED_VALUE"""),1.96)</f>
        <v>1.96</v>
      </c>
      <c r="G916">
        <f>IFERROR(__xludf.DUMMYFUNCTION("""COMPUTED_VALUE"""),16.94)</f>
        <v>16.94</v>
      </c>
    </row>
    <row r="917">
      <c r="A917">
        <f>IFERROR(__xludf.DUMMYFUNCTION("""COMPUTED_VALUE"""),170038.0)</f>
        <v>170038</v>
      </c>
      <c r="B917" t="str">
        <f>IFERROR(__xludf.DUMMYFUNCTION("""COMPUTED_VALUE"""),"Potatoes Scalloped Home-Prepared With Butter")</f>
        <v>Potatoes Scalloped Home-Prepared With Butter</v>
      </c>
      <c r="C917" t="str">
        <f>IFERROR(__xludf.DUMMYFUNCTION("""COMPUTED_VALUE"""),"Vegetables")</f>
        <v>Vegetables</v>
      </c>
      <c r="D917">
        <f>IFERROR(__xludf.DUMMYFUNCTION("""COMPUTED_VALUE"""),88.0)</f>
        <v>88</v>
      </c>
      <c r="E917">
        <f>IFERROR(__xludf.DUMMYFUNCTION("""COMPUTED_VALUE"""),3.68)</f>
        <v>3.68</v>
      </c>
      <c r="F917">
        <f>IFERROR(__xludf.DUMMYFUNCTION("""COMPUTED_VALUE"""),2.87)</f>
        <v>2.87</v>
      </c>
      <c r="G917">
        <f>IFERROR(__xludf.DUMMYFUNCTION("""COMPUTED_VALUE"""),10.78)</f>
        <v>10.78</v>
      </c>
    </row>
    <row r="918">
      <c r="A918">
        <f>IFERROR(__xludf.DUMMYFUNCTION("""COMPUTED_VALUE"""),170039.0)</f>
        <v>170039</v>
      </c>
      <c r="B918" t="str">
        <f>IFERROR(__xludf.DUMMYFUNCTION("""COMPUTED_VALUE"""),"Potatoes Mashed Dehydrated Granules Without Milk Dry Form")</f>
        <v>Potatoes Mashed Dehydrated Granules Without Milk Dry Form</v>
      </c>
      <c r="C918" t="str">
        <f>IFERROR(__xludf.DUMMYFUNCTION("""COMPUTED_VALUE"""),"Vegetables")</f>
        <v>Vegetables</v>
      </c>
      <c r="D918">
        <f>IFERROR(__xludf.DUMMYFUNCTION("""COMPUTED_VALUE"""),372.0)</f>
        <v>372</v>
      </c>
      <c r="E918">
        <f>IFERROR(__xludf.DUMMYFUNCTION("""COMPUTED_VALUE"""),0.54)</f>
        <v>0.54</v>
      </c>
      <c r="F918">
        <f>IFERROR(__xludf.DUMMYFUNCTION("""COMPUTED_VALUE"""),8.22)</f>
        <v>8.22</v>
      </c>
      <c r="G918">
        <f>IFERROR(__xludf.DUMMYFUNCTION("""COMPUTED_VALUE"""),85.51)</f>
        <v>85.51</v>
      </c>
    </row>
    <row r="919">
      <c r="A919">
        <f>IFERROR(__xludf.DUMMYFUNCTION("""COMPUTED_VALUE"""),170040.0)</f>
        <v>170040</v>
      </c>
      <c r="B919" t="str">
        <f>IFERROR(__xludf.DUMMYFUNCTION("""COMPUTED_VALUE"""),"Potatoes Mashed Dehydrated Prepared From Granules Without Milk Whole Milk And Butter Added")</f>
        <v>Potatoes Mashed Dehydrated Prepared From Granules Without Milk Whole Milk And Butter Added</v>
      </c>
      <c r="C919" t="str">
        <f>IFERROR(__xludf.DUMMYFUNCTION("""COMPUTED_VALUE"""),"Vegetables")</f>
        <v>Vegetables</v>
      </c>
      <c r="D919">
        <f>IFERROR(__xludf.DUMMYFUNCTION("""COMPUTED_VALUE"""),108.0)</f>
        <v>108</v>
      </c>
      <c r="E919">
        <f>IFERROR(__xludf.DUMMYFUNCTION("""COMPUTED_VALUE"""),4.96)</f>
        <v>4.96</v>
      </c>
      <c r="F919">
        <f>IFERROR(__xludf.DUMMYFUNCTION("""COMPUTED_VALUE"""),2.05)</f>
        <v>2.05</v>
      </c>
      <c r="G919">
        <f>IFERROR(__xludf.DUMMYFUNCTION("""COMPUTED_VALUE"""),14.36)</f>
        <v>14.36</v>
      </c>
    </row>
    <row r="920">
      <c r="A920">
        <f>IFERROR(__xludf.DUMMYFUNCTION("""COMPUTED_VALUE"""),170041.0)</f>
        <v>170041</v>
      </c>
      <c r="B920" t="str">
        <f>IFERROR(__xludf.DUMMYFUNCTION("""COMPUTED_VALUE"""),"Potatoes Mashed Dehydrated Granules With Milk Dry Form")</f>
        <v>Potatoes Mashed Dehydrated Granules With Milk Dry Form</v>
      </c>
      <c r="C920" t="str">
        <f>IFERROR(__xludf.DUMMYFUNCTION("""COMPUTED_VALUE"""),"Vegetables")</f>
        <v>Vegetables</v>
      </c>
      <c r="D920">
        <f>IFERROR(__xludf.DUMMYFUNCTION("""COMPUTED_VALUE"""),357.0)</f>
        <v>357</v>
      </c>
      <c r="E920">
        <f>IFERROR(__xludf.DUMMYFUNCTION("""COMPUTED_VALUE"""),1.1)</f>
        <v>1.1</v>
      </c>
      <c r="F920">
        <f>IFERROR(__xludf.DUMMYFUNCTION("""COMPUTED_VALUE"""),10.9)</f>
        <v>10.9</v>
      </c>
      <c r="G920">
        <f>IFERROR(__xludf.DUMMYFUNCTION("""COMPUTED_VALUE"""),77.7)</f>
        <v>77.7</v>
      </c>
    </row>
    <row r="921">
      <c r="A921">
        <f>IFERROR(__xludf.DUMMYFUNCTION("""COMPUTED_VALUE"""),170042.0)</f>
        <v>170042</v>
      </c>
      <c r="B921" t="str">
        <f>IFERROR(__xludf.DUMMYFUNCTION("""COMPUTED_VALUE"""),"Potatoes Mashed Dehydrated Prepared From Granules With Milk Water And Margarine Added")</f>
        <v>Potatoes Mashed Dehydrated Prepared From Granules With Milk Water And Margarine Added</v>
      </c>
      <c r="C921" t="str">
        <f>IFERROR(__xludf.DUMMYFUNCTION("""COMPUTED_VALUE"""),"Vegetables")</f>
        <v>Vegetables</v>
      </c>
      <c r="D921">
        <f>IFERROR(__xludf.DUMMYFUNCTION("""COMPUTED_VALUE"""),116.0)</f>
        <v>116</v>
      </c>
      <c r="E921">
        <f>IFERROR(__xludf.DUMMYFUNCTION("""COMPUTED_VALUE"""),4.8)</f>
        <v>4.8</v>
      </c>
      <c r="F921">
        <f>IFERROR(__xludf.DUMMYFUNCTION("""COMPUTED_VALUE"""),2.13)</f>
        <v>2.13</v>
      </c>
      <c r="G921">
        <f>IFERROR(__xludf.DUMMYFUNCTION("""COMPUTED_VALUE"""),16.13)</f>
        <v>16.13</v>
      </c>
    </row>
    <row r="922">
      <c r="A922">
        <f>IFERROR(__xludf.DUMMYFUNCTION("""COMPUTED_VALUE"""),170043.0)</f>
        <v>170043</v>
      </c>
      <c r="B922" t="str">
        <f>IFERROR(__xludf.DUMMYFUNCTION("""COMPUTED_VALUE"""),"Potatoes Hash Brown Frozen Plain Unprepared")</f>
        <v>Potatoes Hash Brown Frozen Plain Unprepared</v>
      </c>
      <c r="C922" t="str">
        <f>IFERROR(__xludf.DUMMYFUNCTION("""COMPUTED_VALUE"""),"Vegetables")</f>
        <v>Vegetables</v>
      </c>
      <c r="D922">
        <f>IFERROR(__xludf.DUMMYFUNCTION("""COMPUTED_VALUE"""),82.0)</f>
        <v>82</v>
      </c>
      <c r="E922">
        <f>IFERROR(__xludf.DUMMYFUNCTION("""COMPUTED_VALUE"""),0.62)</f>
        <v>0.62</v>
      </c>
      <c r="F922">
        <f>IFERROR(__xludf.DUMMYFUNCTION("""COMPUTED_VALUE"""),2.06)</f>
        <v>2.06</v>
      </c>
      <c r="G922">
        <f>IFERROR(__xludf.DUMMYFUNCTION("""COMPUTED_VALUE"""),17.72)</f>
        <v>17.72</v>
      </c>
    </row>
    <row r="923">
      <c r="A923">
        <f>IFERROR(__xludf.DUMMYFUNCTION("""COMPUTED_VALUE"""),170044.0)</f>
        <v>170044</v>
      </c>
      <c r="B923" t="str">
        <f>IFERROR(__xludf.DUMMYFUNCTION("""COMPUTED_VALUE"""),"Potatoes Hash Brown Frozen Plain Prepared Pan Fried In Canola Oil")</f>
        <v>Potatoes Hash Brown Frozen Plain Prepared Pan Fried In Canola Oil</v>
      </c>
      <c r="C923" t="str">
        <f>IFERROR(__xludf.DUMMYFUNCTION("""COMPUTED_VALUE"""),"Vegetables")</f>
        <v>Vegetables</v>
      </c>
      <c r="D923">
        <f>IFERROR(__xludf.DUMMYFUNCTION("""COMPUTED_VALUE"""),219.0)</f>
        <v>219</v>
      </c>
      <c r="E923">
        <f>IFERROR(__xludf.DUMMYFUNCTION("""COMPUTED_VALUE"""),11.59)</f>
        <v>11.59</v>
      </c>
      <c r="F923">
        <f>IFERROR(__xludf.DUMMYFUNCTION("""COMPUTED_VALUE"""),2.65)</f>
        <v>2.65</v>
      </c>
      <c r="G923">
        <f>IFERROR(__xludf.DUMMYFUNCTION("""COMPUTED_VALUE"""),28.51)</f>
        <v>28.51</v>
      </c>
    </row>
    <row r="924">
      <c r="A924">
        <f>IFERROR(__xludf.DUMMYFUNCTION("""COMPUTED_VALUE"""),170045.0)</f>
        <v>170045</v>
      </c>
      <c r="B924" t="str">
        <f>IFERROR(__xludf.DUMMYFUNCTION("""COMPUTED_VALUE"""),"Potatoes Hash Brown Frozen With Butter Sauce Unprepared")</f>
        <v>Potatoes Hash Brown Frozen With Butter Sauce Unprepared</v>
      </c>
      <c r="C924" t="str">
        <f>IFERROR(__xludf.DUMMYFUNCTION("""COMPUTED_VALUE"""),"Vegetables")</f>
        <v>Vegetables</v>
      </c>
      <c r="D924">
        <f>IFERROR(__xludf.DUMMYFUNCTION("""COMPUTED_VALUE"""),135.0)</f>
        <v>135</v>
      </c>
      <c r="E924">
        <f>IFERROR(__xludf.DUMMYFUNCTION("""COMPUTED_VALUE"""),6.66)</f>
        <v>6.66</v>
      </c>
      <c r="F924">
        <f>IFERROR(__xludf.DUMMYFUNCTION("""COMPUTED_VALUE"""),1.87)</f>
        <v>1.87</v>
      </c>
      <c r="G924">
        <f>IFERROR(__xludf.DUMMYFUNCTION("""COMPUTED_VALUE"""),18.28)</f>
        <v>18.28</v>
      </c>
    </row>
    <row r="925">
      <c r="A925">
        <f>IFERROR(__xludf.DUMMYFUNCTION("""COMPUTED_VALUE"""),170046.0)</f>
        <v>170046</v>
      </c>
      <c r="B925" t="str">
        <f>IFERROR(__xludf.DUMMYFUNCTION("""COMPUTED_VALUE"""),"Potatoes Hash Brown Frozen With Butter Sauce Prepared")</f>
        <v>Potatoes Hash Brown Frozen With Butter Sauce Prepared</v>
      </c>
      <c r="C925" t="str">
        <f>IFERROR(__xludf.DUMMYFUNCTION("""COMPUTED_VALUE"""),"Vegetables")</f>
        <v>Vegetables</v>
      </c>
      <c r="D925">
        <f>IFERROR(__xludf.DUMMYFUNCTION("""COMPUTED_VALUE"""),178.0)</f>
        <v>178</v>
      </c>
      <c r="E925">
        <f>IFERROR(__xludf.DUMMYFUNCTION("""COMPUTED_VALUE"""),8.79)</f>
        <v>8.79</v>
      </c>
      <c r="F925">
        <f>IFERROR(__xludf.DUMMYFUNCTION("""COMPUTED_VALUE"""),2.46)</f>
        <v>2.46</v>
      </c>
      <c r="G925">
        <f>IFERROR(__xludf.DUMMYFUNCTION("""COMPUTED_VALUE"""),24.13)</f>
        <v>24.13</v>
      </c>
    </row>
    <row r="926">
      <c r="A926">
        <f>IFERROR(__xludf.DUMMYFUNCTION("""COMPUTED_VALUE"""),170047.0)</f>
        <v>170047</v>
      </c>
      <c r="B926" t="str">
        <f>IFERROR(__xludf.DUMMYFUNCTION("""COMPUTED_VALUE"""),"Potato Puffs Frozen Unprepared")</f>
        <v>Potato Puffs Frozen Unprepared</v>
      </c>
      <c r="C926" t="str">
        <f>IFERROR(__xludf.DUMMYFUNCTION("""COMPUTED_VALUE"""),"Vegetables")</f>
        <v>Vegetables</v>
      </c>
      <c r="D926">
        <f>IFERROR(__xludf.DUMMYFUNCTION("""COMPUTED_VALUE"""),178.0)</f>
        <v>178</v>
      </c>
      <c r="E926">
        <f>IFERROR(__xludf.DUMMYFUNCTION("""COMPUTED_VALUE"""),8.71)</f>
        <v>8.71</v>
      </c>
      <c r="F926">
        <f>IFERROR(__xludf.DUMMYFUNCTION("""COMPUTED_VALUE"""),1.93)</f>
        <v>1.93</v>
      </c>
      <c r="G926">
        <f>IFERROR(__xludf.DUMMYFUNCTION("""COMPUTED_VALUE"""),24.8)</f>
        <v>24.8</v>
      </c>
    </row>
    <row r="927">
      <c r="A927">
        <f>IFERROR(__xludf.DUMMYFUNCTION("""COMPUTED_VALUE"""),170048.0)</f>
        <v>170048</v>
      </c>
      <c r="B927" t="str">
        <f>IFERROR(__xludf.DUMMYFUNCTION("""COMPUTED_VALUE"""),"Potato Puffs Frozen Oven-Heated")</f>
        <v>Potato Puffs Frozen Oven-Heated</v>
      </c>
      <c r="C927" t="str">
        <f>IFERROR(__xludf.DUMMYFUNCTION("""COMPUTED_VALUE"""),"Vegetables")</f>
        <v>Vegetables</v>
      </c>
      <c r="D927">
        <f>IFERROR(__xludf.DUMMYFUNCTION("""COMPUTED_VALUE"""),192.0)</f>
        <v>192</v>
      </c>
      <c r="E927">
        <f>IFERROR(__xludf.DUMMYFUNCTION("""COMPUTED_VALUE"""),9.05)</f>
        <v>9.05</v>
      </c>
      <c r="F927">
        <f>IFERROR(__xludf.DUMMYFUNCTION("""COMPUTED_VALUE"""),2.13)</f>
        <v>2.13</v>
      </c>
      <c r="G927">
        <f>IFERROR(__xludf.DUMMYFUNCTION("""COMPUTED_VALUE"""),27.29)</f>
        <v>27.29</v>
      </c>
    </row>
    <row r="928">
      <c r="A928">
        <f>IFERROR(__xludf.DUMMYFUNCTION("""COMPUTED_VALUE"""),170049.0)</f>
        <v>170049</v>
      </c>
      <c r="B928" t="str">
        <f>IFERROR(__xludf.DUMMYFUNCTION("""COMPUTED_VALUE"""),"Potatoes Frozen Whole Cooked Boiled Drained Without Salt")</f>
        <v>Potatoes Frozen Whole Cooked Boiled Drained Without Salt</v>
      </c>
      <c r="C928" t="str">
        <f>IFERROR(__xludf.DUMMYFUNCTION("""COMPUTED_VALUE"""),"Vegetables")</f>
        <v>Vegetables</v>
      </c>
      <c r="D928">
        <f>IFERROR(__xludf.DUMMYFUNCTION("""COMPUTED_VALUE"""),65.0)</f>
        <v>65</v>
      </c>
      <c r="E928">
        <f>IFERROR(__xludf.DUMMYFUNCTION("""COMPUTED_VALUE"""),0.13)</f>
        <v>0.13</v>
      </c>
      <c r="F928">
        <f>IFERROR(__xludf.DUMMYFUNCTION("""COMPUTED_VALUE"""),1.98)</f>
        <v>1.98</v>
      </c>
      <c r="G928">
        <f>IFERROR(__xludf.DUMMYFUNCTION("""COMPUTED_VALUE"""),14.52)</f>
        <v>14.52</v>
      </c>
    </row>
    <row r="929">
      <c r="A929">
        <f>IFERROR(__xludf.DUMMYFUNCTION("""COMPUTED_VALUE"""),170050.0)</f>
        <v>170050</v>
      </c>
      <c r="B929" t="str">
        <f>IFERROR(__xludf.DUMMYFUNCTION("""COMPUTED_VALUE"""),"Cooked Tomatoes")</f>
        <v>Cooked Tomatoes</v>
      </c>
      <c r="C929" t="str">
        <f>IFERROR(__xludf.DUMMYFUNCTION("""COMPUTED_VALUE"""),"Vegetables")</f>
        <v>Vegetables</v>
      </c>
      <c r="D929">
        <f>IFERROR(__xludf.DUMMYFUNCTION("""COMPUTED_VALUE"""),18.0)</f>
        <v>18</v>
      </c>
      <c r="E929">
        <f>IFERROR(__xludf.DUMMYFUNCTION("""COMPUTED_VALUE"""),0.11)</f>
        <v>0.11</v>
      </c>
      <c r="F929">
        <f>IFERROR(__xludf.DUMMYFUNCTION("""COMPUTED_VALUE"""),0.95)</f>
        <v>0.95</v>
      </c>
      <c r="G929">
        <f>IFERROR(__xludf.DUMMYFUNCTION("""COMPUTED_VALUE"""),4.01)</f>
        <v>4.01</v>
      </c>
    </row>
    <row r="930">
      <c r="A930">
        <f>IFERROR(__xludf.DUMMYFUNCTION("""COMPUTED_VALUE"""),170051.0)</f>
        <v>170051</v>
      </c>
      <c r="B930" t="str">
        <f>IFERROR(__xludf.DUMMYFUNCTION("""COMPUTED_VALUE"""),"Tomatoes Red Ripe Canned Packed In Tomato Juice")</f>
        <v>Tomatoes Red Ripe Canned Packed In Tomato Juice</v>
      </c>
      <c r="C930" t="str">
        <f>IFERROR(__xludf.DUMMYFUNCTION("""COMPUTED_VALUE"""),"Vegetables")</f>
        <v>Vegetables</v>
      </c>
      <c r="D930">
        <f>IFERROR(__xludf.DUMMYFUNCTION("""COMPUTED_VALUE"""),16.0)</f>
        <v>16</v>
      </c>
      <c r="E930">
        <f>IFERROR(__xludf.DUMMYFUNCTION("""COMPUTED_VALUE"""),0.25)</f>
        <v>0.25</v>
      </c>
      <c r="F930">
        <f>IFERROR(__xludf.DUMMYFUNCTION("""COMPUTED_VALUE"""),0.79)</f>
        <v>0.79</v>
      </c>
      <c r="G930">
        <f>IFERROR(__xludf.DUMMYFUNCTION("""COMPUTED_VALUE"""),3.47)</f>
        <v>3.47</v>
      </c>
    </row>
    <row r="931">
      <c r="A931">
        <f>IFERROR(__xludf.DUMMYFUNCTION("""COMPUTED_VALUE"""),170052.0)</f>
        <v>170052</v>
      </c>
      <c r="B931" t="str">
        <f>IFERROR(__xludf.DUMMYFUNCTION("""COMPUTED_VALUE"""),"Tomatoes Red Ripe Canned Stewed")</f>
        <v>Tomatoes Red Ripe Canned Stewed</v>
      </c>
      <c r="C931" t="str">
        <f>IFERROR(__xludf.DUMMYFUNCTION("""COMPUTED_VALUE"""),"Vegetables")</f>
        <v>Vegetables</v>
      </c>
      <c r="D931">
        <f>IFERROR(__xludf.DUMMYFUNCTION("""COMPUTED_VALUE"""),26.0)</f>
        <v>26</v>
      </c>
      <c r="E931">
        <f>IFERROR(__xludf.DUMMYFUNCTION("""COMPUTED_VALUE"""),0.19)</f>
        <v>0.19</v>
      </c>
      <c r="F931">
        <f>IFERROR(__xludf.DUMMYFUNCTION("""COMPUTED_VALUE"""),0.91)</f>
        <v>0.91</v>
      </c>
      <c r="G931">
        <f>IFERROR(__xludf.DUMMYFUNCTION("""COMPUTED_VALUE"""),6.19)</f>
        <v>6.19</v>
      </c>
    </row>
    <row r="932">
      <c r="A932">
        <f>IFERROR(__xludf.DUMMYFUNCTION("""COMPUTED_VALUE"""),170053.0)</f>
        <v>170053</v>
      </c>
      <c r="B932" t="str">
        <f>IFERROR(__xludf.DUMMYFUNCTION("""COMPUTED_VALUE"""),"Tomatoes Red Ripe Canned With Green Chilies")</f>
        <v>Tomatoes Red Ripe Canned With Green Chilies</v>
      </c>
      <c r="C932" t="str">
        <f>IFERROR(__xludf.DUMMYFUNCTION("""COMPUTED_VALUE"""),"Vegetables")</f>
        <v>Vegetables</v>
      </c>
      <c r="D932">
        <f>IFERROR(__xludf.DUMMYFUNCTION("""COMPUTED_VALUE"""),15.0)</f>
        <v>15</v>
      </c>
      <c r="E932">
        <f>IFERROR(__xludf.DUMMYFUNCTION("""COMPUTED_VALUE"""),0.08)</f>
        <v>0.08</v>
      </c>
      <c r="F932">
        <f>IFERROR(__xludf.DUMMYFUNCTION("""COMPUTED_VALUE"""),0.69)</f>
        <v>0.69</v>
      </c>
      <c r="G932">
        <f>IFERROR(__xludf.DUMMYFUNCTION("""COMPUTED_VALUE"""),3.62)</f>
        <v>3.62</v>
      </c>
    </row>
    <row r="933">
      <c r="A933">
        <f>IFERROR(__xludf.DUMMYFUNCTION("""COMPUTED_VALUE"""),170054.0)</f>
        <v>170054</v>
      </c>
      <c r="B933" t="str">
        <f>IFERROR(__xludf.DUMMYFUNCTION("""COMPUTED_VALUE"""),"Tomato Products Canned Sauce")</f>
        <v>Tomato Products Canned Sauce</v>
      </c>
      <c r="C933" t="str">
        <f>IFERROR(__xludf.DUMMYFUNCTION("""COMPUTED_VALUE"""),"Vegetables")</f>
        <v>Vegetables</v>
      </c>
      <c r="D933">
        <f>IFERROR(__xludf.DUMMYFUNCTION("""COMPUTED_VALUE"""),24.0)</f>
        <v>24</v>
      </c>
      <c r="E933">
        <f>IFERROR(__xludf.DUMMYFUNCTION("""COMPUTED_VALUE"""),0.3)</f>
        <v>0.3</v>
      </c>
      <c r="F933">
        <f>IFERROR(__xludf.DUMMYFUNCTION("""COMPUTED_VALUE"""),1.2)</f>
        <v>1.2</v>
      </c>
      <c r="G933">
        <f>IFERROR(__xludf.DUMMYFUNCTION("""COMPUTED_VALUE"""),5.31)</f>
        <v>5.31</v>
      </c>
    </row>
    <row r="934">
      <c r="A934">
        <f>IFERROR(__xludf.DUMMYFUNCTION("""COMPUTED_VALUE"""),170055.0)</f>
        <v>170055</v>
      </c>
      <c r="B934" t="str">
        <f>IFERROR(__xludf.DUMMYFUNCTION("""COMPUTED_VALUE"""),"Tomato Products Canned Sauce With Mushrooms")</f>
        <v>Tomato Products Canned Sauce With Mushrooms</v>
      </c>
      <c r="C934" t="str">
        <f>IFERROR(__xludf.DUMMYFUNCTION("""COMPUTED_VALUE"""),"Vegetables")</f>
        <v>Vegetables</v>
      </c>
      <c r="D934">
        <f>IFERROR(__xludf.DUMMYFUNCTION("""COMPUTED_VALUE"""),35.0)</f>
        <v>35</v>
      </c>
      <c r="E934">
        <f>IFERROR(__xludf.DUMMYFUNCTION("""COMPUTED_VALUE"""),0.13)</f>
        <v>0.13</v>
      </c>
      <c r="F934">
        <f>IFERROR(__xludf.DUMMYFUNCTION("""COMPUTED_VALUE"""),1.45)</f>
        <v>1.45</v>
      </c>
      <c r="G934">
        <f>IFERROR(__xludf.DUMMYFUNCTION("""COMPUTED_VALUE"""),8.43)</f>
        <v>8.43</v>
      </c>
    </row>
    <row r="935">
      <c r="A935">
        <f>IFERROR(__xludf.DUMMYFUNCTION("""COMPUTED_VALUE"""),170056.0)</f>
        <v>170056</v>
      </c>
      <c r="B935" t="str">
        <f>IFERROR(__xludf.DUMMYFUNCTION("""COMPUTED_VALUE"""),"Tomato Products Canned Sauce With Onions")</f>
        <v>Tomato Products Canned Sauce With Onions</v>
      </c>
      <c r="C935" t="str">
        <f>IFERROR(__xludf.DUMMYFUNCTION("""COMPUTED_VALUE"""),"Vegetables")</f>
        <v>Vegetables</v>
      </c>
      <c r="D935">
        <f>IFERROR(__xludf.DUMMYFUNCTION("""COMPUTED_VALUE"""),42.0)</f>
        <v>42</v>
      </c>
      <c r="E935">
        <f>IFERROR(__xludf.DUMMYFUNCTION("""COMPUTED_VALUE"""),0.19)</f>
        <v>0.19</v>
      </c>
      <c r="F935">
        <f>IFERROR(__xludf.DUMMYFUNCTION("""COMPUTED_VALUE"""),1.56)</f>
        <v>1.56</v>
      </c>
      <c r="G935">
        <f>IFERROR(__xludf.DUMMYFUNCTION("""COMPUTED_VALUE"""),9.94)</f>
        <v>9.94</v>
      </c>
    </row>
    <row r="936">
      <c r="A936">
        <f>IFERROR(__xludf.DUMMYFUNCTION("""COMPUTED_VALUE"""),170057.0)</f>
        <v>170057</v>
      </c>
      <c r="B936" t="str">
        <f>IFERROR(__xludf.DUMMYFUNCTION("""COMPUTED_VALUE"""),"Tomato Products Canned Sauce With Herbs And Cheese")</f>
        <v>Tomato Products Canned Sauce With Herbs And Cheese</v>
      </c>
      <c r="C936" t="str">
        <f>IFERROR(__xludf.DUMMYFUNCTION("""COMPUTED_VALUE"""),"Vegetables")</f>
        <v>Vegetables</v>
      </c>
      <c r="D936">
        <f>IFERROR(__xludf.DUMMYFUNCTION("""COMPUTED_VALUE"""),59.0)</f>
        <v>59</v>
      </c>
      <c r="E936">
        <f>IFERROR(__xludf.DUMMYFUNCTION("""COMPUTED_VALUE"""),1.93)</f>
        <v>1.93</v>
      </c>
      <c r="F936">
        <f>IFERROR(__xludf.DUMMYFUNCTION("""COMPUTED_VALUE"""),2.13)</f>
        <v>2.13</v>
      </c>
      <c r="G936">
        <f>IFERROR(__xludf.DUMMYFUNCTION("""COMPUTED_VALUE"""),10.24)</f>
        <v>10.24</v>
      </c>
    </row>
    <row r="937">
      <c r="A937">
        <f>IFERROR(__xludf.DUMMYFUNCTION("""COMPUTED_VALUE"""),170058.0)</f>
        <v>170058</v>
      </c>
      <c r="B937" t="str">
        <f>IFERROR(__xludf.DUMMYFUNCTION("""COMPUTED_VALUE"""),"Cooked Turnips")</f>
        <v>Cooked Turnips</v>
      </c>
      <c r="C937" t="str">
        <f>IFERROR(__xludf.DUMMYFUNCTION("""COMPUTED_VALUE"""),"Vegetables")</f>
        <v>Vegetables</v>
      </c>
      <c r="D937">
        <f>IFERROR(__xludf.DUMMYFUNCTION("""COMPUTED_VALUE"""),22.0)</f>
        <v>22</v>
      </c>
      <c r="E937">
        <f>IFERROR(__xludf.DUMMYFUNCTION("""COMPUTED_VALUE"""),0.08)</f>
        <v>0.08</v>
      </c>
      <c r="F937">
        <f>IFERROR(__xludf.DUMMYFUNCTION("""COMPUTED_VALUE"""),0.71)</f>
        <v>0.71</v>
      </c>
      <c r="G937">
        <f>IFERROR(__xludf.DUMMYFUNCTION("""COMPUTED_VALUE"""),5.06)</f>
        <v>5.06</v>
      </c>
    </row>
    <row r="938">
      <c r="A938">
        <f>IFERROR(__xludf.DUMMYFUNCTION("""COMPUTED_VALUE"""),170059.0)</f>
        <v>170059</v>
      </c>
      <c r="B938" t="str">
        <f>IFERROR(__xludf.DUMMYFUNCTION("""COMPUTED_VALUE"""),"Turnips Frozen Unprepared")</f>
        <v>Turnips Frozen Unprepared</v>
      </c>
      <c r="C938" t="str">
        <f>IFERROR(__xludf.DUMMYFUNCTION("""COMPUTED_VALUE"""),"Vegetables")</f>
        <v>Vegetables</v>
      </c>
      <c r="D938">
        <f>IFERROR(__xludf.DUMMYFUNCTION("""COMPUTED_VALUE"""),16.0)</f>
        <v>16</v>
      </c>
      <c r="E938">
        <f>IFERROR(__xludf.DUMMYFUNCTION("""COMPUTED_VALUE"""),0.16)</f>
        <v>0.16</v>
      </c>
      <c r="F938">
        <f>IFERROR(__xludf.DUMMYFUNCTION("""COMPUTED_VALUE"""),1.04)</f>
        <v>1.04</v>
      </c>
      <c r="G938">
        <f>IFERROR(__xludf.DUMMYFUNCTION("""COMPUTED_VALUE"""),2.94)</f>
        <v>2.94</v>
      </c>
    </row>
    <row r="939">
      <c r="A939">
        <f>IFERROR(__xludf.DUMMYFUNCTION("""COMPUTED_VALUE"""),170060.0)</f>
        <v>170060</v>
      </c>
      <c r="B939" t="str">
        <f>IFERROR(__xludf.DUMMYFUNCTION("""COMPUTED_VALUE"""),"Turnips Frozen Cooked Boiled Drained Without Salt")</f>
        <v>Turnips Frozen Cooked Boiled Drained Without Salt</v>
      </c>
      <c r="C939" t="str">
        <f>IFERROR(__xludf.DUMMYFUNCTION("""COMPUTED_VALUE"""),"Vegetables")</f>
        <v>Vegetables</v>
      </c>
      <c r="D939">
        <f>IFERROR(__xludf.DUMMYFUNCTION("""COMPUTED_VALUE"""),23.0)</f>
        <v>23</v>
      </c>
      <c r="E939">
        <f>IFERROR(__xludf.DUMMYFUNCTION("""COMPUTED_VALUE"""),0.24)</f>
        <v>0.24</v>
      </c>
      <c r="F939">
        <f>IFERROR(__xludf.DUMMYFUNCTION("""COMPUTED_VALUE"""),1.53)</f>
        <v>1.53</v>
      </c>
      <c r="G939">
        <f>IFERROR(__xludf.DUMMYFUNCTION("""COMPUTED_VALUE"""),4.35)</f>
        <v>4.35</v>
      </c>
    </row>
    <row r="940">
      <c r="A940">
        <f>IFERROR(__xludf.DUMMYFUNCTION("""COMPUTED_VALUE"""),170061.0)</f>
        <v>170061</v>
      </c>
      <c r="B940" t="str">
        <f>IFERROR(__xludf.DUMMYFUNCTION("""COMPUTED_VALUE"""),"Turnip Greens")</f>
        <v>Turnip Greens</v>
      </c>
      <c r="C940" t="str">
        <f>IFERROR(__xludf.DUMMYFUNCTION("""COMPUTED_VALUE"""),"Vegetables")</f>
        <v>Vegetables</v>
      </c>
      <c r="D940">
        <f>IFERROR(__xludf.DUMMYFUNCTION("""COMPUTED_VALUE"""),32.0)</f>
        <v>32</v>
      </c>
      <c r="E940">
        <f>IFERROR(__xludf.DUMMYFUNCTION("""COMPUTED_VALUE"""),0.3)</f>
        <v>0.3</v>
      </c>
      <c r="F940">
        <f>IFERROR(__xludf.DUMMYFUNCTION("""COMPUTED_VALUE"""),1.5)</f>
        <v>1.5</v>
      </c>
      <c r="G940">
        <f>IFERROR(__xludf.DUMMYFUNCTION("""COMPUTED_VALUE"""),7.13)</f>
        <v>7.13</v>
      </c>
    </row>
    <row r="941">
      <c r="A941">
        <f>IFERROR(__xludf.DUMMYFUNCTION("""COMPUTED_VALUE"""),170062.0)</f>
        <v>170062</v>
      </c>
      <c r="B941" t="str">
        <f>IFERROR(__xludf.DUMMYFUNCTION("""COMPUTED_VALUE"""),"Turnip Greens And Turnips Frozen Cooked Boiled Drained Without Salt")</f>
        <v>Turnip Greens And Turnips Frozen Cooked Boiled Drained Without Salt</v>
      </c>
      <c r="C941" t="str">
        <f>IFERROR(__xludf.DUMMYFUNCTION("""COMPUTED_VALUE"""),"Vegetables")</f>
        <v>Vegetables</v>
      </c>
      <c r="D941">
        <f>IFERROR(__xludf.DUMMYFUNCTION("""COMPUTED_VALUE"""),35.0)</f>
        <v>35</v>
      </c>
      <c r="E941">
        <f>IFERROR(__xludf.DUMMYFUNCTION("""COMPUTED_VALUE"""),0.38)</f>
        <v>0.38</v>
      </c>
      <c r="F941">
        <f>IFERROR(__xludf.DUMMYFUNCTION("""COMPUTED_VALUE"""),2.99)</f>
        <v>2.99</v>
      </c>
      <c r="G941">
        <f>IFERROR(__xludf.DUMMYFUNCTION("""COMPUTED_VALUE"""),4.85)</f>
        <v>4.85</v>
      </c>
    </row>
    <row r="942">
      <c r="A942">
        <f>IFERROR(__xludf.DUMMYFUNCTION("""COMPUTED_VALUE"""),170063.0)</f>
        <v>170063</v>
      </c>
      <c r="B942" t="str">
        <f>IFERROR(__xludf.DUMMYFUNCTION("""COMPUTED_VALUE"""),"Vegetable Juice Cocktail Canned")</f>
        <v>Vegetable Juice Cocktail Canned</v>
      </c>
      <c r="C942" t="str">
        <f>IFERROR(__xludf.DUMMYFUNCTION("""COMPUTED_VALUE"""),"Vegetables")</f>
        <v>Vegetables</v>
      </c>
      <c r="D942">
        <f>IFERROR(__xludf.DUMMYFUNCTION("""COMPUTED_VALUE"""),22.0)</f>
        <v>22</v>
      </c>
      <c r="E942">
        <f>IFERROR(__xludf.DUMMYFUNCTION("""COMPUTED_VALUE"""),0.31)</f>
        <v>0.31</v>
      </c>
      <c r="F942">
        <f>IFERROR(__xludf.DUMMYFUNCTION("""COMPUTED_VALUE"""),0.93)</f>
        <v>0.93</v>
      </c>
      <c r="G942">
        <f>IFERROR(__xludf.DUMMYFUNCTION("""COMPUTED_VALUE"""),3.87)</f>
        <v>3.87</v>
      </c>
    </row>
    <row r="943">
      <c r="A943">
        <f>IFERROR(__xludf.DUMMYFUNCTION("""COMPUTED_VALUE"""),170064.0)</f>
        <v>170064</v>
      </c>
      <c r="B943" t="str">
        <f>IFERROR(__xludf.DUMMYFUNCTION("""COMPUTED_VALUE"""),"Vegetables Mixed Canned Solids And Liquids")</f>
        <v>Vegetables Mixed Canned Solids And Liquids</v>
      </c>
      <c r="C943" t="str">
        <f>IFERROR(__xludf.DUMMYFUNCTION("""COMPUTED_VALUE"""),"Vegetables")</f>
        <v>Vegetables</v>
      </c>
      <c r="D943">
        <f>IFERROR(__xludf.DUMMYFUNCTION("""COMPUTED_VALUE"""),36.0)</f>
        <v>36</v>
      </c>
      <c r="E943">
        <f>IFERROR(__xludf.DUMMYFUNCTION("""COMPUTED_VALUE"""),0.25)</f>
        <v>0.25</v>
      </c>
      <c r="F943">
        <f>IFERROR(__xludf.DUMMYFUNCTION("""COMPUTED_VALUE"""),1.42)</f>
        <v>1.42</v>
      </c>
      <c r="G943">
        <f>IFERROR(__xludf.DUMMYFUNCTION("""COMPUTED_VALUE"""),7.13)</f>
        <v>7.13</v>
      </c>
    </row>
    <row r="944">
      <c r="A944">
        <f>IFERROR(__xludf.DUMMYFUNCTION("""COMPUTED_VALUE"""),170065.0)</f>
        <v>170065</v>
      </c>
      <c r="B944" t="str">
        <f>IFERROR(__xludf.DUMMYFUNCTION("""COMPUTED_VALUE"""),"Vegetables Mixed Canned Drained Solids")</f>
        <v>Vegetables Mixed Canned Drained Solids</v>
      </c>
      <c r="C944" t="str">
        <f>IFERROR(__xludf.DUMMYFUNCTION("""COMPUTED_VALUE"""),"Vegetables")</f>
        <v>Vegetables</v>
      </c>
      <c r="D944">
        <f>IFERROR(__xludf.DUMMYFUNCTION("""COMPUTED_VALUE"""),49.0)</f>
        <v>49</v>
      </c>
      <c r="E944">
        <f>IFERROR(__xludf.DUMMYFUNCTION("""COMPUTED_VALUE"""),0.25)</f>
        <v>0.25</v>
      </c>
      <c r="F944">
        <f>IFERROR(__xludf.DUMMYFUNCTION("""COMPUTED_VALUE"""),2.59)</f>
        <v>2.59</v>
      </c>
      <c r="G944">
        <f>IFERROR(__xludf.DUMMYFUNCTION("""COMPUTED_VALUE"""),9.26)</f>
        <v>9.26</v>
      </c>
    </row>
    <row r="945">
      <c r="A945">
        <f>IFERROR(__xludf.DUMMYFUNCTION("""COMPUTED_VALUE"""),170066.0)</f>
        <v>170066</v>
      </c>
      <c r="B945" t="str">
        <f>IFERROR(__xludf.DUMMYFUNCTION("""COMPUTED_VALUE"""),"Waterchestnuts Chinese (Matai) Raw")</f>
        <v>Waterchestnuts Chinese (Matai) Raw</v>
      </c>
      <c r="C945" t="str">
        <f>IFERROR(__xludf.DUMMYFUNCTION("""COMPUTED_VALUE"""),"Vegetables")</f>
        <v>Vegetables</v>
      </c>
      <c r="D945">
        <f>IFERROR(__xludf.DUMMYFUNCTION("""COMPUTED_VALUE"""),97.0)</f>
        <v>97</v>
      </c>
      <c r="E945">
        <f>IFERROR(__xludf.DUMMYFUNCTION("""COMPUTED_VALUE"""),0.1)</f>
        <v>0.1</v>
      </c>
      <c r="F945">
        <f>IFERROR(__xludf.DUMMYFUNCTION("""COMPUTED_VALUE"""),1.4)</f>
        <v>1.4</v>
      </c>
      <c r="G945">
        <f>IFERROR(__xludf.DUMMYFUNCTION("""COMPUTED_VALUE"""),23.94)</f>
        <v>23.94</v>
      </c>
    </row>
    <row r="946">
      <c r="A946">
        <f>IFERROR(__xludf.DUMMYFUNCTION("""COMPUTED_VALUE"""),170067.0)</f>
        <v>170067</v>
      </c>
      <c r="B946" t="str">
        <f>IFERROR(__xludf.DUMMYFUNCTION("""COMPUTED_VALUE"""),"Waterchestnuts Chinese Canned Solids And Liquids")</f>
        <v>Waterchestnuts Chinese Canned Solids And Liquids</v>
      </c>
      <c r="C946" t="str">
        <f>IFERROR(__xludf.DUMMYFUNCTION("""COMPUTED_VALUE"""),"Vegetables")</f>
        <v>Vegetables</v>
      </c>
      <c r="D946">
        <f>IFERROR(__xludf.DUMMYFUNCTION("""COMPUTED_VALUE"""),50.0)</f>
        <v>50</v>
      </c>
      <c r="E946">
        <f>IFERROR(__xludf.DUMMYFUNCTION("""COMPUTED_VALUE"""),0.06)</f>
        <v>0.06</v>
      </c>
      <c r="F946">
        <f>IFERROR(__xludf.DUMMYFUNCTION("""COMPUTED_VALUE"""),0.88)</f>
        <v>0.88</v>
      </c>
      <c r="G946">
        <f>IFERROR(__xludf.DUMMYFUNCTION("""COMPUTED_VALUE"""),12.3)</f>
        <v>12.3</v>
      </c>
    </row>
    <row r="947">
      <c r="A947">
        <f>IFERROR(__xludf.DUMMYFUNCTION("""COMPUTED_VALUE"""),170068.0)</f>
        <v>170068</v>
      </c>
      <c r="B947" t="str">
        <f>IFERROR(__xludf.DUMMYFUNCTION("""COMPUTED_VALUE"""),"Watercress")</f>
        <v>Watercress</v>
      </c>
      <c r="C947" t="str">
        <f>IFERROR(__xludf.DUMMYFUNCTION("""COMPUTED_VALUE"""),"Vegetables")</f>
        <v>Vegetables</v>
      </c>
      <c r="D947">
        <f>IFERROR(__xludf.DUMMYFUNCTION("""COMPUTED_VALUE"""),11.0)</f>
        <v>11</v>
      </c>
      <c r="E947">
        <f>IFERROR(__xludf.DUMMYFUNCTION("""COMPUTED_VALUE"""),0.1)</f>
        <v>0.1</v>
      </c>
      <c r="F947">
        <f>IFERROR(__xludf.DUMMYFUNCTION("""COMPUTED_VALUE"""),2.3)</f>
        <v>2.3</v>
      </c>
      <c r="G947">
        <f>IFERROR(__xludf.DUMMYFUNCTION("""COMPUTED_VALUE"""),1.29)</f>
        <v>1.29</v>
      </c>
    </row>
    <row r="948">
      <c r="A948">
        <f>IFERROR(__xludf.DUMMYFUNCTION("""COMPUTED_VALUE"""),170069.0)</f>
        <v>170069</v>
      </c>
      <c r="B948" t="str">
        <f>IFERROR(__xludf.DUMMYFUNCTION("""COMPUTED_VALUE"""),"Waxgourd (Chinese Preserving Melon) Raw")</f>
        <v>Waxgourd (Chinese Preserving Melon) Raw</v>
      </c>
      <c r="C948" t="str">
        <f>IFERROR(__xludf.DUMMYFUNCTION("""COMPUTED_VALUE"""),"Vegetables")</f>
        <v>Vegetables</v>
      </c>
      <c r="D948">
        <f>IFERROR(__xludf.DUMMYFUNCTION("""COMPUTED_VALUE"""),13.0)</f>
        <v>13</v>
      </c>
      <c r="E948">
        <f>IFERROR(__xludf.DUMMYFUNCTION("""COMPUTED_VALUE"""),0.2)</f>
        <v>0.2</v>
      </c>
      <c r="F948">
        <f>IFERROR(__xludf.DUMMYFUNCTION("""COMPUTED_VALUE"""),0.4)</f>
        <v>0.4</v>
      </c>
      <c r="G948">
        <f>IFERROR(__xludf.DUMMYFUNCTION("""COMPUTED_VALUE"""),3.0)</f>
        <v>3</v>
      </c>
    </row>
    <row r="949">
      <c r="A949">
        <f>IFERROR(__xludf.DUMMYFUNCTION("""COMPUTED_VALUE"""),170070.0)</f>
        <v>170070</v>
      </c>
      <c r="B949" t="str">
        <f>IFERROR(__xludf.DUMMYFUNCTION("""COMPUTED_VALUE"""),"Winged Bean Tuber Raw")</f>
        <v>Winged Bean Tuber Raw</v>
      </c>
      <c r="C949" t="str">
        <f>IFERROR(__xludf.DUMMYFUNCTION("""COMPUTED_VALUE"""),"Vegetables")</f>
        <v>Vegetables</v>
      </c>
      <c r="D949">
        <f>IFERROR(__xludf.DUMMYFUNCTION("""COMPUTED_VALUE"""),148.0)</f>
        <v>148</v>
      </c>
      <c r="E949">
        <f>IFERROR(__xludf.DUMMYFUNCTION("""COMPUTED_VALUE"""),0.9)</f>
        <v>0.9</v>
      </c>
      <c r="F949">
        <f>IFERROR(__xludf.DUMMYFUNCTION("""COMPUTED_VALUE"""),11.6)</f>
        <v>11.6</v>
      </c>
      <c r="G949">
        <f>IFERROR(__xludf.DUMMYFUNCTION("""COMPUTED_VALUE"""),28.1)</f>
        <v>28.1</v>
      </c>
    </row>
    <row r="950">
      <c r="A950">
        <f>IFERROR(__xludf.DUMMYFUNCTION("""COMPUTED_VALUE"""),170071.0)</f>
        <v>170071</v>
      </c>
      <c r="B950" t="str">
        <f>IFERROR(__xludf.DUMMYFUNCTION("""COMPUTED_VALUE"""),"Yam")</f>
        <v>Yam</v>
      </c>
      <c r="C950" t="str">
        <f>IFERROR(__xludf.DUMMYFUNCTION("""COMPUTED_VALUE"""),"Vegetables")</f>
        <v>Vegetables</v>
      </c>
      <c r="D950">
        <f>IFERROR(__xludf.DUMMYFUNCTION("""COMPUTED_VALUE"""),118.0)</f>
        <v>118</v>
      </c>
      <c r="E950">
        <f>IFERROR(__xludf.DUMMYFUNCTION("""COMPUTED_VALUE"""),0.17)</f>
        <v>0.17</v>
      </c>
      <c r="F950">
        <f>IFERROR(__xludf.DUMMYFUNCTION("""COMPUTED_VALUE"""),1.53)</f>
        <v>1.53</v>
      </c>
      <c r="G950">
        <f>IFERROR(__xludf.DUMMYFUNCTION("""COMPUTED_VALUE"""),27.88)</f>
        <v>27.88</v>
      </c>
    </row>
    <row r="951">
      <c r="A951">
        <f>IFERROR(__xludf.DUMMYFUNCTION("""COMPUTED_VALUE"""),170072.0)</f>
        <v>170072</v>
      </c>
      <c r="B951" t="str">
        <f>IFERROR(__xludf.DUMMYFUNCTION("""COMPUTED_VALUE"""),"Cooked Yam")</f>
        <v>Cooked Yam</v>
      </c>
      <c r="C951" t="str">
        <f>IFERROR(__xludf.DUMMYFUNCTION("""COMPUTED_VALUE"""),"Vegetables")</f>
        <v>Vegetables</v>
      </c>
      <c r="D951">
        <f>IFERROR(__xludf.DUMMYFUNCTION("""COMPUTED_VALUE"""),116.0)</f>
        <v>116</v>
      </c>
      <c r="E951">
        <f>IFERROR(__xludf.DUMMYFUNCTION("""COMPUTED_VALUE"""),0.14)</f>
        <v>0.14</v>
      </c>
      <c r="F951">
        <f>IFERROR(__xludf.DUMMYFUNCTION("""COMPUTED_VALUE"""),1.49)</f>
        <v>1.49</v>
      </c>
      <c r="G951">
        <f>IFERROR(__xludf.DUMMYFUNCTION("""COMPUTED_VALUE"""),27.48)</f>
        <v>27.48</v>
      </c>
    </row>
    <row r="952">
      <c r="A952">
        <f>IFERROR(__xludf.DUMMYFUNCTION("""COMPUTED_VALUE"""),170073.0)</f>
        <v>170073</v>
      </c>
      <c r="B952" t="str">
        <f>IFERROR(__xludf.DUMMYFUNCTION("""COMPUTED_VALUE"""),"Yambean (Jicama) Raw")</f>
        <v>Yambean (Jicama) Raw</v>
      </c>
      <c r="C952" t="str">
        <f>IFERROR(__xludf.DUMMYFUNCTION("""COMPUTED_VALUE"""),"Vegetables")</f>
        <v>Vegetables</v>
      </c>
      <c r="D952">
        <f>IFERROR(__xludf.DUMMYFUNCTION("""COMPUTED_VALUE"""),38.0)</f>
        <v>38</v>
      </c>
      <c r="E952">
        <f>IFERROR(__xludf.DUMMYFUNCTION("""COMPUTED_VALUE"""),0.09)</f>
        <v>0.09</v>
      </c>
      <c r="F952">
        <f>IFERROR(__xludf.DUMMYFUNCTION("""COMPUTED_VALUE"""),0.72)</f>
        <v>0.72</v>
      </c>
      <c r="G952">
        <f>IFERROR(__xludf.DUMMYFUNCTION("""COMPUTED_VALUE"""),8.82)</f>
        <v>8.82</v>
      </c>
    </row>
    <row r="953">
      <c r="A953">
        <f>IFERROR(__xludf.DUMMYFUNCTION("""COMPUTED_VALUE"""),170074.0)</f>
        <v>170074</v>
      </c>
      <c r="B953" t="str">
        <f>IFERROR(__xludf.DUMMYFUNCTION("""COMPUTED_VALUE"""),"Yambean (Jicama) Cooked Boiled Drained Without Salt")</f>
        <v>Yambean (Jicama) Cooked Boiled Drained Without Salt</v>
      </c>
      <c r="C953" t="str">
        <f>IFERROR(__xludf.DUMMYFUNCTION("""COMPUTED_VALUE"""),"Vegetables")</f>
        <v>Vegetables</v>
      </c>
      <c r="D953">
        <f>IFERROR(__xludf.DUMMYFUNCTION("""COMPUTED_VALUE"""),38.0)</f>
        <v>38</v>
      </c>
      <c r="E953">
        <f>IFERROR(__xludf.DUMMYFUNCTION("""COMPUTED_VALUE"""),0.09)</f>
        <v>0.09</v>
      </c>
      <c r="F953">
        <f>IFERROR(__xludf.DUMMYFUNCTION("""COMPUTED_VALUE"""),0.72)</f>
        <v>0.72</v>
      </c>
      <c r="G953">
        <f>IFERROR(__xludf.DUMMYFUNCTION("""COMPUTED_VALUE"""),8.82)</f>
        <v>8.82</v>
      </c>
    </row>
    <row r="954">
      <c r="A954">
        <f>IFERROR(__xludf.DUMMYFUNCTION("""COMPUTED_VALUE"""),170075.0)</f>
        <v>170075</v>
      </c>
      <c r="B954" t="str">
        <f>IFERROR(__xludf.DUMMYFUNCTION("""COMPUTED_VALUE"""),"Dried Chives")</f>
        <v>Dried Chives</v>
      </c>
      <c r="C954" t="str">
        <f>IFERROR(__xludf.DUMMYFUNCTION("""COMPUTED_VALUE"""),"Vegetables")</f>
        <v>Vegetables</v>
      </c>
      <c r="D954">
        <f>IFERROR(__xludf.DUMMYFUNCTION("""COMPUTED_VALUE"""),311.0)</f>
        <v>311</v>
      </c>
      <c r="E954">
        <f>IFERROR(__xludf.DUMMYFUNCTION("""COMPUTED_VALUE"""),3.5)</f>
        <v>3.5</v>
      </c>
      <c r="F954">
        <f>IFERROR(__xludf.DUMMYFUNCTION("""COMPUTED_VALUE"""),21.2)</f>
        <v>21.2</v>
      </c>
      <c r="G954">
        <f>IFERROR(__xludf.DUMMYFUNCTION("""COMPUTED_VALUE"""),64.29)</f>
        <v>64.29</v>
      </c>
    </row>
    <row r="955">
      <c r="A955">
        <f>IFERROR(__xludf.DUMMYFUNCTION("""COMPUTED_VALUE"""),170076.0)</f>
        <v>170076</v>
      </c>
      <c r="B955" t="str">
        <f>IFERROR(__xludf.DUMMYFUNCTION("""COMPUTED_VALUE"""),"Dock Raw")</f>
        <v>Dock Raw</v>
      </c>
      <c r="C955" t="str">
        <f>IFERROR(__xludf.DUMMYFUNCTION("""COMPUTED_VALUE"""),"Vegetables")</f>
        <v>Vegetables</v>
      </c>
      <c r="D955">
        <f>IFERROR(__xludf.DUMMYFUNCTION("""COMPUTED_VALUE"""),22.0)</f>
        <v>22</v>
      </c>
      <c r="E955">
        <f>IFERROR(__xludf.DUMMYFUNCTION("""COMPUTED_VALUE"""),0.7)</f>
        <v>0.7</v>
      </c>
      <c r="F955">
        <f>IFERROR(__xludf.DUMMYFUNCTION("""COMPUTED_VALUE"""),2.0)</f>
        <v>2</v>
      </c>
      <c r="G955">
        <f>IFERROR(__xludf.DUMMYFUNCTION("""COMPUTED_VALUE"""),3.2)</f>
        <v>3.2</v>
      </c>
    </row>
    <row r="956">
      <c r="A956">
        <f>IFERROR(__xludf.DUMMYFUNCTION("""COMPUTED_VALUE"""),170077.0)</f>
        <v>170077</v>
      </c>
      <c r="B956" t="str">
        <f>IFERROR(__xludf.DUMMYFUNCTION("""COMPUTED_VALUE"""),"Dock Cooked Boiled Drained Without Salt")</f>
        <v>Dock Cooked Boiled Drained Without Salt</v>
      </c>
      <c r="C956" t="str">
        <f>IFERROR(__xludf.DUMMYFUNCTION("""COMPUTED_VALUE"""),"Vegetables")</f>
        <v>Vegetables</v>
      </c>
      <c r="D956">
        <f>IFERROR(__xludf.DUMMYFUNCTION("""COMPUTED_VALUE"""),20.0)</f>
        <v>20</v>
      </c>
      <c r="E956">
        <f>IFERROR(__xludf.DUMMYFUNCTION("""COMPUTED_VALUE"""),0.64)</f>
        <v>0.64</v>
      </c>
      <c r="F956">
        <f>IFERROR(__xludf.DUMMYFUNCTION("""COMPUTED_VALUE"""),1.83)</f>
        <v>1.83</v>
      </c>
      <c r="G956">
        <f>IFERROR(__xludf.DUMMYFUNCTION("""COMPUTED_VALUE"""),2.93)</f>
        <v>2.93</v>
      </c>
    </row>
    <row r="957">
      <c r="A957">
        <f>IFERROR(__xludf.DUMMYFUNCTION("""COMPUTED_VALUE"""),170078.0)</f>
        <v>170078</v>
      </c>
      <c r="B957" t="str">
        <f>IFERROR(__xludf.DUMMYFUNCTION("""COMPUTED_VALUE"""),"Eppaw Raw")</f>
        <v>Eppaw Raw</v>
      </c>
      <c r="C957" t="str">
        <f>IFERROR(__xludf.DUMMYFUNCTION("""COMPUTED_VALUE"""),"Vegetables")</f>
        <v>Vegetables</v>
      </c>
      <c r="D957">
        <f>IFERROR(__xludf.DUMMYFUNCTION("""COMPUTED_VALUE"""),150.0)</f>
        <v>150</v>
      </c>
      <c r="E957">
        <f>IFERROR(__xludf.DUMMYFUNCTION("""COMPUTED_VALUE"""),1.8)</f>
        <v>1.8</v>
      </c>
      <c r="F957">
        <f>IFERROR(__xludf.DUMMYFUNCTION("""COMPUTED_VALUE"""),4.6)</f>
        <v>4.6</v>
      </c>
      <c r="G957">
        <f>IFERROR(__xludf.DUMMYFUNCTION("""COMPUTED_VALUE"""),31.68)</f>
        <v>31.68</v>
      </c>
    </row>
    <row r="958">
      <c r="A958">
        <f>IFERROR(__xludf.DUMMYFUNCTION("""COMPUTED_VALUE"""),170079.0)</f>
        <v>170079</v>
      </c>
      <c r="B958" t="str">
        <f>IFERROR(__xludf.DUMMYFUNCTION("""COMPUTED_VALUE"""),"Canned Mung Bean Sprouts")</f>
        <v>Canned Mung Bean Sprouts</v>
      </c>
      <c r="C958" t="str">
        <f>IFERROR(__xludf.DUMMYFUNCTION("""COMPUTED_VALUE"""),"Vegetables")</f>
        <v>Vegetables</v>
      </c>
      <c r="D958">
        <f>IFERROR(__xludf.DUMMYFUNCTION("""COMPUTED_VALUE"""),12.0)</f>
        <v>12</v>
      </c>
      <c r="E958">
        <f>IFERROR(__xludf.DUMMYFUNCTION("""COMPUTED_VALUE"""),0.06)</f>
        <v>0.06</v>
      </c>
      <c r="F958">
        <f>IFERROR(__xludf.DUMMYFUNCTION("""COMPUTED_VALUE"""),1.4)</f>
        <v>1.4</v>
      </c>
      <c r="G958">
        <f>IFERROR(__xludf.DUMMYFUNCTION("""COMPUTED_VALUE"""),2.14)</f>
        <v>2.14</v>
      </c>
    </row>
    <row r="959">
      <c r="A959">
        <f>IFERROR(__xludf.DUMMYFUNCTION("""COMPUTED_VALUE"""),170080.0)</f>
        <v>170080</v>
      </c>
      <c r="B959" t="str">
        <f>IFERROR(__xludf.DUMMYFUNCTION("""COMPUTED_VALUE"""),"Peppers Jalapeno Canned Solids And Liquids")</f>
        <v>Peppers Jalapeno Canned Solids And Liquids</v>
      </c>
      <c r="C959" t="str">
        <f>IFERROR(__xludf.DUMMYFUNCTION("""COMPUTED_VALUE"""),"Vegetables")</f>
        <v>Vegetables</v>
      </c>
      <c r="D959">
        <f>IFERROR(__xludf.DUMMYFUNCTION("""COMPUTED_VALUE"""),27.0)</f>
        <v>27</v>
      </c>
      <c r="E959">
        <f>IFERROR(__xludf.DUMMYFUNCTION("""COMPUTED_VALUE"""),0.94)</f>
        <v>0.94</v>
      </c>
      <c r="F959">
        <f>IFERROR(__xludf.DUMMYFUNCTION("""COMPUTED_VALUE"""),0.92)</f>
        <v>0.92</v>
      </c>
      <c r="G959">
        <f>IFERROR(__xludf.DUMMYFUNCTION("""COMPUTED_VALUE"""),4.74)</f>
        <v>4.74</v>
      </c>
    </row>
    <row r="960">
      <c r="A960">
        <f>IFERROR(__xludf.DUMMYFUNCTION("""COMPUTED_VALUE"""),170081.0)</f>
        <v>170081</v>
      </c>
      <c r="B960" t="str">
        <f>IFERROR(__xludf.DUMMYFUNCTION("""COMPUTED_VALUE"""),"White Icicle Radishes (Daikon)")</f>
        <v>White Icicle Radishes (Daikon)</v>
      </c>
      <c r="C960" t="str">
        <f>IFERROR(__xludf.DUMMYFUNCTION("""COMPUTED_VALUE"""),"Vegetables")</f>
        <v>Vegetables</v>
      </c>
      <c r="D960">
        <f>IFERROR(__xludf.DUMMYFUNCTION("""COMPUTED_VALUE"""),14.0)</f>
        <v>14</v>
      </c>
      <c r="E960">
        <f>IFERROR(__xludf.DUMMYFUNCTION("""COMPUTED_VALUE"""),0.1)</f>
        <v>0.1</v>
      </c>
      <c r="F960">
        <f>IFERROR(__xludf.DUMMYFUNCTION("""COMPUTED_VALUE"""),1.1)</f>
        <v>1.1</v>
      </c>
      <c r="G960">
        <f>IFERROR(__xludf.DUMMYFUNCTION("""COMPUTED_VALUE"""),2.63)</f>
        <v>2.63</v>
      </c>
    </row>
    <row r="961">
      <c r="A961">
        <f>IFERROR(__xludf.DUMMYFUNCTION("""COMPUTED_VALUE"""),170082.0)</f>
        <v>170082</v>
      </c>
      <c r="B961" t="str">
        <f>IFERROR(__xludf.DUMMYFUNCTION("""COMPUTED_VALUE"""),"Shallots Freeze-Dried")</f>
        <v>Shallots Freeze-Dried</v>
      </c>
      <c r="C961" t="str">
        <f>IFERROR(__xludf.DUMMYFUNCTION("""COMPUTED_VALUE"""),"Vegetables")</f>
        <v>Vegetables</v>
      </c>
      <c r="D961">
        <f>IFERROR(__xludf.DUMMYFUNCTION("""COMPUTED_VALUE"""),348.0)</f>
        <v>348</v>
      </c>
      <c r="E961">
        <f>IFERROR(__xludf.DUMMYFUNCTION("""COMPUTED_VALUE"""),0.5)</f>
        <v>0.5</v>
      </c>
      <c r="F961">
        <f>IFERROR(__xludf.DUMMYFUNCTION("""COMPUTED_VALUE"""),12.3)</f>
        <v>12.3</v>
      </c>
      <c r="G961">
        <f>IFERROR(__xludf.DUMMYFUNCTION("""COMPUTED_VALUE"""),80.7)</f>
        <v>80.7</v>
      </c>
    </row>
    <row r="962">
      <c r="A962">
        <f>IFERROR(__xludf.DUMMYFUNCTION("""COMPUTED_VALUE"""),170083.0)</f>
        <v>170083</v>
      </c>
      <c r="B962" t="str">
        <f>IFERROR(__xludf.DUMMYFUNCTION("""COMPUTED_VALUE"""),"Sweet Potato Canned Syrup Pack Solids And Liquids")</f>
        <v>Sweet Potato Canned Syrup Pack Solids And Liquids</v>
      </c>
      <c r="C962" t="str">
        <f>IFERROR(__xludf.DUMMYFUNCTION("""COMPUTED_VALUE"""),"Vegetables")</f>
        <v>Vegetables</v>
      </c>
      <c r="D962">
        <f>IFERROR(__xludf.DUMMYFUNCTION("""COMPUTED_VALUE"""),89.0)</f>
        <v>89</v>
      </c>
      <c r="E962">
        <f>IFERROR(__xludf.DUMMYFUNCTION("""COMPUTED_VALUE"""),0.2)</f>
        <v>0.2</v>
      </c>
      <c r="F962">
        <f>IFERROR(__xludf.DUMMYFUNCTION("""COMPUTED_VALUE"""),0.98)</f>
        <v>0.98</v>
      </c>
      <c r="G962">
        <f>IFERROR(__xludf.DUMMYFUNCTION("""COMPUTED_VALUE"""),20.93)</f>
        <v>20.93</v>
      </c>
    </row>
    <row r="963">
      <c r="A963">
        <f>IFERROR(__xludf.DUMMYFUNCTION("""COMPUTED_VALUE"""),170084.0)</f>
        <v>170084</v>
      </c>
      <c r="B963" t="str">
        <f>IFERROR(__xludf.DUMMYFUNCTION("""COMPUTED_VALUE"""),"Sweet Potato Canned Syrup Pack Drained Solids")</f>
        <v>Sweet Potato Canned Syrup Pack Drained Solids</v>
      </c>
      <c r="C963" t="str">
        <f>IFERROR(__xludf.DUMMYFUNCTION("""COMPUTED_VALUE"""),"Vegetables")</f>
        <v>Vegetables</v>
      </c>
      <c r="D963">
        <f>IFERROR(__xludf.DUMMYFUNCTION("""COMPUTED_VALUE"""),108.0)</f>
        <v>108</v>
      </c>
      <c r="E963">
        <f>IFERROR(__xludf.DUMMYFUNCTION("""COMPUTED_VALUE"""),0.32)</f>
        <v>0.32</v>
      </c>
      <c r="F963">
        <f>IFERROR(__xludf.DUMMYFUNCTION("""COMPUTED_VALUE"""),1.28)</f>
        <v>1.28</v>
      </c>
      <c r="G963">
        <f>IFERROR(__xludf.DUMMYFUNCTION("""COMPUTED_VALUE"""),25.36)</f>
        <v>25.36</v>
      </c>
    </row>
    <row r="964">
      <c r="A964">
        <f>IFERROR(__xludf.DUMMYFUNCTION("""COMPUTED_VALUE"""),170085.0)</f>
        <v>170085</v>
      </c>
      <c r="B964" t="str">
        <f>IFERROR(__xludf.DUMMYFUNCTION("""COMPUTED_VALUE"""),"Tomato Products Canned Sauce Spanish Style")</f>
        <v>Tomato Products Canned Sauce Spanish Style</v>
      </c>
      <c r="C964" t="str">
        <f>IFERROR(__xludf.DUMMYFUNCTION("""COMPUTED_VALUE"""),"Vegetables")</f>
        <v>Vegetables</v>
      </c>
      <c r="D964">
        <f>IFERROR(__xludf.DUMMYFUNCTION("""COMPUTED_VALUE"""),33.0)</f>
        <v>33</v>
      </c>
      <c r="E964">
        <f>IFERROR(__xludf.DUMMYFUNCTION("""COMPUTED_VALUE"""),0.27)</f>
        <v>0.27</v>
      </c>
      <c r="F964">
        <f>IFERROR(__xludf.DUMMYFUNCTION("""COMPUTED_VALUE"""),1.44)</f>
        <v>1.44</v>
      </c>
      <c r="G964">
        <f>IFERROR(__xludf.DUMMYFUNCTION("""COMPUTED_VALUE"""),7.24)</f>
        <v>7.24</v>
      </c>
    </row>
    <row r="965">
      <c r="A965">
        <f>IFERROR(__xludf.DUMMYFUNCTION("""COMPUTED_VALUE"""),170086.0)</f>
        <v>170086</v>
      </c>
      <c r="B965" t="str">
        <f>IFERROR(__xludf.DUMMYFUNCTION("""COMPUTED_VALUE"""),"Beans Pinto Mature Seeds Sprouted Raw")</f>
        <v>Beans Pinto Mature Seeds Sprouted Raw</v>
      </c>
      <c r="C965" t="str">
        <f>IFERROR(__xludf.DUMMYFUNCTION("""COMPUTED_VALUE"""),"Vegetables")</f>
        <v>Vegetables</v>
      </c>
      <c r="D965">
        <f>IFERROR(__xludf.DUMMYFUNCTION("""COMPUTED_VALUE"""),62.0)</f>
        <v>62</v>
      </c>
      <c r="E965">
        <f>IFERROR(__xludf.DUMMYFUNCTION("""COMPUTED_VALUE"""),0.9)</f>
        <v>0.9</v>
      </c>
      <c r="F965">
        <f>IFERROR(__xludf.DUMMYFUNCTION("""COMPUTED_VALUE"""),5.25)</f>
        <v>5.25</v>
      </c>
      <c r="G965">
        <f>IFERROR(__xludf.DUMMYFUNCTION("""COMPUTED_VALUE"""),11.6)</f>
        <v>11.6</v>
      </c>
    </row>
    <row r="966">
      <c r="A966">
        <f>IFERROR(__xludf.DUMMYFUNCTION("""COMPUTED_VALUE"""),170087.0)</f>
        <v>170087</v>
      </c>
      <c r="B966" t="str">
        <f>IFERROR(__xludf.DUMMYFUNCTION("""COMPUTED_VALUE"""),"Beans Pinto Mature Seeds Sprouted Cooked Boiled Drained Without Salt")</f>
        <v>Beans Pinto Mature Seeds Sprouted Cooked Boiled Drained Without Salt</v>
      </c>
      <c r="C966" t="str">
        <f>IFERROR(__xludf.DUMMYFUNCTION("""COMPUTED_VALUE"""),"Vegetables")</f>
        <v>Vegetables</v>
      </c>
      <c r="D966">
        <f>IFERROR(__xludf.DUMMYFUNCTION("""COMPUTED_VALUE"""),22.0)</f>
        <v>22</v>
      </c>
      <c r="E966">
        <f>IFERROR(__xludf.DUMMYFUNCTION("""COMPUTED_VALUE"""),0.32)</f>
        <v>0.32</v>
      </c>
      <c r="F966">
        <f>IFERROR(__xludf.DUMMYFUNCTION("""COMPUTED_VALUE"""),1.86)</f>
        <v>1.86</v>
      </c>
      <c r="G966">
        <f>IFERROR(__xludf.DUMMYFUNCTION("""COMPUTED_VALUE"""),4.1)</f>
        <v>4.1</v>
      </c>
    </row>
    <row r="967">
      <c r="A967">
        <f>IFERROR(__xludf.DUMMYFUNCTION("""COMPUTED_VALUE"""),170088.0)</f>
        <v>170088</v>
      </c>
      <c r="B967" t="str">
        <f>IFERROR(__xludf.DUMMYFUNCTION("""COMPUTED_VALUE"""),"Sweet Potato Cooked Candied Home-Prepared")</f>
        <v>Sweet Potato Cooked Candied Home-Prepared</v>
      </c>
      <c r="C967" t="str">
        <f>IFERROR(__xludf.DUMMYFUNCTION("""COMPUTED_VALUE"""),"Vegetables")</f>
        <v>Vegetables</v>
      </c>
      <c r="D967">
        <f>IFERROR(__xludf.DUMMYFUNCTION("""COMPUTED_VALUE"""),164.0)</f>
        <v>164</v>
      </c>
      <c r="E967">
        <f>IFERROR(__xludf.DUMMYFUNCTION("""COMPUTED_VALUE"""),3.54)</f>
        <v>3.54</v>
      </c>
      <c r="F967">
        <f>IFERROR(__xludf.DUMMYFUNCTION("""COMPUTED_VALUE"""),0.89)</f>
        <v>0.89</v>
      </c>
      <c r="G967">
        <f>IFERROR(__xludf.DUMMYFUNCTION("""COMPUTED_VALUE"""),32.12)</f>
        <v>32.12</v>
      </c>
    </row>
    <row r="968">
      <c r="A968">
        <f>IFERROR(__xludf.DUMMYFUNCTION("""COMPUTED_VALUE"""),170089.0)</f>
        <v>170089</v>
      </c>
      <c r="B968" t="str">
        <f>IFERROR(__xludf.DUMMYFUNCTION("""COMPUTED_VALUE"""),"Stewed Tomatoes")</f>
        <v>Stewed Tomatoes</v>
      </c>
      <c r="C968" t="str">
        <f>IFERROR(__xludf.DUMMYFUNCTION("""COMPUTED_VALUE"""),"Vegetables")</f>
        <v>Vegetables</v>
      </c>
      <c r="D968">
        <f>IFERROR(__xludf.DUMMYFUNCTION("""COMPUTED_VALUE"""),79.0)</f>
        <v>79</v>
      </c>
      <c r="E968">
        <f>IFERROR(__xludf.DUMMYFUNCTION("""COMPUTED_VALUE"""),2.68)</f>
        <v>2.68</v>
      </c>
      <c r="F968">
        <f>IFERROR(__xludf.DUMMYFUNCTION("""COMPUTED_VALUE"""),1.96)</f>
        <v>1.96</v>
      </c>
      <c r="G968">
        <f>IFERROR(__xludf.DUMMYFUNCTION("""COMPUTED_VALUE"""),13.05)</f>
        <v>13.05</v>
      </c>
    </row>
    <row r="969">
      <c r="A969">
        <f>IFERROR(__xludf.DUMMYFUNCTION("""COMPUTED_VALUE"""),170090.0)</f>
        <v>170090</v>
      </c>
      <c r="B969" t="str">
        <f>IFERROR(__xludf.DUMMYFUNCTION("""COMPUTED_VALUE"""),"Dried Agar Seaweed")</f>
        <v>Dried Agar Seaweed</v>
      </c>
      <c r="C969" t="str">
        <f>IFERROR(__xludf.DUMMYFUNCTION("""COMPUTED_VALUE"""),"Vegetables")</f>
        <v>Vegetables</v>
      </c>
      <c r="D969">
        <f>IFERROR(__xludf.DUMMYFUNCTION("""COMPUTED_VALUE"""),306.0)</f>
        <v>306</v>
      </c>
      <c r="E969">
        <f>IFERROR(__xludf.DUMMYFUNCTION("""COMPUTED_VALUE"""),0.3)</f>
        <v>0.3</v>
      </c>
      <c r="F969">
        <f>IFERROR(__xludf.DUMMYFUNCTION("""COMPUTED_VALUE"""),6.21)</f>
        <v>6.21</v>
      </c>
      <c r="G969">
        <f>IFERROR(__xludf.DUMMYFUNCTION("""COMPUTED_VALUE"""),80.88)</f>
        <v>80.88</v>
      </c>
    </row>
    <row r="970">
      <c r="A970">
        <f>IFERROR(__xludf.DUMMYFUNCTION("""COMPUTED_VALUE"""),170091.0)</f>
        <v>170091</v>
      </c>
      <c r="B970" t="str">
        <f>IFERROR(__xludf.DUMMYFUNCTION("""COMPUTED_VALUE"""),"Spirulina")</f>
        <v>Spirulina</v>
      </c>
      <c r="C970" t="str">
        <f>IFERROR(__xludf.DUMMYFUNCTION("""COMPUTED_VALUE"""),"Vegetables")</f>
        <v>Vegetables</v>
      </c>
      <c r="D970">
        <f>IFERROR(__xludf.DUMMYFUNCTION("""COMPUTED_VALUE"""),26.0)</f>
        <v>26</v>
      </c>
      <c r="E970">
        <f>IFERROR(__xludf.DUMMYFUNCTION("""COMPUTED_VALUE"""),0.39)</f>
        <v>0.39</v>
      </c>
      <c r="F970">
        <f>IFERROR(__xludf.DUMMYFUNCTION("""COMPUTED_VALUE"""),5.92)</f>
        <v>5.92</v>
      </c>
      <c r="G970">
        <f>IFERROR(__xludf.DUMMYFUNCTION("""COMPUTED_VALUE"""),2.42)</f>
        <v>2.42</v>
      </c>
    </row>
    <row r="971">
      <c r="A971">
        <f>IFERROR(__xludf.DUMMYFUNCTION("""COMPUTED_VALUE"""),170092.0)</f>
        <v>170092</v>
      </c>
      <c r="B971" t="str">
        <f>IFERROR(__xludf.DUMMYFUNCTION("""COMPUTED_VALUE"""),"Potato Pancakes")</f>
        <v>Potato Pancakes</v>
      </c>
      <c r="C971" t="str">
        <f>IFERROR(__xludf.DUMMYFUNCTION("""COMPUTED_VALUE"""),"Vegetables")</f>
        <v>Vegetables</v>
      </c>
      <c r="D971">
        <f>IFERROR(__xludf.DUMMYFUNCTION("""COMPUTED_VALUE"""),268.0)</f>
        <v>268</v>
      </c>
      <c r="E971">
        <f>IFERROR(__xludf.DUMMYFUNCTION("""COMPUTED_VALUE"""),14.76)</f>
        <v>14.76</v>
      </c>
      <c r="F971">
        <f>IFERROR(__xludf.DUMMYFUNCTION("""COMPUTED_VALUE"""),6.08)</f>
        <v>6.08</v>
      </c>
      <c r="G971">
        <f>IFERROR(__xludf.DUMMYFUNCTION("""COMPUTED_VALUE"""),27.81)</f>
        <v>27.81</v>
      </c>
    </row>
    <row r="972">
      <c r="A972">
        <f>IFERROR(__xludf.DUMMYFUNCTION("""COMPUTED_VALUE"""),170093.0)</f>
        <v>170093</v>
      </c>
      <c r="B972" t="str">
        <f>IFERROR(__xludf.DUMMYFUNCTION("""COMPUTED_VALUE"""),"Baked Potatoes (With Skin)")</f>
        <v>Baked Potatoes (With Skin)</v>
      </c>
      <c r="C972" t="str">
        <f>IFERROR(__xludf.DUMMYFUNCTION("""COMPUTED_VALUE"""),"Vegetables")</f>
        <v>Vegetables</v>
      </c>
      <c r="D972">
        <f>IFERROR(__xludf.DUMMYFUNCTION("""COMPUTED_VALUE"""),93.0)</f>
        <v>93</v>
      </c>
      <c r="E972">
        <f>IFERROR(__xludf.DUMMYFUNCTION("""COMPUTED_VALUE"""),0.13)</f>
        <v>0.13</v>
      </c>
      <c r="F972">
        <f>IFERROR(__xludf.DUMMYFUNCTION("""COMPUTED_VALUE"""),2.5)</f>
        <v>2.5</v>
      </c>
      <c r="G972">
        <f>IFERROR(__xludf.DUMMYFUNCTION("""COMPUTED_VALUE"""),21.15)</f>
        <v>21.15</v>
      </c>
    </row>
    <row r="973">
      <c r="A973">
        <f>IFERROR(__xludf.DUMMYFUNCTION("""COMPUTED_VALUE"""),170094.0)</f>
        <v>170094</v>
      </c>
      <c r="B973" t="str">
        <f>IFERROR(__xludf.DUMMYFUNCTION("""COMPUTED_VALUE"""),"Potatoes Microwaved Cooked In Skin Flesh And Skin Without Salt")</f>
        <v>Potatoes Microwaved Cooked In Skin Flesh And Skin Without Salt</v>
      </c>
      <c r="C973" t="str">
        <f>IFERROR(__xludf.DUMMYFUNCTION("""COMPUTED_VALUE"""),"Vegetables")</f>
        <v>Vegetables</v>
      </c>
      <c r="D973">
        <f>IFERROR(__xludf.DUMMYFUNCTION("""COMPUTED_VALUE"""),105.0)</f>
        <v>105</v>
      </c>
      <c r="E973">
        <f>IFERROR(__xludf.DUMMYFUNCTION("""COMPUTED_VALUE"""),0.1)</f>
        <v>0.1</v>
      </c>
      <c r="F973">
        <f>IFERROR(__xludf.DUMMYFUNCTION("""COMPUTED_VALUE"""),2.44)</f>
        <v>2.44</v>
      </c>
      <c r="G973">
        <f>IFERROR(__xludf.DUMMYFUNCTION("""COMPUTED_VALUE"""),24.24)</f>
        <v>24.24</v>
      </c>
    </row>
    <row r="974">
      <c r="A974">
        <f>IFERROR(__xludf.DUMMYFUNCTION("""COMPUTED_VALUE"""),170095.0)</f>
        <v>170095</v>
      </c>
      <c r="B974" t="str">
        <f>IFERROR(__xludf.DUMMYFUNCTION("""COMPUTED_VALUE"""),"Radish Sprouts")</f>
        <v>Radish Sprouts</v>
      </c>
      <c r="C974" t="str">
        <f>IFERROR(__xludf.DUMMYFUNCTION("""COMPUTED_VALUE"""),"Vegetables")</f>
        <v>Vegetables</v>
      </c>
      <c r="D974">
        <f>IFERROR(__xludf.DUMMYFUNCTION("""COMPUTED_VALUE"""),43.0)</f>
        <v>43</v>
      </c>
      <c r="E974">
        <f>IFERROR(__xludf.DUMMYFUNCTION("""COMPUTED_VALUE"""),2.53)</f>
        <v>2.53</v>
      </c>
      <c r="F974">
        <f>IFERROR(__xludf.DUMMYFUNCTION("""COMPUTED_VALUE"""),3.81)</f>
        <v>3.81</v>
      </c>
      <c r="G974">
        <f>IFERROR(__xludf.DUMMYFUNCTION("""COMPUTED_VALUE"""),3.6)</f>
        <v>3.6</v>
      </c>
    </row>
    <row r="975">
      <c r="A975">
        <f>IFERROR(__xludf.DUMMYFUNCTION("""COMPUTED_VALUE"""),170096.0)</f>
        <v>170096</v>
      </c>
      <c r="B975" t="str">
        <f>IFERROR(__xludf.DUMMYFUNCTION("""COMPUTED_VALUE"""),"Yellow Tomatoes")</f>
        <v>Yellow Tomatoes</v>
      </c>
      <c r="C975" t="str">
        <f>IFERROR(__xludf.DUMMYFUNCTION("""COMPUTED_VALUE"""),"Vegetables")</f>
        <v>Vegetables</v>
      </c>
      <c r="D975">
        <f>IFERROR(__xludf.DUMMYFUNCTION("""COMPUTED_VALUE"""),15.0)</f>
        <v>15</v>
      </c>
      <c r="E975">
        <f>IFERROR(__xludf.DUMMYFUNCTION("""COMPUTED_VALUE"""),0.26)</f>
        <v>0.26</v>
      </c>
      <c r="F975">
        <f>IFERROR(__xludf.DUMMYFUNCTION("""COMPUTED_VALUE"""),0.98)</f>
        <v>0.98</v>
      </c>
      <c r="G975">
        <f>IFERROR(__xludf.DUMMYFUNCTION("""COMPUTED_VALUE"""),2.98)</f>
        <v>2.98</v>
      </c>
    </row>
    <row r="976">
      <c r="A976">
        <f>IFERROR(__xludf.DUMMYFUNCTION("""COMPUTED_VALUE"""),170097.0)</f>
        <v>170097</v>
      </c>
      <c r="B976" t="str">
        <f>IFERROR(__xludf.DUMMYFUNCTION("""COMPUTED_VALUE"""),"Mushrooms Shiitake Cooked With Salt")</f>
        <v>Mushrooms Shiitake Cooked With Salt</v>
      </c>
      <c r="C976" t="str">
        <f>IFERROR(__xludf.DUMMYFUNCTION("""COMPUTED_VALUE"""),"Vegetables")</f>
        <v>Vegetables</v>
      </c>
      <c r="D976">
        <f>IFERROR(__xludf.DUMMYFUNCTION("""COMPUTED_VALUE"""),56.0)</f>
        <v>56</v>
      </c>
      <c r="E976">
        <f>IFERROR(__xludf.DUMMYFUNCTION("""COMPUTED_VALUE"""),0.22)</f>
        <v>0.22</v>
      </c>
      <c r="F976">
        <f>IFERROR(__xludf.DUMMYFUNCTION("""COMPUTED_VALUE"""),1.56)</f>
        <v>1.56</v>
      </c>
      <c r="G976">
        <f>IFERROR(__xludf.DUMMYFUNCTION("""COMPUTED_VALUE"""),14.39)</f>
        <v>14.39</v>
      </c>
    </row>
    <row r="977">
      <c r="A977">
        <f>IFERROR(__xludf.DUMMYFUNCTION("""COMPUTED_VALUE"""),170098.0)</f>
        <v>170098</v>
      </c>
      <c r="B977" t="str">
        <f>IFERROR(__xludf.DUMMYFUNCTION("""COMPUTED_VALUE"""),"Okra Cooked Boiled Drained With Salt")</f>
        <v>Okra Cooked Boiled Drained With Salt</v>
      </c>
      <c r="C977" t="str">
        <f>IFERROR(__xludf.DUMMYFUNCTION("""COMPUTED_VALUE"""),"Vegetables")</f>
        <v>Vegetables</v>
      </c>
      <c r="D977">
        <f>IFERROR(__xludf.DUMMYFUNCTION("""COMPUTED_VALUE"""),22.0)</f>
        <v>22</v>
      </c>
      <c r="E977">
        <f>IFERROR(__xludf.DUMMYFUNCTION("""COMPUTED_VALUE"""),0.21)</f>
        <v>0.21</v>
      </c>
      <c r="F977">
        <f>IFERROR(__xludf.DUMMYFUNCTION("""COMPUTED_VALUE"""),1.87)</f>
        <v>1.87</v>
      </c>
      <c r="G977">
        <f>IFERROR(__xludf.DUMMYFUNCTION("""COMPUTED_VALUE"""),4.51)</f>
        <v>4.51</v>
      </c>
    </row>
    <row r="978">
      <c r="A978">
        <f>IFERROR(__xludf.DUMMYFUNCTION("""COMPUTED_VALUE"""),170099.0)</f>
        <v>170099</v>
      </c>
      <c r="B978" t="str">
        <f>IFERROR(__xludf.DUMMYFUNCTION("""COMPUTED_VALUE"""),"Okra Frozen Cooked Boiled Drained With Salt")</f>
        <v>Okra Frozen Cooked Boiled Drained With Salt</v>
      </c>
      <c r="C978" t="str">
        <f>IFERROR(__xludf.DUMMYFUNCTION("""COMPUTED_VALUE"""),"Vegetables")</f>
        <v>Vegetables</v>
      </c>
      <c r="D978">
        <f>IFERROR(__xludf.DUMMYFUNCTION("""COMPUTED_VALUE"""),29.0)</f>
        <v>29</v>
      </c>
      <c r="E978">
        <f>IFERROR(__xludf.DUMMYFUNCTION("""COMPUTED_VALUE"""),0.24)</f>
        <v>0.24</v>
      </c>
      <c r="F978">
        <f>IFERROR(__xludf.DUMMYFUNCTION("""COMPUTED_VALUE"""),1.63)</f>
        <v>1.63</v>
      </c>
      <c r="G978">
        <f>IFERROR(__xludf.DUMMYFUNCTION("""COMPUTED_VALUE"""),6.41)</f>
        <v>6.41</v>
      </c>
    </row>
    <row r="979">
      <c r="A979">
        <f>IFERROR(__xludf.DUMMYFUNCTION("""COMPUTED_VALUE"""),170100.0)</f>
        <v>170100</v>
      </c>
      <c r="B979" t="str">
        <f>IFERROR(__xludf.DUMMYFUNCTION("""COMPUTED_VALUE"""),"Onions Cooked Boiled Drained With Salt")</f>
        <v>Onions Cooked Boiled Drained With Salt</v>
      </c>
      <c r="C979" t="str">
        <f>IFERROR(__xludf.DUMMYFUNCTION("""COMPUTED_VALUE"""),"Vegetables")</f>
        <v>Vegetables</v>
      </c>
      <c r="D979">
        <f>IFERROR(__xludf.DUMMYFUNCTION("""COMPUTED_VALUE"""),42.0)</f>
        <v>42</v>
      </c>
      <c r="E979">
        <f>IFERROR(__xludf.DUMMYFUNCTION("""COMPUTED_VALUE"""),0.19)</f>
        <v>0.19</v>
      </c>
      <c r="F979">
        <f>IFERROR(__xludf.DUMMYFUNCTION("""COMPUTED_VALUE"""),1.36)</f>
        <v>1.36</v>
      </c>
      <c r="G979">
        <f>IFERROR(__xludf.DUMMYFUNCTION("""COMPUTED_VALUE"""),9.56)</f>
        <v>9.56</v>
      </c>
    </row>
    <row r="980">
      <c r="A980">
        <f>IFERROR(__xludf.DUMMYFUNCTION("""COMPUTED_VALUE"""),170101.0)</f>
        <v>170101</v>
      </c>
      <c r="B980" t="str">
        <f>IFERROR(__xludf.DUMMYFUNCTION("""COMPUTED_VALUE"""),"Onions Frozen Chopped Cooked Boiled Drained With Salt")</f>
        <v>Onions Frozen Chopped Cooked Boiled Drained With Salt</v>
      </c>
      <c r="C980" t="str">
        <f>IFERROR(__xludf.DUMMYFUNCTION("""COMPUTED_VALUE"""),"Vegetables")</f>
        <v>Vegetables</v>
      </c>
      <c r="D980">
        <f>IFERROR(__xludf.DUMMYFUNCTION("""COMPUTED_VALUE"""),26.0)</f>
        <v>26</v>
      </c>
      <c r="E980">
        <f>IFERROR(__xludf.DUMMYFUNCTION("""COMPUTED_VALUE"""),0.1)</f>
        <v>0.1</v>
      </c>
      <c r="F980">
        <f>IFERROR(__xludf.DUMMYFUNCTION("""COMPUTED_VALUE"""),0.77)</f>
        <v>0.77</v>
      </c>
      <c r="G980">
        <f>IFERROR(__xludf.DUMMYFUNCTION("""COMPUTED_VALUE"""),6.0)</f>
        <v>6</v>
      </c>
    </row>
    <row r="981">
      <c r="A981">
        <f>IFERROR(__xludf.DUMMYFUNCTION("""COMPUTED_VALUE"""),170102.0)</f>
        <v>170102</v>
      </c>
      <c r="B981" t="str">
        <f>IFERROR(__xludf.DUMMYFUNCTION("""COMPUTED_VALUE"""),"Cooked Green Peas (Salted)")</f>
        <v>Cooked Green Peas (Salted)</v>
      </c>
      <c r="C981" t="str">
        <f>IFERROR(__xludf.DUMMYFUNCTION("""COMPUTED_VALUE"""),"Vegetables")</f>
        <v>Vegetables</v>
      </c>
      <c r="D981">
        <f>IFERROR(__xludf.DUMMYFUNCTION("""COMPUTED_VALUE"""),84.0)</f>
        <v>84</v>
      </c>
      <c r="E981">
        <f>IFERROR(__xludf.DUMMYFUNCTION("""COMPUTED_VALUE"""),0.22)</f>
        <v>0.22</v>
      </c>
      <c r="F981">
        <f>IFERROR(__xludf.DUMMYFUNCTION("""COMPUTED_VALUE"""),5.36)</f>
        <v>5.36</v>
      </c>
      <c r="G981">
        <f>IFERROR(__xludf.DUMMYFUNCTION("""COMPUTED_VALUE"""),15.63)</f>
        <v>15.63</v>
      </c>
    </row>
    <row r="982">
      <c r="A982">
        <f>IFERROR(__xludf.DUMMYFUNCTION("""COMPUTED_VALUE"""),170103.0)</f>
        <v>170103</v>
      </c>
      <c r="B982" t="str">
        <f>IFERROR(__xludf.DUMMYFUNCTION("""COMPUTED_VALUE"""),"Peas Green Canned No Salt Added Solids And Liquids")</f>
        <v>Peas Green Canned No Salt Added Solids And Liquids</v>
      </c>
      <c r="C982" t="str">
        <f>IFERROR(__xludf.DUMMYFUNCTION("""COMPUTED_VALUE"""),"Vegetables")</f>
        <v>Vegetables</v>
      </c>
      <c r="D982">
        <f>IFERROR(__xludf.DUMMYFUNCTION("""COMPUTED_VALUE"""),53.0)</f>
        <v>53</v>
      </c>
      <c r="E982">
        <f>IFERROR(__xludf.DUMMYFUNCTION("""COMPUTED_VALUE"""),0.3)</f>
        <v>0.3</v>
      </c>
      <c r="F982">
        <f>IFERROR(__xludf.DUMMYFUNCTION("""COMPUTED_VALUE"""),3.19)</f>
        <v>3.19</v>
      </c>
      <c r="G982">
        <f>IFERROR(__xludf.DUMMYFUNCTION("""COMPUTED_VALUE"""),9.75)</f>
        <v>9.75</v>
      </c>
    </row>
    <row r="983">
      <c r="A983">
        <f>IFERROR(__xludf.DUMMYFUNCTION("""COMPUTED_VALUE"""),170104.0)</f>
        <v>170104</v>
      </c>
      <c r="B983" t="str">
        <f>IFERROR(__xludf.DUMMYFUNCTION("""COMPUTED_VALUE"""),"Peas Green Canned No Salt Added Drained Solids")</f>
        <v>Peas Green Canned No Salt Added Drained Solids</v>
      </c>
      <c r="C983" t="str">
        <f>IFERROR(__xludf.DUMMYFUNCTION("""COMPUTED_VALUE"""),"Vegetables")</f>
        <v>Vegetables</v>
      </c>
      <c r="D983">
        <f>IFERROR(__xludf.DUMMYFUNCTION("""COMPUTED_VALUE"""),69.0)</f>
        <v>69</v>
      </c>
      <c r="E983">
        <f>IFERROR(__xludf.DUMMYFUNCTION("""COMPUTED_VALUE"""),0.35)</f>
        <v>0.35</v>
      </c>
      <c r="F983">
        <f>IFERROR(__xludf.DUMMYFUNCTION("""COMPUTED_VALUE"""),4.42)</f>
        <v>4.42</v>
      </c>
      <c r="G983">
        <f>IFERROR(__xludf.DUMMYFUNCTION("""COMPUTED_VALUE"""),12.58)</f>
        <v>12.58</v>
      </c>
    </row>
    <row r="984">
      <c r="A984">
        <f>IFERROR(__xludf.DUMMYFUNCTION("""COMPUTED_VALUE"""),170105.0)</f>
        <v>170105</v>
      </c>
      <c r="B984" t="str">
        <f>IFERROR(__xludf.DUMMYFUNCTION("""COMPUTED_VALUE"""),"Peas Green Frozen Cooked Boiled Drained With Salt")</f>
        <v>Peas Green Frozen Cooked Boiled Drained With Salt</v>
      </c>
      <c r="C984" t="str">
        <f>IFERROR(__xludf.DUMMYFUNCTION("""COMPUTED_VALUE"""),"Vegetables")</f>
        <v>Vegetables</v>
      </c>
      <c r="D984">
        <f>IFERROR(__xludf.DUMMYFUNCTION("""COMPUTED_VALUE"""),78.0)</f>
        <v>78</v>
      </c>
      <c r="E984">
        <f>IFERROR(__xludf.DUMMYFUNCTION("""COMPUTED_VALUE"""),0.27)</f>
        <v>0.27</v>
      </c>
      <c r="F984">
        <f>IFERROR(__xludf.DUMMYFUNCTION("""COMPUTED_VALUE"""),5.15)</f>
        <v>5.15</v>
      </c>
      <c r="G984">
        <f>IFERROR(__xludf.DUMMYFUNCTION("""COMPUTED_VALUE"""),14.26)</f>
        <v>14.26</v>
      </c>
    </row>
    <row r="985">
      <c r="A985">
        <f>IFERROR(__xludf.DUMMYFUNCTION("""COMPUTED_VALUE"""),170106.0)</f>
        <v>170106</v>
      </c>
      <c r="B985" t="str">
        <f>IFERROR(__xludf.DUMMYFUNCTION("""COMPUTED_VALUE"""),"Red Chili Peppers")</f>
        <v>Red Chili Peppers</v>
      </c>
      <c r="C985" t="str">
        <f>IFERROR(__xludf.DUMMYFUNCTION("""COMPUTED_VALUE"""),"Vegetables")</f>
        <v>Vegetables</v>
      </c>
      <c r="D985">
        <f>IFERROR(__xludf.DUMMYFUNCTION("""COMPUTED_VALUE"""),40.0)</f>
        <v>40</v>
      </c>
      <c r="E985">
        <f>IFERROR(__xludf.DUMMYFUNCTION("""COMPUTED_VALUE"""),0.44)</f>
        <v>0.44</v>
      </c>
      <c r="F985">
        <f>IFERROR(__xludf.DUMMYFUNCTION("""COMPUTED_VALUE"""),1.87)</f>
        <v>1.87</v>
      </c>
      <c r="G985">
        <f>IFERROR(__xludf.DUMMYFUNCTION("""COMPUTED_VALUE"""),8.81)</f>
        <v>8.81</v>
      </c>
    </row>
    <row r="986">
      <c r="A986">
        <f>IFERROR(__xludf.DUMMYFUNCTION("""COMPUTED_VALUE"""),170107.0)</f>
        <v>170107</v>
      </c>
      <c r="B986" t="str">
        <f>IFERROR(__xludf.DUMMYFUNCTION("""COMPUTED_VALUE"""),"Peppers Hot Chili Red Canned Excluding Seeds Solids And Liquids")</f>
        <v>Peppers Hot Chili Red Canned Excluding Seeds Solids And Liquids</v>
      </c>
      <c r="C986" t="str">
        <f>IFERROR(__xludf.DUMMYFUNCTION("""COMPUTED_VALUE"""),"Vegetables")</f>
        <v>Vegetables</v>
      </c>
      <c r="D986">
        <f>IFERROR(__xludf.DUMMYFUNCTION("""COMPUTED_VALUE"""),21.0)</f>
        <v>21</v>
      </c>
      <c r="E986">
        <f>IFERROR(__xludf.DUMMYFUNCTION("""COMPUTED_VALUE"""),0.1)</f>
        <v>0.1</v>
      </c>
      <c r="F986">
        <f>IFERROR(__xludf.DUMMYFUNCTION("""COMPUTED_VALUE"""),0.9)</f>
        <v>0.9</v>
      </c>
      <c r="G986">
        <f>IFERROR(__xludf.DUMMYFUNCTION("""COMPUTED_VALUE"""),5.1)</f>
        <v>5.1</v>
      </c>
    </row>
    <row r="987">
      <c r="A987">
        <f>IFERROR(__xludf.DUMMYFUNCTION("""COMPUTED_VALUE"""),170108.0)</f>
        <v>170108</v>
      </c>
      <c r="B987" t="str">
        <f>IFERROR(__xludf.DUMMYFUNCTION("""COMPUTED_VALUE"""),"Sweet Red Bell Peppers")</f>
        <v>Sweet Red Bell Peppers</v>
      </c>
      <c r="C987" t="str">
        <f>IFERROR(__xludf.DUMMYFUNCTION("""COMPUTED_VALUE"""),"Vegetables")</f>
        <v>Vegetables</v>
      </c>
      <c r="D987">
        <f>IFERROR(__xludf.DUMMYFUNCTION("""COMPUTED_VALUE"""),26.0)</f>
        <v>26</v>
      </c>
      <c r="E987">
        <f>IFERROR(__xludf.DUMMYFUNCTION("""COMPUTED_VALUE"""),0.3)</f>
        <v>0.3</v>
      </c>
      <c r="F987">
        <f>IFERROR(__xludf.DUMMYFUNCTION("""COMPUTED_VALUE"""),0.99)</f>
        <v>0.99</v>
      </c>
      <c r="G987">
        <f>IFERROR(__xludf.DUMMYFUNCTION("""COMPUTED_VALUE"""),6.03)</f>
        <v>6.03</v>
      </c>
    </row>
    <row r="988">
      <c r="A988">
        <f>IFERROR(__xludf.DUMMYFUNCTION("""COMPUTED_VALUE"""),170109.0)</f>
        <v>170109</v>
      </c>
      <c r="B988" t="str">
        <f>IFERROR(__xludf.DUMMYFUNCTION("""COMPUTED_VALUE"""),"Peppers Sweet Green Cooked Boiled Drained With Salt")</f>
        <v>Peppers Sweet Green Cooked Boiled Drained With Salt</v>
      </c>
      <c r="C988" t="str">
        <f>IFERROR(__xludf.DUMMYFUNCTION("""COMPUTED_VALUE"""),"Vegetables")</f>
        <v>Vegetables</v>
      </c>
      <c r="D988">
        <f>IFERROR(__xludf.DUMMYFUNCTION("""COMPUTED_VALUE"""),26.0)</f>
        <v>26</v>
      </c>
      <c r="E988">
        <f>IFERROR(__xludf.DUMMYFUNCTION("""COMPUTED_VALUE"""),0.2)</f>
        <v>0.2</v>
      </c>
      <c r="F988">
        <f>IFERROR(__xludf.DUMMYFUNCTION("""COMPUTED_VALUE"""),0.92)</f>
        <v>0.92</v>
      </c>
      <c r="G988">
        <f>IFERROR(__xludf.DUMMYFUNCTION("""COMPUTED_VALUE"""),6.11)</f>
        <v>6.11</v>
      </c>
    </row>
    <row r="989">
      <c r="A989">
        <f>IFERROR(__xludf.DUMMYFUNCTION("""COMPUTED_VALUE"""),170110.0)</f>
        <v>170110</v>
      </c>
      <c r="B989" t="str">
        <f>IFERROR(__xludf.DUMMYFUNCTION("""COMPUTED_VALUE"""),"Cooked Red Bell Peppers")</f>
        <v>Cooked Red Bell Peppers</v>
      </c>
      <c r="C989" t="str">
        <f>IFERROR(__xludf.DUMMYFUNCTION("""COMPUTED_VALUE"""),"Vegetables")</f>
        <v>Vegetables</v>
      </c>
      <c r="D989">
        <f>IFERROR(__xludf.DUMMYFUNCTION("""COMPUTED_VALUE"""),28.0)</f>
        <v>28</v>
      </c>
      <c r="E989">
        <f>IFERROR(__xludf.DUMMYFUNCTION("""COMPUTED_VALUE"""),0.2)</f>
        <v>0.2</v>
      </c>
      <c r="F989">
        <f>IFERROR(__xludf.DUMMYFUNCTION("""COMPUTED_VALUE"""),0.92)</f>
        <v>0.92</v>
      </c>
      <c r="G989">
        <f>IFERROR(__xludf.DUMMYFUNCTION("""COMPUTED_VALUE"""),6.7)</f>
        <v>6.7</v>
      </c>
    </row>
    <row r="990">
      <c r="A990">
        <f>IFERROR(__xludf.DUMMYFUNCTION("""COMPUTED_VALUE"""),170111.0)</f>
        <v>170111</v>
      </c>
      <c r="B990" t="str">
        <f>IFERROR(__xludf.DUMMYFUNCTION("""COMPUTED_VALUE"""),"Potatoes Baked Flesh And Skin With Salt")</f>
        <v>Potatoes Baked Flesh And Skin With Salt</v>
      </c>
      <c r="C990" t="str">
        <f>IFERROR(__xludf.DUMMYFUNCTION("""COMPUTED_VALUE"""),"Vegetables")</f>
        <v>Vegetables</v>
      </c>
      <c r="D990">
        <f>IFERROR(__xludf.DUMMYFUNCTION("""COMPUTED_VALUE"""),93.0)</f>
        <v>93</v>
      </c>
      <c r="E990">
        <f>IFERROR(__xludf.DUMMYFUNCTION("""COMPUTED_VALUE"""),0.13)</f>
        <v>0.13</v>
      </c>
      <c r="F990">
        <f>IFERROR(__xludf.DUMMYFUNCTION("""COMPUTED_VALUE"""),2.5)</f>
        <v>2.5</v>
      </c>
      <c r="G990">
        <f>IFERROR(__xludf.DUMMYFUNCTION("""COMPUTED_VALUE"""),21.15)</f>
        <v>21.15</v>
      </c>
    </row>
    <row r="991">
      <c r="A991">
        <f>IFERROR(__xludf.DUMMYFUNCTION("""COMPUTED_VALUE"""),170112.0)</f>
        <v>170112</v>
      </c>
      <c r="B991" t="str">
        <f>IFERROR(__xludf.DUMMYFUNCTION("""COMPUTED_VALUE"""),"Potatoes Baked Flesh With Salt")</f>
        <v>Potatoes Baked Flesh With Salt</v>
      </c>
      <c r="C991" t="str">
        <f>IFERROR(__xludf.DUMMYFUNCTION("""COMPUTED_VALUE"""),"Vegetables")</f>
        <v>Vegetables</v>
      </c>
      <c r="D991">
        <f>IFERROR(__xludf.DUMMYFUNCTION("""COMPUTED_VALUE"""),93.0)</f>
        <v>93</v>
      </c>
      <c r="E991">
        <f>IFERROR(__xludf.DUMMYFUNCTION("""COMPUTED_VALUE"""),0.1)</f>
        <v>0.1</v>
      </c>
      <c r="F991">
        <f>IFERROR(__xludf.DUMMYFUNCTION("""COMPUTED_VALUE"""),1.96)</f>
        <v>1.96</v>
      </c>
      <c r="G991">
        <f>IFERROR(__xludf.DUMMYFUNCTION("""COMPUTED_VALUE"""),21.55)</f>
        <v>21.55</v>
      </c>
    </row>
    <row r="992">
      <c r="A992">
        <f>IFERROR(__xludf.DUMMYFUNCTION("""COMPUTED_VALUE"""),170113.0)</f>
        <v>170113</v>
      </c>
      <c r="B992" t="str">
        <f>IFERROR(__xludf.DUMMYFUNCTION("""COMPUTED_VALUE"""),"Potatoes Baked Skin Only With Salt")</f>
        <v>Potatoes Baked Skin Only With Salt</v>
      </c>
      <c r="C992" t="str">
        <f>IFERROR(__xludf.DUMMYFUNCTION("""COMPUTED_VALUE"""),"Vegetables")</f>
        <v>Vegetables</v>
      </c>
      <c r="D992">
        <f>IFERROR(__xludf.DUMMYFUNCTION("""COMPUTED_VALUE"""),198.0)</f>
        <v>198</v>
      </c>
      <c r="E992">
        <f>IFERROR(__xludf.DUMMYFUNCTION("""COMPUTED_VALUE"""),0.1)</f>
        <v>0.1</v>
      </c>
      <c r="F992">
        <f>IFERROR(__xludf.DUMMYFUNCTION("""COMPUTED_VALUE"""),4.29)</f>
        <v>4.29</v>
      </c>
      <c r="G992">
        <f>IFERROR(__xludf.DUMMYFUNCTION("""COMPUTED_VALUE"""),46.06)</f>
        <v>46.06</v>
      </c>
    </row>
    <row r="993">
      <c r="A993">
        <f>IFERROR(__xludf.DUMMYFUNCTION("""COMPUTED_VALUE"""),170114.0)</f>
        <v>170114</v>
      </c>
      <c r="B993" t="str">
        <f>IFERROR(__xludf.DUMMYFUNCTION("""COMPUTED_VALUE"""),"Potatoes Boiled Cooked In Skin Flesh With Salt")</f>
        <v>Potatoes Boiled Cooked In Skin Flesh With Salt</v>
      </c>
      <c r="C993" t="str">
        <f>IFERROR(__xludf.DUMMYFUNCTION("""COMPUTED_VALUE"""),"Vegetables")</f>
        <v>Vegetables</v>
      </c>
      <c r="D993">
        <f>IFERROR(__xludf.DUMMYFUNCTION("""COMPUTED_VALUE"""),87.0)</f>
        <v>87</v>
      </c>
      <c r="E993">
        <f>IFERROR(__xludf.DUMMYFUNCTION("""COMPUTED_VALUE"""),0.1)</f>
        <v>0.1</v>
      </c>
      <c r="F993">
        <f>IFERROR(__xludf.DUMMYFUNCTION("""COMPUTED_VALUE"""),1.87)</f>
        <v>1.87</v>
      </c>
      <c r="G993">
        <f>IFERROR(__xludf.DUMMYFUNCTION("""COMPUTED_VALUE"""),20.13)</f>
        <v>20.13</v>
      </c>
    </row>
    <row r="994">
      <c r="A994">
        <f>IFERROR(__xludf.DUMMYFUNCTION("""COMPUTED_VALUE"""),170115.0)</f>
        <v>170115</v>
      </c>
      <c r="B994" t="str">
        <f>IFERROR(__xludf.DUMMYFUNCTION("""COMPUTED_VALUE"""),"Potatoes Microwaved Cooked In Skin Skin With Salt")</f>
        <v>Potatoes Microwaved Cooked In Skin Skin With Salt</v>
      </c>
      <c r="C994" t="str">
        <f>IFERROR(__xludf.DUMMYFUNCTION("""COMPUTED_VALUE"""),"Vegetables")</f>
        <v>Vegetables</v>
      </c>
      <c r="D994">
        <f>IFERROR(__xludf.DUMMYFUNCTION("""COMPUTED_VALUE"""),132.0)</f>
        <v>132</v>
      </c>
      <c r="E994">
        <f>IFERROR(__xludf.DUMMYFUNCTION("""COMPUTED_VALUE"""),0.1)</f>
        <v>0.1</v>
      </c>
      <c r="F994">
        <f>IFERROR(__xludf.DUMMYFUNCTION("""COMPUTED_VALUE"""),4.39)</f>
        <v>4.39</v>
      </c>
      <c r="G994">
        <f>IFERROR(__xludf.DUMMYFUNCTION("""COMPUTED_VALUE"""),29.63)</f>
        <v>29.63</v>
      </c>
    </row>
    <row r="995">
      <c r="A995">
        <f>IFERROR(__xludf.DUMMYFUNCTION("""COMPUTED_VALUE"""),170116.0)</f>
        <v>170116</v>
      </c>
      <c r="B995" t="str">
        <f>IFERROR(__xludf.DUMMYFUNCTION("""COMPUTED_VALUE"""),"Potatoes Frozen Whole Cooked Boiled Drained With Salt")</f>
        <v>Potatoes Frozen Whole Cooked Boiled Drained With Salt</v>
      </c>
      <c r="C995" t="str">
        <f>IFERROR(__xludf.DUMMYFUNCTION("""COMPUTED_VALUE"""),"Vegetables")</f>
        <v>Vegetables</v>
      </c>
      <c r="D995">
        <f>IFERROR(__xludf.DUMMYFUNCTION("""COMPUTED_VALUE"""),63.0)</f>
        <v>63</v>
      </c>
      <c r="E995">
        <f>IFERROR(__xludf.DUMMYFUNCTION("""COMPUTED_VALUE"""),0.13)</f>
        <v>0.13</v>
      </c>
      <c r="F995">
        <f>IFERROR(__xludf.DUMMYFUNCTION("""COMPUTED_VALUE"""),1.98)</f>
        <v>1.98</v>
      </c>
      <c r="G995">
        <f>IFERROR(__xludf.DUMMYFUNCTION("""COMPUTED_VALUE"""),13.93)</f>
        <v>13.93</v>
      </c>
    </row>
    <row r="996">
      <c r="A996">
        <f>IFERROR(__xludf.DUMMYFUNCTION("""COMPUTED_VALUE"""),170117.0)</f>
        <v>170117</v>
      </c>
      <c r="B996" t="str">
        <f>IFERROR(__xludf.DUMMYFUNCTION("""COMPUTED_VALUE"""),"Potatoes Frozen French Fried Par Fried Cottage-Cut Prepared Heated In Oven With Salt")</f>
        <v>Potatoes Frozen French Fried Par Fried Cottage-Cut Prepared Heated In Oven With Salt</v>
      </c>
      <c r="C996" t="str">
        <f>IFERROR(__xludf.DUMMYFUNCTION("""COMPUTED_VALUE"""),"Vegetables")</f>
        <v>Vegetables</v>
      </c>
      <c r="D996">
        <f>IFERROR(__xludf.DUMMYFUNCTION("""COMPUTED_VALUE"""),218.0)</f>
        <v>218</v>
      </c>
      <c r="E996">
        <f>IFERROR(__xludf.DUMMYFUNCTION("""COMPUTED_VALUE"""),8.2)</f>
        <v>8.2</v>
      </c>
      <c r="F996">
        <f>IFERROR(__xludf.DUMMYFUNCTION("""COMPUTED_VALUE"""),3.44)</f>
        <v>3.44</v>
      </c>
      <c r="G996">
        <f>IFERROR(__xludf.DUMMYFUNCTION("""COMPUTED_VALUE"""),34.03)</f>
        <v>34.03</v>
      </c>
    </row>
    <row r="997">
      <c r="A997">
        <f>IFERROR(__xludf.DUMMYFUNCTION("""COMPUTED_VALUE"""),170118.0)</f>
        <v>170118</v>
      </c>
      <c r="B997" t="str">
        <f>IFERROR(__xludf.DUMMYFUNCTION("""COMPUTED_VALUE"""),"Potatoes French Fried All Types Salt Not Added In Processing Frozen Oven-Heated")</f>
        <v>Potatoes French Fried All Types Salt Not Added In Processing Frozen Oven-Heated</v>
      </c>
      <c r="C997" t="str">
        <f>IFERROR(__xludf.DUMMYFUNCTION("""COMPUTED_VALUE"""),"Vegetables")</f>
        <v>Vegetables</v>
      </c>
      <c r="D997">
        <f>IFERROR(__xludf.DUMMYFUNCTION("""COMPUTED_VALUE"""),168.0)</f>
        <v>168</v>
      </c>
      <c r="E997">
        <f>IFERROR(__xludf.DUMMYFUNCTION("""COMPUTED_VALUE"""),5.22)</f>
        <v>5.22</v>
      </c>
      <c r="F997">
        <f>IFERROR(__xludf.DUMMYFUNCTION("""COMPUTED_VALUE"""),2.66)</f>
        <v>2.66</v>
      </c>
      <c r="G997">
        <f>IFERROR(__xludf.DUMMYFUNCTION("""COMPUTED_VALUE"""),28.71)</f>
        <v>28.71</v>
      </c>
    </row>
    <row r="998">
      <c r="A998">
        <f>IFERROR(__xludf.DUMMYFUNCTION("""COMPUTED_VALUE"""),170119.0)</f>
        <v>170119</v>
      </c>
      <c r="B998" t="str">
        <f>IFERROR(__xludf.DUMMYFUNCTION("""COMPUTED_VALUE"""),"Pumpkin Flowers Cooked Boiled Drained With Salt")</f>
        <v>Pumpkin Flowers Cooked Boiled Drained With Salt</v>
      </c>
      <c r="C998" t="str">
        <f>IFERROR(__xludf.DUMMYFUNCTION("""COMPUTED_VALUE"""),"Vegetables")</f>
        <v>Vegetables</v>
      </c>
      <c r="D998">
        <f>IFERROR(__xludf.DUMMYFUNCTION("""COMPUTED_VALUE"""),15.0)</f>
        <v>15</v>
      </c>
      <c r="E998">
        <f>IFERROR(__xludf.DUMMYFUNCTION("""COMPUTED_VALUE"""),0.08)</f>
        <v>0.08</v>
      </c>
      <c r="F998">
        <f>IFERROR(__xludf.DUMMYFUNCTION("""COMPUTED_VALUE"""),1.09)</f>
        <v>1.09</v>
      </c>
      <c r="G998">
        <f>IFERROR(__xludf.DUMMYFUNCTION("""COMPUTED_VALUE"""),3.18)</f>
        <v>3.18</v>
      </c>
    </row>
    <row r="999">
      <c r="A999">
        <f>IFERROR(__xludf.DUMMYFUNCTION("""COMPUTED_VALUE"""),170120.0)</f>
        <v>170120</v>
      </c>
      <c r="B999" t="str">
        <f>IFERROR(__xludf.DUMMYFUNCTION("""COMPUTED_VALUE"""),"Pumpkin Leaves Cooked Boiled Drained With Salt")</f>
        <v>Pumpkin Leaves Cooked Boiled Drained With Salt</v>
      </c>
      <c r="C999" t="str">
        <f>IFERROR(__xludf.DUMMYFUNCTION("""COMPUTED_VALUE"""),"Vegetables")</f>
        <v>Vegetables</v>
      </c>
      <c r="D999">
        <f>IFERROR(__xludf.DUMMYFUNCTION("""COMPUTED_VALUE"""),21.0)</f>
        <v>21</v>
      </c>
      <c r="E999">
        <f>IFERROR(__xludf.DUMMYFUNCTION("""COMPUTED_VALUE"""),0.22)</f>
        <v>0.22</v>
      </c>
      <c r="F999">
        <f>IFERROR(__xludf.DUMMYFUNCTION("""COMPUTED_VALUE"""),2.72)</f>
        <v>2.72</v>
      </c>
      <c r="G999">
        <f>IFERROR(__xludf.DUMMYFUNCTION("""COMPUTED_VALUE"""),3.39)</f>
        <v>3.39</v>
      </c>
    </row>
    <row r="1000">
      <c r="A1000">
        <f>IFERROR(__xludf.DUMMYFUNCTION("""COMPUTED_VALUE"""),170121.0)</f>
        <v>170121</v>
      </c>
      <c r="B1000" t="str">
        <f>IFERROR(__xludf.DUMMYFUNCTION("""COMPUTED_VALUE"""),"Purslane Cooked Boiled Drained With Salt")</f>
        <v>Purslane Cooked Boiled Drained With Salt</v>
      </c>
      <c r="C1000" t="str">
        <f>IFERROR(__xludf.DUMMYFUNCTION("""COMPUTED_VALUE"""),"Vegetables")</f>
        <v>Vegetables</v>
      </c>
      <c r="D1000">
        <f>IFERROR(__xludf.DUMMYFUNCTION("""COMPUTED_VALUE"""),18.0)</f>
        <v>18</v>
      </c>
      <c r="E1000">
        <f>IFERROR(__xludf.DUMMYFUNCTION("""COMPUTED_VALUE"""),0.19)</f>
        <v>0.19</v>
      </c>
      <c r="F1000">
        <f>IFERROR(__xludf.DUMMYFUNCTION("""COMPUTED_VALUE"""),1.49)</f>
        <v>1.49</v>
      </c>
      <c r="G1000">
        <f>IFERROR(__xludf.DUMMYFUNCTION("""COMPUTED_VALUE"""),3.55)</f>
        <v>3.55</v>
      </c>
    </row>
    <row r="1001">
      <c r="A1001">
        <f>IFERROR(__xludf.DUMMYFUNCTION("""COMPUTED_VALUE"""),170122.0)</f>
        <v>170122</v>
      </c>
      <c r="B1001" t="str">
        <f>IFERROR(__xludf.DUMMYFUNCTION("""COMPUTED_VALUE"""),"Radishes Oriental Cooked Boiled Drained With Salt")</f>
        <v>Radishes Oriental Cooked Boiled Drained With Salt</v>
      </c>
      <c r="C1001" t="str">
        <f>IFERROR(__xludf.DUMMYFUNCTION("""COMPUTED_VALUE"""),"Vegetables")</f>
        <v>Vegetables</v>
      </c>
      <c r="D1001">
        <f>IFERROR(__xludf.DUMMYFUNCTION("""COMPUTED_VALUE"""),17.0)</f>
        <v>17</v>
      </c>
      <c r="E1001">
        <f>IFERROR(__xludf.DUMMYFUNCTION("""COMPUTED_VALUE"""),0.24)</f>
        <v>0.24</v>
      </c>
      <c r="F1001">
        <f>IFERROR(__xludf.DUMMYFUNCTION("""COMPUTED_VALUE"""),0.67)</f>
        <v>0.67</v>
      </c>
      <c r="G1001">
        <f>IFERROR(__xludf.DUMMYFUNCTION("""COMPUTED_VALUE"""),3.43)</f>
        <v>3.43</v>
      </c>
    </row>
    <row r="1002">
      <c r="A1002">
        <f>IFERROR(__xludf.DUMMYFUNCTION("""COMPUTED_VALUE"""),170123.0)</f>
        <v>170123</v>
      </c>
      <c r="B1002" t="str">
        <f>IFERROR(__xludf.DUMMYFUNCTION("""COMPUTED_VALUE"""),"Spinach Canned No Salt Added Solids And Liquids")</f>
        <v>Spinach Canned No Salt Added Solids And Liquids</v>
      </c>
      <c r="C1002" t="str">
        <f>IFERROR(__xludf.DUMMYFUNCTION("""COMPUTED_VALUE"""),"Vegetables")</f>
        <v>Vegetables</v>
      </c>
      <c r="D1002">
        <f>IFERROR(__xludf.DUMMYFUNCTION("""COMPUTED_VALUE"""),19.0)</f>
        <v>19</v>
      </c>
      <c r="E1002">
        <f>IFERROR(__xludf.DUMMYFUNCTION("""COMPUTED_VALUE"""),0.37)</f>
        <v>0.37</v>
      </c>
      <c r="F1002">
        <f>IFERROR(__xludf.DUMMYFUNCTION("""COMPUTED_VALUE"""),2.11)</f>
        <v>2.11</v>
      </c>
      <c r="G1002">
        <f>IFERROR(__xludf.DUMMYFUNCTION("""COMPUTED_VALUE"""),2.92)</f>
        <v>2.92</v>
      </c>
    </row>
    <row r="1003">
      <c r="A1003">
        <f>IFERROR(__xludf.DUMMYFUNCTION("""COMPUTED_VALUE"""),170124.0)</f>
        <v>170124</v>
      </c>
      <c r="B1003" t="str">
        <f>IFERROR(__xludf.DUMMYFUNCTION("""COMPUTED_VALUE"""),"Spinach Frozen Chopped Or Leaf Cooked Boiled Drained With Salt")</f>
        <v>Spinach Frozen Chopped Or Leaf Cooked Boiled Drained With Salt</v>
      </c>
      <c r="C1003" t="str">
        <f>IFERROR(__xludf.DUMMYFUNCTION("""COMPUTED_VALUE"""),"Vegetables")</f>
        <v>Vegetables</v>
      </c>
      <c r="D1003">
        <f>IFERROR(__xludf.DUMMYFUNCTION("""COMPUTED_VALUE"""),34.0)</f>
        <v>34</v>
      </c>
      <c r="E1003">
        <f>IFERROR(__xludf.DUMMYFUNCTION("""COMPUTED_VALUE"""),0.87)</f>
        <v>0.87</v>
      </c>
      <c r="F1003">
        <f>IFERROR(__xludf.DUMMYFUNCTION("""COMPUTED_VALUE"""),4.01)</f>
        <v>4.01</v>
      </c>
      <c r="G1003">
        <f>IFERROR(__xludf.DUMMYFUNCTION("""COMPUTED_VALUE"""),4.8)</f>
        <v>4.8</v>
      </c>
    </row>
    <row r="1004">
      <c r="A1004">
        <f>IFERROR(__xludf.DUMMYFUNCTION("""COMPUTED_VALUE"""),170125.0)</f>
        <v>170125</v>
      </c>
      <c r="B1004" t="str">
        <f>IFERROR(__xludf.DUMMYFUNCTION("""COMPUTED_VALUE"""),"Squash Summer All Varieties Cooked Boiled Drained With Salt")</f>
        <v>Squash Summer All Varieties Cooked Boiled Drained With Salt</v>
      </c>
      <c r="C1004" t="str">
        <f>IFERROR(__xludf.DUMMYFUNCTION("""COMPUTED_VALUE"""),"Vegetables")</f>
        <v>Vegetables</v>
      </c>
      <c r="D1004">
        <f>IFERROR(__xludf.DUMMYFUNCTION("""COMPUTED_VALUE"""),20.0)</f>
        <v>20</v>
      </c>
      <c r="E1004">
        <f>IFERROR(__xludf.DUMMYFUNCTION("""COMPUTED_VALUE"""),0.31)</f>
        <v>0.31</v>
      </c>
      <c r="F1004">
        <f>IFERROR(__xludf.DUMMYFUNCTION("""COMPUTED_VALUE"""),0.91)</f>
        <v>0.91</v>
      </c>
      <c r="G1004">
        <f>IFERROR(__xludf.DUMMYFUNCTION("""COMPUTED_VALUE"""),4.31)</f>
        <v>4.31</v>
      </c>
    </row>
    <row r="1005">
      <c r="A1005">
        <f>IFERROR(__xludf.DUMMYFUNCTION("""COMPUTED_VALUE"""),170126.0)</f>
        <v>170126</v>
      </c>
      <c r="B1005" t="str">
        <f>IFERROR(__xludf.DUMMYFUNCTION("""COMPUTED_VALUE"""),"Squash Summer Crookneck And Straightneck Cooked Boiled Drained With Salt")</f>
        <v>Squash Summer Crookneck And Straightneck Cooked Boiled Drained With Salt</v>
      </c>
      <c r="C1005" t="str">
        <f>IFERROR(__xludf.DUMMYFUNCTION("""COMPUTED_VALUE"""),"Vegetables")</f>
        <v>Vegetables</v>
      </c>
      <c r="D1005">
        <f>IFERROR(__xludf.DUMMYFUNCTION("""COMPUTED_VALUE"""),19.0)</f>
        <v>19</v>
      </c>
      <c r="E1005">
        <f>IFERROR(__xludf.DUMMYFUNCTION("""COMPUTED_VALUE"""),0.39)</f>
        <v>0.39</v>
      </c>
      <c r="F1005">
        <f>IFERROR(__xludf.DUMMYFUNCTION("""COMPUTED_VALUE"""),1.04)</f>
        <v>1.04</v>
      </c>
      <c r="G1005">
        <f>IFERROR(__xludf.DUMMYFUNCTION("""COMPUTED_VALUE"""),3.79)</f>
        <v>3.79</v>
      </c>
    </row>
    <row r="1006">
      <c r="A1006">
        <f>IFERROR(__xludf.DUMMYFUNCTION("""COMPUTED_VALUE"""),170127.0)</f>
        <v>170127</v>
      </c>
      <c r="B1006" t="str">
        <f>IFERROR(__xludf.DUMMYFUNCTION("""COMPUTED_VALUE"""),"Squash Winter All Varieties Cooked Baked With Salt")</f>
        <v>Squash Winter All Varieties Cooked Baked With Salt</v>
      </c>
      <c r="C1006" t="str">
        <f>IFERROR(__xludf.DUMMYFUNCTION("""COMPUTED_VALUE"""),"Vegetables")</f>
        <v>Vegetables</v>
      </c>
      <c r="D1006">
        <f>IFERROR(__xludf.DUMMYFUNCTION("""COMPUTED_VALUE"""),37.0)</f>
        <v>37</v>
      </c>
      <c r="E1006">
        <f>IFERROR(__xludf.DUMMYFUNCTION("""COMPUTED_VALUE"""),0.35)</f>
        <v>0.35</v>
      </c>
      <c r="F1006">
        <f>IFERROR(__xludf.DUMMYFUNCTION("""COMPUTED_VALUE"""),0.89)</f>
        <v>0.89</v>
      </c>
      <c r="G1006">
        <f>IFERROR(__xludf.DUMMYFUNCTION("""COMPUTED_VALUE"""),8.85)</f>
        <v>8.85</v>
      </c>
    </row>
    <row r="1007">
      <c r="A1007">
        <f>IFERROR(__xludf.DUMMYFUNCTION("""COMPUTED_VALUE"""),170128.0)</f>
        <v>170128</v>
      </c>
      <c r="B1007" t="str">
        <f>IFERROR(__xludf.DUMMYFUNCTION("""COMPUTED_VALUE"""),"Squash Winter Acorn Cooked Baked With Salt")</f>
        <v>Squash Winter Acorn Cooked Baked With Salt</v>
      </c>
      <c r="C1007" t="str">
        <f>IFERROR(__xludf.DUMMYFUNCTION("""COMPUTED_VALUE"""),"Vegetables")</f>
        <v>Vegetables</v>
      </c>
      <c r="D1007">
        <f>IFERROR(__xludf.DUMMYFUNCTION("""COMPUTED_VALUE"""),56.0)</f>
        <v>56</v>
      </c>
      <c r="E1007">
        <f>IFERROR(__xludf.DUMMYFUNCTION("""COMPUTED_VALUE"""),0.14)</f>
        <v>0.14</v>
      </c>
      <c r="F1007">
        <f>IFERROR(__xludf.DUMMYFUNCTION("""COMPUTED_VALUE"""),1.12)</f>
        <v>1.12</v>
      </c>
      <c r="G1007">
        <f>IFERROR(__xludf.DUMMYFUNCTION("""COMPUTED_VALUE"""),14.58)</f>
        <v>14.58</v>
      </c>
    </row>
    <row r="1008">
      <c r="A1008">
        <f>IFERROR(__xludf.DUMMYFUNCTION("""COMPUTED_VALUE"""),170129.0)</f>
        <v>170129</v>
      </c>
      <c r="B1008" t="str">
        <f>IFERROR(__xludf.DUMMYFUNCTION("""COMPUTED_VALUE"""),"Squash Winter Acorn Cooked Boiled Mashed With Salt")</f>
        <v>Squash Winter Acorn Cooked Boiled Mashed With Salt</v>
      </c>
      <c r="C1008" t="str">
        <f>IFERROR(__xludf.DUMMYFUNCTION("""COMPUTED_VALUE"""),"Vegetables")</f>
        <v>Vegetables</v>
      </c>
      <c r="D1008">
        <f>IFERROR(__xludf.DUMMYFUNCTION("""COMPUTED_VALUE"""),34.0)</f>
        <v>34</v>
      </c>
      <c r="E1008">
        <f>IFERROR(__xludf.DUMMYFUNCTION("""COMPUTED_VALUE"""),0.08)</f>
        <v>0.08</v>
      </c>
      <c r="F1008">
        <f>IFERROR(__xludf.DUMMYFUNCTION("""COMPUTED_VALUE"""),0.67)</f>
        <v>0.67</v>
      </c>
      <c r="G1008">
        <f>IFERROR(__xludf.DUMMYFUNCTION("""COMPUTED_VALUE"""),8.79)</f>
        <v>8.79</v>
      </c>
    </row>
    <row r="1009">
      <c r="A1009">
        <f>IFERROR(__xludf.DUMMYFUNCTION("""COMPUTED_VALUE"""),170130.0)</f>
        <v>170130</v>
      </c>
      <c r="B1009" t="str">
        <f>IFERROR(__xludf.DUMMYFUNCTION("""COMPUTED_VALUE"""),"Squash Winter Butternut Cooked Baked With Salt")</f>
        <v>Squash Winter Butternut Cooked Baked With Salt</v>
      </c>
      <c r="C1009" t="str">
        <f>IFERROR(__xludf.DUMMYFUNCTION("""COMPUTED_VALUE"""),"Vegetables")</f>
        <v>Vegetables</v>
      </c>
      <c r="D1009">
        <f>IFERROR(__xludf.DUMMYFUNCTION("""COMPUTED_VALUE"""),40.0)</f>
        <v>40</v>
      </c>
      <c r="E1009">
        <f>IFERROR(__xludf.DUMMYFUNCTION("""COMPUTED_VALUE"""),0.09)</f>
        <v>0.09</v>
      </c>
      <c r="F1009">
        <f>IFERROR(__xludf.DUMMYFUNCTION("""COMPUTED_VALUE"""),0.9)</f>
        <v>0.9</v>
      </c>
      <c r="G1009">
        <f>IFERROR(__xludf.DUMMYFUNCTION("""COMPUTED_VALUE"""),10.49)</f>
        <v>10.49</v>
      </c>
    </row>
    <row r="1010">
      <c r="A1010">
        <f>IFERROR(__xludf.DUMMYFUNCTION("""COMPUTED_VALUE"""),170131.0)</f>
        <v>170131</v>
      </c>
      <c r="B1010" t="str">
        <f>IFERROR(__xludf.DUMMYFUNCTION("""COMPUTED_VALUE"""),"Succotash (Corn And Limas) Frozen Cooked Boiled Drained With Salt")</f>
        <v>Succotash (Corn And Limas) Frozen Cooked Boiled Drained With Salt</v>
      </c>
      <c r="C1010" t="str">
        <f>IFERROR(__xludf.DUMMYFUNCTION("""COMPUTED_VALUE"""),"Vegetables")</f>
        <v>Vegetables</v>
      </c>
      <c r="D1010">
        <f>IFERROR(__xludf.DUMMYFUNCTION("""COMPUTED_VALUE"""),93.0)</f>
        <v>93</v>
      </c>
      <c r="E1010">
        <f>IFERROR(__xludf.DUMMYFUNCTION("""COMPUTED_VALUE"""),0.89)</f>
        <v>0.89</v>
      </c>
      <c r="F1010">
        <f>IFERROR(__xludf.DUMMYFUNCTION("""COMPUTED_VALUE"""),4.31)</f>
        <v>4.31</v>
      </c>
      <c r="G1010">
        <f>IFERROR(__xludf.DUMMYFUNCTION("""COMPUTED_VALUE"""),19.95)</f>
        <v>19.95</v>
      </c>
    </row>
    <row r="1011">
      <c r="A1011">
        <f>IFERROR(__xludf.DUMMYFUNCTION("""COMPUTED_VALUE"""),170132.0)</f>
        <v>170132</v>
      </c>
      <c r="B1011" t="str">
        <f>IFERROR(__xludf.DUMMYFUNCTION("""COMPUTED_VALUE"""),"Swamp Cabbage (Skunk Cabbage) Cooked Boiled Drained With Salt")</f>
        <v>Swamp Cabbage (Skunk Cabbage) Cooked Boiled Drained With Salt</v>
      </c>
      <c r="C1011" t="str">
        <f>IFERROR(__xludf.DUMMYFUNCTION("""COMPUTED_VALUE"""),"Vegetables")</f>
        <v>Vegetables</v>
      </c>
      <c r="D1011">
        <f>IFERROR(__xludf.DUMMYFUNCTION("""COMPUTED_VALUE"""),20.0)</f>
        <v>20</v>
      </c>
      <c r="E1011">
        <f>IFERROR(__xludf.DUMMYFUNCTION("""COMPUTED_VALUE"""),0.24)</f>
        <v>0.24</v>
      </c>
      <c r="F1011">
        <f>IFERROR(__xludf.DUMMYFUNCTION("""COMPUTED_VALUE"""),2.08)</f>
        <v>2.08</v>
      </c>
      <c r="G1011">
        <f>IFERROR(__xludf.DUMMYFUNCTION("""COMPUTED_VALUE"""),3.7)</f>
        <v>3.7</v>
      </c>
    </row>
    <row r="1012">
      <c r="A1012">
        <f>IFERROR(__xludf.DUMMYFUNCTION("""COMPUTED_VALUE"""),170133.0)</f>
        <v>170133</v>
      </c>
      <c r="B1012" t="str">
        <f>IFERROR(__xludf.DUMMYFUNCTION("""COMPUTED_VALUE"""),"Sweet Potato Leaves Cooked Steamed With Salt")</f>
        <v>Sweet Potato Leaves Cooked Steamed With Salt</v>
      </c>
      <c r="C1012" t="str">
        <f>IFERROR(__xludf.DUMMYFUNCTION("""COMPUTED_VALUE"""),"Vegetables")</f>
        <v>Vegetables</v>
      </c>
      <c r="D1012">
        <f>IFERROR(__xludf.DUMMYFUNCTION("""COMPUTED_VALUE"""),35.0)</f>
        <v>35</v>
      </c>
      <c r="E1012">
        <f>IFERROR(__xludf.DUMMYFUNCTION("""COMPUTED_VALUE"""),0.34)</f>
        <v>0.34</v>
      </c>
      <c r="F1012">
        <f>IFERROR(__xludf.DUMMYFUNCTION("""COMPUTED_VALUE"""),2.18)</f>
        <v>2.18</v>
      </c>
      <c r="G1012">
        <f>IFERROR(__xludf.DUMMYFUNCTION("""COMPUTED_VALUE"""),7.38)</f>
        <v>7.38</v>
      </c>
    </row>
    <row r="1013">
      <c r="A1013">
        <f>IFERROR(__xludf.DUMMYFUNCTION("""COMPUTED_VALUE"""),170134.0)</f>
        <v>170134</v>
      </c>
      <c r="B1013" t="str">
        <f>IFERROR(__xludf.DUMMYFUNCTION("""COMPUTED_VALUE"""),"Sweet Potato Cooked Baked In Skin Flesh With Salt")</f>
        <v>Sweet Potato Cooked Baked In Skin Flesh With Salt</v>
      </c>
      <c r="C1013" t="str">
        <f>IFERROR(__xludf.DUMMYFUNCTION("""COMPUTED_VALUE"""),"Vegetables")</f>
        <v>Vegetables</v>
      </c>
      <c r="D1013">
        <f>IFERROR(__xludf.DUMMYFUNCTION("""COMPUTED_VALUE"""),90.0)</f>
        <v>90</v>
      </c>
      <c r="E1013">
        <f>IFERROR(__xludf.DUMMYFUNCTION("""COMPUTED_VALUE"""),0.15)</f>
        <v>0.15</v>
      </c>
      <c r="F1013">
        <f>IFERROR(__xludf.DUMMYFUNCTION("""COMPUTED_VALUE"""),2.01)</f>
        <v>2.01</v>
      </c>
      <c r="G1013">
        <f>IFERROR(__xludf.DUMMYFUNCTION("""COMPUTED_VALUE"""),20.71)</f>
        <v>20.71</v>
      </c>
    </row>
    <row r="1014">
      <c r="A1014">
        <f>IFERROR(__xludf.DUMMYFUNCTION("""COMPUTED_VALUE"""),170135.0)</f>
        <v>170135</v>
      </c>
      <c r="B1014" t="str">
        <f>IFERROR(__xludf.DUMMYFUNCTION("""COMPUTED_VALUE"""),"Taro Shoots Cooked With Salt")</f>
        <v>Taro Shoots Cooked With Salt</v>
      </c>
      <c r="C1014" t="str">
        <f>IFERROR(__xludf.DUMMYFUNCTION("""COMPUTED_VALUE"""),"Vegetables")</f>
        <v>Vegetables</v>
      </c>
      <c r="D1014">
        <f>IFERROR(__xludf.DUMMYFUNCTION("""COMPUTED_VALUE"""),14.0)</f>
        <v>14</v>
      </c>
      <c r="E1014">
        <f>IFERROR(__xludf.DUMMYFUNCTION("""COMPUTED_VALUE"""),0.08)</f>
        <v>0.08</v>
      </c>
      <c r="F1014">
        <f>IFERROR(__xludf.DUMMYFUNCTION("""COMPUTED_VALUE"""),0.73)</f>
        <v>0.73</v>
      </c>
      <c r="G1014">
        <f>IFERROR(__xludf.DUMMYFUNCTION("""COMPUTED_VALUE"""),3.19)</f>
        <v>3.19</v>
      </c>
    </row>
    <row r="1015">
      <c r="A1015">
        <f>IFERROR(__xludf.DUMMYFUNCTION("""COMPUTED_VALUE"""),170136.0)</f>
        <v>170136</v>
      </c>
      <c r="B1015" t="str">
        <f>IFERROR(__xludf.DUMMYFUNCTION("""COMPUTED_VALUE"""),"Taro Tahitian Cooked With Salt")</f>
        <v>Taro Tahitian Cooked With Salt</v>
      </c>
      <c r="C1015" t="str">
        <f>IFERROR(__xludf.DUMMYFUNCTION("""COMPUTED_VALUE"""),"Vegetables")</f>
        <v>Vegetables</v>
      </c>
      <c r="D1015">
        <f>IFERROR(__xludf.DUMMYFUNCTION("""COMPUTED_VALUE"""),44.0)</f>
        <v>44</v>
      </c>
      <c r="E1015">
        <f>IFERROR(__xludf.DUMMYFUNCTION("""COMPUTED_VALUE"""),0.68)</f>
        <v>0.68</v>
      </c>
      <c r="F1015">
        <f>IFERROR(__xludf.DUMMYFUNCTION("""COMPUTED_VALUE"""),4.16)</f>
        <v>4.16</v>
      </c>
      <c r="G1015">
        <f>IFERROR(__xludf.DUMMYFUNCTION("""COMPUTED_VALUE"""),6.85)</f>
        <v>6.85</v>
      </c>
    </row>
    <row r="1016">
      <c r="A1016">
        <f>IFERROR(__xludf.DUMMYFUNCTION("""COMPUTED_VALUE"""),170137.0)</f>
        <v>170137</v>
      </c>
      <c r="B1016" t="str">
        <f>IFERROR(__xludf.DUMMYFUNCTION("""COMPUTED_VALUE"""),"Tomatoes Red Ripe Cooked With Salt")</f>
        <v>Tomatoes Red Ripe Cooked With Salt</v>
      </c>
      <c r="C1016" t="str">
        <f>IFERROR(__xludf.DUMMYFUNCTION("""COMPUTED_VALUE"""),"Vegetables")</f>
        <v>Vegetables</v>
      </c>
      <c r="D1016">
        <f>IFERROR(__xludf.DUMMYFUNCTION("""COMPUTED_VALUE"""),18.0)</f>
        <v>18</v>
      </c>
      <c r="E1016">
        <f>IFERROR(__xludf.DUMMYFUNCTION("""COMPUTED_VALUE"""),0.11)</f>
        <v>0.11</v>
      </c>
      <c r="F1016">
        <f>IFERROR(__xludf.DUMMYFUNCTION("""COMPUTED_VALUE"""),0.95)</f>
        <v>0.95</v>
      </c>
      <c r="G1016">
        <f>IFERROR(__xludf.DUMMYFUNCTION("""COMPUTED_VALUE"""),4.01)</f>
        <v>4.01</v>
      </c>
    </row>
    <row r="1017">
      <c r="A1017">
        <f>IFERROR(__xludf.DUMMYFUNCTION("""COMPUTED_VALUE"""),170138.0)</f>
        <v>170138</v>
      </c>
      <c r="B1017" t="str">
        <f>IFERROR(__xludf.DUMMYFUNCTION("""COMPUTED_VALUE"""),"Tomatoes Red Ripe Canned Packed In Tomato Juice No Salt Added")</f>
        <v>Tomatoes Red Ripe Canned Packed In Tomato Juice No Salt Added</v>
      </c>
      <c r="C1017" t="str">
        <f>IFERROR(__xludf.DUMMYFUNCTION("""COMPUTED_VALUE"""),"Vegetables")</f>
        <v>Vegetables</v>
      </c>
      <c r="D1017">
        <f>IFERROR(__xludf.DUMMYFUNCTION("""COMPUTED_VALUE"""),16.0)</f>
        <v>16</v>
      </c>
      <c r="E1017">
        <f>IFERROR(__xludf.DUMMYFUNCTION("""COMPUTED_VALUE"""),0.25)</f>
        <v>0.25</v>
      </c>
      <c r="F1017">
        <f>IFERROR(__xludf.DUMMYFUNCTION("""COMPUTED_VALUE"""),0.79)</f>
        <v>0.79</v>
      </c>
      <c r="G1017">
        <f>IFERROR(__xludf.DUMMYFUNCTION("""COMPUTED_VALUE"""),3.47)</f>
        <v>3.47</v>
      </c>
    </row>
    <row r="1018">
      <c r="A1018">
        <f>IFERROR(__xludf.DUMMYFUNCTION("""COMPUTED_VALUE"""),170139.0)</f>
        <v>170139</v>
      </c>
      <c r="B1018" t="str">
        <f>IFERROR(__xludf.DUMMYFUNCTION("""COMPUTED_VALUE"""),"Turnip Greens Cooked Boiled Drained With Salt")</f>
        <v>Turnip Greens Cooked Boiled Drained With Salt</v>
      </c>
      <c r="C1018" t="str">
        <f>IFERROR(__xludf.DUMMYFUNCTION("""COMPUTED_VALUE"""),"Vegetables")</f>
        <v>Vegetables</v>
      </c>
      <c r="D1018">
        <f>IFERROR(__xludf.DUMMYFUNCTION("""COMPUTED_VALUE"""),20.0)</f>
        <v>20</v>
      </c>
      <c r="E1018">
        <f>IFERROR(__xludf.DUMMYFUNCTION("""COMPUTED_VALUE"""),0.23)</f>
        <v>0.23</v>
      </c>
      <c r="F1018">
        <f>IFERROR(__xludf.DUMMYFUNCTION("""COMPUTED_VALUE"""),1.14)</f>
        <v>1.14</v>
      </c>
      <c r="G1018">
        <f>IFERROR(__xludf.DUMMYFUNCTION("""COMPUTED_VALUE"""),4.36)</f>
        <v>4.36</v>
      </c>
    </row>
    <row r="1019">
      <c r="A1019">
        <f>IFERROR(__xludf.DUMMYFUNCTION("""COMPUTED_VALUE"""),170140.0)</f>
        <v>170140</v>
      </c>
      <c r="B1019" t="str">
        <f>IFERROR(__xludf.DUMMYFUNCTION("""COMPUTED_VALUE"""),"Turnip Greens Frozen Cooked Boiled Drained With Salt")</f>
        <v>Turnip Greens Frozen Cooked Boiled Drained With Salt</v>
      </c>
      <c r="C1019" t="str">
        <f>IFERROR(__xludf.DUMMYFUNCTION("""COMPUTED_VALUE"""),"Vegetables")</f>
        <v>Vegetables</v>
      </c>
      <c r="D1019">
        <f>IFERROR(__xludf.DUMMYFUNCTION("""COMPUTED_VALUE"""),29.0)</f>
        <v>29</v>
      </c>
      <c r="E1019">
        <f>IFERROR(__xludf.DUMMYFUNCTION("""COMPUTED_VALUE"""),0.42)</f>
        <v>0.42</v>
      </c>
      <c r="F1019">
        <f>IFERROR(__xludf.DUMMYFUNCTION("""COMPUTED_VALUE"""),3.35)</f>
        <v>3.35</v>
      </c>
      <c r="G1019">
        <f>IFERROR(__xludf.DUMMYFUNCTION("""COMPUTED_VALUE"""),4.98)</f>
        <v>4.98</v>
      </c>
    </row>
    <row r="1020">
      <c r="A1020">
        <f>IFERROR(__xludf.DUMMYFUNCTION("""COMPUTED_VALUE"""),170141.0)</f>
        <v>170141</v>
      </c>
      <c r="B1020" t="str">
        <f>IFERROR(__xludf.DUMMYFUNCTION("""COMPUTED_VALUE"""),"Turnip Greens And Turnips Frozen Cooked Boiled Drained With Salt")</f>
        <v>Turnip Greens And Turnips Frozen Cooked Boiled Drained With Salt</v>
      </c>
      <c r="C1020" t="str">
        <f>IFERROR(__xludf.DUMMYFUNCTION("""COMPUTED_VALUE"""),"Vegetables")</f>
        <v>Vegetables</v>
      </c>
      <c r="D1020">
        <f>IFERROR(__xludf.DUMMYFUNCTION("""COMPUTED_VALUE"""),34.0)</f>
        <v>34</v>
      </c>
      <c r="E1020">
        <f>IFERROR(__xludf.DUMMYFUNCTION("""COMPUTED_VALUE"""),0.38)</f>
        <v>0.38</v>
      </c>
      <c r="F1020">
        <f>IFERROR(__xludf.DUMMYFUNCTION("""COMPUTED_VALUE"""),2.99)</f>
        <v>2.99</v>
      </c>
      <c r="G1020">
        <f>IFERROR(__xludf.DUMMYFUNCTION("""COMPUTED_VALUE"""),4.74)</f>
        <v>4.74</v>
      </c>
    </row>
    <row r="1021">
      <c r="A1021">
        <f>IFERROR(__xludf.DUMMYFUNCTION("""COMPUTED_VALUE"""),170142.0)</f>
        <v>170142</v>
      </c>
      <c r="B1021" t="str">
        <f>IFERROR(__xludf.DUMMYFUNCTION("""COMPUTED_VALUE"""),"Vegetables Mixed Frozen Cooked Boiled Drained With Salt")</f>
        <v>Vegetables Mixed Frozen Cooked Boiled Drained With Salt</v>
      </c>
      <c r="C1021" t="str">
        <f>IFERROR(__xludf.DUMMYFUNCTION("""COMPUTED_VALUE"""),"Vegetables")</f>
        <v>Vegetables</v>
      </c>
      <c r="D1021">
        <f>IFERROR(__xludf.DUMMYFUNCTION("""COMPUTED_VALUE"""),60.0)</f>
        <v>60</v>
      </c>
      <c r="E1021">
        <f>IFERROR(__xludf.DUMMYFUNCTION("""COMPUTED_VALUE"""),0.15)</f>
        <v>0.15</v>
      </c>
      <c r="F1021">
        <f>IFERROR(__xludf.DUMMYFUNCTION("""COMPUTED_VALUE"""),2.86)</f>
        <v>2.86</v>
      </c>
      <c r="G1021">
        <f>IFERROR(__xludf.DUMMYFUNCTION("""COMPUTED_VALUE"""),13.09)</f>
        <v>13.09</v>
      </c>
    </row>
    <row r="1022">
      <c r="A1022">
        <f>IFERROR(__xludf.DUMMYFUNCTION("""COMPUTED_VALUE"""),170143.0)</f>
        <v>170143</v>
      </c>
      <c r="B1022" t="str">
        <f>IFERROR(__xludf.DUMMYFUNCTION("""COMPUTED_VALUE"""),"Raw Portobellos (Exposed To Sunlight Or Uv)")</f>
        <v>Raw Portobellos (Exposed To Sunlight Or Uv)</v>
      </c>
      <c r="C1022" t="str">
        <f>IFERROR(__xludf.DUMMYFUNCTION("""COMPUTED_VALUE"""),"Vegetables")</f>
        <v>Vegetables</v>
      </c>
      <c r="D1022">
        <f>IFERROR(__xludf.DUMMYFUNCTION("""COMPUTED_VALUE"""),22.0)</f>
        <v>22</v>
      </c>
      <c r="E1022">
        <f>IFERROR(__xludf.DUMMYFUNCTION("""COMPUTED_VALUE"""),0.35)</f>
        <v>0.35</v>
      </c>
      <c r="F1022">
        <f>IFERROR(__xludf.DUMMYFUNCTION("""COMPUTED_VALUE"""),2.11)</f>
        <v>2.11</v>
      </c>
      <c r="G1022">
        <f>IFERROR(__xludf.DUMMYFUNCTION("""COMPUTED_VALUE"""),3.87)</f>
        <v>3.87</v>
      </c>
    </row>
    <row r="1023">
      <c r="A1023">
        <f>IFERROR(__xludf.DUMMYFUNCTION("""COMPUTED_VALUE"""),170283.0)</f>
        <v>170283</v>
      </c>
      <c r="B1023" t="str">
        <f>IFERROR(__xludf.DUMMYFUNCTION("""COMPUTED_VALUE"""),"Barley Hulled")</f>
        <v>Barley Hulled</v>
      </c>
      <c r="C1023" t="str">
        <f>IFERROR(__xludf.DUMMYFUNCTION("""COMPUTED_VALUE"""),"Grains and Pasta")</f>
        <v>Grains and Pasta</v>
      </c>
      <c r="D1023">
        <f>IFERROR(__xludf.DUMMYFUNCTION("""COMPUTED_VALUE"""),354.0)</f>
        <v>354</v>
      </c>
      <c r="E1023">
        <f>IFERROR(__xludf.DUMMYFUNCTION("""COMPUTED_VALUE"""),2.3)</f>
        <v>2.3</v>
      </c>
      <c r="F1023">
        <f>IFERROR(__xludf.DUMMYFUNCTION("""COMPUTED_VALUE"""),12.48)</f>
        <v>12.48</v>
      </c>
      <c r="G1023">
        <f>IFERROR(__xludf.DUMMYFUNCTION("""COMPUTED_VALUE"""),73.48)</f>
        <v>73.48</v>
      </c>
    </row>
    <row r="1024">
      <c r="A1024">
        <f>IFERROR(__xludf.DUMMYFUNCTION("""COMPUTED_VALUE"""),170284.0)</f>
        <v>170284</v>
      </c>
      <c r="B1024" t="str">
        <f>IFERROR(__xludf.DUMMYFUNCTION("""COMPUTED_VALUE"""),"Barley Pearled Raw")</f>
        <v>Barley Pearled Raw</v>
      </c>
      <c r="C1024" t="str">
        <f>IFERROR(__xludf.DUMMYFUNCTION("""COMPUTED_VALUE"""),"Grains and Pasta")</f>
        <v>Grains and Pasta</v>
      </c>
      <c r="D1024">
        <f>IFERROR(__xludf.DUMMYFUNCTION("""COMPUTED_VALUE"""),352.0)</f>
        <v>352</v>
      </c>
      <c r="E1024">
        <f>IFERROR(__xludf.DUMMYFUNCTION("""COMPUTED_VALUE"""),1.16)</f>
        <v>1.16</v>
      </c>
      <c r="F1024">
        <f>IFERROR(__xludf.DUMMYFUNCTION("""COMPUTED_VALUE"""),9.91)</f>
        <v>9.91</v>
      </c>
      <c r="G1024">
        <f>IFERROR(__xludf.DUMMYFUNCTION("""COMPUTED_VALUE"""),77.72)</f>
        <v>77.72</v>
      </c>
    </row>
    <row r="1025">
      <c r="A1025">
        <f>IFERROR(__xludf.DUMMYFUNCTION("""COMPUTED_VALUE"""),170285.0)</f>
        <v>170285</v>
      </c>
      <c r="B1025" t="str">
        <f>IFERROR(__xludf.DUMMYFUNCTION("""COMPUTED_VALUE"""),"Cooked Pearled Barley")</f>
        <v>Cooked Pearled Barley</v>
      </c>
      <c r="C1025" t="str">
        <f>IFERROR(__xludf.DUMMYFUNCTION("""COMPUTED_VALUE"""),"Grains and Pasta")</f>
        <v>Grains and Pasta</v>
      </c>
      <c r="D1025">
        <f>IFERROR(__xludf.DUMMYFUNCTION("""COMPUTED_VALUE"""),123.0)</f>
        <v>123</v>
      </c>
      <c r="E1025">
        <f>IFERROR(__xludf.DUMMYFUNCTION("""COMPUTED_VALUE"""),0.44)</f>
        <v>0.44</v>
      </c>
      <c r="F1025">
        <f>IFERROR(__xludf.DUMMYFUNCTION("""COMPUTED_VALUE"""),2.26)</f>
        <v>2.26</v>
      </c>
      <c r="G1025">
        <f>IFERROR(__xludf.DUMMYFUNCTION("""COMPUTED_VALUE"""),28.22)</f>
        <v>28.22</v>
      </c>
    </row>
    <row r="1026">
      <c r="A1026">
        <f>IFERROR(__xludf.DUMMYFUNCTION("""COMPUTED_VALUE"""),170286.0)</f>
        <v>170286</v>
      </c>
      <c r="B1026" t="str">
        <f>IFERROR(__xludf.DUMMYFUNCTION("""COMPUTED_VALUE"""),"Buckwheat (Uncooked)")</f>
        <v>Buckwheat (Uncooked)</v>
      </c>
      <c r="C1026" t="str">
        <f>IFERROR(__xludf.DUMMYFUNCTION("""COMPUTED_VALUE"""),"Grains and Pasta")</f>
        <v>Grains and Pasta</v>
      </c>
      <c r="D1026">
        <f>IFERROR(__xludf.DUMMYFUNCTION("""COMPUTED_VALUE"""),343.0)</f>
        <v>343</v>
      </c>
      <c r="E1026">
        <f>IFERROR(__xludf.DUMMYFUNCTION("""COMPUTED_VALUE"""),3.4)</f>
        <v>3.4</v>
      </c>
      <c r="F1026">
        <f>IFERROR(__xludf.DUMMYFUNCTION("""COMPUTED_VALUE"""),13.25)</f>
        <v>13.25</v>
      </c>
      <c r="G1026">
        <f>IFERROR(__xludf.DUMMYFUNCTION("""COMPUTED_VALUE"""),71.5)</f>
        <v>71.5</v>
      </c>
    </row>
    <row r="1027">
      <c r="A1027">
        <f>IFERROR(__xludf.DUMMYFUNCTION("""COMPUTED_VALUE"""),170287.0)</f>
        <v>170287</v>
      </c>
      <c r="B1027" t="str">
        <f>IFERROR(__xludf.DUMMYFUNCTION("""COMPUTED_VALUE"""),"Cooked Bulgur")</f>
        <v>Cooked Bulgur</v>
      </c>
      <c r="C1027" t="str">
        <f>IFERROR(__xludf.DUMMYFUNCTION("""COMPUTED_VALUE"""),"Grains and Pasta")</f>
        <v>Grains and Pasta</v>
      </c>
      <c r="D1027">
        <f>IFERROR(__xludf.DUMMYFUNCTION("""COMPUTED_VALUE"""),83.0)</f>
        <v>83</v>
      </c>
      <c r="E1027">
        <f>IFERROR(__xludf.DUMMYFUNCTION("""COMPUTED_VALUE"""),0.24)</f>
        <v>0.24</v>
      </c>
      <c r="F1027">
        <f>IFERROR(__xludf.DUMMYFUNCTION("""COMPUTED_VALUE"""),3.08)</f>
        <v>3.08</v>
      </c>
      <c r="G1027">
        <f>IFERROR(__xludf.DUMMYFUNCTION("""COMPUTED_VALUE"""),18.58)</f>
        <v>18.58</v>
      </c>
    </row>
    <row r="1028">
      <c r="A1028">
        <f>IFERROR(__xludf.DUMMYFUNCTION("""COMPUTED_VALUE"""),170288.0)</f>
        <v>170288</v>
      </c>
      <c r="B1028" t="str">
        <f>IFERROR(__xludf.DUMMYFUNCTION("""COMPUTED_VALUE"""),"Corn Grain Yellow")</f>
        <v>Corn Grain Yellow</v>
      </c>
      <c r="C1028" t="str">
        <f>IFERROR(__xludf.DUMMYFUNCTION("""COMPUTED_VALUE"""),"Grains and Pasta")</f>
        <v>Grains and Pasta</v>
      </c>
      <c r="D1028">
        <f>IFERROR(__xludf.DUMMYFUNCTION("""COMPUTED_VALUE"""),365.0)</f>
        <v>365</v>
      </c>
      <c r="E1028">
        <f>IFERROR(__xludf.DUMMYFUNCTION("""COMPUTED_VALUE"""),4.74)</f>
        <v>4.74</v>
      </c>
      <c r="F1028">
        <f>IFERROR(__xludf.DUMMYFUNCTION("""COMPUTED_VALUE"""),9.42)</f>
        <v>9.42</v>
      </c>
      <c r="G1028">
        <f>IFERROR(__xludf.DUMMYFUNCTION("""COMPUTED_VALUE"""),74.26)</f>
        <v>74.26</v>
      </c>
    </row>
    <row r="1029">
      <c r="A1029">
        <f>IFERROR(__xludf.DUMMYFUNCTION("""COMPUTED_VALUE"""),170289.0)</f>
        <v>170289</v>
      </c>
      <c r="B1029" t="str">
        <f>IFERROR(__xludf.DUMMYFUNCTION("""COMPUTED_VALUE"""),"Corn Bran Crude")</f>
        <v>Corn Bran Crude</v>
      </c>
      <c r="C1029" t="str">
        <f>IFERROR(__xludf.DUMMYFUNCTION("""COMPUTED_VALUE"""),"Grains and Pasta")</f>
        <v>Grains and Pasta</v>
      </c>
      <c r="D1029">
        <f>IFERROR(__xludf.DUMMYFUNCTION("""COMPUTED_VALUE"""),224.0)</f>
        <v>224</v>
      </c>
      <c r="E1029">
        <f>IFERROR(__xludf.DUMMYFUNCTION("""COMPUTED_VALUE"""),0.92)</f>
        <v>0.92</v>
      </c>
      <c r="F1029">
        <f>IFERROR(__xludf.DUMMYFUNCTION("""COMPUTED_VALUE"""),8.36)</f>
        <v>8.36</v>
      </c>
      <c r="G1029">
        <f>IFERROR(__xludf.DUMMYFUNCTION("""COMPUTED_VALUE"""),85.64)</f>
        <v>85.64</v>
      </c>
    </row>
    <row r="1030">
      <c r="A1030">
        <f>IFERROR(__xludf.DUMMYFUNCTION("""COMPUTED_VALUE"""),170290.0)</f>
        <v>170290</v>
      </c>
      <c r="B1030" t="str">
        <f>IFERROR(__xludf.DUMMYFUNCTION("""COMPUTED_VALUE"""),"Corn Flour Whole-Grain Yellow")</f>
        <v>Corn Flour Whole-Grain Yellow</v>
      </c>
      <c r="C1030" t="str">
        <f>IFERROR(__xludf.DUMMYFUNCTION("""COMPUTED_VALUE"""),"Grains and Pasta")</f>
        <v>Grains and Pasta</v>
      </c>
      <c r="D1030">
        <f>IFERROR(__xludf.DUMMYFUNCTION("""COMPUTED_VALUE"""),361.0)</f>
        <v>361</v>
      </c>
      <c r="E1030">
        <f>IFERROR(__xludf.DUMMYFUNCTION("""COMPUTED_VALUE"""),3.86)</f>
        <v>3.86</v>
      </c>
      <c r="F1030">
        <f>IFERROR(__xludf.DUMMYFUNCTION("""COMPUTED_VALUE"""),6.93)</f>
        <v>6.93</v>
      </c>
      <c r="G1030">
        <f>IFERROR(__xludf.DUMMYFUNCTION("""COMPUTED_VALUE"""),76.85)</f>
        <v>76.85</v>
      </c>
    </row>
    <row r="1031">
      <c r="A1031">
        <f>IFERROR(__xludf.DUMMYFUNCTION("""COMPUTED_VALUE"""),170375.0)</f>
        <v>170375</v>
      </c>
      <c r="B1031" t="str">
        <f>IFERROR(__xludf.DUMMYFUNCTION("""COMPUTED_VALUE"""),"Beet Greens (Raw)")</f>
        <v>Beet Greens (Raw)</v>
      </c>
      <c r="C1031" t="str">
        <f>IFERROR(__xludf.DUMMYFUNCTION("""COMPUTED_VALUE"""),"Vegetables")</f>
        <v>Vegetables</v>
      </c>
      <c r="D1031">
        <f>IFERROR(__xludf.DUMMYFUNCTION("""COMPUTED_VALUE"""),22.0)</f>
        <v>22</v>
      </c>
      <c r="E1031">
        <f>IFERROR(__xludf.DUMMYFUNCTION("""COMPUTED_VALUE"""),0.13)</f>
        <v>0.13</v>
      </c>
      <c r="F1031">
        <f>IFERROR(__xludf.DUMMYFUNCTION("""COMPUTED_VALUE"""),2.2)</f>
        <v>2.2</v>
      </c>
      <c r="G1031">
        <f>IFERROR(__xludf.DUMMYFUNCTION("""COMPUTED_VALUE"""),4.33)</f>
        <v>4.33</v>
      </c>
    </row>
    <row r="1032">
      <c r="A1032">
        <f>IFERROR(__xludf.DUMMYFUNCTION("""COMPUTED_VALUE"""),170376.0)</f>
        <v>170376</v>
      </c>
      <c r="B1032" t="str">
        <f>IFERROR(__xludf.DUMMYFUNCTION("""COMPUTED_VALUE"""),"Cooked Beet Greens")</f>
        <v>Cooked Beet Greens</v>
      </c>
      <c r="C1032" t="str">
        <f>IFERROR(__xludf.DUMMYFUNCTION("""COMPUTED_VALUE"""),"Vegetables")</f>
        <v>Vegetables</v>
      </c>
      <c r="D1032">
        <f>IFERROR(__xludf.DUMMYFUNCTION("""COMPUTED_VALUE"""),27.0)</f>
        <v>27</v>
      </c>
      <c r="E1032">
        <f>IFERROR(__xludf.DUMMYFUNCTION("""COMPUTED_VALUE"""),0.2)</f>
        <v>0.2</v>
      </c>
      <c r="F1032">
        <f>IFERROR(__xludf.DUMMYFUNCTION("""COMPUTED_VALUE"""),2.57)</f>
        <v>2.57</v>
      </c>
      <c r="G1032">
        <f>IFERROR(__xludf.DUMMYFUNCTION("""COMPUTED_VALUE"""),5.46)</f>
        <v>5.46</v>
      </c>
    </row>
    <row r="1033">
      <c r="A1033">
        <f>IFERROR(__xludf.DUMMYFUNCTION("""COMPUTED_VALUE"""),170377.0)</f>
        <v>170377</v>
      </c>
      <c r="B1033" t="str">
        <f>IFERROR(__xludf.DUMMYFUNCTION("""COMPUTED_VALUE"""),"Broadbeans Immature Seeds Raw")</f>
        <v>Broadbeans Immature Seeds Raw</v>
      </c>
      <c r="C1033" t="str">
        <f>IFERROR(__xludf.DUMMYFUNCTION("""COMPUTED_VALUE"""),"Vegetables")</f>
        <v>Vegetables</v>
      </c>
      <c r="D1033">
        <f>IFERROR(__xludf.DUMMYFUNCTION("""COMPUTED_VALUE"""),72.0)</f>
        <v>72</v>
      </c>
      <c r="E1033">
        <f>IFERROR(__xludf.DUMMYFUNCTION("""COMPUTED_VALUE"""),0.6)</f>
        <v>0.6</v>
      </c>
      <c r="F1033">
        <f>IFERROR(__xludf.DUMMYFUNCTION("""COMPUTED_VALUE"""),5.6)</f>
        <v>5.6</v>
      </c>
      <c r="G1033">
        <f>IFERROR(__xludf.DUMMYFUNCTION("""COMPUTED_VALUE"""),11.7)</f>
        <v>11.7</v>
      </c>
    </row>
    <row r="1034">
      <c r="A1034">
        <f>IFERROR(__xludf.DUMMYFUNCTION("""COMPUTED_VALUE"""),170378.0)</f>
        <v>170378</v>
      </c>
      <c r="B1034" t="str">
        <f>IFERROR(__xludf.DUMMYFUNCTION("""COMPUTED_VALUE"""),"Cooked Broadbeans")</f>
        <v>Cooked Broadbeans</v>
      </c>
      <c r="C1034" t="str">
        <f>IFERROR(__xludf.DUMMYFUNCTION("""COMPUTED_VALUE"""),"Beans and Lentils")</f>
        <v>Beans and Lentils</v>
      </c>
      <c r="D1034">
        <f>IFERROR(__xludf.DUMMYFUNCTION("""COMPUTED_VALUE"""),62.0)</f>
        <v>62</v>
      </c>
      <c r="E1034">
        <f>IFERROR(__xludf.DUMMYFUNCTION("""COMPUTED_VALUE"""),0.5)</f>
        <v>0.5</v>
      </c>
      <c r="F1034">
        <f>IFERROR(__xludf.DUMMYFUNCTION("""COMPUTED_VALUE"""),4.8)</f>
        <v>4.8</v>
      </c>
      <c r="G1034">
        <f>IFERROR(__xludf.DUMMYFUNCTION("""COMPUTED_VALUE"""),10.1)</f>
        <v>10.1</v>
      </c>
    </row>
    <row r="1035">
      <c r="A1035">
        <f>IFERROR(__xludf.DUMMYFUNCTION("""COMPUTED_VALUE"""),170379.0)</f>
        <v>170379</v>
      </c>
      <c r="B1035" t="str">
        <f>IFERROR(__xludf.DUMMYFUNCTION("""COMPUTED_VALUE"""),"Broccoli")</f>
        <v>Broccoli</v>
      </c>
      <c r="C1035" t="str">
        <f>IFERROR(__xludf.DUMMYFUNCTION("""COMPUTED_VALUE"""),"Vegetables")</f>
        <v>Vegetables</v>
      </c>
      <c r="D1035">
        <f>IFERROR(__xludf.DUMMYFUNCTION("""COMPUTED_VALUE"""),34.0)</f>
        <v>34</v>
      </c>
      <c r="E1035">
        <f>IFERROR(__xludf.DUMMYFUNCTION("""COMPUTED_VALUE"""),0.37)</f>
        <v>0.37</v>
      </c>
      <c r="F1035">
        <f>IFERROR(__xludf.DUMMYFUNCTION("""COMPUTED_VALUE"""),2.82)</f>
        <v>2.82</v>
      </c>
      <c r="G1035">
        <f>IFERROR(__xludf.DUMMYFUNCTION("""COMPUTED_VALUE"""),6.64)</f>
        <v>6.64</v>
      </c>
    </row>
    <row r="1036">
      <c r="A1036">
        <f>IFERROR(__xludf.DUMMYFUNCTION("""COMPUTED_VALUE"""),170380.0)</f>
        <v>170380</v>
      </c>
      <c r="B1036" t="str">
        <f>IFERROR(__xludf.DUMMYFUNCTION("""COMPUTED_VALUE"""),"Broccoli Frozen Spears Cooked Boiled Drained Without Salt")</f>
        <v>Broccoli Frozen Spears Cooked Boiled Drained Without Salt</v>
      </c>
      <c r="C1036" t="str">
        <f>IFERROR(__xludf.DUMMYFUNCTION("""COMPUTED_VALUE"""),"Vegetables")</f>
        <v>Vegetables</v>
      </c>
      <c r="D1036">
        <f>IFERROR(__xludf.DUMMYFUNCTION("""COMPUTED_VALUE"""),28.0)</f>
        <v>28</v>
      </c>
      <c r="E1036">
        <f>IFERROR(__xludf.DUMMYFUNCTION("""COMPUTED_VALUE"""),0.11)</f>
        <v>0.11</v>
      </c>
      <c r="F1036">
        <f>IFERROR(__xludf.DUMMYFUNCTION("""COMPUTED_VALUE"""),3.1)</f>
        <v>3.1</v>
      </c>
      <c r="G1036">
        <f>IFERROR(__xludf.DUMMYFUNCTION("""COMPUTED_VALUE"""),5.36)</f>
        <v>5.36</v>
      </c>
    </row>
    <row r="1037">
      <c r="A1037">
        <f>IFERROR(__xludf.DUMMYFUNCTION("""COMPUTED_VALUE"""),170381.0)</f>
        <v>170381</v>
      </c>
      <c r="B1037" t="str">
        <f>IFERROR(__xludf.DUMMYFUNCTION("""COMPUTED_VALUE"""),"Broccoli Raab (Rapini)")</f>
        <v>Broccoli Raab (Rapini)</v>
      </c>
      <c r="C1037" t="str">
        <f>IFERROR(__xludf.DUMMYFUNCTION("""COMPUTED_VALUE"""),"Vegetables")</f>
        <v>Vegetables</v>
      </c>
      <c r="D1037">
        <f>IFERROR(__xludf.DUMMYFUNCTION("""COMPUTED_VALUE"""),22.0)</f>
        <v>22</v>
      </c>
      <c r="E1037">
        <f>IFERROR(__xludf.DUMMYFUNCTION("""COMPUTED_VALUE"""),0.49)</f>
        <v>0.49</v>
      </c>
      <c r="F1037">
        <f>IFERROR(__xludf.DUMMYFUNCTION("""COMPUTED_VALUE"""),3.17)</f>
        <v>3.17</v>
      </c>
      <c r="G1037">
        <f>IFERROR(__xludf.DUMMYFUNCTION("""COMPUTED_VALUE"""),2.85)</f>
        <v>2.85</v>
      </c>
    </row>
    <row r="1038">
      <c r="A1038">
        <f>IFERROR(__xludf.DUMMYFUNCTION("""COMPUTED_VALUE"""),170382.0)</f>
        <v>170382</v>
      </c>
      <c r="B1038" t="str">
        <f>IFERROR(__xludf.DUMMYFUNCTION("""COMPUTED_VALUE"""),"Cooked Broccoli Raab")</f>
        <v>Cooked Broccoli Raab</v>
      </c>
      <c r="C1038" t="str">
        <f>IFERROR(__xludf.DUMMYFUNCTION("""COMPUTED_VALUE"""),"Vegetables")</f>
        <v>Vegetables</v>
      </c>
      <c r="D1038">
        <f>IFERROR(__xludf.DUMMYFUNCTION("""COMPUTED_VALUE"""),25.0)</f>
        <v>25</v>
      </c>
      <c r="E1038">
        <f>IFERROR(__xludf.DUMMYFUNCTION("""COMPUTED_VALUE"""),0.52)</f>
        <v>0.52</v>
      </c>
      <c r="F1038">
        <f>IFERROR(__xludf.DUMMYFUNCTION("""COMPUTED_VALUE"""),3.83)</f>
        <v>3.83</v>
      </c>
      <c r="G1038">
        <f>IFERROR(__xludf.DUMMYFUNCTION("""COMPUTED_VALUE"""),3.12)</f>
        <v>3.12</v>
      </c>
    </row>
    <row r="1039">
      <c r="A1039">
        <f>IFERROR(__xludf.DUMMYFUNCTION("""COMPUTED_VALUE"""),170383.0)</f>
        <v>170383</v>
      </c>
      <c r="B1039" t="str">
        <f>IFERROR(__xludf.DUMMYFUNCTION("""COMPUTED_VALUE"""),"Brussels Sprouts (Raw)")</f>
        <v>Brussels Sprouts (Raw)</v>
      </c>
      <c r="C1039" t="str">
        <f>IFERROR(__xludf.DUMMYFUNCTION("""COMPUTED_VALUE"""),"Vegetables")</f>
        <v>Vegetables</v>
      </c>
      <c r="D1039">
        <f>IFERROR(__xludf.DUMMYFUNCTION("""COMPUTED_VALUE"""),43.0)</f>
        <v>43</v>
      </c>
      <c r="E1039">
        <f>IFERROR(__xludf.DUMMYFUNCTION("""COMPUTED_VALUE"""),0.3)</f>
        <v>0.3</v>
      </c>
      <c r="F1039">
        <f>IFERROR(__xludf.DUMMYFUNCTION("""COMPUTED_VALUE"""),3.38)</f>
        <v>3.38</v>
      </c>
      <c r="G1039">
        <f>IFERROR(__xludf.DUMMYFUNCTION("""COMPUTED_VALUE"""),8.95)</f>
        <v>8.95</v>
      </c>
    </row>
    <row r="1040">
      <c r="A1040">
        <f>IFERROR(__xludf.DUMMYFUNCTION("""COMPUTED_VALUE"""),170384.0)</f>
        <v>170384</v>
      </c>
      <c r="B1040" t="str">
        <f>IFERROR(__xludf.DUMMYFUNCTION("""COMPUTED_VALUE"""),"Cooked Burdock Root")</f>
        <v>Cooked Burdock Root</v>
      </c>
      <c r="C1040" t="str">
        <f>IFERROR(__xludf.DUMMYFUNCTION("""COMPUTED_VALUE"""),"Vegetables")</f>
        <v>Vegetables</v>
      </c>
      <c r="D1040">
        <f>IFERROR(__xludf.DUMMYFUNCTION("""COMPUTED_VALUE"""),88.0)</f>
        <v>88</v>
      </c>
      <c r="E1040">
        <f>IFERROR(__xludf.DUMMYFUNCTION("""COMPUTED_VALUE"""),0.14)</f>
        <v>0.14</v>
      </c>
      <c r="F1040">
        <f>IFERROR(__xludf.DUMMYFUNCTION("""COMPUTED_VALUE"""),2.09)</f>
        <v>2.09</v>
      </c>
      <c r="G1040">
        <f>IFERROR(__xludf.DUMMYFUNCTION("""COMPUTED_VALUE"""),21.15)</f>
        <v>21.15</v>
      </c>
    </row>
    <row r="1041">
      <c r="A1041">
        <f>IFERROR(__xludf.DUMMYFUNCTION("""COMPUTED_VALUE"""),170385.0)</f>
        <v>170385</v>
      </c>
      <c r="B1041" t="str">
        <f>IFERROR(__xludf.DUMMYFUNCTION("""COMPUTED_VALUE"""),"Butterbur (Fuki) Raw")</f>
        <v>Butterbur (Fuki) Raw</v>
      </c>
      <c r="C1041" t="str">
        <f>IFERROR(__xludf.DUMMYFUNCTION("""COMPUTED_VALUE"""),"Vegetables")</f>
        <v>Vegetables</v>
      </c>
      <c r="D1041">
        <f>IFERROR(__xludf.DUMMYFUNCTION("""COMPUTED_VALUE"""),14.0)</f>
        <v>14</v>
      </c>
      <c r="E1041">
        <f>IFERROR(__xludf.DUMMYFUNCTION("""COMPUTED_VALUE"""),0.04)</f>
        <v>0.04</v>
      </c>
      <c r="F1041">
        <f>IFERROR(__xludf.DUMMYFUNCTION("""COMPUTED_VALUE"""),0.39)</f>
        <v>0.39</v>
      </c>
      <c r="G1041">
        <f>IFERROR(__xludf.DUMMYFUNCTION("""COMPUTED_VALUE"""),3.61)</f>
        <v>3.61</v>
      </c>
    </row>
    <row r="1042">
      <c r="A1042">
        <f>IFERROR(__xludf.DUMMYFUNCTION("""COMPUTED_VALUE"""),170386.0)</f>
        <v>170386</v>
      </c>
      <c r="B1042" t="str">
        <f>IFERROR(__xludf.DUMMYFUNCTION("""COMPUTED_VALUE"""),"Butterbur Cooked Boiled Drained Without Salt")</f>
        <v>Butterbur Cooked Boiled Drained Without Salt</v>
      </c>
      <c r="C1042" t="str">
        <f>IFERROR(__xludf.DUMMYFUNCTION("""COMPUTED_VALUE"""),"Vegetables")</f>
        <v>Vegetables</v>
      </c>
      <c r="D1042">
        <f>IFERROR(__xludf.DUMMYFUNCTION("""COMPUTED_VALUE"""),8.0)</f>
        <v>8</v>
      </c>
      <c r="E1042">
        <f>IFERROR(__xludf.DUMMYFUNCTION("""COMPUTED_VALUE"""),0.02)</f>
        <v>0.02</v>
      </c>
      <c r="F1042">
        <f>IFERROR(__xludf.DUMMYFUNCTION("""COMPUTED_VALUE"""),0.23)</f>
        <v>0.23</v>
      </c>
      <c r="G1042">
        <f>IFERROR(__xludf.DUMMYFUNCTION("""COMPUTED_VALUE"""),2.16)</f>
        <v>2.16</v>
      </c>
    </row>
    <row r="1043">
      <c r="A1043">
        <f>IFERROR(__xludf.DUMMYFUNCTION("""COMPUTED_VALUE"""),170387.0)</f>
        <v>170387</v>
      </c>
      <c r="B1043" t="str">
        <f>IFERROR(__xludf.DUMMYFUNCTION("""COMPUTED_VALUE"""),"Butterbur Canned")</f>
        <v>Butterbur Canned</v>
      </c>
      <c r="C1043" t="str">
        <f>IFERROR(__xludf.DUMMYFUNCTION("""COMPUTED_VALUE"""),"Vegetables")</f>
        <v>Vegetables</v>
      </c>
      <c r="D1043">
        <f>IFERROR(__xludf.DUMMYFUNCTION("""COMPUTED_VALUE"""),3.0)</f>
        <v>3</v>
      </c>
      <c r="E1043">
        <f>IFERROR(__xludf.DUMMYFUNCTION("""COMPUTED_VALUE"""),0.13)</f>
        <v>0.13</v>
      </c>
      <c r="F1043">
        <f>IFERROR(__xludf.DUMMYFUNCTION("""COMPUTED_VALUE"""),0.11)</f>
        <v>0.11</v>
      </c>
      <c r="G1043">
        <f>IFERROR(__xludf.DUMMYFUNCTION("""COMPUTED_VALUE"""),0.38)</f>
        <v>0.38</v>
      </c>
    </row>
    <row r="1044">
      <c r="A1044">
        <f>IFERROR(__xludf.DUMMYFUNCTION("""COMPUTED_VALUE"""),170388.0)</f>
        <v>170388</v>
      </c>
      <c r="B1044" t="str">
        <f>IFERROR(__xludf.DUMMYFUNCTION("""COMPUTED_VALUE"""),"Savoy Cabbage")</f>
        <v>Savoy Cabbage</v>
      </c>
      <c r="C1044" t="str">
        <f>IFERROR(__xludf.DUMMYFUNCTION("""COMPUTED_VALUE"""),"Vegetables")</f>
        <v>Vegetables</v>
      </c>
      <c r="D1044">
        <f>IFERROR(__xludf.DUMMYFUNCTION("""COMPUTED_VALUE"""),27.0)</f>
        <v>27</v>
      </c>
      <c r="E1044">
        <f>IFERROR(__xludf.DUMMYFUNCTION("""COMPUTED_VALUE"""),0.1)</f>
        <v>0.1</v>
      </c>
      <c r="F1044">
        <f>IFERROR(__xludf.DUMMYFUNCTION("""COMPUTED_VALUE"""),2.0)</f>
        <v>2</v>
      </c>
      <c r="G1044">
        <f>IFERROR(__xludf.DUMMYFUNCTION("""COMPUTED_VALUE"""),6.1)</f>
        <v>6.1</v>
      </c>
    </row>
    <row r="1045">
      <c r="A1045">
        <f>IFERROR(__xludf.DUMMYFUNCTION("""COMPUTED_VALUE"""),170389.0)</f>
        <v>170389</v>
      </c>
      <c r="B1045" t="str">
        <f>IFERROR(__xludf.DUMMYFUNCTION("""COMPUTED_VALUE"""),"Cooked Savoy Cabbage")</f>
        <v>Cooked Savoy Cabbage</v>
      </c>
      <c r="C1045" t="str">
        <f>IFERROR(__xludf.DUMMYFUNCTION("""COMPUTED_VALUE"""),"Vegetables")</f>
        <v>Vegetables</v>
      </c>
      <c r="D1045">
        <f>IFERROR(__xludf.DUMMYFUNCTION("""COMPUTED_VALUE"""),24.0)</f>
        <v>24</v>
      </c>
      <c r="E1045">
        <f>IFERROR(__xludf.DUMMYFUNCTION("""COMPUTED_VALUE"""),0.09)</f>
        <v>0.09</v>
      </c>
      <c r="F1045">
        <f>IFERROR(__xludf.DUMMYFUNCTION("""COMPUTED_VALUE"""),1.8)</f>
        <v>1.8</v>
      </c>
      <c r="G1045">
        <f>IFERROR(__xludf.DUMMYFUNCTION("""COMPUTED_VALUE"""),5.41)</f>
        <v>5.41</v>
      </c>
    </row>
    <row r="1046">
      <c r="A1046">
        <f>IFERROR(__xludf.DUMMYFUNCTION("""COMPUTED_VALUE"""),170390.0)</f>
        <v>170390</v>
      </c>
      <c r="B1046" t="str">
        <f>IFERROR(__xludf.DUMMYFUNCTION("""COMPUTED_VALUE"""),"Bok Choy")</f>
        <v>Bok Choy</v>
      </c>
      <c r="C1046" t="str">
        <f>IFERROR(__xludf.DUMMYFUNCTION("""COMPUTED_VALUE"""),"Vegetables")</f>
        <v>Vegetables</v>
      </c>
      <c r="D1046">
        <f>IFERROR(__xludf.DUMMYFUNCTION("""COMPUTED_VALUE"""),13.0)</f>
        <v>13</v>
      </c>
      <c r="E1046">
        <f>IFERROR(__xludf.DUMMYFUNCTION("""COMPUTED_VALUE"""),0.2)</f>
        <v>0.2</v>
      </c>
      <c r="F1046">
        <f>IFERROR(__xludf.DUMMYFUNCTION("""COMPUTED_VALUE"""),1.5)</f>
        <v>1.5</v>
      </c>
      <c r="G1046">
        <f>IFERROR(__xludf.DUMMYFUNCTION("""COMPUTED_VALUE"""),2.18)</f>
        <v>2.18</v>
      </c>
    </row>
    <row r="1047">
      <c r="A1047">
        <f>IFERROR(__xludf.DUMMYFUNCTION("""COMPUTED_VALUE"""),170391.0)</f>
        <v>170391</v>
      </c>
      <c r="B1047" t="str">
        <f>IFERROR(__xludf.DUMMYFUNCTION("""COMPUTED_VALUE"""),"Pak-Choi (Bok Choy) (Cooked)")</f>
        <v>Pak-Choi (Bok Choy) (Cooked)</v>
      </c>
      <c r="C1047" t="str">
        <f>IFERROR(__xludf.DUMMYFUNCTION("""COMPUTED_VALUE"""),"Vegetables")</f>
        <v>Vegetables</v>
      </c>
      <c r="D1047">
        <f>IFERROR(__xludf.DUMMYFUNCTION("""COMPUTED_VALUE"""),12.0)</f>
        <v>12</v>
      </c>
      <c r="E1047">
        <f>IFERROR(__xludf.DUMMYFUNCTION("""COMPUTED_VALUE"""),0.16)</f>
        <v>0.16</v>
      </c>
      <c r="F1047">
        <f>IFERROR(__xludf.DUMMYFUNCTION("""COMPUTED_VALUE"""),1.56)</f>
        <v>1.56</v>
      </c>
      <c r="G1047">
        <f>IFERROR(__xludf.DUMMYFUNCTION("""COMPUTED_VALUE"""),1.78)</f>
        <v>1.78</v>
      </c>
    </row>
    <row r="1048">
      <c r="A1048">
        <f>IFERROR(__xludf.DUMMYFUNCTION("""COMPUTED_VALUE"""),170392.0)</f>
        <v>170392</v>
      </c>
      <c r="B1048" t="str">
        <f>IFERROR(__xludf.DUMMYFUNCTION("""COMPUTED_VALUE"""),"Kimchi")</f>
        <v>Kimchi</v>
      </c>
      <c r="C1048" t="str">
        <f>IFERROR(__xludf.DUMMYFUNCTION("""COMPUTED_VALUE"""),"Vegetables")</f>
        <v>Vegetables</v>
      </c>
      <c r="D1048">
        <f>IFERROR(__xludf.DUMMYFUNCTION("""COMPUTED_VALUE"""),15.0)</f>
        <v>15</v>
      </c>
      <c r="E1048">
        <f>IFERROR(__xludf.DUMMYFUNCTION("""COMPUTED_VALUE"""),0.5)</f>
        <v>0.5</v>
      </c>
      <c r="F1048">
        <f>IFERROR(__xludf.DUMMYFUNCTION("""COMPUTED_VALUE"""),1.1)</f>
        <v>1.1</v>
      </c>
      <c r="G1048">
        <f>IFERROR(__xludf.DUMMYFUNCTION("""COMPUTED_VALUE"""),2.4)</f>
        <v>2.4</v>
      </c>
    </row>
    <row r="1049">
      <c r="A1049">
        <f>IFERROR(__xludf.DUMMYFUNCTION("""COMPUTED_VALUE"""),170393.0)</f>
        <v>170393</v>
      </c>
      <c r="B1049" t="str">
        <f>IFERROR(__xludf.DUMMYFUNCTION("""COMPUTED_VALUE"""),"Carrots")</f>
        <v>Carrots</v>
      </c>
      <c r="C1049" t="str">
        <f>IFERROR(__xludf.DUMMYFUNCTION("""COMPUTED_VALUE"""),"Vegetables")</f>
        <v>Vegetables</v>
      </c>
      <c r="D1049">
        <f>IFERROR(__xludf.DUMMYFUNCTION("""COMPUTED_VALUE"""),41.0)</f>
        <v>41</v>
      </c>
      <c r="E1049">
        <f>IFERROR(__xludf.DUMMYFUNCTION("""COMPUTED_VALUE"""),0.24)</f>
        <v>0.24</v>
      </c>
      <c r="F1049">
        <f>IFERROR(__xludf.DUMMYFUNCTION("""COMPUTED_VALUE"""),0.93)</f>
        <v>0.93</v>
      </c>
      <c r="G1049">
        <f>IFERROR(__xludf.DUMMYFUNCTION("""COMPUTED_VALUE"""),9.58)</f>
        <v>9.58</v>
      </c>
    </row>
    <row r="1050">
      <c r="A1050">
        <f>IFERROR(__xludf.DUMMYFUNCTION("""COMPUTED_VALUE"""),170394.0)</f>
        <v>170394</v>
      </c>
      <c r="B1050" t="str">
        <f>IFERROR(__xludf.DUMMYFUNCTION("""COMPUTED_VALUE"""),"Cooked Carrots")</f>
        <v>Cooked Carrots</v>
      </c>
      <c r="C1050" t="str">
        <f>IFERROR(__xludf.DUMMYFUNCTION("""COMPUTED_VALUE"""),"Vegetables")</f>
        <v>Vegetables</v>
      </c>
      <c r="D1050">
        <f>IFERROR(__xludf.DUMMYFUNCTION("""COMPUTED_VALUE"""),35.0)</f>
        <v>35</v>
      </c>
      <c r="E1050">
        <f>IFERROR(__xludf.DUMMYFUNCTION("""COMPUTED_VALUE"""),0.18)</f>
        <v>0.18</v>
      </c>
      <c r="F1050">
        <f>IFERROR(__xludf.DUMMYFUNCTION("""COMPUTED_VALUE"""),0.76)</f>
        <v>0.76</v>
      </c>
      <c r="G1050">
        <f>IFERROR(__xludf.DUMMYFUNCTION("""COMPUTED_VALUE"""),8.22)</f>
        <v>8.22</v>
      </c>
    </row>
    <row r="1051">
      <c r="A1051">
        <f>IFERROR(__xludf.DUMMYFUNCTION("""COMPUTED_VALUE"""),170395.0)</f>
        <v>170395</v>
      </c>
      <c r="B1051" t="str">
        <f>IFERROR(__xludf.DUMMYFUNCTION("""COMPUTED_VALUE"""),"Carrots Canned Regular Pack Solids And Liquids")</f>
        <v>Carrots Canned Regular Pack Solids And Liquids</v>
      </c>
      <c r="C1051" t="str">
        <f>IFERROR(__xludf.DUMMYFUNCTION("""COMPUTED_VALUE"""),"Vegetables")</f>
        <v>Vegetables</v>
      </c>
      <c r="D1051">
        <f>IFERROR(__xludf.DUMMYFUNCTION("""COMPUTED_VALUE"""),23.0)</f>
        <v>23</v>
      </c>
      <c r="E1051">
        <f>IFERROR(__xludf.DUMMYFUNCTION("""COMPUTED_VALUE"""),0.14)</f>
        <v>0.14</v>
      </c>
      <c r="F1051">
        <f>IFERROR(__xludf.DUMMYFUNCTION("""COMPUTED_VALUE"""),0.58)</f>
        <v>0.58</v>
      </c>
      <c r="G1051">
        <f>IFERROR(__xludf.DUMMYFUNCTION("""COMPUTED_VALUE"""),5.37)</f>
        <v>5.37</v>
      </c>
    </row>
    <row r="1052">
      <c r="A1052">
        <f>IFERROR(__xludf.DUMMYFUNCTION("""COMPUTED_VALUE"""),170396.0)</f>
        <v>170396</v>
      </c>
      <c r="B1052" t="str">
        <f>IFERROR(__xludf.DUMMYFUNCTION("""COMPUTED_VALUE"""),"Carrots Canned Regular Pack Drained Solids")</f>
        <v>Carrots Canned Regular Pack Drained Solids</v>
      </c>
      <c r="C1052" t="str">
        <f>IFERROR(__xludf.DUMMYFUNCTION("""COMPUTED_VALUE"""),"Vegetables")</f>
        <v>Vegetables</v>
      </c>
      <c r="D1052">
        <f>IFERROR(__xludf.DUMMYFUNCTION("""COMPUTED_VALUE"""),25.0)</f>
        <v>25</v>
      </c>
      <c r="E1052">
        <f>IFERROR(__xludf.DUMMYFUNCTION("""COMPUTED_VALUE"""),0.19)</f>
        <v>0.19</v>
      </c>
      <c r="F1052">
        <f>IFERROR(__xludf.DUMMYFUNCTION("""COMPUTED_VALUE"""),0.64)</f>
        <v>0.64</v>
      </c>
      <c r="G1052">
        <f>IFERROR(__xludf.DUMMYFUNCTION("""COMPUTED_VALUE"""),5.54)</f>
        <v>5.54</v>
      </c>
    </row>
    <row r="1053">
      <c r="A1053">
        <f>IFERROR(__xludf.DUMMYFUNCTION("""COMPUTED_VALUE"""),170397.0)</f>
        <v>170397</v>
      </c>
      <c r="B1053" t="str">
        <f>IFERROR(__xludf.DUMMYFUNCTION("""COMPUTED_VALUE"""),"Cooked Cauliflower")</f>
        <v>Cooked Cauliflower</v>
      </c>
      <c r="C1053" t="str">
        <f>IFERROR(__xludf.DUMMYFUNCTION("""COMPUTED_VALUE"""),"Vegetables")</f>
        <v>Vegetables</v>
      </c>
      <c r="D1053">
        <f>IFERROR(__xludf.DUMMYFUNCTION("""COMPUTED_VALUE"""),23.0)</f>
        <v>23</v>
      </c>
      <c r="E1053">
        <f>IFERROR(__xludf.DUMMYFUNCTION("""COMPUTED_VALUE"""),0.45)</f>
        <v>0.45</v>
      </c>
      <c r="F1053">
        <f>IFERROR(__xludf.DUMMYFUNCTION("""COMPUTED_VALUE"""),1.84)</f>
        <v>1.84</v>
      </c>
      <c r="G1053">
        <f>IFERROR(__xludf.DUMMYFUNCTION("""COMPUTED_VALUE"""),4.11)</f>
        <v>4.11</v>
      </c>
    </row>
    <row r="1054">
      <c r="A1054">
        <f>IFERROR(__xludf.DUMMYFUNCTION("""COMPUTED_VALUE"""),170398.0)</f>
        <v>170398</v>
      </c>
      <c r="B1054" t="str">
        <f>IFERROR(__xludf.DUMMYFUNCTION("""COMPUTED_VALUE"""),"Cauliflower Frozen Unprepared")</f>
        <v>Cauliflower Frozen Unprepared</v>
      </c>
      <c r="C1054" t="str">
        <f>IFERROR(__xludf.DUMMYFUNCTION("""COMPUTED_VALUE"""),"Vegetables")</f>
        <v>Vegetables</v>
      </c>
      <c r="D1054">
        <f>IFERROR(__xludf.DUMMYFUNCTION("""COMPUTED_VALUE"""),24.0)</f>
        <v>24</v>
      </c>
      <c r="E1054">
        <f>IFERROR(__xludf.DUMMYFUNCTION("""COMPUTED_VALUE"""),0.27)</f>
        <v>0.27</v>
      </c>
      <c r="F1054">
        <f>IFERROR(__xludf.DUMMYFUNCTION("""COMPUTED_VALUE"""),2.01)</f>
        <v>2.01</v>
      </c>
      <c r="G1054">
        <f>IFERROR(__xludf.DUMMYFUNCTION("""COMPUTED_VALUE"""),4.68)</f>
        <v>4.68</v>
      </c>
    </row>
    <row r="1055">
      <c r="A1055">
        <f>IFERROR(__xludf.DUMMYFUNCTION("""COMPUTED_VALUE"""),170399.0)</f>
        <v>170399</v>
      </c>
      <c r="B1055" t="str">
        <f>IFERROR(__xludf.DUMMYFUNCTION("""COMPUTED_VALUE"""),"Cauliflower Frozen Cooked Boiled Drained Without Salt")</f>
        <v>Cauliflower Frozen Cooked Boiled Drained Without Salt</v>
      </c>
      <c r="C1055" t="str">
        <f>IFERROR(__xludf.DUMMYFUNCTION("""COMPUTED_VALUE"""),"Vegetables")</f>
        <v>Vegetables</v>
      </c>
      <c r="D1055">
        <f>IFERROR(__xludf.DUMMYFUNCTION("""COMPUTED_VALUE"""),19.0)</f>
        <v>19</v>
      </c>
      <c r="E1055">
        <f>IFERROR(__xludf.DUMMYFUNCTION("""COMPUTED_VALUE"""),0.22)</f>
        <v>0.22</v>
      </c>
      <c r="F1055">
        <f>IFERROR(__xludf.DUMMYFUNCTION("""COMPUTED_VALUE"""),1.61)</f>
        <v>1.61</v>
      </c>
      <c r="G1055">
        <f>IFERROR(__xludf.DUMMYFUNCTION("""COMPUTED_VALUE"""),3.75)</f>
        <v>3.75</v>
      </c>
    </row>
    <row r="1056">
      <c r="A1056">
        <f>IFERROR(__xludf.DUMMYFUNCTION("""COMPUTED_VALUE"""),170400.0)</f>
        <v>170400</v>
      </c>
      <c r="B1056" t="str">
        <f>IFERROR(__xludf.DUMMYFUNCTION("""COMPUTED_VALUE"""),"Celeriac")</f>
        <v>Celeriac</v>
      </c>
      <c r="C1056" t="str">
        <f>IFERROR(__xludf.DUMMYFUNCTION("""COMPUTED_VALUE"""),"Vegetables")</f>
        <v>Vegetables</v>
      </c>
      <c r="D1056">
        <f>IFERROR(__xludf.DUMMYFUNCTION("""COMPUTED_VALUE"""),42.0)</f>
        <v>42</v>
      </c>
      <c r="E1056">
        <f>IFERROR(__xludf.DUMMYFUNCTION("""COMPUTED_VALUE"""),0.3)</f>
        <v>0.3</v>
      </c>
      <c r="F1056">
        <f>IFERROR(__xludf.DUMMYFUNCTION("""COMPUTED_VALUE"""),1.5)</f>
        <v>1.5</v>
      </c>
      <c r="G1056">
        <f>IFERROR(__xludf.DUMMYFUNCTION("""COMPUTED_VALUE"""),9.2)</f>
        <v>9.2</v>
      </c>
    </row>
    <row r="1057">
      <c r="A1057">
        <f>IFERROR(__xludf.DUMMYFUNCTION("""COMPUTED_VALUE"""),170401.0)</f>
        <v>170401</v>
      </c>
      <c r="B1057" t="str">
        <f>IFERROR(__xludf.DUMMYFUNCTION("""COMPUTED_VALUE"""),"Cooked Swiss Chard")</f>
        <v>Cooked Swiss Chard</v>
      </c>
      <c r="C1057" t="str">
        <f>IFERROR(__xludf.DUMMYFUNCTION("""COMPUTED_VALUE"""),"Vegetables")</f>
        <v>Vegetables</v>
      </c>
      <c r="D1057">
        <f>IFERROR(__xludf.DUMMYFUNCTION("""COMPUTED_VALUE"""),20.0)</f>
        <v>20</v>
      </c>
      <c r="E1057">
        <f>IFERROR(__xludf.DUMMYFUNCTION("""COMPUTED_VALUE"""),0.08)</f>
        <v>0.08</v>
      </c>
      <c r="F1057">
        <f>IFERROR(__xludf.DUMMYFUNCTION("""COMPUTED_VALUE"""),1.88)</f>
        <v>1.88</v>
      </c>
      <c r="G1057">
        <f>IFERROR(__xludf.DUMMYFUNCTION("""COMPUTED_VALUE"""),4.13)</f>
        <v>4.13</v>
      </c>
    </row>
    <row r="1058">
      <c r="A1058">
        <f>IFERROR(__xludf.DUMMYFUNCTION("""COMPUTED_VALUE"""),170402.0)</f>
        <v>170402</v>
      </c>
      <c r="B1058" t="str">
        <f>IFERROR(__xludf.DUMMYFUNCTION("""COMPUTED_VALUE"""),"Chayote Fruit Raw")</f>
        <v>Chayote Fruit Raw</v>
      </c>
      <c r="C1058" t="str">
        <f>IFERROR(__xludf.DUMMYFUNCTION("""COMPUTED_VALUE"""),"Vegetables")</f>
        <v>Vegetables</v>
      </c>
      <c r="D1058">
        <f>IFERROR(__xludf.DUMMYFUNCTION("""COMPUTED_VALUE"""),19.0)</f>
        <v>19</v>
      </c>
      <c r="E1058">
        <f>IFERROR(__xludf.DUMMYFUNCTION("""COMPUTED_VALUE"""),0.13)</f>
        <v>0.13</v>
      </c>
      <c r="F1058">
        <f>IFERROR(__xludf.DUMMYFUNCTION("""COMPUTED_VALUE"""),0.82)</f>
        <v>0.82</v>
      </c>
      <c r="G1058">
        <f>IFERROR(__xludf.DUMMYFUNCTION("""COMPUTED_VALUE"""),4.51)</f>
        <v>4.51</v>
      </c>
    </row>
    <row r="1059">
      <c r="A1059">
        <f>IFERROR(__xludf.DUMMYFUNCTION("""COMPUTED_VALUE"""),170403.0)</f>
        <v>170403</v>
      </c>
      <c r="B1059" t="str">
        <f>IFERROR(__xludf.DUMMYFUNCTION("""COMPUTED_VALUE"""),"Cooked Chayote")</f>
        <v>Cooked Chayote</v>
      </c>
      <c r="C1059" t="str">
        <f>IFERROR(__xludf.DUMMYFUNCTION("""COMPUTED_VALUE"""),"Vegetables")</f>
        <v>Vegetables</v>
      </c>
      <c r="D1059">
        <f>IFERROR(__xludf.DUMMYFUNCTION("""COMPUTED_VALUE"""),24.0)</f>
        <v>24</v>
      </c>
      <c r="E1059">
        <f>IFERROR(__xludf.DUMMYFUNCTION("""COMPUTED_VALUE"""),0.48)</f>
        <v>0.48</v>
      </c>
      <c r="F1059">
        <f>IFERROR(__xludf.DUMMYFUNCTION("""COMPUTED_VALUE"""),0.62)</f>
        <v>0.62</v>
      </c>
      <c r="G1059">
        <f>IFERROR(__xludf.DUMMYFUNCTION("""COMPUTED_VALUE"""),5.09)</f>
        <v>5.09</v>
      </c>
    </row>
    <row r="1060">
      <c r="A1060">
        <f>IFERROR(__xludf.DUMMYFUNCTION("""COMPUTED_VALUE"""),170404.0)</f>
        <v>170404</v>
      </c>
      <c r="B1060" t="str">
        <f>IFERROR(__xludf.DUMMYFUNCTION("""COMPUTED_VALUE"""),"Witloof Chicory")</f>
        <v>Witloof Chicory</v>
      </c>
      <c r="C1060" t="str">
        <f>IFERROR(__xludf.DUMMYFUNCTION("""COMPUTED_VALUE"""),"Vegetables")</f>
        <v>Vegetables</v>
      </c>
      <c r="D1060">
        <f>IFERROR(__xludf.DUMMYFUNCTION("""COMPUTED_VALUE"""),17.0)</f>
        <v>17</v>
      </c>
      <c r="E1060">
        <f>IFERROR(__xludf.DUMMYFUNCTION("""COMPUTED_VALUE"""),0.1)</f>
        <v>0.1</v>
      </c>
      <c r="F1060">
        <f>IFERROR(__xludf.DUMMYFUNCTION("""COMPUTED_VALUE"""),0.9)</f>
        <v>0.9</v>
      </c>
      <c r="G1060">
        <f>IFERROR(__xludf.DUMMYFUNCTION("""COMPUTED_VALUE"""),4.0)</f>
        <v>4</v>
      </c>
    </row>
    <row r="1061">
      <c r="A1061">
        <f>IFERROR(__xludf.DUMMYFUNCTION("""COMPUTED_VALUE"""),170405.0)</f>
        <v>170405</v>
      </c>
      <c r="B1061" t="str">
        <f>IFERROR(__xludf.DUMMYFUNCTION("""COMPUTED_VALUE"""),"Cooked Chrysanthemum")</f>
        <v>Cooked Chrysanthemum</v>
      </c>
      <c r="C1061" t="str">
        <f>IFERROR(__xludf.DUMMYFUNCTION("""COMPUTED_VALUE"""),"Vegetables")</f>
        <v>Vegetables</v>
      </c>
      <c r="D1061">
        <f>IFERROR(__xludf.DUMMYFUNCTION("""COMPUTED_VALUE"""),20.0)</f>
        <v>20</v>
      </c>
      <c r="E1061">
        <f>IFERROR(__xludf.DUMMYFUNCTION("""COMPUTED_VALUE"""),0.09)</f>
        <v>0.09</v>
      </c>
      <c r="F1061">
        <f>IFERROR(__xludf.DUMMYFUNCTION("""COMPUTED_VALUE"""),1.64)</f>
        <v>1.64</v>
      </c>
      <c r="G1061">
        <f>IFERROR(__xludf.DUMMYFUNCTION("""COMPUTED_VALUE"""),4.31)</f>
        <v>4.31</v>
      </c>
    </row>
    <row r="1062">
      <c r="A1062">
        <f>IFERROR(__xludf.DUMMYFUNCTION("""COMPUTED_VALUE"""),170406.0)</f>
        <v>170406</v>
      </c>
      <c r="B1062" t="str">
        <f>IFERROR(__xludf.DUMMYFUNCTION("""COMPUTED_VALUE"""),"Collards")</f>
        <v>Collards</v>
      </c>
      <c r="C1062" t="str">
        <f>IFERROR(__xludf.DUMMYFUNCTION("""COMPUTED_VALUE"""),"Vegetables")</f>
        <v>Vegetables</v>
      </c>
      <c r="D1062">
        <f>IFERROR(__xludf.DUMMYFUNCTION("""COMPUTED_VALUE"""),32.0)</f>
        <v>32</v>
      </c>
      <c r="E1062">
        <f>IFERROR(__xludf.DUMMYFUNCTION("""COMPUTED_VALUE"""),0.61)</f>
        <v>0.61</v>
      </c>
      <c r="F1062">
        <f>IFERROR(__xludf.DUMMYFUNCTION("""COMPUTED_VALUE"""),3.02)</f>
        <v>3.02</v>
      </c>
      <c r="G1062">
        <f>IFERROR(__xludf.DUMMYFUNCTION("""COMPUTED_VALUE"""),5.42)</f>
        <v>5.42</v>
      </c>
    </row>
    <row r="1063">
      <c r="A1063">
        <f>IFERROR(__xludf.DUMMYFUNCTION("""COMPUTED_VALUE"""),170407.0)</f>
        <v>170407</v>
      </c>
      <c r="B1063" t="str">
        <f>IFERROR(__xludf.DUMMYFUNCTION("""COMPUTED_VALUE"""),"Cooked Collards")</f>
        <v>Cooked Collards</v>
      </c>
      <c r="C1063" t="str">
        <f>IFERROR(__xludf.DUMMYFUNCTION("""COMPUTED_VALUE"""),"Vegetables")</f>
        <v>Vegetables</v>
      </c>
      <c r="D1063">
        <f>IFERROR(__xludf.DUMMYFUNCTION("""COMPUTED_VALUE"""),33.0)</f>
        <v>33</v>
      </c>
      <c r="E1063">
        <f>IFERROR(__xludf.DUMMYFUNCTION("""COMPUTED_VALUE"""),0.72)</f>
        <v>0.72</v>
      </c>
      <c r="F1063">
        <f>IFERROR(__xludf.DUMMYFUNCTION("""COMPUTED_VALUE"""),2.71)</f>
        <v>2.71</v>
      </c>
      <c r="G1063">
        <f>IFERROR(__xludf.DUMMYFUNCTION("""COMPUTED_VALUE"""),5.65)</f>
        <v>5.65</v>
      </c>
    </row>
    <row r="1064">
      <c r="A1064">
        <f>IFERROR(__xludf.DUMMYFUNCTION("""COMPUTED_VALUE"""),170408.0)</f>
        <v>170408</v>
      </c>
      <c r="B1064" t="str">
        <f>IFERROR(__xludf.DUMMYFUNCTION("""COMPUTED_VALUE"""),"Collards Frozen Chopped Unprepared")</f>
        <v>Collards Frozen Chopped Unprepared</v>
      </c>
      <c r="C1064" t="str">
        <f>IFERROR(__xludf.DUMMYFUNCTION("""COMPUTED_VALUE"""),"Vegetables")</f>
        <v>Vegetables</v>
      </c>
      <c r="D1064">
        <f>IFERROR(__xludf.DUMMYFUNCTION("""COMPUTED_VALUE"""),33.0)</f>
        <v>33</v>
      </c>
      <c r="E1064">
        <f>IFERROR(__xludf.DUMMYFUNCTION("""COMPUTED_VALUE"""),0.37)</f>
        <v>0.37</v>
      </c>
      <c r="F1064">
        <f>IFERROR(__xludf.DUMMYFUNCTION("""COMPUTED_VALUE"""),2.69)</f>
        <v>2.69</v>
      </c>
      <c r="G1064">
        <f>IFERROR(__xludf.DUMMYFUNCTION("""COMPUTED_VALUE"""),6.46)</f>
        <v>6.46</v>
      </c>
    </row>
    <row r="1065">
      <c r="A1065">
        <f>IFERROR(__xludf.DUMMYFUNCTION("""COMPUTED_VALUE"""),170409.0)</f>
        <v>170409</v>
      </c>
      <c r="B1065" t="str">
        <f>IFERROR(__xludf.DUMMYFUNCTION("""COMPUTED_VALUE"""),"Corn Sweet Yellow Canned Brine Pack Regular Pack Solids And Liquids")</f>
        <v>Corn Sweet Yellow Canned Brine Pack Regular Pack Solids And Liquids</v>
      </c>
      <c r="C1065" t="str">
        <f>IFERROR(__xludf.DUMMYFUNCTION("""COMPUTED_VALUE"""),"Vegetables")</f>
        <v>Vegetables</v>
      </c>
      <c r="D1065">
        <f>IFERROR(__xludf.DUMMYFUNCTION("""COMPUTED_VALUE"""),61.0)</f>
        <v>61</v>
      </c>
      <c r="E1065">
        <f>IFERROR(__xludf.DUMMYFUNCTION("""COMPUTED_VALUE"""),0.77)</f>
        <v>0.77</v>
      </c>
      <c r="F1065">
        <f>IFERROR(__xludf.DUMMYFUNCTION("""COMPUTED_VALUE"""),1.95)</f>
        <v>1.95</v>
      </c>
      <c r="G1065">
        <f>IFERROR(__xludf.DUMMYFUNCTION("""COMPUTED_VALUE"""),13.86)</f>
        <v>13.86</v>
      </c>
    </row>
    <row r="1066">
      <c r="A1066">
        <f>IFERROR(__xludf.DUMMYFUNCTION("""COMPUTED_VALUE"""),170410.0)</f>
        <v>170410</v>
      </c>
      <c r="B1066" t="str">
        <f>IFERROR(__xludf.DUMMYFUNCTION("""COMPUTED_VALUE"""),"Onions Frozen Chopped Unprepared")</f>
        <v>Onions Frozen Chopped Unprepared</v>
      </c>
      <c r="C1066" t="str">
        <f>IFERROR(__xludf.DUMMYFUNCTION("""COMPUTED_VALUE"""),"Vegetables")</f>
        <v>Vegetables</v>
      </c>
      <c r="D1066">
        <f>IFERROR(__xludf.DUMMYFUNCTION("""COMPUTED_VALUE"""),29.0)</f>
        <v>29</v>
      </c>
      <c r="E1066">
        <f>IFERROR(__xludf.DUMMYFUNCTION("""COMPUTED_VALUE"""),0.1)</f>
        <v>0.1</v>
      </c>
      <c r="F1066">
        <f>IFERROR(__xludf.DUMMYFUNCTION("""COMPUTED_VALUE"""),0.79)</f>
        <v>0.79</v>
      </c>
      <c r="G1066">
        <f>IFERROR(__xludf.DUMMYFUNCTION("""COMPUTED_VALUE"""),6.82)</f>
        <v>6.82</v>
      </c>
    </row>
    <row r="1067">
      <c r="A1067">
        <f>IFERROR(__xludf.DUMMYFUNCTION("""COMPUTED_VALUE"""),170411.0)</f>
        <v>170411</v>
      </c>
      <c r="B1067" t="str">
        <f>IFERROR(__xludf.DUMMYFUNCTION("""COMPUTED_VALUE"""),"Onions Frozen Chopped Cooked Boiled Drained Without Salt")</f>
        <v>Onions Frozen Chopped Cooked Boiled Drained Without Salt</v>
      </c>
      <c r="C1067" t="str">
        <f>IFERROR(__xludf.DUMMYFUNCTION("""COMPUTED_VALUE"""),"Vegetables")</f>
        <v>Vegetables</v>
      </c>
      <c r="D1067">
        <f>IFERROR(__xludf.DUMMYFUNCTION("""COMPUTED_VALUE"""),28.0)</f>
        <v>28</v>
      </c>
      <c r="E1067">
        <f>IFERROR(__xludf.DUMMYFUNCTION("""COMPUTED_VALUE"""),0.1)</f>
        <v>0.1</v>
      </c>
      <c r="F1067">
        <f>IFERROR(__xludf.DUMMYFUNCTION("""COMPUTED_VALUE"""),0.77)</f>
        <v>0.77</v>
      </c>
      <c r="G1067">
        <f>IFERROR(__xludf.DUMMYFUNCTION("""COMPUTED_VALUE"""),6.59)</f>
        <v>6.59</v>
      </c>
    </row>
    <row r="1068">
      <c r="A1068">
        <f>IFERROR(__xludf.DUMMYFUNCTION("""COMPUTED_VALUE"""),170412.0)</f>
        <v>170412</v>
      </c>
      <c r="B1068" t="str">
        <f>IFERROR(__xludf.DUMMYFUNCTION("""COMPUTED_VALUE"""),"Onions Frozen Whole Unprepared")</f>
        <v>Onions Frozen Whole Unprepared</v>
      </c>
      <c r="C1068" t="str">
        <f>IFERROR(__xludf.DUMMYFUNCTION("""COMPUTED_VALUE"""),"Vegetables")</f>
        <v>Vegetables</v>
      </c>
      <c r="D1068">
        <f>IFERROR(__xludf.DUMMYFUNCTION("""COMPUTED_VALUE"""),35.0)</f>
        <v>35</v>
      </c>
      <c r="E1068">
        <f>IFERROR(__xludf.DUMMYFUNCTION("""COMPUTED_VALUE"""),0.06)</f>
        <v>0.06</v>
      </c>
      <c r="F1068">
        <f>IFERROR(__xludf.DUMMYFUNCTION("""COMPUTED_VALUE"""),0.89)</f>
        <v>0.89</v>
      </c>
      <c r="G1068">
        <f>IFERROR(__xludf.DUMMYFUNCTION("""COMPUTED_VALUE"""),8.45)</f>
        <v>8.45</v>
      </c>
    </row>
    <row r="1069">
      <c r="A1069">
        <f>IFERROR(__xludf.DUMMYFUNCTION("""COMPUTED_VALUE"""),170413.0)</f>
        <v>170413</v>
      </c>
      <c r="B1069" t="str">
        <f>IFERROR(__xludf.DUMMYFUNCTION("""COMPUTED_VALUE"""),"Onions Frozen Whole Cooked Boiled Drained Without Salt")</f>
        <v>Onions Frozen Whole Cooked Boiled Drained Without Salt</v>
      </c>
      <c r="C1069" t="str">
        <f>IFERROR(__xludf.DUMMYFUNCTION("""COMPUTED_VALUE"""),"Vegetables")</f>
        <v>Vegetables</v>
      </c>
      <c r="D1069">
        <f>IFERROR(__xludf.DUMMYFUNCTION("""COMPUTED_VALUE"""),28.0)</f>
        <v>28</v>
      </c>
      <c r="E1069">
        <f>IFERROR(__xludf.DUMMYFUNCTION("""COMPUTED_VALUE"""),0.05)</f>
        <v>0.05</v>
      </c>
      <c r="F1069">
        <f>IFERROR(__xludf.DUMMYFUNCTION("""COMPUTED_VALUE"""),0.71)</f>
        <v>0.71</v>
      </c>
      <c r="G1069">
        <f>IFERROR(__xludf.DUMMYFUNCTION("""COMPUTED_VALUE"""),6.7)</f>
        <v>6.7</v>
      </c>
    </row>
    <row r="1070">
      <c r="A1070">
        <f>IFERROR(__xludf.DUMMYFUNCTION("""COMPUTED_VALUE"""),170414.0)</f>
        <v>170414</v>
      </c>
      <c r="B1070" t="str">
        <f>IFERROR(__xludf.DUMMYFUNCTION("""COMPUTED_VALUE"""),"Onion Rings Breaded Par Fried Frozen Unprepared")</f>
        <v>Onion Rings Breaded Par Fried Frozen Unprepared</v>
      </c>
      <c r="C1070" t="str">
        <f>IFERROR(__xludf.DUMMYFUNCTION("""COMPUTED_VALUE"""),"Vegetables")</f>
        <v>Vegetables</v>
      </c>
      <c r="D1070">
        <f>IFERROR(__xludf.DUMMYFUNCTION("""COMPUTED_VALUE"""),258.0)</f>
        <v>258</v>
      </c>
      <c r="E1070">
        <f>IFERROR(__xludf.DUMMYFUNCTION("""COMPUTED_VALUE"""),14.1)</f>
        <v>14.1</v>
      </c>
      <c r="F1070">
        <f>IFERROR(__xludf.DUMMYFUNCTION("""COMPUTED_VALUE"""),3.15)</f>
        <v>3.15</v>
      </c>
      <c r="G1070">
        <f>IFERROR(__xludf.DUMMYFUNCTION("""COMPUTED_VALUE"""),30.53)</f>
        <v>30.53</v>
      </c>
    </row>
    <row r="1071">
      <c r="A1071">
        <f>IFERROR(__xludf.DUMMYFUNCTION("""COMPUTED_VALUE"""),170416.0)</f>
        <v>170416</v>
      </c>
      <c r="B1071" t="str">
        <f>IFERROR(__xludf.DUMMYFUNCTION("""COMPUTED_VALUE"""),"Parsley")</f>
        <v>Parsley</v>
      </c>
      <c r="C1071" t="str">
        <f>IFERROR(__xludf.DUMMYFUNCTION("""COMPUTED_VALUE"""),"Vegetables")</f>
        <v>Vegetables</v>
      </c>
      <c r="D1071">
        <f>IFERROR(__xludf.DUMMYFUNCTION("""COMPUTED_VALUE"""),36.0)</f>
        <v>36</v>
      </c>
      <c r="E1071">
        <f>IFERROR(__xludf.DUMMYFUNCTION("""COMPUTED_VALUE"""),0.79)</f>
        <v>0.79</v>
      </c>
      <c r="F1071">
        <f>IFERROR(__xludf.DUMMYFUNCTION("""COMPUTED_VALUE"""),2.97)</f>
        <v>2.97</v>
      </c>
      <c r="G1071">
        <f>IFERROR(__xludf.DUMMYFUNCTION("""COMPUTED_VALUE"""),6.33)</f>
        <v>6.33</v>
      </c>
    </row>
    <row r="1072">
      <c r="A1072">
        <f>IFERROR(__xludf.DUMMYFUNCTION("""COMPUTED_VALUE"""),170417.0)</f>
        <v>170417</v>
      </c>
      <c r="B1072" t="str">
        <f>IFERROR(__xludf.DUMMYFUNCTION("""COMPUTED_VALUE"""),"Parsnips")</f>
        <v>Parsnips</v>
      </c>
      <c r="C1072" t="str">
        <f>IFERROR(__xludf.DUMMYFUNCTION("""COMPUTED_VALUE"""),"Vegetables")</f>
        <v>Vegetables</v>
      </c>
      <c r="D1072">
        <f>IFERROR(__xludf.DUMMYFUNCTION("""COMPUTED_VALUE"""),75.0)</f>
        <v>75</v>
      </c>
      <c r="E1072">
        <f>IFERROR(__xludf.DUMMYFUNCTION("""COMPUTED_VALUE"""),0.3)</f>
        <v>0.3</v>
      </c>
      <c r="F1072">
        <f>IFERROR(__xludf.DUMMYFUNCTION("""COMPUTED_VALUE"""),1.2)</f>
        <v>1.2</v>
      </c>
      <c r="G1072">
        <f>IFERROR(__xludf.DUMMYFUNCTION("""COMPUTED_VALUE"""),17.99)</f>
        <v>17.99</v>
      </c>
    </row>
    <row r="1073">
      <c r="A1073">
        <f>IFERROR(__xludf.DUMMYFUNCTION("""COMPUTED_VALUE"""),170418.0)</f>
        <v>170418</v>
      </c>
      <c r="B1073" t="str">
        <f>IFERROR(__xludf.DUMMYFUNCTION("""COMPUTED_VALUE"""),"Cooked Podded Peas")</f>
        <v>Cooked Podded Peas</v>
      </c>
      <c r="C1073" t="str">
        <f>IFERROR(__xludf.DUMMYFUNCTION("""COMPUTED_VALUE"""),"Vegetables")</f>
        <v>Vegetables</v>
      </c>
      <c r="D1073">
        <f>IFERROR(__xludf.DUMMYFUNCTION("""COMPUTED_VALUE"""),52.0)</f>
        <v>52</v>
      </c>
      <c r="E1073">
        <f>IFERROR(__xludf.DUMMYFUNCTION("""COMPUTED_VALUE"""),0.38)</f>
        <v>0.38</v>
      </c>
      <c r="F1073">
        <f>IFERROR(__xludf.DUMMYFUNCTION("""COMPUTED_VALUE"""),3.5)</f>
        <v>3.5</v>
      </c>
      <c r="G1073">
        <f>IFERROR(__xludf.DUMMYFUNCTION("""COMPUTED_VALUE"""),9.02)</f>
        <v>9.02</v>
      </c>
    </row>
    <row r="1074">
      <c r="A1074">
        <f>IFERROR(__xludf.DUMMYFUNCTION("""COMPUTED_VALUE"""),170419.0)</f>
        <v>170419</v>
      </c>
      <c r="B1074" t="str">
        <f>IFERROR(__xludf.DUMMYFUNCTION("""COMPUTED_VALUE"""),"Peas")</f>
        <v>Peas</v>
      </c>
      <c r="C1074" t="str">
        <f>IFERROR(__xludf.DUMMYFUNCTION("""COMPUTED_VALUE"""),"Vegetables")</f>
        <v>Vegetables</v>
      </c>
      <c r="D1074">
        <f>IFERROR(__xludf.DUMMYFUNCTION("""COMPUTED_VALUE"""),81.0)</f>
        <v>81</v>
      </c>
      <c r="E1074">
        <f>IFERROR(__xludf.DUMMYFUNCTION("""COMPUTED_VALUE"""),0.4)</f>
        <v>0.4</v>
      </c>
      <c r="F1074">
        <f>IFERROR(__xludf.DUMMYFUNCTION("""COMPUTED_VALUE"""),5.42)</f>
        <v>5.42</v>
      </c>
      <c r="G1074">
        <f>IFERROR(__xludf.DUMMYFUNCTION("""COMPUTED_VALUE"""),14.45)</f>
        <v>14.45</v>
      </c>
    </row>
    <row r="1075">
      <c r="A1075">
        <f>IFERROR(__xludf.DUMMYFUNCTION("""COMPUTED_VALUE"""),170420.0)</f>
        <v>170420</v>
      </c>
      <c r="B1075" t="str">
        <f>IFERROR(__xludf.DUMMYFUNCTION("""COMPUTED_VALUE"""),"Cooked Green Peas")</f>
        <v>Cooked Green Peas</v>
      </c>
      <c r="C1075" t="str">
        <f>IFERROR(__xludf.DUMMYFUNCTION("""COMPUTED_VALUE"""),"Vegetables")</f>
        <v>Vegetables</v>
      </c>
      <c r="D1075">
        <f>IFERROR(__xludf.DUMMYFUNCTION("""COMPUTED_VALUE"""),84.0)</f>
        <v>84</v>
      </c>
      <c r="E1075">
        <f>IFERROR(__xludf.DUMMYFUNCTION("""COMPUTED_VALUE"""),0.22)</f>
        <v>0.22</v>
      </c>
      <c r="F1075">
        <f>IFERROR(__xludf.DUMMYFUNCTION("""COMPUTED_VALUE"""),5.36)</f>
        <v>5.36</v>
      </c>
      <c r="G1075">
        <f>IFERROR(__xludf.DUMMYFUNCTION("""COMPUTED_VALUE"""),15.63)</f>
        <v>15.63</v>
      </c>
    </row>
    <row r="1076">
      <c r="A1076">
        <f>IFERROR(__xludf.DUMMYFUNCTION("""COMPUTED_VALUE"""),170421.0)</f>
        <v>170421</v>
      </c>
      <c r="B1076" t="str">
        <f>IFERROR(__xludf.DUMMYFUNCTION("""COMPUTED_VALUE"""),"Peas Green Canned Regular Pack Solids And Liquids")</f>
        <v>Peas Green Canned Regular Pack Solids And Liquids</v>
      </c>
      <c r="C1076" t="str">
        <f>IFERROR(__xludf.DUMMYFUNCTION("""COMPUTED_VALUE"""),"Vegetables")</f>
        <v>Vegetables</v>
      </c>
      <c r="D1076">
        <f>IFERROR(__xludf.DUMMYFUNCTION("""COMPUTED_VALUE"""),58.0)</f>
        <v>58</v>
      </c>
      <c r="E1076">
        <f>IFERROR(__xludf.DUMMYFUNCTION("""COMPUTED_VALUE"""),0.48)</f>
        <v>0.48</v>
      </c>
      <c r="F1076">
        <f>IFERROR(__xludf.DUMMYFUNCTION("""COMPUTED_VALUE"""),3.01)</f>
        <v>3.01</v>
      </c>
      <c r="G1076">
        <f>IFERROR(__xludf.DUMMYFUNCTION("""COMPUTED_VALUE"""),10.6)</f>
        <v>10.6</v>
      </c>
    </row>
    <row r="1077">
      <c r="A1077">
        <f>IFERROR(__xludf.DUMMYFUNCTION("""COMPUTED_VALUE"""),170422.0)</f>
        <v>170422</v>
      </c>
      <c r="B1077" t="str">
        <f>IFERROR(__xludf.DUMMYFUNCTION("""COMPUTED_VALUE"""),"Pea Sprouts")</f>
        <v>Pea Sprouts</v>
      </c>
      <c r="C1077" t="str">
        <f>IFERROR(__xludf.DUMMYFUNCTION("""COMPUTED_VALUE"""),"Vegetables")</f>
        <v>Vegetables</v>
      </c>
      <c r="D1077">
        <f>IFERROR(__xludf.DUMMYFUNCTION("""COMPUTED_VALUE"""),124.0)</f>
        <v>124</v>
      </c>
      <c r="E1077">
        <f>IFERROR(__xludf.DUMMYFUNCTION("""COMPUTED_VALUE"""),0.68)</f>
        <v>0.68</v>
      </c>
      <c r="F1077">
        <f>IFERROR(__xludf.DUMMYFUNCTION("""COMPUTED_VALUE"""),8.8)</f>
        <v>8.8</v>
      </c>
      <c r="G1077">
        <f>IFERROR(__xludf.DUMMYFUNCTION("""COMPUTED_VALUE"""),27.11)</f>
        <v>27.11</v>
      </c>
    </row>
    <row r="1078">
      <c r="A1078">
        <f>IFERROR(__xludf.DUMMYFUNCTION("""COMPUTED_VALUE"""),170423.0)</f>
        <v>170423</v>
      </c>
      <c r="B1078" t="str">
        <f>IFERROR(__xludf.DUMMYFUNCTION("""COMPUTED_VALUE"""),"Peas Mature Seeds Sprouted Cooked Boiled Drained Without Salt")</f>
        <v>Peas Mature Seeds Sprouted Cooked Boiled Drained Without Salt</v>
      </c>
      <c r="C1078" t="str">
        <f>IFERROR(__xludf.DUMMYFUNCTION("""COMPUTED_VALUE"""),"Vegetables")</f>
        <v>Vegetables</v>
      </c>
      <c r="D1078">
        <f>IFERROR(__xludf.DUMMYFUNCTION("""COMPUTED_VALUE"""),98.0)</f>
        <v>98</v>
      </c>
      <c r="E1078">
        <f>IFERROR(__xludf.DUMMYFUNCTION("""COMPUTED_VALUE"""),0.51)</f>
        <v>0.51</v>
      </c>
      <c r="F1078">
        <f>IFERROR(__xludf.DUMMYFUNCTION("""COMPUTED_VALUE"""),7.05)</f>
        <v>7.05</v>
      </c>
      <c r="G1078">
        <f>IFERROR(__xludf.DUMMYFUNCTION("""COMPUTED_VALUE"""),17.08)</f>
        <v>17.08</v>
      </c>
    </row>
    <row r="1079">
      <c r="A1079">
        <f>IFERROR(__xludf.DUMMYFUNCTION("""COMPUTED_VALUE"""),170424.0)</f>
        <v>170424</v>
      </c>
      <c r="B1079" t="str">
        <f>IFERROR(__xludf.DUMMYFUNCTION("""COMPUTED_VALUE"""),"Peas And Carrots Canned Regular Pack Solids And Liquids")</f>
        <v>Peas And Carrots Canned Regular Pack Solids And Liquids</v>
      </c>
      <c r="C1079" t="str">
        <f>IFERROR(__xludf.DUMMYFUNCTION("""COMPUTED_VALUE"""),"Vegetables")</f>
        <v>Vegetables</v>
      </c>
      <c r="D1079">
        <f>IFERROR(__xludf.DUMMYFUNCTION("""COMPUTED_VALUE"""),38.0)</f>
        <v>38</v>
      </c>
      <c r="E1079">
        <f>IFERROR(__xludf.DUMMYFUNCTION("""COMPUTED_VALUE"""),0.27)</f>
        <v>0.27</v>
      </c>
      <c r="F1079">
        <f>IFERROR(__xludf.DUMMYFUNCTION("""COMPUTED_VALUE"""),2.17)</f>
        <v>2.17</v>
      </c>
      <c r="G1079">
        <f>IFERROR(__xludf.DUMMYFUNCTION("""COMPUTED_VALUE"""),8.48)</f>
        <v>8.48</v>
      </c>
    </row>
    <row r="1080">
      <c r="A1080">
        <f>IFERROR(__xludf.DUMMYFUNCTION("""COMPUTED_VALUE"""),170425.0)</f>
        <v>170425</v>
      </c>
      <c r="B1080" t="str">
        <f>IFERROR(__xludf.DUMMYFUNCTION("""COMPUTED_VALUE"""),"Peas And Carrots Frozen Unprepared")</f>
        <v>Peas And Carrots Frozen Unprepared</v>
      </c>
      <c r="C1080" t="str">
        <f>IFERROR(__xludf.DUMMYFUNCTION("""COMPUTED_VALUE"""),"Vegetables")</f>
        <v>Vegetables</v>
      </c>
      <c r="D1080">
        <f>IFERROR(__xludf.DUMMYFUNCTION("""COMPUTED_VALUE"""),53.0)</f>
        <v>53</v>
      </c>
      <c r="E1080">
        <f>IFERROR(__xludf.DUMMYFUNCTION("""COMPUTED_VALUE"""),0.47)</f>
        <v>0.47</v>
      </c>
      <c r="F1080">
        <f>IFERROR(__xludf.DUMMYFUNCTION("""COMPUTED_VALUE"""),3.4)</f>
        <v>3.4</v>
      </c>
      <c r="G1080">
        <f>IFERROR(__xludf.DUMMYFUNCTION("""COMPUTED_VALUE"""),11.15)</f>
        <v>11.15</v>
      </c>
    </row>
    <row r="1081">
      <c r="A1081">
        <f>IFERROR(__xludf.DUMMYFUNCTION("""COMPUTED_VALUE"""),170426.0)</f>
        <v>170426</v>
      </c>
      <c r="B1081" t="str">
        <f>IFERROR(__xludf.DUMMYFUNCTION("""COMPUTED_VALUE"""),"Peppers Hot Chili Green Canned Pods Excluding Seeds Solids And Liquids")</f>
        <v>Peppers Hot Chili Green Canned Pods Excluding Seeds Solids And Liquids</v>
      </c>
      <c r="C1081" t="str">
        <f>IFERROR(__xludf.DUMMYFUNCTION("""COMPUTED_VALUE"""),"Vegetables")</f>
        <v>Vegetables</v>
      </c>
      <c r="D1081">
        <f>IFERROR(__xludf.DUMMYFUNCTION("""COMPUTED_VALUE"""),21.0)</f>
        <v>21</v>
      </c>
      <c r="E1081">
        <f>IFERROR(__xludf.DUMMYFUNCTION("""COMPUTED_VALUE"""),0.1)</f>
        <v>0.1</v>
      </c>
      <c r="F1081">
        <f>IFERROR(__xludf.DUMMYFUNCTION("""COMPUTED_VALUE"""),0.9)</f>
        <v>0.9</v>
      </c>
      <c r="G1081">
        <f>IFERROR(__xludf.DUMMYFUNCTION("""COMPUTED_VALUE"""),5.1)</f>
        <v>5.1</v>
      </c>
    </row>
    <row r="1082">
      <c r="A1082">
        <f>IFERROR(__xludf.DUMMYFUNCTION("""COMPUTED_VALUE"""),170427.0)</f>
        <v>170427</v>
      </c>
      <c r="B1082" t="str">
        <f>IFERROR(__xludf.DUMMYFUNCTION("""COMPUTED_VALUE"""),"Green Bell Peppers")</f>
        <v>Green Bell Peppers</v>
      </c>
      <c r="C1082" t="str">
        <f>IFERROR(__xludf.DUMMYFUNCTION("""COMPUTED_VALUE"""),"Vegetables")</f>
        <v>Vegetables</v>
      </c>
      <c r="D1082">
        <f>IFERROR(__xludf.DUMMYFUNCTION("""COMPUTED_VALUE"""),20.0)</f>
        <v>20</v>
      </c>
      <c r="E1082">
        <f>IFERROR(__xludf.DUMMYFUNCTION("""COMPUTED_VALUE"""),0.17)</f>
        <v>0.17</v>
      </c>
      <c r="F1082">
        <f>IFERROR(__xludf.DUMMYFUNCTION("""COMPUTED_VALUE"""),0.86)</f>
        <v>0.86</v>
      </c>
      <c r="G1082">
        <f>IFERROR(__xludf.DUMMYFUNCTION("""COMPUTED_VALUE"""),4.64)</f>
        <v>4.64</v>
      </c>
    </row>
    <row r="1083">
      <c r="A1083">
        <f>IFERROR(__xludf.DUMMYFUNCTION("""COMPUTED_VALUE"""),170428.0)</f>
        <v>170428</v>
      </c>
      <c r="B1083" t="str">
        <f>IFERROR(__xludf.DUMMYFUNCTION("""COMPUTED_VALUE"""),"Cooked Green Bell Peppers")</f>
        <v>Cooked Green Bell Peppers</v>
      </c>
      <c r="C1083" t="str">
        <f>IFERROR(__xludf.DUMMYFUNCTION("""COMPUTED_VALUE"""),"Vegetables")</f>
        <v>Vegetables</v>
      </c>
      <c r="D1083">
        <f>IFERROR(__xludf.DUMMYFUNCTION("""COMPUTED_VALUE"""),28.0)</f>
        <v>28</v>
      </c>
      <c r="E1083">
        <f>IFERROR(__xludf.DUMMYFUNCTION("""COMPUTED_VALUE"""),0.2)</f>
        <v>0.2</v>
      </c>
      <c r="F1083">
        <f>IFERROR(__xludf.DUMMYFUNCTION("""COMPUTED_VALUE"""),0.92)</f>
        <v>0.92</v>
      </c>
      <c r="G1083">
        <f>IFERROR(__xludf.DUMMYFUNCTION("""COMPUTED_VALUE"""),6.7)</f>
        <v>6.7</v>
      </c>
    </row>
    <row r="1084">
      <c r="A1084">
        <f>IFERROR(__xludf.DUMMYFUNCTION("""COMPUTED_VALUE"""),170429.0)</f>
        <v>170429</v>
      </c>
      <c r="B1084" t="str">
        <f>IFERROR(__xludf.DUMMYFUNCTION("""COMPUTED_VALUE"""),"Peppers Sweet Green Canned Solids And Liquids")</f>
        <v>Peppers Sweet Green Canned Solids And Liquids</v>
      </c>
      <c r="C1084" t="str">
        <f>IFERROR(__xludf.DUMMYFUNCTION("""COMPUTED_VALUE"""),"Vegetables")</f>
        <v>Vegetables</v>
      </c>
      <c r="D1084">
        <f>IFERROR(__xludf.DUMMYFUNCTION("""COMPUTED_VALUE"""),18.0)</f>
        <v>18</v>
      </c>
      <c r="E1084">
        <f>IFERROR(__xludf.DUMMYFUNCTION("""COMPUTED_VALUE"""),0.3)</f>
        <v>0.3</v>
      </c>
      <c r="F1084">
        <f>IFERROR(__xludf.DUMMYFUNCTION("""COMPUTED_VALUE"""),0.8)</f>
        <v>0.8</v>
      </c>
      <c r="G1084">
        <f>IFERROR(__xludf.DUMMYFUNCTION("""COMPUTED_VALUE"""),3.9)</f>
        <v>3.9</v>
      </c>
    </row>
    <row r="1085">
      <c r="A1085">
        <f>IFERROR(__xludf.DUMMYFUNCTION("""COMPUTED_VALUE"""),170430.0)</f>
        <v>170430</v>
      </c>
      <c r="B1085" t="str">
        <f>IFERROR(__xludf.DUMMYFUNCTION("""COMPUTED_VALUE"""),"Pigeonpeas Immature Seeds Cooked Boiled Drained Without Salt")</f>
        <v>Pigeonpeas Immature Seeds Cooked Boiled Drained Without Salt</v>
      </c>
      <c r="C1085" t="str">
        <f>IFERROR(__xludf.DUMMYFUNCTION("""COMPUTED_VALUE"""),"Vegetables")</f>
        <v>Vegetables</v>
      </c>
      <c r="D1085">
        <f>IFERROR(__xludf.DUMMYFUNCTION("""COMPUTED_VALUE"""),111.0)</f>
        <v>111</v>
      </c>
      <c r="E1085">
        <f>IFERROR(__xludf.DUMMYFUNCTION("""COMPUTED_VALUE"""),1.36)</f>
        <v>1.36</v>
      </c>
      <c r="F1085">
        <f>IFERROR(__xludf.DUMMYFUNCTION("""COMPUTED_VALUE"""),5.96)</f>
        <v>5.96</v>
      </c>
      <c r="G1085">
        <f>IFERROR(__xludf.DUMMYFUNCTION("""COMPUTED_VALUE"""),19.49)</f>
        <v>19.49</v>
      </c>
    </row>
    <row r="1086">
      <c r="A1086">
        <f>IFERROR(__xludf.DUMMYFUNCTION("""COMPUTED_VALUE"""),170431.0)</f>
        <v>170431</v>
      </c>
      <c r="B1086" t="str">
        <f>IFERROR(__xludf.DUMMYFUNCTION("""COMPUTED_VALUE"""),"Poi")</f>
        <v>Poi</v>
      </c>
      <c r="C1086" t="str">
        <f>IFERROR(__xludf.DUMMYFUNCTION("""COMPUTED_VALUE"""),"Vegetables")</f>
        <v>Vegetables</v>
      </c>
      <c r="D1086">
        <f>IFERROR(__xludf.DUMMYFUNCTION("""COMPUTED_VALUE"""),112.0)</f>
        <v>112</v>
      </c>
      <c r="E1086">
        <f>IFERROR(__xludf.DUMMYFUNCTION("""COMPUTED_VALUE"""),0.14)</f>
        <v>0.14</v>
      </c>
      <c r="F1086">
        <f>IFERROR(__xludf.DUMMYFUNCTION("""COMPUTED_VALUE"""),0.38)</f>
        <v>0.38</v>
      </c>
      <c r="G1086">
        <f>IFERROR(__xludf.DUMMYFUNCTION("""COMPUTED_VALUE"""),27.23)</f>
        <v>27.23</v>
      </c>
    </row>
    <row r="1087">
      <c r="A1087">
        <f>IFERROR(__xludf.DUMMYFUNCTION("""COMPUTED_VALUE"""),170432.0)</f>
        <v>170432</v>
      </c>
      <c r="B1087" t="str">
        <f>IFERROR(__xludf.DUMMYFUNCTION("""COMPUTED_VALUE"""),"Pokeberry Shoots (Poke) Raw")</f>
        <v>Pokeberry Shoots (Poke) Raw</v>
      </c>
      <c r="C1087" t="str">
        <f>IFERROR(__xludf.DUMMYFUNCTION("""COMPUTED_VALUE"""),"Vegetables")</f>
        <v>Vegetables</v>
      </c>
      <c r="D1087">
        <f>IFERROR(__xludf.DUMMYFUNCTION("""COMPUTED_VALUE"""),23.0)</f>
        <v>23</v>
      </c>
      <c r="E1087">
        <f>IFERROR(__xludf.DUMMYFUNCTION("""COMPUTED_VALUE"""),0.4)</f>
        <v>0.4</v>
      </c>
      <c r="F1087">
        <f>IFERROR(__xludf.DUMMYFUNCTION("""COMPUTED_VALUE"""),2.6)</f>
        <v>2.6</v>
      </c>
      <c r="G1087">
        <f>IFERROR(__xludf.DUMMYFUNCTION("""COMPUTED_VALUE"""),3.7)</f>
        <v>3.7</v>
      </c>
    </row>
    <row r="1088">
      <c r="A1088">
        <f>IFERROR(__xludf.DUMMYFUNCTION("""COMPUTED_VALUE"""),170433.0)</f>
        <v>170433</v>
      </c>
      <c r="B1088" t="str">
        <f>IFERROR(__xludf.DUMMYFUNCTION("""COMPUTED_VALUE"""),"Pokeberry Shoots (Poke) Cooked Boiled Drained Without Salt")</f>
        <v>Pokeberry Shoots (Poke) Cooked Boiled Drained Without Salt</v>
      </c>
      <c r="C1088" t="str">
        <f>IFERROR(__xludf.DUMMYFUNCTION("""COMPUTED_VALUE"""),"Vegetables")</f>
        <v>Vegetables</v>
      </c>
      <c r="D1088">
        <f>IFERROR(__xludf.DUMMYFUNCTION("""COMPUTED_VALUE"""),20.0)</f>
        <v>20</v>
      </c>
      <c r="E1088">
        <f>IFERROR(__xludf.DUMMYFUNCTION("""COMPUTED_VALUE"""),0.4)</f>
        <v>0.4</v>
      </c>
      <c r="F1088">
        <f>IFERROR(__xludf.DUMMYFUNCTION("""COMPUTED_VALUE"""),2.3)</f>
        <v>2.3</v>
      </c>
      <c r="G1088">
        <f>IFERROR(__xludf.DUMMYFUNCTION("""COMPUTED_VALUE"""),3.1)</f>
        <v>3.1</v>
      </c>
    </row>
    <row r="1089">
      <c r="A1089">
        <f>IFERROR(__xludf.DUMMYFUNCTION("""COMPUTED_VALUE"""),170434.0)</f>
        <v>170434</v>
      </c>
      <c r="B1089" t="str">
        <f>IFERROR(__xludf.DUMMYFUNCTION("""COMPUTED_VALUE"""),"Baked Potatoes")</f>
        <v>Baked Potatoes</v>
      </c>
      <c r="C1089" t="str">
        <f>IFERROR(__xludf.DUMMYFUNCTION("""COMPUTED_VALUE"""),"Vegetables")</f>
        <v>Vegetables</v>
      </c>
      <c r="D1089">
        <f>IFERROR(__xludf.DUMMYFUNCTION("""COMPUTED_VALUE"""),92.0)</f>
        <v>92</v>
      </c>
      <c r="E1089">
        <f>IFERROR(__xludf.DUMMYFUNCTION("""COMPUTED_VALUE"""),0.15)</f>
        <v>0.15</v>
      </c>
      <c r="F1089">
        <f>IFERROR(__xludf.DUMMYFUNCTION("""COMPUTED_VALUE"""),2.1)</f>
        <v>2.1</v>
      </c>
      <c r="G1089">
        <f>IFERROR(__xludf.DUMMYFUNCTION("""COMPUTED_VALUE"""),21.08)</f>
        <v>21.08</v>
      </c>
    </row>
    <row r="1090">
      <c r="A1090">
        <f>IFERROR(__xludf.DUMMYFUNCTION("""COMPUTED_VALUE"""),170435.0)</f>
        <v>170435</v>
      </c>
      <c r="B1090" t="str">
        <f>IFERROR(__xludf.DUMMYFUNCTION("""COMPUTED_VALUE"""),"Baked Red Potatoes")</f>
        <v>Baked Red Potatoes</v>
      </c>
      <c r="C1090" t="str">
        <f>IFERROR(__xludf.DUMMYFUNCTION("""COMPUTED_VALUE"""),"Vegetables")</f>
        <v>Vegetables</v>
      </c>
      <c r="D1090">
        <f>IFERROR(__xludf.DUMMYFUNCTION("""COMPUTED_VALUE"""),87.0)</f>
        <v>87</v>
      </c>
      <c r="E1090">
        <f>IFERROR(__xludf.DUMMYFUNCTION("""COMPUTED_VALUE"""),0.15)</f>
        <v>0.15</v>
      </c>
      <c r="F1090">
        <f>IFERROR(__xludf.DUMMYFUNCTION("""COMPUTED_VALUE"""),2.3)</f>
        <v>2.3</v>
      </c>
      <c r="G1090">
        <f>IFERROR(__xludf.DUMMYFUNCTION("""COMPUTED_VALUE"""),19.59)</f>
        <v>19.59</v>
      </c>
    </row>
    <row r="1091">
      <c r="A1091">
        <f>IFERROR(__xludf.DUMMYFUNCTION("""COMPUTED_VALUE"""),170436.0)</f>
        <v>170436</v>
      </c>
      <c r="B1091" t="str">
        <f>IFERROR(__xludf.DUMMYFUNCTION("""COMPUTED_VALUE"""),"Potatoes French Fried Crinkle Or Regular Cut Salt Added In Processing Frozen As Purchased")</f>
        <v>Potatoes French Fried Crinkle Or Regular Cut Salt Added In Processing Frozen As Purchased</v>
      </c>
      <c r="C1091" t="str">
        <f>IFERROR(__xludf.DUMMYFUNCTION("""COMPUTED_VALUE"""),"Vegetables")</f>
        <v>Vegetables</v>
      </c>
      <c r="D1091">
        <f>IFERROR(__xludf.DUMMYFUNCTION("""COMPUTED_VALUE"""),146.0)</f>
        <v>146</v>
      </c>
      <c r="E1091">
        <f>IFERROR(__xludf.DUMMYFUNCTION("""COMPUTED_VALUE"""),4.99)</f>
        <v>4.99</v>
      </c>
      <c r="F1091">
        <f>IFERROR(__xludf.DUMMYFUNCTION("""COMPUTED_VALUE"""),2.34)</f>
        <v>2.34</v>
      </c>
      <c r="G1091">
        <f>IFERROR(__xludf.DUMMYFUNCTION("""COMPUTED_VALUE"""),23.96)</f>
        <v>23.96</v>
      </c>
    </row>
    <row r="1092">
      <c r="A1092">
        <f>IFERROR(__xludf.DUMMYFUNCTION("""COMPUTED_VALUE"""),170438.0)</f>
        <v>170438</v>
      </c>
      <c r="B1092" t="str">
        <f>IFERROR(__xludf.DUMMYFUNCTION("""COMPUTED_VALUE"""),"Boiled Potatoes")</f>
        <v>Boiled Potatoes</v>
      </c>
      <c r="C1092" t="str">
        <f>IFERROR(__xludf.DUMMYFUNCTION("""COMPUTED_VALUE"""),"Vegetables")</f>
        <v>Vegetables</v>
      </c>
      <c r="D1092">
        <f>IFERROR(__xludf.DUMMYFUNCTION("""COMPUTED_VALUE"""),87.0)</f>
        <v>87</v>
      </c>
      <c r="E1092">
        <f>IFERROR(__xludf.DUMMYFUNCTION("""COMPUTED_VALUE"""),0.1)</f>
        <v>0.1</v>
      </c>
      <c r="F1092">
        <f>IFERROR(__xludf.DUMMYFUNCTION("""COMPUTED_VALUE"""),1.87)</f>
        <v>1.87</v>
      </c>
      <c r="G1092">
        <f>IFERROR(__xludf.DUMMYFUNCTION("""COMPUTED_VALUE"""),20.13)</f>
        <v>20.13</v>
      </c>
    </row>
    <row r="1093">
      <c r="A1093">
        <f>IFERROR(__xludf.DUMMYFUNCTION("""COMPUTED_VALUE"""),170439.0)</f>
        <v>170439</v>
      </c>
      <c r="B1093" t="str">
        <f>IFERROR(__xludf.DUMMYFUNCTION("""COMPUTED_VALUE"""),"Potatoes Boiled Cooked In Skin Skin Without Salt")</f>
        <v>Potatoes Boiled Cooked In Skin Skin Without Salt</v>
      </c>
      <c r="C1093" t="str">
        <f>IFERROR(__xludf.DUMMYFUNCTION("""COMPUTED_VALUE"""),"Vegetables")</f>
        <v>Vegetables</v>
      </c>
      <c r="D1093">
        <f>IFERROR(__xludf.DUMMYFUNCTION("""COMPUTED_VALUE"""),78.0)</f>
        <v>78</v>
      </c>
      <c r="E1093">
        <f>IFERROR(__xludf.DUMMYFUNCTION("""COMPUTED_VALUE"""),0.1)</f>
        <v>0.1</v>
      </c>
      <c r="F1093">
        <f>IFERROR(__xludf.DUMMYFUNCTION("""COMPUTED_VALUE"""),2.86)</f>
        <v>2.86</v>
      </c>
      <c r="G1093">
        <f>IFERROR(__xludf.DUMMYFUNCTION("""COMPUTED_VALUE"""),17.21)</f>
        <v>17.21</v>
      </c>
    </row>
    <row r="1094">
      <c r="A1094">
        <f>IFERROR(__xludf.DUMMYFUNCTION("""COMPUTED_VALUE"""),170440.0)</f>
        <v>170440</v>
      </c>
      <c r="B1094" t="str">
        <f>IFERROR(__xludf.DUMMYFUNCTION("""COMPUTED_VALUE"""),"Potatoes Boiled Cooked Without Skin Flesh Without Salt")</f>
        <v>Potatoes Boiled Cooked Without Skin Flesh Without Salt</v>
      </c>
      <c r="C1094" t="str">
        <f>IFERROR(__xludf.DUMMYFUNCTION("""COMPUTED_VALUE"""),"Vegetables")</f>
        <v>Vegetables</v>
      </c>
      <c r="D1094">
        <f>IFERROR(__xludf.DUMMYFUNCTION("""COMPUTED_VALUE"""),86.0)</f>
        <v>86</v>
      </c>
      <c r="E1094">
        <f>IFERROR(__xludf.DUMMYFUNCTION("""COMPUTED_VALUE"""),0.1)</f>
        <v>0.1</v>
      </c>
      <c r="F1094">
        <f>IFERROR(__xludf.DUMMYFUNCTION("""COMPUTED_VALUE"""),1.71)</f>
        <v>1.71</v>
      </c>
      <c r="G1094">
        <f>IFERROR(__xludf.DUMMYFUNCTION("""COMPUTED_VALUE"""),20.01)</f>
        <v>20.01</v>
      </c>
    </row>
    <row r="1095">
      <c r="A1095">
        <f>IFERROR(__xludf.DUMMYFUNCTION("""COMPUTED_VALUE"""),170441.0)</f>
        <v>170441</v>
      </c>
      <c r="B1095" t="str">
        <f>IFERROR(__xludf.DUMMYFUNCTION("""COMPUTED_VALUE"""),"Potatoes Microwaved Cooked In Skin Flesh Without Salt")</f>
        <v>Potatoes Microwaved Cooked In Skin Flesh Without Salt</v>
      </c>
      <c r="C1095" t="str">
        <f>IFERROR(__xludf.DUMMYFUNCTION("""COMPUTED_VALUE"""),"Vegetables")</f>
        <v>Vegetables</v>
      </c>
      <c r="D1095">
        <f>IFERROR(__xludf.DUMMYFUNCTION("""COMPUTED_VALUE"""),100.0)</f>
        <v>100</v>
      </c>
      <c r="E1095">
        <f>IFERROR(__xludf.DUMMYFUNCTION("""COMPUTED_VALUE"""),0.1)</f>
        <v>0.1</v>
      </c>
      <c r="F1095">
        <f>IFERROR(__xludf.DUMMYFUNCTION("""COMPUTED_VALUE"""),2.1)</f>
        <v>2.1</v>
      </c>
      <c r="G1095">
        <f>IFERROR(__xludf.DUMMYFUNCTION("""COMPUTED_VALUE"""),23.28)</f>
        <v>23.28</v>
      </c>
    </row>
    <row r="1096">
      <c r="A1096">
        <f>IFERROR(__xludf.DUMMYFUNCTION("""COMPUTED_VALUE"""),170442.0)</f>
        <v>170442</v>
      </c>
      <c r="B1096" t="str">
        <f>IFERROR(__xludf.DUMMYFUNCTION("""COMPUTED_VALUE"""),"Potatoes Au Gratin Home-Prepared From Recipe Using Butter")</f>
        <v>Potatoes Au Gratin Home-Prepared From Recipe Using Butter</v>
      </c>
      <c r="C1096" t="str">
        <f>IFERROR(__xludf.DUMMYFUNCTION("""COMPUTED_VALUE"""),"Vegetables")</f>
        <v>Vegetables</v>
      </c>
      <c r="D1096">
        <f>IFERROR(__xludf.DUMMYFUNCTION("""COMPUTED_VALUE"""),134.0)</f>
        <v>134</v>
      </c>
      <c r="E1096">
        <f>IFERROR(__xludf.DUMMYFUNCTION("""COMPUTED_VALUE"""),7.59)</f>
        <v>7.59</v>
      </c>
      <c r="F1096">
        <f>IFERROR(__xludf.DUMMYFUNCTION("""COMPUTED_VALUE"""),5.06)</f>
        <v>5.06</v>
      </c>
      <c r="G1096">
        <f>IFERROR(__xludf.DUMMYFUNCTION("""COMPUTED_VALUE"""),11.26)</f>
        <v>11.26</v>
      </c>
    </row>
    <row r="1097">
      <c r="A1097">
        <f>IFERROR(__xludf.DUMMYFUNCTION("""COMPUTED_VALUE"""),170443.0)</f>
        <v>170443</v>
      </c>
      <c r="B1097" t="str">
        <f>IFERROR(__xludf.DUMMYFUNCTION("""COMPUTED_VALUE"""),"Potatoes Canned Solids And Liquids")</f>
        <v>Potatoes Canned Solids And Liquids</v>
      </c>
      <c r="C1097" t="str">
        <f>IFERROR(__xludf.DUMMYFUNCTION("""COMPUTED_VALUE"""),"Vegetables")</f>
        <v>Vegetables</v>
      </c>
      <c r="D1097">
        <f>IFERROR(__xludf.DUMMYFUNCTION("""COMPUTED_VALUE"""),44.0)</f>
        <v>44</v>
      </c>
      <c r="E1097">
        <f>IFERROR(__xludf.DUMMYFUNCTION("""COMPUTED_VALUE"""),0.11)</f>
        <v>0.11</v>
      </c>
      <c r="F1097">
        <f>IFERROR(__xludf.DUMMYFUNCTION("""COMPUTED_VALUE"""),1.2)</f>
        <v>1.2</v>
      </c>
      <c r="G1097">
        <f>IFERROR(__xludf.DUMMYFUNCTION("""COMPUTED_VALUE"""),9.89)</f>
        <v>9.89</v>
      </c>
    </row>
    <row r="1098">
      <c r="A1098">
        <f>IFERROR(__xludf.DUMMYFUNCTION("""COMPUTED_VALUE"""),170444.0)</f>
        <v>170444</v>
      </c>
      <c r="B1098" t="str">
        <f>IFERROR(__xludf.DUMMYFUNCTION("""COMPUTED_VALUE"""),"Potatoes Canned Drained Solids")</f>
        <v>Potatoes Canned Drained Solids</v>
      </c>
      <c r="C1098" t="str">
        <f>IFERROR(__xludf.DUMMYFUNCTION("""COMPUTED_VALUE"""),"Vegetables")</f>
        <v>Vegetables</v>
      </c>
      <c r="D1098">
        <f>IFERROR(__xludf.DUMMYFUNCTION("""COMPUTED_VALUE"""),60.0)</f>
        <v>60</v>
      </c>
      <c r="E1098">
        <f>IFERROR(__xludf.DUMMYFUNCTION("""COMPUTED_VALUE"""),0.21)</f>
        <v>0.21</v>
      </c>
      <c r="F1098">
        <f>IFERROR(__xludf.DUMMYFUNCTION("""COMPUTED_VALUE"""),1.41)</f>
        <v>1.41</v>
      </c>
      <c r="G1098">
        <f>IFERROR(__xludf.DUMMYFUNCTION("""COMPUTED_VALUE"""),13.61)</f>
        <v>13.61</v>
      </c>
    </row>
    <row r="1099">
      <c r="A1099">
        <f>IFERROR(__xludf.DUMMYFUNCTION("""COMPUTED_VALUE"""),170445.0)</f>
        <v>170445</v>
      </c>
      <c r="B1099" t="str">
        <f>IFERROR(__xludf.DUMMYFUNCTION("""COMPUTED_VALUE"""),"Potatoes Mashed Dehydrated Flakes Without Milk Dry Form")</f>
        <v>Potatoes Mashed Dehydrated Flakes Without Milk Dry Form</v>
      </c>
      <c r="C1099" t="str">
        <f>IFERROR(__xludf.DUMMYFUNCTION("""COMPUTED_VALUE"""),"Vegetables")</f>
        <v>Vegetables</v>
      </c>
      <c r="D1099">
        <f>IFERROR(__xludf.DUMMYFUNCTION("""COMPUTED_VALUE"""),354.0)</f>
        <v>354</v>
      </c>
      <c r="E1099">
        <f>IFERROR(__xludf.DUMMYFUNCTION("""COMPUTED_VALUE"""),0.41)</f>
        <v>0.41</v>
      </c>
      <c r="F1099">
        <f>IFERROR(__xludf.DUMMYFUNCTION("""COMPUTED_VALUE"""),8.34)</f>
        <v>8.34</v>
      </c>
      <c r="G1099">
        <f>IFERROR(__xludf.DUMMYFUNCTION("""COMPUTED_VALUE"""),81.17)</f>
        <v>81.17</v>
      </c>
    </row>
    <row r="1100">
      <c r="A1100">
        <f>IFERROR(__xludf.DUMMYFUNCTION("""COMPUTED_VALUE"""),170446.0)</f>
        <v>170446</v>
      </c>
      <c r="B1100" t="str">
        <f>IFERROR(__xludf.DUMMYFUNCTION("""COMPUTED_VALUE"""),"Potatoes Mashed Dehydrated Prepared From Flakes Without Milk Whole Milk And Butter Added")</f>
        <v>Potatoes Mashed Dehydrated Prepared From Flakes Without Milk Whole Milk And Butter Added</v>
      </c>
      <c r="C1100" t="str">
        <f>IFERROR(__xludf.DUMMYFUNCTION("""COMPUTED_VALUE"""),"Vegetables")</f>
        <v>Vegetables</v>
      </c>
      <c r="D1100">
        <f>IFERROR(__xludf.DUMMYFUNCTION("""COMPUTED_VALUE"""),97.0)</f>
        <v>97</v>
      </c>
      <c r="E1100">
        <f>IFERROR(__xludf.DUMMYFUNCTION("""COMPUTED_VALUE"""),5.13)</f>
        <v>5.13</v>
      </c>
      <c r="F1100">
        <f>IFERROR(__xludf.DUMMYFUNCTION("""COMPUTED_VALUE"""),1.77)</f>
        <v>1.77</v>
      </c>
      <c r="G1100">
        <f>IFERROR(__xludf.DUMMYFUNCTION("""COMPUTED_VALUE"""),10.87)</f>
        <v>10.87</v>
      </c>
    </row>
    <row r="1101">
      <c r="A1101">
        <f>IFERROR(__xludf.DUMMYFUNCTION("""COMPUTED_VALUE"""),170447.0)</f>
        <v>170447</v>
      </c>
      <c r="B1101" t="str">
        <f>IFERROR(__xludf.DUMMYFUNCTION("""COMPUTED_VALUE"""),"Potatoes Au Gratin Dry Mix Unprepared")</f>
        <v>Potatoes Au Gratin Dry Mix Unprepared</v>
      </c>
      <c r="C1101" t="str">
        <f>IFERROR(__xludf.DUMMYFUNCTION("""COMPUTED_VALUE"""),"Vegetables")</f>
        <v>Vegetables</v>
      </c>
      <c r="D1101">
        <f>IFERROR(__xludf.DUMMYFUNCTION("""COMPUTED_VALUE"""),314.0)</f>
        <v>314</v>
      </c>
      <c r="E1101">
        <f>IFERROR(__xludf.DUMMYFUNCTION("""COMPUTED_VALUE"""),3.7)</f>
        <v>3.7</v>
      </c>
      <c r="F1101">
        <f>IFERROR(__xludf.DUMMYFUNCTION("""COMPUTED_VALUE"""),8.9)</f>
        <v>8.9</v>
      </c>
      <c r="G1101">
        <f>IFERROR(__xludf.DUMMYFUNCTION("""COMPUTED_VALUE"""),74.31)</f>
        <v>74.31</v>
      </c>
    </row>
    <row r="1102">
      <c r="A1102">
        <f>IFERROR(__xludf.DUMMYFUNCTION("""COMPUTED_VALUE"""),170448.0)</f>
        <v>170448</v>
      </c>
      <c r="B1102" t="str">
        <f>IFERROR(__xludf.DUMMYFUNCTION("""COMPUTED_VALUE"""),"Potatoes Au Gratin Dry Mix Prepared With Water Whole Milk And Butter")</f>
        <v>Potatoes Au Gratin Dry Mix Prepared With Water Whole Milk And Butter</v>
      </c>
      <c r="C1102" t="str">
        <f>IFERROR(__xludf.DUMMYFUNCTION("""COMPUTED_VALUE"""),"Vegetables")</f>
        <v>Vegetables</v>
      </c>
      <c r="D1102">
        <f>IFERROR(__xludf.DUMMYFUNCTION("""COMPUTED_VALUE"""),93.0)</f>
        <v>93</v>
      </c>
      <c r="E1102">
        <f>IFERROR(__xludf.DUMMYFUNCTION("""COMPUTED_VALUE"""),4.12)</f>
        <v>4.12</v>
      </c>
      <c r="F1102">
        <f>IFERROR(__xludf.DUMMYFUNCTION("""COMPUTED_VALUE"""),2.3)</f>
        <v>2.3</v>
      </c>
      <c r="G1102">
        <f>IFERROR(__xludf.DUMMYFUNCTION("""COMPUTED_VALUE"""),12.84)</f>
        <v>12.84</v>
      </c>
    </row>
    <row r="1103">
      <c r="A1103">
        <f>IFERROR(__xludf.DUMMYFUNCTION("""COMPUTED_VALUE"""),170449.0)</f>
        <v>170449</v>
      </c>
      <c r="B1103" t="str">
        <f>IFERROR(__xludf.DUMMYFUNCTION("""COMPUTED_VALUE"""),"Potatoes Scalloped Dry Mix Unprepared")</f>
        <v>Potatoes Scalloped Dry Mix Unprepared</v>
      </c>
      <c r="C1103" t="str">
        <f>IFERROR(__xludf.DUMMYFUNCTION("""COMPUTED_VALUE"""),"Vegetables")</f>
        <v>Vegetables</v>
      </c>
      <c r="D1103">
        <f>IFERROR(__xludf.DUMMYFUNCTION("""COMPUTED_VALUE"""),358.0)</f>
        <v>358</v>
      </c>
      <c r="E1103">
        <f>IFERROR(__xludf.DUMMYFUNCTION("""COMPUTED_VALUE"""),4.59)</f>
        <v>4.59</v>
      </c>
      <c r="F1103">
        <f>IFERROR(__xludf.DUMMYFUNCTION("""COMPUTED_VALUE"""),7.77)</f>
        <v>7.77</v>
      </c>
      <c r="G1103">
        <f>IFERROR(__xludf.DUMMYFUNCTION("""COMPUTED_VALUE"""),73.93)</f>
        <v>73.93</v>
      </c>
    </row>
    <row r="1104">
      <c r="A1104">
        <f>IFERROR(__xludf.DUMMYFUNCTION("""COMPUTED_VALUE"""),170450.0)</f>
        <v>170450</v>
      </c>
      <c r="B1104" t="str">
        <f>IFERROR(__xludf.DUMMYFUNCTION("""COMPUTED_VALUE"""),"Potatoes Scalloped Dry Mix Prepared With Water Whole Milk And Butter")</f>
        <v>Potatoes Scalloped Dry Mix Prepared With Water Whole Milk And Butter</v>
      </c>
      <c r="C1104" t="str">
        <f>IFERROR(__xludf.DUMMYFUNCTION("""COMPUTED_VALUE"""),"Vegetables")</f>
        <v>Vegetables</v>
      </c>
      <c r="D1104">
        <f>IFERROR(__xludf.DUMMYFUNCTION("""COMPUTED_VALUE"""),93.0)</f>
        <v>93</v>
      </c>
      <c r="E1104">
        <f>IFERROR(__xludf.DUMMYFUNCTION("""COMPUTED_VALUE"""),4.3)</f>
        <v>4.3</v>
      </c>
      <c r="F1104">
        <f>IFERROR(__xludf.DUMMYFUNCTION("""COMPUTED_VALUE"""),2.12)</f>
        <v>2.12</v>
      </c>
      <c r="G1104">
        <f>IFERROR(__xludf.DUMMYFUNCTION("""COMPUTED_VALUE"""),12.77)</f>
        <v>12.77</v>
      </c>
    </row>
    <row r="1105">
      <c r="A1105">
        <f>IFERROR(__xludf.DUMMYFUNCTION("""COMPUTED_VALUE"""),170451.0)</f>
        <v>170451</v>
      </c>
      <c r="B1105" t="str">
        <f>IFERROR(__xludf.DUMMYFUNCTION("""COMPUTED_VALUE"""),"Potatoes French Fried Shoestring Salt Added In Processing Frozen As Purchased")</f>
        <v>Potatoes French Fried Shoestring Salt Added In Processing Frozen As Purchased</v>
      </c>
      <c r="C1105" t="str">
        <f>IFERROR(__xludf.DUMMYFUNCTION("""COMPUTED_VALUE"""),"Vegetables")</f>
        <v>Vegetables</v>
      </c>
      <c r="D1105">
        <f>IFERROR(__xludf.DUMMYFUNCTION("""COMPUTED_VALUE"""),163.0)</f>
        <v>163</v>
      </c>
      <c r="E1105">
        <f>IFERROR(__xludf.DUMMYFUNCTION("""COMPUTED_VALUE"""),6.24)</f>
        <v>6.24</v>
      </c>
      <c r="F1105">
        <f>IFERROR(__xludf.DUMMYFUNCTION("""COMPUTED_VALUE"""),2.16)</f>
        <v>2.16</v>
      </c>
      <c r="G1105">
        <f>IFERROR(__xludf.DUMMYFUNCTION("""COMPUTED_VALUE"""),25.59)</f>
        <v>25.59</v>
      </c>
    </row>
    <row r="1106">
      <c r="A1106">
        <f>IFERROR(__xludf.DUMMYFUNCTION("""COMPUTED_VALUE"""),170452.0)</f>
        <v>170452</v>
      </c>
      <c r="B1106" t="str">
        <f>IFERROR(__xludf.DUMMYFUNCTION("""COMPUTED_VALUE"""),"Potatoes French Fried Shoestring Salt Added In Processing Frozen Oven-Heated")</f>
        <v>Potatoes French Fried Shoestring Salt Added In Processing Frozen Oven-Heated</v>
      </c>
      <c r="C1106" t="str">
        <f>IFERROR(__xludf.DUMMYFUNCTION("""COMPUTED_VALUE"""),"Vegetables")</f>
        <v>Vegetables</v>
      </c>
      <c r="D1106">
        <f>IFERROR(__xludf.DUMMYFUNCTION("""COMPUTED_VALUE"""),194.0)</f>
        <v>194</v>
      </c>
      <c r="E1106">
        <f>IFERROR(__xludf.DUMMYFUNCTION("""COMPUTED_VALUE"""),6.76)</f>
        <v>6.76</v>
      </c>
      <c r="F1106">
        <f>IFERROR(__xludf.DUMMYFUNCTION("""COMPUTED_VALUE"""),2.9)</f>
        <v>2.9</v>
      </c>
      <c r="G1106">
        <f>IFERROR(__xludf.DUMMYFUNCTION("""COMPUTED_VALUE"""),31.66)</f>
        <v>31.66</v>
      </c>
    </row>
    <row r="1107">
      <c r="A1107">
        <f>IFERROR(__xludf.DUMMYFUNCTION("""COMPUTED_VALUE"""),170453.0)</f>
        <v>170453</v>
      </c>
      <c r="B1107" t="str">
        <f>IFERROR(__xludf.DUMMYFUNCTION("""COMPUTED_VALUE"""),"Potatoes Obrien Frozen Unprepared")</f>
        <v>Potatoes Obrien Frozen Unprepared</v>
      </c>
      <c r="C1107" t="str">
        <f>IFERROR(__xludf.DUMMYFUNCTION("""COMPUTED_VALUE"""),"Vegetables")</f>
        <v>Vegetables</v>
      </c>
      <c r="D1107">
        <f>IFERROR(__xludf.DUMMYFUNCTION("""COMPUTED_VALUE"""),76.0)</f>
        <v>76</v>
      </c>
      <c r="E1107">
        <f>IFERROR(__xludf.DUMMYFUNCTION("""COMPUTED_VALUE"""),0.14)</f>
        <v>0.14</v>
      </c>
      <c r="F1107">
        <f>IFERROR(__xludf.DUMMYFUNCTION("""COMPUTED_VALUE"""),1.83)</f>
        <v>1.83</v>
      </c>
      <c r="G1107">
        <f>IFERROR(__xludf.DUMMYFUNCTION("""COMPUTED_VALUE"""),17.47)</f>
        <v>17.47</v>
      </c>
    </row>
    <row r="1108">
      <c r="A1108">
        <f>IFERROR(__xludf.DUMMYFUNCTION("""COMPUTED_VALUE"""),170454.0)</f>
        <v>170454</v>
      </c>
      <c r="B1108" t="str">
        <f>IFERROR(__xludf.DUMMYFUNCTION("""COMPUTED_VALUE"""),"Potatoes Obrien Frozen Prepared")</f>
        <v>Potatoes Obrien Frozen Prepared</v>
      </c>
      <c r="C1108" t="str">
        <f>IFERROR(__xludf.DUMMYFUNCTION("""COMPUTED_VALUE"""),"Vegetables")</f>
        <v>Vegetables</v>
      </c>
      <c r="D1108">
        <f>IFERROR(__xludf.DUMMYFUNCTION("""COMPUTED_VALUE"""),204.0)</f>
        <v>204</v>
      </c>
      <c r="E1108">
        <f>IFERROR(__xludf.DUMMYFUNCTION("""COMPUTED_VALUE"""),13.21)</f>
        <v>13.21</v>
      </c>
      <c r="F1108">
        <f>IFERROR(__xludf.DUMMYFUNCTION("""COMPUTED_VALUE"""),2.22)</f>
        <v>2.22</v>
      </c>
      <c r="G1108">
        <f>IFERROR(__xludf.DUMMYFUNCTION("""COMPUTED_VALUE"""),21.86)</f>
        <v>21.86</v>
      </c>
    </row>
    <row r="1109">
      <c r="A1109">
        <f>IFERROR(__xludf.DUMMYFUNCTION("""COMPUTED_VALUE"""),170455.0)</f>
        <v>170455</v>
      </c>
      <c r="B1109" t="str">
        <f>IFERROR(__xludf.DUMMYFUNCTION("""COMPUTED_VALUE"""),"Cooked Tahitian Taro")</f>
        <v>Cooked Tahitian Taro</v>
      </c>
      <c r="C1109" t="str">
        <f>IFERROR(__xludf.DUMMYFUNCTION("""COMPUTED_VALUE"""),"Vegetables")</f>
        <v>Vegetables</v>
      </c>
      <c r="D1109">
        <f>IFERROR(__xludf.DUMMYFUNCTION("""COMPUTED_VALUE"""),44.0)</f>
        <v>44</v>
      </c>
      <c r="E1109">
        <f>IFERROR(__xludf.DUMMYFUNCTION("""COMPUTED_VALUE"""),0.68)</f>
        <v>0.68</v>
      </c>
      <c r="F1109">
        <f>IFERROR(__xludf.DUMMYFUNCTION("""COMPUTED_VALUE"""),4.16)</f>
        <v>4.16</v>
      </c>
      <c r="G1109">
        <f>IFERROR(__xludf.DUMMYFUNCTION("""COMPUTED_VALUE"""),6.85)</f>
        <v>6.85</v>
      </c>
    </row>
    <row r="1110">
      <c r="A1110">
        <f>IFERROR(__xludf.DUMMYFUNCTION("""COMPUTED_VALUE"""),170456.0)</f>
        <v>170456</v>
      </c>
      <c r="B1110" t="str">
        <f>IFERROR(__xludf.DUMMYFUNCTION("""COMPUTED_VALUE"""),"Green Tomatoes")</f>
        <v>Green Tomatoes</v>
      </c>
      <c r="C1110" t="str">
        <f>IFERROR(__xludf.DUMMYFUNCTION("""COMPUTED_VALUE"""),"Vegetables")</f>
        <v>Vegetables</v>
      </c>
      <c r="D1110">
        <f>IFERROR(__xludf.DUMMYFUNCTION("""COMPUTED_VALUE"""),23.0)</f>
        <v>23</v>
      </c>
      <c r="E1110">
        <f>IFERROR(__xludf.DUMMYFUNCTION("""COMPUTED_VALUE"""),0.2)</f>
        <v>0.2</v>
      </c>
      <c r="F1110">
        <f>IFERROR(__xludf.DUMMYFUNCTION("""COMPUTED_VALUE"""),1.2)</f>
        <v>1.2</v>
      </c>
      <c r="G1110">
        <f>IFERROR(__xludf.DUMMYFUNCTION("""COMPUTED_VALUE"""),5.1)</f>
        <v>5.1</v>
      </c>
    </row>
    <row r="1111">
      <c r="A1111">
        <f>IFERROR(__xludf.DUMMYFUNCTION("""COMPUTED_VALUE"""),170457.0)</f>
        <v>170457</v>
      </c>
      <c r="B1111" t="str">
        <f>IFERROR(__xludf.DUMMYFUNCTION("""COMPUTED_VALUE"""),"Tomatoes")</f>
        <v>Tomatoes</v>
      </c>
      <c r="C1111" t="str">
        <f>IFERROR(__xludf.DUMMYFUNCTION("""COMPUTED_VALUE"""),"Vegetables")</f>
        <v>Vegetables</v>
      </c>
      <c r="D1111">
        <f>IFERROR(__xludf.DUMMYFUNCTION("""COMPUTED_VALUE"""),18.0)</f>
        <v>18</v>
      </c>
      <c r="E1111">
        <f>IFERROR(__xludf.DUMMYFUNCTION("""COMPUTED_VALUE"""),0.2)</f>
        <v>0.2</v>
      </c>
      <c r="F1111">
        <f>IFERROR(__xludf.DUMMYFUNCTION("""COMPUTED_VALUE"""),0.88)</f>
        <v>0.88</v>
      </c>
      <c r="G1111">
        <f>IFERROR(__xludf.DUMMYFUNCTION("""COMPUTED_VALUE"""),3.89)</f>
        <v>3.89</v>
      </c>
    </row>
    <row r="1112">
      <c r="A1112">
        <f>IFERROR(__xludf.DUMMYFUNCTION("""COMPUTED_VALUE"""),170458.0)</f>
        <v>170458</v>
      </c>
      <c r="B1112" t="str">
        <f>IFERROR(__xludf.DUMMYFUNCTION("""COMPUTED_VALUE"""),"Tomato Juice Canned With Salt Added")</f>
        <v>Tomato Juice Canned With Salt Added</v>
      </c>
      <c r="C1112" t="str">
        <f>IFERROR(__xludf.DUMMYFUNCTION("""COMPUTED_VALUE"""),"Vegetables")</f>
        <v>Vegetables</v>
      </c>
      <c r="D1112">
        <f>IFERROR(__xludf.DUMMYFUNCTION("""COMPUTED_VALUE"""),17.0)</f>
        <v>17</v>
      </c>
      <c r="E1112">
        <f>IFERROR(__xludf.DUMMYFUNCTION("""COMPUTED_VALUE"""),0.29)</f>
        <v>0.29</v>
      </c>
      <c r="F1112">
        <f>IFERROR(__xludf.DUMMYFUNCTION("""COMPUTED_VALUE"""),0.85)</f>
        <v>0.85</v>
      </c>
      <c r="G1112">
        <f>IFERROR(__xludf.DUMMYFUNCTION("""COMPUTED_VALUE"""),3.53)</f>
        <v>3.53</v>
      </c>
    </row>
    <row r="1113">
      <c r="A1113">
        <f>IFERROR(__xludf.DUMMYFUNCTION("""COMPUTED_VALUE"""),170459.0)</f>
        <v>170459</v>
      </c>
      <c r="B1113" t="str">
        <f>IFERROR(__xludf.DUMMYFUNCTION("""COMPUTED_VALUE"""),"Canned Tomato Paste")</f>
        <v>Canned Tomato Paste</v>
      </c>
      <c r="C1113" t="str">
        <f>IFERROR(__xludf.DUMMYFUNCTION("""COMPUTED_VALUE"""),"Vegetables")</f>
        <v>Vegetables</v>
      </c>
      <c r="D1113">
        <f>IFERROR(__xludf.DUMMYFUNCTION("""COMPUTED_VALUE"""),82.0)</f>
        <v>82</v>
      </c>
      <c r="E1113">
        <f>IFERROR(__xludf.DUMMYFUNCTION("""COMPUTED_VALUE"""),0.47)</f>
        <v>0.47</v>
      </c>
      <c r="F1113">
        <f>IFERROR(__xludf.DUMMYFUNCTION("""COMPUTED_VALUE"""),4.32)</f>
        <v>4.32</v>
      </c>
      <c r="G1113">
        <f>IFERROR(__xludf.DUMMYFUNCTION("""COMPUTED_VALUE"""),18.91)</f>
        <v>18.91</v>
      </c>
    </row>
    <row r="1114">
      <c r="A1114">
        <f>IFERROR(__xludf.DUMMYFUNCTION("""COMPUTED_VALUE"""),170460.0)</f>
        <v>170460</v>
      </c>
      <c r="B1114" t="str">
        <f>IFERROR(__xludf.DUMMYFUNCTION("""COMPUTED_VALUE"""),"Canned Tomato Puree")</f>
        <v>Canned Tomato Puree</v>
      </c>
      <c r="C1114" t="str">
        <f>IFERROR(__xludf.DUMMYFUNCTION("""COMPUTED_VALUE"""),"Vegetables")</f>
        <v>Vegetables</v>
      </c>
      <c r="D1114">
        <f>IFERROR(__xludf.DUMMYFUNCTION("""COMPUTED_VALUE"""),38.0)</f>
        <v>38</v>
      </c>
      <c r="E1114">
        <f>IFERROR(__xludf.DUMMYFUNCTION("""COMPUTED_VALUE"""),0.21)</f>
        <v>0.21</v>
      </c>
      <c r="F1114">
        <f>IFERROR(__xludf.DUMMYFUNCTION("""COMPUTED_VALUE"""),1.65)</f>
        <v>1.65</v>
      </c>
      <c r="G1114">
        <f>IFERROR(__xludf.DUMMYFUNCTION("""COMPUTED_VALUE"""),8.98)</f>
        <v>8.98</v>
      </c>
    </row>
    <row r="1115">
      <c r="A1115">
        <f>IFERROR(__xludf.DUMMYFUNCTION("""COMPUTED_VALUE"""),170461.0)</f>
        <v>170461</v>
      </c>
      <c r="B1115" t="str">
        <f>IFERROR(__xludf.DUMMYFUNCTION("""COMPUTED_VALUE"""),"Tomato Powder")</f>
        <v>Tomato Powder</v>
      </c>
      <c r="C1115" t="str">
        <f>IFERROR(__xludf.DUMMYFUNCTION("""COMPUTED_VALUE"""),"Vegetables")</f>
        <v>Vegetables</v>
      </c>
      <c r="D1115">
        <f>IFERROR(__xludf.DUMMYFUNCTION("""COMPUTED_VALUE"""),302.0)</f>
        <v>302</v>
      </c>
      <c r="E1115">
        <f>IFERROR(__xludf.DUMMYFUNCTION("""COMPUTED_VALUE"""),0.44)</f>
        <v>0.44</v>
      </c>
      <c r="F1115">
        <f>IFERROR(__xludf.DUMMYFUNCTION("""COMPUTED_VALUE"""),12.91)</f>
        <v>12.91</v>
      </c>
      <c r="G1115">
        <f>IFERROR(__xludf.DUMMYFUNCTION("""COMPUTED_VALUE"""),74.68)</f>
        <v>74.68</v>
      </c>
    </row>
    <row r="1116">
      <c r="A1116">
        <f>IFERROR(__xludf.DUMMYFUNCTION("""COMPUTED_VALUE"""),170462.0)</f>
        <v>170462</v>
      </c>
      <c r="B1116" t="str">
        <f>IFERROR(__xludf.DUMMYFUNCTION("""COMPUTED_VALUE"""),"Tomato Products Canned Sauce With Onions Green Peppers And Celery")</f>
        <v>Tomato Products Canned Sauce With Onions Green Peppers And Celery</v>
      </c>
      <c r="C1116" t="str">
        <f>IFERROR(__xludf.DUMMYFUNCTION("""COMPUTED_VALUE"""),"Vegetables")</f>
        <v>Vegetables</v>
      </c>
      <c r="D1116">
        <f>IFERROR(__xludf.DUMMYFUNCTION("""COMPUTED_VALUE"""),41.0)</f>
        <v>41</v>
      </c>
      <c r="E1116">
        <f>IFERROR(__xludf.DUMMYFUNCTION("""COMPUTED_VALUE"""),0.74)</f>
        <v>0.74</v>
      </c>
      <c r="F1116">
        <f>IFERROR(__xludf.DUMMYFUNCTION("""COMPUTED_VALUE"""),0.94)</f>
        <v>0.94</v>
      </c>
      <c r="G1116">
        <f>IFERROR(__xludf.DUMMYFUNCTION("""COMPUTED_VALUE"""),8.77)</f>
        <v>8.77</v>
      </c>
    </row>
    <row r="1117">
      <c r="A1117">
        <f>IFERROR(__xludf.DUMMYFUNCTION("""COMPUTED_VALUE"""),170463.0)</f>
        <v>170463</v>
      </c>
      <c r="B1117" t="str">
        <f>IFERROR(__xludf.DUMMYFUNCTION("""COMPUTED_VALUE"""),"Tomato Products Canned Sauce With Tomato Tidbits")</f>
        <v>Tomato Products Canned Sauce With Tomato Tidbits</v>
      </c>
      <c r="C1117" t="str">
        <f>IFERROR(__xludf.DUMMYFUNCTION("""COMPUTED_VALUE"""),"Vegetables")</f>
        <v>Vegetables</v>
      </c>
      <c r="D1117">
        <f>IFERROR(__xludf.DUMMYFUNCTION("""COMPUTED_VALUE"""),32.0)</f>
        <v>32</v>
      </c>
      <c r="E1117">
        <f>IFERROR(__xludf.DUMMYFUNCTION("""COMPUTED_VALUE"""),0.39)</f>
        <v>0.39</v>
      </c>
      <c r="F1117">
        <f>IFERROR(__xludf.DUMMYFUNCTION("""COMPUTED_VALUE"""),1.32)</f>
        <v>1.32</v>
      </c>
      <c r="G1117">
        <f>IFERROR(__xludf.DUMMYFUNCTION("""COMPUTED_VALUE"""),7.09)</f>
        <v>7.09</v>
      </c>
    </row>
    <row r="1118">
      <c r="A1118">
        <f>IFERROR(__xludf.DUMMYFUNCTION("""COMPUTED_VALUE"""),170464.0)</f>
        <v>170464</v>
      </c>
      <c r="B1118" t="str">
        <f>IFERROR(__xludf.DUMMYFUNCTION("""COMPUTED_VALUE"""),"Tree Fern Cooked Without Salt")</f>
        <v>Tree Fern Cooked Without Salt</v>
      </c>
      <c r="C1118" t="str">
        <f>IFERROR(__xludf.DUMMYFUNCTION("""COMPUTED_VALUE"""),"Vegetables")</f>
        <v>Vegetables</v>
      </c>
      <c r="D1118">
        <f>IFERROR(__xludf.DUMMYFUNCTION("""COMPUTED_VALUE"""),40.0)</f>
        <v>40</v>
      </c>
      <c r="E1118">
        <f>IFERROR(__xludf.DUMMYFUNCTION("""COMPUTED_VALUE"""),0.07)</f>
        <v>0.07</v>
      </c>
      <c r="F1118">
        <f>IFERROR(__xludf.DUMMYFUNCTION("""COMPUTED_VALUE"""),0.29)</f>
        <v>0.29</v>
      </c>
      <c r="G1118">
        <f>IFERROR(__xludf.DUMMYFUNCTION("""COMPUTED_VALUE"""),10.98)</f>
        <v>10.98</v>
      </c>
    </row>
    <row r="1119">
      <c r="A1119">
        <f>IFERROR(__xludf.DUMMYFUNCTION("""COMPUTED_VALUE"""),170465.0)</f>
        <v>170465</v>
      </c>
      <c r="B1119" t="str">
        <f>IFERROR(__xludf.DUMMYFUNCTION("""COMPUTED_VALUE"""),"Turnips")</f>
        <v>Turnips</v>
      </c>
      <c r="C1119" t="str">
        <f>IFERROR(__xludf.DUMMYFUNCTION("""COMPUTED_VALUE"""),"Vegetables")</f>
        <v>Vegetables</v>
      </c>
      <c r="D1119">
        <f>IFERROR(__xludf.DUMMYFUNCTION("""COMPUTED_VALUE"""),28.0)</f>
        <v>28</v>
      </c>
      <c r="E1119">
        <f>IFERROR(__xludf.DUMMYFUNCTION("""COMPUTED_VALUE"""),0.1)</f>
        <v>0.1</v>
      </c>
      <c r="F1119">
        <f>IFERROR(__xludf.DUMMYFUNCTION("""COMPUTED_VALUE"""),0.9)</f>
        <v>0.9</v>
      </c>
      <c r="G1119">
        <f>IFERROR(__xludf.DUMMYFUNCTION("""COMPUTED_VALUE"""),6.43)</f>
        <v>6.43</v>
      </c>
    </row>
    <row r="1120">
      <c r="A1120">
        <f>IFERROR(__xludf.DUMMYFUNCTION("""COMPUTED_VALUE"""),170466.0)</f>
        <v>170466</v>
      </c>
      <c r="B1120" t="str">
        <f>IFERROR(__xludf.DUMMYFUNCTION("""COMPUTED_VALUE"""),"Cooked Turnip Greens")</f>
        <v>Cooked Turnip Greens</v>
      </c>
      <c r="C1120" t="str">
        <f>IFERROR(__xludf.DUMMYFUNCTION("""COMPUTED_VALUE"""),"Vegetables")</f>
        <v>Vegetables</v>
      </c>
      <c r="D1120">
        <f>IFERROR(__xludf.DUMMYFUNCTION("""COMPUTED_VALUE"""),20.0)</f>
        <v>20</v>
      </c>
      <c r="E1120">
        <f>IFERROR(__xludf.DUMMYFUNCTION("""COMPUTED_VALUE"""),0.23)</f>
        <v>0.23</v>
      </c>
      <c r="F1120">
        <f>IFERROR(__xludf.DUMMYFUNCTION("""COMPUTED_VALUE"""),1.14)</f>
        <v>1.14</v>
      </c>
      <c r="G1120">
        <f>IFERROR(__xludf.DUMMYFUNCTION("""COMPUTED_VALUE"""),4.36)</f>
        <v>4.36</v>
      </c>
    </row>
    <row r="1121">
      <c r="A1121">
        <f>IFERROR(__xludf.DUMMYFUNCTION("""COMPUTED_VALUE"""),170467.0)</f>
        <v>170467</v>
      </c>
      <c r="B1121" t="str">
        <f>IFERROR(__xludf.DUMMYFUNCTION("""COMPUTED_VALUE"""),"Turnip Greens Canned Solids And Liquids")</f>
        <v>Turnip Greens Canned Solids And Liquids</v>
      </c>
      <c r="C1121" t="str">
        <f>IFERROR(__xludf.DUMMYFUNCTION("""COMPUTED_VALUE"""),"Vegetables")</f>
        <v>Vegetables</v>
      </c>
      <c r="D1121">
        <f>IFERROR(__xludf.DUMMYFUNCTION("""COMPUTED_VALUE"""),14.0)</f>
        <v>14</v>
      </c>
      <c r="E1121">
        <f>IFERROR(__xludf.DUMMYFUNCTION("""COMPUTED_VALUE"""),0.3)</f>
        <v>0.3</v>
      </c>
      <c r="F1121">
        <f>IFERROR(__xludf.DUMMYFUNCTION("""COMPUTED_VALUE"""),1.36)</f>
        <v>1.36</v>
      </c>
      <c r="G1121">
        <f>IFERROR(__xludf.DUMMYFUNCTION("""COMPUTED_VALUE"""),2.42)</f>
        <v>2.42</v>
      </c>
    </row>
    <row r="1122">
      <c r="A1122">
        <f>IFERROR(__xludf.DUMMYFUNCTION("""COMPUTED_VALUE"""),170468.0)</f>
        <v>170468</v>
      </c>
      <c r="B1122" t="str">
        <f>IFERROR(__xludf.DUMMYFUNCTION("""COMPUTED_VALUE"""),"Turnip Greens Frozen Unprepared")</f>
        <v>Turnip Greens Frozen Unprepared</v>
      </c>
      <c r="C1122" t="str">
        <f>IFERROR(__xludf.DUMMYFUNCTION("""COMPUTED_VALUE"""),"Vegetables")</f>
        <v>Vegetables</v>
      </c>
      <c r="D1122">
        <f>IFERROR(__xludf.DUMMYFUNCTION("""COMPUTED_VALUE"""),22.0)</f>
        <v>22</v>
      </c>
      <c r="E1122">
        <f>IFERROR(__xludf.DUMMYFUNCTION("""COMPUTED_VALUE"""),0.31)</f>
        <v>0.31</v>
      </c>
      <c r="F1122">
        <f>IFERROR(__xludf.DUMMYFUNCTION("""COMPUTED_VALUE"""),2.47)</f>
        <v>2.47</v>
      </c>
      <c r="G1122">
        <f>IFERROR(__xludf.DUMMYFUNCTION("""COMPUTED_VALUE"""),3.67)</f>
        <v>3.67</v>
      </c>
    </row>
    <row r="1123">
      <c r="A1123">
        <f>IFERROR(__xludf.DUMMYFUNCTION("""COMPUTED_VALUE"""),170469.0)</f>
        <v>170469</v>
      </c>
      <c r="B1123" t="str">
        <f>IFERROR(__xludf.DUMMYFUNCTION("""COMPUTED_VALUE"""),"Turnip Greens Frozen Cooked Boiled Drained Without Salt")</f>
        <v>Turnip Greens Frozen Cooked Boiled Drained Without Salt</v>
      </c>
      <c r="C1123" t="str">
        <f>IFERROR(__xludf.DUMMYFUNCTION("""COMPUTED_VALUE"""),"Vegetables")</f>
        <v>Vegetables</v>
      </c>
      <c r="D1123">
        <f>IFERROR(__xludf.DUMMYFUNCTION("""COMPUTED_VALUE"""),29.0)</f>
        <v>29</v>
      </c>
      <c r="E1123">
        <f>IFERROR(__xludf.DUMMYFUNCTION("""COMPUTED_VALUE"""),0.42)</f>
        <v>0.42</v>
      </c>
      <c r="F1123">
        <f>IFERROR(__xludf.DUMMYFUNCTION("""COMPUTED_VALUE"""),3.35)</f>
        <v>3.35</v>
      </c>
      <c r="G1123">
        <f>IFERROR(__xludf.DUMMYFUNCTION("""COMPUTED_VALUE"""),4.98)</f>
        <v>4.98</v>
      </c>
    </row>
    <row r="1124">
      <c r="A1124">
        <f>IFERROR(__xludf.DUMMYFUNCTION("""COMPUTED_VALUE"""),170470.0)</f>
        <v>170470</v>
      </c>
      <c r="B1124" t="str">
        <f>IFERROR(__xludf.DUMMYFUNCTION("""COMPUTED_VALUE"""),"Turnip Greens And Turnips Frozen Unprepared")</f>
        <v>Turnip Greens And Turnips Frozen Unprepared</v>
      </c>
      <c r="C1124" t="str">
        <f>IFERROR(__xludf.DUMMYFUNCTION("""COMPUTED_VALUE"""),"Vegetables")</f>
        <v>Vegetables</v>
      </c>
      <c r="D1124">
        <f>IFERROR(__xludf.DUMMYFUNCTION("""COMPUTED_VALUE"""),21.0)</f>
        <v>21</v>
      </c>
      <c r="E1124">
        <f>IFERROR(__xludf.DUMMYFUNCTION("""COMPUTED_VALUE"""),0.19)</f>
        <v>0.19</v>
      </c>
      <c r="F1124">
        <f>IFERROR(__xludf.DUMMYFUNCTION("""COMPUTED_VALUE"""),2.46)</f>
        <v>2.46</v>
      </c>
      <c r="G1124">
        <f>IFERROR(__xludf.DUMMYFUNCTION("""COMPUTED_VALUE"""),3.39)</f>
        <v>3.39</v>
      </c>
    </row>
    <row r="1125">
      <c r="A1125">
        <f>IFERROR(__xludf.DUMMYFUNCTION("""COMPUTED_VALUE"""),170471.0)</f>
        <v>170471</v>
      </c>
      <c r="B1125" t="str">
        <f>IFERROR(__xludf.DUMMYFUNCTION("""COMPUTED_VALUE"""),"Vegetables Mixed Frozen Unprepared")</f>
        <v>Vegetables Mixed Frozen Unprepared</v>
      </c>
      <c r="C1125" t="str">
        <f>IFERROR(__xludf.DUMMYFUNCTION("""COMPUTED_VALUE"""),"Vegetables")</f>
        <v>Vegetables</v>
      </c>
      <c r="D1125">
        <f>IFERROR(__xludf.DUMMYFUNCTION("""COMPUTED_VALUE"""),72.0)</f>
        <v>72</v>
      </c>
      <c r="E1125">
        <f>IFERROR(__xludf.DUMMYFUNCTION("""COMPUTED_VALUE"""),0.52)</f>
        <v>0.52</v>
      </c>
      <c r="F1125">
        <f>IFERROR(__xludf.DUMMYFUNCTION("""COMPUTED_VALUE"""),3.33)</f>
        <v>3.33</v>
      </c>
      <c r="G1125">
        <f>IFERROR(__xludf.DUMMYFUNCTION("""COMPUTED_VALUE"""),13.47)</f>
        <v>13.47</v>
      </c>
    </row>
    <row r="1126">
      <c r="A1126">
        <f>IFERROR(__xludf.DUMMYFUNCTION("""COMPUTED_VALUE"""),170472.0)</f>
        <v>170472</v>
      </c>
      <c r="B1126" t="str">
        <f>IFERROR(__xludf.DUMMYFUNCTION("""COMPUTED_VALUE"""),"Vegetables Mixed Frozen Cooked Boiled Drained Without Salt")</f>
        <v>Vegetables Mixed Frozen Cooked Boiled Drained Without Salt</v>
      </c>
      <c r="C1126" t="str">
        <f>IFERROR(__xludf.DUMMYFUNCTION("""COMPUTED_VALUE"""),"Vegetables")</f>
        <v>Vegetables</v>
      </c>
      <c r="D1126">
        <f>IFERROR(__xludf.DUMMYFUNCTION("""COMPUTED_VALUE"""),65.0)</f>
        <v>65</v>
      </c>
      <c r="E1126">
        <f>IFERROR(__xludf.DUMMYFUNCTION("""COMPUTED_VALUE"""),0.15)</f>
        <v>0.15</v>
      </c>
      <c r="F1126">
        <f>IFERROR(__xludf.DUMMYFUNCTION("""COMPUTED_VALUE"""),2.86)</f>
        <v>2.86</v>
      </c>
      <c r="G1126">
        <f>IFERROR(__xludf.DUMMYFUNCTION("""COMPUTED_VALUE"""),13.09)</f>
        <v>13.09</v>
      </c>
    </row>
    <row r="1127">
      <c r="A1127">
        <f>IFERROR(__xludf.DUMMYFUNCTION("""COMPUTED_VALUE"""),170473.0)</f>
        <v>170473</v>
      </c>
      <c r="B1127" t="str">
        <f>IFERROR(__xludf.DUMMYFUNCTION("""COMPUTED_VALUE"""),"Vegetable Juice Cocktail Low Sodium Canned")</f>
        <v>Vegetable Juice Cocktail Low Sodium Canned</v>
      </c>
      <c r="C1127" t="str">
        <f>IFERROR(__xludf.DUMMYFUNCTION("""COMPUTED_VALUE"""),"Vegetables")</f>
        <v>Vegetables</v>
      </c>
      <c r="D1127">
        <f>IFERROR(__xludf.DUMMYFUNCTION("""COMPUTED_VALUE"""),19.0)</f>
        <v>19</v>
      </c>
      <c r="E1127">
        <f>IFERROR(__xludf.DUMMYFUNCTION("""COMPUTED_VALUE"""),0.32)</f>
        <v>0.32</v>
      </c>
      <c r="F1127">
        <f>IFERROR(__xludf.DUMMYFUNCTION("""COMPUTED_VALUE"""),0.91)</f>
        <v>0.91</v>
      </c>
      <c r="G1127">
        <f>IFERROR(__xludf.DUMMYFUNCTION("""COMPUTED_VALUE"""),3.83)</f>
        <v>3.83</v>
      </c>
    </row>
    <row r="1128">
      <c r="A1128">
        <f>IFERROR(__xludf.DUMMYFUNCTION("""COMPUTED_VALUE"""),170474.0)</f>
        <v>170474</v>
      </c>
      <c r="B1128" t="str">
        <f>IFERROR(__xludf.DUMMYFUNCTION("""COMPUTED_VALUE"""),"Vinespinach")</f>
        <v>Vinespinach</v>
      </c>
      <c r="C1128" t="str">
        <f>IFERROR(__xludf.DUMMYFUNCTION("""COMPUTED_VALUE"""),"Vegetables")</f>
        <v>Vegetables</v>
      </c>
      <c r="D1128">
        <f>IFERROR(__xludf.DUMMYFUNCTION("""COMPUTED_VALUE"""),19.0)</f>
        <v>19</v>
      </c>
      <c r="E1128">
        <f>IFERROR(__xludf.DUMMYFUNCTION("""COMPUTED_VALUE"""),0.3)</f>
        <v>0.3</v>
      </c>
      <c r="F1128">
        <f>IFERROR(__xludf.DUMMYFUNCTION("""COMPUTED_VALUE"""),1.8)</f>
        <v>1.8</v>
      </c>
      <c r="G1128">
        <f>IFERROR(__xludf.DUMMYFUNCTION("""COMPUTED_VALUE"""),3.4)</f>
        <v>3.4</v>
      </c>
    </row>
    <row r="1129">
      <c r="A1129">
        <f>IFERROR(__xludf.DUMMYFUNCTION("""COMPUTED_VALUE"""),170475.0)</f>
        <v>170475</v>
      </c>
      <c r="B1129" t="str">
        <f>IFERROR(__xludf.DUMMYFUNCTION("""COMPUTED_VALUE"""),"Waxgourd (Chinese Preserving Melon) Cooked Boiled Drained Without Salt")</f>
        <v>Waxgourd (Chinese Preserving Melon) Cooked Boiled Drained Without Salt</v>
      </c>
      <c r="C1129" t="str">
        <f>IFERROR(__xludf.DUMMYFUNCTION("""COMPUTED_VALUE"""),"Vegetables")</f>
        <v>Vegetables</v>
      </c>
      <c r="D1129">
        <f>IFERROR(__xludf.DUMMYFUNCTION("""COMPUTED_VALUE"""),14.0)</f>
        <v>14</v>
      </c>
      <c r="E1129">
        <f>IFERROR(__xludf.DUMMYFUNCTION("""COMPUTED_VALUE"""),0.2)</f>
        <v>0.2</v>
      </c>
      <c r="F1129">
        <f>IFERROR(__xludf.DUMMYFUNCTION("""COMPUTED_VALUE"""),0.4)</f>
        <v>0.4</v>
      </c>
      <c r="G1129">
        <f>IFERROR(__xludf.DUMMYFUNCTION("""COMPUTED_VALUE"""),3.04)</f>
        <v>3.04</v>
      </c>
    </row>
    <row r="1130">
      <c r="A1130">
        <f>IFERROR(__xludf.DUMMYFUNCTION("""COMPUTED_VALUE"""),170476.0)</f>
        <v>170476</v>
      </c>
      <c r="B1130" t="str">
        <f>IFERROR(__xludf.DUMMYFUNCTION("""COMPUTED_VALUE"""),"Winged Beans Immature Seeds Raw")</f>
        <v>Winged Beans Immature Seeds Raw</v>
      </c>
      <c r="C1130" t="str">
        <f>IFERROR(__xludf.DUMMYFUNCTION("""COMPUTED_VALUE"""),"Vegetables")</f>
        <v>Vegetables</v>
      </c>
      <c r="D1130">
        <f>IFERROR(__xludf.DUMMYFUNCTION("""COMPUTED_VALUE"""),49.0)</f>
        <v>49</v>
      </c>
      <c r="E1130">
        <f>IFERROR(__xludf.DUMMYFUNCTION("""COMPUTED_VALUE"""),0.87)</f>
        <v>0.87</v>
      </c>
      <c r="F1130">
        <f>IFERROR(__xludf.DUMMYFUNCTION("""COMPUTED_VALUE"""),6.95)</f>
        <v>6.95</v>
      </c>
      <c r="G1130">
        <f>IFERROR(__xludf.DUMMYFUNCTION("""COMPUTED_VALUE"""),4.31)</f>
        <v>4.31</v>
      </c>
    </row>
    <row r="1131">
      <c r="A1131">
        <f>IFERROR(__xludf.DUMMYFUNCTION("""COMPUTED_VALUE"""),170477.0)</f>
        <v>170477</v>
      </c>
      <c r="B1131" t="str">
        <f>IFERROR(__xludf.DUMMYFUNCTION("""COMPUTED_VALUE"""),"Winged Beans Immature Seeds Cooked Boiled Drained Without Salt")</f>
        <v>Winged Beans Immature Seeds Cooked Boiled Drained Without Salt</v>
      </c>
      <c r="C1131" t="str">
        <f>IFERROR(__xludf.DUMMYFUNCTION("""COMPUTED_VALUE"""),"Vegetables")</f>
        <v>Vegetables</v>
      </c>
      <c r="D1131">
        <f>IFERROR(__xludf.DUMMYFUNCTION("""COMPUTED_VALUE"""),38.0)</f>
        <v>38</v>
      </c>
      <c r="E1131">
        <f>IFERROR(__xludf.DUMMYFUNCTION("""COMPUTED_VALUE"""),0.66)</f>
        <v>0.66</v>
      </c>
      <c r="F1131">
        <f>IFERROR(__xludf.DUMMYFUNCTION("""COMPUTED_VALUE"""),5.31)</f>
        <v>5.31</v>
      </c>
      <c r="G1131">
        <f>IFERROR(__xludf.DUMMYFUNCTION("""COMPUTED_VALUE"""),3.21)</f>
        <v>3.21</v>
      </c>
    </row>
    <row r="1132">
      <c r="A1132">
        <f>IFERROR(__xludf.DUMMYFUNCTION("""COMPUTED_VALUE"""),170478.0)</f>
        <v>170478</v>
      </c>
      <c r="B1132" t="str">
        <f>IFERROR(__xludf.DUMMYFUNCTION("""COMPUTED_VALUE"""),"Winged Bean Leaves Raw")</f>
        <v>Winged Bean Leaves Raw</v>
      </c>
      <c r="C1132" t="str">
        <f>IFERROR(__xludf.DUMMYFUNCTION("""COMPUTED_VALUE"""),"Vegetables")</f>
        <v>Vegetables</v>
      </c>
      <c r="D1132">
        <f>IFERROR(__xludf.DUMMYFUNCTION("""COMPUTED_VALUE"""),74.0)</f>
        <v>74</v>
      </c>
      <c r="E1132">
        <f>IFERROR(__xludf.DUMMYFUNCTION("""COMPUTED_VALUE"""),1.1)</f>
        <v>1.1</v>
      </c>
      <c r="F1132">
        <f>IFERROR(__xludf.DUMMYFUNCTION("""COMPUTED_VALUE"""),5.85)</f>
        <v>5.85</v>
      </c>
      <c r="G1132">
        <f>IFERROR(__xludf.DUMMYFUNCTION("""COMPUTED_VALUE"""),14.1)</f>
        <v>14.1</v>
      </c>
    </row>
    <row r="1133">
      <c r="A1133">
        <f>IFERROR(__xludf.DUMMYFUNCTION("""COMPUTED_VALUE"""),170479.0)</f>
        <v>170479</v>
      </c>
      <c r="B1133" t="str">
        <f>IFERROR(__xludf.DUMMYFUNCTION("""COMPUTED_VALUE"""),"Beets Harvard Canned Solids And Liquids")</f>
        <v>Beets Harvard Canned Solids And Liquids</v>
      </c>
      <c r="C1133" t="str">
        <f>IFERROR(__xludf.DUMMYFUNCTION("""COMPUTED_VALUE"""),"Vegetables")</f>
        <v>Vegetables</v>
      </c>
      <c r="D1133">
        <f>IFERROR(__xludf.DUMMYFUNCTION("""COMPUTED_VALUE"""),73.0)</f>
        <v>73</v>
      </c>
      <c r="E1133">
        <f>IFERROR(__xludf.DUMMYFUNCTION("""COMPUTED_VALUE"""),0.06)</f>
        <v>0.06</v>
      </c>
      <c r="F1133">
        <f>IFERROR(__xludf.DUMMYFUNCTION("""COMPUTED_VALUE"""),0.84)</f>
        <v>0.84</v>
      </c>
      <c r="G1133">
        <f>IFERROR(__xludf.DUMMYFUNCTION("""COMPUTED_VALUE"""),18.18)</f>
        <v>18.18</v>
      </c>
    </row>
    <row r="1134">
      <c r="A1134">
        <f>IFERROR(__xludf.DUMMYFUNCTION("""COMPUTED_VALUE"""),170480.0)</f>
        <v>170480</v>
      </c>
      <c r="B1134" t="str">
        <f>IFERROR(__xludf.DUMMYFUNCTION("""COMPUTED_VALUE"""),"Pickled Beets")</f>
        <v>Pickled Beets</v>
      </c>
      <c r="C1134" t="str">
        <f>IFERROR(__xludf.DUMMYFUNCTION("""COMPUTED_VALUE"""),"Vegetables")</f>
        <v>Vegetables</v>
      </c>
      <c r="D1134">
        <f>IFERROR(__xludf.DUMMYFUNCTION("""COMPUTED_VALUE"""),65.0)</f>
        <v>65</v>
      </c>
      <c r="E1134">
        <f>IFERROR(__xludf.DUMMYFUNCTION("""COMPUTED_VALUE"""),0.08)</f>
        <v>0.08</v>
      </c>
      <c r="F1134">
        <f>IFERROR(__xludf.DUMMYFUNCTION("""COMPUTED_VALUE"""),0.8)</f>
        <v>0.8</v>
      </c>
      <c r="G1134">
        <f>IFERROR(__xludf.DUMMYFUNCTION("""COMPUTED_VALUE"""),16.28)</f>
        <v>16.28</v>
      </c>
    </row>
    <row r="1135">
      <c r="A1135">
        <f>IFERROR(__xludf.DUMMYFUNCTION("""COMPUTED_VALUE"""),170481.0)</f>
        <v>170481</v>
      </c>
      <c r="B1135" t="str">
        <f>IFERROR(__xludf.DUMMYFUNCTION("""COMPUTED_VALUE"""),"Borage Raw")</f>
        <v>Borage Raw</v>
      </c>
      <c r="C1135" t="str">
        <f>IFERROR(__xludf.DUMMYFUNCTION("""COMPUTED_VALUE"""),"Vegetables")</f>
        <v>Vegetables</v>
      </c>
      <c r="D1135">
        <f>IFERROR(__xludf.DUMMYFUNCTION("""COMPUTED_VALUE"""),21.0)</f>
        <v>21</v>
      </c>
      <c r="E1135">
        <f>IFERROR(__xludf.DUMMYFUNCTION("""COMPUTED_VALUE"""),0.7)</f>
        <v>0.7</v>
      </c>
      <c r="F1135">
        <f>IFERROR(__xludf.DUMMYFUNCTION("""COMPUTED_VALUE"""),1.8)</f>
        <v>1.8</v>
      </c>
      <c r="G1135">
        <f>IFERROR(__xludf.DUMMYFUNCTION("""COMPUTED_VALUE"""),3.06)</f>
        <v>3.06</v>
      </c>
    </row>
    <row r="1136">
      <c r="A1136">
        <f>IFERROR(__xludf.DUMMYFUNCTION("""COMPUTED_VALUE"""),170482.0)</f>
        <v>170482</v>
      </c>
      <c r="B1136" t="str">
        <f>IFERROR(__xludf.DUMMYFUNCTION("""COMPUTED_VALUE"""),"Borage Cooked Boiled Drained Without Salt")</f>
        <v>Borage Cooked Boiled Drained Without Salt</v>
      </c>
      <c r="C1136" t="str">
        <f>IFERROR(__xludf.DUMMYFUNCTION("""COMPUTED_VALUE"""),"Vegetables")</f>
        <v>Vegetables</v>
      </c>
      <c r="D1136">
        <f>IFERROR(__xludf.DUMMYFUNCTION("""COMPUTED_VALUE"""),25.0)</f>
        <v>25</v>
      </c>
      <c r="E1136">
        <f>IFERROR(__xludf.DUMMYFUNCTION("""COMPUTED_VALUE"""),0.81)</f>
        <v>0.81</v>
      </c>
      <c r="F1136">
        <f>IFERROR(__xludf.DUMMYFUNCTION("""COMPUTED_VALUE"""),2.09)</f>
        <v>2.09</v>
      </c>
      <c r="G1136">
        <f>IFERROR(__xludf.DUMMYFUNCTION("""COMPUTED_VALUE"""),3.55)</f>
        <v>3.55</v>
      </c>
    </row>
    <row r="1137">
      <c r="A1137">
        <f>IFERROR(__xludf.DUMMYFUNCTION("""COMPUTED_VALUE"""),170483.0)</f>
        <v>170483</v>
      </c>
      <c r="B1137" t="str">
        <f>IFERROR(__xludf.DUMMYFUNCTION("""COMPUTED_VALUE"""),"Drumstick Pods Raw")</f>
        <v>Drumstick Pods Raw</v>
      </c>
      <c r="C1137" t="str">
        <f>IFERROR(__xludf.DUMMYFUNCTION("""COMPUTED_VALUE"""),"Vegetables")</f>
        <v>Vegetables</v>
      </c>
      <c r="D1137">
        <f>IFERROR(__xludf.DUMMYFUNCTION("""COMPUTED_VALUE"""),37.0)</f>
        <v>37</v>
      </c>
      <c r="E1137">
        <f>IFERROR(__xludf.DUMMYFUNCTION("""COMPUTED_VALUE"""),0.2)</f>
        <v>0.2</v>
      </c>
      <c r="F1137">
        <f>IFERROR(__xludf.DUMMYFUNCTION("""COMPUTED_VALUE"""),2.1)</f>
        <v>2.1</v>
      </c>
      <c r="G1137">
        <f>IFERROR(__xludf.DUMMYFUNCTION("""COMPUTED_VALUE"""),8.53)</f>
        <v>8.53</v>
      </c>
    </row>
    <row r="1138">
      <c r="A1138">
        <f>IFERROR(__xludf.DUMMYFUNCTION("""COMPUTED_VALUE"""),170484.0)</f>
        <v>170484</v>
      </c>
      <c r="B1138" t="str">
        <f>IFERROR(__xludf.DUMMYFUNCTION("""COMPUTED_VALUE"""),"Drumstick Pods Cooked Boiled Drained Without Salt")</f>
        <v>Drumstick Pods Cooked Boiled Drained Without Salt</v>
      </c>
      <c r="C1138" t="str">
        <f>IFERROR(__xludf.DUMMYFUNCTION("""COMPUTED_VALUE"""),"Vegetables")</f>
        <v>Vegetables</v>
      </c>
      <c r="D1138">
        <f>IFERROR(__xludf.DUMMYFUNCTION("""COMPUTED_VALUE"""),36.0)</f>
        <v>36</v>
      </c>
      <c r="E1138">
        <f>IFERROR(__xludf.DUMMYFUNCTION("""COMPUTED_VALUE"""),0.19)</f>
        <v>0.19</v>
      </c>
      <c r="F1138">
        <f>IFERROR(__xludf.DUMMYFUNCTION("""COMPUTED_VALUE"""),2.09)</f>
        <v>2.09</v>
      </c>
      <c r="G1138">
        <f>IFERROR(__xludf.DUMMYFUNCTION("""COMPUTED_VALUE"""),8.18)</f>
        <v>8.18</v>
      </c>
    </row>
    <row r="1139">
      <c r="A1139">
        <f>IFERROR(__xludf.DUMMYFUNCTION("""COMPUTED_VALUE"""),170485.0)</f>
        <v>170485</v>
      </c>
      <c r="B1139" t="str">
        <f>IFERROR(__xludf.DUMMYFUNCTION("""COMPUTED_VALUE"""),"Leeks (Bulb And Lower-Leaf Portion) Freeze-Dried")</f>
        <v>Leeks (Bulb And Lower-Leaf Portion) Freeze-Dried</v>
      </c>
      <c r="C1139" t="str">
        <f>IFERROR(__xludf.DUMMYFUNCTION("""COMPUTED_VALUE"""),"Vegetables")</f>
        <v>Vegetables</v>
      </c>
      <c r="D1139">
        <f>IFERROR(__xludf.DUMMYFUNCTION("""COMPUTED_VALUE"""),321.0)</f>
        <v>321</v>
      </c>
      <c r="E1139">
        <f>IFERROR(__xludf.DUMMYFUNCTION("""COMPUTED_VALUE"""),2.1)</f>
        <v>2.1</v>
      </c>
      <c r="F1139">
        <f>IFERROR(__xludf.DUMMYFUNCTION("""COMPUTED_VALUE"""),15.2)</f>
        <v>15.2</v>
      </c>
      <c r="G1139">
        <f>IFERROR(__xludf.DUMMYFUNCTION("""COMPUTED_VALUE"""),74.65)</f>
        <v>74.65</v>
      </c>
    </row>
    <row r="1140">
      <c r="A1140">
        <f>IFERROR(__xludf.DUMMYFUNCTION("""COMPUTED_VALUE"""),170486.0)</f>
        <v>170486</v>
      </c>
      <c r="B1140" t="str">
        <f>IFERROR(__xludf.DUMMYFUNCTION("""COMPUTED_VALUE"""),"Freeze-Dried Parsley")</f>
        <v>Freeze-Dried Parsley</v>
      </c>
      <c r="C1140" t="str">
        <f>IFERROR(__xludf.DUMMYFUNCTION("""COMPUTED_VALUE"""),"Vegetables")</f>
        <v>Vegetables</v>
      </c>
      <c r="D1140">
        <f>IFERROR(__xludf.DUMMYFUNCTION("""COMPUTED_VALUE"""),271.0)</f>
        <v>271</v>
      </c>
      <c r="E1140">
        <f>IFERROR(__xludf.DUMMYFUNCTION("""COMPUTED_VALUE"""),5.2)</f>
        <v>5.2</v>
      </c>
      <c r="F1140">
        <f>IFERROR(__xludf.DUMMYFUNCTION("""COMPUTED_VALUE"""),31.3)</f>
        <v>31.3</v>
      </c>
      <c r="G1140">
        <f>IFERROR(__xludf.DUMMYFUNCTION("""COMPUTED_VALUE"""),42.38)</f>
        <v>42.38</v>
      </c>
    </row>
    <row r="1141">
      <c r="A1141">
        <f>IFERROR(__xludf.DUMMYFUNCTION("""COMPUTED_VALUE"""),170487.0)</f>
        <v>170487</v>
      </c>
      <c r="B1141" t="str">
        <f>IFERROR(__xludf.DUMMYFUNCTION("""COMPUTED_VALUE"""),"Summer Squash")</f>
        <v>Summer Squash</v>
      </c>
      <c r="C1141" t="str">
        <f>IFERROR(__xludf.DUMMYFUNCTION("""COMPUTED_VALUE"""),"Vegetables")</f>
        <v>Vegetables</v>
      </c>
      <c r="D1141">
        <f>IFERROR(__xludf.DUMMYFUNCTION("""COMPUTED_VALUE"""),16.0)</f>
        <v>16</v>
      </c>
      <c r="E1141">
        <f>IFERROR(__xludf.DUMMYFUNCTION("""COMPUTED_VALUE"""),0.18)</f>
        <v>0.18</v>
      </c>
      <c r="F1141">
        <f>IFERROR(__xludf.DUMMYFUNCTION("""COMPUTED_VALUE"""),1.21)</f>
        <v>1.21</v>
      </c>
      <c r="G1141">
        <f>IFERROR(__xludf.DUMMYFUNCTION("""COMPUTED_VALUE"""),3.35)</f>
        <v>3.35</v>
      </c>
    </row>
    <row r="1142">
      <c r="A1142">
        <f>IFERROR(__xludf.DUMMYFUNCTION("""COMPUTED_VALUE"""),170488.0)</f>
        <v>170488</v>
      </c>
      <c r="B1142" t="str">
        <f>IFERROR(__xludf.DUMMYFUNCTION("""COMPUTED_VALUE"""),"Cooked Summer Squash")</f>
        <v>Cooked Summer Squash</v>
      </c>
      <c r="C1142" t="str">
        <f>IFERROR(__xludf.DUMMYFUNCTION("""COMPUTED_VALUE"""),"Vegetables")</f>
        <v>Vegetables</v>
      </c>
      <c r="D1142">
        <f>IFERROR(__xludf.DUMMYFUNCTION("""COMPUTED_VALUE"""),20.0)</f>
        <v>20</v>
      </c>
      <c r="E1142">
        <f>IFERROR(__xludf.DUMMYFUNCTION("""COMPUTED_VALUE"""),0.31)</f>
        <v>0.31</v>
      </c>
      <c r="F1142">
        <f>IFERROR(__xludf.DUMMYFUNCTION("""COMPUTED_VALUE"""),0.91)</f>
        <v>0.91</v>
      </c>
      <c r="G1142">
        <f>IFERROR(__xludf.DUMMYFUNCTION("""COMPUTED_VALUE"""),4.31)</f>
        <v>4.31</v>
      </c>
    </row>
    <row r="1143">
      <c r="A1143">
        <f>IFERROR(__xludf.DUMMYFUNCTION("""COMPUTED_VALUE"""),170489.0)</f>
        <v>170489</v>
      </c>
      <c r="B1143" t="str">
        <f>IFERROR(__xludf.DUMMYFUNCTION("""COMPUTED_VALUE"""),"Winter Squash")</f>
        <v>Winter Squash</v>
      </c>
      <c r="C1143" t="str">
        <f>IFERROR(__xludf.DUMMYFUNCTION("""COMPUTED_VALUE"""),"Vegetables")</f>
        <v>Vegetables</v>
      </c>
      <c r="D1143">
        <f>IFERROR(__xludf.DUMMYFUNCTION("""COMPUTED_VALUE"""),34.0)</f>
        <v>34</v>
      </c>
      <c r="E1143">
        <f>IFERROR(__xludf.DUMMYFUNCTION("""COMPUTED_VALUE"""),0.13)</f>
        <v>0.13</v>
      </c>
      <c r="F1143">
        <f>IFERROR(__xludf.DUMMYFUNCTION("""COMPUTED_VALUE"""),0.95)</f>
        <v>0.95</v>
      </c>
      <c r="G1143">
        <f>IFERROR(__xludf.DUMMYFUNCTION("""COMPUTED_VALUE"""),8.59)</f>
        <v>8.59</v>
      </c>
    </row>
    <row r="1144">
      <c r="A1144">
        <f>IFERROR(__xludf.DUMMYFUNCTION("""COMPUTED_VALUE"""),170490.0)</f>
        <v>170490</v>
      </c>
      <c r="B1144" t="str">
        <f>IFERROR(__xludf.DUMMYFUNCTION("""COMPUTED_VALUE"""),"Cooked Winter Squash")</f>
        <v>Cooked Winter Squash</v>
      </c>
      <c r="C1144" t="str">
        <f>IFERROR(__xludf.DUMMYFUNCTION("""COMPUTED_VALUE"""),"Vegetables")</f>
        <v>Vegetables</v>
      </c>
      <c r="D1144">
        <f>IFERROR(__xludf.DUMMYFUNCTION("""COMPUTED_VALUE"""),37.0)</f>
        <v>37</v>
      </c>
      <c r="E1144">
        <f>IFERROR(__xludf.DUMMYFUNCTION("""COMPUTED_VALUE"""),0.35)</f>
        <v>0.35</v>
      </c>
      <c r="F1144">
        <f>IFERROR(__xludf.DUMMYFUNCTION("""COMPUTED_VALUE"""),0.89)</f>
        <v>0.89</v>
      </c>
      <c r="G1144">
        <f>IFERROR(__xludf.DUMMYFUNCTION("""COMPUTED_VALUE"""),8.85)</f>
        <v>8.85</v>
      </c>
    </row>
    <row r="1145">
      <c r="A1145">
        <f>IFERROR(__xludf.DUMMYFUNCTION("""COMPUTED_VALUE"""),170491.0)</f>
        <v>170491</v>
      </c>
      <c r="B1145" t="str">
        <f>IFERROR(__xludf.DUMMYFUNCTION("""COMPUTED_VALUE"""),"Carrot Juice Canned")</f>
        <v>Carrot Juice Canned</v>
      </c>
      <c r="C1145" t="str">
        <f>IFERROR(__xludf.DUMMYFUNCTION("""COMPUTED_VALUE"""),"Vegetables")</f>
        <v>Vegetables</v>
      </c>
      <c r="D1145">
        <f>IFERROR(__xludf.DUMMYFUNCTION("""COMPUTED_VALUE"""),40.0)</f>
        <v>40</v>
      </c>
      <c r="E1145">
        <f>IFERROR(__xludf.DUMMYFUNCTION("""COMPUTED_VALUE"""),0.15)</f>
        <v>0.15</v>
      </c>
      <c r="F1145">
        <f>IFERROR(__xludf.DUMMYFUNCTION("""COMPUTED_VALUE"""),0.95)</f>
        <v>0.95</v>
      </c>
      <c r="G1145">
        <f>IFERROR(__xludf.DUMMYFUNCTION("""COMPUTED_VALUE"""),9.28)</f>
        <v>9.28</v>
      </c>
    </row>
    <row r="1146">
      <c r="A1146">
        <f>IFERROR(__xludf.DUMMYFUNCTION("""COMPUTED_VALUE"""),170492.0)</f>
        <v>170492</v>
      </c>
      <c r="B1146" t="str">
        <f>IFERROR(__xludf.DUMMYFUNCTION("""COMPUTED_VALUE"""),"Corn Pudding Home Prepared")</f>
        <v>Corn Pudding Home Prepared</v>
      </c>
      <c r="C1146" t="str">
        <f>IFERROR(__xludf.DUMMYFUNCTION("""COMPUTED_VALUE"""),"Vegetables")</f>
        <v>Vegetables</v>
      </c>
      <c r="D1146">
        <f>IFERROR(__xludf.DUMMYFUNCTION("""COMPUTED_VALUE"""),131.0)</f>
        <v>131</v>
      </c>
      <c r="E1146">
        <f>IFERROR(__xludf.DUMMYFUNCTION("""COMPUTED_VALUE"""),5.04)</f>
        <v>5.04</v>
      </c>
      <c r="F1146">
        <f>IFERROR(__xludf.DUMMYFUNCTION("""COMPUTED_VALUE"""),4.42)</f>
        <v>4.42</v>
      </c>
      <c r="G1146">
        <f>IFERROR(__xludf.DUMMYFUNCTION("""COMPUTED_VALUE"""),16.97)</f>
        <v>16.97</v>
      </c>
    </row>
    <row r="1147">
      <c r="A1147">
        <f>IFERROR(__xludf.DUMMYFUNCTION("""COMPUTED_VALUE"""),170493.0)</f>
        <v>170493</v>
      </c>
      <c r="B1147" t="str">
        <f>IFERROR(__xludf.DUMMYFUNCTION("""COMPUTED_VALUE"""),"Potatoes Mashed Home-Prepared Whole Milk Added")</f>
        <v>Potatoes Mashed Home-Prepared Whole Milk Added</v>
      </c>
      <c r="C1147" t="str">
        <f>IFERROR(__xludf.DUMMYFUNCTION("""COMPUTED_VALUE"""),"Vegetables")</f>
        <v>Vegetables</v>
      </c>
      <c r="D1147">
        <f>IFERROR(__xludf.DUMMYFUNCTION("""COMPUTED_VALUE"""),83.0)</f>
        <v>83</v>
      </c>
      <c r="E1147">
        <f>IFERROR(__xludf.DUMMYFUNCTION("""COMPUTED_VALUE"""),0.57)</f>
        <v>0.57</v>
      </c>
      <c r="F1147">
        <f>IFERROR(__xludf.DUMMYFUNCTION("""COMPUTED_VALUE"""),1.91)</f>
        <v>1.91</v>
      </c>
      <c r="G1147">
        <f>IFERROR(__xludf.DUMMYFUNCTION("""COMPUTED_VALUE"""),17.57)</f>
        <v>17.57</v>
      </c>
    </row>
    <row r="1148">
      <c r="A1148">
        <f>IFERROR(__xludf.DUMMYFUNCTION("""COMPUTED_VALUE"""),170494.0)</f>
        <v>170494</v>
      </c>
      <c r="B1148" t="str">
        <f>IFERROR(__xludf.DUMMYFUNCTION("""COMPUTED_VALUE"""),"Spinach Souffle")</f>
        <v>Spinach Souffle</v>
      </c>
      <c r="C1148" t="str">
        <f>IFERROR(__xludf.DUMMYFUNCTION("""COMPUTED_VALUE"""),"Vegetables")</f>
        <v>Vegetables</v>
      </c>
      <c r="D1148">
        <f>IFERROR(__xludf.DUMMYFUNCTION("""COMPUTED_VALUE"""),172.0)</f>
        <v>172</v>
      </c>
      <c r="E1148">
        <f>IFERROR(__xludf.DUMMYFUNCTION("""COMPUTED_VALUE"""),12.95)</f>
        <v>12.95</v>
      </c>
      <c r="F1148">
        <f>IFERROR(__xludf.DUMMYFUNCTION("""COMPUTED_VALUE"""),7.89)</f>
        <v>7.89</v>
      </c>
      <c r="G1148">
        <f>IFERROR(__xludf.DUMMYFUNCTION("""COMPUTED_VALUE"""),5.9)</f>
        <v>5.9</v>
      </c>
    </row>
    <row r="1149">
      <c r="A1149">
        <f>IFERROR(__xludf.DUMMYFUNCTION("""COMPUTED_VALUE"""),170495.0)</f>
        <v>170495</v>
      </c>
      <c r="B1149" t="str">
        <f>IFERROR(__xludf.DUMMYFUNCTION("""COMPUTED_VALUE"""),"Dried Spirulina Seaweed")</f>
        <v>Dried Spirulina Seaweed</v>
      </c>
      <c r="C1149" t="str">
        <f>IFERROR(__xludf.DUMMYFUNCTION("""COMPUTED_VALUE"""),"Vegetables")</f>
        <v>Vegetables</v>
      </c>
      <c r="D1149">
        <f>IFERROR(__xludf.DUMMYFUNCTION("""COMPUTED_VALUE"""),290.0)</f>
        <v>290</v>
      </c>
      <c r="E1149">
        <f>IFERROR(__xludf.DUMMYFUNCTION("""COMPUTED_VALUE"""),7.72)</f>
        <v>7.72</v>
      </c>
      <c r="F1149">
        <f>IFERROR(__xludf.DUMMYFUNCTION("""COMPUTED_VALUE"""),57.47)</f>
        <v>57.47</v>
      </c>
      <c r="G1149">
        <f>IFERROR(__xludf.DUMMYFUNCTION("""COMPUTED_VALUE"""),23.9)</f>
        <v>23.9</v>
      </c>
    </row>
    <row r="1150">
      <c r="A1150">
        <f>IFERROR(__xludf.DUMMYFUNCTION("""COMPUTED_VALUE"""),170496.0)</f>
        <v>170496</v>
      </c>
      <c r="B1150" t="str">
        <f>IFERROR(__xludf.DUMMYFUNCTION("""COMPUTED_VALUE"""),"Wakame")</f>
        <v>Wakame</v>
      </c>
      <c r="C1150" t="str">
        <f>IFERROR(__xludf.DUMMYFUNCTION("""COMPUTED_VALUE"""),"Vegetables")</f>
        <v>Vegetables</v>
      </c>
      <c r="D1150">
        <f>IFERROR(__xludf.DUMMYFUNCTION("""COMPUTED_VALUE"""),45.0)</f>
        <v>45</v>
      </c>
      <c r="E1150">
        <f>IFERROR(__xludf.DUMMYFUNCTION("""COMPUTED_VALUE"""),0.64)</f>
        <v>0.64</v>
      </c>
      <c r="F1150">
        <f>IFERROR(__xludf.DUMMYFUNCTION("""COMPUTED_VALUE"""),3.03)</f>
        <v>3.03</v>
      </c>
      <c r="G1150">
        <f>IFERROR(__xludf.DUMMYFUNCTION("""COMPUTED_VALUE"""),9.14)</f>
        <v>9.14</v>
      </c>
    </row>
    <row r="1151">
      <c r="A1151">
        <f>IFERROR(__xludf.DUMMYFUNCTION("""COMPUTED_VALUE"""),170497.0)</f>
        <v>170497</v>
      </c>
      <c r="B1151" t="str">
        <f>IFERROR(__xludf.DUMMYFUNCTION("""COMPUTED_VALUE"""),"Hot Green Chili Peppers")</f>
        <v>Hot Green Chili Peppers</v>
      </c>
      <c r="C1151" t="str">
        <f>IFERROR(__xludf.DUMMYFUNCTION("""COMPUTED_VALUE"""),"Vegetables")</f>
        <v>Vegetables</v>
      </c>
      <c r="D1151">
        <f>IFERROR(__xludf.DUMMYFUNCTION("""COMPUTED_VALUE"""),40.0)</f>
        <v>40</v>
      </c>
      <c r="E1151">
        <f>IFERROR(__xludf.DUMMYFUNCTION("""COMPUTED_VALUE"""),0.2)</f>
        <v>0.2</v>
      </c>
      <c r="F1151">
        <f>IFERROR(__xludf.DUMMYFUNCTION("""COMPUTED_VALUE"""),2.0)</f>
        <v>2</v>
      </c>
      <c r="G1151">
        <f>IFERROR(__xludf.DUMMYFUNCTION("""COMPUTED_VALUE"""),9.46)</f>
        <v>9.46</v>
      </c>
    </row>
    <row r="1152">
      <c r="A1152">
        <f>IFERROR(__xludf.DUMMYFUNCTION("""COMPUTED_VALUE"""),170498.0)</f>
        <v>170498</v>
      </c>
      <c r="B1152" t="str">
        <f>IFERROR(__xludf.DUMMYFUNCTION("""COMPUTED_VALUE"""),"Potatoes Obrien Home-Prepared")</f>
        <v>Potatoes Obrien Home-Prepared</v>
      </c>
      <c r="C1152" t="str">
        <f>IFERROR(__xludf.DUMMYFUNCTION("""COMPUTED_VALUE"""),"Vegetables")</f>
        <v>Vegetables</v>
      </c>
      <c r="D1152">
        <f>IFERROR(__xludf.DUMMYFUNCTION("""COMPUTED_VALUE"""),81.0)</f>
        <v>81</v>
      </c>
      <c r="E1152">
        <f>IFERROR(__xludf.DUMMYFUNCTION("""COMPUTED_VALUE"""),1.28)</f>
        <v>1.28</v>
      </c>
      <c r="F1152">
        <f>IFERROR(__xludf.DUMMYFUNCTION("""COMPUTED_VALUE"""),2.35)</f>
        <v>2.35</v>
      </c>
      <c r="G1152">
        <f>IFERROR(__xludf.DUMMYFUNCTION("""COMPUTED_VALUE"""),15.47)</f>
        <v>15.47</v>
      </c>
    </row>
    <row r="1153">
      <c r="A1153">
        <f>IFERROR(__xludf.DUMMYFUNCTION("""COMPUTED_VALUE"""),170499.0)</f>
        <v>170499</v>
      </c>
      <c r="B1153" t="str">
        <f>IFERROR(__xludf.DUMMYFUNCTION("""COMPUTED_VALUE"""),"Shallots")</f>
        <v>Shallots</v>
      </c>
      <c r="C1153" t="str">
        <f>IFERROR(__xludf.DUMMYFUNCTION("""COMPUTED_VALUE"""),"Vegetables")</f>
        <v>Vegetables</v>
      </c>
      <c r="D1153">
        <f>IFERROR(__xludf.DUMMYFUNCTION("""COMPUTED_VALUE"""),72.0)</f>
        <v>72</v>
      </c>
      <c r="E1153">
        <f>IFERROR(__xludf.DUMMYFUNCTION("""COMPUTED_VALUE"""),0.1)</f>
        <v>0.1</v>
      </c>
      <c r="F1153">
        <f>IFERROR(__xludf.DUMMYFUNCTION("""COMPUTED_VALUE"""),2.5)</f>
        <v>2.5</v>
      </c>
      <c r="G1153">
        <f>IFERROR(__xludf.DUMMYFUNCTION("""COMPUTED_VALUE"""),16.8)</f>
        <v>16.8</v>
      </c>
    </row>
    <row r="1154">
      <c r="A1154">
        <f>IFERROR(__xludf.DUMMYFUNCTION("""COMPUTED_VALUE"""),170500.0)</f>
        <v>170500</v>
      </c>
      <c r="B1154" t="str">
        <f>IFERROR(__xludf.DUMMYFUNCTION("""COMPUTED_VALUE"""),"Carrot Dehydrated")</f>
        <v>Carrot Dehydrated</v>
      </c>
      <c r="C1154" t="str">
        <f>IFERROR(__xludf.DUMMYFUNCTION("""COMPUTED_VALUE"""),"Vegetables")</f>
        <v>Vegetables</v>
      </c>
      <c r="D1154">
        <f>IFERROR(__xludf.DUMMYFUNCTION("""COMPUTED_VALUE"""),341.0)</f>
        <v>341</v>
      </c>
      <c r="E1154">
        <f>IFERROR(__xludf.DUMMYFUNCTION("""COMPUTED_VALUE"""),1.49)</f>
        <v>1.49</v>
      </c>
      <c r="F1154">
        <f>IFERROR(__xludf.DUMMYFUNCTION("""COMPUTED_VALUE"""),8.1)</f>
        <v>8.1</v>
      </c>
      <c r="G1154">
        <f>IFERROR(__xludf.DUMMYFUNCTION("""COMPUTED_VALUE"""),79.57)</f>
        <v>79.57</v>
      </c>
    </row>
    <row r="1155">
      <c r="A1155">
        <f>IFERROR(__xludf.DUMMYFUNCTION("""COMPUTED_VALUE"""),170501.0)</f>
        <v>170501</v>
      </c>
      <c r="B1155" t="str">
        <f>IFERROR(__xludf.DUMMYFUNCTION("""COMPUTED_VALUE"""),"Tomatoes Crushed Canned")</f>
        <v>Tomatoes Crushed Canned</v>
      </c>
      <c r="C1155" t="str">
        <f>IFERROR(__xludf.DUMMYFUNCTION("""COMPUTED_VALUE"""),"Vegetables")</f>
        <v>Vegetables</v>
      </c>
      <c r="D1155">
        <f>IFERROR(__xludf.DUMMYFUNCTION("""COMPUTED_VALUE"""),32.0)</f>
        <v>32</v>
      </c>
      <c r="E1155">
        <f>IFERROR(__xludf.DUMMYFUNCTION("""COMPUTED_VALUE"""),0.28)</f>
        <v>0.28</v>
      </c>
      <c r="F1155">
        <f>IFERROR(__xludf.DUMMYFUNCTION("""COMPUTED_VALUE"""),1.64)</f>
        <v>1.64</v>
      </c>
      <c r="G1155">
        <f>IFERROR(__xludf.DUMMYFUNCTION("""COMPUTED_VALUE"""),7.29)</f>
        <v>7.29</v>
      </c>
    </row>
    <row r="1156">
      <c r="A1156">
        <f>IFERROR(__xludf.DUMMYFUNCTION("""COMPUTED_VALUE"""),170502.0)</f>
        <v>170502</v>
      </c>
      <c r="B1156" t="str">
        <f>IFERROR(__xludf.DUMMYFUNCTION("""COMPUTED_VALUE"""),"Tomatoes Orange Raw")</f>
        <v>Tomatoes Orange Raw</v>
      </c>
      <c r="C1156" t="str">
        <f>IFERROR(__xludf.DUMMYFUNCTION("""COMPUTED_VALUE"""),"Vegetables")</f>
        <v>Vegetables</v>
      </c>
      <c r="D1156">
        <f>IFERROR(__xludf.DUMMYFUNCTION("""COMPUTED_VALUE"""),16.0)</f>
        <v>16</v>
      </c>
      <c r="E1156">
        <f>IFERROR(__xludf.DUMMYFUNCTION("""COMPUTED_VALUE"""),0.19)</f>
        <v>0.19</v>
      </c>
      <c r="F1156">
        <f>IFERROR(__xludf.DUMMYFUNCTION("""COMPUTED_VALUE"""),1.16)</f>
        <v>1.16</v>
      </c>
      <c r="G1156">
        <f>IFERROR(__xludf.DUMMYFUNCTION("""COMPUTED_VALUE"""),3.18)</f>
        <v>3.18</v>
      </c>
    </row>
    <row r="1157">
      <c r="A1157">
        <f>IFERROR(__xludf.DUMMYFUNCTION("""COMPUTED_VALUE"""),170503.0)</f>
        <v>170503</v>
      </c>
      <c r="B1157" t="str">
        <f>IFERROR(__xludf.DUMMYFUNCTION("""COMPUTED_VALUE"""),"Mustard Greens Cooked Boiled Drained With Salt")</f>
        <v>Mustard Greens Cooked Boiled Drained With Salt</v>
      </c>
      <c r="C1157" t="str">
        <f>IFERROR(__xludf.DUMMYFUNCTION("""COMPUTED_VALUE"""),"Vegetables")</f>
        <v>Vegetables</v>
      </c>
      <c r="D1157">
        <f>IFERROR(__xludf.DUMMYFUNCTION("""COMPUTED_VALUE"""),26.0)</f>
        <v>26</v>
      </c>
      <c r="E1157">
        <f>IFERROR(__xludf.DUMMYFUNCTION("""COMPUTED_VALUE"""),0.47)</f>
        <v>0.47</v>
      </c>
      <c r="F1157">
        <f>IFERROR(__xludf.DUMMYFUNCTION("""COMPUTED_VALUE"""),2.56)</f>
        <v>2.56</v>
      </c>
      <c r="G1157">
        <f>IFERROR(__xludf.DUMMYFUNCTION("""COMPUTED_VALUE"""),4.51)</f>
        <v>4.51</v>
      </c>
    </row>
    <row r="1158">
      <c r="A1158">
        <f>IFERROR(__xludf.DUMMYFUNCTION("""COMPUTED_VALUE"""),170504.0)</f>
        <v>170504</v>
      </c>
      <c r="B1158" t="str">
        <f>IFERROR(__xludf.DUMMYFUNCTION("""COMPUTED_VALUE"""),"Mustard Greens Frozen Cooked Boiled Drained With Salt")</f>
        <v>Mustard Greens Frozen Cooked Boiled Drained With Salt</v>
      </c>
      <c r="C1158" t="str">
        <f>IFERROR(__xludf.DUMMYFUNCTION("""COMPUTED_VALUE"""),"Vegetables")</f>
        <v>Vegetables</v>
      </c>
      <c r="D1158">
        <f>IFERROR(__xludf.DUMMYFUNCTION("""COMPUTED_VALUE"""),19.0)</f>
        <v>19</v>
      </c>
      <c r="E1158">
        <f>IFERROR(__xludf.DUMMYFUNCTION("""COMPUTED_VALUE"""),0.25)</f>
        <v>0.25</v>
      </c>
      <c r="F1158">
        <f>IFERROR(__xludf.DUMMYFUNCTION("""COMPUTED_VALUE"""),2.27)</f>
        <v>2.27</v>
      </c>
      <c r="G1158">
        <f>IFERROR(__xludf.DUMMYFUNCTION("""COMPUTED_VALUE"""),3.11)</f>
        <v>3.11</v>
      </c>
    </row>
    <row r="1159">
      <c r="A1159">
        <f>IFERROR(__xludf.DUMMYFUNCTION("""COMPUTED_VALUE"""),170505.0)</f>
        <v>170505</v>
      </c>
      <c r="B1159" t="str">
        <f>IFERROR(__xludf.DUMMYFUNCTION("""COMPUTED_VALUE"""),"Mustard Spinach (Tendergreen) Cooked Boiled Drained With Salt")</f>
        <v>Mustard Spinach (Tendergreen) Cooked Boiled Drained With Salt</v>
      </c>
      <c r="C1159" t="str">
        <f>IFERROR(__xludf.DUMMYFUNCTION("""COMPUTED_VALUE"""),"Vegetables")</f>
        <v>Vegetables</v>
      </c>
      <c r="D1159">
        <f>IFERROR(__xludf.DUMMYFUNCTION("""COMPUTED_VALUE"""),16.0)</f>
        <v>16</v>
      </c>
      <c r="E1159">
        <f>IFERROR(__xludf.DUMMYFUNCTION("""COMPUTED_VALUE"""),0.2)</f>
        <v>0.2</v>
      </c>
      <c r="F1159">
        <f>IFERROR(__xludf.DUMMYFUNCTION("""COMPUTED_VALUE"""),1.7)</f>
        <v>1.7</v>
      </c>
      <c r="G1159">
        <f>IFERROR(__xludf.DUMMYFUNCTION("""COMPUTED_VALUE"""),2.8)</f>
        <v>2.8</v>
      </c>
    </row>
    <row r="1160">
      <c r="A1160">
        <f>IFERROR(__xludf.DUMMYFUNCTION("""COMPUTED_VALUE"""),170506.0)</f>
        <v>170506</v>
      </c>
      <c r="B1160" t="str">
        <f>IFERROR(__xludf.DUMMYFUNCTION("""COMPUTED_VALUE"""),"New Zealand Spinach Cooked Boiled Drained With Salt")</f>
        <v>New Zealand Spinach Cooked Boiled Drained With Salt</v>
      </c>
      <c r="C1160" t="str">
        <f>IFERROR(__xludf.DUMMYFUNCTION("""COMPUTED_VALUE"""),"Vegetables")</f>
        <v>Vegetables</v>
      </c>
      <c r="D1160">
        <f>IFERROR(__xludf.DUMMYFUNCTION("""COMPUTED_VALUE"""),12.0)</f>
        <v>12</v>
      </c>
      <c r="E1160">
        <f>IFERROR(__xludf.DUMMYFUNCTION("""COMPUTED_VALUE"""),0.17)</f>
        <v>0.17</v>
      </c>
      <c r="F1160">
        <f>IFERROR(__xludf.DUMMYFUNCTION("""COMPUTED_VALUE"""),1.3)</f>
        <v>1.3</v>
      </c>
      <c r="G1160">
        <f>IFERROR(__xludf.DUMMYFUNCTION("""COMPUTED_VALUE"""),2.13)</f>
        <v>2.13</v>
      </c>
    </row>
    <row r="1161">
      <c r="A1161">
        <f>IFERROR(__xludf.DUMMYFUNCTION("""COMPUTED_VALUE"""),170507.0)</f>
        <v>170507</v>
      </c>
      <c r="B1161" t="str">
        <f>IFERROR(__xludf.DUMMYFUNCTION("""COMPUTED_VALUE"""),"Onions Frozen Whole Cooked Boiled Drained With Salt")</f>
        <v>Onions Frozen Whole Cooked Boiled Drained With Salt</v>
      </c>
      <c r="C1161" t="str">
        <f>IFERROR(__xludf.DUMMYFUNCTION("""COMPUTED_VALUE"""),"Vegetables")</f>
        <v>Vegetables</v>
      </c>
      <c r="D1161">
        <f>IFERROR(__xludf.DUMMYFUNCTION("""COMPUTED_VALUE"""),26.0)</f>
        <v>26</v>
      </c>
      <c r="E1161">
        <f>IFERROR(__xludf.DUMMYFUNCTION("""COMPUTED_VALUE"""),0.05)</f>
        <v>0.05</v>
      </c>
      <c r="F1161">
        <f>IFERROR(__xludf.DUMMYFUNCTION("""COMPUTED_VALUE"""),0.71)</f>
        <v>0.71</v>
      </c>
      <c r="G1161">
        <f>IFERROR(__xludf.DUMMYFUNCTION("""COMPUTED_VALUE"""),6.11)</f>
        <v>6.11</v>
      </c>
    </row>
    <row r="1162">
      <c r="A1162">
        <f>IFERROR(__xludf.DUMMYFUNCTION("""COMPUTED_VALUE"""),170508.0)</f>
        <v>170508</v>
      </c>
      <c r="B1162" t="str">
        <f>IFERROR(__xludf.DUMMYFUNCTION("""COMPUTED_VALUE"""),"Parsnips Cooked Boiled Drained With Salt")</f>
        <v>Parsnips Cooked Boiled Drained With Salt</v>
      </c>
      <c r="C1162" t="str">
        <f>IFERROR(__xludf.DUMMYFUNCTION("""COMPUTED_VALUE"""),"Vegetables")</f>
        <v>Vegetables</v>
      </c>
      <c r="D1162">
        <f>IFERROR(__xludf.DUMMYFUNCTION("""COMPUTED_VALUE"""),71.0)</f>
        <v>71</v>
      </c>
      <c r="E1162">
        <f>IFERROR(__xludf.DUMMYFUNCTION("""COMPUTED_VALUE"""),0.3)</f>
        <v>0.3</v>
      </c>
      <c r="F1162">
        <f>IFERROR(__xludf.DUMMYFUNCTION("""COMPUTED_VALUE"""),1.32)</f>
        <v>1.32</v>
      </c>
      <c r="G1162">
        <f>IFERROR(__xludf.DUMMYFUNCTION("""COMPUTED_VALUE"""),17.01)</f>
        <v>17.01</v>
      </c>
    </row>
    <row r="1163">
      <c r="A1163">
        <f>IFERROR(__xludf.DUMMYFUNCTION("""COMPUTED_VALUE"""),170509.0)</f>
        <v>170509</v>
      </c>
      <c r="B1163" t="str">
        <f>IFERROR(__xludf.DUMMYFUNCTION("""COMPUTED_VALUE"""),"Peas Edible-Podded Cooked Boiled Drained With Salt")</f>
        <v>Peas Edible-Podded Cooked Boiled Drained With Salt</v>
      </c>
      <c r="C1163" t="str">
        <f>IFERROR(__xludf.DUMMYFUNCTION("""COMPUTED_VALUE"""),"Vegetables")</f>
        <v>Vegetables</v>
      </c>
      <c r="D1163">
        <f>IFERROR(__xludf.DUMMYFUNCTION("""COMPUTED_VALUE"""),40.0)</f>
        <v>40</v>
      </c>
      <c r="E1163">
        <f>IFERROR(__xludf.DUMMYFUNCTION("""COMPUTED_VALUE"""),0.23)</f>
        <v>0.23</v>
      </c>
      <c r="F1163">
        <f>IFERROR(__xludf.DUMMYFUNCTION("""COMPUTED_VALUE"""),3.27)</f>
        <v>3.27</v>
      </c>
      <c r="G1163">
        <f>IFERROR(__xludf.DUMMYFUNCTION("""COMPUTED_VALUE"""),6.46)</f>
        <v>6.46</v>
      </c>
    </row>
    <row r="1164">
      <c r="A1164">
        <f>IFERROR(__xludf.DUMMYFUNCTION("""COMPUTED_VALUE"""),170510.0)</f>
        <v>170510</v>
      </c>
      <c r="B1164" t="str">
        <f>IFERROR(__xludf.DUMMYFUNCTION("""COMPUTED_VALUE"""),"Peas Edible-Podded Frozen Cooked Boiled Drained With Salt")</f>
        <v>Peas Edible-Podded Frozen Cooked Boiled Drained With Salt</v>
      </c>
      <c r="C1164" t="str">
        <f>IFERROR(__xludf.DUMMYFUNCTION("""COMPUTED_VALUE"""),"Vegetables")</f>
        <v>Vegetables</v>
      </c>
      <c r="D1164">
        <f>IFERROR(__xludf.DUMMYFUNCTION("""COMPUTED_VALUE"""),50.0)</f>
        <v>50</v>
      </c>
      <c r="E1164">
        <f>IFERROR(__xludf.DUMMYFUNCTION("""COMPUTED_VALUE"""),0.38)</f>
        <v>0.38</v>
      </c>
      <c r="F1164">
        <f>IFERROR(__xludf.DUMMYFUNCTION("""COMPUTED_VALUE"""),3.5)</f>
        <v>3.5</v>
      </c>
      <c r="G1164">
        <f>IFERROR(__xludf.DUMMYFUNCTION("""COMPUTED_VALUE"""),8.43)</f>
        <v>8.43</v>
      </c>
    </row>
    <row r="1165">
      <c r="A1165">
        <f>IFERROR(__xludf.DUMMYFUNCTION("""COMPUTED_VALUE"""),170511.0)</f>
        <v>170511</v>
      </c>
      <c r="B1165" t="str">
        <f>IFERROR(__xludf.DUMMYFUNCTION("""COMPUTED_VALUE"""),"Peas Mature Seeds Sprouted Cooked Boiled Drained With Salt")</f>
        <v>Peas Mature Seeds Sprouted Cooked Boiled Drained With Salt</v>
      </c>
      <c r="C1165" t="str">
        <f>IFERROR(__xludf.DUMMYFUNCTION("""COMPUTED_VALUE"""),"Vegetables")</f>
        <v>Vegetables</v>
      </c>
      <c r="D1165">
        <f>IFERROR(__xludf.DUMMYFUNCTION("""COMPUTED_VALUE"""),98.0)</f>
        <v>98</v>
      </c>
      <c r="E1165">
        <f>IFERROR(__xludf.DUMMYFUNCTION("""COMPUTED_VALUE"""),0.51)</f>
        <v>0.51</v>
      </c>
      <c r="F1165">
        <f>IFERROR(__xludf.DUMMYFUNCTION("""COMPUTED_VALUE"""),7.05)</f>
        <v>7.05</v>
      </c>
      <c r="G1165">
        <f>IFERROR(__xludf.DUMMYFUNCTION("""COMPUTED_VALUE"""),17.08)</f>
        <v>17.08</v>
      </c>
    </row>
    <row r="1166">
      <c r="A1166">
        <f>IFERROR(__xludf.DUMMYFUNCTION("""COMPUTED_VALUE"""),170512.0)</f>
        <v>170512</v>
      </c>
      <c r="B1166" t="str">
        <f>IFERROR(__xludf.DUMMYFUNCTION("""COMPUTED_VALUE"""),"Peas And Carrots Canned No Salt Added Solids And Liquids")</f>
        <v>Peas And Carrots Canned No Salt Added Solids And Liquids</v>
      </c>
      <c r="C1166" t="str">
        <f>IFERROR(__xludf.DUMMYFUNCTION("""COMPUTED_VALUE"""),"Vegetables")</f>
        <v>Vegetables</v>
      </c>
      <c r="D1166">
        <f>IFERROR(__xludf.DUMMYFUNCTION("""COMPUTED_VALUE"""),38.0)</f>
        <v>38</v>
      </c>
      <c r="E1166">
        <f>IFERROR(__xludf.DUMMYFUNCTION("""COMPUTED_VALUE"""),0.27)</f>
        <v>0.27</v>
      </c>
      <c r="F1166">
        <f>IFERROR(__xludf.DUMMYFUNCTION("""COMPUTED_VALUE"""),2.17)</f>
        <v>2.17</v>
      </c>
      <c r="G1166">
        <f>IFERROR(__xludf.DUMMYFUNCTION("""COMPUTED_VALUE"""),8.48)</f>
        <v>8.48</v>
      </c>
    </row>
    <row r="1167">
      <c r="A1167">
        <f>IFERROR(__xludf.DUMMYFUNCTION("""COMPUTED_VALUE"""),170513.0)</f>
        <v>170513</v>
      </c>
      <c r="B1167" t="str">
        <f>IFERROR(__xludf.DUMMYFUNCTION("""COMPUTED_VALUE"""),"Peas And Carrots Frozen Cooked Boiled Drained With Salt")</f>
        <v>Peas And Carrots Frozen Cooked Boiled Drained With Salt</v>
      </c>
      <c r="C1167" t="str">
        <f>IFERROR(__xludf.DUMMYFUNCTION("""COMPUTED_VALUE"""),"Vegetables")</f>
        <v>Vegetables</v>
      </c>
      <c r="D1167">
        <f>IFERROR(__xludf.DUMMYFUNCTION("""COMPUTED_VALUE"""),48.0)</f>
        <v>48</v>
      </c>
      <c r="E1167">
        <f>IFERROR(__xludf.DUMMYFUNCTION("""COMPUTED_VALUE"""),0.42)</f>
        <v>0.42</v>
      </c>
      <c r="F1167">
        <f>IFERROR(__xludf.DUMMYFUNCTION("""COMPUTED_VALUE"""),3.09)</f>
        <v>3.09</v>
      </c>
      <c r="G1167">
        <f>IFERROR(__xludf.DUMMYFUNCTION("""COMPUTED_VALUE"""),10.12)</f>
        <v>10.12</v>
      </c>
    </row>
    <row r="1168">
      <c r="A1168">
        <f>IFERROR(__xludf.DUMMYFUNCTION("""COMPUTED_VALUE"""),170514.0)</f>
        <v>170514</v>
      </c>
      <c r="B1168" t="str">
        <f>IFERROR(__xludf.DUMMYFUNCTION("""COMPUTED_VALUE"""),"Peas And Onions Frozen Cooked Boiled Drained With Salt")</f>
        <v>Peas And Onions Frozen Cooked Boiled Drained With Salt</v>
      </c>
      <c r="C1168" t="str">
        <f>IFERROR(__xludf.DUMMYFUNCTION("""COMPUTED_VALUE"""),"Vegetables")</f>
        <v>Vegetables</v>
      </c>
      <c r="D1168">
        <f>IFERROR(__xludf.DUMMYFUNCTION("""COMPUTED_VALUE"""),45.0)</f>
        <v>45</v>
      </c>
      <c r="E1168">
        <f>IFERROR(__xludf.DUMMYFUNCTION("""COMPUTED_VALUE"""),0.2)</f>
        <v>0.2</v>
      </c>
      <c r="F1168">
        <f>IFERROR(__xludf.DUMMYFUNCTION("""COMPUTED_VALUE"""),2.54)</f>
        <v>2.54</v>
      </c>
      <c r="G1168">
        <f>IFERROR(__xludf.DUMMYFUNCTION("""COMPUTED_VALUE"""),8.63)</f>
        <v>8.63</v>
      </c>
    </row>
    <row r="1169">
      <c r="A1169">
        <f>IFERROR(__xludf.DUMMYFUNCTION("""COMPUTED_VALUE"""),170515.0)</f>
        <v>170515</v>
      </c>
      <c r="B1169" t="str">
        <f>IFERROR(__xludf.DUMMYFUNCTION("""COMPUTED_VALUE"""),"Peppers Sweet Red Cooked Boiled Drained With Salt")</f>
        <v>Peppers Sweet Red Cooked Boiled Drained With Salt</v>
      </c>
      <c r="C1169" t="str">
        <f>IFERROR(__xludf.DUMMYFUNCTION("""COMPUTED_VALUE"""),"Vegetables")</f>
        <v>Vegetables</v>
      </c>
      <c r="D1169">
        <f>IFERROR(__xludf.DUMMYFUNCTION("""COMPUTED_VALUE"""),26.0)</f>
        <v>26</v>
      </c>
      <c r="E1169">
        <f>IFERROR(__xludf.DUMMYFUNCTION("""COMPUTED_VALUE"""),0.2)</f>
        <v>0.2</v>
      </c>
      <c r="F1169">
        <f>IFERROR(__xludf.DUMMYFUNCTION("""COMPUTED_VALUE"""),0.92)</f>
        <v>0.92</v>
      </c>
      <c r="G1169">
        <f>IFERROR(__xludf.DUMMYFUNCTION("""COMPUTED_VALUE"""),6.11)</f>
        <v>6.11</v>
      </c>
    </row>
    <row r="1170">
      <c r="A1170">
        <f>IFERROR(__xludf.DUMMYFUNCTION("""COMPUTED_VALUE"""),170516.0)</f>
        <v>170516</v>
      </c>
      <c r="B1170" t="str">
        <f>IFERROR(__xludf.DUMMYFUNCTION("""COMPUTED_VALUE"""),"Peppers Sweet Green Frozen Chopped Cooked Boiled Drained With Salt")</f>
        <v>Peppers Sweet Green Frozen Chopped Cooked Boiled Drained With Salt</v>
      </c>
      <c r="C1170" t="str">
        <f>IFERROR(__xludf.DUMMYFUNCTION("""COMPUTED_VALUE"""),"Vegetables")</f>
        <v>Vegetables</v>
      </c>
      <c r="D1170">
        <f>IFERROR(__xludf.DUMMYFUNCTION("""COMPUTED_VALUE"""),16.0)</f>
        <v>16</v>
      </c>
      <c r="E1170">
        <f>IFERROR(__xludf.DUMMYFUNCTION("""COMPUTED_VALUE"""),0.18)</f>
        <v>0.18</v>
      </c>
      <c r="F1170">
        <f>IFERROR(__xludf.DUMMYFUNCTION("""COMPUTED_VALUE"""),0.95)</f>
        <v>0.95</v>
      </c>
      <c r="G1170">
        <f>IFERROR(__xludf.DUMMYFUNCTION("""COMPUTED_VALUE"""),3.31)</f>
        <v>3.31</v>
      </c>
    </row>
    <row r="1171">
      <c r="A1171">
        <f>IFERROR(__xludf.DUMMYFUNCTION("""COMPUTED_VALUE"""),170517.0)</f>
        <v>170517</v>
      </c>
      <c r="B1171" t="str">
        <f>IFERROR(__xludf.DUMMYFUNCTION("""COMPUTED_VALUE"""),"Pigeonpeas Immature Seeds Cooked Boiled Drained With Salt")</f>
        <v>Pigeonpeas Immature Seeds Cooked Boiled Drained With Salt</v>
      </c>
      <c r="C1171" t="str">
        <f>IFERROR(__xludf.DUMMYFUNCTION("""COMPUTED_VALUE"""),"Vegetables")</f>
        <v>Vegetables</v>
      </c>
      <c r="D1171">
        <f>IFERROR(__xludf.DUMMYFUNCTION("""COMPUTED_VALUE"""),111.0)</f>
        <v>111</v>
      </c>
      <c r="E1171">
        <f>IFERROR(__xludf.DUMMYFUNCTION("""COMPUTED_VALUE"""),1.36)</f>
        <v>1.36</v>
      </c>
      <c r="F1171">
        <f>IFERROR(__xludf.DUMMYFUNCTION("""COMPUTED_VALUE"""),5.96)</f>
        <v>5.96</v>
      </c>
      <c r="G1171">
        <f>IFERROR(__xludf.DUMMYFUNCTION("""COMPUTED_VALUE"""),19.49)</f>
        <v>19.49</v>
      </c>
    </row>
    <row r="1172">
      <c r="A1172">
        <f>IFERROR(__xludf.DUMMYFUNCTION("""COMPUTED_VALUE"""),170518.0)</f>
        <v>170518</v>
      </c>
      <c r="B1172" t="str">
        <f>IFERROR(__xludf.DUMMYFUNCTION("""COMPUTED_VALUE"""),"Pokeberry Shoots (Poke) Cooked Boiled Drained With Salt")</f>
        <v>Pokeberry Shoots (Poke) Cooked Boiled Drained With Salt</v>
      </c>
      <c r="C1172" t="str">
        <f>IFERROR(__xludf.DUMMYFUNCTION("""COMPUTED_VALUE"""),"Vegetables")</f>
        <v>Vegetables</v>
      </c>
      <c r="D1172">
        <f>IFERROR(__xludf.DUMMYFUNCTION("""COMPUTED_VALUE"""),20.0)</f>
        <v>20</v>
      </c>
      <c r="E1172">
        <f>IFERROR(__xludf.DUMMYFUNCTION("""COMPUTED_VALUE"""),0.4)</f>
        <v>0.4</v>
      </c>
      <c r="F1172">
        <f>IFERROR(__xludf.DUMMYFUNCTION("""COMPUTED_VALUE"""),2.3)</f>
        <v>2.3</v>
      </c>
      <c r="G1172">
        <f>IFERROR(__xludf.DUMMYFUNCTION("""COMPUTED_VALUE"""),3.1)</f>
        <v>3.1</v>
      </c>
    </row>
    <row r="1173">
      <c r="A1173">
        <f>IFERROR(__xludf.DUMMYFUNCTION("""COMPUTED_VALUE"""),170519.0)</f>
        <v>170519</v>
      </c>
      <c r="B1173" t="str">
        <f>IFERROR(__xludf.DUMMYFUNCTION("""COMPUTED_VALUE"""),"Potatoes Boiled Cooked In Skin Skin With Salt")</f>
        <v>Potatoes Boiled Cooked In Skin Skin With Salt</v>
      </c>
      <c r="C1173" t="str">
        <f>IFERROR(__xludf.DUMMYFUNCTION("""COMPUTED_VALUE"""),"Vegetables")</f>
        <v>Vegetables</v>
      </c>
      <c r="D1173">
        <f>IFERROR(__xludf.DUMMYFUNCTION("""COMPUTED_VALUE"""),78.0)</f>
        <v>78</v>
      </c>
      <c r="E1173">
        <f>IFERROR(__xludf.DUMMYFUNCTION("""COMPUTED_VALUE"""),0.1)</f>
        <v>0.1</v>
      </c>
      <c r="F1173">
        <f>IFERROR(__xludf.DUMMYFUNCTION("""COMPUTED_VALUE"""),2.86)</f>
        <v>2.86</v>
      </c>
      <c r="G1173">
        <f>IFERROR(__xludf.DUMMYFUNCTION("""COMPUTED_VALUE"""),17.2)</f>
        <v>17.2</v>
      </c>
    </row>
    <row r="1174">
      <c r="A1174">
        <f>IFERROR(__xludf.DUMMYFUNCTION("""COMPUTED_VALUE"""),170520.0)</f>
        <v>170520</v>
      </c>
      <c r="B1174" t="str">
        <f>IFERROR(__xludf.DUMMYFUNCTION("""COMPUTED_VALUE"""),"Potatoes Boiled Cooked Without Skin Flesh With Salt")</f>
        <v>Potatoes Boiled Cooked Without Skin Flesh With Salt</v>
      </c>
      <c r="C1174" t="str">
        <f>IFERROR(__xludf.DUMMYFUNCTION("""COMPUTED_VALUE"""),"Vegetables")</f>
        <v>Vegetables</v>
      </c>
      <c r="D1174">
        <f>IFERROR(__xludf.DUMMYFUNCTION("""COMPUTED_VALUE"""),86.0)</f>
        <v>86</v>
      </c>
      <c r="E1174">
        <f>IFERROR(__xludf.DUMMYFUNCTION("""COMPUTED_VALUE"""),0.1)</f>
        <v>0.1</v>
      </c>
      <c r="F1174">
        <f>IFERROR(__xludf.DUMMYFUNCTION("""COMPUTED_VALUE"""),1.71)</f>
        <v>1.71</v>
      </c>
      <c r="G1174">
        <f>IFERROR(__xludf.DUMMYFUNCTION("""COMPUTED_VALUE"""),20.01)</f>
        <v>20.01</v>
      </c>
    </row>
    <row r="1175">
      <c r="A1175">
        <f>IFERROR(__xludf.DUMMYFUNCTION("""COMPUTED_VALUE"""),170521.0)</f>
        <v>170521</v>
      </c>
      <c r="B1175" t="str">
        <f>IFERROR(__xludf.DUMMYFUNCTION("""COMPUTED_VALUE"""),"Potatoes Microwaved Cooked In Skin Flesh And Skin With Salt")</f>
        <v>Potatoes Microwaved Cooked In Skin Flesh And Skin With Salt</v>
      </c>
      <c r="C1175" t="str">
        <f>IFERROR(__xludf.DUMMYFUNCTION("""COMPUTED_VALUE"""),"Vegetables")</f>
        <v>Vegetables</v>
      </c>
      <c r="D1175">
        <f>IFERROR(__xludf.DUMMYFUNCTION("""COMPUTED_VALUE"""),105.0)</f>
        <v>105</v>
      </c>
      <c r="E1175">
        <f>IFERROR(__xludf.DUMMYFUNCTION("""COMPUTED_VALUE"""),0.1)</f>
        <v>0.1</v>
      </c>
      <c r="F1175">
        <f>IFERROR(__xludf.DUMMYFUNCTION("""COMPUTED_VALUE"""),2.44)</f>
        <v>2.44</v>
      </c>
      <c r="G1175">
        <f>IFERROR(__xludf.DUMMYFUNCTION("""COMPUTED_VALUE"""),24.24)</f>
        <v>24.24</v>
      </c>
    </row>
    <row r="1176">
      <c r="A1176">
        <f>IFERROR(__xludf.DUMMYFUNCTION("""COMPUTED_VALUE"""),170522.0)</f>
        <v>170522</v>
      </c>
      <c r="B1176" t="str">
        <f>IFERROR(__xludf.DUMMYFUNCTION("""COMPUTED_VALUE"""),"Potatoes Microwaved Cooked In Skin Flesh With Salt")</f>
        <v>Potatoes Microwaved Cooked In Skin Flesh With Salt</v>
      </c>
      <c r="C1176" t="str">
        <f>IFERROR(__xludf.DUMMYFUNCTION("""COMPUTED_VALUE"""),"Vegetables")</f>
        <v>Vegetables</v>
      </c>
      <c r="D1176">
        <f>IFERROR(__xludf.DUMMYFUNCTION("""COMPUTED_VALUE"""),100.0)</f>
        <v>100</v>
      </c>
      <c r="E1176">
        <f>IFERROR(__xludf.DUMMYFUNCTION("""COMPUTED_VALUE"""),0.1)</f>
        <v>0.1</v>
      </c>
      <c r="F1176">
        <f>IFERROR(__xludf.DUMMYFUNCTION("""COMPUTED_VALUE"""),2.1)</f>
        <v>2.1</v>
      </c>
      <c r="G1176">
        <f>IFERROR(__xludf.DUMMYFUNCTION("""COMPUTED_VALUE"""),23.28)</f>
        <v>23.28</v>
      </c>
    </row>
    <row r="1177">
      <c r="A1177">
        <f>IFERROR(__xludf.DUMMYFUNCTION("""COMPUTED_VALUE"""),170523.0)</f>
        <v>170523</v>
      </c>
      <c r="B1177" t="str">
        <f>IFERROR(__xludf.DUMMYFUNCTION("""COMPUTED_VALUE"""),"Potatoes French Fried All Types Salt Not Added In Processing Frozen As Purchased")</f>
        <v>Potatoes French Fried All Types Salt Not Added In Processing Frozen As Purchased</v>
      </c>
      <c r="C1177" t="str">
        <f>IFERROR(__xludf.DUMMYFUNCTION("""COMPUTED_VALUE"""),"Vegetables")</f>
        <v>Vegetables</v>
      </c>
      <c r="D1177">
        <f>IFERROR(__xludf.DUMMYFUNCTION("""COMPUTED_VALUE"""),147.0)</f>
        <v>147</v>
      </c>
      <c r="E1177">
        <f>IFERROR(__xludf.DUMMYFUNCTION("""COMPUTED_VALUE"""),4.66)</f>
        <v>4.66</v>
      </c>
      <c r="F1177">
        <f>IFERROR(__xludf.DUMMYFUNCTION("""COMPUTED_VALUE"""),2.24)</f>
        <v>2.24</v>
      </c>
      <c r="G1177">
        <f>IFERROR(__xludf.DUMMYFUNCTION("""COMPUTED_VALUE"""),24.81)</f>
        <v>24.81</v>
      </c>
    </row>
    <row r="1178">
      <c r="A1178">
        <f>IFERROR(__xludf.DUMMYFUNCTION("""COMPUTED_VALUE"""),170524.0)</f>
        <v>170524</v>
      </c>
      <c r="B1178" t="str">
        <f>IFERROR(__xludf.DUMMYFUNCTION("""COMPUTED_VALUE"""),"Potatoes Au Gratin Home-Prepared From Recipe Using Margarine")</f>
        <v>Potatoes Au Gratin Home-Prepared From Recipe Using Margarine</v>
      </c>
      <c r="C1178" t="str">
        <f>IFERROR(__xludf.DUMMYFUNCTION("""COMPUTED_VALUE"""),"Vegetables")</f>
        <v>Vegetables</v>
      </c>
      <c r="D1178">
        <f>IFERROR(__xludf.DUMMYFUNCTION("""COMPUTED_VALUE"""),132.0)</f>
        <v>132</v>
      </c>
      <c r="E1178">
        <f>IFERROR(__xludf.DUMMYFUNCTION("""COMPUTED_VALUE"""),7.59)</f>
        <v>7.59</v>
      </c>
      <c r="F1178">
        <f>IFERROR(__xludf.DUMMYFUNCTION("""COMPUTED_VALUE"""),5.06)</f>
        <v>5.06</v>
      </c>
      <c r="G1178">
        <f>IFERROR(__xludf.DUMMYFUNCTION("""COMPUTED_VALUE"""),11.27)</f>
        <v>11.27</v>
      </c>
    </row>
    <row r="1179">
      <c r="A1179">
        <f>IFERROR(__xludf.DUMMYFUNCTION("""COMPUTED_VALUE"""),170525.0)</f>
        <v>170525</v>
      </c>
      <c r="B1179" t="str">
        <f>IFERROR(__xludf.DUMMYFUNCTION("""COMPUTED_VALUE"""),"Potatoes Scalloped Home-Prepared With Margarine")</f>
        <v>Potatoes Scalloped Home-Prepared With Margarine</v>
      </c>
      <c r="C1179" t="str">
        <f>IFERROR(__xludf.DUMMYFUNCTION("""COMPUTED_VALUE"""),"Vegetables")</f>
        <v>Vegetables</v>
      </c>
      <c r="D1179">
        <f>IFERROR(__xludf.DUMMYFUNCTION("""COMPUTED_VALUE"""),88.0)</f>
        <v>88</v>
      </c>
      <c r="E1179">
        <f>IFERROR(__xludf.DUMMYFUNCTION("""COMPUTED_VALUE"""),3.68)</f>
        <v>3.68</v>
      </c>
      <c r="F1179">
        <f>IFERROR(__xludf.DUMMYFUNCTION("""COMPUTED_VALUE"""),2.87)</f>
        <v>2.87</v>
      </c>
      <c r="G1179">
        <f>IFERROR(__xludf.DUMMYFUNCTION("""COMPUTED_VALUE"""),10.78)</f>
        <v>10.78</v>
      </c>
    </row>
    <row r="1180">
      <c r="A1180">
        <f>IFERROR(__xludf.DUMMYFUNCTION("""COMPUTED_VALUE"""),170526.0)</f>
        <v>170526</v>
      </c>
      <c r="B1180" t="str">
        <f>IFERROR(__xludf.DUMMYFUNCTION("""COMPUTED_VALUE"""),"Pumpkin Cooked Boiled Drained With Salt")</f>
        <v>Pumpkin Cooked Boiled Drained With Salt</v>
      </c>
      <c r="C1180" t="str">
        <f>IFERROR(__xludf.DUMMYFUNCTION("""COMPUTED_VALUE"""),"Vegetables")</f>
        <v>Vegetables</v>
      </c>
      <c r="D1180">
        <f>IFERROR(__xludf.DUMMYFUNCTION("""COMPUTED_VALUE"""),18.0)</f>
        <v>18</v>
      </c>
      <c r="E1180">
        <f>IFERROR(__xludf.DUMMYFUNCTION("""COMPUTED_VALUE"""),0.07)</f>
        <v>0.07</v>
      </c>
      <c r="F1180">
        <f>IFERROR(__xludf.DUMMYFUNCTION("""COMPUTED_VALUE"""),0.72)</f>
        <v>0.72</v>
      </c>
      <c r="G1180">
        <f>IFERROR(__xludf.DUMMYFUNCTION("""COMPUTED_VALUE"""),4.31)</f>
        <v>4.31</v>
      </c>
    </row>
    <row r="1181">
      <c r="A1181">
        <f>IFERROR(__xludf.DUMMYFUNCTION("""COMPUTED_VALUE"""),170527.0)</f>
        <v>170527</v>
      </c>
      <c r="B1181" t="str">
        <f>IFERROR(__xludf.DUMMYFUNCTION("""COMPUTED_VALUE"""),"Pumpkin Canned With Salt")</f>
        <v>Pumpkin Canned With Salt</v>
      </c>
      <c r="C1181" t="str">
        <f>IFERROR(__xludf.DUMMYFUNCTION("""COMPUTED_VALUE"""),"Vegetables")</f>
        <v>Vegetables</v>
      </c>
      <c r="D1181">
        <f>IFERROR(__xludf.DUMMYFUNCTION("""COMPUTED_VALUE"""),34.0)</f>
        <v>34</v>
      </c>
      <c r="E1181">
        <f>IFERROR(__xludf.DUMMYFUNCTION("""COMPUTED_VALUE"""),0.28)</f>
        <v>0.28</v>
      </c>
      <c r="F1181">
        <f>IFERROR(__xludf.DUMMYFUNCTION("""COMPUTED_VALUE"""),1.1)</f>
        <v>1.1</v>
      </c>
      <c r="G1181">
        <f>IFERROR(__xludf.DUMMYFUNCTION("""COMPUTED_VALUE"""),8.09)</f>
        <v>8.09</v>
      </c>
    </row>
    <row r="1182">
      <c r="A1182">
        <f>IFERROR(__xludf.DUMMYFUNCTION("""COMPUTED_VALUE"""),170528.0)</f>
        <v>170528</v>
      </c>
      <c r="B1182" t="str">
        <f>IFERROR(__xludf.DUMMYFUNCTION("""COMPUTED_VALUE"""),"Rutabagas Cooked Boiled Drained With Salt")</f>
        <v>Rutabagas Cooked Boiled Drained With Salt</v>
      </c>
      <c r="C1182" t="str">
        <f>IFERROR(__xludf.DUMMYFUNCTION("""COMPUTED_VALUE"""),"Vegetables")</f>
        <v>Vegetables</v>
      </c>
      <c r="D1182">
        <f>IFERROR(__xludf.DUMMYFUNCTION("""COMPUTED_VALUE"""),30.0)</f>
        <v>30</v>
      </c>
      <c r="E1182">
        <f>IFERROR(__xludf.DUMMYFUNCTION("""COMPUTED_VALUE"""),0.18)</f>
        <v>0.18</v>
      </c>
      <c r="F1182">
        <f>IFERROR(__xludf.DUMMYFUNCTION("""COMPUTED_VALUE"""),0.93)</f>
        <v>0.93</v>
      </c>
      <c r="G1182">
        <f>IFERROR(__xludf.DUMMYFUNCTION("""COMPUTED_VALUE"""),6.84)</f>
        <v>6.84</v>
      </c>
    </row>
    <row r="1183">
      <c r="A1183">
        <f>IFERROR(__xludf.DUMMYFUNCTION("""COMPUTED_VALUE"""),170529.0)</f>
        <v>170529</v>
      </c>
      <c r="B1183" t="str">
        <f>IFERROR(__xludf.DUMMYFUNCTION("""COMPUTED_VALUE"""),"Salsify Cooked Boiled Drained With Salt")</f>
        <v>Salsify Cooked Boiled Drained With Salt</v>
      </c>
      <c r="C1183" t="str">
        <f>IFERROR(__xludf.DUMMYFUNCTION("""COMPUTED_VALUE"""),"Vegetables")</f>
        <v>Vegetables</v>
      </c>
      <c r="D1183">
        <f>IFERROR(__xludf.DUMMYFUNCTION("""COMPUTED_VALUE"""),68.0)</f>
        <v>68</v>
      </c>
      <c r="E1183">
        <f>IFERROR(__xludf.DUMMYFUNCTION("""COMPUTED_VALUE"""),0.17)</f>
        <v>0.17</v>
      </c>
      <c r="F1183">
        <f>IFERROR(__xludf.DUMMYFUNCTION("""COMPUTED_VALUE"""),2.73)</f>
        <v>2.73</v>
      </c>
      <c r="G1183">
        <f>IFERROR(__xludf.DUMMYFUNCTION("""COMPUTED_VALUE"""),15.36)</f>
        <v>15.36</v>
      </c>
    </row>
    <row r="1184">
      <c r="A1184">
        <f>IFERROR(__xludf.DUMMYFUNCTION("""COMPUTED_VALUE"""),170530.0)</f>
        <v>170530</v>
      </c>
      <c r="B1184" t="str">
        <f>IFERROR(__xludf.DUMMYFUNCTION("""COMPUTED_VALUE"""),"Soybeans Green Cooked Boiled Drained With Salt")</f>
        <v>Soybeans Green Cooked Boiled Drained With Salt</v>
      </c>
      <c r="C1184" t="str">
        <f>IFERROR(__xludf.DUMMYFUNCTION("""COMPUTED_VALUE"""),"Vegetables")</f>
        <v>Vegetables</v>
      </c>
      <c r="D1184">
        <f>IFERROR(__xludf.DUMMYFUNCTION("""COMPUTED_VALUE"""),141.0)</f>
        <v>141</v>
      </c>
      <c r="E1184">
        <f>IFERROR(__xludf.DUMMYFUNCTION("""COMPUTED_VALUE"""),6.4)</f>
        <v>6.4</v>
      </c>
      <c r="F1184">
        <f>IFERROR(__xludf.DUMMYFUNCTION("""COMPUTED_VALUE"""),12.35)</f>
        <v>12.35</v>
      </c>
      <c r="G1184">
        <f>IFERROR(__xludf.DUMMYFUNCTION("""COMPUTED_VALUE"""),11.05)</f>
        <v>11.05</v>
      </c>
    </row>
    <row r="1185">
      <c r="A1185">
        <f>IFERROR(__xludf.DUMMYFUNCTION("""COMPUTED_VALUE"""),170531.0)</f>
        <v>170531</v>
      </c>
      <c r="B1185" t="str">
        <f>IFERROR(__xludf.DUMMYFUNCTION("""COMPUTED_VALUE"""),"Spinach Cooked Boiled Drained With Salt")</f>
        <v>Spinach Cooked Boiled Drained With Salt</v>
      </c>
      <c r="C1185" t="str">
        <f>IFERROR(__xludf.DUMMYFUNCTION("""COMPUTED_VALUE"""),"Vegetables")</f>
        <v>Vegetables</v>
      </c>
      <c r="D1185">
        <f>IFERROR(__xludf.DUMMYFUNCTION("""COMPUTED_VALUE"""),23.0)</f>
        <v>23</v>
      </c>
      <c r="E1185">
        <f>IFERROR(__xludf.DUMMYFUNCTION("""COMPUTED_VALUE"""),0.26)</f>
        <v>0.26</v>
      </c>
      <c r="F1185">
        <f>IFERROR(__xludf.DUMMYFUNCTION("""COMPUTED_VALUE"""),2.97)</f>
        <v>2.97</v>
      </c>
      <c r="G1185">
        <f>IFERROR(__xludf.DUMMYFUNCTION("""COMPUTED_VALUE"""),3.75)</f>
        <v>3.75</v>
      </c>
    </row>
    <row r="1186">
      <c r="A1186">
        <f>IFERROR(__xludf.DUMMYFUNCTION("""COMPUTED_VALUE"""),170532.0)</f>
        <v>170532</v>
      </c>
      <c r="B1186" t="str">
        <f>IFERROR(__xludf.DUMMYFUNCTION("""COMPUTED_VALUE"""),"Squash Summer Crookneck And Straightneck Frozen Cooked Boiled Drained With Salt")</f>
        <v>Squash Summer Crookneck And Straightneck Frozen Cooked Boiled Drained With Salt</v>
      </c>
      <c r="C1186" t="str">
        <f>IFERROR(__xludf.DUMMYFUNCTION("""COMPUTED_VALUE"""),"Vegetables")</f>
        <v>Vegetables</v>
      </c>
      <c r="D1186">
        <f>IFERROR(__xludf.DUMMYFUNCTION("""COMPUTED_VALUE"""),25.0)</f>
        <v>25</v>
      </c>
      <c r="E1186">
        <f>IFERROR(__xludf.DUMMYFUNCTION("""COMPUTED_VALUE"""),0.2)</f>
        <v>0.2</v>
      </c>
      <c r="F1186">
        <f>IFERROR(__xludf.DUMMYFUNCTION("""COMPUTED_VALUE"""),1.28)</f>
        <v>1.28</v>
      </c>
      <c r="G1186">
        <f>IFERROR(__xludf.DUMMYFUNCTION("""COMPUTED_VALUE"""),5.54)</f>
        <v>5.54</v>
      </c>
    </row>
    <row r="1187">
      <c r="A1187">
        <f>IFERROR(__xludf.DUMMYFUNCTION("""COMPUTED_VALUE"""),170533.0)</f>
        <v>170533</v>
      </c>
      <c r="B1187" t="str">
        <f>IFERROR(__xludf.DUMMYFUNCTION("""COMPUTED_VALUE"""),"Squash Summer Scallop Cooked Boiled Drained With Salt")</f>
        <v>Squash Summer Scallop Cooked Boiled Drained With Salt</v>
      </c>
      <c r="C1187" t="str">
        <f>IFERROR(__xludf.DUMMYFUNCTION("""COMPUTED_VALUE"""),"Vegetables")</f>
        <v>Vegetables</v>
      </c>
      <c r="D1187">
        <f>IFERROR(__xludf.DUMMYFUNCTION("""COMPUTED_VALUE"""),16.0)</f>
        <v>16</v>
      </c>
      <c r="E1187">
        <f>IFERROR(__xludf.DUMMYFUNCTION("""COMPUTED_VALUE"""),0.17)</f>
        <v>0.17</v>
      </c>
      <c r="F1187">
        <f>IFERROR(__xludf.DUMMYFUNCTION("""COMPUTED_VALUE"""),1.03)</f>
        <v>1.03</v>
      </c>
      <c r="G1187">
        <f>IFERROR(__xludf.DUMMYFUNCTION("""COMPUTED_VALUE"""),3.3)</f>
        <v>3.3</v>
      </c>
    </row>
    <row r="1188">
      <c r="A1188">
        <f>IFERROR(__xludf.DUMMYFUNCTION("""COMPUTED_VALUE"""),170534.0)</f>
        <v>170534</v>
      </c>
      <c r="B1188" t="str">
        <f>IFERROR(__xludf.DUMMYFUNCTION("""COMPUTED_VALUE"""),"Squash Summer Zucchini Includes Skin Cooked Boiled Drained With Salt")</f>
        <v>Squash Summer Zucchini Includes Skin Cooked Boiled Drained With Salt</v>
      </c>
      <c r="C1188" t="str">
        <f>IFERROR(__xludf.DUMMYFUNCTION("""COMPUTED_VALUE"""),"Vegetables")</f>
        <v>Vegetables</v>
      </c>
      <c r="D1188">
        <f>IFERROR(__xludf.DUMMYFUNCTION("""COMPUTED_VALUE"""),15.0)</f>
        <v>15</v>
      </c>
      <c r="E1188">
        <f>IFERROR(__xludf.DUMMYFUNCTION("""COMPUTED_VALUE"""),0.36)</f>
        <v>0.36</v>
      </c>
      <c r="F1188">
        <f>IFERROR(__xludf.DUMMYFUNCTION("""COMPUTED_VALUE"""),1.14)</f>
        <v>1.14</v>
      </c>
      <c r="G1188">
        <f>IFERROR(__xludf.DUMMYFUNCTION("""COMPUTED_VALUE"""),2.69)</f>
        <v>2.69</v>
      </c>
    </row>
    <row r="1189">
      <c r="A1189">
        <f>IFERROR(__xludf.DUMMYFUNCTION("""COMPUTED_VALUE"""),170535.0)</f>
        <v>170535</v>
      </c>
      <c r="B1189" t="str">
        <f>IFERROR(__xludf.DUMMYFUNCTION("""COMPUTED_VALUE"""),"Squash Summer Zucchini Includes Skin Frozen Cooked Boiled Drained With Salt")</f>
        <v>Squash Summer Zucchini Includes Skin Frozen Cooked Boiled Drained With Salt</v>
      </c>
      <c r="C1189" t="str">
        <f>IFERROR(__xludf.DUMMYFUNCTION("""COMPUTED_VALUE"""),"Vegetables")</f>
        <v>Vegetables</v>
      </c>
      <c r="D1189">
        <f>IFERROR(__xludf.DUMMYFUNCTION("""COMPUTED_VALUE"""),14.0)</f>
        <v>14</v>
      </c>
      <c r="E1189">
        <f>IFERROR(__xludf.DUMMYFUNCTION("""COMPUTED_VALUE"""),0.13)</f>
        <v>0.13</v>
      </c>
      <c r="F1189">
        <f>IFERROR(__xludf.DUMMYFUNCTION("""COMPUTED_VALUE"""),1.15)</f>
        <v>1.15</v>
      </c>
      <c r="G1189">
        <f>IFERROR(__xludf.DUMMYFUNCTION("""COMPUTED_VALUE"""),2.97)</f>
        <v>2.97</v>
      </c>
    </row>
    <row r="1190">
      <c r="A1190">
        <f>IFERROR(__xludf.DUMMYFUNCTION("""COMPUTED_VALUE"""),170536.0)</f>
        <v>170536</v>
      </c>
      <c r="B1190" t="str">
        <f>IFERROR(__xludf.DUMMYFUNCTION("""COMPUTED_VALUE"""),"Squash Winter Butternut Frozen Cooked Boiled With Salt")</f>
        <v>Squash Winter Butternut Frozen Cooked Boiled With Salt</v>
      </c>
      <c r="C1190" t="str">
        <f>IFERROR(__xludf.DUMMYFUNCTION("""COMPUTED_VALUE"""),"Vegetables")</f>
        <v>Vegetables</v>
      </c>
      <c r="D1190">
        <f>IFERROR(__xludf.DUMMYFUNCTION("""COMPUTED_VALUE"""),39.0)</f>
        <v>39</v>
      </c>
      <c r="E1190">
        <f>IFERROR(__xludf.DUMMYFUNCTION("""COMPUTED_VALUE"""),0.07)</f>
        <v>0.07</v>
      </c>
      <c r="F1190">
        <f>IFERROR(__xludf.DUMMYFUNCTION("""COMPUTED_VALUE"""),1.23)</f>
        <v>1.23</v>
      </c>
      <c r="G1190">
        <f>IFERROR(__xludf.DUMMYFUNCTION("""COMPUTED_VALUE"""),10.04)</f>
        <v>10.04</v>
      </c>
    </row>
    <row r="1191">
      <c r="A1191">
        <f>IFERROR(__xludf.DUMMYFUNCTION("""COMPUTED_VALUE"""),170537.0)</f>
        <v>170537</v>
      </c>
      <c r="B1191" t="str">
        <f>IFERROR(__xludf.DUMMYFUNCTION("""COMPUTED_VALUE"""),"Squash Winter Hubbard Baked With Salt")</f>
        <v>Squash Winter Hubbard Baked With Salt</v>
      </c>
      <c r="C1191" t="str">
        <f>IFERROR(__xludf.DUMMYFUNCTION("""COMPUTED_VALUE"""),"Vegetables")</f>
        <v>Vegetables</v>
      </c>
      <c r="D1191">
        <f>IFERROR(__xludf.DUMMYFUNCTION("""COMPUTED_VALUE"""),50.0)</f>
        <v>50</v>
      </c>
      <c r="E1191">
        <f>IFERROR(__xludf.DUMMYFUNCTION("""COMPUTED_VALUE"""),0.62)</f>
        <v>0.62</v>
      </c>
      <c r="F1191">
        <f>IFERROR(__xludf.DUMMYFUNCTION("""COMPUTED_VALUE"""),2.48)</f>
        <v>2.48</v>
      </c>
      <c r="G1191">
        <f>IFERROR(__xludf.DUMMYFUNCTION("""COMPUTED_VALUE"""),10.81)</f>
        <v>10.81</v>
      </c>
    </row>
    <row r="1192">
      <c r="A1192">
        <f>IFERROR(__xludf.DUMMYFUNCTION("""COMPUTED_VALUE"""),170538.0)</f>
        <v>170538</v>
      </c>
      <c r="B1192" t="str">
        <f>IFERROR(__xludf.DUMMYFUNCTION("""COMPUTED_VALUE"""),"Squash Winter Hubbard Cooked Boiled Mashed With Salt")</f>
        <v>Squash Winter Hubbard Cooked Boiled Mashed With Salt</v>
      </c>
      <c r="C1192" t="str">
        <f>IFERROR(__xludf.DUMMYFUNCTION("""COMPUTED_VALUE"""),"Vegetables")</f>
        <v>Vegetables</v>
      </c>
      <c r="D1192">
        <f>IFERROR(__xludf.DUMMYFUNCTION("""COMPUTED_VALUE"""),30.0)</f>
        <v>30</v>
      </c>
      <c r="E1192">
        <f>IFERROR(__xludf.DUMMYFUNCTION("""COMPUTED_VALUE"""),0.37)</f>
        <v>0.37</v>
      </c>
      <c r="F1192">
        <f>IFERROR(__xludf.DUMMYFUNCTION("""COMPUTED_VALUE"""),1.48)</f>
        <v>1.48</v>
      </c>
      <c r="G1192">
        <f>IFERROR(__xludf.DUMMYFUNCTION("""COMPUTED_VALUE"""),6.46)</f>
        <v>6.46</v>
      </c>
    </row>
    <row r="1193">
      <c r="A1193">
        <f>IFERROR(__xludf.DUMMYFUNCTION("""COMPUTED_VALUE"""),170539.0)</f>
        <v>170539</v>
      </c>
      <c r="B1193" t="str">
        <f>IFERROR(__xludf.DUMMYFUNCTION("""COMPUTED_VALUE"""),"Squash Winter Spaghetti Cooked Boiled Drained Or Baked With Salt")</f>
        <v>Squash Winter Spaghetti Cooked Boiled Drained Or Baked With Salt</v>
      </c>
      <c r="C1193" t="str">
        <f>IFERROR(__xludf.DUMMYFUNCTION("""COMPUTED_VALUE"""),"Vegetables")</f>
        <v>Vegetables</v>
      </c>
      <c r="D1193">
        <f>IFERROR(__xludf.DUMMYFUNCTION("""COMPUTED_VALUE"""),27.0)</f>
        <v>27</v>
      </c>
      <c r="E1193">
        <f>IFERROR(__xludf.DUMMYFUNCTION("""COMPUTED_VALUE"""),0.26)</f>
        <v>0.26</v>
      </c>
      <c r="F1193">
        <f>IFERROR(__xludf.DUMMYFUNCTION("""COMPUTED_VALUE"""),0.66)</f>
        <v>0.66</v>
      </c>
      <c r="G1193">
        <f>IFERROR(__xludf.DUMMYFUNCTION("""COMPUTED_VALUE"""),6.46)</f>
        <v>6.46</v>
      </c>
    </row>
    <row r="1194">
      <c r="A1194">
        <f>IFERROR(__xludf.DUMMYFUNCTION("""COMPUTED_VALUE"""),170540.0)</f>
        <v>170540</v>
      </c>
      <c r="B1194" t="str">
        <f>IFERROR(__xludf.DUMMYFUNCTION("""COMPUTED_VALUE"""),"Succotash (Corn And Limas) Cooked Boiled Drained With Salt")</f>
        <v>Succotash (Corn And Limas) Cooked Boiled Drained With Salt</v>
      </c>
      <c r="C1194" t="str">
        <f>IFERROR(__xludf.DUMMYFUNCTION("""COMPUTED_VALUE"""),"Vegetables")</f>
        <v>Vegetables</v>
      </c>
      <c r="D1194">
        <f>IFERROR(__xludf.DUMMYFUNCTION("""COMPUTED_VALUE"""),111.0)</f>
        <v>111</v>
      </c>
      <c r="E1194">
        <f>IFERROR(__xludf.DUMMYFUNCTION("""COMPUTED_VALUE"""),0.8)</f>
        <v>0.8</v>
      </c>
      <c r="F1194">
        <f>IFERROR(__xludf.DUMMYFUNCTION("""COMPUTED_VALUE"""),5.07)</f>
        <v>5.07</v>
      </c>
      <c r="G1194">
        <f>IFERROR(__xludf.DUMMYFUNCTION("""COMPUTED_VALUE"""),24.37)</f>
        <v>24.37</v>
      </c>
    </row>
    <row r="1195">
      <c r="A1195">
        <f>IFERROR(__xludf.DUMMYFUNCTION("""COMPUTED_VALUE"""),170541.0)</f>
        <v>170541</v>
      </c>
      <c r="B1195" t="str">
        <f>IFERROR(__xludf.DUMMYFUNCTION("""COMPUTED_VALUE"""),"Sweet Potato Cooked Boiled Without Skin With Salt")</f>
        <v>Sweet Potato Cooked Boiled Without Skin With Salt</v>
      </c>
      <c r="C1195" t="str">
        <f>IFERROR(__xludf.DUMMYFUNCTION("""COMPUTED_VALUE"""),"Vegetables")</f>
        <v>Vegetables</v>
      </c>
      <c r="D1195">
        <f>IFERROR(__xludf.DUMMYFUNCTION("""COMPUTED_VALUE"""),76.0)</f>
        <v>76</v>
      </c>
      <c r="E1195">
        <f>IFERROR(__xludf.DUMMYFUNCTION("""COMPUTED_VALUE"""),0.14)</f>
        <v>0.14</v>
      </c>
      <c r="F1195">
        <f>IFERROR(__xludf.DUMMYFUNCTION("""COMPUTED_VALUE"""),1.37)</f>
        <v>1.37</v>
      </c>
      <c r="G1195">
        <f>IFERROR(__xludf.DUMMYFUNCTION("""COMPUTED_VALUE"""),17.72)</f>
        <v>17.72</v>
      </c>
    </row>
    <row r="1196">
      <c r="A1196">
        <f>IFERROR(__xludf.DUMMYFUNCTION("""COMPUTED_VALUE"""),170542.0)</f>
        <v>170542</v>
      </c>
      <c r="B1196" t="str">
        <f>IFERROR(__xludf.DUMMYFUNCTION("""COMPUTED_VALUE"""),"Sweet Potato Frozen Cooked Baked With Salt")</f>
        <v>Sweet Potato Frozen Cooked Baked With Salt</v>
      </c>
      <c r="C1196" t="str">
        <f>IFERROR(__xludf.DUMMYFUNCTION("""COMPUTED_VALUE"""),"Vegetables")</f>
        <v>Vegetables</v>
      </c>
      <c r="D1196">
        <f>IFERROR(__xludf.DUMMYFUNCTION("""COMPUTED_VALUE"""),100.0)</f>
        <v>100</v>
      </c>
      <c r="E1196">
        <f>IFERROR(__xludf.DUMMYFUNCTION("""COMPUTED_VALUE"""),0.12)</f>
        <v>0.12</v>
      </c>
      <c r="F1196">
        <f>IFERROR(__xludf.DUMMYFUNCTION("""COMPUTED_VALUE"""),1.71)</f>
        <v>1.71</v>
      </c>
      <c r="G1196">
        <f>IFERROR(__xludf.DUMMYFUNCTION("""COMPUTED_VALUE"""),23.4)</f>
        <v>23.4</v>
      </c>
    </row>
    <row r="1197">
      <c r="A1197">
        <f>IFERROR(__xludf.DUMMYFUNCTION("""COMPUTED_VALUE"""),170543.0)</f>
        <v>170543</v>
      </c>
      <c r="B1197" t="str">
        <f>IFERROR(__xludf.DUMMYFUNCTION("""COMPUTED_VALUE"""),"Taro Cooked With Salt")</f>
        <v>Taro Cooked With Salt</v>
      </c>
      <c r="C1197" t="str">
        <f>IFERROR(__xludf.DUMMYFUNCTION("""COMPUTED_VALUE"""),"Vegetables")</f>
        <v>Vegetables</v>
      </c>
      <c r="D1197">
        <f>IFERROR(__xludf.DUMMYFUNCTION("""COMPUTED_VALUE"""),142.0)</f>
        <v>142</v>
      </c>
      <c r="E1197">
        <f>IFERROR(__xludf.DUMMYFUNCTION("""COMPUTED_VALUE"""),0.11)</f>
        <v>0.11</v>
      </c>
      <c r="F1197">
        <f>IFERROR(__xludf.DUMMYFUNCTION("""COMPUTED_VALUE"""),0.52)</f>
        <v>0.52</v>
      </c>
      <c r="G1197">
        <f>IFERROR(__xludf.DUMMYFUNCTION("""COMPUTED_VALUE"""),34.6)</f>
        <v>34.6</v>
      </c>
    </row>
    <row r="1198">
      <c r="A1198">
        <f>IFERROR(__xludf.DUMMYFUNCTION("""COMPUTED_VALUE"""),170544.0)</f>
        <v>170544</v>
      </c>
      <c r="B1198" t="str">
        <f>IFERROR(__xludf.DUMMYFUNCTION("""COMPUTED_VALUE"""),"Taro Leaves Cooked Steamed With Salt")</f>
        <v>Taro Leaves Cooked Steamed With Salt</v>
      </c>
      <c r="C1198" t="str">
        <f>IFERROR(__xludf.DUMMYFUNCTION("""COMPUTED_VALUE"""),"Vegetables")</f>
        <v>Vegetables</v>
      </c>
      <c r="D1198">
        <f>IFERROR(__xludf.DUMMYFUNCTION("""COMPUTED_VALUE"""),24.0)</f>
        <v>24</v>
      </c>
      <c r="E1198">
        <f>IFERROR(__xludf.DUMMYFUNCTION("""COMPUTED_VALUE"""),0.41)</f>
        <v>0.41</v>
      </c>
      <c r="F1198">
        <f>IFERROR(__xludf.DUMMYFUNCTION("""COMPUTED_VALUE"""),2.72)</f>
        <v>2.72</v>
      </c>
      <c r="G1198">
        <f>IFERROR(__xludf.DUMMYFUNCTION("""COMPUTED_VALUE"""),3.89)</f>
        <v>3.89</v>
      </c>
    </row>
    <row r="1199">
      <c r="A1199">
        <f>IFERROR(__xludf.DUMMYFUNCTION("""COMPUTED_VALUE"""),170545.0)</f>
        <v>170545</v>
      </c>
      <c r="B1199" t="str">
        <f>IFERROR(__xludf.DUMMYFUNCTION("""COMPUTED_VALUE"""),"Tomato Juice Canned Without Salt Added")</f>
        <v>Tomato Juice Canned Without Salt Added</v>
      </c>
      <c r="C1199" t="str">
        <f>IFERROR(__xludf.DUMMYFUNCTION("""COMPUTED_VALUE"""),"Vegetables")</f>
        <v>Vegetables</v>
      </c>
      <c r="D1199">
        <f>IFERROR(__xludf.DUMMYFUNCTION("""COMPUTED_VALUE"""),17.0)</f>
        <v>17</v>
      </c>
      <c r="E1199">
        <f>IFERROR(__xludf.DUMMYFUNCTION("""COMPUTED_VALUE"""),0.29)</f>
        <v>0.29</v>
      </c>
      <c r="F1199">
        <f>IFERROR(__xludf.DUMMYFUNCTION("""COMPUTED_VALUE"""),0.85)</f>
        <v>0.85</v>
      </c>
      <c r="G1199">
        <f>IFERROR(__xludf.DUMMYFUNCTION("""COMPUTED_VALUE"""),3.53)</f>
        <v>3.53</v>
      </c>
    </row>
    <row r="1200">
      <c r="A1200">
        <f>IFERROR(__xludf.DUMMYFUNCTION("""COMPUTED_VALUE"""),170546.0)</f>
        <v>170546</v>
      </c>
      <c r="B1200" t="str">
        <f>IFERROR(__xludf.DUMMYFUNCTION("""COMPUTED_VALUE"""),"Tomato Products Canned Puree With Salt Added")</f>
        <v>Tomato Products Canned Puree With Salt Added</v>
      </c>
      <c r="C1200" t="str">
        <f>IFERROR(__xludf.DUMMYFUNCTION("""COMPUTED_VALUE"""),"Vegetables")</f>
        <v>Vegetables</v>
      </c>
      <c r="D1200">
        <f>IFERROR(__xludf.DUMMYFUNCTION("""COMPUTED_VALUE"""),38.0)</f>
        <v>38</v>
      </c>
      <c r="E1200">
        <f>IFERROR(__xludf.DUMMYFUNCTION("""COMPUTED_VALUE"""),0.21)</f>
        <v>0.21</v>
      </c>
      <c r="F1200">
        <f>IFERROR(__xludf.DUMMYFUNCTION("""COMPUTED_VALUE"""),1.65)</f>
        <v>1.65</v>
      </c>
      <c r="G1200">
        <f>IFERROR(__xludf.DUMMYFUNCTION("""COMPUTED_VALUE"""),8.98)</f>
        <v>8.98</v>
      </c>
    </row>
    <row r="1201">
      <c r="A1201">
        <f>IFERROR(__xludf.DUMMYFUNCTION("""COMPUTED_VALUE"""),170547.0)</f>
        <v>170547</v>
      </c>
      <c r="B1201" t="str">
        <f>IFERROR(__xludf.DUMMYFUNCTION("""COMPUTED_VALUE"""),"Turnips Cooked Boiled Drained With Salt")</f>
        <v>Turnips Cooked Boiled Drained With Salt</v>
      </c>
      <c r="C1201" t="str">
        <f>IFERROR(__xludf.DUMMYFUNCTION("""COMPUTED_VALUE"""),"Vegetables")</f>
        <v>Vegetables</v>
      </c>
      <c r="D1201">
        <f>IFERROR(__xludf.DUMMYFUNCTION("""COMPUTED_VALUE"""),22.0)</f>
        <v>22</v>
      </c>
      <c r="E1201">
        <f>IFERROR(__xludf.DUMMYFUNCTION("""COMPUTED_VALUE"""),0.08)</f>
        <v>0.08</v>
      </c>
      <c r="F1201">
        <f>IFERROR(__xludf.DUMMYFUNCTION("""COMPUTED_VALUE"""),0.71)</f>
        <v>0.71</v>
      </c>
      <c r="G1201">
        <f>IFERROR(__xludf.DUMMYFUNCTION("""COMPUTED_VALUE"""),5.06)</f>
        <v>5.06</v>
      </c>
    </row>
    <row r="1202">
      <c r="A1202">
        <f>IFERROR(__xludf.DUMMYFUNCTION("""COMPUTED_VALUE"""),170548.0)</f>
        <v>170548</v>
      </c>
      <c r="B1202" t="str">
        <f>IFERROR(__xludf.DUMMYFUNCTION("""COMPUTED_VALUE"""),"Turnips Frozen Cooked Boiled Drained With Salt")</f>
        <v>Turnips Frozen Cooked Boiled Drained With Salt</v>
      </c>
      <c r="C1202" t="str">
        <f>IFERROR(__xludf.DUMMYFUNCTION("""COMPUTED_VALUE"""),"Vegetables")</f>
        <v>Vegetables</v>
      </c>
      <c r="D1202">
        <f>IFERROR(__xludf.DUMMYFUNCTION("""COMPUTED_VALUE"""),21.0)</f>
        <v>21</v>
      </c>
      <c r="E1202">
        <f>IFERROR(__xludf.DUMMYFUNCTION("""COMPUTED_VALUE"""),0.24)</f>
        <v>0.24</v>
      </c>
      <c r="F1202">
        <f>IFERROR(__xludf.DUMMYFUNCTION("""COMPUTED_VALUE"""),1.53)</f>
        <v>1.53</v>
      </c>
      <c r="G1202">
        <f>IFERROR(__xludf.DUMMYFUNCTION("""COMPUTED_VALUE"""),3.73)</f>
        <v>3.73</v>
      </c>
    </row>
    <row r="1203">
      <c r="A1203">
        <f>IFERROR(__xludf.DUMMYFUNCTION("""COMPUTED_VALUE"""),170549.0)</f>
        <v>170549</v>
      </c>
      <c r="B1203" t="str">
        <f>IFERROR(__xludf.DUMMYFUNCTION("""COMPUTED_VALUE"""),"Waxgourd (Chinese Preserving Melon) Cooked Boiled Drained With Salt")</f>
        <v>Waxgourd (Chinese Preserving Melon) Cooked Boiled Drained With Salt</v>
      </c>
      <c r="C1203" t="str">
        <f>IFERROR(__xludf.DUMMYFUNCTION("""COMPUTED_VALUE"""),"Vegetables")</f>
        <v>Vegetables</v>
      </c>
      <c r="D1203">
        <f>IFERROR(__xludf.DUMMYFUNCTION("""COMPUTED_VALUE"""),11.0)</f>
        <v>11</v>
      </c>
      <c r="E1203">
        <f>IFERROR(__xludf.DUMMYFUNCTION("""COMPUTED_VALUE"""),0.2)</f>
        <v>0.2</v>
      </c>
      <c r="F1203">
        <f>IFERROR(__xludf.DUMMYFUNCTION("""COMPUTED_VALUE"""),0.4)</f>
        <v>0.4</v>
      </c>
      <c r="G1203">
        <f>IFERROR(__xludf.DUMMYFUNCTION("""COMPUTED_VALUE"""),2.45)</f>
        <v>2.45</v>
      </c>
    </row>
    <row r="1204">
      <c r="A1204">
        <f>IFERROR(__xludf.DUMMYFUNCTION("""COMPUTED_VALUE"""),170550.0)</f>
        <v>170550</v>
      </c>
      <c r="B1204" t="str">
        <f>IFERROR(__xludf.DUMMYFUNCTION("""COMPUTED_VALUE"""),"Winged Bean Immature Seeds Cooked Boiled Drained With Salt")</f>
        <v>Winged Bean Immature Seeds Cooked Boiled Drained With Salt</v>
      </c>
      <c r="C1204" t="str">
        <f>IFERROR(__xludf.DUMMYFUNCTION("""COMPUTED_VALUE"""),"Vegetables")</f>
        <v>Vegetables</v>
      </c>
      <c r="D1204">
        <f>IFERROR(__xludf.DUMMYFUNCTION("""COMPUTED_VALUE"""),37.0)</f>
        <v>37</v>
      </c>
      <c r="E1204">
        <f>IFERROR(__xludf.DUMMYFUNCTION("""COMPUTED_VALUE"""),0.66)</f>
        <v>0.66</v>
      </c>
      <c r="F1204">
        <f>IFERROR(__xludf.DUMMYFUNCTION("""COMPUTED_VALUE"""),5.31)</f>
        <v>5.31</v>
      </c>
      <c r="G1204">
        <f>IFERROR(__xludf.DUMMYFUNCTION("""COMPUTED_VALUE"""),3.21)</f>
        <v>3.21</v>
      </c>
    </row>
    <row r="1205">
      <c r="A1205">
        <f>IFERROR(__xludf.DUMMYFUNCTION("""COMPUTED_VALUE"""),170551.0)</f>
        <v>170551</v>
      </c>
      <c r="B1205" t="str">
        <f>IFERROR(__xludf.DUMMYFUNCTION("""COMPUTED_VALUE"""),"Yam Cooked Boiled Drained Or Baked With Salt")</f>
        <v>Yam Cooked Boiled Drained Or Baked With Salt</v>
      </c>
      <c r="C1205" t="str">
        <f>IFERROR(__xludf.DUMMYFUNCTION("""COMPUTED_VALUE"""),"Vegetables")</f>
        <v>Vegetables</v>
      </c>
      <c r="D1205">
        <f>IFERROR(__xludf.DUMMYFUNCTION("""COMPUTED_VALUE"""),114.0)</f>
        <v>114</v>
      </c>
      <c r="E1205">
        <f>IFERROR(__xludf.DUMMYFUNCTION("""COMPUTED_VALUE"""),0.14)</f>
        <v>0.14</v>
      </c>
      <c r="F1205">
        <f>IFERROR(__xludf.DUMMYFUNCTION("""COMPUTED_VALUE"""),1.49)</f>
        <v>1.49</v>
      </c>
      <c r="G1205">
        <f>IFERROR(__xludf.DUMMYFUNCTION("""COMPUTED_VALUE"""),26.99)</f>
        <v>26.99</v>
      </c>
    </row>
    <row r="1206">
      <c r="A1206">
        <f>IFERROR(__xludf.DUMMYFUNCTION("""COMPUTED_VALUE"""),170682.0)</f>
        <v>170682</v>
      </c>
      <c r="B1206" t="str">
        <f>IFERROR(__xludf.DUMMYFUNCTION("""COMPUTED_VALUE"""),"Amaranth Grain Uncooked")</f>
        <v>Amaranth Grain Uncooked</v>
      </c>
      <c r="C1206" t="str">
        <f>IFERROR(__xludf.DUMMYFUNCTION("""COMPUTED_VALUE"""),"Grains and Pasta")</f>
        <v>Grains and Pasta</v>
      </c>
      <c r="D1206">
        <f>IFERROR(__xludf.DUMMYFUNCTION("""COMPUTED_VALUE"""),371.0)</f>
        <v>371</v>
      </c>
      <c r="E1206">
        <f>IFERROR(__xludf.DUMMYFUNCTION("""COMPUTED_VALUE"""),7.02)</f>
        <v>7.02</v>
      </c>
      <c r="F1206">
        <f>IFERROR(__xludf.DUMMYFUNCTION("""COMPUTED_VALUE"""),13.56)</f>
        <v>13.56</v>
      </c>
      <c r="G1206">
        <f>IFERROR(__xludf.DUMMYFUNCTION("""COMPUTED_VALUE"""),65.25)</f>
        <v>65.25</v>
      </c>
    </row>
    <row r="1207">
      <c r="A1207">
        <f>IFERROR(__xludf.DUMMYFUNCTION("""COMPUTED_VALUE"""),170683.0)</f>
        <v>170683</v>
      </c>
      <c r="B1207" t="str">
        <f>IFERROR(__xludf.DUMMYFUNCTION("""COMPUTED_VALUE"""),"Cooked Amaranth")</f>
        <v>Cooked Amaranth</v>
      </c>
      <c r="C1207" t="str">
        <f>IFERROR(__xludf.DUMMYFUNCTION("""COMPUTED_VALUE"""),"Grains and Pasta")</f>
        <v>Grains and Pasta</v>
      </c>
      <c r="D1207">
        <f>IFERROR(__xludf.DUMMYFUNCTION("""COMPUTED_VALUE"""),102.0)</f>
        <v>102</v>
      </c>
      <c r="E1207">
        <f>IFERROR(__xludf.DUMMYFUNCTION("""COMPUTED_VALUE"""),1.58)</f>
        <v>1.58</v>
      </c>
      <c r="F1207">
        <f>IFERROR(__xludf.DUMMYFUNCTION("""COMPUTED_VALUE"""),3.8)</f>
        <v>3.8</v>
      </c>
      <c r="G1207">
        <f>IFERROR(__xludf.DUMMYFUNCTION("""COMPUTED_VALUE"""),18.69)</f>
        <v>18.69</v>
      </c>
    </row>
    <row r="1208">
      <c r="A1208">
        <f>IFERROR(__xludf.DUMMYFUNCTION("""COMPUTED_VALUE"""),170684.0)</f>
        <v>170684</v>
      </c>
      <c r="B1208" t="str">
        <f>IFERROR(__xludf.DUMMYFUNCTION("""COMPUTED_VALUE"""),"Arrowroot Flour")</f>
        <v>Arrowroot Flour</v>
      </c>
      <c r="C1208" t="str">
        <f>IFERROR(__xludf.DUMMYFUNCTION("""COMPUTED_VALUE"""),"Grains and Pasta")</f>
        <v>Grains and Pasta</v>
      </c>
      <c r="D1208">
        <f>IFERROR(__xludf.DUMMYFUNCTION("""COMPUTED_VALUE"""),357.0)</f>
        <v>357</v>
      </c>
      <c r="E1208">
        <f>IFERROR(__xludf.DUMMYFUNCTION("""COMPUTED_VALUE"""),0.1)</f>
        <v>0.1</v>
      </c>
      <c r="F1208">
        <f>IFERROR(__xludf.DUMMYFUNCTION("""COMPUTED_VALUE"""),0.3)</f>
        <v>0.3</v>
      </c>
      <c r="G1208">
        <f>IFERROR(__xludf.DUMMYFUNCTION("""COMPUTED_VALUE"""),88.15)</f>
        <v>88.15</v>
      </c>
    </row>
    <row r="1209">
      <c r="A1209">
        <f>IFERROR(__xludf.DUMMYFUNCTION("""COMPUTED_VALUE"""),170685.0)</f>
        <v>170685</v>
      </c>
      <c r="B1209" t="str">
        <f>IFERROR(__xludf.DUMMYFUNCTION("""COMPUTED_VALUE"""),"Buckwheat Groats Roasted Dry")</f>
        <v>Buckwheat Groats Roasted Dry</v>
      </c>
      <c r="C1209" t="str">
        <f>IFERROR(__xludf.DUMMYFUNCTION("""COMPUTED_VALUE"""),"Grains and Pasta")</f>
        <v>Grains and Pasta</v>
      </c>
      <c r="D1209">
        <f>IFERROR(__xludf.DUMMYFUNCTION("""COMPUTED_VALUE"""),346.0)</f>
        <v>346</v>
      </c>
      <c r="E1209">
        <f>IFERROR(__xludf.DUMMYFUNCTION("""COMPUTED_VALUE"""),2.71)</f>
        <v>2.71</v>
      </c>
      <c r="F1209">
        <f>IFERROR(__xludf.DUMMYFUNCTION("""COMPUTED_VALUE"""),11.73)</f>
        <v>11.73</v>
      </c>
      <c r="G1209">
        <f>IFERROR(__xludf.DUMMYFUNCTION("""COMPUTED_VALUE"""),74.95)</f>
        <v>74.95</v>
      </c>
    </row>
    <row r="1210">
      <c r="A1210">
        <f>IFERROR(__xludf.DUMMYFUNCTION("""COMPUTED_VALUE"""),170686.0)</f>
        <v>170686</v>
      </c>
      <c r="B1210" t="str">
        <f>IFERROR(__xludf.DUMMYFUNCTION("""COMPUTED_VALUE"""),"Roasted Buckwheat Groats")</f>
        <v>Roasted Buckwheat Groats</v>
      </c>
      <c r="C1210" t="str">
        <f>IFERROR(__xludf.DUMMYFUNCTION("""COMPUTED_VALUE"""),"Grains and Pasta")</f>
        <v>Grains and Pasta</v>
      </c>
      <c r="D1210">
        <f>IFERROR(__xludf.DUMMYFUNCTION("""COMPUTED_VALUE"""),92.0)</f>
        <v>92</v>
      </c>
      <c r="E1210">
        <f>IFERROR(__xludf.DUMMYFUNCTION("""COMPUTED_VALUE"""),0.62)</f>
        <v>0.62</v>
      </c>
      <c r="F1210">
        <f>IFERROR(__xludf.DUMMYFUNCTION("""COMPUTED_VALUE"""),3.38)</f>
        <v>3.38</v>
      </c>
      <c r="G1210">
        <f>IFERROR(__xludf.DUMMYFUNCTION("""COMPUTED_VALUE"""),19.94)</f>
        <v>19.94</v>
      </c>
    </row>
    <row r="1211">
      <c r="A1211">
        <f>IFERROR(__xludf.DUMMYFUNCTION("""COMPUTED_VALUE"""),170687.0)</f>
        <v>170687</v>
      </c>
      <c r="B1211" t="str">
        <f>IFERROR(__xludf.DUMMYFUNCTION("""COMPUTED_VALUE"""),"Buckwheat Flour Whole-Groat")</f>
        <v>Buckwheat Flour Whole-Groat</v>
      </c>
      <c r="C1211" t="str">
        <f>IFERROR(__xludf.DUMMYFUNCTION("""COMPUTED_VALUE"""),"Grains and Pasta")</f>
        <v>Grains and Pasta</v>
      </c>
      <c r="D1211">
        <f>IFERROR(__xludf.DUMMYFUNCTION("""COMPUTED_VALUE"""),335.0)</f>
        <v>335</v>
      </c>
      <c r="E1211">
        <f>IFERROR(__xludf.DUMMYFUNCTION("""COMPUTED_VALUE"""),3.1)</f>
        <v>3.1</v>
      </c>
      <c r="F1211">
        <f>IFERROR(__xludf.DUMMYFUNCTION("""COMPUTED_VALUE"""),12.62)</f>
        <v>12.62</v>
      </c>
      <c r="G1211">
        <f>IFERROR(__xludf.DUMMYFUNCTION("""COMPUTED_VALUE"""),70.59)</f>
        <v>70.59</v>
      </c>
    </row>
    <row r="1212">
      <c r="A1212">
        <f>IFERROR(__xludf.DUMMYFUNCTION("""COMPUTED_VALUE"""),170688.0)</f>
        <v>170688</v>
      </c>
      <c r="B1212" t="str">
        <f>IFERROR(__xludf.DUMMYFUNCTION("""COMPUTED_VALUE"""),"Bulgur Dry")</f>
        <v>Bulgur Dry</v>
      </c>
      <c r="C1212" t="str">
        <f>IFERROR(__xludf.DUMMYFUNCTION("""COMPUTED_VALUE"""),"Grains and Pasta")</f>
        <v>Grains and Pasta</v>
      </c>
      <c r="D1212">
        <f>IFERROR(__xludf.DUMMYFUNCTION("""COMPUTED_VALUE"""),342.0)</f>
        <v>342</v>
      </c>
      <c r="E1212">
        <f>IFERROR(__xludf.DUMMYFUNCTION("""COMPUTED_VALUE"""),1.33)</f>
        <v>1.33</v>
      </c>
      <c r="F1212">
        <f>IFERROR(__xludf.DUMMYFUNCTION("""COMPUTED_VALUE"""),12.29)</f>
        <v>12.29</v>
      </c>
      <c r="G1212">
        <f>IFERROR(__xludf.DUMMYFUNCTION("""COMPUTED_VALUE"""),75.87)</f>
        <v>75.87</v>
      </c>
    </row>
    <row r="1213">
      <c r="A1213">
        <f>IFERROR(__xludf.DUMMYFUNCTION("""COMPUTED_VALUE"""),171672.0)</f>
        <v>171672</v>
      </c>
      <c r="B1213" t="str">
        <f>IFERROR(__xludf.DUMMYFUNCTION("""COMPUTED_VALUE"""),"Yellow Cornmeal (Grits)")</f>
        <v>Yellow Cornmeal (Grits)</v>
      </c>
      <c r="C1213" t="str">
        <f>IFERROR(__xludf.DUMMYFUNCTION("""COMPUTED_VALUE"""),"Grains and Pasta")</f>
        <v>Grains and Pasta</v>
      </c>
      <c r="D1213">
        <f>IFERROR(__xludf.DUMMYFUNCTION("""COMPUTED_VALUE"""),65.0)</f>
        <v>65</v>
      </c>
      <c r="E1213">
        <f>IFERROR(__xludf.DUMMYFUNCTION("""COMPUTED_VALUE"""),0.39)</f>
        <v>0.39</v>
      </c>
      <c r="F1213">
        <f>IFERROR(__xludf.DUMMYFUNCTION("""COMPUTED_VALUE"""),1.23)</f>
        <v>1.23</v>
      </c>
      <c r="G1213">
        <f>IFERROR(__xludf.DUMMYFUNCTION("""COMPUTED_VALUE"""),13.86)</f>
        <v>13.86</v>
      </c>
    </row>
    <row r="1214">
      <c r="A1214">
        <f>IFERROR(__xludf.DUMMYFUNCTION("""COMPUTED_VALUE"""),171686.0)</f>
        <v>171686</v>
      </c>
      <c r="B1214" t="str">
        <f>IFERROR(__xludf.DUMMYFUNCTION("""COMPUTED_VALUE"""),"Acerola Cherries (West Indian Cherry)")</f>
        <v>Acerola Cherries (West Indian Cherry)</v>
      </c>
      <c r="C1214" t="str">
        <f>IFERROR(__xludf.DUMMYFUNCTION("""COMPUTED_VALUE"""),"Fruits")</f>
        <v>Fruits</v>
      </c>
      <c r="D1214">
        <f>IFERROR(__xludf.DUMMYFUNCTION("""COMPUTED_VALUE"""),32.0)</f>
        <v>32</v>
      </c>
      <c r="E1214">
        <f>IFERROR(__xludf.DUMMYFUNCTION("""COMPUTED_VALUE"""),0.3)</f>
        <v>0.3</v>
      </c>
      <c r="F1214">
        <f>IFERROR(__xludf.DUMMYFUNCTION("""COMPUTED_VALUE"""),0.4)</f>
        <v>0.4</v>
      </c>
      <c r="G1214">
        <f>IFERROR(__xludf.DUMMYFUNCTION("""COMPUTED_VALUE"""),7.69)</f>
        <v>7.69</v>
      </c>
    </row>
    <row r="1215">
      <c r="A1215">
        <f>IFERROR(__xludf.DUMMYFUNCTION("""COMPUTED_VALUE"""),171687.0)</f>
        <v>171687</v>
      </c>
      <c r="B1215" t="str">
        <f>IFERROR(__xludf.DUMMYFUNCTION("""COMPUTED_VALUE"""),"Acerola Juice Raw")</f>
        <v>Acerola Juice Raw</v>
      </c>
      <c r="C1215" t="str">
        <f>IFERROR(__xludf.DUMMYFUNCTION("""COMPUTED_VALUE"""),"Fruits")</f>
        <v>Fruits</v>
      </c>
      <c r="D1215">
        <f>IFERROR(__xludf.DUMMYFUNCTION("""COMPUTED_VALUE"""),23.0)</f>
        <v>23</v>
      </c>
      <c r="E1215">
        <f>IFERROR(__xludf.DUMMYFUNCTION("""COMPUTED_VALUE"""),0.3)</f>
        <v>0.3</v>
      </c>
      <c r="F1215">
        <f>IFERROR(__xludf.DUMMYFUNCTION("""COMPUTED_VALUE"""),0.4)</f>
        <v>0.4</v>
      </c>
      <c r="G1215">
        <f>IFERROR(__xludf.DUMMYFUNCTION("""COMPUTED_VALUE"""),4.8)</f>
        <v>4.8</v>
      </c>
    </row>
    <row r="1216">
      <c r="A1216">
        <f>IFERROR(__xludf.DUMMYFUNCTION("""COMPUTED_VALUE"""),171688.0)</f>
        <v>171688</v>
      </c>
      <c r="B1216" t="str">
        <f>IFERROR(__xludf.DUMMYFUNCTION("""COMPUTED_VALUE"""),"Apples")</f>
        <v>Apples</v>
      </c>
      <c r="C1216" t="str">
        <f>IFERROR(__xludf.DUMMYFUNCTION("""COMPUTED_VALUE"""),"Fruits")</f>
        <v>Fruits</v>
      </c>
      <c r="D1216">
        <f>IFERROR(__xludf.DUMMYFUNCTION("""COMPUTED_VALUE"""),52.0)</f>
        <v>52</v>
      </c>
      <c r="E1216">
        <f>IFERROR(__xludf.DUMMYFUNCTION("""COMPUTED_VALUE"""),0.17)</f>
        <v>0.17</v>
      </c>
      <c r="F1216">
        <f>IFERROR(__xludf.DUMMYFUNCTION("""COMPUTED_VALUE"""),0.26)</f>
        <v>0.26</v>
      </c>
      <c r="G1216">
        <f>IFERROR(__xludf.DUMMYFUNCTION("""COMPUTED_VALUE"""),13.81)</f>
        <v>13.81</v>
      </c>
    </row>
    <row r="1217">
      <c r="A1217">
        <f>IFERROR(__xludf.DUMMYFUNCTION("""COMPUTED_VALUE"""),171689.0)</f>
        <v>171689</v>
      </c>
      <c r="B1217" t="str">
        <f>IFERROR(__xludf.DUMMYFUNCTION("""COMPUTED_VALUE"""),"Apples (Without Skin)")</f>
        <v>Apples (Without Skin)</v>
      </c>
      <c r="C1217" t="str">
        <f>IFERROR(__xludf.DUMMYFUNCTION("""COMPUTED_VALUE"""),"Fruits")</f>
        <v>Fruits</v>
      </c>
      <c r="D1217">
        <f>IFERROR(__xludf.DUMMYFUNCTION("""COMPUTED_VALUE"""),48.0)</f>
        <v>48</v>
      </c>
      <c r="E1217">
        <f>IFERROR(__xludf.DUMMYFUNCTION("""COMPUTED_VALUE"""),0.13)</f>
        <v>0.13</v>
      </c>
      <c r="F1217">
        <f>IFERROR(__xludf.DUMMYFUNCTION("""COMPUTED_VALUE"""),0.27)</f>
        <v>0.27</v>
      </c>
      <c r="G1217">
        <f>IFERROR(__xludf.DUMMYFUNCTION("""COMPUTED_VALUE"""),12.76)</f>
        <v>12.76</v>
      </c>
    </row>
    <row r="1218">
      <c r="A1218">
        <f>IFERROR(__xludf.DUMMYFUNCTION("""COMPUTED_VALUE"""),171690.0)</f>
        <v>171690</v>
      </c>
      <c r="B1218" t="str">
        <f>IFERROR(__xludf.DUMMYFUNCTION("""COMPUTED_VALUE"""),"Apples Dehydrated (Low Moisture) Sulfured Stewed")</f>
        <v>Apples Dehydrated (Low Moisture) Sulfured Stewed</v>
      </c>
      <c r="C1218" t="str">
        <f>IFERROR(__xludf.DUMMYFUNCTION("""COMPUTED_VALUE"""),"Fruits")</f>
        <v>Fruits</v>
      </c>
      <c r="D1218">
        <f>IFERROR(__xludf.DUMMYFUNCTION("""COMPUTED_VALUE"""),74.0)</f>
        <v>74</v>
      </c>
      <c r="E1218">
        <f>IFERROR(__xludf.DUMMYFUNCTION("""COMPUTED_VALUE"""),0.12)</f>
        <v>0.12</v>
      </c>
      <c r="F1218">
        <f>IFERROR(__xludf.DUMMYFUNCTION("""COMPUTED_VALUE"""),0.28)</f>
        <v>0.28</v>
      </c>
      <c r="G1218">
        <f>IFERROR(__xludf.DUMMYFUNCTION("""COMPUTED_VALUE"""),19.91)</f>
        <v>19.91</v>
      </c>
    </row>
    <row r="1219">
      <c r="A1219">
        <f>IFERROR(__xludf.DUMMYFUNCTION("""COMPUTED_VALUE"""),171691.0)</f>
        <v>171691</v>
      </c>
      <c r="B1219" t="str">
        <f>IFERROR(__xludf.DUMMYFUNCTION("""COMPUTED_VALUE"""),"Dried Apples")</f>
        <v>Dried Apples</v>
      </c>
      <c r="C1219" t="str">
        <f>IFERROR(__xludf.DUMMYFUNCTION("""COMPUTED_VALUE"""),"Fruits")</f>
        <v>Fruits</v>
      </c>
      <c r="D1219">
        <f>IFERROR(__xludf.DUMMYFUNCTION("""COMPUTED_VALUE"""),243.0)</f>
        <v>243</v>
      </c>
      <c r="E1219">
        <f>IFERROR(__xludf.DUMMYFUNCTION("""COMPUTED_VALUE"""),0.32)</f>
        <v>0.32</v>
      </c>
      <c r="F1219">
        <f>IFERROR(__xludf.DUMMYFUNCTION("""COMPUTED_VALUE"""),0.93)</f>
        <v>0.93</v>
      </c>
      <c r="G1219">
        <f>IFERROR(__xludf.DUMMYFUNCTION("""COMPUTED_VALUE"""),65.89)</f>
        <v>65.89</v>
      </c>
    </row>
    <row r="1220">
      <c r="A1220">
        <f>IFERROR(__xludf.DUMMYFUNCTION("""COMPUTED_VALUE"""),171692.0)</f>
        <v>171692</v>
      </c>
      <c r="B1220" t="str">
        <f>IFERROR(__xludf.DUMMYFUNCTION("""COMPUTED_VALUE"""),"Apples Dried Sulfured Stewed Without Added Sugar")</f>
        <v>Apples Dried Sulfured Stewed Without Added Sugar</v>
      </c>
      <c r="C1220" t="str">
        <f>IFERROR(__xludf.DUMMYFUNCTION("""COMPUTED_VALUE"""),"Fruits")</f>
        <v>Fruits</v>
      </c>
      <c r="D1220">
        <f>IFERROR(__xludf.DUMMYFUNCTION("""COMPUTED_VALUE"""),57.0)</f>
        <v>57</v>
      </c>
      <c r="E1220">
        <f>IFERROR(__xludf.DUMMYFUNCTION("""COMPUTED_VALUE"""),0.07)</f>
        <v>0.07</v>
      </c>
      <c r="F1220">
        <f>IFERROR(__xludf.DUMMYFUNCTION("""COMPUTED_VALUE"""),0.22)</f>
        <v>0.22</v>
      </c>
      <c r="G1220">
        <f>IFERROR(__xludf.DUMMYFUNCTION("""COMPUTED_VALUE"""),15.32)</f>
        <v>15.32</v>
      </c>
    </row>
    <row r="1221">
      <c r="A1221">
        <f>IFERROR(__xludf.DUMMYFUNCTION("""COMPUTED_VALUE"""),171693.0)</f>
        <v>171693</v>
      </c>
      <c r="B1221" t="str">
        <f>IFERROR(__xludf.DUMMYFUNCTION("""COMPUTED_VALUE"""),"Apples Dried Sulfured Stewed With Added Sugar")</f>
        <v>Apples Dried Sulfured Stewed With Added Sugar</v>
      </c>
      <c r="C1221" t="str">
        <f>IFERROR(__xludf.DUMMYFUNCTION("""COMPUTED_VALUE"""),"Fruits")</f>
        <v>Fruits</v>
      </c>
      <c r="D1221">
        <f>IFERROR(__xludf.DUMMYFUNCTION("""COMPUTED_VALUE"""),83.0)</f>
        <v>83</v>
      </c>
      <c r="E1221">
        <f>IFERROR(__xludf.DUMMYFUNCTION("""COMPUTED_VALUE"""),0.07)</f>
        <v>0.07</v>
      </c>
      <c r="F1221">
        <f>IFERROR(__xludf.DUMMYFUNCTION("""COMPUTED_VALUE"""),0.2)</f>
        <v>0.2</v>
      </c>
      <c r="G1221">
        <f>IFERROR(__xludf.DUMMYFUNCTION("""COMPUTED_VALUE"""),20.73)</f>
        <v>20.73</v>
      </c>
    </row>
    <row r="1222">
      <c r="A1222">
        <f>IFERROR(__xludf.DUMMYFUNCTION("""COMPUTED_VALUE"""),171694.0)</f>
        <v>171694</v>
      </c>
      <c r="B1222" t="str">
        <f>IFERROR(__xludf.DUMMYFUNCTION("""COMPUTED_VALUE"""),"Apples Frozen Unsweetened Unheated")</f>
        <v>Apples Frozen Unsweetened Unheated</v>
      </c>
      <c r="C1222" t="str">
        <f>IFERROR(__xludf.DUMMYFUNCTION("""COMPUTED_VALUE"""),"Fruits")</f>
        <v>Fruits</v>
      </c>
      <c r="D1222">
        <f>IFERROR(__xludf.DUMMYFUNCTION("""COMPUTED_VALUE"""),48.0)</f>
        <v>48</v>
      </c>
      <c r="E1222">
        <f>IFERROR(__xludf.DUMMYFUNCTION("""COMPUTED_VALUE"""),0.32)</f>
        <v>0.32</v>
      </c>
      <c r="F1222">
        <f>IFERROR(__xludf.DUMMYFUNCTION("""COMPUTED_VALUE"""),0.28)</f>
        <v>0.28</v>
      </c>
      <c r="G1222">
        <f>IFERROR(__xludf.DUMMYFUNCTION("""COMPUTED_VALUE"""),12.31)</f>
        <v>12.31</v>
      </c>
    </row>
    <row r="1223">
      <c r="A1223">
        <f>IFERROR(__xludf.DUMMYFUNCTION("""COMPUTED_VALUE"""),171695.0)</f>
        <v>171695</v>
      </c>
      <c r="B1223" t="str">
        <f>IFERROR(__xludf.DUMMYFUNCTION("""COMPUTED_VALUE"""),"Applesauce Canned Unsweetened Without Added Ascorbic Acid (Includes USDA Commodity)")</f>
        <v>Applesauce Canned Unsweetened Without Added Ascorbic Acid (Includes USDA Commodity)</v>
      </c>
      <c r="C1223" t="str">
        <f>IFERROR(__xludf.DUMMYFUNCTION("""COMPUTED_VALUE"""),"Fruits")</f>
        <v>Fruits</v>
      </c>
      <c r="D1223">
        <f>IFERROR(__xludf.DUMMYFUNCTION("""COMPUTED_VALUE"""),42.0)</f>
        <v>42</v>
      </c>
      <c r="E1223">
        <f>IFERROR(__xludf.DUMMYFUNCTION("""COMPUTED_VALUE"""),0.1)</f>
        <v>0.1</v>
      </c>
      <c r="F1223">
        <f>IFERROR(__xludf.DUMMYFUNCTION("""COMPUTED_VALUE"""),0.17)</f>
        <v>0.17</v>
      </c>
      <c r="G1223">
        <f>IFERROR(__xludf.DUMMYFUNCTION("""COMPUTED_VALUE"""),11.27)</f>
        <v>11.27</v>
      </c>
    </row>
    <row r="1224">
      <c r="A1224">
        <f>IFERROR(__xludf.DUMMYFUNCTION("""COMPUTED_VALUE"""),171696.0)</f>
        <v>171696</v>
      </c>
      <c r="B1224" t="str">
        <f>IFERROR(__xludf.DUMMYFUNCTION("""COMPUTED_VALUE"""),"Applesauce Canned Sweetened Without Salt (Includes USDA Commodity)")</f>
        <v>Applesauce Canned Sweetened Without Salt (Includes USDA Commodity)</v>
      </c>
      <c r="C1224" t="str">
        <f>IFERROR(__xludf.DUMMYFUNCTION("""COMPUTED_VALUE"""),"Fruits")</f>
        <v>Fruits</v>
      </c>
      <c r="D1224">
        <f>IFERROR(__xludf.DUMMYFUNCTION("""COMPUTED_VALUE"""),68.0)</f>
        <v>68</v>
      </c>
      <c r="E1224">
        <f>IFERROR(__xludf.DUMMYFUNCTION("""COMPUTED_VALUE"""),0.17)</f>
        <v>0.17</v>
      </c>
      <c r="F1224">
        <f>IFERROR(__xludf.DUMMYFUNCTION("""COMPUTED_VALUE"""),0.16)</f>
        <v>0.16</v>
      </c>
      <c r="G1224">
        <f>IFERROR(__xludf.DUMMYFUNCTION("""COMPUTED_VALUE"""),17.49)</f>
        <v>17.49</v>
      </c>
    </row>
    <row r="1225">
      <c r="A1225">
        <f>IFERROR(__xludf.DUMMYFUNCTION("""COMPUTED_VALUE"""),171697.0)</f>
        <v>171697</v>
      </c>
      <c r="B1225" t="str">
        <f>IFERROR(__xludf.DUMMYFUNCTION("""COMPUTED_VALUE"""),"Apricots")</f>
        <v>Apricots</v>
      </c>
      <c r="C1225" t="str">
        <f>IFERROR(__xludf.DUMMYFUNCTION("""COMPUTED_VALUE"""),"Fruits")</f>
        <v>Fruits</v>
      </c>
      <c r="D1225">
        <f>IFERROR(__xludf.DUMMYFUNCTION("""COMPUTED_VALUE"""),48.0)</f>
        <v>48</v>
      </c>
      <c r="E1225">
        <f>IFERROR(__xludf.DUMMYFUNCTION("""COMPUTED_VALUE"""),0.39)</f>
        <v>0.39</v>
      </c>
      <c r="F1225">
        <f>IFERROR(__xludf.DUMMYFUNCTION("""COMPUTED_VALUE"""),1.4)</f>
        <v>1.4</v>
      </c>
      <c r="G1225">
        <f>IFERROR(__xludf.DUMMYFUNCTION("""COMPUTED_VALUE"""),11.12)</f>
        <v>11.12</v>
      </c>
    </row>
    <row r="1226">
      <c r="A1226">
        <f>IFERROR(__xludf.DUMMYFUNCTION("""COMPUTED_VALUE"""),171698.0)</f>
        <v>171698</v>
      </c>
      <c r="B1226" t="str">
        <f>IFERROR(__xludf.DUMMYFUNCTION("""COMPUTED_VALUE"""),"Apricots Canned Water Pack With Skin Solids And Liquids")</f>
        <v>Apricots Canned Water Pack With Skin Solids And Liquids</v>
      </c>
      <c r="C1226" t="str">
        <f>IFERROR(__xludf.DUMMYFUNCTION("""COMPUTED_VALUE"""),"Fruits")</f>
        <v>Fruits</v>
      </c>
      <c r="D1226">
        <f>IFERROR(__xludf.DUMMYFUNCTION("""COMPUTED_VALUE"""),27.0)</f>
        <v>27</v>
      </c>
      <c r="E1226">
        <f>IFERROR(__xludf.DUMMYFUNCTION("""COMPUTED_VALUE"""),0.16)</f>
        <v>0.16</v>
      </c>
      <c r="F1226">
        <f>IFERROR(__xludf.DUMMYFUNCTION("""COMPUTED_VALUE"""),0.71)</f>
        <v>0.71</v>
      </c>
      <c r="G1226">
        <f>IFERROR(__xludf.DUMMYFUNCTION("""COMPUTED_VALUE"""),6.39)</f>
        <v>6.39</v>
      </c>
    </row>
    <row r="1227">
      <c r="A1227">
        <f>IFERROR(__xludf.DUMMYFUNCTION("""COMPUTED_VALUE"""),171699.0)</f>
        <v>171699</v>
      </c>
      <c r="B1227" t="str">
        <f>IFERROR(__xludf.DUMMYFUNCTION("""COMPUTED_VALUE"""),"Apricots Canned Heavy Syrup Pack With Skin Solids And Liquids")</f>
        <v>Apricots Canned Heavy Syrup Pack With Skin Solids And Liquids</v>
      </c>
      <c r="C1227" t="str">
        <f>IFERROR(__xludf.DUMMYFUNCTION("""COMPUTED_VALUE"""),"Fruits")</f>
        <v>Fruits</v>
      </c>
      <c r="D1227">
        <f>IFERROR(__xludf.DUMMYFUNCTION("""COMPUTED_VALUE"""),83.0)</f>
        <v>83</v>
      </c>
      <c r="E1227">
        <f>IFERROR(__xludf.DUMMYFUNCTION("""COMPUTED_VALUE"""),0.08)</f>
        <v>0.08</v>
      </c>
      <c r="F1227">
        <f>IFERROR(__xludf.DUMMYFUNCTION("""COMPUTED_VALUE"""),0.53)</f>
        <v>0.53</v>
      </c>
      <c r="G1227">
        <f>IFERROR(__xludf.DUMMYFUNCTION("""COMPUTED_VALUE"""),21.47)</f>
        <v>21.47</v>
      </c>
    </row>
    <row r="1228">
      <c r="A1228">
        <f>IFERROR(__xludf.DUMMYFUNCTION("""COMPUTED_VALUE"""),171700.0)</f>
        <v>171700</v>
      </c>
      <c r="B1228" t="str">
        <f>IFERROR(__xludf.DUMMYFUNCTION("""COMPUTED_VALUE"""),"Apricots Canned Heavy Syrup Pack Without Skin Solids And Liquids")</f>
        <v>Apricots Canned Heavy Syrup Pack Without Skin Solids And Liquids</v>
      </c>
      <c r="C1228" t="str">
        <f>IFERROR(__xludf.DUMMYFUNCTION("""COMPUTED_VALUE"""),"Fruits")</f>
        <v>Fruits</v>
      </c>
      <c r="D1228">
        <f>IFERROR(__xludf.DUMMYFUNCTION("""COMPUTED_VALUE"""),83.0)</f>
        <v>83</v>
      </c>
      <c r="E1228">
        <f>IFERROR(__xludf.DUMMYFUNCTION("""COMPUTED_VALUE"""),0.09)</f>
        <v>0.09</v>
      </c>
      <c r="F1228">
        <f>IFERROR(__xludf.DUMMYFUNCTION("""COMPUTED_VALUE"""),0.51)</f>
        <v>0.51</v>
      </c>
      <c r="G1228">
        <f>IFERROR(__xludf.DUMMYFUNCTION("""COMPUTED_VALUE"""),21.45)</f>
        <v>21.45</v>
      </c>
    </row>
    <row r="1229">
      <c r="A1229">
        <f>IFERROR(__xludf.DUMMYFUNCTION("""COMPUTED_VALUE"""),171701.0)</f>
        <v>171701</v>
      </c>
      <c r="B1229" t="str">
        <f>IFERROR(__xludf.DUMMYFUNCTION("""COMPUTED_VALUE"""),"Apricots Canned Extra Heavy Syrup Pack Without Skin Solids And Liquids")</f>
        <v>Apricots Canned Extra Heavy Syrup Pack Without Skin Solids And Liquids</v>
      </c>
      <c r="C1229" t="str">
        <f>IFERROR(__xludf.DUMMYFUNCTION("""COMPUTED_VALUE"""),"Fruits")</f>
        <v>Fruits</v>
      </c>
      <c r="D1229">
        <f>IFERROR(__xludf.DUMMYFUNCTION("""COMPUTED_VALUE"""),96.0)</f>
        <v>96</v>
      </c>
      <c r="E1229">
        <f>IFERROR(__xludf.DUMMYFUNCTION("""COMPUTED_VALUE"""),0.04)</f>
        <v>0.04</v>
      </c>
      <c r="F1229">
        <f>IFERROR(__xludf.DUMMYFUNCTION("""COMPUTED_VALUE"""),0.55)</f>
        <v>0.55</v>
      </c>
      <c r="G1229">
        <f>IFERROR(__xludf.DUMMYFUNCTION("""COMPUTED_VALUE"""),24.85)</f>
        <v>24.85</v>
      </c>
    </row>
    <row r="1230">
      <c r="A1230">
        <f>IFERROR(__xludf.DUMMYFUNCTION("""COMPUTED_VALUE"""),171702.0)</f>
        <v>171702</v>
      </c>
      <c r="B1230" t="str">
        <f>IFERROR(__xludf.DUMMYFUNCTION("""COMPUTED_VALUE"""),"Low-Moisture Dried Apricots")</f>
        <v>Low-Moisture Dried Apricots</v>
      </c>
      <c r="C1230" t="str">
        <f>IFERROR(__xludf.DUMMYFUNCTION("""COMPUTED_VALUE"""),"Fruits")</f>
        <v>Fruits</v>
      </c>
      <c r="D1230">
        <f>IFERROR(__xludf.DUMMYFUNCTION("""COMPUTED_VALUE"""),320.0)</f>
        <v>320</v>
      </c>
      <c r="E1230">
        <f>IFERROR(__xludf.DUMMYFUNCTION("""COMPUTED_VALUE"""),0.62)</f>
        <v>0.62</v>
      </c>
      <c r="F1230">
        <f>IFERROR(__xludf.DUMMYFUNCTION("""COMPUTED_VALUE"""),4.9)</f>
        <v>4.9</v>
      </c>
      <c r="G1230">
        <f>IFERROR(__xludf.DUMMYFUNCTION("""COMPUTED_VALUE"""),82.89)</f>
        <v>82.89</v>
      </c>
    </row>
    <row r="1231">
      <c r="A1231">
        <f>IFERROR(__xludf.DUMMYFUNCTION("""COMPUTED_VALUE"""),171703.0)</f>
        <v>171703</v>
      </c>
      <c r="B1231" t="str">
        <f>IFERROR(__xludf.DUMMYFUNCTION("""COMPUTED_VALUE"""),"Apricots Frozen Sweetened")</f>
        <v>Apricots Frozen Sweetened</v>
      </c>
      <c r="C1231" t="str">
        <f>IFERROR(__xludf.DUMMYFUNCTION("""COMPUTED_VALUE"""),"Fruits")</f>
        <v>Fruits</v>
      </c>
      <c r="D1231">
        <f>IFERROR(__xludf.DUMMYFUNCTION("""COMPUTED_VALUE"""),98.0)</f>
        <v>98</v>
      </c>
      <c r="E1231">
        <f>IFERROR(__xludf.DUMMYFUNCTION("""COMPUTED_VALUE"""),0.1)</f>
        <v>0.1</v>
      </c>
      <c r="F1231">
        <f>IFERROR(__xludf.DUMMYFUNCTION("""COMPUTED_VALUE"""),0.7)</f>
        <v>0.7</v>
      </c>
      <c r="G1231">
        <f>IFERROR(__xludf.DUMMYFUNCTION("""COMPUTED_VALUE"""),25.1)</f>
        <v>25.1</v>
      </c>
    </row>
    <row r="1232">
      <c r="A1232">
        <f>IFERROR(__xludf.DUMMYFUNCTION("""COMPUTED_VALUE"""),171704.0)</f>
        <v>171704</v>
      </c>
      <c r="B1232" t="str">
        <f>IFERROR(__xludf.DUMMYFUNCTION("""COMPUTED_VALUE"""),"Apricot Nectar Canned Without Added Ascorbic Acid")</f>
        <v>Apricot Nectar Canned Without Added Ascorbic Acid</v>
      </c>
      <c r="C1232" t="str">
        <f>IFERROR(__xludf.DUMMYFUNCTION("""COMPUTED_VALUE"""),"Fruits")</f>
        <v>Fruits</v>
      </c>
      <c r="D1232">
        <f>IFERROR(__xludf.DUMMYFUNCTION("""COMPUTED_VALUE"""),56.0)</f>
        <v>56</v>
      </c>
      <c r="E1232">
        <f>IFERROR(__xludf.DUMMYFUNCTION("""COMPUTED_VALUE"""),0.45)</f>
        <v>0.45</v>
      </c>
      <c r="F1232">
        <f>IFERROR(__xludf.DUMMYFUNCTION("""COMPUTED_VALUE"""),0.17)</f>
        <v>0.17</v>
      </c>
      <c r="G1232">
        <f>IFERROR(__xludf.DUMMYFUNCTION("""COMPUTED_VALUE"""),13.63)</f>
        <v>13.63</v>
      </c>
    </row>
    <row r="1233">
      <c r="A1233">
        <f>IFERROR(__xludf.DUMMYFUNCTION("""COMPUTED_VALUE"""),171705.0)</f>
        <v>171705</v>
      </c>
      <c r="B1233" t="str">
        <f>IFERROR(__xludf.DUMMYFUNCTION("""COMPUTED_VALUE"""),"Avocados")</f>
        <v>Avocados</v>
      </c>
      <c r="C1233" t="str">
        <f>IFERROR(__xludf.DUMMYFUNCTION("""COMPUTED_VALUE"""),"Fruits")</f>
        <v>Fruits</v>
      </c>
      <c r="D1233">
        <f>IFERROR(__xludf.DUMMYFUNCTION("""COMPUTED_VALUE"""),160.0)</f>
        <v>160</v>
      </c>
      <c r="E1233">
        <f>IFERROR(__xludf.DUMMYFUNCTION("""COMPUTED_VALUE"""),14.66)</f>
        <v>14.66</v>
      </c>
      <c r="F1233">
        <f>IFERROR(__xludf.DUMMYFUNCTION("""COMPUTED_VALUE"""),2.0)</f>
        <v>2</v>
      </c>
      <c r="G1233">
        <f>IFERROR(__xludf.DUMMYFUNCTION("""COMPUTED_VALUE"""),8.53)</f>
        <v>8.53</v>
      </c>
    </row>
    <row r="1234">
      <c r="A1234">
        <f>IFERROR(__xludf.DUMMYFUNCTION("""COMPUTED_VALUE"""),171706.0)</f>
        <v>171706</v>
      </c>
      <c r="B1234" t="str">
        <f>IFERROR(__xludf.DUMMYFUNCTION("""COMPUTED_VALUE"""),"California Avocados")</f>
        <v>California Avocados</v>
      </c>
      <c r="C1234" t="str">
        <f>IFERROR(__xludf.DUMMYFUNCTION("""COMPUTED_VALUE"""),"Fruits")</f>
        <v>Fruits</v>
      </c>
      <c r="D1234">
        <f>IFERROR(__xludf.DUMMYFUNCTION("""COMPUTED_VALUE"""),167.0)</f>
        <v>167</v>
      </c>
      <c r="E1234">
        <f>IFERROR(__xludf.DUMMYFUNCTION("""COMPUTED_VALUE"""),15.41)</f>
        <v>15.41</v>
      </c>
      <c r="F1234">
        <f>IFERROR(__xludf.DUMMYFUNCTION("""COMPUTED_VALUE"""),1.96)</f>
        <v>1.96</v>
      </c>
      <c r="G1234">
        <f>IFERROR(__xludf.DUMMYFUNCTION("""COMPUTED_VALUE"""),8.64)</f>
        <v>8.64</v>
      </c>
    </row>
    <row r="1235">
      <c r="A1235">
        <f>IFERROR(__xludf.DUMMYFUNCTION("""COMPUTED_VALUE"""),171707.0)</f>
        <v>171707</v>
      </c>
      <c r="B1235" t="str">
        <f>IFERROR(__xludf.DUMMYFUNCTION("""COMPUTED_VALUE"""),"Florida Avocados")</f>
        <v>Florida Avocados</v>
      </c>
      <c r="C1235" t="str">
        <f>IFERROR(__xludf.DUMMYFUNCTION("""COMPUTED_VALUE"""),"Fruits")</f>
        <v>Fruits</v>
      </c>
      <c r="D1235">
        <f>IFERROR(__xludf.DUMMYFUNCTION("""COMPUTED_VALUE"""),120.0)</f>
        <v>120</v>
      </c>
      <c r="E1235">
        <f>IFERROR(__xludf.DUMMYFUNCTION("""COMPUTED_VALUE"""),10.06)</f>
        <v>10.06</v>
      </c>
      <c r="F1235">
        <f>IFERROR(__xludf.DUMMYFUNCTION("""COMPUTED_VALUE"""),2.23)</f>
        <v>2.23</v>
      </c>
      <c r="G1235">
        <f>IFERROR(__xludf.DUMMYFUNCTION("""COMPUTED_VALUE"""),7.82)</f>
        <v>7.82</v>
      </c>
    </row>
    <row r="1236">
      <c r="A1236">
        <f>IFERROR(__xludf.DUMMYFUNCTION("""COMPUTED_VALUE"""),171708.0)</f>
        <v>171708</v>
      </c>
      <c r="B1236" t="str">
        <f>IFERROR(__xludf.DUMMYFUNCTION("""COMPUTED_VALUE"""),"Cherries Tart Dried Sweetened")</f>
        <v>Cherries Tart Dried Sweetened</v>
      </c>
      <c r="C1236" t="str">
        <f>IFERROR(__xludf.DUMMYFUNCTION("""COMPUTED_VALUE"""),"Fruits")</f>
        <v>Fruits</v>
      </c>
      <c r="D1236">
        <f>IFERROR(__xludf.DUMMYFUNCTION("""COMPUTED_VALUE"""),333.0)</f>
        <v>333</v>
      </c>
      <c r="E1236">
        <f>IFERROR(__xludf.DUMMYFUNCTION("""COMPUTED_VALUE"""),0.73)</f>
        <v>0.73</v>
      </c>
      <c r="F1236">
        <f>IFERROR(__xludf.DUMMYFUNCTION("""COMPUTED_VALUE"""),1.25)</f>
        <v>1.25</v>
      </c>
      <c r="G1236">
        <f>IFERROR(__xludf.DUMMYFUNCTION("""COMPUTED_VALUE"""),80.45)</f>
        <v>80.45</v>
      </c>
    </row>
    <row r="1237">
      <c r="A1237">
        <f>IFERROR(__xludf.DUMMYFUNCTION("""COMPUTED_VALUE"""),171709.0)</f>
        <v>171709</v>
      </c>
      <c r="B1237" t="str">
        <f>IFERROR(__xludf.DUMMYFUNCTION("""COMPUTED_VALUE"""),"Blackberries Canned Heavy Syrup Solids And Liquids")</f>
        <v>Blackberries Canned Heavy Syrup Solids And Liquids</v>
      </c>
      <c r="C1237" t="str">
        <f>IFERROR(__xludf.DUMMYFUNCTION("""COMPUTED_VALUE"""),"Fruits")</f>
        <v>Fruits</v>
      </c>
      <c r="D1237">
        <f>IFERROR(__xludf.DUMMYFUNCTION("""COMPUTED_VALUE"""),92.0)</f>
        <v>92</v>
      </c>
      <c r="E1237">
        <f>IFERROR(__xludf.DUMMYFUNCTION("""COMPUTED_VALUE"""),0.14)</f>
        <v>0.14</v>
      </c>
      <c r="F1237">
        <f>IFERROR(__xludf.DUMMYFUNCTION("""COMPUTED_VALUE"""),1.31)</f>
        <v>1.31</v>
      </c>
      <c r="G1237">
        <f>IFERROR(__xludf.DUMMYFUNCTION("""COMPUTED_VALUE"""),23.1)</f>
        <v>23.1</v>
      </c>
    </row>
    <row r="1238">
      <c r="A1238">
        <f>IFERROR(__xludf.DUMMYFUNCTION("""COMPUTED_VALUE"""),171710.0)</f>
        <v>171710</v>
      </c>
      <c r="B1238" t="str">
        <f>IFERROR(__xludf.DUMMYFUNCTION("""COMPUTED_VALUE"""),"Blackberries Frozen Unsweetened")</f>
        <v>Blackberries Frozen Unsweetened</v>
      </c>
      <c r="C1238" t="str">
        <f>IFERROR(__xludf.DUMMYFUNCTION("""COMPUTED_VALUE"""),"Fruits")</f>
        <v>Fruits</v>
      </c>
      <c r="D1238">
        <f>IFERROR(__xludf.DUMMYFUNCTION("""COMPUTED_VALUE"""),64.0)</f>
        <v>64</v>
      </c>
      <c r="E1238">
        <f>IFERROR(__xludf.DUMMYFUNCTION("""COMPUTED_VALUE"""),0.43)</f>
        <v>0.43</v>
      </c>
      <c r="F1238">
        <f>IFERROR(__xludf.DUMMYFUNCTION("""COMPUTED_VALUE"""),1.18)</f>
        <v>1.18</v>
      </c>
      <c r="G1238">
        <f>IFERROR(__xludf.DUMMYFUNCTION("""COMPUTED_VALUE"""),15.67)</f>
        <v>15.67</v>
      </c>
    </row>
    <row r="1239">
      <c r="A1239">
        <f>IFERROR(__xludf.DUMMYFUNCTION("""COMPUTED_VALUE"""),171711.0)</f>
        <v>171711</v>
      </c>
      <c r="B1239" t="str">
        <f>IFERROR(__xludf.DUMMYFUNCTION("""COMPUTED_VALUE"""),"Blueberries")</f>
        <v>Blueberries</v>
      </c>
      <c r="C1239" t="str">
        <f>IFERROR(__xludf.DUMMYFUNCTION("""COMPUTED_VALUE"""),"Fruits")</f>
        <v>Fruits</v>
      </c>
      <c r="D1239">
        <f>IFERROR(__xludf.DUMMYFUNCTION("""COMPUTED_VALUE"""),57.0)</f>
        <v>57</v>
      </c>
      <c r="E1239">
        <f>IFERROR(__xludf.DUMMYFUNCTION("""COMPUTED_VALUE"""),0.33)</f>
        <v>0.33</v>
      </c>
      <c r="F1239">
        <f>IFERROR(__xludf.DUMMYFUNCTION("""COMPUTED_VALUE"""),0.74)</f>
        <v>0.74</v>
      </c>
      <c r="G1239">
        <f>IFERROR(__xludf.DUMMYFUNCTION("""COMPUTED_VALUE"""),14.49)</f>
        <v>14.49</v>
      </c>
    </row>
    <row r="1240">
      <c r="A1240">
        <f>IFERROR(__xludf.DUMMYFUNCTION("""COMPUTED_VALUE"""),171712.0)</f>
        <v>171712</v>
      </c>
      <c r="B1240" t="str">
        <f>IFERROR(__xludf.DUMMYFUNCTION("""COMPUTED_VALUE"""),"Boysenberries Canned Heavy Syrup")</f>
        <v>Boysenberries Canned Heavy Syrup</v>
      </c>
      <c r="C1240" t="str">
        <f>IFERROR(__xludf.DUMMYFUNCTION("""COMPUTED_VALUE"""),"Fruits")</f>
        <v>Fruits</v>
      </c>
      <c r="D1240">
        <f>IFERROR(__xludf.DUMMYFUNCTION("""COMPUTED_VALUE"""),88.0)</f>
        <v>88</v>
      </c>
      <c r="E1240">
        <f>IFERROR(__xludf.DUMMYFUNCTION("""COMPUTED_VALUE"""),0.12)</f>
        <v>0.12</v>
      </c>
      <c r="F1240">
        <f>IFERROR(__xludf.DUMMYFUNCTION("""COMPUTED_VALUE"""),0.99)</f>
        <v>0.99</v>
      </c>
      <c r="G1240">
        <f>IFERROR(__xludf.DUMMYFUNCTION("""COMPUTED_VALUE"""),22.31)</f>
        <v>22.31</v>
      </c>
    </row>
    <row r="1241">
      <c r="A1241">
        <f>IFERROR(__xludf.DUMMYFUNCTION("""COMPUTED_VALUE"""),171713.0)</f>
        <v>171713</v>
      </c>
      <c r="B1241" t="str">
        <f>IFERROR(__xludf.DUMMYFUNCTION("""COMPUTED_VALUE"""),"Boysenberries (Frozen)")</f>
        <v>Boysenberries (Frozen)</v>
      </c>
      <c r="C1241" t="str">
        <f>IFERROR(__xludf.DUMMYFUNCTION("""COMPUTED_VALUE"""),"Fruits")</f>
        <v>Fruits</v>
      </c>
      <c r="D1241">
        <f>IFERROR(__xludf.DUMMYFUNCTION("""COMPUTED_VALUE"""),50.0)</f>
        <v>50</v>
      </c>
      <c r="E1241">
        <f>IFERROR(__xludf.DUMMYFUNCTION("""COMPUTED_VALUE"""),0.26)</f>
        <v>0.26</v>
      </c>
      <c r="F1241">
        <f>IFERROR(__xludf.DUMMYFUNCTION("""COMPUTED_VALUE"""),1.1)</f>
        <v>1.1</v>
      </c>
      <c r="G1241">
        <f>IFERROR(__xludf.DUMMYFUNCTION("""COMPUTED_VALUE"""),12.19)</f>
        <v>12.19</v>
      </c>
    </row>
    <row r="1242">
      <c r="A1242">
        <f>IFERROR(__xludf.DUMMYFUNCTION("""COMPUTED_VALUE"""),171714.0)</f>
        <v>171714</v>
      </c>
      <c r="B1242" t="str">
        <f>IFERROR(__xludf.DUMMYFUNCTION("""COMPUTED_VALUE"""),"Breadfruit")</f>
        <v>Breadfruit</v>
      </c>
      <c r="C1242" t="str">
        <f>IFERROR(__xludf.DUMMYFUNCTION("""COMPUTED_VALUE"""),"Fruits")</f>
        <v>Fruits</v>
      </c>
      <c r="D1242">
        <f>IFERROR(__xludf.DUMMYFUNCTION("""COMPUTED_VALUE"""),103.0)</f>
        <v>103</v>
      </c>
      <c r="E1242">
        <f>IFERROR(__xludf.DUMMYFUNCTION("""COMPUTED_VALUE"""),0.23)</f>
        <v>0.23</v>
      </c>
      <c r="F1242">
        <f>IFERROR(__xludf.DUMMYFUNCTION("""COMPUTED_VALUE"""),1.07)</f>
        <v>1.07</v>
      </c>
      <c r="G1242">
        <f>IFERROR(__xludf.DUMMYFUNCTION("""COMPUTED_VALUE"""),27.12)</f>
        <v>27.12</v>
      </c>
    </row>
    <row r="1243">
      <c r="A1243">
        <f>IFERROR(__xludf.DUMMYFUNCTION("""COMPUTED_VALUE"""),171715.0)</f>
        <v>171715</v>
      </c>
      <c r="B1243" t="str">
        <f>IFERROR(__xludf.DUMMYFUNCTION("""COMPUTED_VALUE"""),"Starfruit (Carambola)")</f>
        <v>Starfruit (Carambola)</v>
      </c>
      <c r="C1243" t="str">
        <f>IFERROR(__xludf.DUMMYFUNCTION("""COMPUTED_VALUE"""),"Fruits")</f>
        <v>Fruits</v>
      </c>
      <c r="D1243">
        <f>IFERROR(__xludf.DUMMYFUNCTION("""COMPUTED_VALUE"""),31.0)</f>
        <v>31</v>
      </c>
      <c r="E1243">
        <f>IFERROR(__xludf.DUMMYFUNCTION("""COMPUTED_VALUE"""),0.33)</f>
        <v>0.33</v>
      </c>
      <c r="F1243">
        <f>IFERROR(__xludf.DUMMYFUNCTION("""COMPUTED_VALUE"""),1.04)</f>
        <v>1.04</v>
      </c>
      <c r="G1243">
        <f>IFERROR(__xludf.DUMMYFUNCTION("""COMPUTED_VALUE"""),6.73)</f>
        <v>6.73</v>
      </c>
    </row>
    <row r="1244">
      <c r="A1244">
        <f>IFERROR(__xludf.DUMMYFUNCTION("""COMPUTED_VALUE"""),171716.0)</f>
        <v>171716</v>
      </c>
      <c r="B1244" t="str">
        <f>IFERROR(__xludf.DUMMYFUNCTION("""COMPUTED_VALUE"""),"Cherries Sour Red Canned Heavy Syrup Pack Solids And Liquids")</f>
        <v>Cherries Sour Red Canned Heavy Syrup Pack Solids And Liquids</v>
      </c>
      <c r="C1244" t="str">
        <f>IFERROR(__xludf.DUMMYFUNCTION("""COMPUTED_VALUE"""),"Fruits")</f>
        <v>Fruits</v>
      </c>
      <c r="D1244">
        <f>IFERROR(__xludf.DUMMYFUNCTION("""COMPUTED_VALUE"""),91.0)</f>
        <v>91</v>
      </c>
      <c r="E1244">
        <f>IFERROR(__xludf.DUMMYFUNCTION("""COMPUTED_VALUE"""),0.1)</f>
        <v>0.1</v>
      </c>
      <c r="F1244">
        <f>IFERROR(__xludf.DUMMYFUNCTION("""COMPUTED_VALUE"""),0.73)</f>
        <v>0.73</v>
      </c>
      <c r="G1244">
        <f>IFERROR(__xludf.DUMMYFUNCTION("""COMPUTED_VALUE"""),23.27)</f>
        <v>23.27</v>
      </c>
    </row>
    <row r="1245">
      <c r="A1245">
        <f>IFERROR(__xludf.DUMMYFUNCTION("""COMPUTED_VALUE"""),171717.0)</f>
        <v>171717</v>
      </c>
      <c r="B1245" t="str">
        <f>IFERROR(__xludf.DUMMYFUNCTION("""COMPUTED_VALUE"""),"Cherries Sour Red Canned Extra Heavy Syrup Pack Solids And Liquids")</f>
        <v>Cherries Sour Red Canned Extra Heavy Syrup Pack Solids And Liquids</v>
      </c>
      <c r="C1245" t="str">
        <f>IFERROR(__xludf.DUMMYFUNCTION("""COMPUTED_VALUE"""),"Fruits")</f>
        <v>Fruits</v>
      </c>
      <c r="D1245">
        <f>IFERROR(__xludf.DUMMYFUNCTION("""COMPUTED_VALUE"""),114.0)</f>
        <v>114</v>
      </c>
      <c r="E1245">
        <f>IFERROR(__xludf.DUMMYFUNCTION("""COMPUTED_VALUE"""),0.09)</f>
        <v>0.09</v>
      </c>
      <c r="F1245">
        <f>IFERROR(__xludf.DUMMYFUNCTION("""COMPUTED_VALUE"""),0.71)</f>
        <v>0.71</v>
      </c>
      <c r="G1245">
        <f>IFERROR(__xludf.DUMMYFUNCTION("""COMPUTED_VALUE"""),29.23)</f>
        <v>29.23</v>
      </c>
    </row>
    <row r="1246">
      <c r="A1246">
        <f>IFERROR(__xludf.DUMMYFUNCTION("""COMPUTED_VALUE"""),171718.0)</f>
        <v>171718</v>
      </c>
      <c r="B1246" t="str">
        <f>IFERROR(__xludf.DUMMYFUNCTION("""COMPUTED_VALUE"""),"Sour Red Cherries (Frozen)")</f>
        <v>Sour Red Cherries (Frozen)</v>
      </c>
      <c r="C1246" t="str">
        <f>IFERROR(__xludf.DUMMYFUNCTION("""COMPUTED_VALUE"""),"Fruits")</f>
        <v>Fruits</v>
      </c>
      <c r="D1246">
        <f>IFERROR(__xludf.DUMMYFUNCTION("""COMPUTED_VALUE"""),46.0)</f>
        <v>46</v>
      </c>
      <c r="E1246">
        <f>IFERROR(__xludf.DUMMYFUNCTION("""COMPUTED_VALUE"""),0.44)</f>
        <v>0.44</v>
      </c>
      <c r="F1246">
        <f>IFERROR(__xludf.DUMMYFUNCTION("""COMPUTED_VALUE"""),0.92)</f>
        <v>0.92</v>
      </c>
      <c r="G1246">
        <f>IFERROR(__xludf.DUMMYFUNCTION("""COMPUTED_VALUE"""),11.02)</f>
        <v>11.02</v>
      </c>
    </row>
    <row r="1247">
      <c r="A1247">
        <f>IFERROR(__xludf.DUMMYFUNCTION("""COMPUTED_VALUE"""),171719.0)</f>
        <v>171719</v>
      </c>
      <c r="B1247" t="str">
        <f>IFERROR(__xludf.DUMMYFUNCTION("""COMPUTED_VALUE"""),"Cherries (Sweet)")</f>
        <v>Cherries (Sweet)</v>
      </c>
      <c r="C1247" t="str">
        <f>IFERROR(__xludf.DUMMYFUNCTION("""COMPUTED_VALUE"""),"Fruits")</f>
        <v>Fruits</v>
      </c>
      <c r="D1247">
        <f>IFERROR(__xludf.DUMMYFUNCTION("""COMPUTED_VALUE"""),63.0)</f>
        <v>63</v>
      </c>
      <c r="E1247">
        <f>IFERROR(__xludf.DUMMYFUNCTION("""COMPUTED_VALUE"""),0.2)</f>
        <v>0.2</v>
      </c>
      <c r="F1247">
        <f>IFERROR(__xludf.DUMMYFUNCTION("""COMPUTED_VALUE"""),1.06)</f>
        <v>1.06</v>
      </c>
      <c r="G1247">
        <f>IFERROR(__xludf.DUMMYFUNCTION("""COMPUTED_VALUE"""),16.01)</f>
        <v>16.01</v>
      </c>
    </row>
    <row r="1248">
      <c r="A1248">
        <f>IFERROR(__xludf.DUMMYFUNCTION("""COMPUTED_VALUE"""),171720.0)</f>
        <v>171720</v>
      </c>
      <c r="B1248" t="str">
        <f>IFERROR(__xludf.DUMMYFUNCTION("""COMPUTED_VALUE"""),"Cherries Sweet Canned Extra Heavy Syrup Pack Solids And Liquids")</f>
        <v>Cherries Sweet Canned Extra Heavy Syrup Pack Solids And Liquids</v>
      </c>
      <c r="C1248" t="str">
        <f>IFERROR(__xludf.DUMMYFUNCTION("""COMPUTED_VALUE"""),"Fruits")</f>
        <v>Fruits</v>
      </c>
      <c r="D1248">
        <f>IFERROR(__xludf.DUMMYFUNCTION("""COMPUTED_VALUE"""),102.0)</f>
        <v>102</v>
      </c>
      <c r="E1248">
        <f>IFERROR(__xludf.DUMMYFUNCTION("""COMPUTED_VALUE"""),0.15)</f>
        <v>0.15</v>
      </c>
      <c r="F1248">
        <f>IFERROR(__xludf.DUMMYFUNCTION("""COMPUTED_VALUE"""),0.59)</f>
        <v>0.59</v>
      </c>
      <c r="G1248">
        <f>IFERROR(__xludf.DUMMYFUNCTION("""COMPUTED_VALUE"""),26.23)</f>
        <v>26.23</v>
      </c>
    </row>
    <row r="1249">
      <c r="A1249">
        <f>IFERROR(__xludf.DUMMYFUNCTION("""COMPUTED_VALUE"""),171721.0)</f>
        <v>171721</v>
      </c>
      <c r="B1249" t="str">
        <f>IFERROR(__xludf.DUMMYFUNCTION("""COMPUTED_VALUE"""),"Crabapples")</f>
        <v>Crabapples</v>
      </c>
      <c r="C1249" t="str">
        <f>IFERROR(__xludf.DUMMYFUNCTION("""COMPUTED_VALUE"""),"Fruits")</f>
        <v>Fruits</v>
      </c>
      <c r="D1249">
        <f>IFERROR(__xludf.DUMMYFUNCTION("""COMPUTED_VALUE"""),76.0)</f>
        <v>76</v>
      </c>
      <c r="E1249">
        <f>IFERROR(__xludf.DUMMYFUNCTION("""COMPUTED_VALUE"""),0.3)</f>
        <v>0.3</v>
      </c>
      <c r="F1249">
        <f>IFERROR(__xludf.DUMMYFUNCTION("""COMPUTED_VALUE"""),0.4)</f>
        <v>0.4</v>
      </c>
      <c r="G1249">
        <f>IFERROR(__xludf.DUMMYFUNCTION("""COMPUTED_VALUE"""),19.95)</f>
        <v>19.95</v>
      </c>
    </row>
    <row r="1250">
      <c r="A1250">
        <f>IFERROR(__xludf.DUMMYFUNCTION("""COMPUTED_VALUE"""),171722.0)</f>
        <v>171722</v>
      </c>
      <c r="B1250" t="str">
        <f>IFERROR(__xludf.DUMMYFUNCTION("""COMPUTED_VALUE"""),"Cranberries")</f>
        <v>Cranberries</v>
      </c>
      <c r="C1250" t="str">
        <f>IFERROR(__xludf.DUMMYFUNCTION("""COMPUTED_VALUE"""),"Fruits")</f>
        <v>Fruits</v>
      </c>
      <c r="D1250">
        <f>IFERROR(__xludf.DUMMYFUNCTION("""COMPUTED_VALUE"""),46.0)</f>
        <v>46</v>
      </c>
      <c r="E1250">
        <f>IFERROR(__xludf.DUMMYFUNCTION("""COMPUTED_VALUE"""),0.13)</f>
        <v>0.13</v>
      </c>
      <c r="F1250">
        <f>IFERROR(__xludf.DUMMYFUNCTION("""COMPUTED_VALUE"""),0.46)</f>
        <v>0.46</v>
      </c>
      <c r="G1250">
        <f>IFERROR(__xludf.DUMMYFUNCTION("""COMPUTED_VALUE"""),11.97)</f>
        <v>11.97</v>
      </c>
    </row>
    <row r="1251">
      <c r="A1251">
        <f>IFERROR(__xludf.DUMMYFUNCTION("""COMPUTED_VALUE"""),171723.0)</f>
        <v>171723</v>
      </c>
      <c r="B1251" t="str">
        <f>IFERROR(__xludf.DUMMYFUNCTION("""COMPUTED_VALUE"""),"Dried Cranberries (Sweetened)")</f>
        <v>Dried Cranberries (Sweetened)</v>
      </c>
      <c r="C1251" t="str">
        <f>IFERROR(__xludf.DUMMYFUNCTION("""COMPUTED_VALUE"""),"Fruits")</f>
        <v>Fruits</v>
      </c>
      <c r="D1251">
        <f>IFERROR(__xludf.DUMMYFUNCTION("""COMPUTED_VALUE"""),308.0)</f>
        <v>308</v>
      </c>
      <c r="E1251">
        <f>IFERROR(__xludf.DUMMYFUNCTION("""COMPUTED_VALUE"""),1.09)</f>
        <v>1.09</v>
      </c>
      <c r="F1251">
        <f>IFERROR(__xludf.DUMMYFUNCTION("""COMPUTED_VALUE"""),0.17)</f>
        <v>0.17</v>
      </c>
      <c r="G1251">
        <f>IFERROR(__xludf.DUMMYFUNCTION("""COMPUTED_VALUE"""),82.8)</f>
        <v>82.8</v>
      </c>
    </row>
    <row r="1252">
      <c r="A1252">
        <f>IFERROR(__xludf.DUMMYFUNCTION("""COMPUTED_VALUE"""),171724.0)</f>
        <v>171724</v>
      </c>
      <c r="B1252" t="str">
        <f>IFERROR(__xludf.DUMMYFUNCTION("""COMPUTED_VALUE"""),"Zante Currants")</f>
        <v>Zante Currants</v>
      </c>
      <c r="C1252" t="str">
        <f>IFERROR(__xludf.DUMMYFUNCTION("""COMPUTED_VALUE"""),"Fruits")</f>
        <v>Fruits</v>
      </c>
      <c r="D1252">
        <f>IFERROR(__xludf.DUMMYFUNCTION("""COMPUTED_VALUE"""),290.0)</f>
        <v>290</v>
      </c>
      <c r="E1252">
        <f>IFERROR(__xludf.DUMMYFUNCTION("""COMPUTED_VALUE"""),0.22)</f>
        <v>0.22</v>
      </c>
      <c r="F1252">
        <f>IFERROR(__xludf.DUMMYFUNCTION("""COMPUTED_VALUE"""),3.43)</f>
        <v>3.43</v>
      </c>
      <c r="G1252">
        <f>IFERROR(__xludf.DUMMYFUNCTION("""COMPUTED_VALUE"""),76.98)</f>
        <v>76.98</v>
      </c>
    </row>
    <row r="1253">
      <c r="A1253">
        <f>IFERROR(__xludf.DUMMYFUNCTION("""COMPUTED_VALUE"""),171725.0)</f>
        <v>171725</v>
      </c>
      <c r="B1253" t="str">
        <f>IFERROR(__xludf.DUMMYFUNCTION("""COMPUTED_VALUE"""),"Custard-Apple")</f>
        <v>Custard-Apple</v>
      </c>
      <c r="C1253" t="str">
        <f>IFERROR(__xludf.DUMMYFUNCTION("""COMPUTED_VALUE"""),"Fruits")</f>
        <v>Fruits</v>
      </c>
      <c r="D1253">
        <f>IFERROR(__xludf.DUMMYFUNCTION("""COMPUTED_VALUE"""),101.0)</f>
        <v>101</v>
      </c>
      <c r="E1253">
        <f>IFERROR(__xludf.DUMMYFUNCTION("""COMPUTED_VALUE"""),0.6)</f>
        <v>0.6</v>
      </c>
      <c r="F1253">
        <f>IFERROR(__xludf.DUMMYFUNCTION("""COMPUTED_VALUE"""),1.7)</f>
        <v>1.7</v>
      </c>
      <c r="G1253">
        <f>IFERROR(__xludf.DUMMYFUNCTION("""COMPUTED_VALUE"""),25.2)</f>
        <v>25.2</v>
      </c>
    </row>
    <row r="1254">
      <c r="A1254">
        <f>IFERROR(__xludf.DUMMYFUNCTION("""COMPUTED_VALUE"""),171726.0)</f>
        <v>171726</v>
      </c>
      <c r="B1254" t="str">
        <f>IFERROR(__xludf.DUMMYFUNCTION("""COMPUTED_VALUE"""),"Dates (Deglet Noor)")</f>
        <v>Dates (Deglet Noor)</v>
      </c>
      <c r="C1254" t="str">
        <f>IFERROR(__xludf.DUMMYFUNCTION("""COMPUTED_VALUE"""),"Fruits")</f>
        <v>Fruits</v>
      </c>
      <c r="D1254">
        <f>IFERROR(__xludf.DUMMYFUNCTION("""COMPUTED_VALUE"""),282.0)</f>
        <v>282</v>
      </c>
      <c r="E1254">
        <f>IFERROR(__xludf.DUMMYFUNCTION("""COMPUTED_VALUE"""),0.39)</f>
        <v>0.39</v>
      </c>
      <c r="F1254">
        <f>IFERROR(__xludf.DUMMYFUNCTION("""COMPUTED_VALUE"""),2.45)</f>
        <v>2.45</v>
      </c>
      <c r="G1254">
        <f>IFERROR(__xludf.DUMMYFUNCTION("""COMPUTED_VALUE"""),75.03)</f>
        <v>75.03</v>
      </c>
    </row>
    <row r="1255">
      <c r="A1255">
        <f>IFERROR(__xludf.DUMMYFUNCTION("""COMPUTED_VALUE"""),171727.0)</f>
        <v>171727</v>
      </c>
      <c r="B1255" t="str">
        <f>IFERROR(__xludf.DUMMYFUNCTION("""COMPUTED_VALUE"""),"Elderberries")</f>
        <v>Elderberries</v>
      </c>
      <c r="C1255" t="str">
        <f>IFERROR(__xludf.DUMMYFUNCTION("""COMPUTED_VALUE"""),"Fruits")</f>
        <v>Fruits</v>
      </c>
      <c r="D1255">
        <f>IFERROR(__xludf.DUMMYFUNCTION("""COMPUTED_VALUE"""),73.0)</f>
        <v>73</v>
      </c>
      <c r="E1255">
        <f>IFERROR(__xludf.DUMMYFUNCTION("""COMPUTED_VALUE"""),0.5)</f>
        <v>0.5</v>
      </c>
      <c r="F1255">
        <f>IFERROR(__xludf.DUMMYFUNCTION("""COMPUTED_VALUE"""),0.66)</f>
        <v>0.66</v>
      </c>
      <c r="G1255">
        <f>IFERROR(__xludf.DUMMYFUNCTION("""COMPUTED_VALUE"""),18.4)</f>
        <v>18.4</v>
      </c>
    </row>
    <row r="1256">
      <c r="A1256">
        <f>IFERROR(__xludf.DUMMYFUNCTION("""COMPUTED_VALUE"""),172014.0)</f>
        <v>172014</v>
      </c>
      <c r="B1256" t="str">
        <f>IFERROR(__xludf.DUMMYFUNCTION("""COMPUTED_VALUE"""),"Pasta Cooked Unenriched With Added Salt")</f>
        <v>Pasta Cooked Unenriched With Added Salt</v>
      </c>
      <c r="C1256" t="str">
        <f>IFERROR(__xludf.DUMMYFUNCTION("""COMPUTED_VALUE"""),"Grains and Pasta")</f>
        <v>Grains and Pasta</v>
      </c>
      <c r="D1256">
        <f>IFERROR(__xludf.DUMMYFUNCTION("""COMPUTED_VALUE"""),157.0)</f>
        <v>157</v>
      </c>
      <c r="E1256">
        <f>IFERROR(__xludf.DUMMYFUNCTION("""COMPUTED_VALUE"""),0.93)</f>
        <v>0.93</v>
      </c>
      <c r="F1256">
        <f>IFERROR(__xludf.DUMMYFUNCTION("""COMPUTED_VALUE"""),5.8)</f>
        <v>5.8</v>
      </c>
      <c r="G1256">
        <f>IFERROR(__xludf.DUMMYFUNCTION("""COMPUTED_VALUE"""),30.59)</f>
        <v>30.59</v>
      </c>
    </row>
    <row r="1257">
      <c r="A1257">
        <f>IFERROR(__xludf.DUMMYFUNCTION("""COMPUTED_VALUE"""),172015.0)</f>
        <v>172015</v>
      </c>
      <c r="B1257" t="str">
        <f>IFERROR(__xludf.DUMMYFUNCTION("""COMPUTED_VALUE"""),"Cornmeal Degermed Unenriched White")</f>
        <v>Cornmeal Degermed Unenriched White</v>
      </c>
      <c r="C1257" t="str">
        <f>IFERROR(__xludf.DUMMYFUNCTION("""COMPUTED_VALUE"""),"Grains and Pasta")</f>
        <v>Grains and Pasta</v>
      </c>
      <c r="D1257">
        <f>IFERROR(__xludf.DUMMYFUNCTION("""COMPUTED_VALUE"""),370.0)</f>
        <v>370</v>
      </c>
      <c r="E1257">
        <f>IFERROR(__xludf.DUMMYFUNCTION("""COMPUTED_VALUE"""),1.75)</f>
        <v>1.75</v>
      </c>
      <c r="F1257">
        <f>IFERROR(__xludf.DUMMYFUNCTION("""COMPUTED_VALUE"""),7.11)</f>
        <v>7.11</v>
      </c>
      <c r="G1257">
        <f>IFERROR(__xludf.DUMMYFUNCTION("""COMPUTED_VALUE"""),79.45)</f>
        <v>79.45</v>
      </c>
    </row>
    <row r="1258">
      <c r="A1258">
        <f>IFERROR(__xludf.DUMMYFUNCTION("""COMPUTED_VALUE"""),172016.0)</f>
        <v>172016</v>
      </c>
      <c r="B1258" t="str">
        <f>IFERROR(__xludf.DUMMYFUNCTION("""COMPUTED_VALUE"""),"Wheat Flour White (Industrial) 9% Protein Bleached Enriched")</f>
        <v>Wheat Flour White (Industrial) 9% Protein Bleached Enriched</v>
      </c>
      <c r="C1258" t="str">
        <f>IFERROR(__xludf.DUMMYFUNCTION("""COMPUTED_VALUE"""),"Grains and Pasta")</f>
        <v>Grains and Pasta</v>
      </c>
      <c r="D1258">
        <f>IFERROR(__xludf.DUMMYFUNCTION("""COMPUTED_VALUE"""),367.0)</f>
        <v>367</v>
      </c>
      <c r="E1258">
        <f>IFERROR(__xludf.DUMMYFUNCTION("""COMPUTED_VALUE"""),1.43)</f>
        <v>1.43</v>
      </c>
      <c r="F1258">
        <f>IFERROR(__xludf.DUMMYFUNCTION("""COMPUTED_VALUE"""),8.89)</f>
        <v>8.89</v>
      </c>
      <c r="G1258">
        <f>IFERROR(__xludf.DUMMYFUNCTION("""COMPUTED_VALUE"""),77.32)</f>
        <v>77.32</v>
      </c>
    </row>
    <row r="1259">
      <c r="A1259">
        <f>IFERROR(__xludf.DUMMYFUNCTION("""COMPUTED_VALUE"""),172017.0)</f>
        <v>172017</v>
      </c>
      <c r="B1259" t="str">
        <f>IFERROR(__xludf.DUMMYFUNCTION("""COMPUTED_VALUE"""),"Wheat Flour White (Industrial) 9% Protein Bleached Unenriched")</f>
        <v>Wheat Flour White (Industrial) 9% Protein Bleached Unenriched</v>
      </c>
      <c r="C1259" t="str">
        <f>IFERROR(__xludf.DUMMYFUNCTION("""COMPUTED_VALUE"""),"Grains and Pasta")</f>
        <v>Grains and Pasta</v>
      </c>
      <c r="D1259">
        <f>IFERROR(__xludf.DUMMYFUNCTION("""COMPUTED_VALUE"""),367.0)</f>
        <v>367</v>
      </c>
      <c r="E1259">
        <f>IFERROR(__xludf.DUMMYFUNCTION("""COMPUTED_VALUE"""),1.43)</f>
        <v>1.43</v>
      </c>
      <c r="F1259">
        <f>IFERROR(__xludf.DUMMYFUNCTION("""COMPUTED_VALUE"""),8.89)</f>
        <v>8.89</v>
      </c>
      <c r="G1259">
        <f>IFERROR(__xludf.DUMMYFUNCTION("""COMPUTED_VALUE"""),77.32)</f>
        <v>77.32</v>
      </c>
    </row>
    <row r="1260">
      <c r="A1260">
        <f>IFERROR(__xludf.DUMMYFUNCTION("""COMPUTED_VALUE"""),172018.0)</f>
        <v>172018</v>
      </c>
      <c r="B1260" t="str">
        <f>IFERROR(__xludf.DUMMYFUNCTION("""COMPUTED_VALUE"""),"Wheat Flour White (Industrial) 10% Protein Bleached Enriched")</f>
        <v>Wheat Flour White (Industrial) 10% Protein Bleached Enriched</v>
      </c>
      <c r="C1260" t="str">
        <f>IFERROR(__xludf.DUMMYFUNCTION("""COMPUTED_VALUE"""),"Grains and Pasta")</f>
        <v>Grains and Pasta</v>
      </c>
      <c r="D1260">
        <f>IFERROR(__xludf.DUMMYFUNCTION("""COMPUTED_VALUE"""),366.0)</f>
        <v>366</v>
      </c>
      <c r="E1260">
        <f>IFERROR(__xludf.DUMMYFUNCTION("""COMPUTED_VALUE"""),1.48)</f>
        <v>1.48</v>
      </c>
      <c r="F1260">
        <f>IFERROR(__xludf.DUMMYFUNCTION("""COMPUTED_VALUE"""),9.71)</f>
        <v>9.71</v>
      </c>
      <c r="G1260">
        <f>IFERROR(__xludf.DUMMYFUNCTION("""COMPUTED_VALUE"""),76.22)</f>
        <v>76.22</v>
      </c>
    </row>
    <row r="1261">
      <c r="A1261">
        <f>IFERROR(__xludf.DUMMYFUNCTION("""COMPUTED_VALUE"""),172019.0)</f>
        <v>172019</v>
      </c>
      <c r="B1261" t="str">
        <f>IFERROR(__xludf.DUMMYFUNCTION("""COMPUTED_VALUE"""),"Wheat Flour White (Industrial) 10% Protein Bleached Unenriched")</f>
        <v>Wheat Flour White (Industrial) 10% Protein Bleached Unenriched</v>
      </c>
      <c r="C1261" t="str">
        <f>IFERROR(__xludf.DUMMYFUNCTION("""COMPUTED_VALUE"""),"Grains and Pasta")</f>
        <v>Grains and Pasta</v>
      </c>
      <c r="D1261">
        <f>IFERROR(__xludf.DUMMYFUNCTION("""COMPUTED_VALUE"""),366.0)</f>
        <v>366</v>
      </c>
      <c r="E1261">
        <f>IFERROR(__xludf.DUMMYFUNCTION("""COMPUTED_VALUE"""),1.48)</f>
        <v>1.48</v>
      </c>
      <c r="F1261">
        <f>IFERROR(__xludf.DUMMYFUNCTION("""COMPUTED_VALUE"""),9.71)</f>
        <v>9.71</v>
      </c>
      <c r="G1261">
        <f>IFERROR(__xludf.DUMMYFUNCTION("""COMPUTED_VALUE"""),76.22)</f>
        <v>76.22</v>
      </c>
    </row>
    <row r="1262">
      <c r="A1262">
        <f>IFERROR(__xludf.DUMMYFUNCTION("""COMPUTED_VALUE"""),172020.0)</f>
        <v>172020</v>
      </c>
      <c r="B1262" t="str">
        <f>IFERROR(__xludf.DUMMYFUNCTION("""COMPUTED_VALUE"""),"Wheat Flour White (Industrial) 13% Protein Bleached Unenriched")</f>
        <v>Wheat Flour White (Industrial) 13% Protein Bleached Unenriched</v>
      </c>
      <c r="C1262" t="str">
        <f>IFERROR(__xludf.DUMMYFUNCTION("""COMPUTED_VALUE"""),"Grains and Pasta")</f>
        <v>Grains and Pasta</v>
      </c>
      <c r="D1262">
        <f>IFERROR(__xludf.DUMMYFUNCTION("""COMPUTED_VALUE"""),362.0)</f>
        <v>362</v>
      </c>
      <c r="E1262">
        <f>IFERROR(__xludf.DUMMYFUNCTION("""COMPUTED_VALUE"""),1.38)</f>
        <v>1.38</v>
      </c>
      <c r="F1262">
        <f>IFERROR(__xludf.DUMMYFUNCTION("""COMPUTED_VALUE"""),13.07)</f>
        <v>13.07</v>
      </c>
      <c r="G1262">
        <f>IFERROR(__xludf.DUMMYFUNCTION("""COMPUTED_VALUE"""),72.2)</f>
        <v>72.2</v>
      </c>
    </row>
    <row r="1263">
      <c r="A1263">
        <f>IFERROR(__xludf.DUMMYFUNCTION("""COMPUTED_VALUE"""),172021.0)</f>
        <v>172021</v>
      </c>
      <c r="B1263" t="str">
        <f>IFERROR(__xludf.DUMMYFUNCTION("""COMPUTED_VALUE"""),"Wheat Flour White (Industrial) 15% Protein Bleached Enriched")</f>
        <v>Wheat Flour White (Industrial) 15% Protein Bleached Enriched</v>
      </c>
      <c r="C1263" t="str">
        <f>IFERROR(__xludf.DUMMYFUNCTION("""COMPUTED_VALUE"""),"Grains and Pasta")</f>
        <v>Grains and Pasta</v>
      </c>
      <c r="D1263">
        <f>IFERROR(__xludf.DUMMYFUNCTION("""COMPUTED_VALUE"""),362.0)</f>
        <v>362</v>
      </c>
      <c r="E1263">
        <f>IFERROR(__xludf.DUMMYFUNCTION("""COMPUTED_VALUE"""),1.41)</f>
        <v>1.41</v>
      </c>
      <c r="F1263">
        <f>IFERROR(__xludf.DUMMYFUNCTION("""COMPUTED_VALUE"""),15.33)</f>
        <v>15.33</v>
      </c>
      <c r="G1263">
        <f>IFERROR(__xludf.DUMMYFUNCTION("""COMPUTED_VALUE"""),69.88)</f>
        <v>69.88</v>
      </c>
    </row>
    <row r="1264">
      <c r="A1264">
        <f>IFERROR(__xludf.DUMMYFUNCTION("""COMPUTED_VALUE"""),172022.0)</f>
        <v>172022</v>
      </c>
      <c r="B1264" t="str">
        <f>IFERROR(__xludf.DUMMYFUNCTION("""COMPUTED_VALUE"""),"Wheat Flour White (Industrial) 15% Protein Bleached Unenriched")</f>
        <v>Wheat Flour White (Industrial) 15% Protein Bleached Unenriched</v>
      </c>
      <c r="C1264" t="str">
        <f>IFERROR(__xludf.DUMMYFUNCTION("""COMPUTED_VALUE"""),"Grains and Pasta")</f>
        <v>Grains and Pasta</v>
      </c>
      <c r="D1264">
        <f>IFERROR(__xludf.DUMMYFUNCTION("""COMPUTED_VALUE"""),362.0)</f>
        <v>362</v>
      </c>
      <c r="E1264">
        <f>IFERROR(__xludf.DUMMYFUNCTION("""COMPUTED_VALUE"""),1.41)</f>
        <v>1.41</v>
      </c>
      <c r="F1264">
        <f>IFERROR(__xludf.DUMMYFUNCTION("""COMPUTED_VALUE"""),15.33)</f>
        <v>15.33</v>
      </c>
      <c r="G1264">
        <f>IFERROR(__xludf.DUMMYFUNCTION("""COMPUTED_VALUE"""),69.88)</f>
        <v>69.88</v>
      </c>
    </row>
    <row r="1265">
      <c r="A1265">
        <f>IFERROR(__xludf.DUMMYFUNCTION("""COMPUTED_VALUE"""),172023.0)</f>
        <v>172023</v>
      </c>
      <c r="B1265" t="str">
        <f>IFERROR(__xludf.DUMMYFUNCTION("""COMPUTED_VALUE"""),"Millet Flour")</f>
        <v>Millet Flour</v>
      </c>
      <c r="C1265" t="str">
        <f>IFERROR(__xludf.DUMMYFUNCTION("""COMPUTED_VALUE"""),"Grains and Pasta")</f>
        <v>Grains and Pasta</v>
      </c>
      <c r="D1265">
        <f>IFERROR(__xludf.DUMMYFUNCTION("""COMPUTED_VALUE"""),382.0)</f>
        <v>382</v>
      </c>
      <c r="E1265">
        <f>IFERROR(__xludf.DUMMYFUNCTION("""COMPUTED_VALUE"""),4.25)</f>
        <v>4.25</v>
      </c>
      <c r="F1265">
        <f>IFERROR(__xludf.DUMMYFUNCTION("""COMPUTED_VALUE"""),10.75)</f>
        <v>10.75</v>
      </c>
      <c r="G1265">
        <f>IFERROR(__xludf.DUMMYFUNCTION("""COMPUTED_VALUE"""),75.12)</f>
        <v>75.12</v>
      </c>
    </row>
    <row r="1266">
      <c r="A1266">
        <f>IFERROR(__xludf.DUMMYFUNCTION("""COMPUTED_VALUE"""),172024.0)</f>
        <v>172024</v>
      </c>
      <c r="B1266" t="str">
        <f>IFERROR(__xludf.DUMMYFUNCTION("""COMPUTED_VALUE"""),"Pasta Whole Grain 51% Whole Wheat Remaining Enriched Semolina Cooked")</f>
        <v>Pasta Whole Grain 51% Whole Wheat Remaining Enriched Semolina Cooked</v>
      </c>
      <c r="C1266" t="str">
        <f>IFERROR(__xludf.DUMMYFUNCTION("""COMPUTED_VALUE"""),"Grains and Pasta")</f>
        <v>Grains and Pasta</v>
      </c>
      <c r="D1266">
        <f>IFERROR(__xludf.DUMMYFUNCTION("""COMPUTED_VALUE"""),156.0)</f>
        <v>156</v>
      </c>
      <c r="E1266">
        <f>IFERROR(__xludf.DUMMYFUNCTION("""COMPUTED_VALUE"""),1.48)</f>
        <v>1.48</v>
      </c>
      <c r="F1266">
        <f>IFERROR(__xludf.DUMMYFUNCTION("""COMPUTED_VALUE"""),5.67)</f>
        <v>5.67</v>
      </c>
      <c r="G1266">
        <f>IFERROR(__xludf.DUMMYFUNCTION("""COMPUTED_VALUE"""),30.87)</f>
        <v>30.87</v>
      </c>
    </row>
    <row r="1267">
      <c r="A1267">
        <f>IFERROR(__xludf.DUMMYFUNCTION("""COMPUTED_VALUE"""),172025.0)</f>
        <v>172025</v>
      </c>
      <c r="B1267" t="str">
        <f>IFERROR(__xludf.DUMMYFUNCTION("""COMPUTED_VALUE"""),"Pasta Whole Grain 51% Whole Wheat Remaining Enriched Semolina Dry")</f>
        <v>Pasta Whole Grain 51% Whole Wheat Remaining Enriched Semolina Dry</v>
      </c>
      <c r="C1267" t="str">
        <f>IFERROR(__xludf.DUMMYFUNCTION("""COMPUTED_VALUE"""),"Grains and Pasta")</f>
        <v>Grains and Pasta</v>
      </c>
      <c r="D1267">
        <f>IFERROR(__xludf.DUMMYFUNCTION("""COMPUTED_VALUE"""),361.0)</f>
        <v>361</v>
      </c>
      <c r="E1267">
        <f>IFERROR(__xludf.DUMMYFUNCTION("""COMPUTED_VALUE"""),2.55)</f>
        <v>2.55</v>
      </c>
      <c r="F1267">
        <f>IFERROR(__xludf.DUMMYFUNCTION("""COMPUTED_VALUE"""),13.2)</f>
        <v>13.2</v>
      </c>
      <c r="G1267">
        <f>IFERROR(__xludf.DUMMYFUNCTION("""COMPUTED_VALUE"""),73.3)</f>
        <v>73.3</v>
      </c>
    </row>
    <row r="1268">
      <c r="A1268">
        <f>IFERROR(__xludf.DUMMYFUNCTION("""COMPUTED_VALUE"""),172026.0)</f>
        <v>172026</v>
      </c>
      <c r="B1268" t="str">
        <f>IFERROR(__xludf.DUMMYFUNCTION("""COMPUTED_VALUE"""),"Pasta Gluten-Free Brown Rice Flour Cooked Tinkyada")</f>
        <v>Pasta Gluten-Free Brown Rice Flour Cooked Tinkyada</v>
      </c>
      <c r="C1268" t="str">
        <f>IFERROR(__xludf.DUMMYFUNCTION("""COMPUTED_VALUE"""),"Grains and Pasta")</f>
        <v>Grains and Pasta</v>
      </c>
      <c r="D1268">
        <f>IFERROR(__xludf.DUMMYFUNCTION("""COMPUTED_VALUE"""),138.0)</f>
        <v>138</v>
      </c>
      <c r="E1268">
        <f>IFERROR(__xludf.DUMMYFUNCTION("""COMPUTED_VALUE"""),1.67)</f>
        <v>1.67</v>
      </c>
      <c r="F1268">
        <f>IFERROR(__xludf.DUMMYFUNCTION("""COMPUTED_VALUE"""),3.46)</f>
        <v>3.46</v>
      </c>
      <c r="G1268">
        <f>IFERROR(__xludf.DUMMYFUNCTION("""COMPUTED_VALUE"""),32.2)</f>
        <v>32.2</v>
      </c>
    </row>
    <row r="1269">
      <c r="A1269">
        <f>IFERROR(__xludf.DUMMYFUNCTION("""COMPUTED_VALUE"""),172027.0)</f>
        <v>172027</v>
      </c>
      <c r="B1269" t="str">
        <f>IFERROR(__xludf.DUMMYFUNCTION("""COMPUTED_VALUE"""),"Pasta Gluten-Free Corn Flour And Quinoa Flour Cooked Ancient Harvest")</f>
        <v>Pasta Gluten-Free Corn Flour And Quinoa Flour Cooked Ancient Harvest</v>
      </c>
      <c r="C1269" t="str">
        <f>IFERROR(__xludf.DUMMYFUNCTION("""COMPUTED_VALUE"""),"Grains and Pasta")</f>
        <v>Grains and Pasta</v>
      </c>
      <c r="D1269">
        <f>IFERROR(__xludf.DUMMYFUNCTION("""COMPUTED_VALUE"""),152.0)</f>
        <v>152</v>
      </c>
      <c r="E1269">
        <f>IFERROR(__xludf.DUMMYFUNCTION("""COMPUTED_VALUE"""),2.07)</f>
        <v>2.07</v>
      </c>
      <c r="F1269">
        <f>IFERROR(__xludf.DUMMYFUNCTION("""COMPUTED_VALUE"""),3.23)</f>
        <v>3.23</v>
      </c>
      <c r="G1269">
        <f>IFERROR(__xludf.DUMMYFUNCTION("""COMPUTED_VALUE"""),31.11)</f>
        <v>31.11</v>
      </c>
    </row>
    <row r="1270">
      <c r="A1270">
        <f>IFERROR(__xludf.DUMMYFUNCTION("""COMPUTED_VALUE"""),172420.0)</f>
        <v>172420</v>
      </c>
      <c r="B1270" t="str">
        <f>IFERROR(__xludf.DUMMYFUNCTION("""COMPUTED_VALUE"""),"Lentils Raw")</f>
        <v>Lentils Raw</v>
      </c>
      <c r="C1270" t="str">
        <f>IFERROR(__xludf.DUMMYFUNCTION("""COMPUTED_VALUE"""),"Beans and Lentils")</f>
        <v>Beans and Lentils</v>
      </c>
      <c r="D1270">
        <f>IFERROR(__xludf.DUMMYFUNCTION("""COMPUTED_VALUE"""),352.0)</f>
        <v>352</v>
      </c>
      <c r="E1270">
        <f>IFERROR(__xludf.DUMMYFUNCTION("""COMPUTED_VALUE"""),1.06)</f>
        <v>1.06</v>
      </c>
      <c r="F1270">
        <f>IFERROR(__xludf.DUMMYFUNCTION("""COMPUTED_VALUE"""),24.63)</f>
        <v>24.63</v>
      </c>
      <c r="G1270">
        <f>IFERROR(__xludf.DUMMYFUNCTION("""COMPUTED_VALUE"""),63.35)</f>
        <v>63.35</v>
      </c>
    </row>
    <row r="1271">
      <c r="A1271">
        <f>IFERROR(__xludf.DUMMYFUNCTION("""COMPUTED_VALUE"""),172421.0)</f>
        <v>172421</v>
      </c>
      <c r="B1271" t="str">
        <f>IFERROR(__xludf.DUMMYFUNCTION("""COMPUTED_VALUE"""),"Lentils (Cooked)")</f>
        <v>Lentils (Cooked)</v>
      </c>
      <c r="C1271" t="str">
        <f>IFERROR(__xludf.DUMMYFUNCTION("""COMPUTED_VALUE"""),"Beans and Lentils")</f>
        <v>Beans and Lentils</v>
      </c>
      <c r="D1271">
        <f>IFERROR(__xludf.DUMMYFUNCTION("""COMPUTED_VALUE"""),116.0)</f>
        <v>116</v>
      </c>
      <c r="E1271">
        <f>IFERROR(__xludf.DUMMYFUNCTION("""COMPUTED_VALUE"""),0.38)</f>
        <v>0.38</v>
      </c>
      <c r="F1271">
        <f>IFERROR(__xludf.DUMMYFUNCTION("""COMPUTED_VALUE"""),9.02)</f>
        <v>9.02</v>
      </c>
      <c r="G1271">
        <f>IFERROR(__xludf.DUMMYFUNCTION("""COMPUTED_VALUE"""),20.13)</f>
        <v>20.13</v>
      </c>
    </row>
    <row r="1272">
      <c r="A1272">
        <f>IFERROR(__xludf.DUMMYFUNCTION("""COMPUTED_VALUE"""),172422.0)</f>
        <v>172422</v>
      </c>
      <c r="B1272" t="str">
        <f>IFERROR(__xludf.DUMMYFUNCTION("""COMPUTED_VALUE"""),"Lima Beans Thin Seeded (Baby) Mature Seeds Cooked Boiled Without Salt")</f>
        <v>Lima Beans Thin Seeded (Baby) Mature Seeds Cooked Boiled Without Salt</v>
      </c>
      <c r="C1272" t="str">
        <f>IFERROR(__xludf.DUMMYFUNCTION("""COMPUTED_VALUE"""),"Beans and Lentils")</f>
        <v>Beans and Lentils</v>
      </c>
      <c r="D1272">
        <f>IFERROR(__xludf.DUMMYFUNCTION("""COMPUTED_VALUE"""),126.0)</f>
        <v>126</v>
      </c>
      <c r="E1272">
        <f>IFERROR(__xludf.DUMMYFUNCTION("""COMPUTED_VALUE"""),0.38)</f>
        <v>0.38</v>
      </c>
      <c r="F1272">
        <f>IFERROR(__xludf.DUMMYFUNCTION("""COMPUTED_VALUE"""),8.04)</f>
        <v>8.04</v>
      </c>
      <c r="G1272">
        <f>IFERROR(__xludf.DUMMYFUNCTION("""COMPUTED_VALUE"""),23.31)</f>
        <v>23.31</v>
      </c>
    </row>
    <row r="1273">
      <c r="A1273">
        <f>IFERROR(__xludf.DUMMYFUNCTION("""COMPUTED_VALUE"""),172423.0)</f>
        <v>172423</v>
      </c>
      <c r="B1273" t="str">
        <f>IFERROR(__xludf.DUMMYFUNCTION("""COMPUTED_VALUE"""),"Lupins Mature Seeds Raw")</f>
        <v>Lupins Mature Seeds Raw</v>
      </c>
      <c r="C1273" t="str">
        <f>IFERROR(__xludf.DUMMYFUNCTION("""COMPUTED_VALUE"""),"Beans and Lentils")</f>
        <v>Beans and Lentils</v>
      </c>
      <c r="D1273">
        <f>IFERROR(__xludf.DUMMYFUNCTION("""COMPUTED_VALUE"""),371.0)</f>
        <v>371</v>
      </c>
      <c r="E1273">
        <f>IFERROR(__xludf.DUMMYFUNCTION("""COMPUTED_VALUE"""),9.74)</f>
        <v>9.74</v>
      </c>
      <c r="F1273">
        <f>IFERROR(__xludf.DUMMYFUNCTION("""COMPUTED_VALUE"""),36.17)</f>
        <v>36.17</v>
      </c>
      <c r="G1273">
        <f>IFERROR(__xludf.DUMMYFUNCTION("""COMPUTED_VALUE"""),40.37)</f>
        <v>40.37</v>
      </c>
    </row>
    <row r="1274">
      <c r="A1274">
        <f>IFERROR(__xludf.DUMMYFUNCTION("""COMPUTED_VALUE"""),172424.0)</f>
        <v>172424</v>
      </c>
      <c r="B1274" t="str">
        <f>IFERROR(__xludf.DUMMYFUNCTION("""COMPUTED_VALUE"""),"Boiled Lupin Beans")</f>
        <v>Boiled Lupin Beans</v>
      </c>
      <c r="C1274" t="str">
        <f>IFERROR(__xludf.DUMMYFUNCTION("""COMPUTED_VALUE"""),"Beans and Lentils")</f>
        <v>Beans and Lentils</v>
      </c>
      <c r="D1274">
        <f>IFERROR(__xludf.DUMMYFUNCTION("""COMPUTED_VALUE"""),119.0)</f>
        <v>119</v>
      </c>
      <c r="E1274">
        <f>IFERROR(__xludf.DUMMYFUNCTION("""COMPUTED_VALUE"""),2.92)</f>
        <v>2.92</v>
      </c>
      <c r="F1274">
        <f>IFERROR(__xludf.DUMMYFUNCTION("""COMPUTED_VALUE"""),15.57)</f>
        <v>15.57</v>
      </c>
      <c r="G1274">
        <f>IFERROR(__xludf.DUMMYFUNCTION("""COMPUTED_VALUE"""),9.88)</f>
        <v>9.88</v>
      </c>
    </row>
    <row r="1275">
      <c r="A1275">
        <f>IFERROR(__xludf.DUMMYFUNCTION("""COMPUTED_VALUE"""),172425.0)</f>
        <v>172425</v>
      </c>
      <c r="B1275" t="str">
        <f>IFERROR(__xludf.DUMMYFUNCTION("""COMPUTED_VALUE"""),"Mothbeans Mature Seeds Raw")</f>
        <v>Mothbeans Mature Seeds Raw</v>
      </c>
      <c r="C1275" t="str">
        <f>IFERROR(__xludf.DUMMYFUNCTION("""COMPUTED_VALUE"""),"Beans and Lentils")</f>
        <v>Beans and Lentils</v>
      </c>
      <c r="D1275">
        <f>IFERROR(__xludf.DUMMYFUNCTION("""COMPUTED_VALUE"""),343.0)</f>
        <v>343</v>
      </c>
      <c r="E1275">
        <f>IFERROR(__xludf.DUMMYFUNCTION("""COMPUTED_VALUE"""),1.61)</f>
        <v>1.61</v>
      </c>
      <c r="F1275">
        <f>IFERROR(__xludf.DUMMYFUNCTION("""COMPUTED_VALUE"""),22.94)</f>
        <v>22.94</v>
      </c>
      <c r="G1275">
        <f>IFERROR(__xludf.DUMMYFUNCTION("""COMPUTED_VALUE"""),61.52)</f>
        <v>61.52</v>
      </c>
    </row>
    <row r="1276">
      <c r="A1276">
        <f>IFERROR(__xludf.DUMMYFUNCTION("""COMPUTED_VALUE"""),172426.0)</f>
        <v>172426</v>
      </c>
      <c r="B1276" t="str">
        <f>IFERROR(__xludf.DUMMYFUNCTION("""COMPUTED_VALUE"""),"Mothbeans Mature Seeds Cooked Boiled Without Salt")</f>
        <v>Mothbeans Mature Seeds Cooked Boiled Without Salt</v>
      </c>
      <c r="C1276" t="str">
        <f>IFERROR(__xludf.DUMMYFUNCTION("""COMPUTED_VALUE"""),"Beans and Lentils")</f>
        <v>Beans and Lentils</v>
      </c>
      <c r="D1276">
        <f>IFERROR(__xludf.DUMMYFUNCTION("""COMPUTED_VALUE"""),117.0)</f>
        <v>117</v>
      </c>
      <c r="E1276">
        <f>IFERROR(__xludf.DUMMYFUNCTION("""COMPUTED_VALUE"""),0.55)</f>
        <v>0.55</v>
      </c>
      <c r="F1276">
        <f>IFERROR(__xludf.DUMMYFUNCTION("""COMPUTED_VALUE"""),7.81)</f>
        <v>7.81</v>
      </c>
      <c r="G1276">
        <f>IFERROR(__xludf.DUMMYFUNCTION("""COMPUTED_VALUE"""),20.96)</f>
        <v>20.96</v>
      </c>
    </row>
    <row r="1277">
      <c r="A1277">
        <f>IFERROR(__xludf.DUMMYFUNCTION("""COMPUTED_VALUE"""),172427.0)</f>
        <v>172427</v>
      </c>
      <c r="B1277" t="str">
        <f>IFERROR(__xludf.DUMMYFUNCTION("""COMPUTED_VALUE"""),"Mungo Beans (Cooked)")</f>
        <v>Mungo Beans (Cooked)</v>
      </c>
      <c r="C1277" t="str">
        <f>IFERROR(__xludf.DUMMYFUNCTION("""COMPUTED_VALUE"""),"Beans and Lentils")</f>
        <v>Beans and Lentils</v>
      </c>
      <c r="D1277">
        <f>IFERROR(__xludf.DUMMYFUNCTION("""COMPUTED_VALUE"""),105.0)</f>
        <v>105</v>
      </c>
      <c r="E1277">
        <f>IFERROR(__xludf.DUMMYFUNCTION("""COMPUTED_VALUE"""),0.55)</f>
        <v>0.55</v>
      </c>
      <c r="F1277">
        <f>IFERROR(__xludf.DUMMYFUNCTION("""COMPUTED_VALUE"""),7.54)</f>
        <v>7.54</v>
      </c>
      <c r="G1277">
        <f>IFERROR(__xludf.DUMMYFUNCTION("""COMPUTED_VALUE"""),18.34)</f>
        <v>18.34</v>
      </c>
    </row>
    <row r="1278">
      <c r="A1278">
        <f>IFERROR(__xludf.DUMMYFUNCTION("""COMPUTED_VALUE"""),172428.0)</f>
        <v>172428</v>
      </c>
      <c r="B1278" t="str">
        <f>IFERROR(__xludf.DUMMYFUNCTION("""COMPUTED_VALUE"""),"Peas Green Split Mature Seeds Raw")</f>
        <v>Peas Green Split Mature Seeds Raw</v>
      </c>
      <c r="C1278" t="str">
        <f>IFERROR(__xludf.DUMMYFUNCTION("""COMPUTED_VALUE"""),"Beans and Lentils")</f>
        <v>Beans and Lentils</v>
      </c>
      <c r="D1278">
        <f>IFERROR(__xludf.DUMMYFUNCTION("""COMPUTED_VALUE"""),364.0)</f>
        <v>364</v>
      </c>
      <c r="E1278">
        <f>IFERROR(__xludf.DUMMYFUNCTION("""COMPUTED_VALUE"""),3.89)</f>
        <v>3.89</v>
      </c>
      <c r="F1278">
        <f>IFERROR(__xludf.DUMMYFUNCTION("""COMPUTED_VALUE"""),23.12)</f>
        <v>23.12</v>
      </c>
      <c r="G1278">
        <f>IFERROR(__xludf.DUMMYFUNCTION("""COMPUTED_VALUE"""),61.63)</f>
        <v>61.63</v>
      </c>
    </row>
    <row r="1279">
      <c r="A1279">
        <f>IFERROR(__xludf.DUMMYFUNCTION("""COMPUTED_VALUE"""),172429.0)</f>
        <v>172429</v>
      </c>
      <c r="B1279" t="str">
        <f>IFERROR(__xludf.DUMMYFUNCTION("""COMPUTED_VALUE"""),"Split Peas")</f>
        <v>Split Peas</v>
      </c>
      <c r="C1279" t="str">
        <f>IFERROR(__xludf.DUMMYFUNCTION("""COMPUTED_VALUE"""),"Beans and Lentils")</f>
        <v>Beans and Lentils</v>
      </c>
      <c r="D1279">
        <f>IFERROR(__xludf.DUMMYFUNCTION("""COMPUTED_VALUE"""),118.0)</f>
        <v>118</v>
      </c>
      <c r="E1279">
        <f>IFERROR(__xludf.DUMMYFUNCTION("""COMPUTED_VALUE"""),0.39)</f>
        <v>0.39</v>
      </c>
      <c r="F1279">
        <f>IFERROR(__xludf.DUMMYFUNCTION("""COMPUTED_VALUE"""),8.34)</f>
        <v>8.34</v>
      </c>
      <c r="G1279">
        <f>IFERROR(__xludf.DUMMYFUNCTION("""COMPUTED_VALUE"""),21.1)</f>
        <v>21.1</v>
      </c>
    </row>
    <row r="1280">
      <c r="A1280">
        <f>IFERROR(__xludf.DUMMYFUNCTION("""COMPUTED_VALUE"""),172430.0)</f>
        <v>172430</v>
      </c>
      <c r="B1280" t="str">
        <f>IFERROR(__xludf.DUMMYFUNCTION("""COMPUTED_VALUE"""),"Raw Peanuts")</f>
        <v>Raw Peanuts</v>
      </c>
      <c r="C1280" t="str">
        <f>IFERROR(__xludf.DUMMYFUNCTION("""COMPUTED_VALUE"""),"Beans and Lentils")</f>
        <v>Beans and Lentils</v>
      </c>
      <c r="D1280">
        <f>IFERROR(__xludf.DUMMYFUNCTION("""COMPUTED_VALUE"""),567.0)</f>
        <v>567</v>
      </c>
      <c r="E1280">
        <f>IFERROR(__xludf.DUMMYFUNCTION("""COMPUTED_VALUE"""),49.24)</f>
        <v>49.24</v>
      </c>
      <c r="F1280">
        <f>IFERROR(__xludf.DUMMYFUNCTION("""COMPUTED_VALUE"""),25.8)</f>
        <v>25.8</v>
      </c>
      <c r="G1280">
        <f>IFERROR(__xludf.DUMMYFUNCTION("""COMPUTED_VALUE"""),16.13)</f>
        <v>16.13</v>
      </c>
    </row>
    <row r="1281">
      <c r="A1281">
        <f>IFERROR(__xludf.DUMMYFUNCTION("""COMPUTED_VALUE"""),172431.0)</f>
        <v>172431</v>
      </c>
      <c r="B1281" t="str">
        <f>IFERROR(__xludf.DUMMYFUNCTION("""COMPUTED_VALUE"""),"Peanuts Spanish Oil-Roasted With Salt")</f>
        <v>Peanuts Spanish Oil-Roasted With Salt</v>
      </c>
      <c r="C1281" t="str">
        <f>IFERROR(__xludf.DUMMYFUNCTION("""COMPUTED_VALUE"""),"Beans and Lentils")</f>
        <v>Beans and Lentils</v>
      </c>
      <c r="D1281">
        <f>IFERROR(__xludf.DUMMYFUNCTION("""COMPUTED_VALUE"""),579.0)</f>
        <v>579</v>
      </c>
      <c r="E1281">
        <f>IFERROR(__xludf.DUMMYFUNCTION("""COMPUTED_VALUE"""),49.04)</f>
        <v>49.04</v>
      </c>
      <c r="F1281">
        <f>IFERROR(__xludf.DUMMYFUNCTION("""COMPUTED_VALUE"""),28.01)</f>
        <v>28.01</v>
      </c>
      <c r="G1281">
        <f>IFERROR(__xludf.DUMMYFUNCTION("""COMPUTED_VALUE"""),17.45)</f>
        <v>17.45</v>
      </c>
    </row>
    <row r="1282">
      <c r="A1282">
        <f>IFERROR(__xludf.DUMMYFUNCTION("""COMPUTED_VALUE"""),172432.0)</f>
        <v>172432</v>
      </c>
      <c r="B1282" t="str">
        <f>IFERROR(__xludf.DUMMYFUNCTION("""COMPUTED_VALUE"""),"Peanuts Valencia Raw")</f>
        <v>Peanuts Valencia Raw</v>
      </c>
      <c r="C1282" t="str">
        <f>IFERROR(__xludf.DUMMYFUNCTION("""COMPUTED_VALUE"""),"Beans and Lentils")</f>
        <v>Beans and Lentils</v>
      </c>
      <c r="D1282">
        <f>IFERROR(__xludf.DUMMYFUNCTION("""COMPUTED_VALUE"""),570.0)</f>
        <v>570</v>
      </c>
      <c r="E1282">
        <f>IFERROR(__xludf.DUMMYFUNCTION("""COMPUTED_VALUE"""),47.58)</f>
        <v>47.58</v>
      </c>
      <c r="F1282">
        <f>IFERROR(__xludf.DUMMYFUNCTION("""COMPUTED_VALUE"""),25.09)</f>
        <v>25.09</v>
      </c>
      <c r="G1282">
        <f>IFERROR(__xludf.DUMMYFUNCTION("""COMPUTED_VALUE"""),20.91)</f>
        <v>20.91</v>
      </c>
    </row>
    <row r="1283">
      <c r="A1283">
        <f>IFERROR(__xludf.DUMMYFUNCTION("""COMPUTED_VALUE"""),172433.0)</f>
        <v>172433</v>
      </c>
      <c r="B1283" t="str">
        <f>IFERROR(__xludf.DUMMYFUNCTION("""COMPUTED_VALUE"""),"Peanuts Valencia Oil-Roasted With Salt")</f>
        <v>Peanuts Valencia Oil-Roasted With Salt</v>
      </c>
      <c r="C1283" t="str">
        <f>IFERROR(__xludf.DUMMYFUNCTION("""COMPUTED_VALUE"""),"Beans and Lentils")</f>
        <v>Beans and Lentils</v>
      </c>
      <c r="D1283">
        <f>IFERROR(__xludf.DUMMYFUNCTION("""COMPUTED_VALUE"""),589.0)</f>
        <v>589</v>
      </c>
      <c r="E1283">
        <f>IFERROR(__xludf.DUMMYFUNCTION("""COMPUTED_VALUE"""),51.24)</f>
        <v>51.24</v>
      </c>
      <c r="F1283">
        <f>IFERROR(__xludf.DUMMYFUNCTION("""COMPUTED_VALUE"""),27.04)</f>
        <v>27.04</v>
      </c>
      <c r="G1283">
        <f>IFERROR(__xludf.DUMMYFUNCTION("""COMPUTED_VALUE"""),16.3)</f>
        <v>16.3</v>
      </c>
    </row>
    <row r="1284">
      <c r="A1284">
        <f>IFERROR(__xludf.DUMMYFUNCTION("""COMPUTED_VALUE"""),172434.0)</f>
        <v>172434</v>
      </c>
      <c r="B1284" t="str">
        <f>IFERROR(__xludf.DUMMYFUNCTION("""COMPUTED_VALUE"""),"Peanuts Virginia Raw")</f>
        <v>Peanuts Virginia Raw</v>
      </c>
      <c r="C1284" t="str">
        <f>IFERROR(__xludf.DUMMYFUNCTION("""COMPUTED_VALUE"""),"Beans and Lentils")</f>
        <v>Beans and Lentils</v>
      </c>
      <c r="D1284">
        <f>IFERROR(__xludf.DUMMYFUNCTION("""COMPUTED_VALUE"""),563.0)</f>
        <v>563</v>
      </c>
      <c r="E1284">
        <f>IFERROR(__xludf.DUMMYFUNCTION("""COMPUTED_VALUE"""),48.75)</f>
        <v>48.75</v>
      </c>
      <c r="F1284">
        <f>IFERROR(__xludf.DUMMYFUNCTION("""COMPUTED_VALUE"""),25.19)</f>
        <v>25.19</v>
      </c>
      <c r="G1284">
        <f>IFERROR(__xludf.DUMMYFUNCTION("""COMPUTED_VALUE"""),16.54)</f>
        <v>16.54</v>
      </c>
    </row>
    <row r="1285">
      <c r="A1285">
        <f>IFERROR(__xludf.DUMMYFUNCTION("""COMPUTED_VALUE"""),172435.0)</f>
        <v>172435</v>
      </c>
      <c r="B1285" t="str">
        <f>IFERROR(__xludf.DUMMYFUNCTION("""COMPUTED_VALUE"""),"Peanut Flour Low Fat")</f>
        <v>Peanut Flour Low Fat</v>
      </c>
      <c r="C1285" t="str">
        <f>IFERROR(__xludf.DUMMYFUNCTION("""COMPUTED_VALUE"""),"Beans and Lentils")</f>
        <v>Beans and Lentils</v>
      </c>
      <c r="D1285">
        <f>IFERROR(__xludf.DUMMYFUNCTION("""COMPUTED_VALUE"""),428.0)</f>
        <v>428</v>
      </c>
      <c r="E1285">
        <f>IFERROR(__xludf.DUMMYFUNCTION("""COMPUTED_VALUE"""),21.9)</f>
        <v>21.9</v>
      </c>
      <c r="F1285">
        <f>IFERROR(__xludf.DUMMYFUNCTION("""COMPUTED_VALUE"""),33.8)</f>
        <v>33.8</v>
      </c>
      <c r="G1285">
        <f>IFERROR(__xludf.DUMMYFUNCTION("""COMPUTED_VALUE"""),31.27)</f>
        <v>31.27</v>
      </c>
    </row>
    <row r="1286">
      <c r="A1286">
        <f>IFERROR(__xludf.DUMMYFUNCTION("""COMPUTED_VALUE"""),172436.0)</f>
        <v>172436</v>
      </c>
      <c r="B1286" t="str">
        <f>IFERROR(__xludf.DUMMYFUNCTION("""COMPUTED_VALUE"""),"Pigeon Peas (Red Gram) Mature Seeds Raw")</f>
        <v>Pigeon Peas (Red Gram) Mature Seeds Raw</v>
      </c>
      <c r="C1286" t="str">
        <f>IFERROR(__xludf.DUMMYFUNCTION("""COMPUTED_VALUE"""),"Beans and Lentils")</f>
        <v>Beans and Lentils</v>
      </c>
      <c r="D1286">
        <f>IFERROR(__xludf.DUMMYFUNCTION("""COMPUTED_VALUE"""),343.0)</f>
        <v>343</v>
      </c>
      <c r="E1286">
        <f>IFERROR(__xludf.DUMMYFUNCTION("""COMPUTED_VALUE"""),1.49)</f>
        <v>1.49</v>
      </c>
      <c r="F1286">
        <f>IFERROR(__xludf.DUMMYFUNCTION("""COMPUTED_VALUE"""),21.7)</f>
        <v>21.7</v>
      </c>
      <c r="G1286">
        <f>IFERROR(__xludf.DUMMYFUNCTION("""COMPUTED_VALUE"""),62.78)</f>
        <v>62.78</v>
      </c>
    </row>
    <row r="1287">
      <c r="A1287">
        <f>IFERROR(__xludf.DUMMYFUNCTION("""COMPUTED_VALUE"""),172437.0)</f>
        <v>172437</v>
      </c>
      <c r="B1287" t="str">
        <f>IFERROR(__xludf.DUMMYFUNCTION("""COMPUTED_VALUE"""),"Pigeon Peas (Red Gram) Mature Seeds Cooked Boiled Without Salt")</f>
        <v>Pigeon Peas (Red Gram) Mature Seeds Cooked Boiled Without Salt</v>
      </c>
      <c r="C1287" t="str">
        <f>IFERROR(__xludf.DUMMYFUNCTION("""COMPUTED_VALUE"""),"Beans and Lentils")</f>
        <v>Beans and Lentils</v>
      </c>
      <c r="D1287">
        <f>IFERROR(__xludf.DUMMYFUNCTION("""COMPUTED_VALUE"""),121.0)</f>
        <v>121</v>
      </c>
      <c r="E1287">
        <f>IFERROR(__xludf.DUMMYFUNCTION("""COMPUTED_VALUE"""),0.38)</f>
        <v>0.38</v>
      </c>
      <c r="F1287">
        <f>IFERROR(__xludf.DUMMYFUNCTION("""COMPUTED_VALUE"""),6.76)</f>
        <v>6.76</v>
      </c>
      <c r="G1287">
        <f>IFERROR(__xludf.DUMMYFUNCTION("""COMPUTED_VALUE"""),23.25)</f>
        <v>23.25</v>
      </c>
    </row>
    <row r="1288">
      <c r="A1288">
        <f>IFERROR(__xludf.DUMMYFUNCTION("""COMPUTED_VALUE"""),172438.0)</f>
        <v>172438</v>
      </c>
      <c r="B1288" t="str">
        <f>IFERROR(__xludf.DUMMYFUNCTION("""COMPUTED_VALUE"""),"Refried Beans Canned Traditional Style (Includes USDA Commodity)")</f>
        <v>Refried Beans Canned Traditional Style (Includes USDA Commodity)</v>
      </c>
      <c r="C1288" t="str">
        <f>IFERROR(__xludf.DUMMYFUNCTION("""COMPUTED_VALUE"""),"Beans and Lentils")</f>
        <v>Beans and Lentils</v>
      </c>
      <c r="D1288">
        <f>IFERROR(__xludf.DUMMYFUNCTION("""COMPUTED_VALUE"""),90.0)</f>
        <v>90</v>
      </c>
      <c r="E1288">
        <f>IFERROR(__xludf.DUMMYFUNCTION("""COMPUTED_VALUE"""),2.01)</f>
        <v>2.01</v>
      </c>
      <c r="F1288">
        <f>IFERROR(__xludf.DUMMYFUNCTION("""COMPUTED_VALUE"""),4.98)</f>
        <v>4.98</v>
      </c>
      <c r="G1288">
        <f>IFERROR(__xludf.DUMMYFUNCTION("""COMPUTED_VALUE"""),13.55)</f>
        <v>13.55</v>
      </c>
    </row>
    <row r="1289">
      <c r="A1289">
        <f>IFERROR(__xludf.DUMMYFUNCTION("""COMPUTED_VALUE"""),172439.0)</f>
        <v>172439</v>
      </c>
      <c r="B1289" t="str">
        <f>IFERROR(__xludf.DUMMYFUNCTION("""COMPUTED_VALUE"""),"Bacon Meatless")</f>
        <v>Bacon Meatless</v>
      </c>
      <c r="C1289" t="str">
        <f>IFERROR(__xludf.DUMMYFUNCTION("""COMPUTED_VALUE"""),"Beans and Lentils")</f>
        <v>Beans and Lentils</v>
      </c>
      <c r="D1289">
        <f>IFERROR(__xludf.DUMMYFUNCTION("""COMPUTED_VALUE"""),309.0)</f>
        <v>309</v>
      </c>
      <c r="E1289">
        <f>IFERROR(__xludf.DUMMYFUNCTION("""COMPUTED_VALUE"""),29.52)</f>
        <v>29.52</v>
      </c>
      <c r="F1289">
        <f>IFERROR(__xludf.DUMMYFUNCTION("""COMPUTED_VALUE"""),11.69)</f>
        <v>11.69</v>
      </c>
      <c r="G1289">
        <f>IFERROR(__xludf.DUMMYFUNCTION("""COMPUTED_VALUE"""),5.31)</f>
        <v>5.31</v>
      </c>
    </row>
    <row r="1290">
      <c r="A1290">
        <f>IFERROR(__xludf.DUMMYFUNCTION("""COMPUTED_VALUE"""),172440.0)</f>
        <v>172440</v>
      </c>
      <c r="B1290" t="str">
        <f>IFERROR(__xludf.DUMMYFUNCTION("""COMPUTED_VALUE"""),"Soybeans Mature Seeds Roasted Salted")</f>
        <v>Soybeans Mature Seeds Roasted Salted</v>
      </c>
      <c r="C1290" t="str">
        <f>IFERROR(__xludf.DUMMYFUNCTION("""COMPUTED_VALUE"""),"Beans and Lentils")</f>
        <v>Beans and Lentils</v>
      </c>
      <c r="D1290">
        <f>IFERROR(__xludf.DUMMYFUNCTION("""COMPUTED_VALUE"""),469.0)</f>
        <v>469</v>
      </c>
      <c r="E1290">
        <f>IFERROR(__xludf.DUMMYFUNCTION("""COMPUTED_VALUE"""),25.4)</f>
        <v>25.4</v>
      </c>
      <c r="F1290">
        <f>IFERROR(__xludf.DUMMYFUNCTION("""COMPUTED_VALUE"""),38.55)</f>
        <v>38.55</v>
      </c>
      <c r="G1290">
        <f>IFERROR(__xludf.DUMMYFUNCTION("""COMPUTED_VALUE"""),30.22)</f>
        <v>30.22</v>
      </c>
    </row>
    <row r="1291">
      <c r="A1291">
        <f>IFERROR(__xludf.DUMMYFUNCTION("""COMPUTED_VALUE"""),172441.0)</f>
        <v>172441</v>
      </c>
      <c r="B1291" t="str">
        <f>IFERROR(__xludf.DUMMYFUNCTION("""COMPUTED_VALUE"""),"Dry-Roasted Soybeans")</f>
        <v>Dry-Roasted Soybeans</v>
      </c>
      <c r="C1291" t="str">
        <f>IFERROR(__xludf.DUMMYFUNCTION("""COMPUTED_VALUE"""),"Beans and Lentils")</f>
        <v>Beans and Lentils</v>
      </c>
      <c r="D1291">
        <f>IFERROR(__xludf.DUMMYFUNCTION("""COMPUTED_VALUE"""),449.0)</f>
        <v>449</v>
      </c>
      <c r="E1291">
        <f>IFERROR(__xludf.DUMMYFUNCTION("""COMPUTED_VALUE"""),21.62)</f>
        <v>21.62</v>
      </c>
      <c r="F1291">
        <f>IFERROR(__xludf.DUMMYFUNCTION("""COMPUTED_VALUE"""),43.32)</f>
        <v>43.32</v>
      </c>
      <c r="G1291">
        <f>IFERROR(__xludf.DUMMYFUNCTION("""COMPUTED_VALUE"""),28.98)</f>
        <v>28.98</v>
      </c>
    </row>
    <row r="1292">
      <c r="A1292">
        <f>IFERROR(__xludf.DUMMYFUNCTION("""COMPUTED_VALUE"""),172442.0)</f>
        <v>172442</v>
      </c>
      <c r="B1292" t="str">
        <f>IFERROR(__xludf.DUMMYFUNCTION("""COMPUTED_VALUE"""),"Miso")</f>
        <v>Miso</v>
      </c>
      <c r="C1292" t="str">
        <f>IFERROR(__xludf.DUMMYFUNCTION("""COMPUTED_VALUE"""),"Beans and Lentils")</f>
        <v>Beans and Lentils</v>
      </c>
      <c r="D1292">
        <f>IFERROR(__xludf.DUMMYFUNCTION("""COMPUTED_VALUE"""),198.0)</f>
        <v>198</v>
      </c>
      <c r="E1292">
        <f>IFERROR(__xludf.DUMMYFUNCTION("""COMPUTED_VALUE"""),6.01)</f>
        <v>6.01</v>
      </c>
      <c r="F1292">
        <f>IFERROR(__xludf.DUMMYFUNCTION("""COMPUTED_VALUE"""),12.79)</f>
        <v>12.79</v>
      </c>
      <c r="G1292">
        <f>IFERROR(__xludf.DUMMYFUNCTION("""COMPUTED_VALUE"""),25.37)</f>
        <v>25.37</v>
      </c>
    </row>
    <row r="1293">
      <c r="A1293">
        <f>IFERROR(__xludf.DUMMYFUNCTION("""COMPUTED_VALUE"""),172443.0)</f>
        <v>172443</v>
      </c>
      <c r="B1293" t="str">
        <f>IFERROR(__xludf.DUMMYFUNCTION("""COMPUTED_VALUE"""),"Natto")</f>
        <v>Natto</v>
      </c>
      <c r="C1293" t="str">
        <f>IFERROR(__xludf.DUMMYFUNCTION("""COMPUTED_VALUE"""),"Beans and Lentils")</f>
        <v>Beans and Lentils</v>
      </c>
      <c r="D1293">
        <f>IFERROR(__xludf.DUMMYFUNCTION("""COMPUTED_VALUE"""),211.0)</f>
        <v>211</v>
      </c>
      <c r="E1293">
        <f>IFERROR(__xludf.DUMMYFUNCTION("""COMPUTED_VALUE"""),11.0)</f>
        <v>11</v>
      </c>
      <c r="F1293">
        <f>IFERROR(__xludf.DUMMYFUNCTION("""COMPUTED_VALUE"""),19.4)</f>
        <v>19.4</v>
      </c>
      <c r="G1293">
        <f>IFERROR(__xludf.DUMMYFUNCTION("""COMPUTED_VALUE"""),12.68)</f>
        <v>12.68</v>
      </c>
    </row>
    <row r="1294">
      <c r="A1294">
        <f>IFERROR(__xludf.DUMMYFUNCTION("""COMPUTED_VALUE"""),172444.0)</f>
        <v>172444</v>
      </c>
      <c r="B1294" t="str">
        <f>IFERROR(__xludf.DUMMYFUNCTION("""COMPUTED_VALUE"""),"Soy Flour Low-Fat")</f>
        <v>Soy Flour Low-Fat</v>
      </c>
      <c r="C1294" t="str">
        <f>IFERROR(__xludf.DUMMYFUNCTION("""COMPUTED_VALUE"""),"Beans and Lentils")</f>
        <v>Beans and Lentils</v>
      </c>
      <c r="D1294">
        <f>IFERROR(__xludf.DUMMYFUNCTION("""COMPUTED_VALUE"""),372.0)</f>
        <v>372</v>
      </c>
      <c r="E1294">
        <f>IFERROR(__xludf.DUMMYFUNCTION("""COMPUTED_VALUE"""),8.9)</f>
        <v>8.9</v>
      </c>
      <c r="F1294">
        <f>IFERROR(__xludf.DUMMYFUNCTION("""COMPUTED_VALUE"""),49.81)</f>
        <v>49.81</v>
      </c>
      <c r="G1294">
        <f>IFERROR(__xludf.DUMMYFUNCTION("""COMPUTED_VALUE"""),30.63)</f>
        <v>30.63</v>
      </c>
    </row>
    <row r="1295">
      <c r="A1295">
        <f>IFERROR(__xludf.DUMMYFUNCTION("""COMPUTED_VALUE"""),172445.0)</f>
        <v>172445</v>
      </c>
      <c r="B1295" t="str">
        <f>IFERROR(__xludf.DUMMYFUNCTION("""COMPUTED_VALUE"""),"Soy Meal Defatted Raw")</f>
        <v>Soy Meal Defatted Raw</v>
      </c>
      <c r="C1295" t="str">
        <f>IFERROR(__xludf.DUMMYFUNCTION("""COMPUTED_VALUE"""),"Beans and Lentils")</f>
        <v>Beans and Lentils</v>
      </c>
      <c r="D1295">
        <f>IFERROR(__xludf.DUMMYFUNCTION("""COMPUTED_VALUE"""),337.0)</f>
        <v>337</v>
      </c>
      <c r="E1295">
        <f>IFERROR(__xludf.DUMMYFUNCTION("""COMPUTED_VALUE"""),2.39)</f>
        <v>2.39</v>
      </c>
      <c r="F1295">
        <f>IFERROR(__xludf.DUMMYFUNCTION("""COMPUTED_VALUE"""),49.2)</f>
        <v>49.2</v>
      </c>
      <c r="G1295">
        <f>IFERROR(__xludf.DUMMYFUNCTION("""COMPUTED_VALUE"""),35.89)</f>
        <v>35.89</v>
      </c>
    </row>
    <row r="1296">
      <c r="A1296">
        <f>IFERROR(__xludf.DUMMYFUNCTION("""COMPUTED_VALUE"""),172446.0)</f>
        <v>172446</v>
      </c>
      <c r="B1296" t="str">
        <f>IFERROR(__xludf.DUMMYFUNCTION("""COMPUTED_VALUE"""),"Vanilla Soy Milk")</f>
        <v>Vanilla Soy Milk</v>
      </c>
      <c r="C1296" t="str">
        <f>IFERROR(__xludf.DUMMYFUNCTION("""COMPUTED_VALUE"""),"Beans and Lentils")</f>
        <v>Beans and Lentils</v>
      </c>
      <c r="D1296">
        <f>IFERROR(__xludf.DUMMYFUNCTION("""COMPUTED_VALUE"""),54.0)</f>
        <v>54</v>
      </c>
      <c r="E1296">
        <f>IFERROR(__xludf.DUMMYFUNCTION("""COMPUTED_VALUE"""),1.75)</f>
        <v>1.75</v>
      </c>
      <c r="F1296">
        <f>IFERROR(__xludf.DUMMYFUNCTION("""COMPUTED_VALUE"""),3.27)</f>
        <v>3.27</v>
      </c>
      <c r="G1296">
        <f>IFERROR(__xludf.DUMMYFUNCTION("""COMPUTED_VALUE"""),6.28)</f>
        <v>6.28</v>
      </c>
    </row>
    <row r="1297">
      <c r="A1297">
        <f>IFERROR(__xludf.DUMMYFUNCTION("""COMPUTED_VALUE"""),172447.0)</f>
        <v>172447</v>
      </c>
      <c r="B1297" t="str">
        <f>IFERROR(__xludf.DUMMYFUNCTION("""COMPUTED_VALUE"""),"Soy Protein Concentrate Produced By Alcohol Extraction")</f>
        <v>Soy Protein Concentrate Produced By Alcohol Extraction</v>
      </c>
      <c r="C1297" t="str">
        <f>IFERROR(__xludf.DUMMYFUNCTION("""COMPUTED_VALUE"""),"Beans and Lentils")</f>
        <v>Beans and Lentils</v>
      </c>
      <c r="D1297">
        <f>IFERROR(__xludf.DUMMYFUNCTION("""COMPUTED_VALUE"""),328.0)</f>
        <v>328</v>
      </c>
      <c r="E1297">
        <f>IFERROR(__xludf.DUMMYFUNCTION("""COMPUTED_VALUE"""),0.46)</f>
        <v>0.46</v>
      </c>
      <c r="F1297">
        <f>IFERROR(__xludf.DUMMYFUNCTION("""COMPUTED_VALUE"""),63.63)</f>
        <v>63.63</v>
      </c>
      <c r="G1297">
        <f>IFERROR(__xludf.DUMMYFUNCTION("""COMPUTED_VALUE"""),25.41)</f>
        <v>25.41</v>
      </c>
    </row>
    <row r="1298">
      <c r="A1298">
        <f>IFERROR(__xludf.DUMMYFUNCTION("""COMPUTED_VALUE"""),172448.0)</f>
        <v>172448</v>
      </c>
      <c r="B1298" t="str">
        <f>IFERROR(__xludf.DUMMYFUNCTION("""COMPUTED_VALUE"""),"Firm Tofu (With Calcium And Magnesium)")</f>
        <v>Firm Tofu (With Calcium And Magnesium)</v>
      </c>
      <c r="C1298" t="str">
        <f>IFERROR(__xludf.DUMMYFUNCTION("""COMPUTED_VALUE"""),"Beans and Lentils")</f>
        <v>Beans and Lentils</v>
      </c>
      <c r="D1298">
        <f>IFERROR(__xludf.DUMMYFUNCTION("""COMPUTED_VALUE"""),78.0)</f>
        <v>78</v>
      </c>
      <c r="E1298">
        <f>IFERROR(__xludf.DUMMYFUNCTION("""COMPUTED_VALUE"""),4.17)</f>
        <v>4.17</v>
      </c>
      <c r="F1298">
        <f>IFERROR(__xludf.DUMMYFUNCTION("""COMPUTED_VALUE"""),9.04)</f>
        <v>9.04</v>
      </c>
      <c r="G1298">
        <f>IFERROR(__xludf.DUMMYFUNCTION("""COMPUTED_VALUE"""),2.85)</f>
        <v>2.85</v>
      </c>
    </row>
    <row r="1299">
      <c r="A1299">
        <f>IFERROR(__xludf.DUMMYFUNCTION("""COMPUTED_VALUE"""),172449.0)</f>
        <v>172449</v>
      </c>
      <c r="B1299" t="str">
        <f>IFERROR(__xludf.DUMMYFUNCTION("""COMPUTED_VALUE"""),"Soft Tofu")</f>
        <v>Soft Tofu</v>
      </c>
      <c r="C1299" t="str">
        <f>IFERROR(__xludf.DUMMYFUNCTION("""COMPUTED_VALUE"""),"Beans and Lentils")</f>
        <v>Beans and Lentils</v>
      </c>
      <c r="D1299">
        <f>IFERROR(__xludf.DUMMYFUNCTION("""COMPUTED_VALUE"""),61.0)</f>
        <v>61</v>
      </c>
      <c r="E1299">
        <f>IFERROR(__xludf.DUMMYFUNCTION("""COMPUTED_VALUE"""),3.69)</f>
        <v>3.69</v>
      </c>
      <c r="F1299">
        <f>IFERROR(__xludf.DUMMYFUNCTION("""COMPUTED_VALUE"""),7.17)</f>
        <v>7.17</v>
      </c>
      <c r="G1299">
        <f>IFERROR(__xludf.DUMMYFUNCTION("""COMPUTED_VALUE"""),1.18)</f>
        <v>1.18</v>
      </c>
    </row>
    <row r="1300">
      <c r="A1300">
        <f>IFERROR(__xludf.DUMMYFUNCTION("""COMPUTED_VALUE"""),172450.0)</f>
        <v>172450</v>
      </c>
      <c r="B1300" t="str">
        <f>IFERROR(__xludf.DUMMYFUNCTION("""COMPUTED_VALUE"""),"Tofu Dried-Frozen (Koyadofu)")</f>
        <v>Tofu Dried-Frozen (Koyadofu)</v>
      </c>
      <c r="C1300" t="str">
        <f>IFERROR(__xludf.DUMMYFUNCTION("""COMPUTED_VALUE"""),"Beans and Lentils")</f>
        <v>Beans and Lentils</v>
      </c>
      <c r="D1300">
        <f>IFERROR(__xludf.DUMMYFUNCTION("""COMPUTED_VALUE"""),477.0)</f>
        <v>477</v>
      </c>
      <c r="E1300">
        <f>IFERROR(__xludf.DUMMYFUNCTION("""COMPUTED_VALUE"""),30.34)</f>
        <v>30.34</v>
      </c>
      <c r="F1300">
        <f>IFERROR(__xludf.DUMMYFUNCTION("""COMPUTED_VALUE"""),52.47)</f>
        <v>52.47</v>
      </c>
      <c r="G1300">
        <f>IFERROR(__xludf.DUMMYFUNCTION("""COMPUTED_VALUE"""),10.03)</f>
        <v>10.03</v>
      </c>
    </row>
    <row r="1301">
      <c r="A1301">
        <f>IFERROR(__xludf.DUMMYFUNCTION("""COMPUTED_VALUE"""),172451.0)</f>
        <v>172451</v>
      </c>
      <c r="B1301" t="str">
        <f>IFERROR(__xludf.DUMMYFUNCTION("""COMPUTED_VALUE"""),"Tofu Fried")</f>
        <v>Tofu Fried</v>
      </c>
      <c r="C1301" t="str">
        <f>IFERROR(__xludf.DUMMYFUNCTION("""COMPUTED_VALUE"""),"Beans and Lentils")</f>
        <v>Beans and Lentils</v>
      </c>
      <c r="D1301">
        <f>IFERROR(__xludf.DUMMYFUNCTION("""COMPUTED_VALUE"""),270.0)</f>
        <v>270</v>
      </c>
      <c r="E1301">
        <f>IFERROR(__xludf.DUMMYFUNCTION("""COMPUTED_VALUE"""),20.18)</f>
        <v>20.18</v>
      </c>
      <c r="F1301">
        <f>IFERROR(__xludf.DUMMYFUNCTION("""COMPUTED_VALUE"""),18.82)</f>
        <v>18.82</v>
      </c>
      <c r="G1301">
        <f>IFERROR(__xludf.DUMMYFUNCTION("""COMPUTED_VALUE"""),8.86)</f>
        <v>8.86</v>
      </c>
    </row>
    <row r="1302">
      <c r="A1302">
        <f>IFERROR(__xludf.DUMMYFUNCTION("""COMPUTED_VALUE"""),172452.0)</f>
        <v>172452</v>
      </c>
      <c r="B1302" t="str">
        <f>IFERROR(__xludf.DUMMYFUNCTION("""COMPUTED_VALUE"""),"Okara")</f>
        <v>Okara</v>
      </c>
      <c r="C1302" t="str">
        <f>IFERROR(__xludf.DUMMYFUNCTION("""COMPUTED_VALUE"""),"Beans and Lentils")</f>
        <v>Beans and Lentils</v>
      </c>
      <c r="D1302">
        <f>IFERROR(__xludf.DUMMYFUNCTION("""COMPUTED_VALUE"""),76.0)</f>
        <v>76</v>
      </c>
      <c r="E1302">
        <f>IFERROR(__xludf.DUMMYFUNCTION("""COMPUTED_VALUE"""),1.73)</f>
        <v>1.73</v>
      </c>
      <c r="F1302">
        <f>IFERROR(__xludf.DUMMYFUNCTION("""COMPUTED_VALUE"""),3.52)</f>
        <v>3.52</v>
      </c>
      <c r="G1302">
        <f>IFERROR(__xludf.DUMMYFUNCTION("""COMPUTED_VALUE"""),12.23)</f>
        <v>12.23</v>
      </c>
    </row>
    <row r="1303">
      <c r="A1303">
        <f>IFERROR(__xludf.DUMMYFUNCTION("""COMPUTED_VALUE"""),172453.0)</f>
        <v>172453</v>
      </c>
      <c r="B1303" t="str">
        <f>IFERROR(__xludf.DUMMYFUNCTION("""COMPUTED_VALUE"""),"Winged Beans Mature Seeds Cooked Boiled Without Salt")</f>
        <v>Winged Beans Mature Seeds Cooked Boiled Without Salt</v>
      </c>
      <c r="C1303" t="str">
        <f>IFERROR(__xludf.DUMMYFUNCTION("""COMPUTED_VALUE"""),"Beans and Lentils")</f>
        <v>Beans and Lentils</v>
      </c>
      <c r="D1303">
        <f>IFERROR(__xludf.DUMMYFUNCTION("""COMPUTED_VALUE"""),147.0)</f>
        <v>147</v>
      </c>
      <c r="E1303">
        <f>IFERROR(__xludf.DUMMYFUNCTION("""COMPUTED_VALUE"""),5.84)</f>
        <v>5.84</v>
      </c>
      <c r="F1303">
        <f>IFERROR(__xludf.DUMMYFUNCTION("""COMPUTED_VALUE"""),10.62)</f>
        <v>10.62</v>
      </c>
      <c r="G1303">
        <f>IFERROR(__xludf.DUMMYFUNCTION("""COMPUTED_VALUE"""),14.94)</f>
        <v>14.94</v>
      </c>
    </row>
    <row r="1304">
      <c r="A1304">
        <f>IFERROR(__xludf.DUMMYFUNCTION("""COMPUTED_VALUE"""),172454.0)</f>
        <v>172454</v>
      </c>
      <c r="B1304" t="str">
        <f>IFERROR(__xludf.DUMMYFUNCTION("""COMPUTED_VALUE"""),"Hummus (Homemade)")</f>
        <v>Hummus (Homemade)</v>
      </c>
      <c r="C1304" t="str">
        <f>IFERROR(__xludf.DUMMYFUNCTION("""COMPUTED_VALUE"""),"Beans and Lentils")</f>
        <v>Beans and Lentils</v>
      </c>
      <c r="D1304">
        <f>IFERROR(__xludf.DUMMYFUNCTION("""COMPUTED_VALUE"""),177.0)</f>
        <v>177</v>
      </c>
      <c r="E1304">
        <f>IFERROR(__xludf.DUMMYFUNCTION("""COMPUTED_VALUE"""),8.59)</f>
        <v>8.59</v>
      </c>
      <c r="F1304">
        <f>IFERROR(__xludf.DUMMYFUNCTION("""COMPUTED_VALUE"""),4.86)</f>
        <v>4.86</v>
      </c>
      <c r="G1304">
        <f>IFERROR(__xludf.DUMMYFUNCTION("""COMPUTED_VALUE"""),20.12)</f>
        <v>20.12</v>
      </c>
    </row>
    <row r="1305">
      <c r="A1305">
        <f>IFERROR(__xludf.DUMMYFUNCTION("""COMPUTED_VALUE"""),172455.0)</f>
        <v>172455</v>
      </c>
      <c r="B1305" t="str">
        <f>IFERROR(__xludf.DUMMYFUNCTION("""COMPUTED_VALUE"""),"Falafel")</f>
        <v>Falafel</v>
      </c>
      <c r="C1305" t="str">
        <f>IFERROR(__xludf.DUMMYFUNCTION("""COMPUTED_VALUE"""),"Beans and Lentils")</f>
        <v>Beans and Lentils</v>
      </c>
      <c r="D1305">
        <f>IFERROR(__xludf.DUMMYFUNCTION("""COMPUTED_VALUE"""),333.0)</f>
        <v>333</v>
      </c>
      <c r="E1305">
        <f>IFERROR(__xludf.DUMMYFUNCTION("""COMPUTED_VALUE"""),17.8)</f>
        <v>17.8</v>
      </c>
      <c r="F1305">
        <f>IFERROR(__xludf.DUMMYFUNCTION("""COMPUTED_VALUE"""),13.31)</f>
        <v>13.31</v>
      </c>
      <c r="G1305">
        <f>IFERROR(__xludf.DUMMYFUNCTION("""COMPUTED_VALUE"""),31.84)</f>
        <v>31.84</v>
      </c>
    </row>
    <row r="1306">
      <c r="A1306">
        <f>IFERROR(__xludf.DUMMYFUNCTION("""COMPUTED_VALUE"""),172456.0)</f>
        <v>172456</v>
      </c>
      <c r="B1306" t="str">
        <f>IFERROR(__xludf.DUMMYFUNCTION("""COMPUTED_VALUE"""),"Soy Milk Original And Vanilla With Added Calcium Vitamins A And D")</f>
        <v>Soy Milk Original And Vanilla With Added Calcium Vitamins A And D</v>
      </c>
      <c r="C1306" t="str">
        <f>IFERROR(__xludf.DUMMYFUNCTION("""COMPUTED_VALUE"""),"Beans and Lentils")</f>
        <v>Beans and Lentils</v>
      </c>
      <c r="D1306">
        <f>IFERROR(__xludf.DUMMYFUNCTION("""COMPUTED_VALUE"""),43.0)</f>
        <v>43</v>
      </c>
      <c r="E1306">
        <f>IFERROR(__xludf.DUMMYFUNCTION("""COMPUTED_VALUE"""),1.47)</f>
        <v>1.47</v>
      </c>
      <c r="F1306">
        <f>IFERROR(__xludf.DUMMYFUNCTION("""COMPUTED_VALUE"""),2.6)</f>
        <v>2.6</v>
      </c>
      <c r="G1306">
        <f>IFERROR(__xludf.DUMMYFUNCTION("""COMPUTED_VALUE"""),4.92)</f>
        <v>4.92</v>
      </c>
    </row>
    <row r="1307">
      <c r="A1307">
        <f>IFERROR(__xludf.DUMMYFUNCTION("""COMPUTED_VALUE"""),172457.0)</f>
        <v>172457</v>
      </c>
      <c r="B1307" t="str">
        <f>IFERROR(__xludf.DUMMYFUNCTION("""COMPUTED_VALUE"""),"Peanut Spread Reduced Sugar")</f>
        <v>Peanut Spread Reduced Sugar</v>
      </c>
      <c r="C1307" t="str">
        <f>IFERROR(__xludf.DUMMYFUNCTION("""COMPUTED_VALUE"""),"Beans and Lentils")</f>
        <v>Beans and Lentils</v>
      </c>
      <c r="D1307">
        <f>IFERROR(__xludf.DUMMYFUNCTION("""COMPUTED_VALUE"""),650.0)</f>
        <v>650</v>
      </c>
      <c r="E1307">
        <f>IFERROR(__xludf.DUMMYFUNCTION("""COMPUTED_VALUE"""),54.89)</f>
        <v>54.89</v>
      </c>
      <c r="F1307">
        <f>IFERROR(__xludf.DUMMYFUNCTION("""COMPUTED_VALUE"""),24.8)</f>
        <v>24.8</v>
      </c>
      <c r="G1307">
        <f>IFERROR(__xludf.DUMMYFUNCTION("""COMPUTED_VALUE"""),14.23)</f>
        <v>14.23</v>
      </c>
    </row>
    <row r="1308">
      <c r="A1308">
        <f>IFERROR(__xludf.DUMMYFUNCTION("""COMPUTED_VALUE"""),172458.0)</f>
        <v>172458</v>
      </c>
      <c r="B1308" t="str">
        <f>IFERROR(__xludf.DUMMYFUNCTION("""COMPUTED_VALUE"""),"Peanut Butter Smooth Reduced Fat")</f>
        <v>Peanut Butter Smooth Reduced Fat</v>
      </c>
      <c r="C1308" t="str">
        <f>IFERROR(__xludf.DUMMYFUNCTION("""COMPUTED_VALUE"""),"Beans and Lentils")</f>
        <v>Beans and Lentils</v>
      </c>
      <c r="D1308">
        <f>IFERROR(__xludf.DUMMYFUNCTION("""COMPUTED_VALUE"""),520.0)</f>
        <v>520</v>
      </c>
      <c r="E1308">
        <f>IFERROR(__xludf.DUMMYFUNCTION("""COMPUTED_VALUE"""),34.0)</f>
        <v>34</v>
      </c>
      <c r="F1308">
        <f>IFERROR(__xludf.DUMMYFUNCTION("""COMPUTED_VALUE"""),25.9)</f>
        <v>25.9</v>
      </c>
      <c r="G1308">
        <f>IFERROR(__xludf.DUMMYFUNCTION("""COMPUTED_VALUE"""),35.65)</f>
        <v>35.65</v>
      </c>
    </row>
    <row r="1309">
      <c r="A1309">
        <f>IFERROR(__xludf.DUMMYFUNCTION("""COMPUTED_VALUE"""),172459.0)</f>
        <v>172459</v>
      </c>
      <c r="B1309" t="str">
        <f>IFERROR(__xludf.DUMMYFUNCTION("""COMPUTED_VALUE"""),"Peanut Butter Smooth Vitamin And Mineral Fortified")</f>
        <v>Peanut Butter Smooth Vitamin And Mineral Fortified</v>
      </c>
      <c r="C1309" t="str">
        <f>IFERROR(__xludf.DUMMYFUNCTION("""COMPUTED_VALUE"""),"Beans and Lentils")</f>
        <v>Beans and Lentils</v>
      </c>
      <c r="D1309">
        <f>IFERROR(__xludf.DUMMYFUNCTION("""COMPUTED_VALUE"""),591.0)</f>
        <v>591</v>
      </c>
      <c r="E1309">
        <f>IFERROR(__xludf.DUMMYFUNCTION("""COMPUTED_VALUE"""),50.81)</f>
        <v>50.81</v>
      </c>
      <c r="F1309">
        <f>IFERROR(__xludf.DUMMYFUNCTION("""COMPUTED_VALUE"""),25.72)</f>
        <v>25.72</v>
      </c>
      <c r="G1309">
        <f>IFERROR(__xludf.DUMMYFUNCTION("""COMPUTED_VALUE"""),18.75)</f>
        <v>18.75</v>
      </c>
    </row>
    <row r="1310">
      <c r="A1310">
        <f>IFERROR(__xludf.DUMMYFUNCTION("""COMPUTED_VALUE"""),172460.0)</f>
        <v>172460</v>
      </c>
      <c r="B1310" t="str">
        <f>IFERROR(__xludf.DUMMYFUNCTION("""COMPUTED_VALUE"""),"Peanut Butter Chunky Vitamin And Mineral Fortified")</f>
        <v>Peanut Butter Chunky Vitamin And Mineral Fortified</v>
      </c>
      <c r="C1310" t="str">
        <f>IFERROR(__xludf.DUMMYFUNCTION("""COMPUTED_VALUE"""),"Beans and Lentils")</f>
        <v>Beans and Lentils</v>
      </c>
      <c r="D1310">
        <f>IFERROR(__xludf.DUMMYFUNCTION("""COMPUTED_VALUE"""),593.0)</f>
        <v>593</v>
      </c>
      <c r="E1310">
        <f>IFERROR(__xludf.DUMMYFUNCTION("""COMPUTED_VALUE"""),51.47)</f>
        <v>51.47</v>
      </c>
      <c r="F1310">
        <f>IFERROR(__xludf.DUMMYFUNCTION("""COMPUTED_VALUE"""),26.06)</f>
        <v>26.06</v>
      </c>
      <c r="G1310">
        <f>IFERROR(__xludf.DUMMYFUNCTION("""COMPUTED_VALUE"""),17.69)</f>
        <v>17.69</v>
      </c>
    </row>
    <row r="1311">
      <c r="A1311">
        <f>IFERROR(__xludf.DUMMYFUNCTION("""COMPUTED_VALUE"""),172461.0)</f>
        <v>172461</v>
      </c>
      <c r="B1311" t="str">
        <f>IFERROR(__xludf.DUMMYFUNCTION("""COMPUTED_VALUE"""),"Mori-Nu Tofu Silken Firm")</f>
        <v>Mori-Nu Tofu Silken Firm</v>
      </c>
      <c r="C1311" t="str">
        <f>IFERROR(__xludf.DUMMYFUNCTION("""COMPUTED_VALUE"""),"Beans and Lentils")</f>
        <v>Beans and Lentils</v>
      </c>
      <c r="D1311">
        <f>IFERROR(__xludf.DUMMYFUNCTION("""COMPUTED_VALUE"""),62.0)</f>
        <v>62</v>
      </c>
      <c r="E1311">
        <f>IFERROR(__xludf.DUMMYFUNCTION("""COMPUTED_VALUE"""),2.7)</f>
        <v>2.7</v>
      </c>
      <c r="F1311">
        <f>IFERROR(__xludf.DUMMYFUNCTION("""COMPUTED_VALUE"""),6.9)</f>
        <v>6.9</v>
      </c>
      <c r="G1311">
        <f>IFERROR(__xludf.DUMMYFUNCTION("""COMPUTED_VALUE"""),2.4)</f>
        <v>2.4</v>
      </c>
    </row>
    <row r="1312">
      <c r="A1312">
        <f>IFERROR(__xludf.DUMMYFUNCTION("""COMPUTED_VALUE"""),172462.0)</f>
        <v>172462</v>
      </c>
      <c r="B1312" t="str">
        <f>IFERROR(__xludf.DUMMYFUNCTION("""COMPUTED_VALUE"""),"Mori-Nu Tofu Silken Extra Firm")</f>
        <v>Mori-Nu Tofu Silken Extra Firm</v>
      </c>
      <c r="C1312" t="str">
        <f>IFERROR(__xludf.DUMMYFUNCTION("""COMPUTED_VALUE"""),"Beans and Lentils")</f>
        <v>Beans and Lentils</v>
      </c>
      <c r="D1312">
        <f>IFERROR(__xludf.DUMMYFUNCTION("""COMPUTED_VALUE"""),55.0)</f>
        <v>55</v>
      </c>
      <c r="E1312">
        <f>IFERROR(__xludf.DUMMYFUNCTION("""COMPUTED_VALUE"""),1.9)</f>
        <v>1.9</v>
      </c>
      <c r="F1312">
        <f>IFERROR(__xludf.DUMMYFUNCTION("""COMPUTED_VALUE"""),7.4)</f>
        <v>7.4</v>
      </c>
      <c r="G1312">
        <f>IFERROR(__xludf.DUMMYFUNCTION("""COMPUTED_VALUE"""),2.0)</f>
        <v>2</v>
      </c>
    </row>
    <row r="1313">
      <c r="A1313">
        <f>IFERROR(__xludf.DUMMYFUNCTION("""COMPUTED_VALUE"""),172463.0)</f>
        <v>172463</v>
      </c>
      <c r="B1313" t="str">
        <f>IFERROR(__xludf.DUMMYFUNCTION("""COMPUTED_VALUE"""),"Mori-Nu Tofu Silken Lite Firm")</f>
        <v>Mori-Nu Tofu Silken Lite Firm</v>
      </c>
      <c r="C1313" t="str">
        <f>IFERROR(__xludf.DUMMYFUNCTION("""COMPUTED_VALUE"""),"Beans and Lentils")</f>
        <v>Beans and Lentils</v>
      </c>
      <c r="D1313">
        <f>IFERROR(__xludf.DUMMYFUNCTION("""COMPUTED_VALUE"""),37.0)</f>
        <v>37</v>
      </c>
      <c r="E1313">
        <f>IFERROR(__xludf.DUMMYFUNCTION("""COMPUTED_VALUE"""),0.8)</f>
        <v>0.8</v>
      </c>
      <c r="F1313">
        <f>IFERROR(__xludf.DUMMYFUNCTION("""COMPUTED_VALUE"""),6.3)</f>
        <v>6.3</v>
      </c>
      <c r="G1313">
        <f>IFERROR(__xludf.DUMMYFUNCTION("""COMPUTED_VALUE"""),1.1)</f>
        <v>1.1</v>
      </c>
    </row>
    <row r="1314">
      <c r="A1314">
        <f>IFERROR(__xludf.DUMMYFUNCTION("""COMPUTED_VALUE"""),172464.0)</f>
        <v>172464</v>
      </c>
      <c r="B1314" t="str">
        <f>IFERROR(__xludf.DUMMYFUNCTION("""COMPUTED_VALUE"""),"Mori-Nu Tofu Silken Lite Extra Firm")</f>
        <v>Mori-Nu Tofu Silken Lite Extra Firm</v>
      </c>
      <c r="C1314" t="str">
        <f>IFERROR(__xludf.DUMMYFUNCTION("""COMPUTED_VALUE"""),"Beans and Lentils")</f>
        <v>Beans and Lentils</v>
      </c>
      <c r="D1314">
        <f>IFERROR(__xludf.DUMMYFUNCTION("""COMPUTED_VALUE"""),38.0)</f>
        <v>38</v>
      </c>
      <c r="E1314">
        <f>IFERROR(__xludf.DUMMYFUNCTION("""COMPUTED_VALUE"""),0.7)</f>
        <v>0.7</v>
      </c>
      <c r="F1314">
        <f>IFERROR(__xludf.DUMMYFUNCTION("""COMPUTED_VALUE"""),7.0)</f>
        <v>7</v>
      </c>
      <c r="G1314">
        <f>IFERROR(__xludf.DUMMYFUNCTION("""COMPUTED_VALUE"""),1.0)</f>
        <v>1</v>
      </c>
    </row>
    <row r="1315">
      <c r="A1315">
        <f>IFERROR(__xludf.DUMMYFUNCTION("""COMPUTED_VALUE"""),172465.0)</f>
        <v>172465</v>
      </c>
      <c r="B1315" t="str">
        <f>IFERROR(__xludf.DUMMYFUNCTION("""COMPUTED_VALUE"""),"Refried Beans Canned Fat-Free")</f>
        <v>Refried Beans Canned Fat-Free</v>
      </c>
      <c r="C1315" t="str">
        <f>IFERROR(__xludf.DUMMYFUNCTION("""COMPUTED_VALUE"""),"Beans and Lentils")</f>
        <v>Beans and Lentils</v>
      </c>
      <c r="D1315">
        <f>IFERROR(__xludf.DUMMYFUNCTION("""COMPUTED_VALUE"""),79.0)</f>
        <v>79</v>
      </c>
      <c r="E1315">
        <f>IFERROR(__xludf.DUMMYFUNCTION("""COMPUTED_VALUE"""),0.45)</f>
        <v>0.45</v>
      </c>
      <c r="F1315">
        <f>IFERROR(__xludf.DUMMYFUNCTION("""COMPUTED_VALUE"""),5.34)</f>
        <v>5.34</v>
      </c>
      <c r="G1315">
        <f>IFERROR(__xludf.DUMMYFUNCTION("""COMPUTED_VALUE"""),13.5)</f>
        <v>13.5</v>
      </c>
    </row>
    <row r="1316">
      <c r="A1316">
        <f>IFERROR(__xludf.DUMMYFUNCTION("""COMPUTED_VALUE"""),172466.0)</f>
        <v>172466</v>
      </c>
      <c r="B1316" t="str">
        <f>IFERROR(__xludf.DUMMYFUNCTION("""COMPUTED_VALUE"""),"Frijoles Rojos Volteados (Refried Beans Red Canned)")</f>
        <v>Frijoles Rojos Volteados (Refried Beans Red Canned)</v>
      </c>
      <c r="C1316" t="str">
        <f>IFERROR(__xludf.DUMMYFUNCTION("""COMPUTED_VALUE"""),"Beans and Lentils")</f>
        <v>Beans and Lentils</v>
      </c>
      <c r="D1316">
        <f>IFERROR(__xludf.DUMMYFUNCTION("""COMPUTED_VALUE"""),144.0)</f>
        <v>144</v>
      </c>
      <c r="E1316">
        <f>IFERROR(__xludf.DUMMYFUNCTION("""COMPUTED_VALUE"""),6.93)</f>
        <v>6.93</v>
      </c>
      <c r="F1316">
        <f>IFERROR(__xludf.DUMMYFUNCTION("""COMPUTED_VALUE"""),5.0)</f>
        <v>5</v>
      </c>
      <c r="G1316">
        <f>IFERROR(__xludf.DUMMYFUNCTION("""COMPUTED_VALUE"""),15.47)</f>
        <v>15.47</v>
      </c>
    </row>
    <row r="1317">
      <c r="A1317">
        <f>IFERROR(__xludf.DUMMYFUNCTION("""COMPUTED_VALUE"""),172467.0)</f>
        <v>172467</v>
      </c>
      <c r="B1317" t="str">
        <f>IFERROR(__xludf.DUMMYFUNCTION("""COMPUTED_VALUE"""),"Tempeh Cooked")</f>
        <v>Tempeh Cooked</v>
      </c>
      <c r="C1317" t="str">
        <f>IFERROR(__xludf.DUMMYFUNCTION("""COMPUTED_VALUE"""),"Beans and Lentils")</f>
        <v>Beans and Lentils</v>
      </c>
      <c r="D1317">
        <f>IFERROR(__xludf.DUMMYFUNCTION("""COMPUTED_VALUE"""),195.0)</f>
        <v>195</v>
      </c>
      <c r="E1317">
        <f>IFERROR(__xludf.DUMMYFUNCTION("""COMPUTED_VALUE"""),11.38)</f>
        <v>11.38</v>
      </c>
      <c r="F1317">
        <f>IFERROR(__xludf.DUMMYFUNCTION("""COMPUTED_VALUE"""),19.91)</f>
        <v>19.91</v>
      </c>
      <c r="G1317">
        <f>IFERROR(__xludf.DUMMYFUNCTION("""COMPUTED_VALUE"""),7.62)</f>
        <v>7.62</v>
      </c>
    </row>
    <row r="1318">
      <c r="A1318">
        <f>IFERROR(__xludf.DUMMYFUNCTION("""COMPUTED_VALUE"""),172468.0)</f>
        <v>172468</v>
      </c>
      <c r="B1318" t="str">
        <f>IFERROR(__xludf.DUMMYFUNCTION("""COMPUTED_VALUE"""),"Vitasoy Usa Nasoya Lite Firm Tofu")</f>
        <v>Vitasoy Usa Nasoya Lite Firm Tofu</v>
      </c>
      <c r="C1318" t="str">
        <f>IFERROR(__xludf.DUMMYFUNCTION("""COMPUTED_VALUE"""),"Beans and Lentils")</f>
        <v>Beans and Lentils</v>
      </c>
      <c r="D1318">
        <f>IFERROR(__xludf.DUMMYFUNCTION("""COMPUTED_VALUE"""),54.0)</f>
        <v>54</v>
      </c>
      <c r="E1318">
        <f>IFERROR(__xludf.DUMMYFUNCTION("""COMPUTED_VALUE"""),1.7)</f>
        <v>1.7</v>
      </c>
      <c r="F1318">
        <f>IFERROR(__xludf.DUMMYFUNCTION("""COMPUTED_VALUE"""),8.3)</f>
        <v>8.3</v>
      </c>
      <c r="G1318">
        <f>IFERROR(__xludf.DUMMYFUNCTION("""COMPUTED_VALUE"""),1.3)</f>
        <v>1.3</v>
      </c>
    </row>
    <row r="1319">
      <c r="A1319">
        <f>IFERROR(__xludf.DUMMYFUNCTION("""COMPUTED_VALUE"""),172469.0)</f>
        <v>172469</v>
      </c>
      <c r="B1319" t="str">
        <f>IFERROR(__xludf.DUMMYFUNCTION("""COMPUTED_VALUE"""),"Peanut Butter (Chunk Style)")</f>
        <v>Peanut Butter (Chunk Style)</v>
      </c>
      <c r="C1319" t="str">
        <f>IFERROR(__xludf.DUMMYFUNCTION("""COMPUTED_VALUE"""),"Beans and Lentils")</f>
        <v>Beans and Lentils</v>
      </c>
      <c r="D1319">
        <f>IFERROR(__xludf.DUMMYFUNCTION("""COMPUTED_VALUE"""),589.0)</f>
        <v>589</v>
      </c>
      <c r="E1319">
        <f>IFERROR(__xludf.DUMMYFUNCTION("""COMPUTED_VALUE"""),49.94)</f>
        <v>49.94</v>
      </c>
      <c r="F1319">
        <f>IFERROR(__xludf.DUMMYFUNCTION("""COMPUTED_VALUE"""),24.06)</f>
        <v>24.06</v>
      </c>
      <c r="G1319">
        <f>IFERROR(__xludf.DUMMYFUNCTION("""COMPUTED_VALUE"""),21.57)</f>
        <v>21.57</v>
      </c>
    </row>
    <row r="1320">
      <c r="A1320">
        <f>IFERROR(__xludf.DUMMYFUNCTION("""COMPUTED_VALUE"""),172470.0)</f>
        <v>172470</v>
      </c>
      <c r="B1320" t="str">
        <f>IFERROR(__xludf.DUMMYFUNCTION("""COMPUTED_VALUE"""),"Unsalted Peanut Butter (Smooth)")</f>
        <v>Unsalted Peanut Butter (Smooth)</v>
      </c>
      <c r="C1320" t="str">
        <f>IFERROR(__xludf.DUMMYFUNCTION("""COMPUTED_VALUE"""),"Beans and Lentils")</f>
        <v>Beans and Lentils</v>
      </c>
      <c r="D1320">
        <f>IFERROR(__xludf.DUMMYFUNCTION("""COMPUTED_VALUE"""),598.0)</f>
        <v>598</v>
      </c>
      <c r="E1320">
        <f>IFERROR(__xludf.DUMMYFUNCTION("""COMPUTED_VALUE"""),51.36)</f>
        <v>51.36</v>
      </c>
      <c r="F1320">
        <f>IFERROR(__xludf.DUMMYFUNCTION("""COMPUTED_VALUE"""),22.21)</f>
        <v>22.21</v>
      </c>
      <c r="G1320">
        <f>IFERROR(__xludf.DUMMYFUNCTION("""COMPUTED_VALUE"""),22.31)</f>
        <v>22.31</v>
      </c>
    </row>
    <row r="1321">
      <c r="A1321">
        <f>IFERROR(__xludf.DUMMYFUNCTION("""COMPUTED_VALUE"""),172471.0)</f>
        <v>172471</v>
      </c>
      <c r="B1321" t="str">
        <f>IFERROR(__xludf.DUMMYFUNCTION("""COMPUTED_VALUE"""),"Peanut Butter With Omega-3 Creamy")</f>
        <v>Peanut Butter With Omega-3 Creamy</v>
      </c>
      <c r="C1321" t="str">
        <f>IFERROR(__xludf.DUMMYFUNCTION("""COMPUTED_VALUE"""),"Beans and Lentils")</f>
        <v>Beans and Lentils</v>
      </c>
      <c r="D1321">
        <f>IFERROR(__xludf.DUMMYFUNCTION("""COMPUTED_VALUE"""),608.0)</f>
        <v>608</v>
      </c>
      <c r="E1321">
        <f>IFERROR(__xludf.DUMMYFUNCTION("""COMPUTED_VALUE"""),54.17)</f>
        <v>54.17</v>
      </c>
      <c r="F1321">
        <f>IFERROR(__xludf.DUMMYFUNCTION("""COMPUTED_VALUE"""),24.47)</f>
        <v>24.47</v>
      </c>
      <c r="G1321">
        <f>IFERROR(__xludf.DUMMYFUNCTION("""COMPUTED_VALUE"""),17.0)</f>
        <v>17</v>
      </c>
    </row>
    <row r="1322">
      <c r="A1322">
        <f>IFERROR(__xludf.DUMMYFUNCTION("""COMPUTED_VALUE"""),172472.0)</f>
        <v>172472</v>
      </c>
      <c r="B1322" t="str">
        <f>IFERROR(__xludf.DUMMYFUNCTION("""COMPUTED_VALUE"""),"Pigeon Peas (Red Gram) Mature Seeds Cooked Boiled With Salt")</f>
        <v>Pigeon Peas (Red Gram) Mature Seeds Cooked Boiled With Salt</v>
      </c>
      <c r="C1322" t="str">
        <f>IFERROR(__xludf.DUMMYFUNCTION("""COMPUTED_VALUE"""),"Beans and Lentils")</f>
        <v>Beans and Lentils</v>
      </c>
      <c r="D1322">
        <f>IFERROR(__xludf.DUMMYFUNCTION("""COMPUTED_VALUE"""),121.0)</f>
        <v>121</v>
      </c>
      <c r="E1322">
        <f>IFERROR(__xludf.DUMMYFUNCTION("""COMPUTED_VALUE"""),0.38)</f>
        <v>0.38</v>
      </c>
      <c r="F1322">
        <f>IFERROR(__xludf.DUMMYFUNCTION("""COMPUTED_VALUE"""),6.76)</f>
        <v>6.76</v>
      </c>
      <c r="G1322">
        <f>IFERROR(__xludf.DUMMYFUNCTION("""COMPUTED_VALUE"""),23.25)</f>
        <v>23.25</v>
      </c>
    </row>
    <row r="1323">
      <c r="A1323">
        <f>IFERROR(__xludf.DUMMYFUNCTION("""COMPUTED_VALUE"""),172473.0)</f>
        <v>172473</v>
      </c>
      <c r="B1323" t="str">
        <f>IFERROR(__xludf.DUMMYFUNCTION("""COMPUTED_VALUE"""),"Soy Sauce Made From Soy And Wheat (Shoyu) Low Sodium")</f>
        <v>Soy Sauce Made From Soy And Wheat (Shoyu) Low Sodium</v>
      </c>
      <c r="C1323" t="str">
        <f>IFERROR(__xludf.DUMMYFUNCTION("""COMPUTED_VALUE"""),"Beans and Lentils")</f>
        <v>Beans and Lentils</v>
      </c>
      <c r="D1323">
        <f>IFERROR(__xludf.DUMMYFUNCTION("""COMPUTED_VALUE"""),57.0)</f>
        <v>57</v>
      </c>
      <c r="E1323">
        <f>IFERROR(__xludf.DUMMYFUNCTION("""COMPUTED_VALUE"""),0.3)</f>
        <v>0.3</v>
      </c>
      <c r="F1323">
        <f>IFERROR(__xludf.DUMMYFUNCTION("""COMPUTED_VALUE"""),9.05)</f>
        <v>9.05</v>
      </c>
      <c r="G1323">
        <f>IFERROR(__xludf.DUMMYFUNCTION("""COMPUTED_VALUE"""),5.59)</f>
        <v>5.59</v>
      </c>
    </row>
    <row r="1324">
      <c r="A1324">
        <f>IFERROR(__xludf.DUMMYFUNCTION("""COMPUTED_VALUE"""),172474.0)</f>
        <v>172474</v>
      </c>
      <c r="B1324" t="str">
        <f>IFERROR(__xludf.DUMMYFUNCTION("""COMPUTED_VALUE"""),"Soy Sauce Reduced Sodium Made From Hydrolyzed Vegetable Protein")</f>
        <v>Soy Sauce Reduced Sodium Made From Hydrolyzed Vegetable Protein</v>
      </c>
      <c r="C1324" t="str">
        <f>IFERROR(__xludf.DUMMYFUNCTION("""COMPUTED_VALUE"""),"Beans and Lentils")</f>
        <v>Beans and Lentils</v>
      </c>
      <c r="D1324">
        <f>IFERROR(__xludf.DUMMYFUNCTION("""COMPUTED_VALUE"""),90.0)</f>
        <v>90</v>
      </c>
      <c r="E1324">
        <f>IFERROR(__xludf.DUMMYFUNCTION("""COMPUTED_VALUE"""),0.31)</f>
        <v>0.31</v>
      </c>
      <c r="F1324">
        <f>IFERROR(__xludf.DUMMYFUNCTION("""COMPUTED_VALUE"""),8.19)</f>
        <v>8.19</v>
      </c>
      <c r="G1324">
        <f>IFERROR(__xludf.DUMMYFUNCTION("""COMPUTED_VALUE"""),14.44)</f>
        <v>14.44</v>
      </c>
    </row>
    <row r="1325">
      <c r="A1325">
        <f>IFERROR(__xludf.DUMMYFUNCTION("""COMPUTED_VALUE"""),172475.0)</f>
        <v>172475</v>
      </c>
      <c r="B1325" t="str">
        <f>IFERROR(__xludf.DUMMYFUNCTION("""COMPUTED_VALUE"""),"Firm Tofu")</f>
        <v>Firm Tofu</v>
      </c>
      <c r="C1325" t="str">
        <f>IFERROR(__xludf.DUMMYFUNCTION("""COMPUTED_VALUE"""),"Beans and Lentils")</f>
        <v>Beans and Lentils</v>
      </c>
      <c r="D1325">
        <f>IFERROR(__xludf.DUMMYFUNCTION("""COMPUTED_VALUE"""),144.0)</f>
        <v>144</v>
      </c>
      <c r="E1325">
        <f>IFERROR(__xludf.DUMMYFUNCTION("""COMPUTED_VALUE"""),8.72)</f>
        <v>8.72</v>
      </c>
      <c r="F1325">
        <f>IFERROR(__xludf.DUMMYFUNCTION("""COMPUTED_VALUE"""),17.27)</f>
        <v>17.27</v>
      </c>
      <c r="G1325">
        <f>IFERROR(__xludf.DUMMYFUNCTION("""COMPUTED_VALUE"""),2.78)</f>
        <v>2.78</v>
      </c>
    </row>
    <row r="1326">
      <c r="A1326">
        <f>IFERROR(__xludf.DUMMYFUNCTION("""COMPUTED_VALUE"""),172476.0)</f>
        <v>172476</v>
      </c>
      <c r="B1326" t="str">
        <f>IFERROR(__xludf.DUMMYFUNCTION("""COMPUTED_VALUE"""),"Tofu Prepared With Calcium")</f>
        <v>Tofu Prepared With Calcium</v>
      </c>
      <c r="C1326" t="str">
        <f>IFERROR(__xludf.DUMMYFUNCTION("""COMPUTED_VALUE"""),"Beans and Lentils")</f>
        <v>Beans and Lentils</v>
      </c>
      <c r="D1326">
        <f>IFERROR(__xludf.DUMMYFUNCTION("""COMPUTED_VALUE"""),76.0)</f>
        <v>76</v>
      </c>
      <c r="E1326">
        <f>IFERROR(__xludf.DUMMYFUNCTION("""COMPUTED_VALUE"""),4.78)</f>
        <v>4.78</v>
      </c>
      <c r="F1326">
        <f>IFERROR(__xludf.DUMMYFUNCTION("""COMPUTED_VALUE"""),8.08)</f>
        <v>8.08</v>
      </c>
      <c r="G1326">
        <f>IFERROR(__xludf.DUMMYFUNCTION("""COMPUTED_VALUE"""),1.87)</f>
        <v>1.87</v>
      </c>
    </row>
    <row r="1327">
      <c r="A1327">
        <f>IFERROR(__xludf.DUMMYFUNCTION("""COMPUTED_VALUE"""),172477.0)</f>
        <v>172477</v>
      </c>
      <c r="B1327" t="str">
        <f>IFERROR(__xludf.DUMMYFUNCTION("""COMPUTED_VALUE"""),"Winged Beans Mature Seeds Cooked Boiled With Salt")</f>
        <v>Winged Beans Mature Seeds Cooked Boiled With Salt</v>
      </c>
      <c r="C1327" t="str">
        <f>IFERROR(__xludf.DUMMYFUNCTION("""COMPUTED_VALUE"""),"Beans and Lentils")</f>
        <v>Beans and Lentils</v>
      </c>
      <c r="D1327">
        <f>IFERROR(__xludf.DUMMYFUNCTION("""COMPUTED_VALUE"""),147.0)</f>
        <v>147</v>
      </c>
      <c r="E1327">
        <f>IFERROR(__xludf.DUMMYFUNCTION("""COMPUTED_VALUE"""),5.84)</f>
        <v>5.84</v>
      </c>
      <c r="F1327">
        <f>IFERROR(__xludf.DUMMYFUNCTION("""COMPUTED_VALUE"""),10.62)</f>
        <v>10.62</v>
      </c>
      <c r="G1327">
        <f>IFERROR(__xludf.DUMMYFUNCTION("""COMPUTED_VALUE"""),14.94)</f>
        <v>14.94</v>
      </c>
    </row>
    <row r="1328">
      <c r="A1328">
        <f>IFERROR(__xludf.DUMMYFUNCTION("""COMPUTED_VALUE"""),173021.0)</f>
        <v>173021</v>
      </c>
      <c r="B1328" t="str">
        <f>IFERROR(__xludf.DUMMYFUNCTION("""COMPUTED_VALUE"""),"Figs")</f>
        <v>Figs</v>
      </c>
      <c r="C1328" t="str">
        <f>IFERROR(__xludf.DUMMYFUNCTION("""COMPUTED_VALUE"""),"Fruits")</f>
        <v>Fruits</v>
      </c>
      <c r="D1328">
        <f>IFERROR(__xludf.DUMMYFUNCTION("""COMPUTED_VALUE"""),74.0)</f>
        <v>74</v>
      </c>
      <c r="E1328">
        <f>IFERROR(__xludf.DUMMYFUNCTION("""COMPUTED_VALUE"""),0.3)</f>
        <v>0.3</v>
      </c>
      <c r="F1328">
        <f>IFERROR(__xludf.DUMMYFUNCTION("""COMPUTED_VALUE"""),0.75)</f>
        <v>0.75</v>
      </c>
      <c r="G1328">
        <f>IFERROR(__xludf.DUMMYFUNCTION("""COMPUTED_VALUE"""),19.18)</f>
        <v>19.18</v>
      </c>
    </row>
    <row r="1329">
      <c r="A1329">
        <f>IFERROR(__xludf.DUMMYFUNCTION("""COMPUTED_VALUE"""),173022.0)</f>
        <v>173022</v>
      </c>
      <c r="B1329" t="str">
        <f>IFERROR(__xludf.DUMMYFUNCTION("""COMPUTED_VALUE"""),"Figs Canned Water Pack Solids And Liquids")</f>
        <v>Figs Canned Water Pack Solids And Liquids</v>
      </c>
      <c r="C1329" t="str">
        <f>IFERROR(__xludf.DUMMYFUNCTION("""COMPUTED_VALUE"""),"Fruits")</f>
        <v>Fruits</v>
      </c>
      <c r="D1329">
        <f>IFERROR(__xludf.DUMMYFUNCTION("""COMPUTED_VALUE"""),53.0)</f>
        <v>53</v>
      </c>
      <c r="E1329">
        <f>IFERROR(__xludf.DUMMYFUNCTION("""COMPUTED_VALUE"""),0.1)</f>
        <v>0.1</v>
      </c>
      <c r="F1329">
        <f>IFERROR(__xludf.DUMMYFUNCTION("""COMPUTED_VALUE"""),0.4)</f>
        <v>0.4</v>
      </c>
      <c r="G1329">
        <f>IFERROR(__xludf.DUMMYFUNCTION("""COMPUTED_VALUE"""),13.99)</f>
        <v>13.99</v>
      </c>
    </row>
    <row r="1330">
      <c r="A1330">
        <f>IFERROR(__xludf.DUMMYFUNCTION("""COMPUTED_VALUE"""),173023.0)</f>
        <v>173023</v>
      </c>
      <c r="B1330" t="str">
        <f>IFERROR(__xludf.DUMMYFUNCTION("""COMPUTED_VALUE"""),"Figs Canned Light Syrup Pack Solids And Liquids")</f>
        <v>Figs Canned Light Syrup Pack Solids And Liquids</v>
      </c>
      <c r="C1330" t="str">
        <f>IFERROR(__xludf.DUMMYFUNCTION("""COMPUTED_VALUE"""),"Fruits")</f>
        <v>Fruits</v>
      </c>
      <c r="D1330">
        <f>IFERROR(__xludf.DUMMYFUNCTION("""COMPUTED_VALUE"""),69.0)</f>
        <v>69</v>
      </c>
      <c r="E1330">
        <f>IFERROR(__xludf.DUMMYFUNCTION("""COMPUTED_VALUE"""),0.1)</f>
        <v>0.1</v>
      </c>
      <c r="F1330">
        <f>IFERROR(__xludf.DUMMYFUNCTION("""COMPUTED_VALUE"""),0.39)</f>
        <v>0.39</v>
      </c>
      <c r="G1330">
        <f>IFERROR(__xludf.DUMMYFUNCTION("""COMPUTED_VALUE"""),17.95)</f>
        <v>17.95</v>
      </c>
    </row>
    <row r="1331">
      <c r="A1331">
        <f>IFERROR(__xludf.DUMMYFUNCTION("""COMPUTED_VALUE"""),173024.0)</f>
        <v>173024</v>
      </c>
      <c r="B1331" t="str">
        <f>IFERROR(__xludf.DUMMYFUNCTION("""COMPUTED_VALUE"""),"Figs Canned Heavy Syrup Pack Solids And Liquids")</f>
        <v>Figs Canned Heavy Syrup Pack Solids And Liquids</v>
      </c>
      <c r="C1331" t="str">
        <f>IFERROR(__xludf.DUMMYFUNCTION("""COMPUTED_VALUE"""),"Fruits")</f>
        <v>Fruits</v>
      </c>
      <c r="D1331">
        <f>IFERROR(__xludf.DUMMYFUNCTION("""COMPUTED_VALUE"""),88.0)</f>
        <v>88</v>
      </c>
      <c r="E1331">
        <f>IFERROR(__xludf.DUMMYFUNCTION("""COMPUTED_VALUE"""),0.1)</f>
        <v>0.1</v>
      </c>
      <c r="F1331">
        <f>IFERROR(__xludf.DUMMYFUNCTION("""COMPUTED_VALUE"""),0.38)</f>
        <v>0.38</v>
      </c>
      <c r="G1331">
        <f>IFERROR(__xludf.DUMMYFUNCTION("""COMPUTED_VALUE"""),22.9)</f>
        <v>22.9</v>
      </c>
    </row>
    <row r="1332">
      <c r="A1332">
        <f>IFERROR(__xludf.DUMMYFUNCTION("""COMPUTED_VALUE"""),173025.0)</f>
        <v>173025</v>
      </c>
      <c r="B1332" t="str">
        <f>IFERROR(__xludf.DUMMYFUNCTION("""COMPUTED_VALUE"""),"Figs Canned Extra Heavy Syrup Pack Solids And Liquids")</f>
        <v>Figs Canned Extra Heavy Syrup Pack Solids And Liquids</v>
      </c>
      <c r="C1332" t="str">
        <f>IFERROR(__xludf.DUMMYFUNCTION("""COMPUTED_VALUE"""),"Fruits")</f>
        <v>Fruits</v>
      </c>
      <c r="D1332">
        <f>IFERROR(__xludf.DUMMYFUNCTION("""COMPUTED_VALUE"""),107.0)</f>
        <v>107</v>
      </c>
      <c r="E1332">
        <f>IFERROR(__xludf.DUMMYFUNCTION("""COMPUTED_VALUE"""),0.1)</f>
        <v>0.1</v>
      </c>
      <c r="F1332">
        <f>IFERROR(__xludf.DUMMYFUNCTION("""COMPUTED_VALUE"""),0.38)</f>
        <v>0.38</v>
      </c>
      <c r="G1332">
        <f>IFERROR(__xludf.DUMMYFUNCTION("""COMPUTED_VALUE"""),27.86)</f>
        <v>27.86</v>
      </c>
    </row>
    <row r="1333">
      <c r="A1333">
        <f>IFERROR(__xludf.DUMMYFUNCTION("""COMPUTED_VALUE"""),173026.0)</f>
        <v>173026</v>
      </c>
      <c r="B1333" t="str">
        <f>IFERROR(__xludf.DUMMYFUNCTION("""COMPUTED_VALUE"""),"Fruit Cocktail (Peach And Pineapple And Pear And Grape And Cherry) Canned Extra Light Syrup Solids And Liquids")</f>
        <v>Fruit Cocktail (Peach And Pineapple And Pear And Grape And Cherry) Canned Extra Light Syrup Solids And Liquids</v>
      </c>
      <c r="C1333" t="str">
        <f>IFERROR(__xludf.DUMMYFUNCTION("""COMPUTED_VALUE"""),"Fruits")</f>
        <v>Fruits</v>
      </c>
      <c r="D1333">
        <f>IFERROR(__xludf.DUMMYFUNCTION("""COMPUTED_VALUE"""),45.0)</f>
        <v>45</v>
      </c>
      <c r="E1333">
        <f>IFERROR(__xludf.DUMMYFUNCTION("""COMPUTED_VALUE"""),0.07)</f>
        <v>0.07</v>
      </c>
      <c r="F1333">
        <f>IFERROR(__xludf.DUMMYFUNCTION("""COMPUTED_VALUE"""),0.4)</f>
        <v>0.4</v>
      </c>
      <c r="G1333">
        <f>IFERROR(__xludf.DUMMYFUNCTION("""COMPUTED_VALUE"""),11.63)</f>
        <v>11.63</v>
      </c>
    </row>
    <row r="1334">
      <c r="A1334">
        <f>IFERROR(__xludf.DUMMYFUNCTION("""COMPUTED_VALUE"""),173027.0)</f>
        <v>173027</v>
      </c>
      <c r="B1334" t="str">
        <f>IFERROR(__xludf.DUMMYFUNCTION("""COMPUTED_VALUE"""),"Fruit Cocktail (Peach And Pineapple And Pear And Grape And Cherry) Canned Light Syrup Solids And Liquids")</f>
        <v>Fruit Cocktail (Peach And Pineapple And Pear And Grape And Cherry) Canned Light Syrup Solids And Liquids</v>
      </c>
      <c r="C1334" t="str">
        <f>IFERROR(__xludf.DUMMYFUNCTION("""COMPUTED_VALUE"""),"Fruits")</f>
        <v>Fruits</v>
      </c>
      <c r="D1334">
        <f>IFERROR(__xludf.DUMMYFUNCTION("""COMPUTED_VALUE"""),57.0)</f>
        <v>57</v>
      </c>
      <c r="E1334">
        <f>IFERROR(__xludf.DUMMYFUNCTION("""COMPUTED_VALUE"""),0.07)</f>
        <v>0.07</v>
      </c>
      <c r="F1334">
        <f>IFERROR(__xludf.DUMMYFUNCTION("""COMPUTED_VALUE"""),0.4)</f>
        <v>0.4</v>
      </c>
      <c r="G1334">
        <f>IFERROR(__xludf.DUMMYFUNCTION("""COMPUTED_VALUE"""),14.93)</f>
        <v>14.93</v>
      </c>
    </row>
    <row r="1335">
      <c r="A1335">
        <f>IFERROR(__xludf.DUMMYFUNCTION("""COMPUTED_VALUE"""),173028.0)</f>
        <v>173028</v>
      </c>
      <c r="B1335" t="str">
        <f>IFERROR(__xludf.DUMMYFUNCTION("""COMPUTED_VALUE"""),"Fruit Cocktail (Peach And Pineapple And Pear And Grape And Cherry) Canned Heavy Syrup Solids And Liquids")</f>
        <v>Fruit Cocktail (Peach And Pineapple And Pear And Grape And Cherry) Canned Heavy Syrup Solids And Liquids</v>
      </c>
      <c r="C1335" t="str">
        <f>IFERROR(__xludf.DUMMYFUNCTION("""COMPUTED_VALUE"""),"Fruits")</f>
        <v>Fruits</v>
      </c>
      <c r="D1335">
        <f>IFERROR(__xludf.DUMMYFUNCTION("""COMPUTED_VALUE"""),73.0)</f>
        <v>73</v>
      </c>
      <c r="E1335">
        <f>IFERROR(__xludf.DUMMYFUNCTION("""COMPUTED_VALUE"""),0.07)</f>
        <v>0.07</v>
      </c>
      <c r="F1335">
        <f>IFERROR(__xludf.DUMMYFUNCTION("""COMPUTED_VALUE"""),0.39)</f>
        <v>0.39</v>
      </c>
      <c r="G1335">
        <f>IFERROR(__xludf.DUMMYFUNCTION("""COMPUTED_VALUE"""),18.91)</f>
        <v>18.91</v>
      </c>
    </row>
    <row r="1336">
      <c r="A1336">
        <f>IFERROR(__xludf.DUMMYFUNCTION("""COMPUTED_VALUE"""),173029.0)</f>
        <v>173029</v>
      </c>
      <c r="B1336" t="str">
        <f>IFERROR(__xludf.DUMMYFUNCTION("""COMPUTED_VALUE"""),"Fruit Cocktail (Peach And Pineapple And Pear And Grape And Cherry) Canned Extra Heavy Syrup Solids And Liquids")</f>
        <v>Fruit Cocktail (Peach And Pineapple And Pear And Grape And Cherry) Canned Extra Heavy Syrup Solids And Liquids</v>
      </c>
      <c r="C1336" t="str">
        <f>IFERROR(__xludf.DUMMYFUNCTION("""COMPUTED_VALUE"""),"Fruits")</f>
        <v>Fruits</v>
      </c>
      <c r="D1336">
        <f>IFERROR(__xludf.DUMMYFUNCTION("""COMPUTED_VALUE"""),88.0)</f>
        <v>88</v>
      </c>
      <c r="E1336">
        <f>IFERROR(__xludf.DUMMYFUNCTION("""COMPUTED_VALUE"""),0.07)</f>
        <v>0.07</v>
      </c>
      <c r="F1336">
        <f>IFERROR(__xludf.DUMMYFUNCTION("""COMPUTED_VALUE"""),0.39)</f>
        <v>0.39</v>
      </c>
      <c r="G1336">
        <f>IFERROR(__xludf.DUMMYFUNCTION("""COMPUTED_VALUE"""),22.89)</f>
        <v>22.89</v>
      </c>
    </row>
    <row r="1337">
      <c r="A1337">
        <f>IFERROR(__xludf.DUMMYFUNCTION("""COMPUTED_VALUE"""),173030.0)</f>
        <v>173030</v>
      </c>
      <c r="B1337" t="str">
        <f>IFERROR(__xludf.DUMMYFUNCTION("""COMPUTED_VALUE"""),"Gooseberries")</f>
        <v>Gooseberries</v>
      </c>
      <c r="C1337" t="str">
        <f>IFERROR(__xludf.DUMMYFUNCTION("""COMPUTED_VALUE"""),"Fruits")</f>
        <v>Fruits</v>
      </c>
      <c r="D1337">
        <f>IFERROR(__xludf.DUMMYFUNCTION("""COMPUTED_VALUE"""),44.0)</f>
        <v>44</v>
      </c>
      <c r="E1337">
        <f>IFERROR(__xludf.DUMMYFUNCTION("""COMPUTED_VALUE"""),0.58)</f>
        <v>0.58</v>
      </c>
      <c r="F1337">
        <f>IFERROR(__xludf.DUMMYFUNCTION("""COMPUTED_VALUE"""),0.88)</f>
        <v>0.88</v>
      </c>
      <c r="G1337">
        <f>IFERROR(__xludf.DUMMYFUNCTION("""COMPUTED_VALUE"""),10.18)</f>
        <v>10.18</v>
      </c>
    </row>
    <row r="1338">
      <c r="A1338">
        <f>IFERROR(__xludf.DUMMYFUNCTION("""COMPUTED_VALUE"""),173031.0)</f>
        <v>173031</v>
      </c>
      <c r="B1338" t="str">
        <f>IFERROR(__xludf.DUMMYFUNCTION("""COMPUTED_VALUE"""),"Gooseberries Canned Light Syrup Pack Solids And Liquids")</f>
        <v>Gooseberries Canned Light Syrup Pack Solids And Liquids</v>
      </c>
      <c r="C1338" t="str">
        <f>IFERROR(__xludf.DUMMYFUNCTION("""COMPUTED_VALUE"""),"Fruits")</f>
        <v>Fruits</v>
      </c>
      <c r="D1338">
        <f>IFERROR(__xludf.DUMMYFUNCTION("""COMPUTED_VALUE"""),73.0)</f>
        <v>73</v>
      </c>
      <c r="E1338">
        <f>IFERROR(__xludf.DUMMYFUNCTION("""COMPUTED_VALUE"""),0.2)</f>
        <v>0.2</v>
      </c>
      <c r="F1338">
        <f>IFERROR(__xludf.DUMMYFUNCTION("""COMPUTED_VALUE"""),0.65)</f>
        <v>0.65</v>
      </c>
      <c r="G1338">
        <f>IFERROR(__xludf.DUMMYFUNCTION("""COMPUTED_VALUE"""),18.75)</f>
        <v>18.75</v>
      </c>
    </row>
    <row r="1339">
      <c r="A1339">
        <f>IFERROR(__xludf.DUMMYFUNCTION("""COMPUTED_VALUE"""),173032.0)</f>
        <v>173032</v>
      </c>
      <c r="B1339" t="str">
        <f>IFERROR(__xludf.DUMMYFUNCTION("""COMPUTED_VALUE"""),"Goji Berries Dried")</f>
        <v>Goji Berries Dried</v>
      </c>
      <c r="C1339" t="str">
        <f>IFERROR(__xludf.DUMMYFUNCTION("""COMPUTED_VALUE"""),"Fruits")</f>
        <v>Fruits</v>
      </c>
      <c r="D1339">
        <f>IFERROR(__xludf.DUMMYFUNCTION("""COMPUTED_VALUE"""),349.0)</f>
        <v>349</v>
      </c>
      <c r="E1339">
        <f>IFERROR(__xludf.DUMMYFUNCTION("""COMPUTED_VALUE"""),0.39)</f>
        <v>0.39</v>
      </c>
      <c r="F1339">
        <f>IFERROR(__xludf.DUMMYFUNCTION("""COMPUTED_VALUE"""),14.26)</f>
        <v>14.26</v>
      </c>
      <c r="G1339">
        <f>IFERROR(__xludf.DUMMYFUNCTION("""COMPUTED_VALUE"""),77.06)</f>
        <v>77.06</v>
      </c>
    </row>
    <row r="1340">
      <c r="A1340">
        <f>IFERROR(__xludf.DUMMYFUNCTION("""COMPUTED_VALUE"""),173033.0)</f>
        <v>173033</v>
      </c>
      <c r="B1340" t="str">
        <f>IFERROR(__xludf.DUMMYFUNCTION("""COMPUTED_VALUE"""),"Grapefruit")</f>
        <v>Grapefruit</v>
      </c>
      <c r="C1340" t="str">
        <f>IFERROR(__xludf.DUMMYFUNCTION("""COMPUTED_VALUE"""),"Fruits")</f>
        <v>Fruits</v>
      </c>
      <c r="D1340">
        <f>IFERROR(__xludf.DUMMYFUNCTION("""COMPUTED_VALUE"""),32.0)</f>
        <v>32</v>
      </c>
      <c r="E1340">
        <f>IFERROR(__xludf.DUMMYFUNCTION("""COMPUTED_VALUE"""),0.1)</f>
        <v>0.1</v>
      </c>
      <c r="F1340">
        <f>IFERROR(__xludf.DUMMYFUNCTION("""COMPUTED_VALUE"""),0.63)</f>
        <v>0.63</v>
      </c>
      <c r="G1340">
        <f>IFERROR(__xludf.DUMMYFUNCTION("""COMPUTED_VALUE"""),8.08)</f>
        <v>8.08</v>
      </c>
    </row>
    <row r="1341">
      <c r="A1341">
        <f>IFERROR(__xludf.DUMMYFUNCTION("""COMPUTED_VALUE"""),173034.0)</f>
        <v>173034</v>
      </c>
      <c r="B1341" t="str">
        <f>IFERROR(__xludf.DUMMYFUNCTION("""COMPUTED_VALUE"""),"White Florida Grapefruit")</f>
        <v>White Florida Grapefruit</v>
      </c>
      <c r="C1341" t="str">
        <f>IFERROR(__xludf.DUMMYFUNCTION("""COMPUTED_VALUE"""),"Fruits")</f>
        <v>Fruits</v>
      </c>
      <c r="D1341">
        <f>IFERROR(__xludf.DUMMYFUNCTION("""COMPUTED_VALUE"""),32.0)</f>
        <v>32</v>
      </c>
      <c r="E1341">
        <f>IFERROR(__xludf.DUMMYFUNCTION("""COMPUTED_VALUE"""),0.1)</f>
        <v>0.1</v>
      </c>
      <c r="F1341">
        <f>IFERROR(__xludf.DUMMYFUNCTION("""COMPUTED_VALUE"""),0.63)</f>
        <v>0.63</v>
      </c>
      <c r="G1341">
        <f>IFERROR(__xludf.DUMMYFUNCTION("""COMPUTED_VALUE"""),8.19)</f>
        <v>8.19</v>
      </c>
    </row>
    <row r="1342">
      <c r="A1342">
        <f>IFERROR(__xludf.DUMMYFUNCTION("""COMPUTED_VALUE"""),173035.0)</f>
        <v>173035</v>
      </c>
      <c r="B1342" t="str">
        <f>IFERROR(__xludf.DUMMYFUNCTION("""COMPUTED_VALUE"""),"Grapefruit Sections Canned Water Pack Solids And Liquids")</f>
        <v>Grapefruit Sections Canned Water Pack Solids And Liquids</v>
      </c>
      <c r="C1342" t="str">
        <f>IFERROR(__xludf.DUMMYFUNCTION("""COMPUTED_VALUE"""),"Fruits")</f>
        <v>Fruits</v>
      </c>
      <c r="D1342">
        <f>IFERROR(__xludf.DUMMYFUNCTION("""COMPUTED_VALUE"""),36.0)</f>
        <v>36</v>
      </c>
      <c r="E1342">
        <f>IFERROR(__xludf.DUMMYFUNCTION("""COMPUTED_VALUE"""),0.1)</f>
        <v>0.1</v>
      </c>
      <c r="F1342">
        <f>IFERROR(__xludf.DUMMYFUNCTION("""COMPUTED_VALUE"""),0.58)</f>
        <v>0.58</v>
      </c>
      <c r="G1342">
        <f>IFERROR(__xludf.DUMMYFUNCTION("""COMPUTED_VALUE"""),9.15)</f>
        <v>9.15</v>
      </c>
    </row>
    <row r="1343">
      <c r="A1343">
        <f>IFERROR(__xludf.DUMMYFUNCTION("""COMPUTED_VALUE"""),173036.0)</f>
        <v>173036</v>
      </c>
      <c r="B1343" t="str">
        <f>IFERROR(__xludf.DUMMYFUNCTION("""COMPUTED_VALUE"""),"Grapefruit Sections Canned Juice Pack Solids And Liquids")</f>
        <v>Grapefruit Sections Canned Juice Pack Solids And Liquids</v>
      </c>
      <c r="C1343" t="str">
        <f>IFERROR(__xludf.DUMMYFUNCTION("""COMPUTED_VALUE"""),"Fruits")</f>
        <v>Fruits</v>
      </c>
      <c r="D1343">
        <f>IFERROR(__xludf.DUMMYFUNCTION("""COMPUTED_VALUE"""),37.0)</f>
        <v>37</v>
      </c>
      <c r="E1343">
        <f>IFERROR(__xludf.DUMMYFUNCTION("""COMPUTED_VALUE"""),0.09)</f>
        <v>0.09</v>
      </c>
      <c r="F1343">
        <f>IFERROR(__xludf.DUMMYFUNCTION("""COMPUTED_VALUE"""),0.7)</f>
        <v>0.7</v>
      </c>
      <c r="G1343">
        <f>IFERROR(__xludf.DUMMYFUNCTION("""COMPUTED_VALUE"""),9.21)</f>
        <v>9.21</v>
      </c>
    </row>
    <row r="1344">
      <c r="A1344">
        <f>IFERROR(__xludf.DUMMYFUNCTION("""COMPUTED_VALUE"""),173037.0)</f>
        <v>173037</v>
      </c>
      <c r="B1344" t="str">
        <f>IFERROR(__xludf.DUMMYFUNCTION("""COMPUTED_VALUE"""),"Grapefruit Sections Canned Light Syrup Pack Solids And Liquids")</f>
        <v>Grapefruit Sections Canned Light Syrup Pack Solids And Liquids</v>
      </c>
      <c r="C1344" t="str">
        <f>IFERROR(__xludf.DUMMYFUNCTION("""COMPUTED_VALUE"""),"Fruits")</f>
        <v>Fruits</v>
      </c>
      <c r="D1344">
        <f>IFERROR(__xludf.DUMMYFUNCTION("""COMPUTED_VALUE"""),60.0)</f>
        <v>60</v>
      </c>
      <c r="E1344">
        <f>IFERROR(__xludf.DUMMYFUNCTION("""COMPUTED_VALUE"""),0.1)</f>
        <v>0.1</v>
      </c>
      <c r="F1344">
        <f>IFERROR(__xludf.DUMMYFUNCTION("""COMPUTED_VALUE"""),0.56)</f>
        <v>0.56</v>
      </c>
      <c r="G1344">
        <f>IFERROR(__xludf.DUMMYFUNCTION("""COMPUTED_VALUE"""),15.44)</f>
        <v>15.44</v>
      </c>
    </row>
    <row r="1345">
      <c r="A1345">
        <f>IFERROR(__xludf.DUMMYFUNCTION("""COMPUTED_VALUE"""),173038.0)</f>
        <v>173038</v>
      </c>
      <c r="B1345" t="str">
        <f>IFERROR(__xludf.DUMMYFUNCTION("""COMPUTED_VALUE"""),"Grapefruit Juice")</f>
        <v>Grapefruit Juice</v>
      </c>
      <c r="C1345" t="str">
        <f>IFERROR(__xludf.DUMMYFUNCTION("""COMPUTED_VALUE"""),"Fruits")</f>
        <v>Fruits</v>
      </c>
      <c r="D1345">
        <f>IFERROR(__xludf.DUMMYFUNCTION("""COMPUTED_VALUE"""),39.0)</f>
        <v>39</v>
      </c>
      <c r="E1345">
        <f>IFERROR(__xludf.DUMMYFUNCTION("""COMPUTED_VALUE"""),0.68)</f>
        <v>0.68</v>
      </c>
      <c r="F1345">
        <f>IFERROR(__xludf.DUMMYFUNCTION("""COMPUTED_VALUE"""),0.51)</f>
        <v>0.51</v>
      </c>
      <c r="G1345">
        <f>IFERROR(__xludf.DUMMYFUNCTION("""COMPUTED_VALUE"""),7.74)</f>
        <v>7.74</v>
      </c>
    </row>
    <row r="1346">
      <c r="A1346">
        <f>IFERROR(__xludf.DUMMYFUNCTION("""COMPUTED_VALUE"""),173039.0)</f>
        <v>173039</v>
      </c>
      <c r="B1346" t="str">
        <f>IFERROR(__xludf.DUMMYFUNCTION("""COMPUTED_VALUE"""),"White Grapefruit Juice")</f>
        <v>White Grapefruit Juice</v>
      </c>
      <c r="C1346" t="str">
        <f>IFERROR(__xludf.DUMMYFUNCTION("""COMPUTED_VALUE"""),"Fruits")</f>
        <v>Fruits</v>
      </c>
      <c r="D1346">
        <f>IFERROR(__xludf.DUMMYFUNCTION("""COMPUTED_VALUE"""),39.0)</f>
        <v>39</v>
      </c>
      <c r="E1346">
        <f>IFERROR(__xludf.DUMMYFUNCTION("""COMPUTED_VALUE"""),0.1)</f>
        <v>0.1</v>
      </c>
      <c r="F1346">
        <f>IFERROR(__xludf.DUMMYFUNCTION("""COMPUTED_VALUE"""),0.5)</f>
        <v>0.5</v>
      </c>
      <c r="G1346">
        <f>IFERROR(__xludf.DUMMYFUNCTION("""COMPUTED_VALUE"""),9.2)</f>
        <v>9.2</v>
      </c>
    </row>
    <row r="1347">
      <c r="A1347">
        <f>IFERROR(__xludf.DUMMYFUNCTION("""COMPUTED_VALUE"""),173040.0)</f>
        <v>173040</v>
      </c>
      <c r="B1347" t="str">
        <f>IFERROR(__xludf.DUMMYFUNCTION("""COMPUTED_VALUE"""),"Muscadine Grapes")</f>
        <v>Muscadine Grapes</v>
      </c>
      <c r="C1347" t="str">
        <f>IFERROR(__xludf.DUMMYFUNCTION("""COMPUTED_VALUE"""),"Fruits")</f>
        <v>Fruits</v>
      </c>
      <c r="D1347">
        <f>IFERROR(__xludf.DUMMYFUNCTION("""COMPUTED_VALUE"""),57.0)</f>
        <v>57</v>
      </c>
      <c r="E1347">
        <f>IFERROR(__xludf.DUMMYFUNCTION("""COMPUTED_VALUE"""),0.47)</f>
        <v>0.47</v>
      </c>
      <c r="F1347">
        <f>IFERROR(__xludf.DUMMYFUNCTION("""COMPUTED_VALUE"""),0.81)</f>
        <v>0.81</v>
      </c>
      <c r="G1347">
        <f>IFERROR(__xludf.DUMMYFUNCTION("""COMPUTED_VALUE"""),13.93)</f>
        <v>13.93</v>
      </c>
    </row>
    <row r="1348">
      <c r="A1348">
        <f>IFERROR(__xludf.DUMMYFUNCTION("""COMPUTED_VALUE"""),173041.0)</f>
        <v>173041</v>
      </c>
      <c r="B1348" t="str">
        <f>IFERROR(__xludf.DUMMYFUNCTION("""COMPUTED_VALUE"""),"Grape Juice (With Added Vitamin C)")</f>
        <v>Grape Juice (With Added Vitamin C)</v>
      </c>
      <c r="C1348" t="str">
        <f>IFERROR(__xludf.DUMMYFUNCTION("""COMPUTED_VALUE"""),"Fruits")</f>
        <v>Fruits</v>
      </c>
      <c r="D1348">
        <f>IFERROR(__xludf.DUMMYFUNCTION("""COMPUTED_VALUE"""),60.0)</f>
        <v>60</v>
      </c>
      <c r="E1348">
        <f>IFERROR(__xludf.DUMMYFUNCTION("""COMPUTED_VALUE"""),0.13)</f>
        <v>0.13</v>
      </c>
      <c r="F1348">
        <f>IFERROR(__xludf.DUMMYFUNCTION("""COMPUTED_VALUE"""),0.37)</f>
        <v>0.37</v>
      </c>
      <c r="G1348">
        <f>IFERROR(__xludf.DUMMYFUNCTION("""COMPUTED_VALUE"""),14.77)</f>
        <v>14.77</v>
      </c>
    </row>
    <row r="1349">
      <c r="A1349">
        <f>IFERROR(__xludf.DUMMYFUNCTION("""COMPUTED_VALUE"""),173042.0)</f>
        <v>173042</v>
      </c>
      <c r="B1349" t="str">
        <f>IFERROR(__xludf.DUMMYFUNCTION("""COMPUTED_VALUE"""),"Grape Juice")</f>
        <v>Grape Juice</v>
      </c>
      <c r="C1349" t="str">
        <f>IFERROR(__xludf.DUMMYFUNCTION("""COMPUTED_VALUE"""),"Fruits")</f>
        <v>Fruits</v>
      </c>
      <c r="D1349">
        <f>IFERROR(__xludf.DUMMYFUNCTION("""COMPUTED_VALUE"""),60.0)</f>
        <v>60</v>
      </c>
      <c r="E1349">
        <f>IFERROR(__xludf.DUMMYFUNCTION("""COMPUTED_VALUE"""),0.13)</f>
        <v>0.13</v>
      </c>
      <c r="F1349">
        <f>IFERROR(__xludf.DUMMYFUNCTION("""COMPUTED_VALUE"""),0.37)</f>
        <v>0.37</v>
      </c>
      <c r="G1349">
        <f>IFERROR(__xludf.DUMMYFUNCTION("""COMPUTED_VALUE"""),14.77)</f>
        <v>14.77</v>
      </c>
    </row>
    <row r="1350">
      <c r="A1350">
        <f>IFERROR(__xludf.DUMMYFUNCTION("""COMPUTED_VALUE"""),173043.0)</f>
        <v>173043</v>
      </c>
      <c r="B1350" t="str">
        <f>IFERROR(__xludf.DUMMYFUNCTION("""COMPUTED_VALUE"""),"Groundcherries")</f>
        <v>Groundcherries</v>
      </c>
      <c r="C1350" t="str">
        <f>IFERROR(__xludf.DUMMYFUNCTION("""COMPUTED_VALUE"""),"Fruits")</f>
        <v>Fruits</v>
      </c>
      <c r="D1350">
        <f>IFERROR(__xludf.DUMMYFUNCTION("""COMPUTED_VALUE"""),53.0)</f>
        <v>53</v>
      </c>
      <c r="E1350">
        <f>IFERROR(__xludf.DUMMYFUNCTION("""COMPUTED_VALUE"""),0.7)</f>
        <v>0.7</v>
      </c>
      <c r="F1350">
        <f>IFERROR(__xludf.DUMMYFUNCTION("""COMPUTED_VALUE"""),1.9)</f>
        <v>1.9</v>
      </c>
      <c r="G1350">
        <f>IFERROR(__xludf.DUMMYFUNCTION("""COMPUTED_VALUE"""),11.2)</f>
        <v>11.2</v>
      </c>
    </row>
    <row r="1351">
      <c r="A1351">
        <f>IFERROR(__xludf.DUMMYFUNCTION("""COMPUTED_VALUE"""),173044.0)</f>
        <v>173044</v>
      </c>
      <c r="B1351" t="str">
        <f>IFERROR(__xludf.DUMMYFUNCTION("""COMPUTED_VALUE"""),"Guavas")</f>
        <v>Guavas</v>
      </c>
      <c r="C1351" t="str">
        <f>IFERROR(__xludf.DUMMYFUNCTION("""COMPUTED_VALUE"""),"Fruits")</f>
        <v>Fruits</v>
      </c>
      <c r="D1351">
        <f>IFERROR(__xludf.DUMMYFUNCTION("""COMPUTED_VALUE"""),68.0)</f>
        <v>68</v>
      </c>
      <c r="E1351">
        <f>IFERROR(__xludf.DUMMYFUNCTION("""COMPUTED_VALUE"""),0.95)</f>
        <v>0.95</v>
      </c>
      <c r="F1351">
        <f>IFERROR(__xludf.DUMMYFUNCTION("""COMPUTED_VALUE"""),2.55)</f>
        <v>2.55</v>
      </c>
      <c r="G1351">
        <f>IFERROR(__xludf.DUMMYFUNCTION("""COMPUTED_VALUE"""),14.32)</f>
        <v>14.32</v>
      </c>
    </row>
    <row r="1352">
      <c r="A1352">
        <f>IFERROR(__xludf.DUMMYFUNCTION("""COMPUTED_VALUE"""),173045.0)</f>
        <v>173045</v>
      </c>
      <c r="B1352" t="str">
        <f>IFERROR(__xludf.DUMMYFUNCTION("""COMPUTED_VALUE"""),"Strawberry Guavas")</f>
        <v>Strawberry Guavas</v>
      </c>
      <c r="C1352" t="str">
        <f>IFERROR(__xludf.DUMMYFUNCTION("""COMPUTED_VALUE"""),"Fruits")</f>
        <v>Fruits</v>
      </c>
      <c r="D1352">
        <f>IFERROR(__xludf.DUMMYFUNCTION("""COMPUTED_VALUE"""),69.0)</f>
        <v>69</v>
      </c>
      <c r="E1352">
        <f>IFERROR(__xludf.DUMMYFUNCTION("""COMPUTED_VALUE"""),0.6)</f>
        <v>0.6</v>
      </c>
      <c r="F1352">
        <f>IFERROR(__xludf.DUMMYFUNCTION("""COMPUTED_VALUE"""),0.58)</f>
        <v>0.58</v>
      </c>
      <c r="G1352">
        <f>IFERROR(__xludf.DUMMYFUNCTION("""COMPUTED_VALUE"""),17.36)</f>
        <v>17.36</v>
      </c>
    </row>
    <row r="1353">
      <c r="A1353">
        <f>IFERROR(__xludf.DUMMYFUNCTION("""COMPUTED_VALUE"""),173262.0)</f>
        <v>173262</v>
      </c>
      <c r="B1353" t="str">
        <f>IFERROR(__xludf.DUMMYFUNCTION("""COMPUTED_VALUE"""),"Sorghum Flour Refined Unenriched")</f>
        <v>Sorghum Flour Refined Unenriched</v>
      </c>
      <c r="C1353" t="str">
        <f>IFERROR(__xludf.DUMMYFUNCTION("""COMPUTED_VALUE"""),"Grains and Pasta")</f>
        <v>Grains and Pasta</v>
      </c>
      <c r="D1353">
        <f>IFERROR(__xludf.DUMMYFUNCTION("""COMPUTED_VALUE"""),357.0)</f>
        <v>357</v>
      </c>
      <c r="E1353">
        <f>IFERROR(__xludf.DUMMYFUNCTION("""COMPUTED_VALUE"""),1.24)</f>
        <v>1.24</v>
      </c>
      <c r="F1353">
        <f>IFERROR(__xludf.DUMMYFUNCTION("""COMPUTED_VALUE"""),9.53)</f>
        <v>9.53</v>
      </c>
      <c r="G1353">
        <f>IFERROR(__xludf.DUMMYFUNCTION("""COMPUTED_VALUE"""),76.85)</f>
        <v>76.85</v>
      </c>
    </row>
    <row r="1354">
      <c r="A1354">
        <f>IFERROR(__xludf.DUMMYFUNCTION("""COMPUTED_VALUE"""),173263.0)</f>
        <v>173263</v>
      </c>
      <c r="B1354" t="str">
        <f>IFERROR(__xludf.DUMMYFUNCTION("""COMPUTED_VALUE"""),"Rice Brown Parboiled Cooked Uncle Bens")</f>
        <v>Rice Brown Parboiled Cooked Uncle Bens</v>
      </c>
      <c r="C1354" t="str">
        <f>IFERROR(__xludf.DUMMYFUNCTION("""COMPUTED_VALUE"""),"Grains and Pasta")</f>
        <v>Grains and Pasta</v>
      </c>
      <c r="D1354">
        <f>IFERROR(__xludf.DUMMYFUNCTION("""COMPUTED_VALUE"""),147.0)</f>
        <v>147</v>
      </c>
      <c r="E1354">
        <f>IFERROR(__xludf.DUMMYFUNCTION("""COMPUTED_VALUE"""),0.85)</f>
        <v>0.85</v>
      </c>
      <c r="F1354">
        <f>IFERROR(__xludf.DUMMYFUNCTION("""COMPUTED_VALUE"""),3.09)</f>
        <v>3.09</v>
      </c>
      <c r="G1354">
        <f>IFERROR(__xludf.DUMMYFUNCTION("""COMPUTED_VALUE"""),31.33)</f>
        <v>31.33</v>
      </c>
    </row>
    <row r="1355">
      <c r="A1355">
        <f>IFERROR(__xludf.DUMMYFUNCTION("""COMPUTED_VALUE"""),173264.0)</f>
        <v>173264</v>
      </c>
      <c r="B1355" t="str">
        <f>IFERROR(__xludf.DUMMYFUNCTION("""COMPUTED_VALUE"""),"Pasta Gluten-Free Rice Flour And Rice Bran Extract Cooked De Boles")</f>
        <v>Pasta Gluten-Free Rice Flour And Rice Bran Extract Cooked De Boles</v>
      </c>
      <c r="C1355" t="str">
        <f>IFERROR(__xludf.DUMMYFUNCTION("""COMPUTED_VALUE"""),"Grains and Pasta")</f>
        <v>Grains and Pasta</v>
      </c>
      <c r="D1355">
        <f>IFERROR(__xludf.DUMMYFUNCTION("""COMPUTED_VALUE"""),200.0)</f>
        <v>200</v>
      </c>
      <c r="E1355">
        <f>IFERROR(__xludf.DUMMYFUNCTION("""COMPUTED_VALUE"""),1.7)</f>
        <v>1.7</v>
      </c>
      <c r="F1355">
        <f>IFERROR(__xludf.DUMMYFUNCTION("""COMPUTED_VALUE"""),4.21)</f>
        <v>4.21</v>
      </c>
      <c r="G1355">
        <f>IFERROR(__xludf.DUMMYFUNCTION("""COMPUTED_VALUE"""),40.75)</f>
        <v>40.75</v>
      </c>
    </row>
    <row r="1356">
      <c r="A1356">
        <f>IFERROR(__xludf.DUMMYFUNCTION("""COMPUTED_VALUE"""),173265.0)</f>
        <v>173265</v>
      </c>
      <c r="B1356" t="str">
        <f>IFERROR(__xludf.DUMMYFUNCTION("""COMPUTED_VALUE"""),"Pasta Gluten-Free Corn And Rice Flour Cooked")</f>
        <v>Pasta Gluten-Free Corn And Rice Flour Cooked</v>
      </c>
      <c r="C1356" t="str">
        <f>IFERROR(__xludf.DUMMYFUNCTION("""COMPUTED_VALUE"""),"Grains and Pasta")</f>
        <v>Grains and Pasta</v>
      </c>
      <c r="D1356">
        <f>IFERROR(__xludf.DUMMYFUNCTION("""COMPUTED_VALUE"""),179.0)</f>
        <v>179</v>
      </c>
      <c r="E1356">
        <f>IFERROR(__xludf.DUMMYFUNCTION("""COMPUTED_VALUE"""),1.0)</f>
        <v>1</v>
      </c>
      <c r="F1356">
        <f>IFERROR(__xludf.DUMMYFUNCTION("""COMPUTED_VALUE"""),3.2)</f>
        <v>3.2</v>
      </c>
      <c r="G1356">
        <f>IFERROR(__xludf.DUMMYFUNCTION("""COMPUTED_VALUE"""),38.05)</f>
        <v>38.05</v>
      </c>
    </row>
    <row r="1357">
      <c r="A1357">
        <f>IFERROR(__xludf.DUMMYFUNCTION("""COMPUTED_VALUE"""),173727.0)</f>
        <v>173727</v>
      </c>
      <c r="B1357" t="str">
        <f>IFERROR(__xludf.DUMMYFUNCTION("""COMPUTED_VALUE"""),"Beans Adzuki Mature Seeds Raw")</f>
        <v>Beans Adzuki Mature Seeds Raw</v>
      </c>
      <c r="C1357" t="str">
        <f>IFERROR(__xludf.DUMMYFUNCTION("""COMPUTED_VALUE"""),"Beans and Lentils")</f>
        <v>Beans and Lentils</v>
      </c>
      <c r="D1357">
        <f>IFERROR(__xludf.DUMMYFUNCTION("""COMPUTED_VALUE"""),329.0)</f>
        <v>329</v>
      </c>
      <c r="E1357">
        <f>IFERROR(__xludf.DUMMYFUNCTION("""COMPUTED_VALUE"""),0.53)</f>
        <v>0.53</v>
      </c>
      <c r="F1357">
        <f>IFERROR(__xludf.DUMMYFUNCTION("""COMPUTED_VALUE"""),19.87)</f>
        <v>19.87</v>
      </c>
      <c r="G1357">
        <f>IFERROR(__xludf.DUMMYFUNCTION("""COMPUTED_VALUE"""),62.9)</f>
        <v>62.9</v>
      </c>
    </row>
    <row r="1358">
      <c r="A1358">
        <f>IFERROR(__xludf.DUMMYFUNCTION("""COMPUTED_VALUE"""),173728.0)</f>
        <v>173728</v>
      </c>
      <c r="B1358" t="str">
        <f>IFERROR(__xludf.DUMMYFUNCTION("""COMPUTED_VALUE"""),"Adzuki Beans")</f>
        <v>Adzuki Beans</v>
      </c>
      <c r="C1358" t="str">
        <f>IFERROR(__xludf.DUMMYFUNCTION("""COMPUTED_VALUE"""),"Beans and Lentils")</f>
        <v>Beans and Lentils</v>
      </c>
      <c r="D1358">
        <f>IFERROR(__xludf.DUMMYFUNCTION("""COMPUTED_VALUE"""),128.0)</f>
        <v>128</v>
      </c>
      <c r="E1358">
        <f>IFERROR(__xludf.DUMMYFUNCTION("""COMPUTED_VALUE"""),0.1)</f>
        <v>0.1</v>
      </c>
      <c r="F1358">
        <f>IFERROR(__xludf.DUMMYFUNCTION("""COMPUTED_VALUE"""),7.52)</f>
        <v>7.52</v>
      </c>
      <c r="G1358">
        <f>IFERROR(__xludf.DUMMYFUNCTION("""COMPUTED_VALUE"""),24.77)</f>
        <v>24.77</v>
      </c>
    </row>
    <row r="1359">
      <c r="A1359">
        <f>IFERROR(__xludf.DUMMYFUNCTION("""COMPUTED_VALUE"""),173729.0)</f>
        <v>173729</v>
      </c>
      <c r="B1359" t="str">
        <f>IFERROR(__xludf.DUMMYFUNCTION("""COMPUTED_VALUE"""),"Beans Adzuki Mature Seeds Canned Sweetened")</f>
        <v>Beans Adzuki Mature Seeds Canned Sweetened</v>
      </c>
      <c r="C1359" t="str">
        <f>IFERROR(__xludf.DUMMYFUNCTION("""COMPUTED_VALUE"""),"Beans and Lentils")</f>
        <v>Beans and Lentils</v>
      </c>
      <c r="D1359">
        <f>IFERROR(__xludf.DUMMYFUNCTION("""COMPUTED_VALUE"""),237.0)</f>
        <v>237</v>
      </c>
      <c r="E1359">
        <f>IFERROR(__xludf.DUMMYFUNCTION("""COMPUTED_VALUE"""),0.03)</f>
        <v>0.03</v>
      </c>
      <c r="F1359">
        <f>IFERROR(__xludf.DUMMYFUNCTION("""COMPUTED_VALUE"""),3.8)</f>
        <v>3.8</v>
      </c>
      <c r="G1359">
        <f>IFERROR(__xludf.DUMMYFUNCTION("""COMPUTED_VALUE"""),55.01)</f>
        <v>55.01</v>
      </c>
    </row>
    <row r="1360">
      <c r="A1360">
        <f>IFERROR(__xludf.DUMMYFUNCTION("""COMPUTED_VALUE"""),173730.0)</f>
        <v>173730</v>
      </c>
      <c r="B1360" t="str">
        <f>IFERROR(__xludf.DUMMYFUNCTION("""COMPUTED_VALUE"""),"Yokan Prepared From Adzuki Beans And Sugar")</f>
        <v>Yokan Prepared From Adzuki Beans And Sugar</v>
      </c>
      <c r="C1360" t="str">
        <f>IFERROR(__xludf.DUMMYFUNCTION("""COMPUTED_VALUE"""),"Beans and Lentils")</f>
        <v>Beans and Lentils</v>
      </c>
      <c r="D1360">
        <f>IFERROR(__xludf.DUMMYFUNCTION("""COMPUTED_VALUE"""),260.0)</f>
        <v>260</v>
      </c>
      <c r="E1360">
        <f>IFERROR(__xludf.DUMMYFUNCTION("""COMPUTED_VALUE"""),0.12)</f>
        <v>0.12</v>
      </c>
      <c r="F1360">
        <f>IFERROR(__xludf.DUMMYFUNCTION("""COMPUTED_VALUE"""),3.29)</f>
        <v>3.29</v>
      </c>
      <c r="G1360">
        <f>IFERROR(__xludf.DUMMYFUNCTION("""COMPUTED_VALUE"""),60.72)</f>
        <v>60.72</v>
      </c>
    </row>
    <row r="1361">
      <c r="A1361">
        <f>IFERROR(__xludf.DUMMYFUNCTION("""COMPUTED_VALUE"""),173731.0)</f>
        <v>173731</v>
      </c>
      <c r="B1361" t="str">
        <f>IFERROR(__xludf.DUMMYFUNCTION("""COMPUTED_VALUE"""),"Baked Beans")</f>
        <v>Baked Beans</v>
      </c>
      <c r="C1361" t="str">
        <f>IFERROR(__xludf.DUMMYFUNCTION("""COMPUTED_VALUE"""),"Beans and Lentils")</f>
        <v>Beans and Lentils</v>
      </c>
      <c r="D1361">
        <f>IFERROR(__xludf.DUMMYFUNCTION("""COMPUTED_VALUE"""),155.0)</f>
        <v>155</v>
      </c>
      <c r="E1361">
        <f>IFERROR(__xludf.DUMMYFUNCTION("""COMPUTED_VALUE"""),5.15)</f>
        <v>5.15</v>
      </c>
      <c r="F1361">
        <f>IFERROR(__xludf.DUMMYFUNCTION("""COMPUTED_VALUE"""),5.54)</f>
        <v>5.54</v>
      </c>
      <c r="G1361">
        <f>IFERROR(__xludf.DUMMYFUNCTION("""COMPUTED_VALUE"""),21.63)</f>
        <v>21.63</v>
      </c>
    </row>
    <row r="1362">
      <c r="A1362">
        <f>IFERROR(__xludf.DUMMYFUNCTION("""COMPUTED_VALUE"""),173732.0)</f>
        <v>173732</v>
      </c>
      <c r="B1362" t="str">
        <f>IFERROR(__xludf.DUMMYFUNCTION("""COMPUTED_VALUE"""),"Beans Baked Canned With Pork And Sweet Sauce")</f>
        <v>Beans Baked Canned With Pork And Sweet Sauce</v>
      </c>
      <c r="C1362" t="str">
        <f>IFERROR(__xludf.DUMMYFUNCTION("""COMPUTED_VALUE"""),"Beans and Lentils")</f>
        <v>Beans and Lentils</v>
      </c>
      <c r="D1362">
        <f>IFERROR(__xludf.DUMMYFUNCTION("""COMPUTED_VALUE"""),105.0)</f>
        <v>105</v>
      </c>
      <c r="E1362">
        <f>IFERROR(__xludf.DUMMYFUNCTION("""COMPUTED_VALUE"""),0.89)</f>
        <v>0.89</v>
      </c>
      <c r="F1362">
        <f>IFERROR(__xludf.DUMMYFUNCTION("""COMPUTED_VALUE"""),4.52)</f>
        <v>4.52</v>
      </c>
      <c r="G1362">
        <f>IFERROR(__xludf.DUMMYFUNCTION("""COMPUTED_VALUE"""),21.57)</f>
        <v>21.57</v>
      </c>
    </row>
    <row r="1363">
      <c r="A1363">
        <f>IFERROR(__xludf.DUMMYFUNCTION("""COMPUTED_VALUE"""),173733.0)</f>
        <v>173733</v>
      </c>
      <c r="B1363" t="str">
        <f>IFERROR(__xludf.DUMMYFUNCTION("""COMPUTED_VALUE"""),"Beans Baked Canned With Pork And Tomato Sauce")</f>
        <v>Beans Baked Canned With Pork And Tomato Sauce</v>
      </c>
      <c r="C1363" t="str">
        <f>IFERROR(__xludf.DUMMYFUNCTION("""COMPUTED_VALUE"""),"Beans and Lentils")</f>
        <v>Beans and Lentils</v>
      </c>
      <c r="D1363">
        <f>IFERROR(__xludf.DUMMYFUNCTION("""COMPUTED_VALUE"""),94.0)</f>
        <v>94</v>
      </c>
      <c r="E1363">
        <f>IFERROR(__xludf.DUMMYFUNCTION("""COMPUTED_VALUE"""),0.93)</f>
        <v>0.93</v>
      </c>
      <c r="F1363">
        <f>IFERROR(__xludf.DUMMYFUNCTION("""COMPUTED_VALUE"""),5.15)</f>
        <v>5.15</v>
      </c>
      <c r="G1363">
        <f>IFERROR(__xludf.DUMMYFUNCTION("""COMPUTED_VALUE"""),18.69)</f>
        <v>18.69</v>
      </c>
    </row>
    <row r="1364">
      <c r="A1364">
        <f>IFERROR(__xludf.DUMMYFUNCTION("""COMPUTED_VALUE"""),173734.0)</f>
        <v>173734</v>
      </c>
      <c r="B1364" t="str">
        <f>IFERROR(__xludf.DUMMYFUNCTION("""COMPUTED_VALUE"""),"Beans Black Mature Seeds Raw")</f>
        <v>Beans Black Mature Seeds Raw</v>
      </c>
      <c r="C1364" t="str">
        <f>IFERROR(__xludf.DUMMYFUNCTION("""COMPUTED_VALUE"""),"Beans and Lentils")</f>
        <v>Beans and Lentils</v>
      </c>
      <c r="D1364">
        <f>IFERROR(__xludf.DUMMYFUNCTION("""COMPUTED_VALUE"""),341.0)</f>
        <v>341</v>
      </c>
      <c r="E1364">
        <f>IFERROR(__xludf.DUMMYFUNCTION("""COMPUTED_VALUE"""),1.42)</f>
        <v>1.42</v>
      </c>
      <c r="F1364">
        <f>IFERROR(__xludf.DUMMYFUNCTION("""COMPUTED_VALUE"""),21.6)</f>
        <v>21.6</v>
      </c>
      <c r="G1364">
        <f>IFERROR(__xludf.DUMMYFUNCTION("""COMPUTED_VALUE"""),62.36)</f>
        <v>62.36</v>
      </c>
    </row>
    <row r="1365">
      <c r="A1365">
        <f>IFERROR(__xludf.DUMMYFUNCTION("""COMPUTED_VALUE"""),173735.0)</f>
        <v>173735</v>
      </c>
      <c r="B1365" t="str">
        <f>IFERROR(__xludf.DUMMYFUNCTION("""COMPUTED_VALUE"""),"Black Beans")</f>
        <v>Black Beans</v>
      </c>
      <c r="C1365" t="str">
        <f>IFERROR(__xludf.DUMMYFUNCTION("""COMPUTED_VALUE"""),"Beans and Lentils")</f>
        <v>Beans and Lentils</v>
      </c>
      <c r="D1365">
        <f>IFERROR(__xludf.DUMMYFUNCTION("""COMPUTED_VALUE"""),132.0)</f>
        <v>132</v>
      </c>
      <c r="E1365">
        <f>IFERROR(__xludf.DUMMYFUNCTION("""COMPUTED_VALUE"""),0.54)</f>
        <v>0.54</v>
      </c>
      <c r="F1365">
        <f>IFERROR(__xludf.DUMMYFUNCTION("""COMPUTED_VALUE"""),8.86)</f>
        <v>8.86</v>
      </c>
      <c r="G1365">
        <f>IFERROR(__xludf.DUMMYFUNCTION("""COMPUTED_VALUE"""),23.71)</f>
        <v>23.71</v>
      </c>
    </row>
    <row r="1366">
      <c r="A1366">
        <f>IFERROR(__xludf.DUMMYFUNCTION("""COMPUTED_VALUE"""),173736.0)</f>
        <v>173736</v>
      </c>
      <c r="B1366" t="str">
        <f>IFERROR(__xludf.DUMMYFUNCTION("""COMPUTED_VALUE"""),"Cranberry Beans (Roman Beans)")</f>
        <v>Cranberry Beans (Roman Beans)</v>
      </c>
      <c r="C1366" t="str">
        <f>IFERROR(__xludf.DUMMYFUNCTION("""COMPUTED_VALUE"""),"Beans and Lentils")</f>
        <v>Beans and Lentils</v>
      </c>
      <c r="D1366">
        <f>IFERROR(__xludf.DUMMYFUNCTION("""COMPUTED_VALUE"""),136.0)</f>
        <v>136</v>
      </c>
      <c r="E1366">
        <f>IFERROR(__xludf.DUMMYFUNCTION("""COMPUTED_VALUE"""),0.46)</f>
        <v>0.46</v>
      </c>
      <c r="F1366">
        <f>IFERROR(__xludf.DUMMYFUNCTION("""COMPUTED_VALUE"""),9.34)</f>
        <v>9.34</v>
      </c>
      <c r="G1366">
        <f>IFERROR(__xludf.DUMMYFUNCTION("""COMPUTED_VALUE"""),24.46)</f>
        <v>24.46</v>
      </c>
    </row>
    <row r="1367">
      <c r="A1367">
        <f>IFERROR(__xludf.DUMMYFUNCTION("""COMPUTED_VALUE"""),173737.0)</f>
        <v>173737</v>
      </c>
      <c r="B1367" t="str">
        <f>IFERROR(__xludf.DUMMYFUNCTION("""COMPUTED_VALUE"""),"Canned Cranberry Beans")</f>
        <v>Canned Cranberry Beans</v>
      </c>
      <c r="C1367" t="str">
        <f>IFERROR(__xludf.DUMMYFUNCTION("""COMPUTED_VALUE"""),"Beans and Lentils")</f>
        <v>Beans and Lentils</v>
      </c>
      <c r="D1367">
        <f>IFERROR(__xludf.DUMMYFUNCTION("""COMPUTED_VALUE"""),83.0)</f>
        <v>83</v>
      </c>
      <c r="E1367">
        <f>IFERROR(__xludf.DUMMYFUNCTION("""COMPUTED_VALUE"""),0.28)</f>
        <v>0.28</v>
      </c>
      <c r="F1367">
        <f>IFERROR(__xludf.DUMMYFUNCTION("""COMPUTED_VALUE"""),5.54)</f>
        <v>5.54</v>
      </c>
      <c r="G1367">
        <f>IFERROR(__xludf.DUMMYFUNCTION("""COMPUTED_VALUE"""),15.12)</f>
        <v>15.12</v>
      </c>
    </row>
    <row r="1368">
      <c r="A1368">
        <f>IFERROR(__xludf.DUMMYFUNCTION("""COMPUTED_VALUE"""),173738.0)</f>
        <v>173738</v>
      </c>
      <c r="B1368" t="str">
        <f>IFERROR(__xludf.DUMMYFUNCTION("""COMPUTED_VALUE"""),"Beans French Mature Seeds Raw")</f>
        <v>Beans French Mature Seeds Raw</v>
      </c>
      <c r="C1368" t="str">
        <f>IFERROR(__xludf.DUMMYFUNCTION("""COMPUTED_VALUE"""),"Beans and Lentils")</f>
        <v>Beans and Lentils</v>
      </c>
      <c r="D1368">
        <f>IFERROR(__xludf.DUMMYFUNCTION("""COMPUTED_VALUE"""),343.0)</f>
        <v>343</v>
      </c>
      <c r="E1368">
        <f>IFERROR(__xludf.DUMMYFUNCTION("""COMPUTED_VALUE"""),2.02)</f>
        <v>2.02</v>
      </c>
      <c r="F1368">
        <f>IFERROR(__xludf.DUMMYFUNCTION("""COMPUTED_VALUE"""),18.81)</f>
        <v>18.81</v>
      </c>
      <c r="G1368">
        <f>IFERROR(__xludf.DUMMYFUNCTION("""COMPUTED_VALUE"""),64.11)</f>
        <v>64.11</v>
      </c>
    </row>
    <row r="1369">
      <c r="A1369">
        <f>IFERROR(__xludf.DUMMYFUNCTION("""COMPUTED_VALUE"""),173739.0)</f>
        <v>173739</v>
      </c>
      <c r="B1369" t="str">
        <f>IFERROR(__xludf.DUMMYFUNCTION("""COMPUTED_VALUE"""),"Beans French Mature Seeds Cooked Boiled Without Salt")</f>
        <v>Beans French Mature Seeds Cooked Boiled Without Salt</v>
      </c>
      <c r="C1369" t="str">
        <f>IFERROR(__xludf.DUMMYFUNCTION("""COMPUTED_VALUE"""),"Beans and Lentils")</f>
        <v>Beans and Lentils</v>
      </c>
      <c r="D1369">
        <f>IFERROR(__xludf.DUMMYFUNCTION("""COMPUTED_VALUE"""),129.0)</f>
        <v>129</v>
      </c>
      <c r="E1369">
        <f>IFERROR(__xludf.DUMMYFUNCTION("""COMPUTED_VALUE"""),0.76)</f>
        <v>0.76</v>
      </c>
      <c r="F1369">
        <f>IFERROR(__xludf.DUMMYFUNCTION("""COMPUTED_VALUE"""),7.05)</f>
        <v>7.05</v>
      </c>
      <c r="G1369">
        <f>IFERROR(__xludf.DUMMYFUNCTION("""COMPUTED_VALUE"""),24.02)</f>
        <v>24.02</v>
      </c>
    </row>
    <row r="1370">
      <c r="A1370">
        <f>IFERROR(__xludf.DUMMYFUNCTION("""COMPUTED_VALUE"""),173740.0)</f>
        <v>173740</v>
      </c>
      <c r="B1370" t="str">
        <f>IFERROR(__xludf.DUMMYFUNCTION("""COMPUTED_VALUE"""),"Kidney Beans")</f>
        <v>Kidney Beans</v>
      </c>
      <c r="C1370" t="str">
        <f>IFERROR(__xludf.DUMMYFUNCTION("""COMPUTED_VALUE"""),"Beans and Lentils")</f>
        <v>Beans and Lentils</v>
      </c>
      <c r="D1370">
        <f>IFERROR(__xludf.DUMMYFUNCTION("""COMPUTED_VALUE"""),127.0)</f>
        <v>127</v>
      </c>
      <c r="E1370">
        <f>IFERROR(__xludf.DUMMYFUNCTION("""COMPUTED_VALUE"""),0.5)</f>
        <v>0.5</v>
      </c>
      <c r="F1370">
        <f>IFERROR(__xludf.DUMMYFUNCTION("""COMPUTED_VALUE"""),8.67)</f>
        <v>8.67</v>
      </c>
      <c r="G1370">
        <f>IFERROR(__xludf.DUMMYFUNCTION("""COMPUTED_VALUE"""),22.8)</f>
        <v>22.8</v>
      </c>
    </row>
    <row r="1371">
      <c r="A1371">
        <f>IFERROR(__xludf.DUMMYFUNCTION("""COMPUTED_VALUE"""),173741.0)</f>
        <v>173741</v>
      </c>
      <c r="B1371" t="str">
        <f>IFERROR(__xludf.DUMMYFUNCTION("""COMPUTED_VALUE"""),"Canned Kidney Beans")</f>
        <v>Canned Kidney Beans</v>
      </c>
      <c r="C1371" t="str">
        <f>IFERROR(__xludf.DUMMYFUNCTION("""COMPUTED_VALUE"""),"Beans and Lentils")</f>
        <v>Beans and Lentils</v>
      </c>
      <c r="D1371">
        <f>IFERROR(__xludf.DUMMYFUNCTION("""COMPUTED_VALUE"""),84.0)</f>
        <v>84</v>
      </c>
      <c r="E1371">
        <f>IFERROR(__xludf.DUMMYFUNCTION("""COMPUTED_VALUE"""),0.6)</f>
        <v>0.6</v>
      </c>
      <c r="F1371">
        <f>IFERROR(__xludf.DUMMYFUNCTION("""COMPUTED_VALUE"""),5.22)</f>
        <v>5.22</v>
      </c>
      <c r="G1371">
        <f>IFERROR(__xludf.DUMMYFUNCTION("""COMPUTED_VALUE"""),14.5)</f>
        <v>14.5</v>
      </c>
    </row>
    <row r="1372">
      <c r="A1372">
        <f>IFERROR(__xludf.DUMMYFUNCTION("""COMPUTED_VALUE"""),173742.0)</f>
        <v>173742</v>
      </c>
      <c r="B1372" t="str">
        <f>IFERROR(__xludf.DUMMYFUNCTION("""COMPUTED_VALUE"""),"Beans Kidney California Red Mature Seeds Raw")</f>
        <v>Beans Kidney California Red Mature Seeds Raw</v>
      </c>
      <c r="C1372" t="str">
        <f>IFERROR(__xludf.DUMMYFUNCTION("""COMPUTED_VALUE"""),"Beans and Lentils")</f>
        <v>Beans and Lentils</v>
      </c>
      <c r="D1372">
        <f>IFERROR(__xludf.DUMMYFUNCTION("""COMPUTED_VALUE"""),330.0)</f>
        <v>330</v>
      </c>
      <c r="E1372">
        <f>IFERROR(__xludf.DUMMYFUNCTION("""COMPUTED_VALUE"""),0.25)</f>
        <v>0.25</v>
      </c>
      <c r="F1372">
        <f>IFERROR(__xludf.DUMMYFUNCTION("""COMPUTED_VALUE"""),24.37)</f>
        <v>24.37</v>
      </c>
      <c r="G1372">
        <f>IFERROR(__xludf.DUMMYFUNCTION("""COMPUTED_VALUE"""),59.8)</f>
        <v>59.8</v>
      </c>
    </row>
    <row r="1373">
      <c r="A1373">
        <f>IFERROR(__xludf.DUMMYFUNCTION("""COMPUTED_VALUE"""),173743.0)</f>
        <v>173743</v>
      </c>
      <c r="B1373" t="str">
        <f>IFERROR(__xludf.DUMMYFUNCTION("""COMPUTED_VALUE"""),"California Red Kidney Beans")</f>
        <v>California Red Kidney Beans</v>
      </c>
      <c r="C1373" t="str">
        <f>IFERROR(__xludf.DUMMYFUNCTION("""COMPUTED_VALUE"""),"Beans and Lentils")</f>
        <v>Beans and Lentils</v>
      </c>
      <c r="D1373">
        <f>IFERROR(__xludf.DUMMYFUNCTION("""COMPUTED_VALUE"""),124.0)</f>
        <v>124</v>
      </c>
      <c r="E1373">
        <f>IFERROR(__xludf.DUMMYFUNCTION("""COMPUTED_VALUE"""),0.09)</f>
        <v>0.09</v>
      </c>
      <c r="F1373">
        <f>IFERROR(__xludf.DUMMYFUNCTION("""COMPUTED_VALUE"""),9.13)</f>
        <v>9.13</v>
      </c>
      <c r="G1373">
        <f>IFERROR(__xludf.DUMMYFUNCTION("""COMPUTED_VALUE"""),22.41)</f>
        <v>22.41</v>
      </c>
    </row>
    <row r="1374">
      <c r="A1374">
        <f>IFERROR(__xludf.DUMMYFUNCTION("""COMPUTED_VALUE"""),173744.0)</f>
        <v>173744</v>
      </c>
      <c r="B1374" t="str">
        <f>IFERROR(__xludf.DUMMYFUNCTION("""COMPUTED_VALUE"""),"Beans Kidney Red Mature Seeds Raw")</f>
        <v>Beans Kidney Red Mature Seeds Raw</v>
      </c>
      <c r="C1374" t="str">
        <f>IFERROR(__xludf.DUMMYFUNCTION("""COMPUTED_VALUE"""),"Beans and Lentils")</f>
        <v>Beans and Lentils</v>
      </c>
      <c r="D1374">
        <f>IFERROR(__xludf.DUMMYFUNCTION("""COMPUTED_VALUE"""),337.0)</f>
        <v>337</v>
      </c>
      <c r="E1374">
        <f>IFERROR(__xludf.DUMMYFUNCTION("""COMPUTED_VALUE"""),1.06)</f>
        <v>1.06</v>
      </c>
      <c r="F1374">
        <f>IFERROR(__xludf.DUMMYFUNCTION("""COMPUTED_VALUE"""),22.53)</f>
        <v>22.53</v>
      </c>
      <c r="G1374">
        <f>IFERROR(__xludf.DUMMYFUNCTION("""COMPUTED_VALUE"""),61.29)</f>
        <v>61.29</v>
      </c>
    </row>
    <row r="1375">
      <c r="A1375">
        <f>IFERROR(__xludf.DUMMYFUNCTION("""COMPUTED_VALUE"""),173745.0)</f>
        <v>173745</v>
      </c>
      <c r="B1375" t="str">
        <f>IFERROR(__xludf.DUMMYFUNCTION("""COMPUTED_VALUE"""),"Beans Navy Mature Seeds Raw")</f>
        <v>Beans Navy Mature Seeds Raw</v>
      </c>
      <c r="C1375" t="str">
        <f>IFERROR(__xludf.DUMMYFUNCTION("""COMPUTED_VALUE"""),"Beans and Lentils")</f>
        <v>Beans and Lentils</v>
      </c>
      <c r="D1375">
        <f>IFERROR(__xludf.DUMMYFUNCTION("""COMPUTED_VALUE"""),337.0)</f>
        <v>337</v>
      </c>
      <c r="E1375">
        <f>IFERROR(__xludf.DUMMYFUNCTION("""COMPUTED_VALUE"""),1.5)</f>
        <v>1.5</v>
      </c>
      <c r="F1375">
        <f>IFERROR(__xludf.DUMMYFUNCTION("""COMPUTED_VALUE"""),22.33)</f>
        <v>22.33</v>
      </c>
      <c r="G1375">
        <f>IFERROR(__xludf.DUMMYFUNCTION("""COMPUTED_VALUE"""),60.75)</f>
        <v>60.75</v>
      </c>
    </row>
    <row r="1376">
      <c r="A1376">
        <f>IFERROR(__xludf.DUMMYFUNCTION("""COMPUTED_VALUE"""),173746.0)</f>
        <v>173746</v>
      </c>
      <c r="B1376" t="str">
        <f>IFERROR(__xludf.DUMMYFUNCTION("""COMPUTED_VALUE"""),"Navy Beans")</f>
        <v>Navy Beans</v>
      </c>
      <c r="C1376" t="str">
        <f>IFERROR(__xludf.DUMMYFUNCTION("""COMPUTED_VALUE"""),"Beans and Lentils")</f>
        <v>Beans and Lentils</v>
      </c>
      <c r="D1376">
        <f>IFERROR(__xludf.DUMMYFUNCTION("""COMPUTED_VALUE"""),140.0)</f>
        <v>140</v>
      </c>
      <c r="E1376">
        <f>IFERROR(__xludf.DUMMYFUNCTION("""COMPUTED_VALUE"""),0.62)</f>
        <v>0.62</v>
      </c>
      <c r="F1376">
        <f>IFERROR(__xludf.DUMMYFUNCTION("""COMPUTED_VALUE"""),8.23)</f>
        <v>8.23</v>
      </c>
      <c r="G1376">
        <f>IFERROR(__xludf.DUMMYFUNCTION("""COMPUTED_VALUE"""),26.05)</f>
        <v>26.05</v>
      </c>
    </row>
    <row r="1377">
      <c r="A1377">
        <f>IFERROR(__xludf.DUMMYFUNCTION("""COMPUTED_VALUE"""),173747.0)</f>
        <v>173747</v>
      </c>
      <c r="B1377" t="str">
        <f>IFERROR(__xludf.DUMMYFUNCTION("""COMPUTED_VALUE"""),"Canned Navy Beans")</f>
        <v>Canned Navy Beans</v>
      </c>
      <c r="C1377" t="str">
        <f>IFERROR(__xludf.DUMMYFUNCTION("""COMPUTED_VALUE"""),"Beans and Lentils")</f>
        <v>Beans and Lentils</v>
      </c>
      <c r="D1377">
        <f>IFERROR(__xludf.DUMMYFUNCTION("""COMPUTED_VALUE"""),113.0)</f>
        <v>113</v>
      </c>
      <c r="E1377">
        <f>IFERROR(__xludf.DUMMYFUNCTION("""COMPUTED_VALUE"""),0.43)</f>
        <v>0.43</v>
      </c>
      <c r="F1377">
        <f>IFERROR(__xludf.DUMMYFUNCTION("""COMPUTED_VALUE"""),7.53)</f>
        <v>7.53</v>
      </c>
      <c r="G1377">
        <f>IFERROR(__xludf.DUMMYFUNCTION("""COMPUTED_VALUE"""),20.45)</f>
        <v>20.45</v>
      </c>
    </row>
    <row r="1378">
      <c r="A1378">
        <f>IFERROR(__xludf.DUMMYFUNCTION("""COMPUTED_VALUE"""),173748.0)</f>
        <v>173748</v>
      </c>
      <c r="B1378" t="str">
        <f>IFERROR(__xludf.DUMMYFUNCTION("""COMPUTED_VALUE"""),"Beans Pink Mature Seeds Raw")</f>
        <v>Beans Pink Mature Seeds Raw</v>
      </c>
      <c r="C1378" t="str">
        <f>IFERROR(__xludf.DUMMYFUNCTION("""COMPUTED_VALUE"""),"Beans and Lentils")</f>
        <v>Beans and Lentils</v>
      </c>
      <c r="D1378">
        <f>IFERROR(__xludf.DUMMYFUNCTION("""COMPUTED_VALUE"""),343.0)</f>
        <v>343</v>
      </c>
      <c r="E1378">
        <f>IFERROR(__xludf.DUMMYFUNCTION("""COMPUTED_VALUE"""),1.13)</f>
        <v>1.13</v>
      </c>
      <c r="F1378">
        <f>IFERROR(__xludf.DUMMYFUNCTION("""COMPUTED_VALUE"""),20.96)</f>
        <v>20.96</v>
      </c>
      <c r="G1378">
        <f>IFERROR(__xludf.DUMMYFUNCTION("""COMPUTED_VALUE"""),64.19)</f>
        <v>64.19</v>
      </c>
    </row>
    <row r="1379">
      <c r="A1379">
        <f>IFERROR(__xludf.DUMMYFUNCTION("""COMPUTED_VALUE"""),173749.0)</f>
        <v>173749</v>
      </c>
      <c r="B1379" t="str">
        <f>IFERROR(__xludf.DUMMYFUNCTION("""COMPUTED_VALUE"""),"Beans Small White Mature Seeds Raw")</f>
        <v>Beans Small White Mature Seeds Raw</v>
      </c>
      <c r="C1379" t="str">
        <f>IFERROR(__xludf.DUMMYFUNCTION("""COMPUTED_VALUE"""),"Beans and Lentils")</f>
        <v>Beans and Lentils</v>
      </c>
      <c r="D1379">
        <f>IFERROR(__xludf.DUMMYFUNCTION("""COMPUTED_VALUE"""),336.0)</f>
        <v>336</v>
      </c>
      <c r="E1379">
        <f>IFERROR(__xludf.DUMMYFUNCTION("""COMPUTED_VALUE"""),1.18)</f>
        <v>1.18</v>
      </c>
      <c r="F1379">
        <f>IFERROR(__xludf.DUMMYFUNCTION("""COMPUTED_VALUE"""),21.11)</f>
        <v>21.11</v>
      </c>
      <c r="G1379">
        <f>IFERROR(__xludf.DUMMYFUNCTION("""COMPUTED_VALUE"""),62.25)</f>
        <v>62.25</v>
      </c>
    </row>
    <row r="1380">
      <c r="A1380">
        <f>IFERROR(__xludf.DUMMYFUNCTION("""COMPUTED_VALUE"""),173750.0)</f>
        <v>173750</v>
      </c>
      <c r="B1380" t="str">
        <f>IFERROR(__xludf.DUMMYFUNCTION("""COMPUTED_VALUE"""),"Cooked Small White Beans")</f>
        <v>Cooked Small White Beans</v>
      </c>
      <c r="C1380" t="str">
        <f>IFERROR(__xludf.DUMMYFUNCTION("""COMPUTED_VALUE"""),"Beans and Lentils")</f>
        <v>Beans and Lentils</v>
      </c>
      <c r="D1380">
        <f>IFERROR(__xludf.DUMMYFUNCTION("""COMPUTED_VALUE"""),142.0)</f>
        <v>142</v>
      </c>
      <c r="E1380">
        <f>IFERROR(__xludf.DUMMYFUNCTION("""COMPUTED_VALUE"""),0.64)</f>
        <v>0.64</v>
      </c>
      <c r="F1380">
        <f>IFERROR(__xludf.DUMMYFUNCTION("""COMPUTED_VALUE"""),8.97)</f>
        <v>8.97</v>
      </c>
      <c r="G1380">
        <f>IFERROR(__xludf.DUMMYFUNCTION("""COMPUTED_VALUE"""),25.81)</f>
        <v>25.81</v>
      </c>
    </row>
    <row r="1381">
      <c r="A1381">
        <f>IFERROR(__xludf.DUMMYFUNCTION("""COMPUTED_VALUE"""),173751.0)</f>
        <v>173751</v>
      </c>
      <c r="B1381" t="str">
        <f>IFERROR(__xludf.DUMMYFUNCTION("""COMPUTED_VALUE"""),"Beans Yellow Mature Seeds Raw")</f>
        <v>Beans Yellow Mature Seeds Raw</v>
      </c>
      <c r="C1381" t="str">
        <f>IFERROR(__xludf.DUMMYFUNCTION("""COMPUTED_VALUE"""),"Beans and Lentils")</f>
        <v>Beans and Lentils</v>
      </c>
      <c r="D1381">
        <f>IFERROR(__xludf.DUMMYFUNCTION("""COMPUTED_VALUE"""),345.0)</f>
        <v>345</v>
      </c>
      <c r="E1381">
        <f>IFERROR(__xludf.DUMMYFUNCTION("""COMPUTED_VALUE"""),2.6)</f>
        <v>2.6</v>
      </c>
      <c r="F1381">
        <f>IFERROR(__xludf.DUMMYFUNCTION("""COMPUTED_VALUE"""),22.0)</f>
        <v>22</v>
      </c>
      <c r="G1381">
        <f>IFERROR(__xludf.DUMMYFUNCTION("""COMPUTED_VALUE"""),60.7)</f>
        <v>60.7</v>
      </c>
    </row>
    <row r="1382">
      <c r="A1382">
        <f>IFERROR(__xludf.DUMMYFUNCTION("""COMPUTED_VALUE"""),173752.0)</f>
        <v>173752</v>
      </c>
      <c r="B1382" t="str">
        <f>IFERROR(__xludf.DUMMYFUNCTION("""COMPUTED_VALUE"""),"Beans Yellow Mature Seeds Cooked Boiled Without Salt")</f>
        <v>Beans Yellow Mature Seeds Cooked Boiled Without Salt</v>
      </c>
      <c r="C1382" t="str">
        <f>IFERROR(__xludf.DUMMYFUNCTION("""COMPUTED_VALUE"""),"Beans and Lentils")</f>
        <v>Beans and Lentils</v>
      </c>
      <c r="D1382">
        <f>IFERROR(__xludf.DUMMYFUNCTION("""COMPUTED_VALUE"""),144.0)</f>
        <v>144</v>
      </c>
      <c r="E1382">
        <f>IFERROR(__xludf.DUMMYFUNCTION("""COMPUTED_VALUE"""),1.08)</f>
        <v>1.08</v>
      </c>
      <c r="F1382">
        <f>IFERROR(__xludf.DUMMYFUNCTION("""COMPUTED_VALUE"""),9.16)</f>
        <v>9.16</v>
      </c>
      <c r="G1382">
        <f>IFERROR(__xludf.DUMMYFUNCTION("""COMPUTED_VALUE"""),25.28)</f>
        <v>25.28</v>
      </c>
    </row>
    <row r="1383">
      <c r="A1383">
        <f>IFERROR(__xludf.DUMMYFUNCTION("""COMPUTED_VALUE"""),173753.0)</f>
        <v>173753</v>
      </c>
      <c r="B1383" t="str">
        <f>IFERROR(__xludf.DUMMYFUNCTION("""COMPUTED_VALUE"""),"Broad Beans (Fava)")</f>
        <v>Broad Beans (Fava)</v>
      </c>
      <c r="C1383" t="str">
        <f>IFERROR(__xludf.DUMMYFUNCTION("""COMPUTED_VALUE"""),"Beans and Lentils")</f>
        <v>Beans and Lentils</v>
      </c>
      <c r="D1383">
        <f>IFERROR(__xludf.DUMMYFUNCTION("""COMPUTED_VALUE"""),110.0)</f>
        <v>110</v>
      </c>
      <c r="E1383">
        <f>IFERROR(__xludf.DUMMYFUNCTION("""COMPUTED_VALUE"""),0.4)</f>
        <v>0.4</v>
      </c>
      <c r="F1383">
        <f>IFERROR(__xludf.DUMMYFUNCTION("""COMPUTED_VALUE"""),7.6)</f>
        <v>7.6</v>
      </c>
      <c r="G1383">
        <f>IFERROR(__xludf.DUMMYFUNCTION("""COMPUTED_VALUE"""),19.65)</f>
        <v>19.65</v>
      </c>
    </row>
    <row r="1384">
      <c r="A1384">
        <f>IFERROR(__xludf.DUMMYFUNCTION("""COMPUTED_VALUE"""),173754.0)</f>
        <v>173754</v>
      </c>
      <c r="B1384" t="str">
        <f>IFERROR(__xludf.DUMMYFUNCTION("""COMPUTED_VALUE"""),"Broadbeans (Fava Beans) Mature Seeds Canned")</f>
        <v>Broadbeans (Fava Beans) Mature Seeds Canned</v>
      </c>
      <c r="C1384" t="str">
        <f>IFERROR(__xludf.DUMMYFUNCTION("""COMPUTED_VALUE"""),"Beans and Lentils")</f>
        <v>Beans and Lentils</v>
      </c>
      <c r="D1384">
        <f>IFERROR(__xludf.DUMMYFUNCTION("""COMPUTED_VALUE"""),71.0)</f>
        <v>71</v>
      </c>
      <c r="E1384">
        <f>IFERROR(__xludf.DUMMYFUNCTION("""COMPUTED_VALUE"""),0.22)</f>
        <v>0.22</v>
      </c>
      <c r="F1384">
        <f>IFERROR(__xludf.DUMMYFUNCTION("""COMPUTED_VALUE"""),5.47)</f>
        <v>5.47</v>
      </c>
      <c r="G1384">
        <f>IFERROR(__xludf.DUMMYFUNCTION("""COMPUTED_VALUE"""),12.41)</f>
        <v>12.41</v>
      </c>
    </row>
    <row r="1385">
      <c r="A1385">
        <f>IFERROR(__xludf.DUMMYFUNCTION("""COMPUTED_VALUE"""),173755.0)</f>
        <v>173755</v>
      </c>
      <c r="B1385" t="str">
        <f>IFERROR(__xludf.DUMMYFUNCTION("""COMPUTED_VALUE"""),"Carob Flour")</f>
        <v>Carob Flour</v>
      </c>
      <c r="C1385" t="str">
        <f>IFERROR(__xludf.DUMMYFUNCTION("""COMPUTED_VALUE"""),"Beans and Lentils")</f>
        <v>Beans and Lentils</v>
      </c>
      <c r="D1385">
        <f>IFERROR(__xludf.DUMMYFUNCTION("""COMPUTED_VALUE"""),222.0)</f>
        <v>222</v>
      </c>
      <c r="E1385">
        <f>IFERROR(__xludf.DUMMYFUNCTION("""COMPUTED_VALUE"""),0.65)</f>
        <v>0.65</v>
      </c>
      <c r="F1385">
        <f>IFERROR(__xludf.DUMMYFUNCTION("""COMPUTED_VALUE"""),4.62)</f>
        <v>4.62</v>
      </c>
      <c r="G1385">
        <f>IFERROR(__xludf.DUMMYFUNCTION("""COMPUTED_VALUE"""),88.88)</f>
        <v>88.88</v>
      </c>
    </row>
    <row r="1386">
      <c r="A1386">
        <f>IFERROR(__xludf.DUMMYFUNCTION("""COMPUTED_VALUE"""),173756.0)</f>
        <v>173756</v>
      </c>
      <c r="B1386" t="str">
        <f>IFERROR(__xludf.DUMMYFUNCTION("""COMPUTED_VALUE"""),"Chickpeas (Garbanzo Beans Bengal Gram) Mature Seeds Raw")</f>
        <v>Chickpeas (Garbanzo Beans Bengal Gram) Mature Seeds Raw</v>
      </c>
      <c r="C1386" t="str">
        <f>IFERROR(__xludf.DUMMYFUNCTION("""COMPUTED_VALUE"""),"Beans and Lentils")</f>
        <v>Beans and Lentils</v>
      </c>
      <c r="D1386">
        <f>IFERROR(__xludf.DUMMYFUNCTION("""COMPUTED_VALUE"""),378.0)</f>
        <v>378</v>
      </c>
      <c r="E1386">
        <f>IFERROR(__xludf.DUMMYFUNCTION("""COMPUTED_VALUE"""),6.04)</f>
        <v>6.04</v>
      </c>
      <c r="F1386">
        <f>IFERROR(__xludf.DUMMYFUNCTION("""COMPUTED_VALUE"""),20.47)</f>
        <v>20.47</v>
      </c>
      <c r="G1386">
        <f>IFERROR(__xludf.DUMMYFUNCTION("""COMPUTED_VALUE"""),62.95)</f>
        <v>62.95</v>
      </c>
    </row>
    <row r="1387">
      <c r="A1387">
        <f>IFERROR(__xludf.DUMMYFUNCTION("""COMPUTED_VALUE"""),173757.0)</f>
        <v>173757</v>
      </c>
      <c r="B1387" t="str">
        <f>IFERROR(__xludf.DUMMYFUNCTION("""COMPUTED_VALUE"""),"Chickpeas (Garbanzo Beans) (Cooked)")</f>
        <v>Chickpeas (Garbanzo Beans) (Cooked)</v>
      </c>
      <c r="C1387" t="str">
        <f>IFERROR(__xludf.DUMMYFUNCTION("""COMPUTED_VALUE"""),"Beans and Lentils")</f>
        <v>Beans and Lentils</v>
      </c>
      <c r="D1387">
        <f>IFERROR(__xludf.DUMMYFUNCTION("""COMPUTED_VALUE"""),164.0)</f>
        <v>164</v>
      </c>
      <c r="E1387">
        <f>IFERROR(__xludf.DUMMYFUNCTION("""COMPUTED_VALUE"""),2.59)</f>
        <v>2.59</v>
      </c>
      <c r="F1387">
        <f>IFERROR(__xludf.DUMMYFUNCTION("""COMPUTED_VALUE"""),8.86)</f>
        <v>8.86</v>
      </c>
      <c r="G1387">
        <f>IFERROR(__xludf.DUMMYFUNCTION("""COMPUTED_VALUE"""),27.42)</f>
        <v>27.42</v>
      </c>
    </row>
    <row r="1388">
      <c r="A1388">
        <f>IFERROR(__xludf.DUMMYFUNCTION("""COMPUTED_VALUE"""),173758.0)</f>
        <v>173758</v>
      </c>
      <c r="B1388" t="str">
        <f>IFERROR(__xludf.DUMMYFUNCTION("""COMPUTED_VALUE"""),"Cowpeas Common (Blackeyes Crowder Southern) Mature Seeds Raw")</f>
        <v>Cowpeas Common (Blackeyes Crowder Southern) Mature Seeds Raw</v>
      </c>
      <c r="C1388" t="str">
        <f>IFERROR(__xludf.DUMMYFUNCTION("""COMPUTED_VALUE"""),"Beans and Lentils")</f>
        <v>Beans and Lentils</v>
      </c>
      <c r="D1388">
        <f>IFERROR(__xludf.DUMMYFUNCTION("""COMPUTED_VALUE"""),336.0)</f>
        <v>336</v>
      </c>
      <c r="E1388">
        <f>IFERROR(__xludf.DUMMYFUNCTION("""COMPUTED_VALUE"""),1.26)</f>
        <v>1.26</v>
      </c>
      <c r="F1388">
        <f>IFERROR(__xludf.DUMMYFUNCTION("""COMPUTED_VALUE"""),23.52)</f>
        <v>23.52</v>
      </c>
      <c r="G1388">
        <f>IFERROR(__xludf.DUMMYFUNCTION("""COMPUTED_VALUE"""),60.03)</f>
        <v>60.03</v>
      </c>
    </row>
    <row r="1389">
      <c r="A1389">
        <f>IFERROR(__xludf.DUMMYFUNCTION("""COMPUTED_VALUE"""),173759.0)</f>
        <v>173759</v>
      </c>
      <c r="B1389" t="str">
        <f>IFERROR(__xludf.DUMMYFUNCTION("""COMPUTED_VALUE"""),"Black-Eyed Peas (Cowpeas)")</f>
        <v>Black-Eyed Peas (Cowpeas)</v>
      </c>
      <c r="C1389" t="str">
        <f>IFERROR(__xludf.DUMMYFUNCTION("""COMPUTED_VALUE"""),"Beans and Lentils")</f>
        <v>Beans and Lentils</v>
      </c>
      <c r="D1389">
        <f>IFERROR(__xludf.DUMMYFUNCTION("""COMPUTED_VALUE"""),116.0)</f>
        <v>116</v>
      </c>
      <c r="E1389">
        <f>IFERROR(__xludf.DUMMYFUNCTION("""COMPUTED_VALUE"""),0.53)</f>
        <v>0.53</v>
      </c>
      <c r="F1389">
        <f>IFERROR(__xludf.DUMMYFUNCTION("""COMPUTED_VALUE"""),7.73)</f>
        <v>7.73</v>
      </c>
      <c r="G1389">
        <f>IFERROR(__xludf.DUMMYFUNCTION("""COMPUTED_VALUE"""),20.76)</f>
        <v>20.76</v>
      </c>
    </row>
    <row r="1390">
      <c r="A1390">
        <f>IFERROR(__xludf.DUMMYFUNCTION("""COMPUTED_VALUE"""),173760.0)</f>
        <v>173760</v>
      </c>
      <c r="B1390" t="str">
        <f>IFERROR(__xludf.DUMMYFUNCTION("""COMPUTED_VALUE"""),"Cowpeas Common (Blackeyes Crowder Southern) Mature Seeds Canned Plain")</f>
        <v>Cowpeas Common (Blackeyes Crowder Southern) Mature Seeds Canned Plain</v>
      </c>
      <c r="C1390" t="str">
        <f>IFERROR(__xludf.DUMMYFUNCTION("""COMPUTED_VALUE"""),"Beans and Lentils")</f>
        <v>Beans and Lentils</v>
      </c>
      <c r="D1390">
        <f>IFERROR(__xludf.DUMMYFUNCTION("""COMPUTED_VALUE"""),77.0)</f>
        <v>77</v>
      </c>
      <c r="E1390">
        <f>IFERROR(__xludf.DUMMYFUNCTION("""COMPUTED_VALUE"""),0.55)</f>
        <v>0.55</v>
      </c>
      <c r="F1390">
        <f>IFERROR(__xludf.DUMMYFUNCTION("""COMPUTED_VALUE"""),4.74)</f>
        <v>4.74</v>
      </c>
      <c r="G1390">
        <f>IFERROR(__xludf.DUMMYFUNCTION("""COMPUTED_VALUE"""),13.63)</f>
        <v>13.63</v>
      </c>
    </row>
    <row r="1391">
      <c r="A1391">
        <f>IFERROR(__xludf.DUMMYFUNCTION("""COMPUTED_VALUE"""),173761.0)</f>
        <v>173761</v>
      </c>
      <c r="B1391" t="str">
        <f>IFERROR(__xludf.DUMMYFUNCTION("""COMPUTED_VALUE"""),"Cowpeas Common (Blackeyes Crowder Southern) Mature Seeds Canned With Pork")</f>
        <v>Cowpeas Common (Blackeyes Crowder Southern) Mature Seeds Canned With Pork</v>
      </c>
      <c r="C1391" t="str">
        <f>IFERROR(__xludf.DUMMYFUNCTION("""COMPUTED_VALUE"""),"Beans and Lentils")</f>
        <v>Beans and Lentils</v>
      </c>
      <c r="D1391">
        <f>IFERROR(__xludf.DUMMYFUNCTION("""COMPUTED_VALUE"""),83.0)</f>
        <v>83</v>
      </c>
      <c r="E1391">
        <f>IFERROR(__xludf.DUMMYFUNCTION("""COMPUTED_VALUE"""),1.6)</f>
        <v>1.6</v>
      </c>
      <c r="F1391">
        <f>IFERROR(__xludf.DUMMYFUNCTION("""COMPUTED_VALUE"""),2.74)</f>
        <v>2.74</v>
      </c>
      <c r="G1391">
        <f>IFERROR(__xludf.DUMMYFUNCTION("""COMPUTED_VALUE"""),16.53)</f>
        <v>16.53</v>
      </c>
    </row>
    <row r="1392">
      <c r="A1392">
        <f>IFERROR(__xludf.DUMMYFUNCTION("""COMPUTED_VALUE"""),173762.0)</f>
        <v>173762</v>
      </c>
      <c r="B1392" t="str">
        <f>IFERROR(__xludf.DUMMYFUNCTION("""COMPUTED_VALUE"""),"Vitasoy Usa Organic Nasoya Extra Firm Tofu")</f>
        <v>Vitasoy Usa Organic Nasoya Extra Firm Tofu</v>
      </c>
      <c r="C1392" t="str">
        <f>IFERROR(__xludf.DUMMYFUNCTION("""COMPUTED_VALUE"""),"Beans and Lentils")</f>
        <v>Beans and Lentils</v>
      </c>
      <c r="D1392">
        <f>IFERROR(__xludf.DUMMYFUNCTION("""COMPUTED_VALUE"""),98.0)</f>
        <v>98</v>
      </c>
      <c r="E1392">
        <f>IFERROR(__xludf.DUMMYFUNCTION("""COMPUTED_VALUE"""),5.2)</f>
        <v>5.2</v>
      </c>
      <c r="F1392">
        <f>IFERROR(__xludf.DUMMYFUNCTION("""COMPUTED_VALUE"""),10.1)</f>
        <v>10.1</v>
      </c>
      <c r="G1392">
        <f>IFERROR(__xludf.DUMMYFUNCTION("""COMPUTED_VALUE"""),2.6)</f>
        <v>2.6</v>
      </c>
    </row>
    <row r="1393">
      <c r="A1393">
        <f>IFERROR(__xludf.DUMMYFUNCTION("""COMPUTED_VALUE"""),173763.0)</f>
        <v>173763</v>
      </c>
      <c r="B1393" t="str">
        <f>IFERROR(__xludf.DUMMYFUNCTION("""COMPUTED_VALUE"""),"Vitasoy Usa Organic Nasoya Firm Tofu")</f>
        <v>Vitasoy Usa Organic Nasoya Firm Tofu</v>
      </c>
      <c r="C1393" t="str">
        <f>IFERROR(__xludf.DUMMYFUNCTION("""COMPUTED_VALUE"""),"Beans and Lentils")</f>
        <v>Beans and Lentils</v>
      </c>
      <c r="D1393">
        <f>IFERROR(__xludf.DUMMYFUNCTION("""COMPUTED_VALUE"""),84.0)</f>
        <v>84</v>
      </c>
      <c r="E1393">
        <f>IFERROR(__xludf.DUMMYFUNCTION("""COMPUTED_VALUE"""),4.4)</f>
        <v>4.4</v>
      </c>
      <c r="F1393">
        <f>IFERROR(__xludf.DUMMYFUNCTION("""COMPUTED_VALUE"""),8.9)</f>
        <v>8.9</v>
      </c>
      <c r="G1393">
        <f>IFERROR(__xludf.DUMMYFUNCTION("""COMPUTED_VALUE"""),2.3)</f>
        <v>2.3</v>
      </c>
    </row>
    <row r="1394">
      <c r="A1394">
        <f>IFERROR(__xludf.DUMMYFUNCTION("""COMPUTED_VALUE"""),173764.0)</f>
        <v>173764</v>
      </c>
      <c r="B1394" t="str">
        <f>IFERROR(__xludf.DUMMYFUNCTION("""COMPUTED_VALUE"""),"Vitasoy Usa Organic Nasoya Silken Tofu")</f>
        <v>Vitasoy Usa Organic Nasoya Silken Tofu</v>
      </c>
      <c r="C1394" t="str">
        <f>IFERROR(__xludf.DUMMYFUNCTION("""COMPUTED_VALUE"""),"Beans and Lentils")</f>
        <v>Beans and Lentils</v>
      </c>
      <c r="D1394">
        <f>IFERROR(__xludf.DUMMYFUNCTION("""COMPUTED_VALUE"""),47.0)</f>
        <v>47</v>
      </c>
      <c r="E1394">
        <f>IFERROR(__xludf.DUMMYFUNCTION("""COMPUTED_VALUE"""),2.5)</f>
        <v>2.5</v>
      </c>
      <c r="F1394">
        <f>IFERROR(__xludf.DUMMYFUNCTION("""COMPUTED_VALUE"""),4.8)</f>
        <v>4.8</v>
      </c>
      <c r="G1394">
        <f>IFERROR(__xludf.DUMMYFUNCTION("""COMPUTED_VALUE"""),1.4)</f>
        <v>1.4</v>
      </c>
    </row>
    <row r="1395">
      <c r="A1395">
        <f>IFERROR(__xludf.DUMMYFUNCTION("""COMPUTED_VALUE"""),173765.0)</f>
        <v>173765</v>
      </c>
      <c r="B1395" t="str">
        <f>IFERROR(__xludf.DUMMYFUNCTION("""COMPUTED_VALUE"""),"Soy Milk (All Flavors) Enhanced")</f>
        <v>Soy Milk (All Flavors) Enhanced</v>
      </c>
      <c r="C1395" t="str">
        <f>IFERROR(__xludf.DUMMYFUNCTION("""COMPUTED_VALUE"""),"Beans and Lentils")</f>
        <v>Beans and Lentils</v>
      </c>
      <c r="D1395">
        <f>IFERROR(__xludf.DUMMYFUNCTION("""COMPUTED_VALUE"""),45.0)</f>
        <v>45</v>
      </c>
      <c r="E1395">
        <f>IFERROR(__xludf.DUMMYFUNCTION("""COMPUTED_VALUE"""),1.99)</f>
        <v>1.99</v>
      </c>
      <c r="F1395">
        <f>IFERROR(__xludf.DUMMYFUNCTION("""COMPUTED_VALUE"""),2.94)</f>
        <v>2.94</v>
      </c>
      <c r="G1395">
        <f>IFERROR(__xludf.DUMMYFUNCTION("""COMPUTED_VALUE"""),3.45)</f>
        <v>3.45</v>
      </c>
    </row>
    <row r="1396">
      <c r="A1396">
        <f>IFERROR(__xludf.DUMMYFUNCTION("""COMPUTED_VALUE"""),173766.0)</f>
        <v>173766</v>
      </c>
      <c r="B1396" t="str">
        <f>IFERROR(__xludf.DUMMYFUNCTION("""COMPUTED_VALUE"""),"Soy Milk Original And Vanilla Light With Added Calcium Vitamins A And D")</f>
        <v>Soy Milk Original And Vanilla Light With Added Calcium Vitamins A And D</v>
      </c>
      <c r="C1396" t="str">
        <f>IFERROR(__xludf.DUMMYFUNCTION("""COMPUTED_VALUE"""),"Beans and Lentils")</f>
        <v>Beans and Lentils</v>
      </c>
      <c r="D1396">
        <f>IFERROR(__xludf.DUMMYFUNCTION("""COMPUTED_VALUE"""),30.0)</f>
        <v>30</v>
      </c>
      <c r="E1396">
        <f>IFERROR(__xludf.DUMMYFUNCTION("""COMPUTED_VALUE"""),0.77)</f>
        <v>0.77</v>
      </c>
      <c r="F1396">
        <f>IFERROR(__xludf.DUMMYFUNCTION("""COMPUTED_VALUE"""),2.38)</f>
        <v>2.38</v>
      </c>
      <c r="G1396">
        <f>IFERROR(__xludf.DUMMYFUNCTION("""COMPUTED_VALUE"""),3.51)</f>
        <v>3.51</v>
      </c>
    </row>
    <row r="1397">
      <c r="A1397">
        <f>IFERROR(__xludf.DUMMYFUNCTION("""COMPUTED_VALUE"""),173767.0)</f>
        <v>173767</v>
      </c>
      <c r="B1397" t="str">
        <f>IFERROR(__xludf.DUMMYFUNCTION("""COMPUTED_VALUE"""),"Soy Milk Chocolate And Other Flavors Light With Added Calcium Vitamins A And D")</f>
        <v>Soy Milk Chocolate And Other Flavors Light With Added Calcium Vitamins A And D</v>
      </c>
      <c r="C1397" t="str">
        <f>IFERROR(__xludf.DUMMYFUNCTION("""COMPUTED_VALUE"""),"Beans and Lentils")</f>
        <v>Beans and Lentils</v>
      </c>
      <c r="D1397">
        <f>IFERROR(__xludf.DUMMYFUNCTION("""COMPUTED_VALUE"""),47.0)</f>
        <v>47</v>
      </c>
      <c r="E1397">
        <f>IFERROR(__xludf.DUMMYFUNCTION("""COMPUTED_VALUE"""),0.64)</f>
        <v>0.64</v>
      </c>
      <c r="F1397">
        <f>IFERROR(__xludf.DUMMYFUNCTION("""COMPUTED_VALUE"""),2.1)</f>
        <v>2.1</v>
      </c>
      <c r="G1397">
        <f>IFERROR(__xludf.DUMMYFUNCTION("""COMPUTED_VALUE"""),8.24)</f>
        <v>8.24</v>
      </c>
    </row>
    <row r="1398">
      <c r="A1398">
        <f>IFERROR(__xludf.DUMMYFUNCTION("""COMPUTED_VALUE"""),173768.0)</f>
        <v>173768</v>
      </c>
      <c r="B1398" t="str">
        <f>IFERROR(__xludf.DUMMYFUNCTION("""COMPUTED_VALUE"""),"Soy Milk Original And Vanilla Light Unsweetened With Added Calcium Vitamins A And D")</f>
        <v>Soy Milk Original And Vanilla Light Unsweetened With Added Calcium Vitamins A And D</v>
      </c>
      <c r="C1398" t="str">
        <f>IFERROR(__xludf.DUMMYFUNCTION("""COMPUTED_VALUE"""),"Beans and Lentils")</f>
        <v>Beans and Lentils</v>
      </c>
      <c r="D1398">
        <f>IFERROR(__xludf.DUMMYFUNCTION("""COMPUTED_VALUE"""),34.0)</f>
        <v>34</v>
      </c>
      <c r="E1398">
        <f>IFERROR(__xludf.DUMMYFUNCTION("""COMPUTED_VALUE"""),0.85)</f>
        <v>0.85</v>
      </c>
      <c r="F1398">
        <f>IFERROR(__xludf.DUMMYFUNCTION("""COMPUTED_VALUE"""),2.62)</f>
        <v>2.62</v>
      </c>
      <c r="G1398">
        <f>IFERROR(__xludf.DUMMYFUNCTION("""COMPUTED_VALUE"""),3.85)</f>
        <v>3.85</v>
      </c>
    </row>
    <row r="1399">
      <c r="A1399">
        <f>IFERROR(__xludf.DUMMYFUNCTION("""COMPUTED_VALUE"""),173769.0)</f>
        <v>173769</v>
      </c>
      <c r="B1399" t="str">
        <f>IFERROR(__xludf.DUMMYFUNCTION("""COMPUTED_VALUE"""),"Soy Milk (All Flavors) Lowfat With Added Calcium Vitamins A And D")</f>
        <v>Soy Milk (All Flavors) Lowfat With Added Calcium Vitamins A And D</v>
      </c>
      <c r="C1399" t="str">
        <f>IFERROR(__xludf.DUMMYFUNCTION("""COMPUTED_VALUE"""),"Beans and Lentils")</f>
        <v>Beans and Lentils</v>
      </c>
      <c r="D1399">
        <f>IFERROR(__xludf.DUMMYFUNCTION("""COMPUTED_VALUE"""),43.0)</f>
        <v>43</v>
      </c>
      <c r="E1399">
        <f>IFERROR(__xludf.DUMMYFUNCTION("""COMPUTED_VALUE"""),0.62)</f>
        <v>0.62</v>
      </c>
      <c r="F1399">
        <f>IFERROR(__xludf.DUMMYFUNCTION("""COMPUTED_VALUE"""),1.65)</f>
        <v>1.65</v>
      </c>
      <c r="G1399">
        <f>IFERROR(__xludf.DUMMYFUNCTION("""COMPUTED_VALUE"""),7.2)</f>
        <v>7.2</v>
      </c>
    </row>
    <row r="1400">
      <c r="A1400">
        <f>IFERROR(__xludf.DUMMYFUNCTION("""COMPUTED_VALUE"""),173770.0)</f>
        <v>173770</v>
      </c>
      <c r="B1400" t="str">
        <f>IFERROR(__xludf.DUMMYFUNCTION("""COMPUTED_VALUE"""),"Silk Chocolate Soy Milk")</f>
        <v>Silk Chocolate Soy Milk</v>
      </c>
      <c r="C1400" t="str">
        <f>IFERROR(__xludf.DUMMYFUNCTION("""COMPUTED_VALUE"""),"Beans and Lentils")</f>
        <v>Beans and Lentils</v>
      </c>
      <c r="D1400">
        <f>IFERROR(__xludf.DUMMYFUNCTION("""COMPUTED_VALUE"""),58.0)</f>
        <v>58</v>
      </c>
      <c r="E1400">
        <f>IFERROR(__xludf.DUMMYFUNCTION("""COMPUTED_VALUE"""),1.44)</f>
        <v>1.44</v>
      </c>
      <c r="F1400">
        <f>IFERROR(__xludf.DUMMYFUNCTION("""COMPUTED_VALUE"""),2.06)</f>
        <v>2.06</v>
      </c>
      <c r="G1400">
        <f>IFERROR(__xludf.DUMMYFUNCTION("""COMPUTED_VALUE"""),9.47)</f>
        <v>9.47</v>
      </c>
    </row>
    <row r="1401">
      <c r="A1401">
        <f>IFERROR(__xludf.DUMMYFUNCTION("""COMPUTED_VALUE"""),173771.0)</f>
        <v>173771</v>
      </c>
      <c r="B1401" t="str">
        <f>IFERROR(__xludf.DUMMYFUNCTION("""COMPUTED_VALUE"""),"Silk Light Plain Soy Milk")</f>
        <v>Silk Light Plain Soy Milk</v>
      </c>
      <c r="C1401" t="str">
        <f>IFERROR(__xludf.DUMMYFUNCTION("""COMPUTED_VALUE"""),"Beans and Lentils")</f>
        <v>Beans and Lentils</v>
      </c>
      <c r="D1401">
        <f>IFERROR(__xludf.DUMMYFUNCTION("""COMPUTED_VALUE"""),29.0)</f>
        <v>29</v>
      </c>
      <c r="E1401">
        <f>IFERROR(__xludf.DUMMYFUNCTION("""COMPUTED_VALUE"""),0.82)</f>
        <v>0.82</v>
      </c>
      <c r="F1401">
        <f>IFERROR(__xludf.DUMMYFUNCTION("""COMPUTED_VALUE"""),2.47)</f>
        <v>2.47</v>
      </c>
      <c r="G1401">
        <f>IFERROR(__xludf.DUMMYFUNCTION("""COMPUTED_VALUE"""),3.29)</f>
        <v>3.29</v>
      </c>
    </row>
    <row r="1402">
      <c r="A1402">
        <f>IFERROR(__xludf.DUMMYFUNCTION("""COMPUTED_VALUE"""),173772.0)</f>
        <v>173772</v>
      </c>
      <c r="B1402" t="str">
        <f>IFERROR(__xludf.DUMMYFUNCTION("""COMPUTED_VALUE"""),"Silk Light Vanilla Soy Milk")</f>
        <v>Silk Light Vanilla Soy Milk</v>
      </c>
      <c r="C1402" t="str">
        <f>IFERROR(__xludf.DUMMYFUNCTION("""COMPUTED_VALUE"""),"Beans and Lentils")</f>
        <v>Beans and Lentils</v>
      </c>
      <c r="D1402">
        <f>IFERROR(__xludf.DUMMYFUNCTION("""COMPUTED_VALUE"""),33.0)</f>
        <v>33</v>
      </c>
      <c r="E1402">
        <f>IFERROR(__xludf.DUMMYFUNCTION("""COMPUTED_VALUE"""),0.82)</f>
        <v>0.82</v>
      </c>
      <c r="F1402">
        <f>IFERROR(__xludf.DUMMYFUNCTION("""COMPUTED_VALUE"""),2.47)</f>
        <v>2.47</v>
      </c>
      <c r="G1402">
        <f>IFERROR(__xludf.DUMMYFUNCTION("""COMPUTED_VALUE"""),4.12)</f>
        <v>4.12</v>
      </c>
    </row>
    <row r="1403">
      <c r="A1403">
        <f>IFERROR(__xludf.DUMMYFUNCTION("""COMPUTED_VALUE"""),173773.0)</f>
        <v>173773</v>
      </c>
      <c r="B1403" t="str">
        <f>IFERROR(__xludf.DUMMYFUNCTION("""COMPUTED_VALUE"""),"Silk Light Chocolate Soy Milk")</f>
        <v>Silk Light Chocolate Soy Milk</v>
      </c>
      <c r="C1403" t="str">
        <f>IFERROR(__xludf.DUMMYFUNCTION("""COMPUTED_VALUE"""),"Beans and Lentils")</f>
        <v>Beans and Lentils</v>
      </c>
      <c r="D1403">
        <f>IFERROR(__xludf.DUMMYFUNCTION("""COMPUTED_VALUE"""),49.0)</f>
        <v>49</v>
      </c>
      <c r="E1403">
        <f>IFERROR(__xludf.DUMMYFUNCTION("""COMPUTED_VALUE"""),0.62)</f>
        <v>0.62</v>
      </c>
      <c r="F1403">
        <f>IFERROR(__xludf.DUMMYFUNCTION("""COMPUTED_VALUE"""),2.06)</f>
        <v>2.06</v>
      </c>
      <c r="G1403">
        <f>IFERROR(__xludf.DUMMYFUNCTION("""COMPUTED_VALUE"""),9.05)</f>
        <v>9.05</v>
      </c>
    </row>
    <row r="1404">
      <c r="A1404">
        <f>IFERROR(__xludf.DUMMYFUNCTION("""COMPUTED_VALUE"""),173774.0)</f>
        <v>173774</v>
      </c>
      <c r="B1404" t="str">
        <f>IFERROR(__xludf.DUMMYFUNCTION("""COMPUTED_VALUE"""),"Silk Very Vanilla Soy Milk")</f>
        <v>Silk Very Vanilla Soy Milk</v>
      </c>
      <c r="C1404" t="str">
        <f>IFERROR(__xludf.DUMMYFUNCTION("""COMPUTED_VALUE"""),"Beans and Lentils")</f>
        <v>Beans and Lentils</v>
      </c>
      <c r="D1404">
        <f>IFERROR(__xludf.DUMMYFUNCTION("""COMPUTED_VALUE"""),53.0)</f>
        <v>53</v>
      </c>
      <c r="E1404">
        <f>IFERROR(__xludf.DUMMYFUNCTION("""COMPUTED_VALUE"""),1.65)</f>
        <v>1.65</v>
      </c>
      <c r="F1404">
        <f>IFERROR(__xludf.DUMMYFUNCTION("""COMPUTED_VALUE"""),2.47)</f>
        <v>2.47</v>
      </c>
      <c r="G1404">
        <f>IFERROR(__xludf.DUMMYFUNCTION("""COMPUTED_VALUE"""),7.82)</f>
        <v>7.82</v>
      </c>
    </row>
    <row r="1405">
      <c r="A1405">
        <f>IFERROR(__xludf.DUMMYFUNCTION("""COMPUTED_VALUE"""),173775.0)</f>
        <v>173775</v>
      </c>
      <c r="B1405" t="str">
        <f>IFERROR(__xludf.DUMMYFUNCTION("""COMPUTED_VALUE"""),"Silk Nog Soy Milk")</f>
        <v>Silk Nog Soy Milk</v>
      </c>
      <c r="C1405" t="str">
        <f>IFERROR(__xludf.DUMMYFUNCTION("""COMPUTED_VALUE"""),"Beans and Lentils")</f>
        <v>Beans and Lentils</v>
      </c>
      <c r="D1405">
        <f>IFERROR(__xludf.DUMMYFUNCTION("""COMPUTED_VALUE"""),74.0)</f>
        <v>74</v>
      </c>
      <c r="E1405">
        <f>IFERROR(__xludf.DUMMYFUNCTION("""COMPUTED_VALUE"""),1.64)</f>
        <v>1.64</v>
      </c>
      <c r="F1405">
        <f>IFERROR(__xludf.DUMMYFUNCTION("""COMPUTED_VALUE"""),2.46)</f>
        <v>2.46</v>
      </c>
      <c r="G1405">
        <f>IFERROR(__xludf.DUMMYFUNCTION("""COMPUTED_VALUE"""),12.3)</f>
        <v>12.3</v>
      </c>
    </row>
    <row r="1406">
      <c r="A1406">
        <f>IFERROR(__xludf.DUMMYFUNCTION("""COMPUTED_VALUE"""),173776.0)</f>
        <v>173776</v>
      </c>
      <c r="B1406" t="str">
        <f>IFERROR(__xludf.DUMMYFUNCTION("""COMPUTED_VALUE"""),"Silk Chai Soy Milk")</f>
        <v>Silk Chai Soy Milk</v>
      </c>
      <c r="C1406" t="str">
        <f>IFERROR(__xludf.DUMMYFUNCTION("""COMPUTED_VALUE"""),"Beans and Lentils")</f>
        <v>Beans and Lentils</v>
      </c>
      <c r="D1406">
        <f>IFERROR(__xludf.DUMMYFUNCTION("""COMPUTED_VALUE"""),53.0)</f>
        <v>53</v>
      </c>
      <c r="E1406">
        <f>IFERROR(__xludf.DUMMYFUNCTION("""COMPUTED_VALUE"""),1.44)</f>
        <v>1.44</v>
      </c>
      <c r="F1406">
        <f>IFERROR(__xludf.DUMMYFUNCTION("""COMPUTED_VALUE"""),2.47)</f>
        <v>2.47</v>
      </c>
      <c r="G1406">
        <f>IFERROR(__xludf.DUMMYFUNCTION("""COMPUTED_VALUE"""),7.82)</f>
        <v>7.82</v>
      </c>
    </row>
    <row r="1407">
      <c r="A1407">
        <f>IFERROR(__xludf.DUMMYFUNCTION("""COMPUTED_VALUE"""),173777.0)</f>
        <v>173777</v>
      </c>
      <c r="B1407" t="str">
        <f>IFERROR(__xludf.DUMMYFUNCTION("""COMPUTED_VALUE"""),"Silk Mocha Soy Milk")</f>
        <v>Silk Mocha Soy Milk</v>
      </c>
      <c r="C1407" t="str">
        <f>IFERROR(__xludf.DUMMYFUNCTION("""COMPUTED_VALUE"""),"Beans and Lentils")</f>
        <v>Beans and Lentils</v>
      </c>
      <c r="D1407">
        <f>IFERROR(__xludf.DUMMYFUNCTION("""COMPUTED_VALUE"""),58.0)</f>
        <v>58</v>
      </c>
      <c r="E1407">
        <f>IFERROR(__xludf.DUMMYFUNCTION("""COMPUTED_VALUE"""),1.44)</f>
        <v>1.44</v>
      </c>
      <c r="F1407">
        <f>IFERROR(__xludf.DUMMYFUNCTION("""COMPUTED_VALUE"""),2.06)</f>
        <v>2.06</v>
      </c>
      <c r="G1407">
        <f>IFERROR(__xludf.DUMMYFUNCTION("""COMPUTED_VALUE"""),9.05)</f>
        <v>9.05</v>
      </c>
    </row>
    <row r="1408">
      <c r="A1408">
        <f>IFERROR(__xludf.DUMMYFUNCTION("""COMPUTED_VALUE"""),173778.0)</f>
        <v>173778</v>
      </c>
      <c r="B1408" t="str">
        <f>IFERROR(__xludf.DUMMYFUNCTION("""COMPUTED_VALUE"""),"Silk Raspberry Soy Yogurt")</f>
        <v>Silk Raspberry Soy Yogurt</v>
      </c>
      <c r="C1408" t="str">
        <f>IFERROR(__xludf.DUMMYFUNCTION("""COMPUTED_VALUE"""),"Beans and Lentils")</f>
        <v>Beans and Lentils</v>
      </c>
      <c r="D1408">
        <f>IFERROR(__xludf.DUMMYFUNCTION("""COMPUTED_VALUE"""),88.0)</f>
        <v>88</v>
      </c>
      <c r="E1408">
        <f>IFERROR(__xludf.DUMMYFUNCTION("""COMPUTED_VALUE"""),1.18)</f>
        <v>1.18</v>
      </c>
      <c r="F1408">
        <f>IFERROR(__xludf.DUMMYFUNCTION("""COMPUTED_VALUE"""),2.35)</f>
        <v>2.35</v>
      </c>
      <c r="G1408">
        <f>IFERROR(__xludf.DUMMYFUNCTION("""COMPUTED_VALUE"""),17.65)</f>
        <v>17.65</v>
      </c>
    </row>
    <row r="1409">
      <c r="A1409">
        <f>IFERROR(__xludf.DUMMYFUNCTION("""COMPUTED_VALUE"""),173779.0)</f>
        <v>173779</v>
      </c>
      <c r="B1409" t="str">
        <f>IFERROR(__xludf.DUMMYFUNCTION("""COMPUTED_VALUE"""),"Silk Peach Soy Yogurt")</f>
        <v>Silk Peach Soy Yogurt</v>
      </c>
      <c r="C1409" t="str">
        <f>IFERROR(__xludf.DUMMYFUNCTION("""COMPUTED_VALUE"""),"Beans and Lentils")</f>
        <v>Beans and Lentils</v>
      </c>
      <c r="D1409">
        <f>IFERROR(__xludf.DUMMYFUNCTION("""COMPUTED_VALUE"""),94.0)</f>
        <v>94</v>
      </c>
      <c r="E1409">
        <f>IFERROR(__xludf.DUMMYFUNCTION("""COMPUTED_VALUE"""),1.18)</f>
        <v>1.18</v>
      </c>
      <c r="F1409">
        <f>IFERROR(__xludf.DUMMYFUNCTION("""COMPUTED_VALUE"""),2.35)</f>
        <v>2.35</v>
      </c>
      <c r="G1409">
        <f>IFERROR(__xludf.DUMMYFUNCTION("""COMPUTED_VALUE"""),18.82)</f>
        <v>18.82</v>
      </c>
    </row>
    <row r="1410">
      <c r="A1410">
        <f>IFERROR(__xludf.DUMMYFUNCTION("""COMPUTED_VALUE"""),173780.0)</f>
        <v>173780</v>
      </c>
      <c r="B1410" t="str">
        <f>IFERROR(__xludf.DUMMYFUNCTION("""COMPUTED_VALUE"""),"Silk Black Cherry Soy Yogurt")</f>
        <v>Silk Black Cherry Soy Yogurt</v>
      </c>
      <c r="C1410" t="str">
        <f>IFERROR(__xludf.DUMMYFUNCTION("""COMPUTED_VALUE"""),"Beans and Lentils")</f>
        <v>Beans and Lentils</v>
      </c>
      <c r="D1410">
        <f>IFERROR(__xludf.DUMMYFUNCTION("""COMPUTED_VALUE"""),88.0)</f>
        <v>88</v>
      </c>
      <c r="E1410">
        <f>IFERROR(__xludf.DUMMYFUNCTION("""COMPUTED_VALUE"""),1.18)</f>
        <v>1.18</v>
      </c>
      <c r="F1410">
        <f>IFERROR(__xludf.DUMMYFUNCTION("""COMPUTED_VALUE"""),2.35)</f>
        <v>2.35</v>
      </c>
      <c r="G1410">
        <f>IFERROR(__xludf.DUMMYFUNCTION("""COMPUTED_VALUE"""),17.06)</f>
        <v>17.06</v>
      </c>
    </row>
    <row r="1411">
      <c r="A1411">
        <f>IFERROR(__xludf.DUMMYFUNCTION("""COMPUTED_VALUE"""),173781.0)</f>
        <v>173781</v>
      </c>
      <c r="B1411" t="str">
        <f>IFERROR(__xludf.DUMMYFUNCTION("""COMPUTED_VALUE"""),"Silk Blueberry Soy Yogurt")</f>
        <v>Silk Blueberry Soy Yogurt</v>
      </c>
      <c r="C1411" t="str">
        <f>IFERROR(__xludf.DUMMYFUNCTION("""COMPUTED_VALUE"""),"Beans and Lentils")</f>
        <v>Beans and Lentils</v>
      </c>
      <c r="D1411">
        <f>IFERROR(__xludf.DUMMYFUNCTION("""COMPUTED_VALUE"""),88.0)</f>
        <v>88</v>
      </c>
      <c r="E1411">
        <f>IFERROR(__xludf.DUMMYFUNCTION("""COMPUTED_VALUE"""),1.18)</f>
        <v>1.18</v>
      </c>
      <c r="F1411">
        <f>IFERROR(__xludf.DUMMYFUNCTION("""COMPUTED_VALUE"""),2.35)</f>
        <v>2.35</v>
      </c>
      <c r="G1411">
        <f>IFERROR(__xludf.DUMMYFUNCTION("""COMPUTED_VALUE"""),17.06)</f>
        <v>17.06</v>
      </c>
    </row>
    <row r="1412">
      <c r="A1412">
        <f>IFERROR(__xludf.DUMMYFUNCTION("""COMPUTED_VALUE"""),173782.0)</f>
        <v>173782</v>
      </c>
      <c r="B1412" t="str">
        <f>IFERROR(__xludf.DUMMYFUNCTION("""COMPUTED_VALUE"""),"Silk Hazelnut Creamer")</f>
        <v>Silk Hazelnut Creamer</v>
      </c>
      <c r="C1412" t="str">
        <f>IFERROR(__xludf.DUMMYFUNCTION("""COMPUTED_VALUE"""),"Beans and Lentils")</f>
        <v>Beans and Lentils</v>
      </c>
      <c r="D1412">
        <f>IFERROR(__xludf.DUMMYFUNCTION("""COMPUTED_VALUE"""),133.0)</f>
        <v>133</v>
      </c>
      <c r="E1412">
        <f>IFERROR(__xludf.DUMMYFUNCTION("""COMPUTED_VALUE"""),6.67)</f>
        <v>6.67</v>
      </c>
      <c r="F1412">
        <f>IFERROR(__xludf.DUMMYFUNCTION("""COMPUTED_VALUE"""),0.0)</f>
        <v>0</v>
      </c>
      <c r="G1412">
        <f>IFERROR(__xludf.DUMMYFUNCTION("""COMPUTED_VALUE"""),20.0)</f>
        <v>20</v>
      </c>
    </row>
    <row r="1413">
      <c r="A1413">
        <f>IFERROR(__xludf.DUMMYFUNCTION("""COMPUTED_VALUE"""),173783.0)</f>
        <v>173783</v>
      </c>
      <c r="B1413" t="str">
        <f>IFERROR(__xludf.DUMMYFUNCTION("""COMPUTED_VALUE"""),"Vitasoy Usa Organic Nasoya Soft Tofu")</f>
        <v>Vitasoy Usa Organic Nasoya Soft Tofu</v>
      </c>
      <c r="C1413" t="str">
        <f>IFERROR(__xludf.DUMMYFUNCTION("""COMPUTED_VALUE"""),"Beans and Lentils")</f>
        <v>Beans and Lentils</v>
      </c>
      <c r="D1413">
        <f>IFERROR(__xludf.DUMMYFUNCTION("""COMPUTED_VALUE"""),70.0)</f>
        <v>70</v>
      </c>
      <c r="E1413">
        <f>IFERROR(__xludf.DUMMYFUNCTION("""COMPUTED_VALUE"""),3.5)</f>
        <v>3.5</v>
      </c>
      <c r="F1413">
        <f>IFERROR(__xludf.DUMMYFUNCTION("""COMPUTED_VALUE"""),8.76)</f>
        <v>8.76</v>
      </c>
      <c r="G1413">
        <f>IFERROR(__xludf.DUMMYFUNCTION("""COMPUTED_VALUE"""),0.74)</f>
        <v>0.74</v>
      </c>
    </row>
    <row r="1414">
      <c r="A1414">
        <f>IFERROR(__xludf.DUMMYFUNCTION("""COMPUTED_VALUE"""),173784.0)</f>
        <v>173784</v>
      </c>
      <c r="B1414" t="str">
        <f>IFERROR(__xludf.DUMMYFUNCTION("""COMPUTED_VALUE"""),"Fortified Silken Tofu")</f>
        <v>Fortified Silken Tofu</v>
      </c>
      <c r="C1414" t="str">
        <f>IFERROR(__xludf.DUMMYFUNCTION("""COMPUTED_VALUE"""),"Beans and Lentils")</f>
        <v>Beans and Lentils</v>
      </c>
      <c r="D1414">
        <f>IFERROR(__xludf.DUMMYFUNCTION("""COMPUTED_VALUE"""),43.0)</f>
        <v>43</v>
      </c>
      <c r="E1414">
        <f>IFERROR(__xludf.DUMMYFUNCTION("""COMPUTED_VALUE"""),1.1)</f>
        <v>1.1</v>
      </c>
      <c r="F1414">
        <f>IFERROR(__xludf.DUMMYFUNCTION("""COMPUTED_VALUE"""),8.21)</f>
        <v>8.21</v>
      </c>
      <c r="G1414">
        <f>IFERROR(__xludf.DUMMYFUNCTION("""COMPUTED_VALUE"""),0.0)</f>
        <v>0</v>
      </c>
    </row>
    <row r="1415">
      <c r="A1415">
        <f>IFERROR(__xludf.DUMMYFUNCTION("""COMPUTED_VALUE"""),173785.0)</f>
        <v>173785</v>
      </c>
      <c r="B1415" t="str">
        <f>IFERROR(__xludf.DUMMYFUNCTION("""COMPUTED_VALUE"""),"Extra Firm Fortified Tofu")</f>
        <v>Extra Firm Fortified Tofu</v>
      </c>
      <c r="C1415" t="str">
        <f>IFERROR(__xludf.DUMMYFUNCTION("""COMPUTED_VALUE"""),"Beans and Lentils")</f>
        <v>Beans and Lentils</v>
      </c>
      <c r="D1415">
        <f>IFERROR(__xludf.DUMMYFUNCTION("""COMPUTED_VALUE"""),92.0)</f>
        <v>92</v>
      </c>
      <c r="E1415">
        <f>IFERROR(__xludf.DUMMYFUNCTION("""COMPUTED_VALUE"""),4.9)</f>
        <v>4.9</v>
      </c>
      <c r="F1415">
        <f>IFERROR(__xludf.DUMMYFUNCTION("""COMPUTED_VALUE"""),10.18)</f>
        <v>10.18</v>
      </c>
      <c r="G1415">
        <f>IFERROR(__xludf.DUMMYFUNCTION("""COMPUTED_VALUE"""),1.82)</f>
        <v>1.82</v>
      </c>
    </row>
    <row r="1416">
      <c r="A1416">
        <f>IFERROR(__xludf.DUMMYFUNCTION("""COMPUTED_VALUE"""),173786.0)</f>
        <v>173786</v>
      </c>
      <c r="B1416" t="str">
        <f>IFERROR(__xludf.DUMMYFUNCTION("""COMPUTED_VALUE"""),"Vitasoy Usa Azumaya Silken Tofu")</f>
        <v>Vitasoy Usa Azumaya Silken Tofu</v>
      </c>
      <c r="C1416" t="str">
        <f>IFERROR(__xludf.DUMMYFUNCTION("""COMPUTED_VALUE"""),"Beans and Lentils")</f>
        <v>Beans and Lentils</v>
      </c>
      <c r="D1416">
        <f>IFERROR(__xludf.DUMMYFUNCTION("""COMPUTED_VALUE"""),43.0)</f>
        <v>43</v>
      </c>
      <c r="E1416">
        <f>IFERROR(__xludf.DUMMYFUNCTION("""COMPUTED_VALUE"""),2.4)</f>
        <v>2.4</v>
      </c>
      <c r="F1416">
        <f>IFERROR(__xludf.DUMMYFUNCTION("""COMPUTED_VALUE"""),4.82)</f>
        <v>4.82</v>
      </c>
      <c r="G1416">
        <f>IFERROR(__xludf.DUMMYFUNCTION("""COMPUTED_VALUE"""),0.58)</f>
        <v>0.58</v>
      </c>
    </row>
    <row r="1417">
      <c r="A1417">
        <f>IFERROR(__xludf.DUMMYFUNCTION("""COMPUTED_VALUE"""),173787.0)</f>
        <v>173787</v>
      </c>
      <c r="B1417" t="str">
        <f>IFERROR(__xludf.DUMMYFUNCTION("""COMPUTED_VALUE"""),"House Foods Premium Soft Tofu")</f>
        <v>House Foods Premium Soft Tofu</v>
      </c>
      <c r="C1417" t="str">
        <f>IFERROR(__xludf.DUMMYFUNCTION("""COMPUTED_VALUE"""),"Beans and Lentils")</f>
        <v>Beans and Lentils</v>
      </c>
      <c r="D1417">
        <f>IFERROR(__xludf.DUMMYFUNCTION("""COMPUTED_VALUE"""),59.0)</f>
        <v>59</v>
      </c>
      <c r="E1417">
        <f>IFERROR(__xludf.DUMMYFUNCTION("""COMPUTED_VALUE"""),2.71)</f>
        <v>2.71</v>
      </c>
      <c r="F1417">
        <f>IFERROR(__xludf.DUMMYFUNCTION("""COMPUTED_VALUE"""),6.38)</f>
        <v>6.38</v>
      </c>
      <c r="G1417">
        <f>IFERROR(__xludf.DUMMYFUNCTION("""COMPUTED_VALUE"""),2.19)</f>
        <v>2.19</v>
      </c>
    </row>
    <row r="1418">
      <c r="A1418">
        <f>IFERROR(__xludf.DUMMYFUNCTION("""COMPUTED_VALUE"""),173788.0)</f>
        <v>173788</v>
      </c>
      <c r="B1418" t="str">
        <f>IFERROR(__xludf.DUMMYFUNCTION("""COMPUTED_VALUE"""),"House Foods Premium Firm Tofu")</f>
        <v>House Foods Premium Firm Tofu</v>
      </c>
      <c r="C1418" t="str">
        <f>IFERROR(__xludf.DUMMYFUNCTION("""COMPUTED_VALUE"""),"Beans and Lentils")</f>
        <v>Beans and Lentils</v>
      </c>
      <c r="D1418">
        <f>IFERROR(__xludf.DUMMYFUNCTION("""COMPUTED_VALUE"""),85.0)</f>
        <v>85</v>
      </c>
      <c r="E1418">
        <f>IFERROR(__xludf.DUMMYFUNCTION("""COMPUTED_VALUE"""),4.19)</f>
        <v>4.19</v>
      </c>
      <c r="F1418">
        <f>IFERROR(__xludf.DUMMYFUNCTION("""COMPUTED_VALUE"""),10.92)</f>
        <v>10.92</v>
      </c>
      <c r="G1418">
        <f>IFERROR(__xludf.DUMMYFUNCTION("""COMPUTED_VALUE"""),0.97)</f>
        <v>0.97</v>
      </c>
    </row>
    <row r="1419">
      <c r="A1419">
        <f>IFERROR(__xludf.DUMMYFUNCTION("""COMPUTED_VALUE"""),173789.0)</f>
        <v>173789</v>
      </c>
      <c r="B1419" t="str">
        <f>IFERROR(__xludf.DUMMYFUNCTION("""COMPUTED_VALUE"""),"Beans Adzuki Mature Seed Cooked Boiled With Salt")</f>
        <v>Beans Adzuki Mature Seed Cooked Boiled With Salt</v>
      </c>
      <c r="C1419" t="str">
        <f>IFERROR(__xludf.DUMMYFUNCTION("""COMPUTED_VALUE"""),"Beans and Lentils")</f>
        <v>Beans and Lentils</v>
      </c>
      <c r="D1419">
        <f>IFERROR(__xludf.DUMMYFUNCTION("""COMPUTED_VALUE"""),128.0)</f>
        <v>128</v>
      </c>
      <c r="E1419">
        <f>IFERROR(__xludf.DUMMYFUNCTION("""COMPUTED_VALUE"""),0.1)</f>
        <v>0.1</v>
      </c>
      <c r="F1419">
        <f>IFERROR(__xludf.DUMMYFUNCTION("""COMPUTED_VALUE"""),7.52)</f>
        <v>7.52</v>
      </c>
      <c r="G1419">
        <f>IFERROR(__xludf.DUMMYFUNCTION("""COMPUTED_VALUE"""),24.77)</f>
        <v>24.77</v>
      </c>
    </row>
    <row r="1420">
      <c r="A1420">
        <f>IFERROR(__xludf.DUMMYFUNCTION("""COMPUTED_VALUE"""),173790.0)</f>
        <v>173790</v>
      </c>
      <c r="B1420" t="str">
        <f>IFERROR(__xludf.DUMMYFUNCTION("""COMPUTED_VALUE"""),"Beans Great Northern Mature Seeds Cooked Boiled With Salt")</f>
        <v>Beans Great Northern Mature Seeds Cooked Boiled With Salt</v>
      </c>
      <c r="C1420" t="str">
        <f>IFERROR(__xludf.DUMMYFUNCTION("""COMPUTED_VALUE"""),"Beans and Lentils")</f>
        <v>Beans and Lentils</v>
      </c>
      <c r="D1420">
        <f>IFERROR(__xludf.DUMMYFUNCTION("""COMPUTED_VALUE"""),118.0)</f>
        <v>118</v>
      </c>
      <c r="E1420">
        <f>IFERROR(__xludf.DUMMYFUNCTION("""COMPUTED_VALUE"""),0.45)</f>
        <v>0.45</v>
      </c>
      <c r="F1420">
        <f>IFERROR(__xludf.DUMMYFUNCTION("""COMPUTED_VALUE"""),8.33)</f>
        <v>8.33</v>
      </c>
      <c r="G1420">
        <f>IFERROR(__xludf.DUMMYFUNCTION("""COMPUTED_VALUE"""),21.09)</f>
        <v>21.09</v>
      </c>
    </row>
    <row r="1421">
      <c r="A1421">
        <f>IFERROR(__xludf.DUMMYFUNCTION("""COMPUTED_VALUE"""),173791.0)</f>
        <v>173791</v>
      </c>
      <c r="B1421" t="str">
        <f>IFERROR(__xludf.DUMMYFUNCTION("""COMPUTED_VALUE"""),"Beans Great Northern Mature Seeds Canned Low Sodium")</f>
        <v>Beans Great Northern Mature Seeds Canned Low Sodium</v>
      </c>
      <c r="C1421" t="str">
        <f>IFERROR(__xludf.DUMMYFUNCTION("""COMPUTED_VALUE"""),"Beans and Lentils")</f>
        <v>Beans and Lentils</v>
      </c>
      <c r="D1421">
        <f>IFERROR(__xludf.DUMMYFUNCTION("""COMPUTED_VALUE"""),114.0)</f>
        <v>114</v>
      </c>
      <c r="E1421">
        <f>IFERROR(__xludf.DUMMYFUNCTION("""COMPUTED_VALUE"""),0.39)</f>
        <v>0.39</v>
      </c>
      <c r="F1421">
        <f>IFERROR(__xludf.DUMMYFUNCTION("""COMPUTED_VALUE"""),7.37)</f>
        <v>7.37</v>
      </c>
      <c r="G1421">
        <f>IFERROR(__xludf.DUMMYFUNCTION("""COMPUTED_VALUE"""),21.02)</f>
        <v>21.02</v>
      </c>
    </row>
    <row r="1422">
      <c r="A1422">
        <f>IFERROR(__xludf.DUMMYFUNCTION("""COMPUTED_VALUE"""),173792.0)</f>
        <v>173792</v>
      </c>
      <c r="B1422" t="str">
        <f>IFERROR(__xludf.DUMMYFUNCTION("""COMPUTED_VALUE"""),"Beans Kidney All Types Mature Seeds Cooked Boiled With Salt")</f>
        <v>Beans Kidney All Types Mature Seeds Cooked Boiled With Salt</v>
      </c>
      <c r="C1422" t="str">
        <f>IFERROR(__xludf.DUMMYFUNCTION("""COMPUTED_VALUE"""),"Beans and Lentils")</f>
        <v>Beans and Lentils</v>
      </c>
      <c r="D1422">
        <f>IFERROR(__xludf.DUMMYFUNCTION("""COMPUTED_VALUE"""),127.0)</f>
        <v>127</v>
      </c>
      <c r="E1422">
        <f>IFERROR(__xludf.DUMMYFUNCTION("""COMPUTED_VALUE"""),0.5)</f>
        <v>0.5</v>
      </c>
      <c r="F1422">
        <f>IFERROR(__xludf.DUMMYFUNCTION("""COMPUTED_VALUE"""),8.67)</f>
        <v>8.67</v>
      </c>
      <c r="G1422">
        <f>IFERROR(__xludf.DUMMYFUNCTION("""COMPUTED_VALUE"""),22.8)</f>
        <v>22.8</v>
      </c>
    </row>
    <row r="1423">
      <c r="A1423">
        <f>IFERROR(__xludf.DUMMYFUNCTION("""COMPUTED_VALUE"""),173793.0)</f>
        <v>173793</v>
      </c>
      <c r="B1423" t="str">
        <f>IFERROR(__xludf.DUMMYFUNCTION("""COMPUTED_VALUE"""),"Beans Kidney California Red Mature Seeds Cooked Boiled With Salt")</f>
        <v>Beans Kidney California Red Mature Seeds Cooked Boiled With Salt</v>
      </c>
      <c r="C1423" t="str">
        <f>IFERROR(__xludf.DUMMYFUNCTION("""COMPUTED_VALUE"""),"Beans and Lentils")</f>
        <v>Beans and Lentils</v>
      </c>
      <c r="D1423">
        <f>IFERROR(__xludf.DUMMYFUNCTION("""COMPUTED_VALUE"""),124.0)</f>
        <v>124</v>
      </c>
      <c r="E1423">
        <f>IFERROR(__xludf.DUMMYFUNCTION("""COMPUTED_VALUE"""),0.09)</f>
        <v>0.09</v>
      </c>
      <c r="F1423">
        <f>IFERROR(__xludf.DUMMYFUNCTION("""COMPUTED_VALUE"""),9.13)</f>
        <v>9.13</v>
      </c>
      <c r="G1423">
        <f>IFERROR(__xludf.DUMMYFUNCTION("""COMPUTED_VALUE"""),22.41)</f>
        <v>22.41</v>
      </c>
    </row>
    <row r="1424">
      <c r="A1424">
        <f>IFERROR(__xludf.DUMMYFUNCTION("""COMPUTED_VALUE"""),173794.0)</f>
        <v>173794</v>
      </c>
      <c r="B1424" t="str">
        <f>IFERROR(__xludf.DUMMYFUNCTION("""COMPUTED_VALUE"""),"Beans Navy Mature Seeds Cooked Boiled With Salt")</f>
        <v>Beans Navy Mature Seeds Cooked Boiled With Salt</v>
      </c>
      <c r="C1424" t="str">
        <f>IFERROR(__xludf.DUMMYFUNCTION("""COMPUTED_VALUE"""),"Beans and Lentils")</f>
        <v>Beans and Lentils</v>
      </c>
      <c r="D1424">
        <f>IFERROR(__xludf.DUMMYFUNCTION("""COMPUTED_VALUE"""),140.0)</f>
        <v>140</v>
      </c>
      <c r="E1424">
        <f>IFERROR(__xludf.DUMMYFUNCTION("""COMPUTED_VALUE"""),0.62)</f>
        <v>0.62</v>
      </c>
      <c r="F1424">
        <f>IFERROR(__xludf.DUMMYFUNCTION("""COMPUTED_VALUE"""),8.23)</f>
        <v>8.23</v>
      </c>
      <c r="G1424">
        <f>IFERROR(__xludf.DUMMYFUNCTION("""COMPUTED_VALUE"""),26.05)</f>
        <v>26.05</v>
      </c>
    </row>
    <row r="1425">
      <c r="A1425">
        <f>IFERROR(__xludf.DUMMYFUNCTION("""COMPUTED_VALUE"""),173795.0)</f>
        <v>173795</v>
      </c>
      <c r="B1425" t="str">
        <f>IFERROR(__xludf.DUMMYFUNCTION("""COMPUTED_VALUE"""),"Beans Pink Mature Seeds Cooked Boiled With Salt")</f>
        <v>Beans Pink Mature Seeds Cooked Boiled With Salt</v>
      </c>
      <c r="C1425" t="str">
        <f>IFERROR(__xludf.DUMMYFUNCTION("""COMPUTED_VALUE"""),"Beans and Lentils")</f>
        <v>Beans and Lentils</v>
      </c>
      <c r="D1425">
        <f>IFERROR(__xludf.DUMMYFUNCTION("""COMPUTED_VALUE"""),149.0)</f>
        <v>149</v>
      </c>
      <c r="E1425">
        <f>IFERROR(__xludf.DUMMYFUNCTION("""COMPUTED_VALUE"""),0.49)</f>
        <v>0.49</v>
      </c>
      <c r="F1425">
        <f>IFERROR(__xludf.DUMMYFUNCTION("""COMPUTED_VALUE"""),9.06)</f>
        <v>9.06</v>
      </c>
      <c r="G1425">
        <f>IFERROR(__xludf.DUMMYFUNCTION("""COMPUTED_VALUE"""),27.91)</f>
        <v>27.91</v>
      </c>
    </row>
    <row r="1426">
      <c r="A1426">
        <f>IFERROR(__xludf.DUMMYFUNCTION("""COMPUTED_VALUE"""),173796.0)</f>
        <v>173796</v>
      </c>
      <c r="B1426" t="str">
        <f>IFERROR(__xludf.DUMMYFUNCTION("""COMPUTED_VALUE"""),"Beans Pinto Mature Seeds Cooked Boiled With Salt")</f>
        <v>Beans Pinto Mature Seeds Cooked Boiled With Salt</v>
      </c>
      <c r="C1426" t="str">
        <f>IFERROR(__xludf.DUMMYFUNCTION("""COMPUTED_VALUE"""),"Beans and Lentils")</f>
        <v>Beans and Lentils</v>
      </c>
      <c r="D1426">
        <f>IFERROR(__xludf.DUMMYFUNCTION("""COMPUTED_VALUE"""),143.0)</f>
        <v>143</v>
      </c>
      <c r="E1426">
        <f>IFERROR(__xludf.DUMMYFUNCTION("""COMPUTED_VALUE"""),0.65)</f>
        <v>0.65</v>
      </c>
      <c r="F1426">
        <f>IFERROR(__xludf.DUMMYFUNCTION("""COMPUTED_VALUE"""),9.01)</f>
        <v>9.01</v>
      </c>
      <c r="G1426">
        <f>IFERROR(__xludf.DUMMYFUNCTION("""COMPUTED_VALUE"""),26.22)</f>
        <v>26.22</v>
      </c>
    </row>
    <row r="1427">
      <c r="A1427">
        <f>IFERROR(__xludf.DUMMYFUNCTION("""COMPUTED_VALUE"""),173797.0)</f>
        <v>173797</v>
      </c>
      <c r="B1427" t="str">
        <f>IFERROR(__xludf.DUMMYFUNCTION("""COMPUTED_VALUE"""),"Beans Pinto Mature Seeds Canned Drained Solids Rinsed In Tap Water")</f>
        <v>Beans Pinto Mature Seeds Canned Drained Solids Rinsed In Tap Water</v>
      </c>
      <c r="C1427" t="str">
        <f>IFERROR(__xludf.DUMMYFUNCTION("""COMPUTED_VALUE"""),"Beans and Lentils")</f>
        <v>Beans and Lentils</v>
      </c>
      <c r="D1427">
        <f>IFERROR(__xludf.DUMMYFUNCTION("""COMPUTED_VALUE"""),117.0)</f>
        <v>117</v>
      </c>
      <c r="E1427">
        <f>IFERROR(__xludf.DUMMYFUNCTION("""COMPUTED_VALUE"""),0.97)</f>
        <v>0.97</v>
      </c>
      <c r="F1427">
        <f>IFERROR(__xludf.DUMMYFUNCTION("""COMPUTED_VALUE"""),7.04)</f>
        <v>7.04</v>
      </c>
      <c r="G1427">
        <f>IFERROR(__xludf.DUMMYFUNCTION("""COMPUTED_VALUE"""),20.77)</f>
        <v>20.77</v>
      </c>
    </row>
    <row r="1428">
      <c r="A1428">
        <f>IFERROR(__xludf.DUMMYFUNCTION("""COMPUTED_VALUE"""),173798.0)</f>
        <v>173798</v>
      </c>
      <c r="B1428" t="str">
        <f>IFERROR(__xludf.DUMMYFUNCTION("""COMPUTED_VALUE"""),"Broadbeans (Fava Beans) Mature Seeds Cooked Boiled With Salt")</f>
        <v>Broadbeans (Fava Beans) Mature Seeds Cooked Boiled With Salt</v>
      </c>
      <c r="C1428" t="str">
        <f>IFERROR(__xludf.DUMMYFUNCTION("""COMPUTED_VALUE"""),"Beans and Lentils")</f>
        <v>Beans and Lentils</v>
      </c>
      <c r="D1428">
        <f>IFERROR(__xludf.DUMMYFUNCTION("""COMPUTED_VALUE"""),110.0)</f>
        <v>110</v>
      </c>
      <c r="E1428">
        <f>IFERROR(__xludf.DUMMYFUNCTION("""COMPUTED_VALUE"""),0.4)</f>
        <v>0.4</v>
      </c>
      <c r="F1428">
        <f>IFERROR(__xludf.DUMMYFUNCTION("""COMPUTED_VALUE"""),7.6)</f>
        <v>7.6</v>
      </c>
      <c r="G1428">
        <f>IFERROR(__xludf.DUMMYFUNCTION("""COMPUTED_VALUE"""),19.65)</f>
        <v>19.65</v>
      </c>
    </row>
    <row r="1429">
      <c r="A1429">
        <f>IFERROR(__xludf.DUMMYFUNCTION("""COMPUTED_VALUE"""),173799.0)</f>
        <v>173799</v>
      </c>
      <c r="B1429" t="str">
        <f>IFERROR(__xludf.DUMMYFUNCTION("""COMPUTED_VALUE"""),"Chickpeas (Garbanzo Beans Bengal Gram) Mature Seeds Cooked Boiled With Salt")</f>
        <v>Chickpeas (Garbanzo Beans Bengal Gram) Mature Seeds Cooked Boiled With Salt</v>
      </c>
      <c r="C1429" t="str">
        <f>IFERROR(__xludf.DUMMYFUNCTION("""COMPUTED_VALUE"""),"Beans and Lentils")</f>
        <v>Beans and Lentils</v>
      </c>
      <c r="D1429">
        <f>IFERROR(__xludf.DUMMYFUNCTION("""COMPUTED_VALUE"""),164.0)</f>
        <v>164</v>
      </c>
      <c r="E1429">
        <f>IFERROR(__xludf.DUMMYFUNCTION("""COMPUTED_VALUE"""),2.59)</f>
        <v>2.59</v>
      </c>
      <c r="F1429">
        <f>IFERROR(__xludf.DUMMYFUNCTION("""COMPUTED_VALUE"""),8.86)</f>
        <v>8.86</v>
      </c>
      <c r="G1429">
        <f>IFERROR(__xludf.DUMMYFUNCTION("""COMPUTED_VALUE"""),27.42)</f>
        <v>27.42</v>
      </c>
    </row>
    <row r="1430">
      <c r="A1430">
        <f>IFERROR(__xludf.DUMMYFUNCTION("""COMPUTED_VALUE"""),173800.0)</f>
        <v>173800</v>
      </c>
      <c r="B1430" t="str">
        <f>IFERROR(__xludf.DUMMYFUNCTION("""COMPUTED_VALUE"""),"Chickpeas (Garbanzo Beans Bengal Gram) Mature Seeds Canned Drained Solids")</f>
        <v>Chickpeas (Garbanzo Beans Bengal Gram) Mature Seeds Canned Drained Solids</v>
      </c>
      <c r="C1430" t="str">
        <f>IFERROR(__xludf.DUMMYFUNCTION("""COMPUTED_VALUE"""),"Beans and Lentils")</f>
        <v>Beans and Lentils</v>
      </c>
      <c r="D1430">
        <f>IFERROR(__xludf.DUMMYFUNCTION("""COMPUTED_VALUE"""),139.0)</f>
        <v>139</v>
      </c>
      <c r="E1430">
        <f>IFERROR(__xludf.DUMMYFUNCTION("""COMPUTED_VALUE"""),2.77)</f>
        <v>2.77</v>
      </c>
      <c r="F1430">
        <f>IFERROR(__xludf.DUMMYFUNCTION("""COMPUTED_VALUE"""),7.05)</f>
        <v>7.05</v>
      </c>
      <c r="G1430">
        <f>IFERROR(__xludf.DUMMYFUNCTION("""COMPUTED_VALUE"""),22.53)</f>
        <v>22.53</v>
      </c>
    </row>
    <row r="1431">
      <c r="A1431">
        <f>IFERROR(__xludf.DUMMYFUNCTION("""COMPUTED_VALUE"""),173801.0)</f>
        <v>173801</v>
      </c>
      <c r="B1431" t="str">
        <f>IFERROR(__xludf.DUMMYFUNCTION("""COMPUTED_VALUE"""),"Chickpeas (Garbanzo Beans Bengal Gram) Mature Seeds Canned Drained Rinsed In Tap Water")</f>
        <v>Chickpeas (Garbanzo Beans Bengal Gram) Mature Seeds Canned Drained Rinsed In Tap Water</v>
      </c>
      <c r="C1431" t="str">
        <f>IFERROR(__xludf.DUMMYFUNCTION("""COMPUTED_VALUE"""),"Beans and Lentils")</f>
        <v>Beans and Lentils</v>
      </c>
      <c r="D1431">
        <f>IFERROR(__xludf.DUMMYFUNCTION("""COMPUTED_VALUE"""),138.0)</f>
        <v>138</v>
      </c>
      <c r="E1431">
        <f>IFERROR(__xludf.DUMMYFUNCTION("""COMPUTED_VALUE"""),2.47)</f>
        <v>2.47</v>
      </c>
      <c r="F1431">
        <f>IFERROR(__xludf.DUMMYFUNCTION("""COMPUTED_VALUE"""),7.04)</f>
        <v>7.04</v>
      </c>
      <c r="G1431">
        <f>IFERROR(__xludf.DUMMYFUNCTION("""COMPUTED_VALUE"""),22.87)</f>
        <v>22.87</v>
      </c>
    </row>
    <row r="1432">
      <c r="A1432">
        <f>IFERROR(__xludf.DUMMYFUNCTION("""COMPUTED_VALUE"""),173802.0)</f>
        <v>173802</v>
      </c>
      <c r="B1432" t="str">
        <f>IFERROR(__xludf.DUMMYFUNCTION("""COMPUTED_VALUE"""),"Lima Beans Large Mature Seeds Cooked Boiled With Salt")</f>
        <v>Lima Beans Large Mature Seeds Cooked Boiled With Salt</v>
      </c>
      <c r="C1432" t="str">
        <f>IFERROR(__xludf.DUMMYFUNCTION("""COMPUTED_VALUE"""),"Beans and Lentils")</f>
        <v>Beans and Lentils</v>
      </c>
      <c r="D1432">
        <f>IFERROR(__xludf.DUMMYFUNCTION("""COMPUTED_VALUE"""),115.0)</f>
        <v>115</v>
      </c>
      <c r="E1432">
        <f>IFERROR(__xludf.DUMMYFUNCTION("""COMPUTED_VALUE"""),0.38)</f>
        <v>0.38</v>
      </c>
      <c r="F1432">
        <f>IFERROR(__xludf.DUMMYFUNCTION("""COMPUTED_VALUE"""),7.8)</f>
        <v>7.8</v>
      </c>
      <c r="G1432">
        <f>IFERROR(__xludf.DUMMYFUNCTION("""COMPUTED_VALUE"""),20.88)</f>
        <v>20.88</v>
      </c>
    </row>
    <row r="1433">
      <c r="A1433">
        <f>IFERROR(__xludf.DUMMYFUNCTION("""COMPUTED_VALUE"""),173803.0)</f>
        <v>173803</v>
      </c>
      <c r="B1433" t="str">
        <f>IFERROR(__xludf.DUMMYFUNCTION("""COMPUTED_VALUE"""),"Lima Beans Thin Seeded (Baby) Mature Seeds Cooked Boiled With Salt")</f>
        <v>Lima Beans Thin Seeded (Baby) Mature Seeds Cooked Boiled With Salt</v>
      </c>
      <c r="C1433" t="str">
        <f>IFERROR(__xludf.DUMMYFUNCTION("""COMPUTED_VALUE"""),"Beans and Lentils")</f>
        <v>Beans and Lentils</v>
      </c>
      <c r="D1433">
        <f>IFERROR(__xludf.DUMMYFUNCTION("""COMPUTED_VALUE"""),126.0)</f>
        <v>126</v>
      </c>
      <c r="E1433">
        <f>IFERROR(__xludf.DUMMYFUNCTION("""COMPUTED_VALUE"""),0.38)</f>
        <v>0.38</v>
      </c>
      <c r="F1433">
        <f>IFERROR(__xludf.DUMMYFUNCTION("""COMPUTED_VALUE"""),8.04)</f>
        <v>8.04</v>
      </c>
      <c r="G1433">
        <f>IFERROR(__xludf.DUMMYFUNCTION("""COMPUTED_VALUE"""),23.31)</f>
        <v>23.31</v>
      </c>
    </row>
    <row r="1434">
      <c r="A1434">
        <f>IFERROR(__xludf.DUMMYFUNCTION("""COMPUTED_VALUE"""),173804.0)</f>
        <v>173804</v>
      </c>
      <c r="B1434" t="str">
        <f>IFERROR(__xludf.DUMMYFUNCTION("""COMPUTED_VALUE"""),"Lupin Beans (Cooked)")</f>
        <v>Lupin Beans (Cooked)</v>
      </c>
      <c r="C1434" t="str">
        <f>IFERROR(__xludf.DUMMYFUNCTION("""COMPUTED_VALUE"""),"Beans and Lentils")</f>
        <v>Beans and Lentils</v>
      </c>
      <c r="D1434">
        <f>IFERROR(__xludf.DUMMYFUNCTION("""COMPUTED_VALUE"""),116.0)</f>
        <v>116</v>
      </c>
      <c r="E1434">
        <f>IFERROR(__xludf.DUMMYFUNCTION("""COMPUTED_VALUE"""),2.92)</f>
        <v>2.92</v>
      </c>
      <c r="F1434">
        <f>IFERROR(__xludf.DUMMYFUNCTION("""COMPUTED_VALUE"""),15.57)</f>
        <v>15.57</v>
      </c>
      <c r="G1434">
        <f>IFERROR(__xludf.DUMMYFUNCTION("""COMPUTED_VALUE"""),9.29)</f>
        <v>9.29</v>
      </c>
    </row>
    <row r="1435">
      <c r="A1435">
        <f>IFERROR(__xludf.DUMMYFUNCTION("""COMPUTED_VALUE"""),173805.0)</f>
        <v>173805</v>
      </c>
      <c r="B1435" t="str">
        <f>IFERROR(__xludf.DUMMYFUNCTION("""COMPUTED_VALUE"""),"Mothbeans Mature Seeds Cooked Boiled With Salt")</f>
        <v>Mothbeans Mature Seeds Cooked Boiled With Salt</v>
      </c>
      <c r="C1435" t="str">
        <f>IFERROR(__xludf.DUMMYFUNCTION("""COMPUTED_VALUE"""),"Beans and Lentils")</f>
        <v>Beans and Lentils</v>
      </c>
      <c r="D1435">
        <f>IFERROR(__xludf.DUMMYFUNCTION("""COMPUTED_VALUE"""),117.0)</f>
        <v>117</v>
      </c>
      <c r="E1435">
        <f>IFERROR(__xludf.DUMMYFUNCTION("""COMPUTED_VALUE"""),0.55)</f>
        <v>0.55</v>
      </c>
      <c r="F1435">
        <f>IFERROR(__xludf.DUMMYFUNCTION("""COMPUTED_VALUE"""),7.81)</f>
        <v>7.81</v>
      </c>
      <c r="G1435">
        <f>IFERROR(__xludf.DUMMYFUNCTION("""COMPUTED_VALUE"""),20.96)</f>
        <v>20.96</v>
      </c>
    </row>
    <row r="1436">
      <c r="A1436">
        <f>IFERROR(__xludf.DUMMYFUNCTION("""COMPUTED_VALUE"""),173807.0)</f>
        <v>173807</v>
      </c>
      <c r="B1436" t="str">
        <f>IFERROR(__xludf.DUMMYFUNCTION("""COMPUTED_VALUE"""),"Peanuts Spanish Oil-Roasted Without Salt")</f>
        <v>Peanuts Spanish Oil-Roasted Without Salt</v>
      </c>
      <c r="C1436" t="str">
        <f>IFERROR(__xludf.DUMMYFUNCTION("""COMPUTED_VALUE"""),"Beans and Lentils")</f>
        <v>Beans and Lentils</v>
      </c>
      <c r="D1436">
        <f>IFERROR(__xludf.DUMMYFUNCTION("""COMPUTED_VALUE"""),579.0)</f>
        <v>579</v>
      </c>
      <c r="E1436">
        <f>IFERROR(__xludf.DUMMYFUNCTION("""COMPUTED_VALUE"""),49.04)</f>
        <v>49.04</v>
      </c>
      <c r="F1436">
        <f>IFERROR(__xludf.DUMMYFUNCTION("""COMPUTED_VALUE"""),28.01)</f>
        <v>28.01</v>
      </c>
      <c r="G1436">
        <f>IFERROR(__xludf.DUMMYFUNCTION("""COMPUTED_VALUE"""),17.45)</f>
        <v>17.45</v>
      </c>
    </row>
    <row r="1437">
      <c r="A1437">
        <f>IFERROR(__xludf.DUMMYFUNCTION("""COMPUTED_VALUE"""),173808.0)</f>
        <v>173808</v>
      </c>
      <c r="B1437" t="str">
        <f>IFERROR(__xludf.DUMMYFUNCTION("""COMPUTED_VALUE"""),"Peanuts Valencia Oil-Roasted Without Salt")</f>
        <v>Peanuts Valencia Oil-Roasted Without Salt</v>
      </c>
      <c r="C1437" t="str">
        <f>IFERROR(__xludf.DUMMYFUNCTION("""COMPUTED_VALUE"""),"Beans and Lentils")</f>
        <v>Beans and Lentils</v>
      </c>
      <c r="D1437">
        <f>IFERROR(__xludf.DUMMYFUNCTION("""COMPUTED_VALUE"""),589.0)</f>
        <v>589</v>
      </c>
      <c r="E1437">
        <f>IFERROR(__xludf.DUMMYFUNCTION("""COMPUTED_VALUE"""),51.24)</f>
        <v>51.24</v>
      </c>
      <c r="F1437">
        <f>IFERROR(__xludf.DUMMYFUNCTION("""COMPUTED_VALUE"""),27.04)</f>
        <v>27.04</v>
      </c>
      <c r="G1437">
        <f>IFERROR(__xludf.DUMMYFUNCTION("""COMPUTED_VALUE"""),16.3)</f>
        <v>16.3</v>
      </c>
    </row>
    <row r="1438">
      <c r="A1438">
        <f>IFERROR(__xludf.DUMMYFUNCTION("""COMPUTED_VALUE"""),173809.0)</f>
        <v>173809</v>
      </c>
      <c r="B1438" t="str">
        <f>IFERROR(__xludf.DUMMYFUNCTION("""COMPUTED_VALUE"""),"Peanuts Virginia Oil-Roasted Without Salt")</f>
        <v>Peanuts Virginia Oil-Roasted Without Salt</v>
      </c>
      <c r="C1438" t="str">
        <f>IFERROR(__xludf.DUMMYFUNCTION("""COMPUTED_VALUE"""),"Beans and Lentils")</f>
        <v>Beans and Lentils</v>
      </c>
      <c r="D1438">
        <f>IFERROR(__xludf.DUMMYFUNCTION("""COMPUTED_VALUE"""),578.0)</f>
        <v>578</v>
      </c>
      <c r="E1438">
        <f>IFERROR(__xludf.DUMMYFUNCTION("""COMPUTED_VALUE"""),48.62)</f>
        <v>48.62</v>
      </c>
      <c r="F1438">
        <f>IFERROR(__xludf.DUMMYFUNCTION("""COMPUTED_VALUE"""),25.87)</f>
        <v>25.87</v>
      </c>
      <c r="G1438">
        <f>IFERROR(__xludf.DUMMYFUNCTION("""COMPUTED_VALUE"""),19.86)</f>
        <v>19.86</v>
      </c>
    </row>
    <row r="1439">
      <c r="A1439">
        <f>IFERROR(__xludf.DUMMYFUNCTION("""COMPUTED_VALUE"""),173905.0)</f>
        <v>173905</v>
      </c>
      <c r="B1439" t="str">
        <f>IFERROR(__xludf.DUMMYFUNCTION("""COMPUTED_VALUE"""),"Cooked Oatmeal")</f>
        <v>Cooked Oatmeal</v>
      </c>
      <c r="C1439" t="str">
        <f>IFERROR(__xludf.DUMMYFUNCTION("""COMPUTED_VALUE"""),"Grains and Pasta")</f>
        <v>Grains and Pasta</v>
      </c>
      <c r="D1439">
        <f>IFERROR(__xludf.DUMMYFUNCTION("""COMPUTED_VALUE"""),71.0)</f>
        <v>71</v>
      </c>
      <c r="E1439">
        <f>IFERROR(__xludf.DUMMYFUNCTION("""COMPUTED_VALUE"""),1.52)</f>
        <v>1.52</v>
      </c>
      <c r="F1439">
        <f>IFERROR(__xludf.DUMMYFUNCTION("""COMPUTED_VALUE"""),2.54)</f>
        <v>2.54</v>
      </c>
      <c r="G1439">
        <f>IFERROR(__xludf.DUMMYFUNCTION("""COMPUTED_VALUE"""),12.0)</f>
        <v>12</v>
      </c>
    </row>
    <row r="1440">
      <c r="A1440">
        <f>IFERROR(__xludf.DUMMYFUNCTION("""COMPUTED_VALUE"""),173928.0)</f>
        <v>173928</v>
      </c>
      <c r="B1440" t="str">
        <f>IFERROR(__xludf.DUMMYFUNCTION("""COMPUTED_VALUE"""),"Apples Raw Without Skin Cooked Boiled")</f>
        <v>Apples Raw Without Skin Cooked Boiled</v>
      </c>
      <c r="C1440" t="str">
        <f>IFERROR(__xludf.DUMMYFUNCTION("""COMPUTED_VALUE"""),"Fruits")</f>
        <v>Fruits</v>
      </c>
      <c r="D1440">
        <f>IFERROR(__xludf.DUMMYFUNCTION("""COMPUTED_VALUE"""),53.0)</f>
        <v>53</v>
      </c>
      <c r="E1440">
        <f>IFERROR(__xludf.DUMMYFUNCTION("""COMPUTED_VALUE"""),0.36)</f>
        <v>0.36</v>
      </c>
      <c r="F1440">
        <f>IFERROR(__xludf.DUMMYFUNCTION("""COMPUTED_VALUE"""),0.26)</f>
        <v>0.26</v>
      </c>
      <c r="G1440">
        <f>IFERROR(__xludf.DUMMYFUNCTION("""COMPUTED_VALUE"""),13.64)</f>
        <v>13.64</v>
      </c>
    </row>
    <row r="1441">
      <c r="A1441">
        <f>IFERROR(__xludf.DUMMYFUNCTION("""COMPUTED_VALUE"""),173929.0)</f>
        <v>173929</v>
      </c>
      <c r="B1441" t="str">
        <f>IFERROR(__xludf.DUMMYFUNCTION("""COMPUTED_VALUE"""),"Apples Raw Without Skin Cooked Microwave")</f>
        <v>Apples Raw Without Skin Cooked Microwave</v>
      </c>
      <c r="C1441" t="str">
        <f>IFERROR(__xludf.DUMMYFUNCTION("""COMPUTED_VALUE"""),"Fruits")</f>
        <v>Fruits</v>
      </c>
      <c r="D1441">
        <f>IFERROR(__xludf.DUMMYFUNCTION("""COMPUTED_VALUE"""),56.0)</f>
        <v>56</v>
      </c>
      <c r="E1441">
        <f>IFERROR(__xludf.DUMMYFUNCTION("""COMPUTED_VALUE"""),0.42)</f>
        <v>0.42</v>
      </c>
      <c r="F1441">
        <f>IFERROR(__xludf.DUMMYFUNCTION("""COMPUTED_VALUE"""),0.28)</f>
        <v>0.28</v>
      </c>
      <c r="G1441">
        <f>IFERROR(__xludf.DUMMYFUNCTION("""COMPUTED_VALUE"""),14.41)</f>
        <v>14.41</v>
      </c>
    </row>
    <row r="1442">
      <c r="A1442">
        <f>IFERROR(__xludf.DUMMYFUNCTION("""COMPUTED_VALUE"""),173930.0)</f>
        <v>173930</v>
      </c>
      <c r="B1442" t="str">
        <f>IFERROR(__xludf.DUMMYFUNCTION("""COMPUTED_VALUE"""),"Apples Canned Sweetened Sliced Drained Heated")</f>
        <v>Apples Canned Sweetened Sliced Drained Heated</v>
      </c>
      <c r="C1442" t="str">
        <f>IFERROR(__xludf.DUMMYFUNCTION("""COMPUTED_VALUE"""),"Fruits")</f>
        <v>Fruits</v>
      </c>
      <c r="D1442">
        <f>IFERROR(__xludf.DUMMYFUNCTION("""COMPUTED_VALUE"""),67.0)</f>
        <v>67</v>
      </c>
      <c r="E1442">
        <f>IFERROR(__xludf.DUMMYFUNCTION("""COMPUTED_VALUE"""),0.43)</f>
        <v>0.43</v>
      </c>
      <c r="F1442">
        <f>IFERROR(__xludf.DUMMYFUNCTION("""COMPUTED_VALUE"""),0.18)</f>
        <v>0.18</v>
      </c>
      <c r="G1442">
        <f>IFERROR(__xludf.DUMMYFUNCTION("""COMPUTED_VALUE"""),16.84)</f>
        <v>16.84</v>
      </c>
    </row>
    <row r="1443">
      <c r="A1443">
        <f>IFERROR(__xludf.DUMMYFUNCTION("""COMPUTED_VALUE"""),173931.0)</f>
        <v>173931</v>
      </c>
      <c r="B1443" t="str">
        <f>IFERROR(__xludf.DUMMYFUNCTION("""COMPUTED_VALUE"""),"Apples Dehydrated (Low Moisture) Sulfured Uncooked")</f>
        <v>Apples Dehydrated (Low Moisture) Sulfured Uncooked</v>
      </c>
      <c r="C1443" t="str">
        <f>IFERROR(__xludf.DUMMYFUNCTION("""COMPUTED_VALUE"""),"Fruits")</f>
        <v>Fruits</v>
      </c>
      <c r="D1443">
        <f>IFERROR(__xludf.DUMMYFUNCTION("""COMPUTED_VALUE"""),346.0)</f>
        <v>346</v>
      </c>
      <c r="E1443">
        <f>IFERROR(__xludf.DUMMYFUNCTION("""COMPUTED_VALUE"""),0.58)</f>
        <v>0.58</v>
      </c>
      <c r="F1443">
        <f>IFERROR(__xludf.DUMMYFUNCTION("""COMPUTED_VALUE"""),1.32)</f>
        <v>1.32</v>
      </c>
      <c r="G1443">
        <f>IFERROR(__xludf.DUMMYFUNCTION("""COMPUTED_VALUE"""),93.53)</f>
        <v>93.53</v>
      </c>
    </row>
    <row r="1444">
      <c r="A1444">
        <f>IFERROR(__xludf.DUMMYFUNCTION("""COMPUTED_VALUE"""),173932.0)</f>
        <v>173932</v>
      </c>
      <c r="B1444" t="str">
        <f>IFERROR(__xludf.DUMMYFUNCTION("""COMPUTED_VALUE"""),"Apples Frozen Unsweetened Heated")</f>
        <v>Apples Frozen Unsweetened Heated</v>
      </c>
      <c r="C1444" t="str">
        <f>IFERROR(__xludf.DUMMYFUNCTION("""COMPUTED_VALUE"""),"Fruits")</f>
        <v>Fruits</v>
      </c>
      <c r="D1444">
        <f>IFERROR(__xludf.DUMMYFUNCTION("""COMPUTED_VALUE"""),47.0)</f>
        <v>47</v>
      </c>
      <c r="E1444">
        <f>IFERROR(__xludf.DUMMYFUNCTION("""COMPUTED_VALUE"""),0.33)</f>
        <v>0.33</v>
      </c>
      <c r="F1444">
        <f>IFERROR(__xludf.DUMMYFUNCTION("""COMPUTED_VALUE"""),0.29)</f>
        <v>0.29</v>
      </c>
      <c r="G1444">
        <f>IFERROR(__xludf.DUMMYFUNCTION("""COMPUTED_VALUE"""),12.0)</f>
        <v>12</v>
      </c>
    </row>
    <row r="1445">
      <c r="A1445">
        <f>IFERROR(__xludf.DUMMYFUNCTION("""COMPUTED_VALUE"""),173933.0)</f>
        <v>173933</v>
      </c>
      <c r="B1445" t="str">
        <f>IFERROR(__xludf.DUMMYFUNCTION("""COMPUTED_VALUE"""),"Apple Juice")</f>
        <v>Apple Juice</v>
      </c>
      <c r="C1445" t="str">
        <f>IFERROR(__xludf.DUMMYFUNCTION("""COMPUTED_VALUE"""),"Fruits")</f>
        <v>Fruits</v>
      </c>
      <c r="D1445">
        <f>IFERROR(__xludf.DUMMYFUNCTION("""COMPUTED_VALUE"""),46.0)</f>
        <v>46</v>
      </c>
      <c r="E1445">
        <f>IFERROR(__xludf.DUMMYFUNCTION("""COMPUTED_VALUE"""),0.13)</f>
        <v>0.13</v>
      </c>
      <c r="F1445">
        <f>IFERROR(__xludf.DUMMYFUNCTION("""COMPUTED_VALUE"""),0.1)</f>
        <v>0.1</v>
      </c>
      <c r="G1445">
        <f>IFERROR(__xludf.DUMMYFUNCTION("""COMPUTED_VALUE"""),11.3)</f>
        <v>11.3</v>
      </c>
    </row>
    <row r="1446">
      <c r="A1446">
        <f>IFERROR(__xludf.DUMMYFUNCTION("""COMPUTED_VALUE"""),173934.0)</f>
        <v>173934</v>
      </c>
      <c r="B1446" t="str">
        <f>IFERROR(__xludf.DUMMYFUNCTION("""COMPUTED_VALUE"""),"Apple Juice Frozen Concentrate Unsweetened Undiluted Without Added Ascorbic Acid")</f>
        <v>Apple Juice Frozen Concentrate Unsweetened Undiluted Without Added Ascorbic Acid</v>
      </c>
      <c r="C1446" t="str">
        <f>IFERROR(__xludf.DUMMYFUNCTION("""COMPUTED_VALUE"""),"Fruits")</f>
        <v>Fruits</v>
      </c>
      <c r="D1446">
        <f>IFERROR(__xludf.DUMMYFUNCTION("""COMPUTED_VALUE"""),166.0)</f>
        <v>166</v>
      </c>
      <c r="E1446">
        <f>IFERROR(__xludf.DUMMYFUNCTION("""COMPUTED_VALUE"""),0.37)</f>
        <v>0.37</v>
      </c>
      <c r="F1446">
        <f>IFERROR(__xludf.DUMMYFUNCTION("""COMPUTED_VALUE"""),0.51)</f>
        <v>0.51</v>
      </c>
      <c r="G1446">
        <f>IFERROR(__xludf.DUMMYFUNCTION("""COMPUTED_VALUE"""),41.0)</f>
        <v>41</v>
      </c>
    </row>
    <row r="1447">
      <c r="A1447">
        <f>IFERROR(__xludf.DUMMYFUNCTION("""COMPUTED_VALUE"""),173935.0)</f>
        <v>173935</v>
      </c>
      <c r="B1447" t="str">
        <f>IFERROR(__xludf.DUMMYFUNCTION("""COMPUTED_VALUE"""),"Apple Juice Frozen Concentrate Unsweetened Diluted With 3 Volume Water Without Added Ascorbic Acid")</f>
        <v>Apple Juice Frozen Concentrate Unsweetened Diluted With 3 Volume Water Without Added Ascorbic Acid</v>
      </c>
      <c r="C1447" t="str">
        <f>IFERROR(__xludf.DUMMYFUNCTION("""COMPUTED_VALUE"""),"Fruits")</f>
        <v>Fruits</v>
      </c>
      <c r="D1447">
        <f>IFERROR(__xludf.DUMMYFUNCTION("""COMPUTED_VALUE"""),47.0)</f>
        <v>47</v>
      </c>
      <c r="E1447">
        <f>IFERROR(__xludf.DUMMYFUNCTION("""COMPUTED_VALUE"""),0.1)</f>
        <v>0.1</v>
      </c>
      <c r="F1447">
        <f>IFERROR(__xludf.DUMMYFUNCTION("""COMPUTED_VALUE"""),0.14)</f>
        <v>0.14</v>
      </c>
      <c r="G1447">
        <f>IFERROR(__xludf.DUMMYFUNCTION("""COMPUTED_VALUE"""),11.54)</f>
        <v>11.54</v>
      </c>
    </row>
    <row r="1448">
      <c r="A1448">
        <f>IFERROR(__xludf.DUMMYFUNCTION("""COMPUTED_VALUE"""),173936.0)</f>
        <v>173936</v>
      </c>
      <c r="B1448" t="str">
        <f>IFERROR(__xludf.DUMMYFUNCTION("""COMPUTED_VALUE"""),"Apricots Canned Water Pack Without Skin Solids And Liquids")</f>
        <v>Apricots Canned Water Pack Without Skin Solids And Liquids</v>
      </c>
      <c r="C1448" t="str">
        <f>IFERROR(__xludf.DUMMYFUNCTION("""COMPUTED_VALUE"""),"Fruits")</f>
        <v>Fruits</v>
      </c>
      <c r="D1448">
        <f>IFERROR(__xludf.DUMMYFUNCTION("""COMPUTED_VALUE"""),22.0)</f>
        <v>22</v>
      </c>
      <c r="E1448">
        <f>IFERROR(__xludf.DUMMYFUNCTION("""COMPUTED_VALUE"""),0.03)</f>
        <v>0.03</v>
      </c>
      <c r="F1448">
        <f>IFERROR(__xludf.DUMMYFUNCTION("""COMPUTED_VALUE"""),0.69)</f>
        <v>0.69</v>
      </c>
      <c r="G1448">
        <f>IFERROR(__xludf.DUMMYFUNCTION("""COMPUTED_VALUE"""),5.48)</f>
        <v>5.48</v>
      </c>
    </row>
    <row r="1449">
      <c r="A1449">
        <f>IFERROR(__xludf.DUMMYFUNCTION("""COMPUTED_VALUE"""),173937.0)</f>
        <v>173937</v>
      </c>
      <c r="B1449" t="str">
        <f>IFERROR(__xludf.DUMMYFUNCTION("""COMPUTED_VALUE"""),"Apricots Canned Juice Pack With Skin Solids And Liquids")</f>
        <v>Apricots Canned Juice Pack With Skin Solids And Liquids</v>
      </c>
      <c r="C1449" t="str">
        <f>IFERROR(__xludf.DUMMYFUNCTION("""COMPUTED_VALUE"""),"Fruits")</f>
        <v>Fruits</v>
      </c>
      <c r="D1449">
        <f>IFERROR(__xludf.DUMMYFUNCTION("""COMPUTED_VALUE"""),48.0)</f>
        <v>48</v>
      </c>
      <c r="E1449">
        <f>IFERROR(__xludf.DUMMYFUNCTION("""COMPUTED_VALUE"""),0.04)</f>
        <v>0.04</v>
      </c>
      <c r="F1449">
        <f>IFERROR(__xludf.DUMMYFUNCTION("""COMPUTED_VALUE"""),0.63)</f>
        <v>0.63</v>
      </c>
      <c r="G1449">
        <f>IFERROR(__xludf.DUMMYFUNCTION("""COMPUTED_VALUE"""),12.34)</f>
        <v>12.34</v>
      </c>
    </row>
    <row r="1450">
      <c r="A1450">
        <f>IFERROR(__xludf.DUMMYFUNCTION("""COMPUTED_VALUE"""),173938.0)</f>
        <v>173938</v>
      </c>
      <c r="B1450" t="str">
        <f>IFERROR(__xludf.DUMMYFUNCTION("""COMPUTED_VALUE"""),"Apricots Canned Extra Light Syrup Pack With Skin Solids And Liquids")</f>
        <v>Apricots Canned Extra Light Syrup Pack With Skin Solids And Liquids</v>
      </c>
      <c r="C1450" t="str">
        <f>IFERROR(__xludf.DUMMYFUNCTION("""COMPUTED_VALUE"""),"Fruits")</f>
        <v>Fruits</v>
      </c>
      <c r="D1450">
        <f>IFERROR(__xludf.DUMMYFUNCTION("""COMPUTED_VALUE"""),49.0)</f>
        <v>49</v>
      </c>
      <c r="E1450">
        <f>IFERROR(__xludf.DUMMYFUNCTION("""COMPUTED_VALUE"""),0.1)</f>
        <v>0.1</v>
      </c>
      <c r="F1450">
        <f>IFERROR(__xludf.DUMMYFUNCTION("""COMPUTED_VALUE"""),0.6)</f>
        <v>0.6</v>
      </c>
      <c r="G1450">
        <f>IFERROR(__xludf.DUMMYFUNCTION("""COMPUTED_VALUE"""),12.5)</f>
        <v>12.5</v>
      </c>
    </row>
    <row r="1451">
      <c r="A1451">
        <f>IFERROR(__xludf.DUMMYFUNCTION("""COMPUTED_VALUE"""),173939.0)</f>
        <v>173939</v>
      </c>
      <c r="B1451" t="str">
        <f>IFERROR(__xludf.DUMMYFUNCTION("""COMPUTED_VALUE"""),"Apricots Canned Light Syrup Pack With Skin Solids And Liquids")</f>
        <v>Apricots Canned Light Syrup Pack With Skin Solids And Liquids</v>
      </c>
      <c r="C1451" t="str">
        <f>IFERROR(__xludf.DUMMYFUNCTION("""COMPUTED_VALUE"""),"Fruits")</f>
        <v>Fruits</v>
      </c>
      <c r="D1451">
        <f>IFERROR(__xludf.DUMMYFUNCTION("""COMPUTED_VALUE"""),63.0)</f>
        <v>63</v>
      </c>
      <c r="E1451">
        <f>IFERROR(__xludf.DUMMYFUNCTION("""COMPUTED_VALUE"""),0.05)</f>
        <v>0.05</v>
      </c>
      <c r="F1451">
        <f>IFERROR(__xludf.DUMMYFUNCTION("""COMPUTED_VALUE"""),0.53)</f>
        <v>0.53</v>
      </c>
      <c r="G1451">
        <f>IFERROR(__xludf.DUMMYFUNCTION("""COMPUTED_VALUE"""),16.49)</f>
        <v>16.49</v>
      </c>
    </row>
    <row r="1452">
      <c r="A1452">
        <f>IFERROR(__xludf.DUMMYFUNCTION("""COMPUTED_VALUE"""),173940.0)</f>
        <v>173940</v>
      </c>
      <c r="B1452" t="str">
        <f>IFERROR(__xludf.DUMMYFUNCTION("""COMPUTED_VALUE"""),"Apricots Dehydrated (Low-Moisture) Sulfured Stewed")</f>
        <v>Apricots Dehydrated (Low-Moisture) Sulfured Stewed</v>
      </c>
      <c r="C1452" t="str">
        <f>IFERROR(__xludf.DUMMYFUNCTION("""COMPUTED_VALUE"""),"Fruits")</f>
        <v>Fruits</v>
      </c>
      <c r="D1452">
        <f>IFERROR(__xludf.DUMMYFUNCTION("""COMPUTED_VALUE"""),126.0)</f>
        <v>126</v>
      </c>
      <c r="E1452">
        <f>IFERROR(__xludf.DUMMYFUNCTION("""COMPUTED_VALUE"""),0.24)</f>
        <v>0.24</v>
      </c>
      <c r="F1452">
        <f>IFERROR(__xludf.DUMMYFUNCTION("""COMPUTED_VALUE"""),1.93)</f>
        <v>1.93</v>
      </c>
      <c r="G1452">
        <f>IFERROR(__xludf.DUMMYFUNCTION("""COMPUTED_VALUE"""),32.62)</f>
        <v>32.62</v>
      </c>
    </row>
    <row r="1453">
      <c r="A1453">
        <f>IFERROR(__xludf.DUMMYFUNCTION("""COMPUTED_VALUE"""),173941.0)</f>
        <v>173941</v>
      </c>
      <c r="B1453" t="str">
        <f>IFERROR(__xludf.DUMMYFUNCTION("""COMPUTED_VALUE"""),"Dried Apricots")</f>
        <v>Dried Apricots</v>
      </c>
      <c r="C1453" t="str">
        <f>IFERROR(__xludf.DUMMYFUNCTION("""COMPUTED_VALUE"""),"Fruits")</f>
        <v>Fruits</v>
      </c>
      <c r="D1453">
        <f>IFERROR(__xludf.DUMMYFUNCTION("""COMPUTED_VALUE"""),241.0)</f>
        <v>241</v>
      </c>
      <c r="E1453">
        <f>IFERROR(__xludf.DUMMYFUNCTION("""COMPUTED_VALUE"""),0.51)</f>
        <v>0.51</v>
      </c>
      <c r="F1453">
        <f>IFERROR(__xludf.DUMMYFUNCTION("""COMPUTED_VALUE"""),3.39)</f>
        <v>3.39</v>
      </c>
      <c r="G1453">
        <f>IFERROR(__xludf.DUMMYFUNCTION("""COMPUTED_VALUE"""),62.64)</f>
        <v>62.64</v>
      </c>
    </row>
    <row r="1454">
      <c r="A1454">
        <f>IFERROR(__xludf.DUMMYFUNCTION("""COMPUTED_VALUE"""),173942.0)</f>
        <v>173942</v>
      </c>
      <c r="B1454" t="str">
        <f>IFERROR(__xludf.DUMMYFUNCTION("""COMPUTED_VALUE"""),"Apricots Dried Sulfured Stewed Without Added Sugar")</f>
        <v>Apricots Dried Sulfured Stewed Without Added Sugar</v>
      </c>
      <c r="C1454" t="str">
        <f>IFERROR(__xludf.DUMMYFUNCTION("""COMPUTED_VALUE"""),"Fruits")</f>
        <v>Fruits</v>
      </c>
      <c r="D1454">
        <f>IFERROR(__xludf.DUMMYFUNCTION("""COMPUTED_VALUE"""),85.0)</f>
        <v>85</v>
      </c>
      <c r="E1454">
        <f>IFERROR(__xludf.DUMMYFUNCTION("""COMPUTED_VALUE"""),0.18)</f>
        <v>0.18</v>
      </c>
      <c r="F1454">
        <f>IFERROR(__xludf.DUMMYFUNCTION("""COMPUTED_VALUE"""),1.2)</f>
        <v>1.2</v>
      </c>
      <c r="G1454">
        <f>IFERROR(__xludf.DUMMYFUNCTION("""COMPUTED_VALUE"""),22.15)</f>
        <v>22.15</v>
      </c>
    </row>
    <row r="1455">
      <c r="A1455">
        <f>IFERROR(__xludf.DUMMYFUNCTION("""COMPUTED_VALUE"""),173943.0)</f>
        <v>173943</v>
      </c>
      <c r="B1455" t="str">
        <f>IFERROR(__xludf.DUMMYFUNCTION("""COMPUTED_VALUE"""),"Apricots Dried Sulfured Stewed With Added Sugar")</f>
        <v>Apricots Dried Sulfured Stewed With Added Sugar</v>
      </c>
      <c r="C1455" t="str">
        <f>IFERROR(__xludf.DUMMYFUNCTION("""COMPUTED_VALUE"""),"Fruits")</f>
        <v>Fruits</v>
      </c>
      <c r="D1455">
        <f>IFERROR(__xludf.DUMMYFUNCTION("""COMPUTED_VALUE"""),113.0)</f>
        <v>113</v>
      </c>
      <c r="E1455">
        <f>IFERROR(__xludf.DUMMYFUNCTION("""COMPUTED_VALUE"""),0.15)</f>
        <v>0.15</v>
      </c>
      <c r="F1455">
        <f>IFERROR(__xludf.DUMMYFUNCTION("""COMPUTED_VALUE"""),1.17)</f>
        <v>1.17</v>
      </c>
      <c r="G1455">
        <f>IFERROR(__xludf.DUMMYFUNCTION("""COMPUTED_VALUE"""),29.26)</f>
        <v>29.26</v>
      </c>
    </row>
    <row r="1456">
      <c r="A1456">
        <f>IFERROR(__xludf.DUMMYFUNCTION("""COMPUTED_VALUE"""),173944.0)</f>
        <v>173944</v>
      </c>
      <c r="B1456" t="str">
        <f>IFERROR(__xludf.DUMMYFUNCTION("""COMPUTED_VALUE"""),"Bananas")</f>
        <v>Bananas</v>
      </c>
      <c r="C1456" t="str">
        <f>IFERROR(__xludf.DUMMYFUNCTION("""COMPUTED_VALUE"""),"Fruits")</f>
        <v>Fruits</v>
      </c>
      <c r="D1456">
        <f>IFERROR(__xludf.DUMMYFUNCTION("""COMPUTED_VALUE"""),89.0)</f>
        <v>89</v>
      </c>
      <c r="E1456">
        <f>IFERROR(__xludf.DUMMYFUNCTION("""COMPUTED_VALUE"""),0.33)</f>
        <v>0.33</v>
      </c>
      <c r="F1456">
        <f>IFERROR(__xludf.DUMMYFUNCTION("""COMPUTED_VALUE"""),1.09)</f>
        <v>1.09</v>
      </c>
      <c r="G1456">
        <f>IFERROR(__xludf.DUMMYFUNCTION("""COMPUTED_VALUE"""),22.84)</f>
        <v>22.84</v>
      </c>
    </row>
    <row r="1457">
      <c r="A1457">
        <f>IFERROR(__xludf.DUMMYFUNCTION("""COMPUTED_VALUE"""),173945.0)</f>
        <v>173945</v>
      </c>
      <c r="B1457" t="str">
        <f>IFERROR(__xludf.DUMMYFUNCTION("""COMPUTED_VALUE"""),"Dried Bananas")</f>
        <v>Dried Bananas</v>
      </c>
      <c r="C1457" t="str">
        <f>IFERROR(__xludf.DUMMYFUNCTION("""COMPUTED_VALUE"""),"Fruits")</f>
        <v>Fruits</v>
      </c>
      <c r="D1457">
        <f>IFERROR(__xludf.DUMMYFUNCTION("""COMPUTED_VALUE"""),346.0)</f>
        <v>346</v>
      </c>
      <c r="E1457">
        <f>IFERROR(__xludf.DUMMYFUNCTION("""COMPUTED_VALUE"""),1.81)</f>
        <v>1.81</v>
      </c>
      <c r="F1457">
        <f>IFERROR(__xludf.DUMMYFUNCTION("""COMPUTED_VALUE"""),3.89)</f>
        <v>3.89</v>
      </c>
      <c r="G1457">
        <f>IFERROR(__xludf.DUMMYFUNCTION("""COMPUTED_VALUE"""),88.28)</f>
        <v>88.28</v>
      </c>
    </row>
    <row r="1458">
      <c r="A1458">
        <f>IFERROR(__xludf.DUMMYFUNCTION("""COMPUTED_VALUE"""),173946.0)</f>
        <v>173946</v>
      </c>
      <c r="B1458" t="str">
        <f>IFERROR(__xludf.DUMMYFUNCTION("""COMPUTED_VALUE"""),"Blackberries")</f>
        <v>Blackberries</v>
      </c>
      <c r="C1458" t="str">
        <f>IFERROR(__xludf.DUMMYFUNCTION("""COMPUTED_VALUE"""),"Fruits")</f>
        <v>Fruits</v>
      </c>
      <c r="D1458">
        <f>IFERROR(__xludf.DUMMYFUNCTION("""COMPUTED_VALUE"""),43.0)</f>
        <v>43</v>
      </c>
      <c r="E1458">
        <f>IFERROR(__xludf.DUMMYFUNCTION("""COMPUTED_VALUE"""),0.49)</f>
        <v>0.49</v>
      </c>
      <c r="F1458">
        <f>IFERROR(__xludf.DUMMYFUNCTION("""COMPUTED_VALUE"""),1.39)</f>
        <v>1.39</v>
      </c>
      <c r="G1458">
        <f>IFERROR(__xludf.DUMMYFUNCTION("""COMPUTED_VALUE"""),9.61)</f>
        <v>9.61</v>
      </c>
    </row>
    <row r="1459">
      <c r="A1459">
        <f>IFERROR(__xludf.DUMMYFUNCTION("""COMPUTED_VALUE"""),173947.0)</f>
        <v>173947</v>
      </c>
      <c r="B1459" t="str">
        <f>IFERROR(__xludf.DUMMYFUNCTION("""COMPUTED_VALUE"""),"Blackberry Juice Canned")</f>
        <v>Blackberry Juice Canned</v>
      </c>
      <c r="C1459" t="str">
        <f>IFERROR(__xludf.DUMMYFUNCTION("""COMPUTED_VALUE"""),"Fruits")</f>
        <v>Fruits</v>
      </c>
      <c r="D1459">
        <f>IFERROR(__xludf.DUMMYFUNCTION("""COMPUTED_VALUE"""),38.0)</f>
        <v>38</v>
      </c>
      <c r="E1459">
        <f>IFERROR(__xludf.DUMMYFUNCTION("""COMPUTED_VALUE"""),0.6)</f>
        <v>0.6</v>
      </c>
      <c r="F1459">
        <f>IFERROR(__xludf.DUMMYFUNCTION("""COMPUTED_VALUE"""),0.3)</f>
        <v>0.3</v>
      </c>
      <c r="G1459">
        <f>IFERROR(__xludf.DUMMYFUNCTION("""COMPUTED_VALUE"""),7.8)</f>
        <v>7.8</v>
      </c>
    </row>
    <row r="1460">
      <c r="A1460">
        <f>IFERROR(__xludf.DUMMYFUNCTION("""COMPUTED_VALUE"""),173948.0)</f>
        <v>173948</v>
      </c>
      <c r="B1460" t="str">
        <f>IFERROR(__xludf.DUMMYFUNCTION("""COMPUTED_VALUE"""),"Blueberries Canned Heavy Syrup Solids And Liquids")</f>
        <v>Blueberries Canned Heavy Syrup Solids And Liquids</v>
      </c>
      <c r="C1460" t="str">
        <f>IFERROR(__xludf.DUMMYFUNCTION("""COMPUTED_VALUE"""),"Fruits")</f>
        <v>Fruits</v>
      </c>
      <c r="D1460">
        <f>IFERROR(__xludf.DUMMYFUNCTION("""COMPUTED_VALUE"""),88.0)</f>
        <v>88</v>
      </c>
      <c r="E1460">
        <f>IFERROR(__xludf.DUMMYFUNCTION("""COMPUTED_VALUE"""),0.33)</f>
        <v>0.33</v>
      </c>
      <c r="F1460">
        <f>IFERROR(__xludf.DUMMYFUNCTION("""COMPUTED_VALUE"""),0.65)</f>
        <v>0.65</v>
      </c>
      <c r="G1460">
        <f>IFERROR(__xludf.DUMMYFUNCTION("""COMPUTED_VALUE"""),22.06)</f>
        <v>22.06</v>
      </c>
    </row>
    <row r="1461">
      <c r="A1461">
        <f>IFERROR(__xludf.DUMMYFUNCTION("""COMPUTED_VALUE"""),173949.0)</f>
        <v>173949</v>
      </c>
      <c r="B1461" t="str">
        <f>IFERROR(__xludf.DUMMYFUNCTION("""COMPUTED_VALUE"""),"Wild Blueberries (Frozen)")</f>
        <v>Wild Blueberries (Frozen)</v>
      </c>
      <c r="C1461" t="str">
        <f>IFERROR(__xludf.DUMMYFUNCTION("""COMPUTED_VALUE"""),"Fruits")</f>
        <v>Fruits</v>
      </c>
      <c r="D1461">
        <f>IFERROR(__xludf.DUMMYFUNCTION("""COMPUTED_VALUE"""),57.0)</f>
        <v>57</v>
      </c>
      <c r="E1461">
        <f>IFERROR(__xludf.DUMMYFUNCTION("""COMPUTED_VALUE"""),0.16)</f>
        <v>0.16</v>
      </c>
      <c r="F1461">
        <f>IFERROR(__xludf.DUMMYFUNCTION("""COMPUTED_VALUE"""),0.0)</f>
        <v>0</v>
      </c>
      <c r="G1461">
        <f>IFERROR(__xludf.DUMMYFUNCTION("""COMPUTED_VALUE"""),13.85)</f>
        <v>13.85</v>
      </c>
    </row>
    <row r="1462">
      <c r="A1462">
        <f>IFERROR(__xludf.DUMMYFUNCTION("""COMPUTED_VALUE"""),173950.0)</f>
        <v>173950</v>
      </c>
      <c r="B1462" t="str">
        <f>IFERROR(__xludf.DUMMYFUNCTION("""COMPUTED_VALUE"""),"Blueberries (Frozen)")</f>
        <v>Blueberries (Frozen)</v>
      </c>
      <c r="C1462" t="str">
        <f>IFERROR(__xludf.DUMMYFUNCTION("""COMPUTED_VALUE"""),"Fruits")</f>
        <v>Fruits</v>
      </c>
      <c r="D1462">
        <f>IFERROR(__xludf.DUMMYFUNCTION("""COMPUTED_VALUE"""),51.0)</f>
        <v>51</v>
      </c>
      <c r="E1462">
        <f>IFERROR(__xludf.DUMMYFUNCTION("""COMPUTED_VALUE"""),0.64)</f>
        <v>0.64</v>
      </c>
      <c r="F1462">
        <f>IFERROR(__xludf.DUMMYFUNCTION("""COMPUTED_VALUE"""),0.42)</f>
        <v>0.42</v>
      </c>
      <c r="G1462">
        <f>IFERROR(__xludf.DUMMYFUNCTION("""COMPUTED_VALUE"""),12.17)</f>
        <v>12.17</v>
      </c>
    </row>
    <row r="1463">
      <c r="A1463">
        <f>IFERROR(__xludf.DUMMYFUNCTION("""COMPUTED_VALUE"""),173951.0)</f>
        <v>173951</v>
      </c>
      <c r="B1463" t="str">
        <f>IFERROR(__xludf.DUMMYFUNCTION("""COMPUTED_VALUE"""),"Blueberries Frozen Sweetened")</f>
        <v>Blueberries Frozen Sweetened</v>
      </c>
      <c r="C1463" t="str">
        <f>IFERROR(__xludf.DUMMYFUNCTION("""COMPUTED_VALUE"""),"Fruits")</f>
        <v>Fruits</v>
      </c>
      <c r="D1463">
        <f>IFERROR(__xludf.DUMMYFUNCTION("""COMPUTED_VALUE"""),85.0)</f>
        <v>85</v>
      </c>
      <c r="E1463">
        <f>IFERROR(__xludf.DUMMYFUNCTION("""COMPUTED_VALUE"""),0.13)</f>
        <v>0.13</v>
      </c>
      <c r="F1463">
        <f>IFERROR(__xludf.DUMMYFUNCTION("""COMPUTED_VALUE"""),0.4)</f>
        <v>0.4</v>
      </c>
      <c r="G1463">
        <f>IFERROR(__xludf.DUMMYFUNCTION("""COMPUTED_VALUE"""),21.95)</f>
        <v>21.95</v>
      </c>
    </row>
    <row r="1464">
      <c r="A1464">
        <f>IFERROR(__xludf.DUMMYFUNCTION("""COMPUTED_VALUE"""),173952.0)</f>
        <v>173952</v>
      </c>
      <c r="B1464" t="str">
        <f>IFERROR(__xludf.DUMMYFUNCTION("""COMPUTED_VALUE"""),"Carissa")</f>
        <v>Carissa</v>
      </c>
      <c r="C1464" t="str">
        <f>IFERROR(__xludf.DUMMYFUNCTION("""COMPUTED_VALUE"""),"Fruits")</f>
        <v>Fruits</v>
      </c>
      <c r="D1464">
        <f>IFERROR(__xludf.DUMMYFUNCTION("""COMPUTED_VALUE"""),62.0)</f>
        <v>62</v>
      </c>
      <c r="E1464">
        <f>IFERROR(__xludf.DUMMYFUNCTION("""COMPUTED_VALUE"""),1.3)</f>
        <v>1.3</v>
      </c>
      <c r="F1464">
        <f>IFERROR(__xludf.DUMMYFUNCTION("""COMPUTED_VALUE"""),0.5)</f>
        <v>0.5</v>
      </c>
      <c r="G1464">
        <f>IFERROR(__xludf.DUMMYFUNCTION("""COMPUTED_VALUE"""),13.63)</f>
        <v>13.63</v>
      </c>
    </row>
    <row r="1465">
      <c r="A1465">
        <f>IFERROR(__xludf.DUMMYFUNCTION("""COMPUTED_VALUE"""),173953.0)</f>
        <v>173953</v>
      </c>
      <c r="B1465" t="str">
        <f>IFERROR(__xludf.DUMMYFUNCTION("""COMPUTED_VALUE"""),"Cherimoya")</f>
        <v>Cherimoya</v>
      </c>
      <c r="C1465" t="str">
        <f>IFERROR(__xludf.DUMMYFUNCTION("""COMPUTED_VALUE"""),"Fruits")</f>
        <v>Fruits</v>
      </c>
      <c r="D1465">
        <f>IFERROR(__xludf.DUMMYFUNCTION("""COMPUTED_VALUE"""),75.0)</f>
        <v>75</v>
      </c>
      <c r="E1465">
        <f>IFERROR(__xludf.DUMMYFUNCTION("""COMPUTED_VALUE"""),0.68)</f>
        <v>0.68</v>
      </c>
      <c r="F1465">
        <f>IFERROR(__xludf.DUMMYFUNCTION("""COMPUTED_VALUE"""),1.57)</f>
        <v>1.57</v>
      </c>
      <c r="G1465">
        <f>IFERROR(__xludf.DUMMYFUNCTION("""COMPUTED_VALUE"""),17.71)</f>
        <v>17.71</v>
      </c>
    </row>
    <row r="1466">
      <c r="A1466">
        <f>IFERROR(__xludf.DUMMYFUNCTION("""COMPUTED_VALUE"""),173954.0)</f>
        <v>173954</v>
      </c>
      <c r="B1466" t="str">
        <f>IFERROR(__xludf.DUMMYFUNCTION("""COMPUTED_VALUE"""),"Sour Red Cherries")</f>
        <v>Sour Red Cherries</v>
      </c>
      <c r="C1466" t="str">
        <f>IFERROR(__xludf.DUMMYFUNCTION("""COMPUTED_VALUE"""),"Fruits")</f>
        <v>Fruits</v>
      </c>
      <c r="D1466">
        <f>IFERROR(__xludf.DUMMYFUNCTION("""COMPUTED_VALUE"""),50.0)</f>
        <v>50</v>
      </c>
      <c r="E1466">
        <f>IFERROR(__xludf.DUMMYFUNCTION("""COMPUTED_VALUE"""),0.3)</f>
        <v>0.3</v>
      </c>
      <c r="F1466">
        <f>IFERROR(__xludf.DUMMYFUNCTION("""COMPUTED_VALUE"""),1.0)</f>
        <v>1</v>
      </c>
      <c r="G1466">
        <f>IFERROR(__xludf.DUMMYFUNCTION("""COMPUTED_VALUE"""),12.18)</f>
        <v>12.18</v>
      </c>
    </row>
    <row r="1467">
      <c r="A1467">
        <f>IFERROR(__xludf.DUMMYFUNCTION("""COMPUTED_VALUE"""),173955.0)</f>
        <v>173955</v>
      </c>
      <c r="B1467" t="str">
        <f>IFERROR(__xludf.DUMMYFUNCTION("""COMPUTED_VALUE"""),"Cherries Sour Red Canned Water Pack Solids And Liquids (Includes USDA Commodity Red Tart Cherries Canned)")</f>
        <v>Cherries Sour Red Canned Water Pack Solids And Liquids (Includes USDA Commodity Red Tart Cherries Canned)</v>
      </c>
      <c r="C1467" t="str">
        <f>IFERROR(__xludf.DUMMYFUNCTION("""COMPUTED_VALUE"""),"Fruits")</f>
        <v>Fruits</v>
      </c>
      <c r="D1467">
        <f>IFERROR(__xludf.DUMMYFUNCTION("""COMPUTED_VALUE"""),36.0)</f>
        <v>36</v>
      </c>
      <c r="E1467">
        <f>IFERROR(__xludf.DUMMYFUNCTION("""COMPUTED_VALUE"""),0.1)</f>
        <v>0.1</v>
      </c>
      <c r="F1467">
        <f>IFERROR(__xludf.DUMMYFUNCTION("""COMPUTED_VALUE"""),0.77)</f>
        <v>0.77</v>
      </c>
      <c r="G1467">
        <f>IFERROR(__xludf.DUMMYFUNCTION("""COMPUTED_VALUE"""),8.94)</f>
        <v>8.94</v>
      </c>
    </row>
    <row r="1468">
      <c r="A1468">
        <f>IFERROR(__xludf.DUMMYFUNCTION("""COMPUTED_VALUE"""),173956.0)</f>
        <v>173956</v>
      </c>
      <c r="B1468" t="str">
        <f>IFERROR(__xludf.DUMMYFUNCTION("""COMPUTED_VALUE"""),"Cherries Sour Red Canned Light Syrup Pack Solids And Liquids")</f>
        <v>Cherries Sour Red Canned Light Syrup Pack Solids And Liquids</v>
      </c>
      <c r="C1468" t="str">
        <f>IFERROR(__xludf.DUMMYFUNCTION("""COMPUTED_VALUE"""),"Fruits")</f>
        <v>Fruits</v>
      </c>
      <c r="D1468">
        <f>IFERROR(__xludf.DUMMYFUNCTION("""COMPUTED_VALUE"""),75.0)</f>
        <v>75</v>
      </c>
      <c r="E1468">
        <f>IFERROR(__xludf.DUMMYFUNCTION("""COMPUTED_VALUE"""),0.1)</f>
        <v>0.1</v>
      </c>
      <c r="F1468">
        <f>IFERROR(__xludf.DUMMYFUNCTION("""COMPUTED_VALUE"""),0.74)</f>
        <v>0.74</v>
      </c>
      <c r="G1468">
        <f>IFERROR(__xludf.DUMMYFUNCTION("""COMPUTED_VALUE"""),19.3)</f>
        <v>19.3</v>
      </c>
    </row>
    <row r="1469">
      <c r="A1469">
        <f>IFERROR(__xludf.DUMMYFUNCTION("""COMPUTED_VALUE"""),173957.0)</f>
        <v>173957</v>
      </c>
      <c r="B1469" t="str">
        <f>IFERROR(__xludf.DUMMYFUNCTION("""COMPUTED_VALUE"""),"Cherries Sweet Canned Water Pack Solids And Liquids")</f>
        <v>Cherries Sweet Canned Water Pack Solids And Liquids</v>
      </c>
      <c r="C1469" t="str">
        <f>IFERROR(__xludf.DUMMYFUNCTION("""COMPUTED_VALUE"""),"Fruits")</f>
        <v>Fruits</v>
      </c>
      <c r="D1469">
        <f>IFERROR(__xludf.DUMMYFUNCTION("""COMPUTED_VALUE"""),46.0)</f>
        <v>46</v>
      </c>
      <c r="E1469">
        <f>IFERROR(__xludf.DUMMYFUNCTION("""COMPUTED_VALUE"""),0.13)</f>
        <v>0.13</v>
      </c>
      <c r="F1469">
        <f>IFERROR(__xludf.DUMMYFUNCTION("""COMPUTED_VALUE"""),0.77)</f>
        <v>0.77</v>
      </c>
      <c r="G1469">
        <f>IFERROR(__xludf.DUMMYFUNCTION("""COMPUTED_VALUE"""),11.76)</f>
        <v>11.76</v>
      </c>
    </row>
    <row r="1470">
      <c r="A1470">
        <f>IFERROR(__xludf.DUMMYFUNCTION("""COMPUTED_VALUE"""),173958.0)</f>
        <v>173958</v>
      </c>
      <c r="B1470" t="str">
        <f>IFERROR(__xludf.DUMMYFUNCTION("""COMPUTED_VALUE"""),"Cherries Sweet Canned Juice Pack Solids And Liquids")</f>
        <v>Cherries Sweet Canned Juice Pack Solids And Liquids</v>
      </c>
      <c r="C1470" t="str">
        <f>IFERROR(__xludf.DUMMYFUNCTION("""COMPUTED_VALUE"""),"Fruits")</f>
        <v>Fruits</v>
      </c>
      <c r="D1470">
        <f>IFERROR(__xludf.DUMMYFUNCTION("""COMPUTED_VALUE"""),54.0)</f>
        <v>54</v>
      </c>
      <c r="E1470">
        <f>IFERROR(__xludf.DUMMYFUNCTION("""COMPUTED_VALUE"""),0.02)</f>
        <v>0.02</v>
      </c>
      <c r="F1470">
        <f>IFERROR(__xludf.DUMMYFUNCTION("""COMPUTED_VALUE"""),0.91)</f>
        <v>0.91</v>
      </c>
      <c r="G1470">
        <f>IFERROR(__xludf.DUMMYFUNCTION("""COMPUTED_VALUE"""),13.81)</f>
        <v>13.81</v>
      </c>
    </row>
    <row r="1471">
      <c r="A1471">
        <f>IFERROR(__xludf.DUMMYFUNCTION("""COMPUTED_VALUE"""),173959.0)</f>
        <v>173959</v>
      </c>
      <c r="B1471" t="str">
        <f>IFERROR(__xludf.DUMMYFUNCTION("""COMPUTED_VALUE"""),"Cherries Sweet Canned Light Syrup Pack Solids And Liquids")</f>
        <v>Cherries Sweet Canned Light Syrup Pack Solids And Liquids</v>
      </c>
      <c r="C1471" t="str">
        <f>IFERROR(__xludf.DUMMYFUNCTION("""COMPUTED_VALUE"""),"Fruits")</f>
        <v>Fruits</v>
      </c>
      <c r="D1471">
        <f>IFERROR(__xludf.DUMMYFUNCTION("""COMPUTED_VALUE"""),67.0)</f>
        <v>67</v>
      </c>
      <c r="E1471">
        <f>IFERROR(__xludf.DUMMYFUNCTION("""COMPUTED_VALUE"""),0.15)</f>
        <v>0.15</v>
      </c>
      <c r="F1471">
        <f>IFERROR(__xludf.DUMMYFUNCTION("""COMPUTED_VALUE"""),0.61)</f>
        <v>0.61</v>
      </c>
      <c r="G1471">
        <f>IFERROR(__xludf.DUMMYFUNCTION("""COMPUTED_VALUE"""),17.29)</f>
        <v>17.29</v>
      </c>
    </row>
    <row r="1472">
      <c r="A1472">
        <f>IFERROR(__xludf.DUMMYFUNCTION("""COMPUTED_VALUE"""),173960.0)</f>
        <v>173960</v>
      </c>
      <c r="B1472" t="str">
        <f>IFERROR(__xludf.DUMMYFUNCTION("""COMPUTED_VALUE"""),"Cherries Sweet Canned Pitted Heavy Syrup Pack Solids And Liquids")</f>
        <v>Cherries Sweet Canned Pitted Heavy Syrup Pack Solids And Liquids</v>
      </c>
      <c r="C1472" t="str">
        <f>IFERROR(__xludf.DUMMYFUNCTION("""COMPUTED_VALUE"""),"Fruits")</f>
        <v>Fruits</v>
      </c>
      <c r="D1472">
        <f>IFERROR(__xludf.DUMMYFUNCTION("""COMPUTED_VALUE"""),83.0)</f>
        <v>83</v>
      </c>
      <c r="E1472">
        <f>IFERROR(__xludf.DUMMYFUNCTION("""COMPUTED_VALUE"""),0.15)</f>
        <v>0.15</v>
      </c>
      <c r="F1472">
        <f>IFERROR(__xludf.DUMMYFUNCTION("""COMPUTED_VALUE"""),0.6)</f>
        <v>0.6</v>
      </c>
      <c r="G1472">
        <f>IFERROR(__xludf.DUMMYFUNCTION("""COMPUTED_VALUE"""),21.27)</f>
        <v>21.27</v>
      </c>
    </row>
    <row r="1473">
      <c r="A1473">
        <f>IFERROR(__xludf.DUMMYFUNCTION("""COMPUTED_VALUE"""),173961.0)</f>
        <v>173961</v>
      </c>
      <c r="B1473" t="str">
        <f>IFERROR(__xludf.DUMMYFUNCTION("""COMPUTED_VALUE"""),"Cranberry Sauce Canned Sweetened")</f>
        <v>Cranberry Sauce Canned Sweetened</v>
      </c>
      <c r="C1473" t="str">
        <f>IFERROR(__xludf.DUMMYFUNCTION("""COMPUTED_VALUE"""),"Fruits")</f>
        <v>Fruits</v>
      </c>
      <c r="D1473">
        <f>IFERROR(__xludf.DUMMYFUNCTION("""COMPUTED_VALUE"""),159.0)</f>
        <v>159</v>
      </c>
      <c r="E1473">
        <f>IFERROR(__xludf.DUMMYFUNCTION("""COMPUTED_VALUE"""),0.15)</f>
        <v>0.15</v>
      </c>
      <c r="F1473">
        <f>IFERROR(__xludf.DUMMYFUNCTION("""COMPUTED_VALUE"""),0.9)</f>
        <v>0.9</v>
      </c>
      <c r="G1473">
        <f>IFERROR(__xludf.DUMMYFUNCTION("""COMPUTED_VALUE"""),40.4)</f>
        <v>40.4</v>
      </c>
    </row>
    <row r="1474">
      <c r="A1474">
        <f>IFERROR(__xludf.DUMMYFUNCTION("""COMPUTED_VALUE"""),173962.0)</f>
        <v>173962</v>
      </c>
      <c r="B1474" t="str">
        <f>IFERROR(__xludf.DUMMYFUNCTION("""COMPUTED_VALUE"""),"Cranberry-Orange Relish Canned")</f>
        <v>Cranberry-Orange Relish Canned</v>
      </c>
      <c r="C1474" t="str">
        <f>IFERROR(__xludf.DUMMYFUNCTION("""COMPUTED_VALUE"""),"Fruits")</f>
        <v>Fruits</v>
      </c>
      <c r="D1474">
        <f>IFERROR(__xludf.DUMMYFUNCTION("""COMPUTED_VALUE"""),178.0)</f>
        <v>178</v>
      </c>
      <c r="E1474">
        <f>IFERROR(__xludf.DUMMYFUNCTION("""COMPUTED_VALUE"""),0.1)</f>
        <v>0.1</v>
      </c>
      <c r="F1474">
        <f>IFERROR(__xludf.DUMMYFUNCTION("""COMPUTED_VALUE"""),0.3)</f>
        <v>0.3</v>
      </c>
      <c r="G1474">
        <f>IFERROR(__xludf.DUMMYFUNCTION("""COMPUTED_VALUE"""),46.2)</f>
        <v>46.2</v>
      </c>
    </row>
    <row r="1475">
      <c r="A1475">
        <f>IFERROR(__xludf.DUMMYFUNCTION("""COMPUTED_VALUE"""),173963.0)</f>
        <v>173963</v>
      </c>
      <c r="B1475" t="str">
        <f>IFERROR(__xludf.DUMMYFUNCTION("""COMPUTED_VALUE"""),"European Black Currants")</f>
        <v>European Black Currants</v>
      </c>
      <c r="C1475" t="str">
        <f>IFERROR(__xludf.DUMMYFUNCTION("""COMPUTED_VALUE"""),"Fruits")</f>
        <v>Fruits</v>
      </c>
      <c r="D1475">
        <f>IFERROR(__xludf.DUMMYFUNCTION("""COMPUTED_VALUE"""),63.0)</f>
        <v>63</v>
      </c>
      <c r="E1475">
        <f>IFERROR(__xludf.DUMMYFUNCTION("""COMPUTED_VALUE"""),0.41)</f>
        <v>0.41</v>
      </c>
      <c r="F1475">
        <f>IFERROR(__xludf.DUMMYFUNCTION("""COMPUTED_VALUE"""),1.4)</f>
        <v>1.4</v>
      </c>
      <c r="G1475">
        <f>IFERROR(__xludf.DUMMYFUNCTION("""COMPUTED_VALUE"""),15.38)</f>
        <v>15.38</v>
      </c>
    </row>
    <row r="1476">
      <c r="A1476">
        <f>IFERROR(__xludf.DUMMYFUNCTION("""COMPUTED_VALUE"""),173964.0)</f>
        <v>173964</v>
      </c>
      <c r="B1476" t="str">
        <f>IFERROR(__xludf.DUMMYFUNCTION("""COMPUTED_VALUE"""),"Red And White Currants")</f>
        <v>Red And White Currants</v>
      </c>
      <c r="C1476" t="str">
        <f>IFERROR(__xludf.DUMMYFUNCTION("""COMPUTED_VALUE"""),"Fruits")</f>
        <v>Fruits</v>
      </c>
      <c r="D1476">
        <f>IFERROR(__xludf.DUMMYFUNCTION("""COMPUTED_VALUE"""),56.0)</f>
        <v>56</v>
      </c>
      <c r="E1476">
        <f>IFERROR(__xludf.DUMMYFUNCTION("""COMPUTED_VALUE"""),0.2)</f>
        <v>0.2</v>
      </c>
      <c r="F1476">
        <f>IFERROR(__xludf.DUMMYFUNCTION("""COMPUTED_VALUE"""),1.4)</f>
        <v>1.4</v>
      </c>
      <c r="G1476">
        <f>IFERROR(__xludf.DUMMYFUNCTION("""COMPUTED_VALUE"""),13.8)</f>
        <v>13.8</v>
      </c>
    </row>
    <row r="1477">
      <c r="A1477">
        <f>IFERROR(__xludf.DUMMYFUNCTION("""COMPUTED_VALUE"""),174252.0)</f>
        <v>174252</v>
      </c>
      <c r="B1477" t="str">
        <f>IFERROR(__xludf.DUMMYFUNCTION("""COMPUTED_VALUE"""),"Lima Beans Large Mature Seeds Raw")</f>
        <v>Lima Beans Large Mature Seeds Raw</v>
      </c>
      <c r="C1477" t="str">
        <f>IFERROR(__xludf.DUMMYFUNCTION("""COMPUTED_VALUE"""),"Beans and Lentils")</f>
        <v>Beans and Lentils</v>
      </c>
      <c r="D1477">
        <f>IFERROR(__xludf.DUMMYFUNCTION("""COMPUTED_VALUE"""),338.0)</f>
        <v>338</v>
      </c>
      <c r="E1477">
        <f>IFERROR(__xludf.DUMMYFUNCTION("""COMPUTED_VALUE"""),0.69)</f>
        <v>0.69</v>
      </c>
      <c r="F1477">
        <f>IFERROR(__xludf.DUMMYFUNCTION("""COMPUTED_VALUE"""),21.46)</f>
        <v>21.46</v>
      </c>
      <c r="G1477">
        <f>IFERROR(__xludf.DUMMYFUNCTION("""COMPUTED_VALUE"""),63.38)</f>
        <v>63.38</v>
      </c>
    </row>
    <row r="1478">
      <c r="A1478">
        <f>IFERROR(__xludf.DUMMYFUNCTION("""COMPUTED_VALUE"""),174253.0)</f>
        <v>174253</v>
      </c>
      <c r="B1478" t="str">
        <f>IFERROR(__xludf.DUMMYFUNCTION("""COMPUTED_VALUE"""),"Lima Beans")</f>
        <v>Lima Beans</v>
      </c>
      <c r="C1478" t="str">
        <f>IFERROR(__xludf.DUMMYFUNCTION("""COMPUTED_VALUE"""),"Beans and Lentils")</f>
        <v>Beans and Lentils</v>
      </c>
      <c r="D1478">
        <f>IFERROR(__xludf.DUMMYFUNCTION("""COMPUTED_VALUE"""),115.0)</f>
        <v>115</v>
      </c>
      <c r="E1478">
        <f>IFERROR(__xludf.DUMMYFUNCTION("""COMPUTED_VALUE"""),0.38)</f>
        <v>0.38</v>
      </c>
      <c r="F1478">
        <f>IFERROR(__xludf.DUMMYFUNCTION("""COMPUTED_VALUE"""),7.8)</f>
        <v>7.8</v>
      </c>
      <c r="G1478">
        <f>IFERROR(__xludf.DUMMYFUNCTION("""COMPUTED_VALUE"""),20.88)</f>
        <v>20.88</v>
      </c>
    </row>
    <row r="1479">
      <c r="A1479">
        <f>IFERROR(__xludf.DUMMYFUNCTION("""COMPUTED_VALUE"""),174254.0)</f>
        <v>174254</v>
      </c>
      <c r="B1479" t="str">
        <f>IFERROR(__xludf.DUMMYFUNCTION("""COMPUTED_VALUE"""),"Canned Mature (White) Lima Beans")</f>
        <v>Canned Mature (White) Lima Beans</v>
      </c>
      <c r="C1479" t="str">
        <f>IFERROR(__xludf.DUMMYFUNCTION("""COMPUTED_VALUE"""),"Beans and Lentils")</f>
        <v>Beans and Lentils</v>
      </c>
      <c r="D1479">
        <f>IFERROR(__xludf.DUMMYFUNCTION("""COMPUTED_VALUE"""),79.0)</f>
        <v>79</v>
      </c>
      <c r="E1479">
        <f>IFERROR(__xludf.DUMMYFUNCTION("""COMPUTED_VALUE"""),0.17)</f>
        <v>0.17</v>
      </c>
      <c r="F1479">
        <f>IFERROR(__xludf.DUMMYFUNCTION("""COMPUTED_VALUE"""),4.93)</f>
        <v>4.93</v>
      </c>
      <c r="G1479">
        <f>IFERROR(__xludf.DUMMYFUNCTION("""COMPUTED_VALUE"""),14.91)</f>
        <v>14.91</v>
      </c>
    </row>
    <row r="1480">
      <c r="A1480">
        <f>IFERROR(__xludf.DUMMYFUNCTION("""COMPUTED_VALUE"""),174255.0)</f>
        <v>174255</v>
      </c>
      <c r="B1480" t="str">
        <f>IFERROR(__xludf.DUMMYFUNCTION("""COMPUTED_VALUE"""),"Lima Beans Thin Seeded (Baby) Mature Seeds Raw")</f>
        <v>Lima Beans Thin Seeded (Baby) Mature Seeds Raw</v>
      </c>
      <c r="C1480" t="str">
        <f>IFERROR(__xludf.DUMMYFUNCTION("""COMPUTED_VALUE"""),"Beans and Lentils")</f>
        <v>Beans and Lentils</v>
      </c>
      <c r="D1480">
        <f>IFERROR(__xludf.DUMMYFUNCTION("""COMPUTED_VALUE"""),335.0)</f>
        <v>335</v>
      </c>
      <c r="E1480">
        <f>IFERROR(__xludf.DUMMYFUNCTION("""COMPUTED_VALUE"""),0.93)</f>
        <v>0.93</v>
      </c>
      <c r="F1480">
        <f>IFERROR(__xludf.DUMMYFUNCTION("""COMPUTED_VALUE"""),20.62)</f>
        <v>20.62</v>
      </c>
      <c r="G1480">
        <f>IFERROR(__xludf.DUMMYFUNCTION("""COMPUTED_VALUE"""),62.83)</f>
        <v>62.83</v>
      </c>
    </row>
    <row r="1481">
      <c r="A1481">
        <f>IFERROR(__xludf.DUMMYFUNCTION("""COMPUTED_VALUE"""),174256.0)</f>
        <v>174256</v>
      </c>
      <c r="B1481" t="str">
        <f>IFERROR(__xludf.DUMMYFUNCTION("""COMPUTED_VALUE"""),"Mung Beans Mature Seeds Raw")</f>
        <v>Mung Beans Mature Seeds Raw</v>
      </c>
      <c r="C1481" t="str">
        <f>IFERROR(__xludf.DUMMYFUNCTION("""COMPUTED_VALUE"""),"Beans and Lentils")</f>
        <v>Beans and Lentils</v>
      </c>
      <c r="D1481">
        <f>IFERROR(__xludf.DUMMYFUNCTION("""COMPUTED_VALUE"""),347.0)</f>
        <v>347</v>
      </c>
      <c r="E1481">
        <f>IFERROR(__xludf.DUMMYFUNCTION("""COMPUTED_VALUE"""),1.15)</f>
        <v>1.15</v>
      </c>
      <c r="F1481">
        <f>IFERROR(__xludf.DUMMYFUNCTION("""COMPUTED_VALUE"""),23.86)</f>
        <v>23.86</v>
      </c>
      <c r="G1481">
        <f>IFERROR(__xludf.DUMMYFUNCTION("""COMPUTED_VALUE"""),62.62)</f>
        <v>62.62</v>
      </c>
    </row>
    <row r="1482">
      <c r="A1482">
        <f>IFERROR(__xludf.DUMMYFUNCTION("""COMPUTED_VALUE"""),174257.0)</f>
        <v>174257</v>
      </c>
      <c r="B1482" t="str">
        <f>IFERROR(__xludf.DUMMYFUNCTION("""COMPUTED_VALUE"""),"Mung Beans (Cooked)")</f>
        <v>Mung Beans (Cooked)</v>
      </c>
      <c r="C1482" t="str">
        <f>IFERROR(__xludf.DUMMYFUNCTION("""COMPUTED_VALUE"""),"Beans and Lentils")</f>
        <v>Beans and Lentils</v>
      </c>
      <c r="D1482">
        <f>IFERROR(__xludf.DUMMYFUNCTION("""COMPUTED_VALUE"""),105.0)</f>
        <v>105</v>
      </c>
      <c r="E1482">
        <f>IFERROR(__xludf.DUMMYFUNCTION("""COMPUTED_VALUE"""),0.38)</f>
        <v>0.38</v>
      </c>
      <c r="F1482">
        <f>IFERROR(__xludf.DUMMYFUNCTION("""COMPUTED_VALUE"""),7.02)</f>
        <v>7.02</v>
      </c>
      <c r="G1482">
        <f>IFERROR(__xludf.DUMMYFUNCTION("""COMPUTED_VALUE"""),19.15)</f>
        <v>19.15</v>
      </c>
    </row>
    <row r="1483">
      <c r="A1483">
        <f>IFERROR(__xludf.DUMMYFUNCTION("""COMPUTED_VALUE"""),174258.0)</f>
        <v>174258</v>
      </c>
      <c r="B1483" t="str">
        <f>IFERROR(__xludf.DUMMYFUNCTION("""COMPUTED_VALUE"""),"Noodles Chinese Cellophane Or Long Rice (Mung Beans) Dehydrated")</f>
        <v>Noodles Chinese Cellophane Or Long Rice (Mung Beans) Dehydrated</v>
      </c>
      <c r="C1483" t="str">
        <f>IFERROR(__xludf.DUMMYFUNCTION("""COMPUTED_VALUE"""),"Beans and Lentils")</f>
        <v>Beans and Lentils</v>
      </c>
      <c r="D1483">
        <f>IFERROR(__xludf.DUMMYFUNCTION("""COMPUTED_VALUE"""),351.0)</f>
        <v>351</v>
      </c>
      <c r="E1483">
        <f>IFERROR(__xludf.DUMMYFUNCTION("""COMPUTED_VALUE"""),0.06)</f>
        <v>0.06</v>
      </c>
      <c r="F1483">
        <f>IFERROR(__xludf.DUMMYFUNCTION("""COMPUTED_VALUE"""),0.16)</f>
        <v>0.16</v>
      </c>
      <c r="G1483">
        <f>IFERROR(__xludf.DUMMYFUNCTION("""COMPUTED_VALUE"""),86.09)</f>
        <v>86.09</v>
      </c>
    </row>
    <row r="1484">
      <c r="A1484">
        <f>IFERROR(__xludf.DUMMYFUNCTION("""COMPUTED_VALUE"""),174259.0)</f>
        <v>174259</v>
      </c>
      <c r="B1484" t="str">
        <f>IFERROR(__xludf.DUMMYFUNCTION("""COMPUTED_VALUE"""),"Mungo Beans Mature Seeds Raw")</f>
        <v>Mungo Beans Mature Seeds Raw</v>
      </c>
      <c r="C1484" t="str">
        <f>IFERROR(__xludf.DUMMYFUNCTION("""COMPUTED_VALUE"""),"Beans and Lentils")</f>
        <v>Beans and Lentils</v>
      </c>
      <c r="D1484">
        <f>IFERROR(__xludf.DUMMYFUNCTION("""COMPUTED_VALUE"""),341.0)</f>
        <v>341</v>
      </c>
      <c r="E1484">
        <f>IFERROR(__xludf.DUMMYFUNCTION("""COMPUTED_VALUE"""),1.64)</f>
        <v>1.64</v>
      </c>
      <c r="F1484">
        <f>IFERROR(__xludf.DUMMYFUNCTION("""COMPUTED_VALUE"""),25.21)</f>
        <v>25.21</v>
      </c>
      <c r="G1484">
        <f>IFERROR(__xludf.DUMMYFUNCTION("""COMPUTED_VALUE"""),58.99)</f>
        <v>58.99</v>
      </c>
    </row>
    <row r="1485">
      <c r="A1485">
        <f>IFERROR(__xludf.DUMMYFUNCTION("""COMPUTED_VALUE"""),174260.0)</f>
        <v>174260</v>
      </c>
      <c r="B1485" t="str">
        <f>IFERROR(__xludf.DUMMYFUNCTION("""COMPUTED_VALUE"""),"Peanuts All Types Cooked Boiled With Salt")</f>
        <v>Peanuts All Types Cooked Boiled With Salt</v>
      </c>
      <c r="C1485" t="str">
        <f>IFERROR(__xludf.DUMMYFUNCTION("""COMPUTED_VALUE"""),"Beans and Lentils")</f>
        <v>Beans and Lentils</v>
      </c>
      <c r="D1485">
        <f>IFERROR(__xludf.DUMMYFUNCTION("""COMPUTED_VALUE"""),318.0)</f>
        <v>318</v>
      </c>
      <c r="E1485">
        <f>IFERROR(__xludf.DUMMYFUNCTION("""COMPUTED_VALUE"""),22.01)</f>
        <v>22.01</v>
      </c>
      <c r="F1485">
        <f>IFERROR(__xludf.DUMMYFUNCTION("""COMPUTED_VALUE"""),13.5)</f>
        <v>13.5</v>
      </c>
      <c r="G1485">
        <f>IFERROR(__xludf.DUMMYFUNCTION("""COMPUTED_VALUE"""),21.26)</f>
        <v>21.26</v>
      </c>
    </row>
    <row r="1486">
      <c r="A1486">
        <f>IFERROR(__xludf.DUMMYFUNCTION("""COMPUTED_VALUE"""),174261.0)</f>
        <v>174261</v>
      </c>
      <c r="B1486" t="str">
        <f>IFERROR(__xludf.DUMMYFUNCTION("""COMPUTED_VALUE"""),"Peanuts All Types Oil-Roasted With Salt")</f>
        <v>Peanuts All Types Oil-Roasted With Salt</v>
      </c>
      <c r="C1486" t="str">
        <f>IFERROR(__xludf.DUMMYFUNCTION("""COMPUTED_VALUE"""),"Beans and Lentils")</f>
        <v>Beans and Lentils</v>
      </c>
      <c r="D1486">
        <f>IFERROR(__xludf.DUMMYFUNCTION("""COMPUTED_VALUE"""),599.0)</f>
        <v>599</v>
      </c>
      <c r="E1486">
        <f>IFERROR(__xludf.DUMMYFUNCTION("""COMPUTED_VALUE"""),52.5)</f>
        <v>52.5</v>
      </c>
      <c r="F1486">
        <f>IFERROR(__xludf.DUMMYFUNCTION("""COMPUTED_VALUE"""),28.03)</f>
        <v>28.03</v>
      </c>
      <c r="G1486">
        <f>IFERROR(__xludf.DUMMYFUNCTION("""COMPUTED_VALUE"""),15.26)</f>
        <v>15.26</v>
      </c>
    </row>
    <row r="1487">
      <c r="A1487">
        <f>IFERROR(__xludf.DUMMYFUNCTION("""COMPUTED_VALUE"""),174262.0)</f>
        <v>174262</v>
      </c>
      <c r="B1487" t="str">
        <f>IFERROR(__xludf.DUMMYFUNCTION("""COMPUTED_VALUE"""),"Peanuts All Types Dry-Roasted With Salt")</f>
        <v>Peanuts All Types Dry-Roasted With Salt</v>
      </c>
      <c r="C1487" t="str">
        <f>IFERROR(__xludf.DUMMYFUNCTION("""COMPUTED_VALUE"""),"Beans and Lentils")</f>
        <v>Beans and Lentils</v>
      </c>
      <c r="D1487">
        <f>IFERROR(__xludf.DUMMYFUNCTION("""COMPUTED_VALUE"""),587.0)</f>
        <v>587</v>
      </c>
      <c r="E1487">
        <f>IFERROR(__xludf.DUMMYFUNCTION("""COMPUTED_VALUE"""),49.66)</f>
        <v>49.66</v>
      </c>
      <c r="F1487">
        <f>IFERROR(__xludf.DUMMYFUNCTION("""COMPUTED_VALUE"""),24.35)</f>
        <v>24.35</v>
      </c>
      <c r="G1487">
        <f>IFERROR(__xludf.DUMMYFUNCTION("""COMPUTED_VALUE"""),21.26)</f>
        <v>21.26</v>
      </c>
    </row>
    <row r="1488">
      <c r="A1488">
        <f>IFERROR(__xludf.DUMMYFUNCTION("""COMPUTED_VALUE"""),174263.0)</f>
        <v>174263</v>
      </c>
      <c r="B1488" t="str">
        <f>IFERROR(__xludf.DUMMYFUNCTION("""COMPUTED_VALUE"""),"Peanuts Spanish Raw")</f>
        <v>Peanuts Spanish Raw</v>
      </c>
      <c r="C1488" t="str">
        <f>IFERROR(__xludf.DUMMYFUNCTION("""COMPUTED_VALUE"""),"Beans and Lentils")</f>
        <v>Beans and Lentils</v>
      </c>
      <c r="D1488">
        <f>IFERROR(__xludf.DUMMYFUNCTION("""COMPUTED_VALUE"""),570.0)</f>
        <v>570</v>
      </c>
      <c r="E1488">
        <f>IFERROR(__xludf.DUMMYFUNCTION("""COMPUTED_VALUE"""),49.6)</f>
        <v>49.6</v>
      </c>
      <c r="F1488">
        <f>IFERROR(__xludf.DUMMYFUNCTION("""COMPUTED_VALUE"""),26.15)</f>
        <v>26.15</v>
      </c>
      <c r="G1488">
        <f>IFERROR(__xludf.DUMMYFUNCTION("""COMPUTED_VALUE"""),15.83)</f>
        <v>15.83</v>
      </c>
    </row>
    <row r="1489">
      <c r="A1489">
        <f>IFERROR(__xludf.DUMMYFUNCTION("""COMPUTED_VALUE"""),174264.0)</f>
        <v>174264</v>
      </c>
      <c r="B1489" t="str">
        <f>IFERROR(__xludf.DUMMYFUNCTION("""COMPUTED_VALUE"""),"Peanuts Virginia Oil-Roasted With Salt")</f>
        <v>Peanuts Virginia Oil-Roasted With Salt</v>
      </c>
      <c r="C1489" t="str">
        <f>IFERROR(__xludf.DUMMYFUNCTION("""COMPUTED_VALUE"""),"Beans and Lentils")</f>
        <v>Beans and Lentils</v>
      </c>
      <c r="D1489">
        <f>IFERROR(__xludf.DUMMYFUNCTION("""COMPUTED_VALUE"""),578.0)</f>
        <v>578</v>
      </c>
      <c r="E1489">
        <f>IFERROR(__xludf.DUMMYFUNCTION("""COMPUTED_VALUE"""),48.62)</f>
        <v>48.62</v>
      </c>
      <c r="F1489">
        <f>IFERROR(__xludf.DUMMYFUNCTION("""COMPUTED_VALUE"""),25.87)</f>
        <v>25.87</v>
      </c>
      <c r="G1489">
        <f>IFERROR(__xludf.DUMMYFUNCTION("""COMPUTED_VALUE"""),19.86)</f>
        <v>19.86</v>
      </c>
    </row>
    <row r="1490">
      <c r="A1490">
        <f>IFERROR(__xludf.DUMMYFUNCTION("""COMPUTED_VALUE"""),174265.0)</f>
        <v>174265</v>
      </c>
      <c r="B1490" t="str">
        <f>IFERROR(__xludf.DUMMYFUNCTION("""COMPUTED_VALUE"""),"Peanut Butter Chunk Style With Salt")</f>
        <v>Peanut Butter Chunk Style With Salt</v>
      </c>
      <c r="C1490" t="str">
        <f>IFERROR(__xludf.DUMMYFUNCTION("""COMPUTED_VALUE"""),"Beans and Lentils")</f>
        <v>Beans and Lentils</v>
      </c>
      <c r="D1490">
        <f>IFERROR(__xludf.DUMMYFUNCTION("""COMPUTED_VALUE"""),589.0)</f>
        <v>589</v>
      </c>
      <c r="E1490">
        <f>IFERROR(__xludf.DUMMYFUNCTION("""COMPUTED_VALUE"""),49.94)</f>
        <v>49.94</v>
      </c>
      <c r="F1490">
        <f>IFERROR(__xludf.DUMMYFUNCTION("""COMPUTED_VALUE"""),24.06)</f>
        <v>24.06</v>
      </c>
      <c r="G1490">
        <f>IFERROR(__xludf.DUMMYFUNCTION("""COMPUTED_VALUE"""),21.57)</f>
        <v>21.57</v>
      </c>
    </row>
    <row r="1491">
      <c r="A1491">
        <f>IFERROR(__xludf.DUMMYFUNCTION("""COMPUTED_VALUE"""),174266.0)</f>
        <v>174266</v>
      </c>
      <c r="B1491" t="str">
        <f>IFERROR(__xludf.DUMMYFUNCTION("""COMPUTED_VALUE"""),"Peanut Butter Smooth Style With Salt")</f>
        <v>Peanut Butter Smooth Style With Salt</v>
      </c>
      <c r="C1491" t="str">
        <f>IFERROR(__xludf.DUMMYFUNCTION("""COMPUTED_VALUE"""),"Beans and Lentils")</f>
        <v>Beans and Lentils</v>
      </c>
      <c r="D1491">
        <f>IFERROR(__xludf.DUMMYFUNCTION("""COMPUTED_VALUE"""),598.0)</f>
        <v>598</v>
      </c>
      <c r="E1491">
        <f>IFERROR(__xludf.DUMMYFUNCTION("""COMPUTED_VALUE"""),51.36)</f>
        <v>51.36</v>
      </c>
      <c r="F1491">
        <f>IFERROR(__xludf.DUMMYFUNCTION("""COMPUTED_VALUE"""),22.21)</f>
        <v>22.21</v>
      </c>
      <c r="G1491">
        <f>IFERROR(__xludf.DUMMYFUNCTION("""COMPUTED_VALUE"""),22.31)</f>
        <v>22.31</v>
      </c>
    </row>
    <row r="1492">
      <c r="A1492">
        <f>IFERROR(__xludf.DUMMYFUNCTION("""COMPUTED_VALUE"""),174267.0)</f>
        <v>174267</v>
      </c>
      <c r="B1492" t="str">
        <f>IFERROR(__xludf.DUMMYFUNCTION("""COMPUTED_VALUE"""),"Peanut Flour Defatted")</f>
        <v>Peanut Flour Defatted</v>
      </c>
      <c r="C1492" t="str">
        <f>IFERROR(__xludf.DUMMYFUNCTION("""COMPUTED_VALUE"""),"Beans and Lentils")</f>
        <v>Beans and Lentils</v>
      </c>
      <c r="D1492">
        <f>IFERROR(__xludf.DUMMYFUNCTION("""COMPUTED_VALUE"""),327.0)</f>
        <v>327</v>
      </c>
      <c r="E1492">
        <f>IFERROR(__xludf.DUMMYFUNCTION("""COMPUTED_VALUE"""),0.55)</f>
        <v>0.55</v>
      </c>
      <c r="F1492">
        <f>IFERROR(__xludf.DUMMYFUNCTION("""COMPUTED_VALUE"""),52.2)</f>
        <v>52.2</v>
      </c>
      <c r="G1492">
        <f>IFERROR(__xludf.DUMMYFUNCTION("""COMPUTED_VALUE"""),34.7)</f>
        <v>34.7</v>
      </c>
    </row>
    <row r="1493">
      <c r="A1493">
        <f>IFERROR(__xludf.DUMMYFUNCTION("""COMPUTED_VALUE"""),174268.0)</f>
        <v>174268</v>
      </c>
      <c r="B1493" t="str">
        <f>IFERROR(__xludf.DUMMYFUNCTION("""COMPUTED_VALUE"""),"Meat Extender")</f>
        <v>Meat Extender</v>
      </c>
      <c r="C1493" t="str">
        <f>IFERROR(__xludf.DUMMYFUNCTION("""COMPUTED_VALUE"""),"Beans and Lentils")</f>
        <v>Beans and Lentils</v>
      </c>
      <c r="D1493">
        <f>IFERROR(__xludf.DUMMYFUNCTION("""COMPUTED_VALUE"""),311.0)</f>
        <v>311</v>
      </c>
      <c r="E1493">
        <f>IFERROR(__xludf.DUMMYFUNCTION("""COMPUTED_VALUE"""),2.97)</f>
        <v>2.97</v>
      </c>
      <c r="F1493">
        <f>IFERROR(__xludf.DUMMYFUNCTION("""COMPUTED_VALUE"""),41.71)</f>
        <v>41.71</v>
      </c>
      <c r="G1493">
        <f>IFERROR(__xludf.DUMMYFUNCTION("""COMPUTED_VALUE"""),34.71)</f>
        <v>34.71</v>
      </c>
    </row>
    <row r="1494">
      <c r="A1494">
        <f>IFERROR(__xludf.DUMMYFUNCTION("""COMPUTED_VALUE"""),174269.0)</f>
        <v>174269</v>
      </c>
      <c r="B1494" t="str">
        <f>IFERROR(__xludf.DUMMYFUNCTION("""COMPUTED_VALUE"""),"Sausage Meatless")</f>
        <v>Sausage Meatless</v>
      </c>
      <c r="C1494" t="str">
        <f>IFERROR(__xludf.DUMMYFUNCTION("""COMPUTED_VALUE"""),"Beans and Lentils")</f>
        <v>Beans and Lentils</v>
      </c>
      <c r="D1494">
        <f>IFERROR(__xludf.DUMMYFUNCTION("""COMPUTED_VALUE"""),255.0)</f>
        <v>255</v>
      </c>
      <c r="E1494">
        <f>IFERROR(__xludf.DUMMYFUNCTION("""COMPUTED_VALUE"""),18.16)</f>
        <v>18.16</v>
      </c>
      <c r="F1494">
        <f>IFERROR(__xludf.DUMMYFUNCTION("""COMPUTED_VALUE"""),20.28)</f>
        <v>20.28</v>
      </c>
      <c r="G1494">
        <f>IFERROR(__xludf.DUMMYFUNCTION("""COMPUTED_VALUE"""),8.09)</f>
        <v>8.09</v>
      </c>
    </row>
    <row r="1495">
      <c r="A1495">
        <f>IFERROR(__xludf.DUMMYFUNCTION("""COMPUTED_VALUE"""),174270.0)</f>
        <v>174270</v>
      </c>
      <c r="B1495" t="str">
        <f>IFERROR(__xludf.DUMMYFUNCTION("""COMPUTED_VALUE"""),"Soybeans Mature Seeds Raw")</f>
        <v>Soybeans Mature Seeds Raw</v>
      </c>
      <c r="C1495" t="str">
        <f>IFERROR(__xludf.DUMMYFUNCTION("""COMPUTED_VALUE"""),"Beans and Lentils")</f>
        <v>Beans and Lentils</v>
      </c>
      <c r="D1495">
        <f>IFERROR(__xludf.DUMMYFUNCTION("""COMPUTED_VALUE"""),446.0)</f>
        <v>446</v>
      </c>
      <c r="E1495">
        <f>IFERROR(__xludf.DUMMYFUNCTION("""COMPUTED_VALUE"""),19.94)</f>
        <v>19.94</v>
      </c>
      <c r="F1495">
        <f>IFERROR(__xludf.DUMMYFUNCTION("""COMPUTED_VALUE"""),36.49)</f>
        <v>36.49</v>
      </c>
      <c r="G1495">
        <f>IFERROR(__xludf.DUMMYFUNCTION("""COMPUTED_VALUE"""),30.16)</f>
        <v>30.16</v>
      </c>
    </row>
    <row r="1496">
      <c r="A1496">
        <f>IFERROR(__xludf.DUMMYFUNCTION("""COMPUTED_VALUE"""),174271.0)</f>
        <v>174271</v>
      </c>
      <c r="B1496" t="str">
        <f>IFERROR(__xludf.DUMMYFUNCTION("""COMPUTED_VALUE"""),"Boiled Soybeans (Edamame)")</f>
        <v>Boiled Soybeans (Edamame)</v>
      </c>
      <c r="C1496" t="str">
        <f>IFERROR(__xludf.DUMMYFUNCTION("""COMPUTED_VALUE"""),"Beans and Lentils")</f>
        <v>Beans and Lentils</v>
      </c>
      <c r="D1496">
        <f>IFERROR(__xludf.DUMMYFUNCTION("""COMPUTED_VALUE"""),172.0)</f>
        <v>172</v>
      </c>
      <c r="E1496">
        <f>IFERROR(__xludf.DUMMYFUNCTION("""COMPUTED_VALUE"""),8.97)</f>
        <v>8.97</v>
      </c>
      <c r="F1496">
        <f>IFERROR(__xludf.DUMMYFUNCTION("""COMPUTED_VALUE"""),18.21)</f>
        <v>18.21</v>
      </c>
      <c r="G1496">
        <f>IFERROR(__xludf.DUMMYFUNCTION("""COMPUTED_VALUE"""),8.36)</f>
        <v>8.36</v>
      </c>
    </row>
    <row r="1497">
      <c r="A1497">
        <f>IFERROR(__xludf.DUMMYFUNCTION("""COMPUTED_VALUE"""),174272.0)</f>
        <v>174272</v>
      </c>
      <c r="B1497" t="str">
        <f>IFERROR(__xludf.DUMMYFUNCTION("""COMPUTED_VALUE"""),"Tempeh")</f>
        <v>Tempeh</v>
      </c>
      <c r="C1497" t="str">
        <f>IFERROR(__xludf.DUMMYFUNCTION("""COMPUTED_VALUE"""),"Beans and Lentils")</f>
        <v>Beans and Lentils</v>
      </c>
      <c r="D1497">
        <f>IFERROR(__xludf.DUMMYFUNCTION("""COMPUTED_VALUE"""),192.0)</f>
        <v>192</v>
      </c>
      <c r="E1497">
        <f>IFERROR(__xludf.DUMMYFUNCTION("""COMPUTED_VALUE"""),10.8)</f>
        <v>10.8</v>
      </c>
      <c r="F1497">
        <f>IFERROR(__xludf.DUMMYFUNCTION("""COMPUTED_VALUE"""),20.29)</f>
        <v>20.29</v>
      </c>
      <c r="G1497">
        <f>IFERROR(__xludf.DUMMYFUNCTION("""COMPUTED_VALUE"""),7.64)</f>
        <v>7.64</v>
      </c>
    </row>
    <row r="1498">
      <c r="A1498">
        <f>IFERROR(__xludf.DUMMYFUNCTION("""COMPUTED_VALUE"""),174273.0)</f>
        <v>174273</v>
      </c>
      <c r="B1498" t="str">
        <f>IFERROR(__xludf.DUMMYFUNCTION("""COMPUTED_VALUE"""),"Soy Flour Full-Fat Raw")</f>
        <v>Soy Flour Full-Fat Raw</v>
      </c>
      <c r="C1498" t="str">
        <f>IFERROR(__xludf.DUMMYFUNCTION("""COMPUTED_VALUE"""),"Beans and Lentils")</f>
        <v>Beans and Lentils</v>
      </c>
      <c r="D1498">
        <f>IFERROR(__xludf.DUMMYFUNCTION("""COMPUTED_VALUE"""),434.0)</f>
        <v>434</v>
      </c>
      <c r="E1498">
        <f>IFERROR(__xludf.DUMMYFUNCTION("""COMPUTED_VALUE"""),20.65)</f>
        <v>20.65</v>
      </c>
      <c r="F1498">
        <f>IFERROR(__xludf.DUMMYFUNCTION("""COMPUTED_VALUE"""),37.81)</f>
        <v>37.81</v>
      </c>
      <c r="G1498">
        <f>IFERROR(__xludf.DUMMYFUNCTION("""COMPUTED_VALUE"""),31.92)</f>
        <v>31.92</v>
      </c>
    </row>
    <row r="1499">
      <c r="A1499">
        <f>IFERROR(__xludf.DUMMYFUNCTION("""COMPUTED_VALUE"""),174274.0)</f>
        <v>174274</v>
      </c>
      <c r="B1499" t="str">
        <f>IFERROR(__xludf.DUMMYFUNCTION("""COMPUTED_VALUE"""),"Soy Flour Full-Fat Roasted")</f>
        <v>Soy Flour Full-Fat Roasted</v>
      </c>
      <c r="C1499" t="str">
        <f>IFERROR(__xludf.DUMMYFUNCTION("""COMPUTED_VALUE"""),"Beans and Lentils")</f>
        <v>Beans and Lentils</v>
      </c>
      <c r="D1499">
        <f>IFERROR(__xludf.DUMMYFUNCTION("""COMPUTED_VALUE"""),439.0)</f>
        <v>439</v>
      </c>
      <c r="E1499">
        <f>IFERROR(__xludf.DUMMYFUNCTION("""COMPUTED_VALUE"""),21.86)</f>
        <v>21.86</v>
      </c>
      <c r="F1499">
        <f>IFERROR(__xludf.DUMMYFUNCTION("""COMPUTED_VALUE"""),38.09)</f>
        <v>38.09</v>
      </c>
      <c r="G1499">
        <f>IFERROR(__xludf.DUMMYFUNCTION("""COMPUTED_VALUE"""),30.38)</f>
        <v>30.38</v>
      </c>
    </row>
    <row r="1500">
      <c r="A1500">
        <f>IFERROR(__xludf.DUMMYFUNCTION("""COMPUTED_VALUE"""),174275.0)</f>
        <v>174275</v>
      </c>
      <c r="B1500" t="str">
        <f>IFERROR(__xludf.DUMMYFUNCTION("""COMPUTED_VALUE"""),"Soy Flour Defatted")</f>
        <v>Soy Flour Defatted</v>
      </c>
      <c r="C1500" t="str">
        <f>IFERROR(__xludf.DUMMYFUNCTION("""COMPUTED_VALUE"""),"Beans and Lentils")</f>
        <v>Beans and Lentils</v>
      </c>
      <c r="D1500">
        <f>IFERROR(__xludf.DUMMYFUNCTION("""COMPUTED_VALUE"""),327.0)</f>
        <v>327</v>
      </c>
      <c r="E1500">
        <f>IFERROR(__xludf.DUMMYFUNCTION("""COMPUTED_VALUE"""),1.22)</f>
        <v>1.22</v>
      </c>
      <c r="F1500">
        <f>IFERROR(__xludf.DUMMYFUNCTION("""COMPUTED_VALUE"""),51.46)</f>
        <v>51.46</v>
      </c>
      <c r="G1500">
        <f>IFERROR(__xludf.DUMMYFUNCTION("""COMPUTED_VALUE"""),33.92)</f>
        <v>33.92</v>
      </c>
    </row>
    <row r="1501">
      <c r="A1501">
        <f>IFERROR(__xludf.DUMMYFUNCTION("""COMPUTED_VALUE"""),174276.0)</f>
        <v>174276</v>
      </c>
      <c r="B1501" t="str">
        <f>IFERROR(__xludf.DUMMYFUNCTION("""COMPUTED_VALUE"""),"Soy Protein Powder (Isolate)")</f>
        <v>Soy Protein Powder (Isolate)</v>
      </c>
      <c r="C1501" t="str">
        <f>IFERROR(__xludf.DUMMYFUNCTION("""COMPUTED_VALUE"""),"Beans and Lentils")</f>
        <v>Beans and Lentils</v>
      </c>
      <c r="D1501">
        <f>IFERROR(__xludf.DUMMYFUNCTION("""COMPUTED_VALUE"""),335.0)</f>
        <v>335</v>
      </c>
      <c r="E1501">
        <f>IFERROR(__xludf.DUMMYFUNCTION("""COMPUTED_VALUE"""),3.39)</f>
        <v>3.39</v>
      </c>
      <c r="F1501">
        <f>IFERROR(__xludf.DUMMYFUNCTION("""COMPUTED_VALUE"""),88.32)</f>
        <v>88.32</v>
      </c>
      <c r="G1501">
        <f>IFERROR(__xludf.DUMMYFUNCTION("""COMPUTED_VALUE"""),0.0)</f>
        <v>0</v>
      </c>
    </row>
    <row r="1502">
      <c r="A1502">
        <f>IFERROR(__xludf.DUMMYFUNCTION("""COMPUTED_VALUE"""),174277.0)</f>
        <v>174277</v>
      </c>
      <c r="B1502" t="str">
        <f>IFERROR(__xludf.DUMMYFUNCTION("""COMPUTED_VALUE"""),"Soy Sauce")</f>
        <v>Soy Sauce</v>
      </c>
      <c r="C1502" t="str">
        <f>IFERROR(__xludf.DUMMYFUNCTION("""COMPUTED_VALUE"""),"Beans and Lentils")</f>
        <v>Beans and Lentils</v>
      </c>
      <c r="D1502">
        <f>IFERROR(__xludf.DUMMYFUNCTION("""COMPUTED_VALUE"""),53.0)</f>
        <v>53</v>
      </c>
      <c r="E1502">
        <f>IFERROR(__xludf.DUMMYFUNCTION("""COMPUTED_VALUE"""),0.57)</f>
        <v>0.57</v>
      </c>
      <c r="F1502">
        <f>IFERROR(__xludf.DUMMYFUNCTION("""COMPUTED_VALUE"""),8.14)</f>
        <v>8.14</v>
      </c>
      <c r="G1502">
        <f>IFERROR(__xludf.DUMMYFUNCTION("""COMPUTED_VALUE"""),4.93)</f>
        <v>4.93</v>
      </c>
    </row>
    <row r="1503">
      <c r="A1503">
        <f>IFERROR(__xludf.DUMMYFUNCTION("""COMPUTED_VALUE"""),174278.0)</f>
        <v>174278</v>
      </c>
      <c r="B1503" t="str">
        <f>IFERROR(__xludf.DUMMYFUNCTION("""COMPUTED_VALUE"""),"Tamari")</f>
        <v>Tamari</v>
      </c>
      <c r="C1503" t="str">
        <f>IFERROR(__xludf.DUMMYFUNCTION("""COMPUTED_VALUE"""),"Beans and Lentils")</f>
        <v>Beans and Lentils</v>
      </c>
      <c r="D1503">
        <f>IFERROR(__xludf.DUMMYFUNCTION("""COMPUTED_VALUE"""),60.0)</f>
        <v>60</v>
      </c>
      <c r="E1503">
        <f>IFERROR(__xludf.DUMMYFUNCTION("""COMPUTED_VALUE"""),0.1)</f>
        <v>0.1</v>
      </c>
      <c r="F1503">
        <f>IFERROR(__xludf.DUMMYFUNCTION("""COMPUTED_VALUE"""),10.51)</f>
        <v>10.51</v>
      </c>
      <c r="G1503">
        <f>IFERROR(__xludf.DUMMYFUNCTION("""COMPUTED_VALUE"""),5.57)</f>
        <v>5.57</v>
      </c>
    </row>
    <row r="1504">
      <c r="A1504">
        <f>IFERROR(__xludf.DUMMYFUNCTION("""COMPUTED_VALUE"""),174279.0)</f>
        <v>174279</v>
      </c>
      <c r="B1504" t="str">
        <f>IFERROR(__xludf.DUMMYFUNCTION("""COMPUTED_VALUE"""),"Soy Sauce Made From Hydrolyzed Vegetable Protein")</f>
        <v>Soy Sauce Made From Hydrolyzed Vegetable Protein</v>
      </c>
      <c r="C1504" t="str">
        <f>IFERROR(__xludf.DUMMYFUNCTION("""COMPUTED_VALUE"""),"Beans and Lentils")</f>
        <v>Beans and Lentils</v>
      </c>
      <c r="D1504">
        <f>IFERROR(__xludf.DUMMYFUNCTION("""COMPUTED_VALUE"""),60.0)</f>
        <v>60</v>
      </c>
      <c r="E1504">
        <f>IFERROR(__xludf.DUMMYFUNCTION("""COMPUTED_VALUE"""),0.51)</f>
        <v>0.51</v>
      </c>
      <c r="F1504">
        <f>IFERROR(__xludf.DUMMYFUNCTION("""COMPUTED_VALUE"""),7.0)</f>
        <v>7</v>
      </c>
      <c r="G1504">
        <f>IFERROR(__xludf.DUMMYFUNCTION("""COMPUTED_VALUE"""),7.84)</f>
        <v>7.84</v>
      </c>
    </row>
    <row r="1505">
      <c r="A1505">
        <f>IFERROR(__xludf.DUMMYFUNCTION("""COMPUTED_VALUE"""),174280.0)</f>
        <v>174280</v>
      </c>
      <c r="B1505" t="str">
        <f>IFERROR(__xludf.DUMMYFUNCTION("""COMPUTED_VALUE"""),"Stinky Tofu")</f>
        <v>Stinky Tofu</v>
      </c>
      <c r="C1505" t="str">
        <f>IFERROR(__xludf.DUMMYFUNCTION("""COMPUTED_VALUE"""),"Beans and Lentils")</f>
        <v>Beans and Lentils</v>
      </c>
      <c r="D1505">
        <f>IFERROR(__xludf.DUMMYFUNCTION("""COMPUTED_VALUE"""),116.0)</f>
        <v>116</v>
      </c>
      <c r="E1505">
        <f>IFERROR(__xludf.DUMMYFUNCTION("""COMPUTED_VALUE"""),8.0)</f>
        <v>8</v>
      </c>
      <c r="F1505">
        <f>IFERROR(__xludf.DUMMYFUNCTION("""COMPUTED_VALUE"""),8.92)</f>
        <v>8.92</v>
      </c>
      <c r="G1505">
        <f>IFERROR(__xludf.DUMMYFUNCTION("""COMPUTED_VALUE"""),4.38)</f>
        <v>4.38</v>
      </c>
    </row>
    <row r="1506">
      <c r="A1506">
        <f>IFERROR(__xludf.DUMMYFUNCTION("""COMPUTED_VALUE"""),174281.0)</f>
        <v>174281</v>
      </c>
      <c r="B1506" t="str">
        <f>IFERROR(__xludf.DUMMYFUNCTION("""COMPUTED_VALUE"""),"Yardlong Beans Mature Seeds Raw")</f>
        <v>Yardlong Beans Mature Seeds Raw</v>
      </c>
      <c r="C1506" t="str">
        <f>IFERROR(__xludf.DUMMYFUNCTION("""COMPUTED_VALUE"""),"Beans and Lentils")</f>
        <v>Beans and Lentils</v>
      </c>
      <c r="D1506">
        <f>IFERROR(__xludf.DUMMYFUNCTION("""COMPUTED_VALUE"""),347.0)</f>
        <v>347</v>
      </c>
      <c r="E1506">
        <f>IFERROR(__xludf.DUMMYFUNCTION("""COMPUTED_VALUE"""),1.31)</f>
        <v>1.31</v>
      </c>
      <c r="F1506">
        <f>IFERROR(__xludf.DUMMYFUNCTION("""COMPUTED_VALUE"""),24.33)</f>
        <v>24.33</v>
      </c>
      <c r="G1506">
        <f>IFERROR(__xludf.DUMMYFUNCTION("""COMPUTED_VALUE"""),61.91)</f>
        <v>61.91</v>
      </c>
    </row>
    <row r="1507">
      <c r="A1507">
        <f>IFERROR(__xludf.DUMMYFUNCTION("""COMPUTED_VALUE"""),174282.0)</f>
        <v>174282</v>
      </c>
      <c r="B1507" t="str">
        <f>IFERROR(__xludf.DUMMYFUNCTION("""COMPUTED_VALUE"""),"Yardlong Beans Mature Seeds Cooked Boiled Without Salt")</f>
        <v>Yardlong Beans Mature Seeds Cooked Boiled Without Salt</v>
      </c>
      <c r="C1507" t="str">
        <f>IFERROR(__xludf.DUMMYFUNCTION("""COMPUTED_VALUE"""),"Beans and Lentils")</f>
        <v>Beans and Lentils</v>
      </c>
      <c r="D1507">
        <f>IFERROR(__xludf.DUMMYFUNCTION("""COMPUTED_VALUE"""),118.0)</f>
        <v>118</v>
      </c>
      <c r="E1507">
        <f>IFERROR(__xludf.DUMMYFUNCTION("""COMPUTED_VALUE"""),0.45)</f>
        <v>0.45</v>
      </c>
      <c r="F1507">
        <f>IFERROR(__xludf.DUMMYFUNCTION("""COMPUTED_VALUE"""),8.29)</f>
        <v>8.29</v>
      </c>
      <c r="G1507">
        <f>IFERROR(__xludf.DUMMYFUNCTION("""COMPUTED_VALUE"""),21.09)</f>
        <v>21.09</v>
      </c>
    </row>
    <row r="1508">
      <c r="A1508">
        <f>IFERROR(__xludf.DUMMYFUNCTION("""COMPUTED_VALUE"""),174283.0)</f>
        <v>174283</v>
      </c>
      <c r="B1508" t="str">
        <f>IFERROR(__xludf.DUMMYFUNCTION("""COMPUTED_VALUE"""),"Winged Beans Mature Seeds Raw")</f>
        <v>Winged Beans Mature Seeds Raw</v>
      </c>
      <c r="C1508" t="str">
        <f>IFERROR(__xludf.DUMMYFUNCTION("""COMPUTED_VALUE"""),"Beans and Lentils")</f>
        <v>Beans and Lentils</v>
      </c>
      <c r="D1508">
        <f>IFERROR(__xludf.DUMMYFUNCTION("""COMPUTED_VALUE"""),409.0)</f>
        <v>409</v>
      </c>
      <c r="E1508">
        <f>IFERROR(__xludf.DUMMYFUNCTION("""COMPUTED_VALUE"""),16.32)</f>
        <v>16.32</v>
      </c>
      <c r="F1508">
        <f>IFERROR(__xludf.DUMMYFUNCTION("""COMPUTED_VALUE"""),29.65)</f>
        <v>29.65</v>
      </c>
      <c r="G1508">
        <f>IFERROR(__xludf.DUMMYFUNCTION("""COMPUTED_VALUE"""),41.71)</f>
        <v>41.71</v>
      </c>
    </row>
    <row r="1509">
      <c r="A1509">
        <f>IFERROR(__xludf.DUMMYFUNCTION("""COMPUTED_VALUE"""),174284.0)</f>
        <v>174284</v>
      </c>
      <c r="B1509" t="str">
        <f>IFERROR(__xludf.DUMMYFUNCTION("""COMPUTED_VALUE"""),"Lentils Pink Or Red Raw")</f>
        <v>Lentils Pink Or Red Raw</v>
      </c>
      <c r="C1509" t="str">
        <f>IFERROR(__xludf.DUMMYFUNCTION("""COMPUTED_VALUE"""),"Beans and Lentils")</f>
        <v>Beans and Lentils</v>
      </c>
      <c r="D1509">
        <f>IFERROR(__xludf.DUMMYFUNCTION("""COMPUTED_VALUE"""),358.0)</f>
        <v>358</v>
      </c>
      <c r="E1509">
        <f>IFERROR(__xludf.DUMMYFUNCTION("""COMPUTED_VALUE"""),2.17)</f>
        <v>2.17</v>
      </c>
      <c r="F1509">
        <f>IFERROR(__xludf.DUMMYFUNCTION("""COMPUTED_VALUE"""),23.91)</f>
        <v>23.91</v>
      </c>
      <c r="G1509">
        <f>IFERROR(__xludf.DUMMYFUNCTION("""COMPUTED_VALUE"""),63.1)</f>
        <v>63.1</v>
      </c>
    </row>
    <row r="1510">
      <c r="A1510">
        <f>IFERROR(__xludf.DUMMYFUNCTION("""COMPUTED_VALUE"""),174285.0)</f>
        <v>174285</v>
      </c>
      <c r="B1510" t="str">
        <f>IFERROR(__xludf.DUMMYFUNCTION("""COMPUTED_VALUE"""),"Beans Kidney Red Mature Seeds Canned Drained Solids")</f>
        <v>Beans Kidney Red Mature Seeds Canned Drained Solids</v>
      </c>
      <c r="C1510" t="str">
        <f>IFERROR(__xludf.DUMMYFUNCTION("""COMPUTED_VALUE"""),"Beans and Lentils")</f>
        <v>Beans and Lentils</v>
      </c>
      <c r="D1510">
        <f>IFERROR(__xludf.DUMMYFUNCTION("""COMPUTED_VALUE"""),124.0)</f>
        <v>124</v>
      </c>
      <c r="E1510">
        <f>IFERROR(__xludf.DUMMYFUNCTION("""COMPUTED_VALUE"""),1.05)</f>
        <v>1.05</v>
      </c>
      <c r="F1510">
        <f>IFERROR(__xludf.DUMMYFUNCTION("""COMPUTED_VALUE"""),7.98)</f>
        <v>7.98</v>
      </c>
      <c r="G1510">
        <f>IFERROR(__xludf.DUMMYFUNCTION("""COMPUTED_VALUE"""),21.49)</f>
        <v>21.49</v>
      </c>
    </row>
    <row r="1511">
      <c r="A1511">
        <f>IFERROR(__xludf.DUMMYFUNCTION("""COMPUTED_VALUE"""),174286.0)</f>
        <v>174286</v>
      </c>
      <c r="B1511" t="str">
        <f>IFERROR(__xludf.DUMMYFUNCTION("""COMPUTED_VALUE"""),"Beans Pinto Canned Drained Solids")</f>
        <v>Beans Pinto Canned Drained Solids</v>
      </c>
      <c r="C1511" t="str">
        <f>IFERROR(__xludf.DUMMYFUNCTION("""COMPUTED_VALUE"""),"Beans and Lentils")</f>
        <v>Beans and Lentils</v>
      </c>
      <c r="D1511">
        <f>IFERROR(__xludf.DUMMYFUNCTION("""COMPUTED_VALUE"""),114.0)</f>
        <v>114</v>
      </c>
      <c r="E1511">
        <f>IFERROR(__xludf.DUMMYFUNCTION("""COMPUTED_VALUE"""),0.9)</f>
        <v>0.9</v>
      </c>
      <c r="F1511">
        <f>IFERROR(__xludf.DUMMYFUNCTION("""COMPUTED_VALUE"""),6.99)</f>
        <v>6.99</v>
      </c>
      <c r="G1511">
        <f>IFERROR(__xludf.DUMMYFUNCTION("""COMPUTED_VALUE"""),20.22)</f>
        <v>20.22</v>
      </c>
    </row>
    <row r="1512">
      <c r="A1512">
        <f>IFERROR(__xludf.DUMMYFUNCTION("""COMPUTED_VALUE"""),174287.0)</f>
        <v>174287</v>
      </c>
      <c r="B1512" t="str">
        <f>IFERROR(__xludf.DUMMYFUNCTION("""COMPUTED_VALUE"""),"Veggie Burgers")</f>
        <v>Veggie Burgers</v>
      </c>
      <c r="C1512" t="str">
        <f>IFERROR(__xludf.DUMMYFUNCTION("""COMPUTED_VALUE"""),"Beans and Lentils")</f>
        <v>Beans and Lentils</v>
      </c>
      <c r="D1512">
        <f>IFERROR(__xludf.DUMMYFUNCTION("""COMPUTED_VALUE"""),177.0)</f>
        <v>177</v>
      </c>
      <c r="E1512">
        <f>IFERROR(__xludf.DUMMYFUNCTION("""COMPUTED_VALUE"""),6.3)</f>
        <v>6.3</v>
      </c>
      <c r="F1512">
        <f>IFERROR(__xludf.DUMMYFUNCTION("""COMPUTED_VALUE"""),15.7)</f>
        <v>15.7</v>
      </c>
      <c r="G1512">
        <f>IFERROR(__xludf.DUMMYFUNCTION("""COMPUTED_VALUE"""),14.27)</f>
        <v>14.27</v>
      </c>
    </row>
    <row r="1513">
      <c r="A1513">
        <f>IFERROR(__xludf.DUMMYFUNCTION("""COMPUTED_VALUE"""),174288.0)</f>
        <v>174288</v>
      </c>
      <c r="B1513" t="str">
        <f>IFERROR(__xludf.DUMMYFUNCTION("""COMPUTED_VALUE"""),"Chickpea Flour (Besan)")</f>
        <v>Chickpea Flour (Besan)</v>
      </c>
      <c r="C1513" t="str">
        <f>IFERROR(__xludf.DUMMYFUNCTION("""COMPUTED_VALUE"""),"Beans and Lentils")</f>
        <v>Beans and Lentils</v>
      </c>
      <c r="D1513">
        <f>IFERROR(__xludf.DUMMYFUNCTION("""COMPUTED_VALUE"""),387.0)</f>
        <v>387</v>
      </c>
      <c r="E1513">
        <f>IFERROR(__xludf.DUMMYFUNCTION("""COMPUTED_VALUE"""),6.69)</f>
        <v>6.69</v>
      </c>
      <c r="F1513">
        <f>IFERROR(__xludf.DUMMYFUNCTION("""COMPUTED_VALUE"""),22.39)</f>
        <v>22.39</v>
      </c>
      <c r="G1513">
        <f>IFERROR(__xludf.DUMMYFUNCTION("""COMPUTED_VALUE"""),57.82)</f>
        <v>57.82</v>
      </c>
    </row>
    <row r="1514">
      <c r="A1514">
        <f>IFERROR(__xludf.DUMMYFUNCTION("""COMPUTED_VALUE"""),174289.0)</f>
        <v>174289</v>
      </c>
      <c r="B1514" t="str">
        <f>IFERROR(__xludf.DUMMYFUNCTION("""COMPUTED_VALUE"""),"Hummus (Commercial)")</f>
        <v>Hummus (Commercial)</v>
      </c>
      <c r="C1514" t="str">
        <f>IFERROR(__xludf.DUMMYFUNCTION("""COMPUTED_VALUE"""),"Beans and Lentils")</f>
        <v>Beans and Lentils</v>
      </c>
      <c r="D1514">
        <f>IFERROR(__xludf.DUMMYFUNCTION("""COMPUTED_VALUE"""),237.0)</f>
        <v>237</v>
      </c>
      <c r="E1514">
        <f>IFERROR(__xludf.DUMMYFUNCTION("""COMPUTED_VALUE"""),17.82)</f>
        <v>17.82</v>
      </c>
      <c r="F1514">
        <f>IFERROR(__xludf.DUMMYFUNCTION("""COMPUTED_VALUE"""),7.78)</f>
        <v>7.78</v>
      </c>
      <c r="G1514">
        <f>IFERROR(__xludf.DUMMYFUNCTION("""COMPUTED_VALUE"""),15.0)</f>
        <v>15</v>
      </c>
    </row>
    <row r="1515">
      <c r="A1515">
        <f>IFERROR(__xludf.DUMMYFUNCTION("""COMPUTED_VALUE"""),174290.0)</f>
        <v>174290</v>
      </c>
      <c r="B1515" t="str">
        <f>IFERROR(__xludf.DUMMYFUNCTION("""COMPUTED_VALUE"""),"Tofu Extra Firm Prepared With Nigari")</f>
        <v>Tofu Extra Firm Prepared With Nigari</v>
      </c>
      <c r="C1515" t="str">
        <f>IFERROR(__xludf.DUMMYFUNCTION("""COMPUTED_VALUE"""),"Beans and Lentils")</f>
        <v>Beans and Lentils</v>
      </c>
      <c r="D1515">
        <f>IFERROR(__xludf.DUMMYFUNCTION("""COMPUTED_VALUE"""),83.0)</f>
        <v>83</v>
      </c>
      <c r="E1515">
        <f>IFERROR(__xludf.DUMMYFUNCTION("""COMPUTED_VALUE"""),5.26)</f>
        <v>5.26</v>
      </c>
      <c r="F1515">
        <f>IFERROR(__xludf.DUMMYFUNCTION("""COMPUTED_VALUE"""),9.98)</f>
        <v>9.98</v>
      </c>
      <c r="G1515">
        <f>IFERROR(__xludf.DUMMYFUNCTION("""COMPUTED_VALUE"""),1.18)</f>
        <v>1.18</v>
      </c>
    </row>
    <row r="1516">
      <c r="A1516">
        <f>IFERROR(__xludf.DUMMYFUNCTION("""COMPUTED_VALUE"""),174291.0)</f>
        <v>174291</v>
      </c>
      <c r="B1516" t="str">
        <f>IFERROR(__xludf.DUMMYFUNCTION("""COMPUTED_VALUE"""),"Tofu Hard Prepared With Nigari")</f>
        <v>Tofu Hard Prepared With Nigari</v>
      </c>
      <c r="C1516" t="str">
        <f>IFERROR(__xludf.DUMMYFUNCTION("""COMPUTED_VALUE"""),"Beans and Lentils")</f>
        <v>Beans and Lentils</v>
      </c>
      <c r="D1516">
        <f>IFERROR(__xludf.DUMMYFUNCTION("""COMPUTED_VALUE"""),145.0)</f>
        <v>145</v>
      </c>
      <c r="E1516">
        <f>IFERROR(__xludf.DUMMYFUNCTION("""COMPUTED_VALUE"""),9.99)</f>
        <v>9.99</v>
      </c>
      <c r="F1516">
        <f>IFERROR(__xludf.DUMMYFUNCTION("""COMPUTED_VALUE"""),12.68)</f>
        <v>12.68</v>
      </c>
      <c r="G1516">
        <f>IFERROR(__xludf.DUMMYFUNCTION("""COMPUTED_VALUE"""),4.39)</f>
        <v>4.39</v>
      </c>
    </row>
    <row r="1517">
      <c r="A1517">
        <f>IFERROR(__xludf.DUMMYFUNCTION("""COMPUTED_VALUE"""),174292.0)</f>
        <v>174292</v>
      </c>
      <c r="B1517" t="str">
        <f>IFERROR(__xludf.DUMMYFUNCTION("""COMPUTED_VALUE"""),"Mori-Nu Tofu Silken Soft")</f>
        <v>Mori-Nu Tofu Silken Soft</v>
      </c>
      <c r="C1517" t="str">
        <f>IFERROR(__xludf.DUMMYFUNCTION("""COMPUTED_VALUE"""),"Beans and Lentils")</f>
        <v>Beans and Lentils</v>
      </c>
      <c r="D1517">
        <f>IFERROR(__xludf.DUMMYFUNCTION("""COMPUTED_VALUE"""),55.0)</f>
        <v>55</v>
      </c>
      <c r="E1517">
        <f>IFERROR(__xludf.DUMMYFUNCTION("""COMPUTED_VALUE"""),2.7)</f>
        <v>2.7</v>
      </c>
      <c r="F1517">
        <f>IFERROR(__xludf.DUMMYFUNCTION("""COMPUTED_VALUE"""),4.8)</f>
        <v>4.8</v>
      </c>
      <c r="G1517">
        <f>IFERROR(__xludf.DUMMYFUNCTION("""COMPUTED_VALUE"""),2.9)</f>
        <v>2.9</v>
      </c>
    </row>
    <row r="1518">
      <c r="A1518">
        <f>IFERROR(__xludf.DUMMYFUNCTION("""COMPUTED_VALUE"""),174293.0)</f>
        <v>174293</v>
      </c>
      <c r="B1518" t="str">
        <f>IFERROR(__xludf.DUMMYFUNCTION("""COMPUTED_VALUE"""),"Soy Milk Chocolate Unfortified")</f>
        <v>Soy Milk Chocolate Unfortified</v>
      </c>
      <c r="C1518" t="str">
        <f>IFERROR(__xludf.DUMMYFUNCTION("""COMPUTED_VALUE"""),"Beans and Lentils")</f>
        <v>Beans and Lentils</v>
      </c>
      <c r="D1518">
        <f>IFERROR(__xludf.DUMMYFUNCTION("""COMPUTED_VALUE"""),63.0)</f>
        <v>63</v>
      </c>
      <c r="E1518">
        <f>IFERROR(__xludf.DUMMYFUNCTION("""COMPUTED_VALUE"""),1.53)</f>
        <v>1.53</v>
      </c>
      <c r="F1518">
        <f>IFERROR(__xludf.DUMMYFUNCTION("""COMPUTED_VALUE"""),2.26)</f>
        <v>2.26</v>
      </c>
      <c r="G1518">
        <f>IFERROR(__xludf.DUMMYFUNCTION("""COMPUTED_VALUE"""),9.95)</f>
        <v>9.95</v>
      </c>
    </row>
    <row r="1519">
      <c r="A1519">
        <f>IFERROR(__xludf.DUMMYFUNCTION("""COMPUTED_VALUE"""),174294.0)</f>
        <v>174294</v>
      </c>
      <c r="B1519" t="str">
        <f>IFERROR(__xludf.DUMMYFUNCTION("""COMPUTED_VALUE"""),"Peanut Butter (Smooth)")</f>
        <v>Peanut Butter (Smooth)</v>
      </c>
      <c r="C1519" t="str">
        <f>IFERROR(__xludf.DUMMYFUNCTION("""COMPUTED_VALUE"""),"Beans and Lentils")</f>
        <v>Beans and Lentils</v>
      </c>
      <c r="D1519">
        <f>IFERROR(__xludf.DUMMYFUNCTION("""COMPUTED_VALUE"""),588.0)</f>
        <v>588</v>
      </c>
      <c r="E1519">
        <f>IFERROR(__xludf.DUMMYFUNCTION("""COMPUTED_VALUE"""),49.54)</f>
        <v>49.54</v>
      </c>
      <c r="F1519">
        <f>IFERROR(__xludf.DUMMYFUNCTION("""COMPUTED_VALUE"""),21.93)</f>
        <v>21.93</v>
      </c>
      <c r="G1519">
        <f>IFERROR(__xludf.DUMMYFUNCTION("""COMPUTED_VALUE"""),23.98)</f>
        <v>23.98</v>
      </c>
    </row>
    <row r="1520">
      <c r="A1520">
        <f>IFERROR(__xludf.DUMMYFUNCTION("""COMPUTED_VALUE"""),174295.0)</f>
        <v>174295</v>
      </c>
      <c r="B1520" t="str">
        <f>IFERROR(__xludf.DUMMYFUNCTION("""COMPUTED_VALUE"""),"Fortified Chocolate Soy Milk")</f>
        <v>Fortified Chocolate Soy Milk</v>
      </c>
      <c r="C1520" t="str">
        <f>IFERROR(__xludf.DUMMYFUNCTION("""COMPUTED_VALUE"""),"Beans and Lentils")</f>
        <v>Beans and Lentils</v>
      </c>
      <c r="D1520">
        <f>IFERROR(__xludf.DUMMYFUNCTION("""COMPUTED_VALUE"""),63.0)</f>
        <v>63</v>
      </c>
      <c r="E1520">
        <f>IFERROR(__xludf.DUMMYFUNCTION("""COMPUTED_VALUE"""),1.53)</f>
        <v>1.53</v>
      </c>
      <c r="F1520">
        <f>IFERROR(__xludf.DUMMYFUNCTION("""COMPUTED_VALUE"""),2.26)</f>
        <v>2.26</v>
      </c>
      <c r="G1520">
        <f>IFERROR(__xludf.DUMMYFUNCTION("""COMPUTED_VALUE"""),9.95)</f>
        <v>9.95</v>
      </c>
    </row>
    <row r="1521">
      <c r="A1521">
        <f>IFERROR(__xludf.DUMMYFUNCTION("""COMPUTED_VALUE"""),174296.0)</f>
        <v>174296</v>
      </c>
      <c r="B1521" t="str">
        <f>IFERROR(__xludf.DUMMYFUNCTION("""COMPUTED_VALUE"""),"Canned Refried Beans")</f>
        <v>Canned Refried Beans</v>
      </c>
      <c r="C1521" t="str">
        <f>IFERROR(__xludf.DUMMYFUNCTION("""COMPUTED_VALUE"""),"Beans and Lentils")</f>
        <v>Beans and Lentils</v>
      </c>
      <c r="D1521">
        <f>IFERROR(__xludf.DUMMYFUNCTION("""COMPUTED_VALUE"""),83.0)</f>
        <v>83</v>
      </c>
      <c r="E1521">
        <f>IFERROR(__xludf.DUMMYFUNCTION("""COMPUTED_VALUE"""),0.87)</f>
        <v>0.87</v>
      </c>
      <c r="F1521">
        <f>IFERROR(__xludf.DUMMYFUNCTION("""COMPUTED_VALUE"""),5.28)</f>
        <v>5.28</v>
      </c>
      <c r="G1521">
        <f>IFERROR(__xludf.DUMMYFUNCTION("""COMPUTED_VALUE"""),13.5)</f>
        <v>13.5</v>
      </c>
    </row>
    <row r="1522">
      <c r="A1522">
        <f>IFERROR(__xludf.DUMMYFUNCTION("""COMPUTED_VALUE"""),174297.0)</f>
        <v>174297</v>
      </c>
      <c r="B1522" t="str">
        <f>IFERROR(__xludf.DUMMYFUNCTION("""COMPUTED_VALUE"""),"Vitasoy Usa Organic Nasoya Super Firm Cubed Tofu")</f>
        <v>Vitasoy Usa Organic Nasoya Super Firm Cubed Tofu</v>
      </c>
      <c r="C1522" t="str">
        <f>IFERROR(__xludf.DUMMYFUNCTION("""COMPUTED_VALUE"""),"Beans and Lentils")</f>
        <v>Beans and Lentils</v>
      </c>
      <c r="D1522">
        <f>IFERROR(__xludf.DUMMYFUNCTION("""COMPUTED_VALUE"""),118.0)</f>
        <v>118</v>
      </c>
      <c r="E1522">
        <f>IFERROR(__xludf.DUMMYFUNCTION("""COMPUTED_VALUE"""),6.3)</f>
        <v>6.3</v>
      </c>
      <c r="F1522">
        <f>IFERROR(__xludf.DUMMYFUNCTION("""COMPUTED_VALUE"""),12.4)</f>
        <v>12.4</v>
      </c>
      <c r="G1522">
        <f>IFERROR(__xludf.DUMMYFUNCTION("""COMPUTED_VALUE"""),2.8)</f>
        <v>2.8</v>
      </c>
    </row>
    <row r="1523">
      <c r="A1523">
        <f>IFERROR(__xludf.DUMMYFUNCTION("""COMPUTED_VALUE"""),174298.0)</f>
        <v>174298</v>
      </c>
      <c r="B1523" t="str">
        <f>IFERROR(__xludf.DUMMYFUNCTION("""COMPUTED_VALUE"""),"Refried Beans Canned Traditional Reduced Sodium")</f>
        <v>Refried Beans Canned Traditional Reduced Sodium</v>
      </c>
      <c r="C1523" t="str">
        <f>IFERROR(__xludf.DUMMYFUNCTION("""COMPUTED_VALUE"""),"Beans and Lentils")</f>
        <v>Beans and Lentils</v>
      </c>
      <c r="D1523">
        <f>IFERROR(__xludf.DUMMYFUNCTION("""COMPUTED_VALUE"""),89.0)</f>
        <v>89</v>
      </c>
      <c r="E1523">
        <f>IFERROR(__xludf.DUMMYFUNCTION("""COMPUTED_VALUE"""),2.01)</f>
        <v>2.01</v>
      </c>
      <c r="F1523">
        <f>IFERROR(__xludf.DUMMYFUNCTION("""COMPUTED_VALUE"""),4.98)</f>
        <v>4.98</v>
      </c>
      <c r="G1523">
        <f>IFERROR(__xludf.DUMMYFUNCTION("""COMPUTED_VALUE"""),13.55)</f>
        <v>13.55</v>
      </c>
    </row>
    <row r="1524">
      <c r="A1524">
        <f>IFERROR(__xludf.DUMMYFUNCTION("""COMPUTED_VALUE"""),174299.0)</f>
        <v>174299</v>
      </c>
      <c r="B1524" t="str">
        <f>IFERROR(__xludf.DUMMYFUNCTION("""COMPUTED_VALUE"""),"Soybeans Mature Seeds Cooked Boiled With Salt")</f>
        <v>Soybeans Mature Seeds Cooked Boiled With Salt</v>
      </c>
      <c r="C1524" t="str">
        <f>IFERROR(__xludf.DUMMYFUNCTION("""COMPUTED_VALUE"""),"Beans and Lentils")</f>
        <v>Beans and Lentils</v>
      </c>
      <c r="D1524">
        <f>IFERROR(__xludf.DUMMYFUNCTION("""COMPUTED_VALUE"""),172.0)</f>
        <v>172</v>
      </c>
      <c r="E1524">
        <f>IFERROR(__xludf.DUMMYFUNCTION("""COMPUTED_VALUE"""),8.97)</f>
        <v>8.97</v>
      </c>
      <c r="F1524">
        <f>IFERROR(__xludf.DUMMYFUNCTION("""COMPUTED_VALUE"""),18.21)</f>
        <v>18.21</v>
      </c>
      <c r="G1524">
        <f>IFERROR(__xludf.DUMMYFUNCTION("""COMPUTED_VALUE"""),8.36)</f>
        <v>8.36</v>
      </c>
    </row>
    <row r="1525">
      <c r="A1525">
        <f>IFERROR(__xludf.DUMMYFUNCTION("""COMPUTED_VALUE"""),174300.0)</f>
        <v>174300</v>
      </c>
      <c r="B1525" t="str">
        <f>IFERROR(__xludf.DUMMYFUNCTION("""COMPUTED_VALUE"""),"Soybeans Mature Seeds Roasted No Salt Added")</f>
        <v>Soybeans Mature Seeds Roasted No Salt Added</v>
      </c>
      <c r="C1525" t="str">
        <f>IFERROR(__xludf.DUMMYFUNCTION("""COMPUTED_VALUE"""),"Beans and Lentils")</f>
        <v>Beans and Lentils</v>
      </c>
      <c r="D1525">
        <f>IFERROR(__xludf.DUMMYFUNCTION("""COMPUTED_VALUE"""),469.0)</f>
        <v>469</v>
      </c>
      <c r="E1525">
        <f>IFERROR(__xludf.DUMMYFUNCTION("""COMPUTED_VALUE"""),25.4)</f>
        <v>25.4</v>
      </c>
      <c r="F1525">
        <f>IFERROR(__xludf.DUMMYFUNCTION("""COMPUTED_VALUE"""),38.55)</f>
        <v>38.55</v>
      </c>
      <c r="G1525">
        <f>IFERROR(__xludf.DUMMYFUNCTION("""COMPUTED_VALUE"""),30.22)</f>
        <v>30.22</v>
      </c>
    </row>
    <row r="1526">
      <c r="A1526">
        <f>IFERROR(__xludf.DUMMYFUNCTION("""COMPUTED_VALUE"""),174301.0)</f>
        <v>174301</v>
      </c>
      <c r="B1526" t="str">
        <f>IFERROR(__xludf.DUMMYFUNCTION("""COMPUTED_VALUE"""),"Soy Protein Concentrate Produced By Acid Wash")</f>
        <v>Soy Protein Concentrate Produced By Acid Wash</v>
      </c>
      <c r="C1526" t="str">
        <f>IFERROR(__xludf.DUMMYFUNCTION("""COMPUTED_VALUE"""),"Beans and Lentils")</f>
        <v>Beans and Lentils</v>
      </c>
      <c r="D1526">
        <f>IFERROR(__xludf.DUMMYFUNCTION("""COMPUTED_VALUE"""),328.0)</f>
        <v>328</v>
      </c>
      <c r="E1526">
        <f>IFERROR(__xludf.DUMMYFUNCTION("""COMPUTED_VALUE"""),0.46)</f>
        <v>0.46</v>
      </c>
      <c r="F1526">
        <f>IFERROR(__xludf.DUMMYFUNCTION("""COMPUTED_VALUE"""),63.63)</f>
        <v>63.63</v>
      </c>
      <c r="G1526">
        <f>IFERROR(__xludf.DUMMYFUNCTION("""COMPUTED_VALUE"""),25.41)</f>
        <v>25.41</v>
      </c>
    </row>
    <row r="1527">
      <c r="A1527">
        <f>IFERROR(__xludf.DUMMYFUNCTION("""COMPUTED_VALUE"""),174302.0)</f>
        <v>174302</v>
      </c>
      <c r="B1527" t="str">
        <f>IFERROR(__xludf.DUMMYFUNCTION("""COMPUTED_VALUE"""),"Soy Protein Isolate Potassium Type")</f>
        <v>Soy Protein Isolate Potassium Type</v>
      </c>
      <c r="C1527" t="str">
        <f>IFERROR(__xludf.DUMMYFUNCTION("""COMPUTED_VALUE"""),"Beans and Lentils")</f>
        <v>Beans and Lentils</v>
      </c>
      <c r="D1527">
        <f>IFERROR(__xludf.DUMMYFUNCTION("""COMPUTED_VALUE"""),321.0)</f>
        <v>321</v>
      </c>
      <c r="E1527">
        <f>IFERROR(__xludf.DUMMYFUNCTION("""COMPUTED_VALUE"""),0.53)</f>
        <v>0.53</v>
      </c>
      <c r="F1527">
        <f>IFERROR(__xludf.DUMMYFUNCTION("""COMPUTED_VALUE"""),88.32)</f>
        <v>88.32</v>
      </c>
      <c r="G1527">
        <f>IFERROR(__xludf.DUMMYFUNCTION("""COMPUTED_VALUE"""),2.59)</f>
        <v>2.59</v>
      </c>
    </row>
    <row r="1528">
      <c r="A1528">
        <f>IFERROR(__xludf.DUMMYFUNCTION("""COMPUTED_VALUE"""),174303.0)</f>
        <v>174303</v>
      </c>
      <c r="B1528" t="str">
        <f>IFERROR(__xludf.DUMMYFUNCTION("""COMPUTED_VALUE"""),"Tofu Dried-Frozen (Koyadofu) Prepared With Calcium Sulfate")</f>
        <v>Tofu Dried-Frozen (Koyadofu) Prepared With Calcium Sulfate</v>
      </c>
      <c r="C1528" t="str">
        <f>IFERROR(__xludf.DUMMYFUNCTION("""COMPUTED_VALUE"""),"Beans and Lentils")</f>
        <v>Beans and Lentils</v>
      </c>
      <c r="D1528">
        <f>IFERROR(__xludf.DUMMYFUNCTION("""COMPUTED_VALUE"""),470.0)</f>
        <v>470</v>
      </c>
      <c r="E1528">
        <f>IFERROR(__xludf.DUMMYFUNCTION("""COMPUTED_VALUE"""),30.34)</f>
        <v>30.34</v>
      </c>
      <c r="F1528">
        <f>IFERROR(__xludf.DUMMYFUNCTION("""COMPUTED_VALUE"""),52.43)</f>
        <v>52.43</v>
      </c>
      <c r="G1528">
        <f>IFERROR(__xludf.DUMMYFUNCTION("""COMPUTED_VALUE"""),8.3)</f>
        <v>8.3</v>
      </c>
    </row>
    <row r="1529">
      <c r="A1529">
        <f>IFERROR(__xludf.DUMMYFUNCTION("""COMPUTED_VALUE"""),174304.0)</f>
        <v>174304</v>
      </c>
      <c r="B1529" t="str">
        <f>IFERROR(__xludf.DUMMYFUNCTION("""COMPUTED_VALUE"""),"Tofu Fried Prepared With Calcium Sulfate")</f>
        <v>Tofu Fried Prepared With Calcium Sulfate</v>
      </c>
      <c r="C1529" t="str">
        <f>IFERROR(__xludf.DUMMYFUNCTION("""COMPUTED_VALUE"""),"Beans and Lentils")</f>
        <v>Beans and Lentils</v>
      </c>
      <c r="D1529">
        <f>IFERROR(__xludf.DUMMYFUNCTION("""COMPUTED_VALUE"""),270.0)</f>
        <v>270</v>
      </c>
      <c r="E1529">
        <f>IFERROR(__xludf.DUMMYFUNCTION("""COMPUTED_VALUE"""),20.18)</f>
        <v>20.18</v>
      </c>
      <c r="F1529">
        <f>IFERROR(__xludf.DUMMYFUNCTION("""COMPUTED_VALUE"""),18.82)</f>
        <v>18.82</v>
      </c>
      <c r="G1529">
        <f>IFERROR(__xludf.DUMMYFUNCTION("""COMPUTED_VALUE"""),8.86)</f>
        <v>8.86</v>
      </c>
    </row>
    <row r="1530">
      <c r="A1530">
        <f>IFERROR(__xludf.DUMMYFUNCTION("""COMPUTED_VALUE"""),174305.0)</f>
        <v>174305</v>
      </c>
      <c r="B1530" t="str">
        <f>IFERROR(__xludf.DUMMYFUNCTION("""COMPUTED_VALUE"""),"Tofu Salted And Fermented (Fuyu) Prepared With Calcium Sulfate")</f>
        <v>Tofu Salted And Fermented (Fuyu) Prepared With Calcium Sulfate</v>
      </c>
      <c r="C1530" t="str">
        <f>IFERROR(__xludf.DUMMYFUNCTION("""COMPUTED_VALUE"""),"Beans and Lentils")</f>
        <v>Beans and Lentils</v>
      </c>
      <c r="D1530">
        <f>IFERROR(__xludf.DUMMYFUNCTION("""COMPUTED_VALUE"""),116.0)</f>
        <v>116</v>
      </c>
      <c r="E1530">
        <f>IFERROR(__xludf.DUMMYFUNCTION("""COMPUTED_VALUE"""),8.0)</f>
        <v>8</v>
      </c>
      <c r="F1530">
        <f>IFERROR(__xludf.DUMMYFUNCTION("""COMPUTED_VALUE"""),8.15)</f>
        <v>8.15</v>
      </c>
      <c r="G1530">
        <f>IFERROR(__xludf.DUMMYFUNCTION("""COMPUTED_VALUE"""),5.15)</f>
        <v>5.15</v>
      </c>
    </row>
    <row r="1531">
      <c r="A1531">
        <f>IFERROR(__xludf.DUMMYFUNCTION("""COMPUTED_VALUE"""),174306.0)</f>
        <v>174306</v>
      </c>
      <c r="B1531" t="str">
        <f>IFERROR(__xludf.DUMMYFUNCTION("""COMPUTED_VALUE"""),"Yardlong Beans Mature Seeds Cooked Boiled With Salt")</f>
        <v>Yardlong Beans Mature Seeds Cooked Boiled With Salt</v>
      </c>
      <c r="C1531" t="str">
        <f>IFERROR(__xludf.DUMMYFUNCTION("""COMPUTED_VALUE"""),"Beans and Lentils")</f>
        <v>Beans and Lentils</v>
      </c>
      <c r="D1531">
        <f>IFERROR(__xludf.DUMMYFUNCTION("""COMPUTED_VALUE"""),118.0)</f>
        <v>118</v>
      </c>
      <c r="E1531">
        <f>IFERROR(__xludf.DUMMYFUNCTION("""COMPUTED_VALUE"""),0.45)</f>
        <v>0.45</v>
      </c>
      <c r="F1531">
        <f>IFERROR(__xludf.DUMMYFUNCTION("""COMPUTED_VALUE"""),8.29)</f>
        <v>8.29</v>
      </c>
      <c r="G1531">
        <f>IFERROR(__xludf.DUMMYFUNCTION("""COMPUTED_VALUE"""),21.09)</f>
        <v>21.09</v>
      </c>
    </row>
    <row r="1532">
      <c r="A1532">
        <f>IFERROR(__xludf.DUMMYFUNCTION("""COMPUTED_VALUE"""),174665.0)</f>
        <v>174665</v>
      </c>
      <c r="B1532" t="str">
        <f>IFERROR(__xludf.DUMMYFUNCTION("""COMPUTED_VALUE"""),"Dried Figs")</f>
        <v>Dried Figs</v>
      </c>
      <c r="C1532" t="str">
        <f>IFERROR(__xludf.DUMMYFUNCTION("""COMPUTED_VALUE"""),"Fruits")</f>
        <v>Fruits</v>
      </c>
      <c r="D1532">
        <f>IFERROR(__xludf.DUMMYFUNCTION("""COMPUTED_VALUE"""),249.0)</f>
        <v>249</v>
      </c>
      <c r="E1532">
        <f>IFERROR(__xludf.DUMMYFUNCTION("""COMPUTED_VALUE"""),0.93)</f>
        <v>0.93</v>
      </c>
      <c r="F1532">
        <f>IFERROR(__xludf.DUMMYFUNCTION("""COMPUTED_VALUE"""),3.3)</f>
        <v>3.3</v>
      </c>
      <c r="G1532">
        <f>IFERROR(__xludf.DUMMYFUNCTION("""COMPUTED_VALUE"""),63.87)</f>
        <v>63.87</v>
      </c>
    </row>
    <row r="1533">
      <c r="A1533">
        <f>IFERROR(__xludf.DUMMYFUNCTION("""COMPUTED_VALUE"""),174666.0)</f>
        <v>174666</v>
      </c>
      <c r="B1533" t="str">
        <f>IFERROR(__xludf.DUMMYFUNCTION("""COMPUTED_VALUE"""),"Figs Dried Stewed")</f>
        <v>Figs Dried Stewed</v>
      </c>
      <c r="C1533" t="str">
        <f>IFERROR(__xludf.DUMMYFUNCTION("""COMPUTED_VALUE"""),"Fruits")</f>
        <v>Fruits</v>
      </c>
      <c r="D1533">
        <f>IFERROR(__xludf.DUMMYFUNCTION("""COMPUTED_VALUE"""),107.0)</f>
        <v>107</v>
      </c>
      <c r="E1533">
        <f>IFERROR(__xludf.DUMMYFUNCTION("""COMPUTED_VALUE"""),0.4)</f>
        <v>0.4</v>
      </c>
      <c r="F1533">
        <f>IFERROR(__xludf.DUMMYFUNCTION("""COMPUTED_VALUE"""),1.42)</f>
        <v>1.42</v>
      </c>
      <c r="G1533">
        <f>IFERROR(__xludf.DUMMYFUNCTION("""COMPUTED_VALUE"""),27.57)</f>
        <v>27.57</v>
      </c>
    </row>
    <row r="1534">
      <c r="A1534">
        <f>IFERROR(__xludf.DUMMYFUNCTION("""COMPUTED_VALUE"""),174667.0)</f>
        <v>174667</v>
      </c>
      <c r="B1534" t="str">
        <f>IFERROR(__xludf.DUMMYFUNCTION("""COMPUTED_VALUE"""),"Fruit Cocktail (Peach And Pineapple And Pear And Grape And Cherry) Canned Water Pack Solids And Liquids")</f>
        <v>Fruit Cocktail (Peach And Pineapple And Pear And Grape And Cherry) Canned Water Pack Solids And Liquids</v>
      </c>
      <c r="C1534" t="str">
        <f>IFERROR(__xludf.DUMMYFUNCTION("""COMPUTED_VALUE"""),"Fruits")</f>
        <v>Fruits</v>
      </c>
      <c r="D1534">
        <f>IFERROR(__xludf.DUMMYFUNCTION("""COMPUTED_VALUE"""),32.0)</f>
        <v>32</v>
      </c>
      <c r="E1534">
        <f>IFERROR(__xludf.DUMMYFUNCTION("""COMPUTED_VALUE"""),0.05)</f>
        <v>0.05</v>
      </c>
      <c r="F1534">
        <f>IFERROR(__xludf.DUMMYFUNCTION("""COMPUTED_VALUE"""),0.42)</f>
        <v>0.42</v>
      </c>
      <c r="G1534">
        <f>IFERROR(__xludf.DUMMYFUNCTION("""COMPUTED_VALUE"""),8.51)</f>
        <v>8.51</v>
      </c>
    </row>
    <row r="1535">
      <c r="A1535">
        <f>IFERROR(__xludf.DUMMYFUNCTION("""COMPUTED_VALUE"""),174668.0)</f>
        <v>174668</v>
      </c>
      <c r="B1535" t="str">
        <f>IFERROR(__xludf.DUMMYFUNCTION("""COMPUTED_VALUE"""),"Fruit Cocktail (Peach And Pineapple And Pear And Grape And Cherry) Canned Juice Pack Solids And Liquids")</f>
        <v>Fruit Cocktail (Peach And Pineapple And Pear And Grape And Cherry) Canned Juice Pack Solids And Liquids</v>
      </c>
      <c r="C1535" t="str">
        <f>IFERROR(__xludf.DUMMYFUNCTION("""COMPUTED_VALUE"""),"Fruits")</f>
        <v>Fruits</v>
      </c>
      <c r="D1535">
        <f>IFERROR(__xludf.DUMMYFUNCTION("""COMPUTED_VALUE"""),46.0)</f>
        <v>46</v>
      </c>
      <c r="E1535">
        <f>IFERROR(__xludf.DUMMYFUNCTION("""COMPUTED_VALUE"""),0.01)</f>
        <v>0.01</v>
      </c>
      <c r="F1535">
        <f>IFERROR(__xludf.DUMMYFUNCTION("""COMPUTED_VALUE"""),0.46)</f>
        <v>0.46</v>
      </c>
      <c r="G1535">
        <f>IFERROR(__xludf.DUMMYFUNCTION("""COMPUTED_VALUE"""),11.86)</f>
        <v>11.86</v>
      </c>
    </row>
    <row r="1536">
      <c r="A1536">
        <f>IFERROR(__xludf.DUMMYFUNCTION("""COMPUTED_VALUE"""),174669.0)</f>
        <v>174669</v>
      </c>
      <c r="B1536" t="str">
        <f>IFERROR(__xludf.DUMMYFUNCTION("""COMPUTED_VALUE"""),"Fruit Salad (Peach And Pear And Apricot And Pineapple And Cherry) Canned Water Pack Solids And Liquids")</f>
        <v>Fruit Salad (Peach And Pear And Apricot And Pineapple And Cherry) Canned Water Pack Solids And Liquids</v>
      </c>
      <c r="C1536" t="str">
        <f>IFERROR(__xludf.DUMMYFUNCTION("""COMPUTED_VALUE"""),"Fruits")</f>
        <v>Fruits</v>
      </c>
      <c r="D1536">
        <f>IFERROR(__xludf.DUMMYFUNCTION("""COMPUTED_VALUE"""),30.0)</f>
        <v>30</v>
      </c>
      <c r="E1536">
        <f>IFERROR(__xludf.DUMMYFUNCTION("""COMPUTED_VALUE"""),0.07)</f>
        <v>0.07</v>
      </c>
      <c r="F1536">
        <f>IFERROR(__xludf.DUMMYFUNCTION("""COMPUTED_VALUE"""),0.35)</f>
        <v>0.35</v>
      </c>
      <c r="G1536">
        <f>IFERROR(__xludf.DUMMYFUNCTION("""COMPUTED_VALUE"""),7.87)</f>
        <v>7.87</v>
      </c>
    </row>
    <row r="1537">
      <c r="A1537">
        <f>IFERROR(__xludf.DUMMYFUNCTION("""COMPUTED_VALUE"""),174670.0)</f>
        <v>174670</v>
      </c>
      <c r="B1537" t="str">
        <f>IFERROR(__xludf.DUMMYFUNCTION("""COMPUTED_VALUE"""),"Fruit Salad (Peach And Pear And Apricot And Pineapple And Cherry) Canned Juice Pack Solids And Liquids")</f>
        <v>Fruit Salad (Peach And Pear And Apricot And Pineapple And Cherry) Canned Juice Pack Solids And Liquids</v>
      </c>
      <c r="C1537" t="str">
        <f>IFERROR(__xludf.DUMMYFUNCTION("""COMPUTED_VALUE"""),"Fruits")</f>
        <v>Fruits</v>
      </c>
      <c r="D1537">
        <f>IFERROR(__xludf.DUMMYFUNCTION("""COMPUTED_VALUE"""),50.0)</f>
        <v>50</v>
      </c>
      <c r="E1537">
        <f>IFERROR(__xludf.DUMMYFUNCTION("""COMPUTED_VALUE"""),0.03)</f>
        <v>0.03</v>
      </c>
      <c r="F1537">
        <f>IFERROR(__xludf.DUMMYFUNCTION("""COMPUTED_VALUE"""),0.51)</f>
        <v>0.51</v>
      </c>
      <c r="G1537">
        <f>IFERROR(__xludf.DUMMYFUNCTION("""COMPUTED_VALUE"""),13.05)</f>
        <v>13.05</v>
      </c>
    </row>
    <row r="1538">
      <c r="A1538">
        <f>IFERROR(__xludf.DUMMYFUNCTION("""COMPUTED_VALUE"""),174671.0)</f>
        <v>174671</v>
      </c>
      <c r="B1538" t="str">
        <f>IFERROR(__xludf.DUMMYFUNCTION("""COMPUTED_VALUE"""),"Fruit Salad (Peach And Pear And Apricot And Pineapple And Cherry) Canned Light Syrup Solids And Liquids")</f>
        <v>Fruit Salad (Peach And Pear And Apricot And Pineapple And Cherry) Canned Light Syrup Solids And Liquids</v>
      </c>
      <c r="C1538" t="str">
        <f>IFERROR(__xludf.DUMMYFUNCTION("""COMPUTED_VALUE"""),"Fruits")</f>
        <v>Fruits</v>
      </c>
      <c r="D1538">
        <f>IFERROR(__xludf.DUMMYFUNCTION("""COMPUTED_VALUE"""),58.0)</f>
        <v>58</v>
      </c>
      <c r="E1538">
        <f>IFERROR(__xludf.DUMMYFUNCTION("""COMPUTED_VALUE"""),0.07)</f>
        <v>0.07</v>
      </c>
      <c r="F1538">
        <f>IFERROR(__xludf.DUMMYFUNCTION("""COMPUTED_VALUE"""),0.34)</f>
        <v>0.34</v>
      </c>
      <c r="G1538">
        <f>IFERROR(__xludf.DUMMYFUNCTION("""COMPUTED_VALUE"""),15.14)</f>
        <v>15.14</v>
      </c>
    </row>
    <row r="1539">
      <c r="A1539">
        <f>IFERROR(__xludf.DUMMYFUNCTION("""COMPUTED_VALUE"""),174672.0)</f>
        <v>174672</v>
      </c>
      <c r="B1539" t="str">
        <f>IFERROR(__xludf.DUMMYFUNCTION("""COMPUTED_VALUE"""),"Fruit Salad (Peach And Pear And Apricot And Pineapple And Cherry) Canned Extra Heavy Syrup Solids And Liquids")</f>
        <v>Fruit Salad (Peach And Pear And Apricot And Pineapple And Cherry) Canned Extra Heavy Syrup Solids And Liquids</v>
      </c>
      <c r="C1539" t="str">
        <f>IFERROR(__xludf.DUMMYFUNCTION("""COMPUTED_VALUE"""),"Fruits")</f>
        <v>Fruits</v>
      </c>
      <c r="D1539">
        <f>IFERROR(__xludf.DUMMYFUNCTION("""COMPUTED_VALUE"""),88.0)</f>
        <v>88</v>
      </c>
      <c r="E1539">
        <f>IFERROR(__xludf.DUMMYFUNCTION("""COMPUTED_VALUE"""),0.06)</f>
        <v>0.06</v>
      </c>
      <c r="F1539">
        <f>IFERROR(__xludf.DUMMYFUNCTION("""COMPUTED_VALUE"""),0.33)</f>
        <v>0.33</v>
      </c>
      <c r="G1539">
        <f>IFERROR(__xludf.DUMMYFUNCTION("""COMPUTED_VALUE"""),22.77)</f>
        <v>22.77</v>
      </c>
    </row>
    <row r="1540">
      <c r="A1540">
        <f>IFERROR(__xludf.DUMMYFUNCTION("""COMPUTED_VALUE"""),174673.0)</f>
        <v>174673</v>
      </c>
      <c r="B1540" t="str">
        <f>IFERROR(__xludf.DUMMYFUNCTION("""COMPUTED_VALUE"""),"Pink Grapefruit")</f>
        <v>Pink Grapefruit</v>
      </c>
      <c r="C1540" t="str">
        <f>IFERROR(__xludf.DUMMYFUNCTION("""COMPUTED_VALUE"""),"Fruits")</f>
        <v>Fruits</v>
      </c>
      <c r="D1540">
        <f>IFERROR(__xludf.DUMMYFUNCTION("""COMPUTED_VALUE"""),42.0)</f>
        <v>42</v>
      </c>
      <c r="E1540">
        <f>IFERROR(__xludf.DUMMYFUNCTION("""COMPUTED_VALUE"""),0.14)</f>
        <v>0.14</v>
      </c>
      <c r="F1540">
        <f>IFERROR(__xludf.DUMMYFUNCTION("""COMPUTED_VALUE"""),0.77)</f>
        <v>0.77</v>
      </c>
      <c r="G1540">
        <f>IFERROR(__xludf.DUMMYFUNCTION("""COMPUTED_VALUE"""),10.66)</f>
        <v>10.66</v>
      </c>
    </row>
    <row r="1541">
      <c r="A1541">
        <f>IFERROR(__xludf.DUMMYFUNCTION("""COMPUTED_VALUE"""),174674.0)</f>
        <v>174674</v>
      </c>
      <c r="B1541" t="str">
        <f>IFERROR(__xludf.DUMMYFUNCTION("""COMPUTED_VALUE"""),"California Grapefruit")</f>
        <v>California Grapefruit</v>
      </c>
      <c r="C1541" t="str">
        <f>IFERROR(__xludf.DUMMYFUNCTION("""COMPUTED_VALUE"""),"Fruits")</f>
        <v>Fruits</v>
      </c>
      <c r="D1541">
        <f>IFERROR(__xludf.DUMMYFUNCTION("""COMPUTED_VALUE"""),37.0)</f>
        <v>37</v>
      </c>
      <c r="E1541">
        <f>IFERROR(__xludf.DUMMYFUNCTION("""COMPUTED_VALUE"""),0.1)</f>
        <v>0.1</v>
      </c>
      <c r="F1541">
        <f>IFERROR(__xludf.DUMMYFUNCTION("""COMPUTED_VALUE"""),0.5)</f>
        <v>0.5</v>
      </c>
      <c r="G1541">
        <f>IFERROR(__xludf.DUMMYFUNCTION("""COMPUTED_VALUE"""),9.69)</f>
        <v>9.69</v>
      </c>
    </row>
    <row r="1542">
      <c r="A1542">
        <f>IFERROR(__xludf.DUMMYFUNCTION("""COMPUTED_VALUE"""),174675.0)</f>
        <v>174675</v>
      </c>
      <c r="B1542" t="str">
        <f>IFERROR(__xludf.DUMMYFUNCTION("""COMPUTED_VALUE"""),"Florida Grapefruit")</f>
        <v>Florida Grapefruit</v>
      </c>
      <c r="C1542" t="str">
        <f>IFERROR(__xludf.DUMMYFUNCTION("""COMPUTED_VALUE"""),"Fruits")</f>
        <v>Fruits</v>
      </c>
      <c r="D1542">
        <f>IFERROR(__xludf.DUMMYFUNCTION("""COMPUTED_VALUE"""),30.0)</f>
        <v>30</v>
      </c>
      <c r="E1542">
        <f>IFERROR(__xludf.DUMMYFUNCTION("""COMPUTED_VALUE"""),0.1)</f>
        <v>0.1</v>
      </c>
      <c r="F1542">
        <f>IFERROR(__xludf.DUMMYFUNCTION("""COMPUTED_VALUE"""),0.55)</f>
        <v>0.55</v>
      </c>
      <c r="G1542">
        <f>IFERROR(__xludf.DUMMYFUNCTION("""COMPUTED_VALUE"""),7.5)</f>
        <v>7.5</v>
      </c>
    </row>
    <row r="1543">
      <c r="A1543">
        <f>IFERROR(__xludf.DUMMYFUNCTION("""COMPUTED_VALUE"""),174676.0)</f>
        <v>174676</v>
      </c>
      <c r="B1543" t="str">
        <f>IFERROR(__xludf.DUMMYFUNCTION("""COMPUTED_VALUE"""),"White Grapefruit")</f>
        <v>White Grapefruit</v>
      </c>
      <c r="C1543" t="str">
        <f>IFERROR(__xludf.DUMMYFUNCTION("""COMPUTED_VALUE"""),"Fruits")</f>
        <v>Fruits</v>
      </c>
      <c r="D1543">
        <f>IFERROR(__xludf.DUMMYFUNCTION("""COMPUTED_VALUE"""),33.0)</f>
        <v>33</v>
      </c>
      <c r="E1543">
        <f>IFERROR(__xludf.DUMMYFUNCTION("""COMPUTED_VALUE"""),0.1)</f>
        <v>0.1</v>
      </c>
      <c r="F1543">
        <f>IFERROR(__xludf.DUMMYFUNCTION("""COMPUTED_VALUE"""),0.69)</f>
        <v>0.69</v>
      </c>
      <c r="G1543">
        <f>IFERROR(__xludf.DUMMYFUNCTION("""COMPUTED_VALUE"""),8.41)</f>
        <v>8.41</v>
      </c>
    </row>
    <row r="1544">
      <c r="A1544">
        <f>IFERROR(__xludf.DUMMYFUNCTION("""COMPUTED_VALUE"""),174677.0)</f>
        <v>174677</v>
      </c>
      <c r="B1544" t="str">
        <f>IFERROR(__xludf.DUMMYFUNCTION("""COMPUTED_VALUE"""),"White California Grapefruit")</f>
        <v>White California Grapefruit</v>
      </c>
      <c r="C1544" t="str">
        <f>IFERROR(__xludf.DUMMYFUNCTION("""COMPUTED_VALUE"""),"Fruits")</f>
        <v>Fruits</v>
      </c>
      <c r="D1544">
        <f>IFERROR(__xludf.DUMMYFUNCTION("""COMPUTED_VALUE"""),37.0)</f>
        <v>37</v>
      </c>
      <c r="E1544">
        <f>IFERROR(__xludf.DUMMYFUNCTION("""COMPUTED_VALUE"""),0.1)</f>
        <v>0.1</v>
      </c>
      <c r="F1544">
        <f>IFERROR(__xludf.DUMMYFUNCTION("""COMPUTED_VALUE"""),0.88)</f>
        <v>0.88</v>
      </c>
      <c r="G1544">
        <f>IFERROR(__xludf.DUMMYFUNCTION("""COMPUTED_VALUE"""),9.09)</f>
        <v>9.09</v>
      </c>
    </row>
    <row r="1545">
      <c r="A1545">
        <f>IFERROR(__xludf.DUMMYFUNCTION("""COMPUTED_VALUE"""),174678.0)</f>
        <v>174678</v>
      </c>
      <c r="B1545" t="str">
        <f>IFERROR(__xludf.DUMMYFUNCTION("""COMPUTED_VALUE"""),"Grapefruit Juice White Canned Or Bottled Unsweetened")</f>
        <v>Grapefruit Juice White Canned Or Bottled Unsweetened</v>
      </c>
      <c r="C1545" t="str">
        <f>IFERROR(__xludf.DUMMYFUNCTION("""COMPUTED_VALUE"""),"Fruits")</f>
        <v>Fruits</v>
      </c>
      <c r="D1545">
        <f>IFERROR(__xludf.DUMMYFUNCTION("""COMPUTED_VALUE"""),37.0)</f>
        <v>37</v>
      </c>
      <c r="E1545">
        <f>IFERROR(__xludf.DUMMYFUNCTION("""COMPUTED_VALUE"""),0.66)</f>
        <v>0.66</v>
      </c>
      <c r="F1545">
        <f>IFERROR(__xludf.DUMMYFUNCTION("""COMPUTED_VALUE"""),0.55)</f>
        <v>0.55</v>
      </c>
      <c r="G1545">
        <f>IFERROR(__xludf.DUMMYFUNCTION("""COMPUTED_VALUE"""),7.54)</f>
        <v>7.54</v>
      </c>
    </row>
    <row r="1546">
      <c r="A1546">
        <f>IFERROR(__xludf.DUMMYFUNCTION("""COMPUTED_VALUE"""),174679.0)</f>
        <v>174679</v>
      </c>
      <c r="B1546" t="str">
        <f>IFERROR(__xludf.DUMMYFUNCTION("""COMPUTED_VALUE"""),"Grapefruit Juice White Canned Sweetened")</f>
        <v>Grapefruit Juice White Canned Sweetened</v>
      </c>
      <c r="C1546" t="str">
        <f>IFERROR(__xludf.DUMMYFUNCTION("""COMPUTED_VALUE"""),"Fruits")</f>
        <v>Fruits</v>
      </c>
      <c r="D1546">
        <f>IFERROR(__xludf.DUMMYFUNCTION("""COMPUTED_VALUE"""),46.0)</f>
        <v>46</v>
      </c>
      <c r="E1546">
        <f>IFERROR(__xludf.DUMMYFUNCTION("""COMPUTED_VALUE"""),0.09)</f>
        <v>0.09</v>
      </c>
      <c r="F1546">
        <f>IFERROR(__xludf.DUMMYFUNCTION("""COMPUTED_VALUE"""),0.58)</f>
        <v>0.58</v>
      </c>
      <c r="G1546">
        <f>IFERROR(__xludf.DUMMYFUNCTION("""COMPUTED_VALUE"""),11.13)</f>
        <v>11.13</v>
      </c>
    </row>
    <row r="1547">
      <c r="A1547">
        <f>IFERROR(__xludf.DUMMYFUNCTION("""COMPUTED_VALUE"""),174680.0)</f>
        <v>174680</v>
      </c>
      <c r="B1547" t="str">
        <f>IFERROR(__xludf.DUMMYFUNCTION("""COMPUTED_VALUE"""),"Grapefruit Juice White Frozen Concentrate Unsweetened Undiluted")</f>
        <v>Grapefruit Juice White Frozen Concentrate Unsweetened Undiluted</v>
      </c>
      <c r="C1547" t="str">
        <f>IFERROR(__xludf.DUMMYFUNCTION("""COMPUTED_VALUE"""),"Fruits")</f>
        <v>Fruits</v>
      </c>
      <c r="D1547">
        <f>IFERROR(__xludf.DUMMYFUNCTION("""COMPUTED_VALUE"""),146.0)</f>
        <v>146</v>
      </c>
      <c r="E1547">
        <f>IFERROR(__xludf.DUMMYFUNCTION("""COMPUTED_VALUE"""),0.48)</f>
        <v>0.48</v>
      </c>
      <c r="F1547">
        <f>IFERROR(__xludf.DUMMYFUNCTION("""COMPUTED_VALUE"""),1.97)</f>
        <v>1.97</v>
      </c>
      <c r="G1547">
        <f>IFERROR(__xludf.DUMMYFUNCTION("""COMPUTED_VALUE"""),34.56)</f>
        <v>34.56</v>
      </c>
    </row>
    <row r="1548">
      <c r="A1548">
        <f>IFERROR(__xludf.DUMMYFUNCTION("""COMPUTED_VALUE"""),174681.0)</f>
        <v>174681</v>
      </c>
      <c r="B1548" t="str">
        <f>IFERROR(__xludf.DUMMYFUNCTION("""COMPUTED_VALUE"""),"Grapefruit Juice White Frozen Concentrate Unsweetened Diluted With 3 Volume Water")</f>
        <v>Grapefruit Juice White Frozen Concentrate Unsweetened Diluted With 3 Volume Water</v>
      </c>
      <c r="C1548" t="str">
        <f>IFERROR(__xludf.DUMMYFUNCTION("""COMPUTED_VALUE"""),"Fruits")</f>
        <v>Fruits</v>
      </c>
      <c r="D1548">
        <f>IFERROR(__xludf.DUMMYFUNCTION("""COMPUTED_VALUE"""),41.0)</f>
        <v>41</v>
      </c>
      <c r="E1548">
        <f>IFERROR(__xludf.DUMMYFUNCTION("""COMPUTED_VALUE"""),0.13)</f>
        <v>0.13</v>
      </c>
      <c r="F1548">
        <f>IFERROR(__xludf.DUMMYFUNCTION("""COMPUTED_VALUE"""),0.55)</f>
        <v>0.55</v>
      </c>
      <c r="G1548">
        <f>IFERROR(__xludf.DUMMYFUNCTION("""COMPUTED_VALUE"""),9.73)</f>
        <v>9.73</v>
      </c>
    </row>
    <row r="1549">
      <c r="A1549">
        <f>IFERROR(__xludf.DUMMYFUNCTION("""COMPUTED_VALUE"""),174682.0)</f>
        <v>174682</v>
      </c>
      <c r="B1549" t="str">
        <f>IFERROR(__xludf.DUMMYFUNCTION("""COMPUTED_VALUE"""),"Grapes")</f>
        <v>Grapes</v>
      </c>
      <c r="C1549" t="str">
        <f>IFERROR(__xludf.DUMMYFUNCTION("""COMPUTED_VALUE"""),"Fruits")</f>
        <v>Fruits</v>
      </c>
      <c r="D1549">
        <f>IFERROR(__xludf.DUMMYFUNCTION("""COMPUTED_VALUE"""),67.0)</f>
        <v>67</v>
      </c>
      <c r="E1549">
        <f>IFERROR(__xludf.DUMMYFUNCTION("""COMPUTED_VALUE"""),0.35)</f>
        <v>0.35</v>
      </c>
      <c r="F1549">
        <f>IFERROR(__xludf.DUMMYFUNCTION("""COMPUTED_VALUE"""),0.63)</f>
        <v>0.63</v>
      </c>
      <c r="G1549">
        <f>IFERROR(__xludf.DUMMYFUNCTION("""COMPUTED_VALUE"""),17.15)</f>
        <v>17.15</v>
      </c>
    </row>
    <row r="1550">
      <c r="A1550">
        <f>IFERROR(__xludf.DUMMYFUNCTION("""COMPUTED_VALUE"""),174683.0)</f>
        <v>174683</v>
      </c>
      <c r="B1550" t="str">
        <f>IFERROR(__xludf.DUMMYFUNCTION("""COMPUTED_VALUE"""),"Red Or Green Grapes (European)")</f>
        <v>Red Or Green Grapes (European)</v>
      </c>
      <c r="C1550" t="str">
        <f>IFERROR(__xludf.DUMMYFUNCTION("""COMPUTED_VALUE"""),"Fruits")</f>
        <v>Fruits</v>
      </c>
      <c r="D1550">
        <f>IFERROR(__xludf.DUMMYFUNCTION("""COMPUTED_VALUE"""),69.0)</f>
        <v>69</v>
      </c>
      <c r="E1550">
        <f>IFERROR(__xludf.DUMMYFUNCTION("""COMPUTED_VALUE"""),0.16)</f>
        <v>0.16</v>
      </c>
      <c r="F1550">
        <f>IFERROR(__xludf.DUMMYFUNCTION("""COMPUTED_VALUE"""),0.72)</f>
        <v>0.72</v>
      </c>
      <c r="G1550">
        <f>IFERROR(__xludf.DUMMYFUNCTION("""COMPUTED_VALUE"""),18.1)</f>
        <v>18.1</v>
      </c>
    </row>
    <row r="1551">
      <c r="A1551">
        <f>IFERROR(__xludf.DUMMYFUNCTION("""COMPUTED_VALUE"""),174684.0)</f>
        <v>174684</v>
      </c>
      <c r="B1551" t="str">
        <f>IFERROR(__xludf.DUMMYFUNCTION("""COMPUTED_VALUE"""),"Grapes Canned Thompson Seedless Water Pack Solids And Liquids")</f>
        <v>Grapes Canned Thompson Seedless Water Pack Solids And Liquids</v>
      </c>
      <c r="C1551" t="str">
        <f>IFERROR(__xludf.DUMMYFUNCTION("""COMPUTED_VALUE"""),"Fruits")</f>
        <v>Fruits</v>
      </c>
      <c r="D1551">
        <f>IFERROR(__xludf.DUMMYFUNCTION("""COMPUTED_VALUE"""),40.0)</f>
        <v>40</v>
      </c>
      <c r="E1551">
        <f>IFERROR(__xludf.DUMMYFUNCTION("""COMPUTED_VALUE"""),0.11)</f>
        <v>0.11</v>
      </c>
      <c r="F1551">
        <f>IFERROR(__xludf.DUMMYFUNCTION("""COMPUTED_VALUE"""),0.5)</f>
        <v>0.5</v>
      </c>
      <c r="G1551">
        <f>IFERROR(__xludf.DUMMYFUNCTION("""COMPUTED_VALUE"""),10.3)</f>
        <v>10.3</v>
      </c>
    </row>
    <row r="1552">
      <c r="A1552">
        <f>IFERROR(__xludf.DUMMYFUNCTION("""COMPUTED_VALUE"""),174685.0)</f>
        <v>174685</v>
      </c>
      <c r="B1552" t="str">
        <f>IFERROR(__xludf.DUMMYFUNCTION("""COMPUTED_VALUE"""),"Grapes Canned Thompson Seedless Heavy Syrup Pack Solids And Liquids")</f>
        <v>Grapes Canned Thompson Seedless Heavy Syrup Pack Solids And Liquids</v>
      </c>
      <c r="C1552" t="str">
        <f>IFERROR(__xludf.DUMMYFUNCTION("""COMPUTED_VALUE"""),"Fruits")</f>
        <v>Fruits</v>
      </c>
      <c r="D1552">
        <f>IFERROR(__xludf.DUMMYFUNCTION("""COMPUTED_VALUE"""),76.0)</f>
        <v>76</v>
      </c>
      <c r="E1552">
        <f>IFERROR(__xludf.DUMMYFUNCTION("""COMPUTED_VALUE"""),0.1)</f>
        <v>0.1</v>
      </c>
      <c r="F1552">
        <f>IFERROR(__xludf.DUMMYFUNCTION("""COMPUTED_VALUE"""),0.48)</f>
        <v>0.48</v>
      </c>
      <c r="G1552">
        <f>IFERROR(__xludf.DUMMYFUNCTION("""COMPUTED_VALUE"""),19.65)</f>
        <v>19.65</v>
      </c>
    </row>
    <row r="1553">
      <c r="A1553">
        <f>IFERROR(__xludf.DUMMYFUNCTION("""COMPUTED_VALUE"""),174686.0)</f>
        <v>174686</v>
      </c>
      <c r="B1553" t="str">
        <f>IFERROR(__xludf.DUMMYFUNCTION("""COMPUTED_VALUE"""),"Guava Sauce Cooked")</f>
        <v>Guava Sauce Cooked</v>
      </c>
      <c r="C1553" t="str">
        <f>IFERROR(__xludf.DUMMYFUNCTION("""COMPUTED_VALUE"""),"Fruits")</f>
        <v>Fruits</v>
      </c>
      <c r="D1553">
        <f>IFERROR(__xludf.DUMMYFUNCTION("""COMPUTED_VALUE"""),36.0)</f>
        <v>36</v>
      </c>
      <c r="E1553">
        <f>IFERROR(__xludf.DUMMYFUNCTION("""COMPUTED_VALUE"""),0.14)</f>
        <v>0.14</v>
      </c>
      <c r="F1553">
        <f>IFERROR(__xludf.DUMMYFUNCTION("""COMPUTED_VALUE"""),0.32)</f>
        <v>0.32</v>
      </c>
      <c r="G1553">
        <f>IFERROR(__xludf.DUMMYFUNCTION("""COMPUTED_VALUE"""),9.48)</f>
        <v>9.48</v>
      </c>
    </row>
    <row r="1554">
      <c r="A1554">
        <f>IFERROR(__xludf.DUMMYFUNCTION("""COMPUTED_VALUE"""),174687.0)</f>
        <v>174687</v>
      </c>
      <c r="B1554" t="str">
        <f>IFERROR(__xludf.DUMMYFUNCTION("""COMPUTED_VALUE"""),"Jackfruit")</f>
        <v>Jackfruit</v>
      </c>
      <c r="C1554" t="str">
        <f>IFERROR(__xludf.DUMMYFUNCTION("""COMPUTED_VALUE"""),"Fruits")</f>
        <v>Fruits</v>
      </c>
      <c r="D1554">
        <f>IFERROR(__xludf.DUMMYFUNCTION("""COMPUTED_VALUE"""),95.0)</f>
        <v>95</v>
      </c>
      <c r="E1554">
        <f>IFERROR(__xludf.DUMMYFUNCTION("""COMPUTED_VALUE"""),0.64)</f>
        <v>0.64</v>
      </c>
      <c r="F1554">
        <f>IFERROR(__xludf.DUMMYFUNCTION("""COMPUTED_VALUE"""),1.72)</f>
        <v>1.72</v>
      </c>
      <c r="G1554">
        <f>IFERROR(__xludf.DUMMYFUNCTION("""COMPUTED_VALUE"""),23.25)</f>
        <v>23.25</v>
      </c>
    </row>
    <row r="1555">
      <c r="A1555">
        <f>IFERROR(__xludf.DUMMYFUNCTION("""COMPUTED_VALUE"""),175182.0)</f>
        <v>175182</v>
      </c>
      <c r="B1555" t="str">
        <f>IFERROR(__xludf.DUMMYFUNCTION("""COMPUTED_VALUE"""),"Canned Baked Beans")</f>
        <v>Canned Baked Beans</v>
      </c>
      <c r="C1555" t="str">
        <f>IFERROR(__xludf.DUMMYFUNCTION("""COMPUTED_VALUE"""),"Beans and Lentils")</f>
        <v>Beans and Lentils</v>
      </c>
      <c r="D1555">
        <f>IFERROR(__xludf.DUMMYFUNCTION("""COMPUTED_VALUE"""),94.0)</f>
        <v>94</v>
      </c>
      <c r="E1555">
        <f>IFERROR(__xludf.DUMMYFUNCTION("""COMPUTED_VALUE"""),0.37)</f>
        <v>0.37</v>
      </c>
      <c r="F1555">
        <f>IFERROR(__xludf.DUMMYFUNCTION("""COMPUTED_VALUE"""),4.75)</f>
        <v>4.75</v>
      </c>
      <c r="G1555">
        <f>IFERROR(__xludf.DUMMYFUNCTION("""COMPUTED_VALUE"""),21.14)</f>
        <v>21.14</v>
      </c>
    </row>
    <row r="1556">
      <c r="A1556">
        <f>IFERROR(__xludf.DUMMYFUNCTION("""COMPUTED_VALUE"""),175183.0)</f>
        <v>175183</v>
      </c>
      <c r="B1556" t="str">
        <f>IFERROR(__xludf.DUMMYFUNCTION("""COMPUTED_VALUE"""),"Canned Baked Beans With Beef")</f>
        <v>Canned Baked Beans With Beef</v>
      </c>
      <c r="C1556" t="str">
        <f>IFERROR(__xludf.DUMMYFUNCTION("""COMPUTED_VALUE"""),"Beans and Lentils")</f>
        <v>Beans and Lentils</v>
      </c>
      <c r="D1556">
        <f>IFERROR(__xludf.DUMMYFUNCTION("""COMPUTED_VALUE"""),121.0)</f>
        <v>121</v>
      </c>
      <c r="E1556">
        <f>IFERROR(__xludf.DUMMYFUNCTION("""COMPUTED_VALUE"""),3.45)</f>
        <v>3.45</v>
      </c>
      <c r="F1556">
        <f>IFERROR(__xludf.DUMMYFUNCTION("""COMPUTED_VALUE"""),6.38)</f>
        <v>6.38</v>
      </c>
      <c r="G1556">
        <f>IFERROR(__xludf.DUMMYFUNCTION("""COMPUTED_VALUE"""),16.91)</f>
        <v>16.91</v>
      </c>
    </row>
    <row r="1557">
      <c r="A1557">
        <f>IFERROR(__xludf.DUMMYFUNCTION("""COMPUTED_VALUE"""),175184.0)</f>
        <v>175184</v>
      </c>
      <c r="B1557" t="str">
        <f>IFERROR(__xludf.DUMMYFUNCTION("""COMPUTED_VALUE"""),"Beans Baked Canned With Franks")</f>
        <v>Beans Baked Canned With Franks</v>
      </c>
      <c r="C1557" t="str">
        <f>IFERROR(__xludf.DUMMYFUNCTION("""COMPUTED_VALUE"""),"Beans and Lentils")</f>
        <v>Beans and Lentils</v>
      </c>
      <c r="D1557">
        <f>IFERROR(__xludf.DUMMYFUNCTION("""COMPUTED_VALUE"""),142.0)</f>
        <v>142</v>
      </c>
      <c r="E1557">
        <f>IFERROR(__xludf.DUMMYFUNCTION("""COMPUTED_VALUE"""),6.57)</f>
        <v>6.57</v>
      </c>
      <c r="F1557">
        <f>IFERROR(__xludf.DUMMYFUNCTION("""COMPUTED_VALUE"""),6.75)</f>
        <v>6.75</v>
      </c>
      <c r="G1557">
        <f>IFERROR(__xludf.DUMMYFUNCTION("""COMPUTED_VALUE"""),15.39)</f>
        <v>15.39</v>
      </c>
    </row>
    <row r="1558">
      <c r="A1558">
        <f>IFERROR(__xludf.DUMMYFUNCTION("""COMPUTED_VALUE"""),175185.0)</f>
        <v>175185</v>
      </c>
      <c r="B1558" t="str">
        <f>IFERROR(__xludf.DUMMYFUNCTION("""COMPUTED_VALUE"""),"Beans Baked Canned With Pork")</f>
        <v>Beans Baked Canned With Pork</v>
      </c>
      <c r="C1558" t="str">
        <f>IFERROR(__xludf.DUMMYFUNCTION("""COMPUTED_VALUE"""),"Beans and Lentils")</f>
        <v>Beans and Lentils</v>
      </c>
      <c r="D1558">
        <f>IFERROR(__xludf.DUMMYFUNCTION("""COMPUTED_VALUE"""),106.0)</f>
        <v>106</v>
      </c>
      <c r="E1558">
        <f>IFERROR(__xludf.DUMMYFUNCTION("""COMPUTED_VALUE"""),1.55)</f>
        <v>1.55</v>
      </c>
      <c r="F1558">
        <f>IFERROR(__xludf.DUMMYFUNCTION("""COMPUTED_VALUE"""),5.19)</f>
        <v>5.19</v>
      </c>
      <c r="G1558">
        <f>IFERROR(__xludf.DUMMYFUNCTION("""COMPUTED_VALUE"""),19.99)</f>
        <v>19.99</v>
      </c>
    </row>
    <row r="1559">
      <c r="A1559">
        <f>IFERROR(__xludf.DUMMYFUNCTION("""COMPUTED_VALUE"""),175186.0)</f>
        <v>175186</v>
      </c>
      <c r="B1559" t="str">
        <f>IFERROR(__xludf.DUMMYFUNCTION("""COMPUTED_VALUE"""),"Beans Black Turtle Mature Seeds Raw")</f>
        <v>Beans Black Turtle Mature Seeds Raw</v>
      </c>
      <c r="C1559" t="str">
        <f>IFERROR(__xludf.DUMMYFUNCTION("""COMPUTED_VALUE"""),"Beans and Lentils")</f>
        <v>Beans and Lentils</v>
      </c>
      <c r="D1559">
        <f>IFERROR(__xludf.DUMMYFUNCTION("""COMPUTED_VALUE"""),339.0)</f>
        <v>339</v>
      </c>
      <c r="E1559">
        <f>IFERROR(__xludf.DUMMYFUNCTION("""COMPUTED_VALUE"""),0.9)</f>
        <v>0.9</v>
      </c>
      <c r="F1559">
        <f>IFERROR(__xludf.DUMMYFUNCTION("""COMPUTED_VALUE"""),21.25)</f>
        <v>21.25</v>
      </c>
      <c r="G1559">
        <f>IFERROR(__xludf.DUMMYFUNCTION("""COMPUTED_VALUE"""),63.25)</f>
        <v>63.25</v>
      </c>
    </row>
    <row r="1560">
      <c r="A1560">
        <f>IFERROR(__xludf.DUMMYFUNCTION("""COMPUTED_VALUE"""),175187.0)</f>
        <v>175187</v>
      </c>
      <c r="B1560" t="str">
        <f>IFERROR(__xludf.DUMMYFUNCTION("""COMPUTED_VALUE"""),"Black Turtle Beans")</f>
        <v>Black Turtle Beans</v>
      </c>
      <c r="C1560" t="str">
        <f>IFERROR(__xludf.DUMMYFUNCTION("""COMPUTED_VALUE"""),"Beans and Lentils")</f>
        <v>Beans and Lentils</v>
      </c>
      <c r="D1560">
        <f>IFERROR(__xludf.DUMMYFUNCTION("""COMPUTED_VALUE"""),130.0)</f>
        <v>130</v>
      </c>
      <c r="E1560">
        <f>IFERROR(__xludf.DUMMYFUNCTION("""COMPUTED_VALUE"""),0.35)</f>
        <v>0.35</v>
      </c>
      <c r="F1560">
        <f>IFERROR(__xludf.DUMMYFUNCTION("""COMPUTED_VALUE"""),8.18)</f>
        <v>8.18</v>
      </c>
      <c r="G1560">
        <f>IFERROR(__xludf.DUMMYFUNCTION("""COMPUTED_VALUE"""),24.35)</f>
        <v>24.35</v>
      </c>
    </row>
    <row r="1561">
      <c r="A1561">
        <f>IFERROR(__xludf.DUMMYFUNCTION("""COMPUTED_VALUE"""),175188.0)</f>
        <v>175188</v>
      </c>
      <c r="B1561" t="str">
        <f>IFERROR(__xludf.DUMMYFUNCTION("""COMPUTED_VALUE"""),"Beans Black Turtle Mature Seeds Canned")</f>
        <v>Beans Black Turtle Mature Seeds Canned</v>
      </c>
      <c r="C1561" t="str">
        <f>IFERROR(__xludf.DUMMYFUNCTION("""COMPUTED_VALUE"""),"Beans and Lentils")</f>
        <v>Beans and Lentils</v>
      </c>
      <c r="D1561">
        <f>IFERROR(__xludf.DUMMYFUNCTION("""COMPUTED_VALUE"""),91.0)</f>
        <v>91</v>
      </c>
      <c r="E1561">
        <f>IFERROR(__xludf.DUMMYFUNCTION("""COMPUTED_VALUE"""),0.29)</f>
        <v>0.29</v>
      </c>
      <c r="F1561">
        <f>IFERROR(__xludf.DUMMYFUNCTION("""COMPUTED_VALUE"""),6.03)</f>
        <v>6.03</v>
      </c>
      <c r="G1561">
        <f>IFERROR(__xludf.DUMMYFUNCTION("""COMPUTED_VALUE"""),16.55)</f>
        <v>16.55</v>
      </c>
    </row>
    <row r="1562">
      <c r="A1562">
        <f>IFERROR(__xludf.DUMMYFUNCTION("""COMPUTED_VALUE"""),175189.0)</f>
        <v>175189</v>
      </c>
      <c r="B1562" t="str">
        <f>IFERROR(__xludf.DUMMYFUNCTION("""COMPUTED_VALUE"""),"Beans Cranberry (Roman) Mature Seeds Raw")</f>
        <v>Beans Cranberry (Roman) Mature Seeds Raw</v>
      </c>
      <c r="C1562" t="str">
        <f>IFERROR(__xludf.DUMMYFUNCTION("""COMPUTED_VALUE"""),"Beans and Lentils")</f>
        <v>Beans and Lentils</v>
      </c>
      <c r="D1562">
        <f>IFERROR(__xludf.DUMMYFUNCTION("""COMPUTED_VALUE"""),335.0)</f>
        <v>335</v>
      </c>
      <c r="E1562">
        <f>IFERROR(__xludf.DUMMYFUNCTION("""COMPUTED_VALUE"""),1.23)</f>
        <v>1.23</v>
      </c>
      <c r="F1562">
        <f>IFERROR(__xludf.DUMMYFUNCTION("""COMPUTED_VALUE"""),23.03)</f>
        <v>23.03</v>
      </c>
      <c r="G1562">
        <f>IFERROR(__xludf.DUMMYFUNCTION("""COMPUTED_VALUE"""),60.05)</f>
        <v>60.05</v>
      </c>
    </row>
    <row r="1563">
      <c r="A1563">
        <f>IFERROR(__xludf.DUMMYFUNCTION("""COMPUTED_VALUE"""),175190.0)</f>
        <v>175190</v>
      </c>
      <c r="B1563" t="str">
        <f>IFERROR(__xludf.DUMMYFUNCTION("""COMPUTED_VALUE"""),"Beans Great Northern Mature Seeds Raw")</f>
        <v>Beans Great Northern Mature Seeds Raw</v>
      </c>
      <c r="C1563" t="str">
        <f>IFERROR(__xludf.DUMMYFUNCTION("""COMPUTED_VALUE"""),"Beans and Lentils")</f>
        <v>Beans and Lentils</v>
      </c>
      <c r="D1563">
        <f>IFERROR(__xludf.DUMMYFUNCTION("""COMPUTED_VALUE"""),339.0)</f>
        <v>339</v>
      </c>
      <c r="E1563">
        <f>IFERROR(__xludf.DUMMYFUNCTION("""COMPUTED_VALUE"""),1.14)</f>
        <v>1.14</v>
      </c>
      <c r="F1563">
        <f>IFERROR(__xludf.DUMMYFUNCTION("""COMPUTED_VALUE"""),21.86)</f>
        <v>21.86</v>
      </c>
      <c r="G1563">
        <f>IFERROR(__xludf.DUMMYFUNCTION("""COMPUTED_VALUE"""),62.37)</f>
        <v>62.37</v>
      </c>
    </row>
    <row r="1564">
      <c r="A1564">
        <f>IFERROR(__xludf.DUMMYFUNCTION("""COMPUTED_VALUE"""),175191.0)</f>
        <v>175191</v>
      </c>
      <c r="B1564" t="str">
        <f>IFERROR(__xludf.DUMMYFUNCTION("""COMPUTED_VALUE"""),"Great Northern Beans")</f>
        <v>Great Northern Beans</v>
      </c>
      <c r="C1564" t="str">
        <f>IFERROR(__xludf.DUMMYFUNCTION("""COMPUTED_VALUE"""),"Beans and Lentils")</f>
        <v>Beans and Lentils</v>
      </c>
      <c r="D1564">
        <f>IFERROR(__xludf.DUMMYFUNCTION("""COMPUTED_VALUE"""),118.0)</f>
        <v>118</v>
      </c>
      <c r="E1564">
        <f>IFERROR(__xludf.DUMMYFUNCTION("""COMPUTED_VALUE"""),0.45)</f>
        <v>0.45</v>
      </c>
      <c r="F1564">
        <f>IFERROR(__xludf.DUMMYFUNCTION("""COMPUTED_VALUE"""),8.33)</f>
        <v>8.33</v>
      </c>
      <c r="G1564">
        <f>IFERROR(__xludf.DUMMYFUNCTION("""COMPUTED_VALUE"""),21.09)</f>
        <v>21.09</v>
      </c>
    </row>
    <row r="1565">
      <c r="A1565">
        <f>IFERROR(__xludf.DUMMYFUNCTION("""COMPUTED_VALUE"""),175192.0)</f>
        <v>175192</v>
      </c>
      <c r="B1565" t="str">
        <f>IFERROR(__xludf.DUMMYFUNCTION("""COMPUTED_VALUE"""),"Beans Great Northern Mature Seeds Canned")</f>
        <v>Beans Great Northern Mature Seeds Canned</v>
      </c>
      <c r="C1565" t="str">
        <f>IFERROR(__xludf.DUMMYFUNCTION("""COMPUTED_VALUE"""),"Beans and Lentils")</f>
        <v>Beans and Lentils</v>
      </c>
      <c r="D1565">
        <f>IFERROR(__xludf.DUMMYFUNCTION("""COMPUTED_VALUE"""),114.0)</f>
        <v>114</v>
      </c>
      <c r="E1565">
        <f>IFERROR(__xludf.DUMMYFUNCTION("""COMPUTED_VALUE"""),0.39)</f>
        <v>0.39</v>
      </c>
      <c r="F1565">
        <f>IFERROR(__xludf.DUMMYFUNCTION("""COMPUTED_VALUE"""),7.37)</f>
        <v>7.37</v>
      </c>
      <c r="G1565">
        <f>IFERROR(__xludf.DUMMYFUNCTION("""COMPUTED_VALUE"""),21.02)</f>
        <v>21.02</v>
      </c>
    </row>
    <row r="1566">
      <c r="A1566">
        <f>IFERROR(__xludf.DUMMYFUNCTION("""COMPUTED_VALUE"""),175193.0)</f>
        <v>175193</v>
      </c>
      <c r="B1566" t="str">
        <f>IFERROR(__xludf.DUMMYFUNCTION("""COMPUTED_VALUE"""),"Beans Kidney All Types Mature Seeds Raw")</f>
        <v>Beans Kidney All Types Mature Seeds Raw</v>
      </c>
      <c r="C1566" t="str">
        <f>IFERROR(__xludf.DUMMYFUNCTION("""COMPUTED_VALUE"""),"Beans and Lentils")</f>
        <v>Beans and Lentils</v>
      </c>
      <c r="D1566">
        <f>IFERROR(__xludf.DUMMYFUNCTION("""COMPUTED_VALUE"""),333.0)</f>
        <v>333</v>
      </c>
      <c r="E1566">
        <f>IFERROR(__xludf.DUMMYFUNCTION("""COMPUTED_VALUE"""),0.83)</f>
        <v>0.83</v>
      </c>
      <c r="F1566">
        <f>IFERROR(__xludf.DUMMYFUNCTION("""COMPUTED_VALUE"""),23.58)</f>
        <v>23.58</v>
      </c>
      <c r="G1566">
        <f>IFERROR(__xludf.DUMMYFUNCTION("""COMPUTED_VALUE"""),60.01)</f>
        <v>60.01</v>
      </c>
    </row>
    <row r="1567">
      <c r="A1567">
        <f>IFERROR(__xludf.DUMMYFUNCTION("""COMPUTED_VALUE"""),175194.0)</f>
        <v>175194</v>
      </c>
      <c r="B1567" t="str">
        <f>IFERROR(__xludf.DUMMYFUNCTION("""COMPUTED_VALUE"""),"Cooked Red Kidney Beans")</f>
        <v>Cooked Red Kidney Beans</v>
      </c>
      <c r="C1567" t="str">
        <f>IFERROR(__xludf.DUMMYFUNCTION("""COMPUTED_VALUE"""),"Beans and Lentils")</f>
        <v>Beans and Lentils</v>
      </c>
      <c r="D1567">
        <f>IFERROR(__xludf.DUMMYFUNCTION("""COMPUTED_VALUE"""),127.0)</f>
        <v>127</v>
      </c>
      <c r="E1567">
        <f>IFERROR(__xludf.DUMMYFUNCTION("""COMPUTED_VALUE"""),0.5)</f>
        <v>0.5</v>
      </c>
      <c r="F1567">
        <f>IFERROR(__xludf.DUMMYFUNCTION("""COMPUTED_VALUE"""),8.67)</f>
        <v>8.67</v>
      </c>
      <c r="G1567">
        <f>IFERROR(__xludf.DUMMYFUNCTION("""COMPUTED_VALUE"""),22.8)</f>
        <v>22.8</v>
      </c>
    </row>
    <row r="1568">
      <c r="A1568">
        <f>IFERROR(__xludf.DUMMYFUNCTION("""COMPUTED_VALUE"""),175195.0)</f>
        <v>175195</v>
      </c>
      <c r="B1568" t="str">
        <f>IFERROR(__xludf.DUMMYFUNCTION("""COMPUTED_VALUE"""),"Canned Red Kidney Beans")</f>
        <v>Canned Red Kidney Beans</v>
      </c>
      <c r="C1568" t="str">
        <f>IFERROR(__xludf.DUMMYFUNCTION("""COMPUTED_VALUE"""),"Beans and Lentils")</f>
        <v>Beans and Lentils</v>
      </c>
      <c r="D1568">
        <f>IFERROR(__xludf.DUMMYFUNCTION("""COMPUTED_VALUE"""),81.0)</f>
        <v>81</v>
      </c>
      <c r="E1568">
        <f>IFERROR(__xludf.DUMMYFUNCTION("""COMPUTED_VALUE"""),0.36)</f>
        <v>0.36</v>
      </c>
      <c r="F1568">
        <f>IFERROR(__xludf.DUMMYFUNCTION("""COMPUTED_VALUE"""),5.22)</f>
        <v>5.22</v>
      </c>
      <c r="G1568">
        <f>IFERROR(__xludf.DUMMYFUNCTION("""COMPUTED_VALUE"""),14.83)</f>
        <v>14.83</v>
      </c>
    </row>
    <row r="1569">
      <c r="A1569">
        <f>IFERROR(__xludf.DUMMYFUNCTION("""COMPUTED_VALUE"""),175196.0)</f>
        <v>175196</v>
      </c>
      <c r="B1569" t="str">
        <f>IFERROR(__xludf.DUMMYFUNCTION("""COMPUTED_VALUE"""),"Beans Kidney Royal Red Mature Seeds Raw")</f>
        <v>Beans Kidney Royal Red Mature Seeds Raw</v>
      </c>
      <c r="C1569" t="str">
        <f>IFERROR(__xludf.DUMMYFUNCTION("""COMPUTED_VALUE"""),"Beans and Lentils")</f>
        <v>Beans and Lentils</v>
      </c>
      <c r="D1569">
        <f>IFERROR(__xludf.DUMMYFUNCTION("""COMPUTED_VALUE"""),329.0)</f>
        <v>329</v>
      </c>
      <c r="E1569">
        <f>IFERROR(__xludf.DUMMYFUNCTION("""COMPUTED_VALUE"""),0.45)</f>
        <v>0.45</v>
      </c>
      <c r="F1569">
        <f>IFERROR(__xludf.DUMMYFUNCTION("""COMPUTED_VALUE"""),25.33)</f>
        <v>25.33</v>
      </c>
      <c r="G1569">
        <f>IFERROR(__xludf.DUMMYFUNCTION("""COMPUTED_VALUE"""),58.33)</f>
        <v>58.33</v>
      </c>
    </row>
    <row r="1570">
      <c r="A1570">
        <f>IFERROR(__xludf.DUMMYFUNCTION("""COMPUTED_VALUE"""),175197.0)</f>
        <v>175197</v>
      </c>
      <c r="B1570" t="str">
        <f>IFERROR(__xludf.DUMMYFUNCTION("""COMPUTED_VALUE"""),"Boiled Red Kidney Beans")</f>
        <v>Boiled Red Kidney Beans</v>
      </c>
      <c r="C1570" t="str">
        <f>IFERROR(__xludf.DUMMYFUNCTION("""COMPUTED_VALUE"""),"Beans and Lentils")</f>
        <v>Beans and Lentils</v>
      </c>
      <c r="D1570">
        <f>IFERROR(__xludf.DUMMYFUNCTION("""COMPUTED_VALUE"""),123.0)</f>
        <v>123</v>
      </c>
      <c r="E1570">
        <f>IFERROR(__xludf.DUMMYFUNCTION("""COMPUTED_VALUE"""),0.17)</f>
        <v>0.17</v>
      </c>
      <c r="F1570">
        <f>IFERROR(__xludf.DUMMYFUNCTION("""COMPUTED_VALUE"""),9.49)</f>
        <v>9.49</v>
      </c>
      <c r="G1570">
        <f>IFERROR(__xludf.DUMMYFUNCTION("""COMPUTED_VALUE"""),21.85)</f>
        <v>21.85</v>
      </c>
    </row>
    <row r="1571">
      <c r="A1571">
        <f>IFERROR(__xludf.DUMMYFUNCTION("""COMPUTED_VALUE"""),175198.0)</f>
        <v>175198</v>
      </c>
      <c r="B1571" t="str">
        <f>IFERROR(__xludf.DUMMYFUNCTION("""COMPUTED_VALUE"""),"Beans Pink Mature Seeds Cooked Boiled Without Salt")</f>
        <v>Beans Pink Mature Seeds Cooked Boiled Without Salt</v>
      </c>
      <c r="C1571" t="str">
        <f>IFERROR(__xludf.DUMMYFUNCTION("""COMPUTED_VALUE"""),"Beans and Lentils")</f>
        <v>Beans and Lentils</v>
      </c>
      <c r="D1571">
        <f>IFERROR(__xludf.DUMMYFUNCTION("""COMPUTED_VALUE"""),149.0)</f>
        <v>149</v>
      </c>
      <c r="E1571">
        <f>IFERROR(__xludf.DUMMYFUNCTION("""COMPUTED_VALUE"""),0.49)</f>
        <v>0.49</v>
      </c>
      <c r="F1571">
        <f>IFERROR(__xludf.DUMMYFUNCTION("""COMPUTED_VALUE"""),9.06)</f>
        <v>9.06</v>
      </c>
      <c r="G1571">
        <f>IFERROR(__xludf.DUMMYFUNCTION("""COMPUTED_VALUE"""),27.91)</f>
        <v>27.91</v>
      </c>
    </row>
    <row r="1572">
      <c r="A1572">
        <f>IFERROR(__xludf.DUMMYFUNCTION("""COMPUTED_VALUE"""),175199.0)</f>
        <v>175199</v>
      </c>
      <c r="B1572" t="str">
        <f>IFERROR(__xludf.DUMMYFUNCTION("""COMPUTED_VALUE"""),"Beans Pinto Mature Seeds Raw")</f>
        <v>Beans Pinto Mature Seeds Raw</v>
      </c>
      <c r="C1572" t="str">
        <f>IFERROR(__xludf.DUMMYFUNCTION("""COMPUTED_VALUE"""),"Beans and Lentils")</f>
        <v>Beans and Lentils</v>
      </c>
      <c r="D1572">
        <f>IFERROR(__xludf.DUMMYFUNCTION("""COMPUTED_VALUE"""),347.0)</f>
        <v>347</v>
      </c>
      <c r="E1572">
        <f>IFERROR(__xludf.DUMMYFUNCTION("""COMPUTED_VALUE"""),1.23)</f>
        <v>1.23</v>
      </c>
      <c r="F1572">
        <f>IFERROR(__xludf.DUMMYFUNCTION("""COMPUTED_VALUE"""),21.42)</f>
        <v>21.42</v>
      </c>
      <c r="G1572">
        <f>IFERROR(__xludf.DUMMYFUNCTION("""COMPUTED_VALUE"""),62.55)</f>
        <v>62.55</v>
      </c>
    </row>
    <row r="1573">
      <c r="A1573">
        <f>IFERROR(__xludf.DUMMYFUNCTION("""COMPUTED_VALUE"""),175200.0)</f>
        <v>175200</v>
      </c>
      <c r="B1573" t="str">
        <f>IFERROR(__xludf.DUMMYFUNCTION("""COMPUTED_VALUE"""),"Pinto Beans (Cooked)")</f>
        <v>Pinto Beans (Cooked)</v>
      </c>
      <c r="C1573" t="str">
        <f>IFERROR(__xludf.DUMMYFUNCTION("""COMPUTED_VALUE"""),"Beans and Lentils")</f>
        <v>Beans and Lentils</v>
      </c>
      <c r="D1573">
        <f>IFERROR(__xludf.DUMMYFUNCTION("""COMPUTED_VALUE"""),143.0)</f>
        <v>143</v>
      </c>
      <c r="E1573">
        <f>IFERROR(__xludf.DUMMYFUNCTION("""COMPUTED_VALUE"""),0.65)</f>
        <v>0.65</v>
      </c>
      <c r="F1573">
        <f>IFERROR(__xludf.DUMMYFUNCTION("""COMPUTED_VALUE"""),9.01)</f>
        <v>9.01</v>
      </c>
      <c r="G1573">
        <f>IFERROR(__xludf.DUMMYFUNCTION("""COMPUTED_VALUE"""),26.22)</f>
        <v>26.22</v>
      </c>
    </row>
    <row r="1574">
      <c r="A1574">
        <f>IFERROR(__xludf.DUMMYFUNCTION("""COMPUTED_VALUE"""),175201.0)</f>
        <v>175201</v>
      </c>
      <c r="B1574" t="str">
        <f>IFERROR(__xludf.DUMMYFUNCTION("""COMPUTED_VALUE"""),"Beans Pinto Mature Seeds Canned Solids And Liquids")</f>
        <v>Beans Pinto Mature Seeds Canned Solids And Liquids</v>
      </c>
      <c r="C1574" t="str">
        <f>IFERROR(__xludf.DUMMYFUNCTION("""COMPUTED_VALUE"""),"Beans and Lentils")</f>
        <v>Beans and Lentils</v>
      </c>
      <c r="D1574">
        <f>IFERROR(__xludf.DUMMYFUNCTION("""COMPUTED_VALUE"""),82.0)</f>
        <v>82</v>
      </c>
      <c r="E1574">
        <f>IFERROR(__xludf.DUMMYFUNCTION("""COMPUTED_VALUE"""),0.56)</f>
        <v>0.56</v>
      </c>
      <c r="F1574">
        <f>IFERROR(__xludf.DUMMYFUNCTION("""COMPUTED_VALUE"""),4.6)</f>
        <v>4.6</v>
      </c>
      <c r="G1574">
        <f>IFERROR(__xludf.DUMMYFUNCTION("""COMPUTED_VALUE"""),15.18)</f>
        <v>15.18</v>
      </c>
    </row>
    <row r="1575">
      <c r="A1575">
        <f>IFERROR(__xludf.DUMMYFUNCTION("""COMPUTED_VALUE"""),175202.0)</f>
        <v>175202</v>
      </c>
      <c r="B1575" t="str">
        <f>IFERROR(__xludf.DUMMYFUNCTION("""COMPUTED_VALUE"""),"Beans White Mature Seeds Raw")</f>
        <v>Beans White Mature Seeds Raw</v>
      </c>
      <c r="C1575" t="str">
        <f>IFERROR(__xludf.DUMMYFUNCTION("""COMPUTED_VALUE"""),"Beans and Lentils")</f>
        <v>Beans and Lentils</v>
      </c>
      <c r="D1575">
        <f>IFERROR(__xludf.DUMMYFUNCTION("""COMPUTED_VALUE"""),333.0)</f>
        <v>333</v>
      </c>
      <c r="E1575">
        <f>IFERROR(__xludf.DUMMYFUNCTION("""COMPUTED_VALUE"""),0.85)</f>
        <v>0.85</v>
      </c>
      <c r="F1575">
        <f>IFERROR(__xludf.DUMMYFUNCTION("""COMPUTED_VALUE"""),23.36)</f>
        <v>23.36</v>
      </c>
      <c r="G1575">
        <f>IFERROR(__xludf.DUMMYFUNCTION("""COMPUTED_VALUE"""),60.27)</f>
        <v>60.27</v>
      </c>
    </row>
    <row r="1576">
      <c r="A1576">
        <f>IFERROR(__xludf.DUMMYFUNCTION("""COMPUTED_VALUE"""),175203.0)</f>
        <v>175203</v>
      </c>
      <c r="B1576" t="str">
        <f>IFERROR(__xludf.DUMMYFUNCTION("""COMPUTED_VALUE"""),"Cooked Large White Beans")</f>
        <v>Cooked Large White Beans</v>
      </c>
      <c r="C1576" t="str">
        <f>IFERROR(__xludf.DUMMYFUNCTION("""COMPUTED_VALUE"""),"Beans and Lentils")</f>
        <v>Beans and Lentils</v>
      </c>
      <c r="D1576">
        <f>IFERROR(__xludf.DUMMYFUNCTION("""COMPUTED_VALUE"""),139.0)</f>
        <v>139</v>
      </c>
      <c r="E1576">
        <f>IFERROR(__xludf.DUMMYFUNCTION("""COMPUTED_VALUE"""),0.35)</f>
        <v>0.35</v>
      </c>
      <c r="F1576">
        <f>IFERROR(__xludf.DUMMYFUNCTION("""COMPUTED_VALUE"""),9.73)</f>
        <v>9.73</v>
      </c>
      <c r="G1576">
        <f>IFERROR(__xludf.DUMMYFUNCTION("""COMPUTED_VALUE"""),25.09)</f>
        <v>25.09</v>
      </c>
    </row>
    <row r="1577">
      <c r="A1577">
        <f>IFERROR(__xludf.DUMMYFUNCTION("""COMPUTED_VALUE"""),175204.0)</f>
        <v>175204</v>
      </c>
      <c r="B1577" t="str">
        <f>IFERROR(__xludf.DUMMYFUNCTION("""COMPUTED_VALUE"""),"Beans White Mature Seeds Canned")</f>
        <v>Beans White Mature Seeds Canned</v>
      </c>
      <c r="C1577" t="str">
        <f>IFERROR(__xludf.DUMMYFUNCTION("""COMPUTED_VALUE"""),"Beans and Lentils")</f>
        <v>Beans and Lentils</v>
      </c>
      <c r="D1577">
        <f>IFERROR(__xludf.DUMMYFUNCTION("""COMPUTED_VALUE"""),114.0)</f>
        <v>114</v>
      </c>
      <c r="E1577">
        <f>IFERROR(__xludf.DUMMYFUNCTION("""COMPUTED_VALUE"""),0.29)</f>
        <v>0.29</v>
      </c>
      <c r="F1577">
        <f>IFERROR(__xludf.DUMMYFUNCTION("""COMPUTED_VALUE"""),7.26)</f>
        <v>7.26</v>
      </c>
      <c r="G1577">
        <f>IFERROR(__xludf.DUMMYFUNCTION("""COMPUTED_VALUE"""),21.2)</f>
        <v>21.2</v>
      </c>
    </row>
    <row r="1578">
      <c r="A1578">
        <f>IFERROR(__xludf.DUMMYFUNCTION("""COMPUTED_VALUE"""),175205.0)</f>
        <v>175205</v>
      </c>
      <c r="B1578" t="str">
        <f>IFERROR(__xludf.DUMMYFUNCTION("""COMPUTED_VALUE"""),"Broadbeans (Fava Beans) Mature Seeds Raw")</f>
        <v>Broadbeans (Fava Beans) Mature Seeds Raw</v>
      </c>
      <c r="C1578" t="str">
        <f>IFERROR(__xludf.DUMMYFUNCTION("""COMPUTED_VALUE"""),"Beans and Lentils")</f>
        <v>Beans and Lentils</v>
      </c>
      <c r="D1578">
        <f>IFERROR(__xludf.DUMMYFUNCTION("""COMPUTED_VALUE"""),341.0)</f>
        <v>341</v>
      </c>
      <c r="E1578">
        <f>IFERROR(__xludf.DUMMYFUNCTION("""COMPUTED_VALUE"""),1.53)</f>
        <v>1.53</v>
      </c>
      <c r="F1578">
        <f>IFERROR(__xludf.DUMMYFUNCTION("""COMPUTED_VALUE"""),26.12)</f>
        <v>26.12</v>
      </c>
      <c r="G1578">
        <f>IFERROR(__xludf.DUMMYFUNCTION("""COMPUTED_VALUE"""),58.29)</f>
        <v>58.29</v>
      </c>
    </row>
    <row r="1579">
      <c r="A1579">
        <f>IFERROR(__xludf.DUMMYFUNCTION("""COMPUTED_VALUE"""),175206.0)</f>
        <v>175206</v>
      </c>
      <c r="B1579" t="str">
        <f>IFERROR(__xludf.DUMMYFUNCTION("""COMPUTED_VALUE"""),"Chickpeas (Garbanzo Beans Bengal Gram) Mature Seeds Canned Solids And Liquids")</f>
        <v>Chickpeas (Garbanzo Beans Bengal Gram) Mature Seeds Canned Solids And Liquids</v>
      </c>
      <c r="C1579" t="str">
        <f>IFERROR(__xludf.DUMMYFUNCTION("""COMPUTED_VALUE"""),"Beans and Lentils")</f>
        <v>Beans and Lentils</v>
      </c>
      <c r="D1579">
        <f>IFERROR(__xludf.DUMMYFUNCTION("""COMPUTED_VALUE"""),88.0)</f>
        <v>88</v>
      </c>
      <c r="E1579">
        <f>IFERROR(__xludf.DUMMYFUNCTION("""COMPUTED_VALUE"""),1.95)</f>
        <v>1.95</v>
      </c>
      <c r="F1579">
        <f>IFERROR(__xludf.DUMMYFUNCTION("""COMPUTED_VALUE"""),4.92)</f>
        <v>4.92</v>
      </c>
      <c r="G1579">
        <f>IFERROR(__xludf.DUMMYFUNCTION("""COMPUTED_VALUE"""),13.49)</f>
        <v>13.49</v>
      </c>
    </row>
    <row r="1580">
      <c r="A1580">
        <f>IFERROR(__xludf.DUMMYFUNCTION("""COMPUTED_VALUE"""),175207.0)</f>
        <v>175207</v>
      </c>
      <c r="B1580" t="str">
        <f>IFERROR(__xludf.DUMMYFUNCTION("""COMPUTED_VALUE"""),"Canned Chili With Beans")</f>
        <v>Canned Chili With Beans</v>
      </c>
      <c r="C1580" t="str">
        <f>IFERROR(__xludf.DUMMYFUNCTION("""COMPUTED_VALUE"""),"Beans and Lentils")</f>
        <v>Beans and Lentils</v>
      </c>
      <c r="D1580">
        <f>IFERROR(__xludf.DUMMYFUNCTION("""COMPUTED_VALUE"""),103.0)</f>
        <v>103</v>
      </c>
      <c r="E1580">
        <f>IFERROR(__xludf.DUMMYFUNCTION("""COMPUTED_VALUE"""),3.76)</f>
        <v>3.76</v>
      </c>
      <c r="F1580">
        <f>IFERROR(__xludf.DUMMYFUNCTION("""COMPUTED_VALUE"""),6.12)</f>
        <v>6.12</v>
      </c>
      <c r="G1580">
        <f>IFERROR(__xludf.DUMMYFUNCTION("""COMPUTED_VALUE"""),13.24)</f>
        <v>13.24</v>
      </c>
    </row>
    <row r="1581">
      <c r="A1581">
        <f>IFERROR(__xludf.DUMMYFUNCTION("""COMPUTED_VALUE"""),175208.0)</f>
        <v>175208</v>
      </c>
      <c r="B1581" t="str">
        <f>IFERROR(__xludf.DUMMYFUNCTION("""COMPUTED_VALUE"""),"Cowpeas Catjang Mature Seeds Raw")</f>
        <v>Cowpeas Catjang Mature Seeds Raw</v>
      </c>
      <c r="C1581" t="str">
        <f>IFERROR(__xludf.DUMMYFUNCTION("""COMPUTED_VALUE"""),"Beans and Lentils")</f>
        <v>Beans and Lentils</v>
      </c>
      <c r="D1581">
        <f>IFERROR(__xludf.DUMMYFUNCTION("""COMPUTED_VALUE"""),343.0)</f>
        <v>343</v>
      </c>
      <c r="E1581">
        <f>IFERROR(__xludf.DUMMYFUNCTION("""COMPUTED_VALUE"""),2.07)</f>
        <v>2.07</v>
      </c>
      <c r="F1581">
        <f>IFERROR(__xludf.DUMMYFUNCTION("""COMPUTED_VALUE"""),23.85)</f>
        <v>23.85</v>
      </c>
      <c r="G1581">
        <f>IFERROR(__xludf.DUMMYFUNCTION("""COMPUTED_VALUE"""),59.64)</f>
        <v>59.64</v>
      </c>
    </row>
    <row r="1582">
      <c r="A1582">
        <f>IFERROR(__xludf.DUMMYFUNCTION("""COMPUTED_VALUE"""),175209.0)</f>
        <v>175209</v>
      </c>
      <c r="B1582" t="str">
        <f>IFERROR(__xludf.DUMMYFUNCTION("""COMPUTED_VALUE"""),"Cooked Catjang Beans")</f>
        <v>Cooked Catjang Beans</v>
      </c>
      <c r="C1582" t="str">
        <f>IFERROR(__xludf.DUMMYFUNCTION("""COMPUTED_VALUE"""),"Beans and Lentils")</f>
        <v>Beans and Lentils</v>
      </c>
      <c r="D1582">
        <f>IFERROR(__xludf.DUMMYFUNCTION("""COMPUTED_VALUE"""),117.0)</f>
        <v>117</v>
      </c>
      <c r="E1582">
        <f>IFERROR(__xludf.DUMMYFUNCTION("""COMPUTED_VALUE"""),0.71)</f>
        <v>0.71</v>
      </c>
      <c r="F1582">
        <f>IFERROR(__xludf.DUMMYFUNCTION("""COMPUTED_VALUE"""),8.13)</f>
        <v>8.13</v>
      </c>
      <c r="G1582">
        <f>IFERROR(__xludf.DUMMYFUNCTION("""COMPUTED_VALUE"""),20.32)</f>
        <v>20.32</v>
      </c>
    </row>
    <row r="1583">
      <c r="A1583">
        <f>IFERROR(__xludf.DUMMYFUNCTION("""COMPUTED_VALUE"""),175210.0)</f>
        <v>175210</v>
      </c>
      <c r="B1583" t="str">
        <f>IFERROR(__xludf.DUMMYFUNCTION("""COMPUTED_VALUE"""),"Hyacinth Beans Mature Seeds Raw")</f>
        <v>Hyacinth Beans Mature Seeds Raw</v>
      </c>
      <c r="C1583" t="str">
        <f>IFERROR(__xludf.DUMMYFUNCTION("""COMPUTED_VALUE"""),"Beans and Lentils")</f>
        <v>Beans and Lentils</v>
      </c>
      <c r="D1583">
        <f>IFERROR(__xludf.DUMMYFUNCTION("""COMPUTED_VALUE"""),344.0)</f>
        <v>344</v>
      </c>
      <c r="E1583">
        <f>IFERROR(__xludf.DUMMYFUNCTION("""COMPUTED_VALUE"""),1.69)</f>
        <v>1.69</v>
      </c>
      <c r="F1583">
        <f>IFERROR(__xludf.DUMMYFUNCTION("""COMPUTED_VALUE"""),23.9)</f>
        <v>23.9</v>
      </c>
      <c r="G1583">
        <f>IFERROR(__xludf.DUMMYFUNCTION("""COMPUTED_VALUE"""),60.74)</f>
        <v>60.74</v>
      </c>
    </row>
    <row r="1584">
      <c r="A1584">
        <f>IFERROR(__xludf.DUMMYFUNCTION("""COMPUTED_VALUE"""),175211.0)</f>
        <v>175211</v>
      </c>
      <c r="B1584" t="str">
        <f>IFERROR(__xludf.DUMMYFUNCTION("""COMPUTED_VALUE"""),"Hyacinth Beans Mature Seeds Cooked Boiled Without Salt")</f>
        <v>Hyacinth Beans Mature Seeds Cooked Boiled Without Salt</v>
      </c>
      <c r="C1584" t="str">
        <f>IFERROR(__xludf.DUMMYFUNCTION("""COMPUTED_VALUE"""),"Beans and Lentils")</f>
        <v>Beans and Lentils</v>
      </c>
      <c r="D1584">
        <f>IFERROR(__xludf.DUMMYFUNCTION("""COMPUTED_VALUE"""),117.0)</f>
        <v>117</v>
      </c>
      <c r="E1584">
        <f>IFERROR(__xludf.DUMMYFUNCTION("""COMPUTED_VALUE"""),0.58)</f>
        <v>0.58</v>
      </c>
      <c r="F1584">
        <f>IFERROR(__xludf.DUMMYFUNCTION("""COMPUTED_VALUE"""),8.14)</f>
        <v>8.14</v>
      </c>
      <c r="G1584">
        <f>IFERROR(__xludf.DUMMYFUNCTION("""COMPUTED_VALUE"""),20.69)</f>
        <v>20.69</v>
      </c>
    </row>
    <row r="1585">
      <c r="A1585">
        <f>IFERROR(__xludf.DUMMYFUNCTION("""COMPUTED_VALUE"""),175212.0)</f>
        <v>175212</v>
      </c>
      <c r="B1585" t="str">
        <f>IFERROR(__xludf.DUMMYFUNCTION("""COMPUTED_VALUE"""),"Vitasoy Usa Vitasoy Organic Creamy Original Soy Milk")</f>
        <v>Vitasoy Usa Vitasoy Organic Creamy Original Soy Milk</v>
      </c>
      <c r="C1585" t="str">
        <f>IFERROR(__xludf.DUMMYFUNCTION("""COMPUTED_VALUE"""),"Beans and Lentils")</f>
        <v>Beans and Lentils</v>
      </c>
      <c r="D1585">
        <f>IFERROR(__xludf.DUMMYFUNCTION("""COMPUTED_VALUE"""),44.0)</f>
        <v>44</v>
      </c>
      <c r="E1585">
        <f>IFERROR(__xludf.DUMMYFUNCTION("""COMPUTED_VALUE"""),1.6)</f>
        <v>1.6</v>
      </c>
      <c r="F1585">
        <f>IFERROR(__xludf.DUMMYFUNCTION("""COMPUTED_VALUE"""),2.9)</f>
        <v>2.9</v>
      </c>
      <c r="G1585">
        <f>IFERROR(__xludf.DUMMYFUNCTION("""COMPUTED_VALUE"""),4.5)</f>
        <v>4.5</v>
      </c>
    </row>
    <row r="1586">
      <c r="A1586">
        <f>IFERROR(__xludf.DUMMYFUNCTION("""COMPUTED_VALUE"""),175213.0)</f>
        <v>175213</v>
      </c>
      <c r="B1586" t="str">
        <f>IFERROR(__xludf.DUMMYFUNCTION("""COMPUTED_VALUE"""),"Vitasoy Usa Vitasoy Organic Classic Original Soy Milk")</f>
        <v>Vitasoy Usa Vitasoy Organic Classic Original Soy Milk</v>
      </c>
      <c r="C1586" t="str">
        <f>IFERROR(__xludf.DUMMYFUNCTION("""COMPUTED_VALUE"""),"Beans and Lentils")</f>
        <v>Beans and Lentils</v>
      </c>
      <c r="D1586">
        <f>IFERROR(__xludf.DUMMYFUNCTION("""COMPUTED_VALUE"""),47.0)</f>
        <v>47</v>
      </c>
      <c r="E1586">
        <f>IFERROR(__xludf.DUMMYFUNCTION("""COMPUTED_VALUE"""),1.8)</f>
        <v>1.8</v>
      </c>
      <c r="F1586">
        <f>IFERROR(__xludf.DUMMYFUNCTION("""COMPUTED_VALUE"""),3.2)</f>
        <v>3.2</v>
      </c>
      <c r="G1586">
        <f>IFERROR(__xludf.DUMMYFUNCTION("""COMPUTED_VALUE"""),4.5)</f>
        <v>4.5</v>
      </c>
    </row>
    <row r="1587">
      <c r="A1587">
        <f>IFERROR(__xludf.DUMMYFUNCTION("""COMPUTED_VALUE"""),175214.0)</f>
        <v>175214</v>
      </c>
      <c r="B1587" t="str">
        <f>IFERROR(__xludf.DUMMYFUNCTION("""COMPUTED_VALUE"""),"Vitasoy Usa Vitasoy Light Vanilla Soy Milk")</f>
        <v>Vitasoy Usa Vitasoy Light Vanilla Soy Milk</v>
      </c>
      <c r="C1587" t="str">
        <f>IFERROR(__xludf.DUMMYFUNCTION("""COMPUTED_VALUE"""),"Beans and Lentils")</f>
        <v>Beans and Lentils</v>
      </c>
      <c r="D1587">
        <f>IFERROR(__xludf.DUMMYFUNCTION("""COMPUTED_VALUE"""),30.0)</f>
        <v>30</v>
      </c>
      <c r="E1587">
        <f>IFERROR(__xludf.DUMMYFUNCTION("""COMPUTED_VALUE"""),0.82)</f>
        <v>0.82</v>
      </c>
      <c r="F1587">
        <f>IFERROR(__xludf.DUMMYFUNCTION("""COMPUTED_VALUE"""),1.6)</f>
        <v>1.6</v>
      </c>
      <c r="G1587">
        <f>IFERROR(__xludf.DUMMYFUNCTION("""COMPUTED_VALUE"""),4.1)</f>
        <v>4.1</v>
      </c>
    </row>
    <row r="1588">
      <c r="A1588">
        <f>IFERROR(__xludf.DUMMYFUNCTION("""COMPUTED_VALUE"""),175215.0)</f>
        <v>175215</v>
      </c>
      <c r="B1588" t="str">
        <f>IFERROR(__xludf.DUMMYFUNCTION("""COMPUTED_VALUE"""),"Soy Milk")</f>
        <v>Soy Milk</v>
      </c>
      <c r="C1588" t="str">
        <f>IFERROR(__xludf.DUMMYFUNCTION("""COMPUTED_VALUE"""),"Beans and Lentils")</f>
        <v>Beans and Lentils</v>
      </c>
      <c r="D1588">
        <f>IFERROR(__xludf.DUMMYFUNCTION("""COMPUTED_VALUE"""),33.0)</f>
        <v>33</v>
      </c>
      <c r="E1588">
        <f>IFERROR(__xludf.DUMMYFUNCTION("""COMPUTED_VALUE"""),1.61)</f>
        <v>1.61</v>
      </c>
      <c r="F1588">
        <f>IFERROR(__xludf.DUMMYFUNCTION("""COMPUTED_VALUE"""),2.86)</f>
        <v>2.86</v>
      </c>
      <c r="G1588">
        <f>IFERROR(__xludf.DUMMYFUNCTION("""COMPUTED_VALUE"""),1.74)</f>
        <v>1.74</v>
      </c>
    </row>
    <row r="1589">
      <c r="A1589">
        <f>IFERROR(__xludf.DUMMYFUNCTION("""COMPUTED_VALUE"""),175216.0)</f>
        <v>175216</v>
      </c>
      <c r="B1589" t="str">
        <f>IFERROR(__xludf.DUMMYFUNCTION("""COMPUTED_VALUE"""),"Soy Milk (All Flavors) Nonfat With Added Calcium Vitamins A And D")</f>
        <v>Soy Milk (All Flavors) Nonfat With Added Calcium Vitamins A And D</v>
      </c>
      <c r="C1589" t="str">
        <f>IFERROR(__xludf.DUMMYFUNCTION("""COMPUTED_VALUE"""),"Beans and Lentils")</f>
        <v>Beans and Lentils</v>
      </c>
      <c r="D1589">
        <f>IFERROR(__xludf.DUMMYFUNCTION("""COMPUTED_VALUE"""),28.0)</f>
        <v>28</v>
      </c>
      <c r="E1589">
        <f>IFERROR(__xludf.DUMMYFUNCTION("""COMPUTED_VALUE"""),0.04)</f>
        <v>0.04</v>
      </c>
      <c r="F1589">
        <f>IFERROR(__xludf.DUMMYFUNCTION("""COMPUTED_VALUE"""),2.47)</f>
        <v>2.47</v>
      </c>
      <c r="G1589">
        <f>IFERROR(__xludf.DUMMYFUNCTION("""COMPUTED_VALUE"""),4.14)</f>
        <v>4.14</v>
      </c>
    </row>
    <row r="1590">
      <c r="A1590">
        <f>IFERROR(__xludf.DUMMYFUNCTION("""COMPUTED_VALUE"""),175217.0)</f>
        <v>175217</v>
      </c>
      <c r="B1590" t="str">
        <f>IFERROR(__xludf.DUMMYFUNCTION("""COMPUTED_VALUE"""),"Soy Milk Chocolate Nonfat With Added Calcium Vitamins A And D")</f>
        <v>Soy Milk Chocolate Nonfat With Added Calcium Vitamins A And D</v>
      </c>
      <c r="C1590" t="str">
        <f>IFERROR(__xludf.DUMMYFUNCTION("""COMPUTED_VALUE"""),"Beans and Lentils")</f>
        <v>Beans and Lentils</v>
      </c>
      <c r="D1590">
        <f>IFERROR(__xludf.DUMMYFUNCTION("""COMPUTED_VALUE"""),44.0)</f>
        <v>44</v>
      </c>
      <c r="E1590">
        <f>IFERROR(__xludf.DUMMYFUNCTION("""COMPUTED_VALUE"""),0.04)</f>
        <v>0.04</v>
      </c>
      <c r="F1590">
        <f>IFERROR(__xludf.DUMMYFUNCTION("""COMPUTED_VALUE"""),2.47)</f>
        <v>2.47</v>
      </c>
      <c r="G1590">
        <f>IFERROR(__xludf.DUMMYFUNCTION("""COMPUTED_VALUE"""),8.51)</f>
        <v>8.51</v>
      </c>
    </row>
    <row r="1591">
      <c r="A1591">
        <f>IFERROR(__xludf.DUMMYFUNCTION("""COMPUTED_VALUE"""),175218.0)</f>
        <v>175218</v>
      </c>
      <c r="B1591" t="str">
        <f>IFERROR(__xludf.DUMMYFUNCTION("""COMPUTED_VALUE"""),"Silk (Soy Milk)")</f>
        <v>Silk (Soy Milk)</v>
      </c>
      <c r="C1591" t="str">
        <f>IFERROR(__xludf.DUMMYFUNCTION("""COMPUTED_VALUE"""),"Beans and Lentils")</f>
        <v>Beans and Lentils</v>
      </c>
      <c r="D1591">
        <f>IFERROR(__xludf.DUMMYFUNCTION("""COMPUTED_VALUE"""),41.0)</f>
        <v>41</v>
      </c>
      <c r="E1591">
        <f>IFERROR(__xludf.DUMMYFUNCTION("""COMPUTED_VALUE"""),1.65)</f>
        <v>1.65</v>
      </c>
      <c r="F1591">
        <f>IFERROR(__xludf.DUMMYFUNCTION("""COMPUTED_VALUE"""),2.88)</f>
        <v>2.88</v>
      </c>
      <c r="G1591">
        <f>IFERROR(__xludf.DUMMYFUNCTION("""COMPUTED_VALUE"""),3.29)</f>
        <v>3.29</v>
      </c>
    </row>
    <row r="1592">
      <c r="A1592">
        <f>IFERROR(__xludf.DUMMYFUNCTION("""COMPUTED_VALUE"""),175219.0)</f>
        <v>175219</v>
      </c>
      <c r="B1592" t="str">
        <f>IFERROR(__xludf.DUMMYFUNCTION("""COMPUTED_VALUE"""),"Silk Vanilla Soy Milk")</f>
        <v>Silk Vanilla Soy Milk</v>
      </c>
      <c r="C1592" t="str">
        <f>IFERROR(__xludf.DUMMYFUNCTION("""COMPUTED_VALUE"""),"Beans and Lentils")</f>
        <v>Beans and Lentils</v>
      </c>
      <c r="D1592">
        <f>IFERROR(__xludf.DUMMYFUNCTION("""COMPUTED_VALUE"""),41.0)</f>
        <v>41</v>
      </c>
      <c r="E1592">
        <f>IFERROR(__xludf.DUMMYFUNCTION("""COMPUTED_VALUE"""),1.44)</f>
        <v>1.44</v>
      </c>
      <c r="F1592">
        <f>IFERROR(__xludf.DUMMYFUNCTION("""COMPUTED_VALUE"""),2.47)</f>
        <v>2.47</v>
      </c>
      <c r="G1592">
        <f>IFERROR(__xludf.DUMMYFUNCTION("""COMPUTED_VALUE"""),4.12)</f>
        <v>4.12</v>
      </c>
    </row>
    <row r="1593">
      <c r="A1593">
        <f>IFERROR(__xludf.DUMMYFUNCTION("""COMPUTED_VALUE"""),175220.0)</f>
        <v>175220</v>
      </c>
      <c r="B1593" t="str">
        <f>IFERROR(__xludf.DUMMYFUNCTION("""COMPUTED_VALUE"""),"Silk Plus Omega-3 Dha Soy Milk")</f>
        <v>Silk Plus Omega-3 Dha Soy Milk</v>
      </c>
      <c r="C1593" t="str">
        <f>IFERROR(__xludf.DUMMYFUNCTION("""COMPUTED_VALUE"""),"Beans and Lentils")</f>
        <v>Beans and Lentils</v>
      </c>
      <c r="D1593">
        <f>IFERROR(__xludf.DUMMYFUNCTION("""COMPUTED_VALUE"""),45.0)</f>
        <v>45</v>
      </c>
      <c r="E1593">
        <f>IFERROR(__xludf.DUMMYFUNCTION("""COMPUTED_VALUE"""),2.06)</f>
        <v>2.06</v>
      </c>
      <c r="F1593">
        <f>IFERROR(__xludf.DUMMYFUNCTION("""COMPUTED_VALUE"""),2.88)</f>
        <v>2.88</v>
      </c>
      <c r="G1593">
        <f>IFERROR(__xludf.DUMMYFUNCTION("""COMPUTED_VALUE"""),3.29)</f>
        <v>3.29</v>
      </c>
    </row>
    <row r="1594">
      <c r="A1594">
        <f>IFERROR(__xludf.DUMMYFUNCTION("""COMPUTED_VALUE"""),175221.0)</f>
        <v>175221</v>
      </c>
      <c r="B1594" t="str">
        <f>IFERROR(__xludf.DUMMYFUNCTION("""COMPUTED_VALUE"""),"Silk Plus For Bone Health Soy Milk")</f>
        <v>Silk Plus For Bone Health Soy Milk</v>
      </c>
      <c r="C1594" t="str">
        <f>IFERROR(__xludf.DUMMYFUNCTION("""COMPUTED_VALUE"""),"Beans and Lentils")</f>
        <v>Beans and Lentils</v>
      </c>
      <c r="D1594">
        <f>IFERROR(__xludf.DUMMYFUNCTION("""COMPUTED_VALUE"""),41.0)</f>
        <v>41</v>
      </c>
      <c r="E1594">
        <f>IFERROR(__xludf.DUMMYFUNCTION("""COMPUTED_VALUE"""),1.44)</f>
        <v>1.44</v>
      </c>
      <c r="F1594">
        <f>IFERROR(__xludf.DUMMYFUNCTION("""COMPUTED_VALUE"""),2.47)</f>
        <v>2.47</v>
      </c>
      <c r="G1594">
        <f>IFERROR(__xludf.DUMMYFUNCTION("""COMPUTED_VALUE"""),4.53)</f>
        <v>4.53</v>
      </c>
    </row>
    <row r="1595">
      <c r="A1595">
        <f>IFERROR(__xludf.DUMMYFUNCTION("""COMPUTED_VALUE"""),175222.0)</f>
        <v>175222</v>
      </c>
      <c r="B1595" t="str">
        <f>IFERROR(__xludf.DUMMYFUNCTION("""COMPUTED_VALUE"""),"Silk Plus Fiber Soy Milk")</f>
        <v>Silk Plus Fiber Soy Milk</v>
      </c>
      <c r="C1595" t="str">
        <f>IFERROR(__xludf.DUMMYFUNCTION("""COMPUTED_VALUE"""),"Beans and Lentils")</f>
        <v>Beans and Lentils</v>
      </c>
      <c r="D1595">
        <f>IFERROR(__xludf.DUMMYFUNCTION("""COMPUTED_VALUE"""),41.0)</f>
        <v>41</v>
      </c>
      <c r="E1595">
        <f>IFERROR(__xludf.DUMMYFUNCTION("""COMPUTED_VALUE"""),1.44)</f>
        <v>1.44</v>
      </c>
      <c r="F1595">
        <f>IFERROR(__xludf.DUMMYFUNCTION("""COMPUTED_VALUE"""),2.47)</f>
        <v>2.47</v>
      </c>
      <c r="G1595">
        <f>IFERROR(__xludf.DUMMYFUNCTION("""COMPUTED_VALUE"""),5.76)</f>
        <v>5.76</v>
      </c>
    </row>
    <row r="1596">
      <c r="A1596">
        <f>IFERROR(__xludf.DUMMYFUNCTION("""COMPUTED_VALUE"""),175223.0)</f>
        <v>175223</v>
      </c>
      <c r="B1596" t="str">
        <f>IFERROR(__xludf.DUMMYFUNCTION("""COMPUTED_VALUE"""),"Unsweetened Soy Milk")</f>
        <v>Unsweetened Soy Milk</v>
      </c>
      <c r="C1596" t="str">
        <f>IFERROR(__xludf.DUMMYFUNCTION("""COMPUTED_VALUE"""),"Beans and Lentils")</f>
        <v>Beans and Lentils</v>
      </c>
      <c r="D1596">
        <f>IFERROR(__xludf.DUMMYFUNCTION("""COMPUTED_VALUE"""),33.0)</f>
        <v>33</v>
      </c>
      <c r="E1596">
        <f>IFERROR(__xludf.DUMMYFUNCTION("""COMPUTED_VALUE"""),1.65)</f>
        <v>1.65</v>
      </c>
      <c r="F1596">
        <f>IFERROR(__xludf.DUMMYFUNCTION("""COMPUTED_VALUE"""),2.88)</f>
        <v>2.88</v>
      </c>
      <c r="G1596">
        <f>IFERROR(__xludf.DUMMYFUNCTION("""COMPUTED_VALUE"""),1.65)</f>
        <v>1.65</v>
      </c>
    </row>
    <row r="1597">
      <c r="A1597">
        <f>IFERROR(__xludf.DUMMYFUNCTION("""COMPUTED_VALUE"""),175224.0)</f>
        <v>175224</v>
      </c>
      <c r="B1597" t="str">
        <f>IFERROR(__xludf.DUMMYFUNCTION("""COMPUTED_VALUE"""),"Silk Coffee Soy Milk")</f>
        <v>Silk Coffee Soy Milk</v>
      </c>
      <c r="C1597" t="str">
        <f>IFERROR(__xludf.DUMMYFUNCTION("""COMPUTED_VALUE"""),"Beans and Lentils")</f>
        <v>Beans and Lentils</v>
      </c>
      <c r="D1597">
        <f>IFERROR(__xludf.DUMMYFUNCTION("""COMPUTED_VALUE"""),62.0)</f>
        <v>62</v>
      </c>
      <c r="E1597">
        <f>IFERROR(__xludf.DUMMYFUNCTION("""COMPUTED_VALUE"""),1.44)</f>
        <v>1.44</v>
      </c>
      <c r="F1597">
        <f>IFERROR(__xludf.DUMMYFUNCTION("""COMPUTED_VALUE"""),2.06)</f>
        <v>2.06</v>
      </c>
      <c r="G1597">
        <f>IFERROR(__xludf.DUMMYFUNCTION("""COMPUTED_VALUE"""),10.29)</f>
        <v>10.29</v>
      </c>
    </row>
    <row r="1598">
      <c r="A1598">
        <f>IFERROR(__xludf.DUMMYFUNCTION("""COMPUTED_VALUE"""),175225.0)</f>
        <v>175225</v>
      </c>
      <c r="B1598" t="str">
        <f>IFERROR(__xludf.DUMMYFUNCTION("""COMPUTED_VALUE"""),"Silk Vanilla Soy Yogurt (Family Size)")</f>
        <v>Silk Vanilla Soy Yogurt (Family Size)</v>
      </c>
      <c r="C1598" t="str">
        <f>IFERROR(__xludf.DUMMYFUNCTION("""COMPUTED_VALUE"""),"Beans and Lentils")</f>
        <v>Beans and Lentils</v>
      </c>
      <c r="D1598">
        <f>IFERROR(__xludf.DUMMYFUNCTION("""COMPUTED_VALUE"""),79.0)</f>
        <v>79</v>
      </c>
      <c r="E1598">
        <f>IFERROR(__xludf.DUMMYFUNCTION("""COMPUTED_VALUE"""),1.76)</f>
        <v>1.76</v>
      </c>
      <c r="F1598">
        <f>IFERROR(__xludf.DUMMYFUNCTION("""COMPUTED_VALUE"""),2.64)</f>
        <v>2.64</v>
      </c>
      <c r="G1598">
        <f>IFERROR(__xludf.DUMMYFUNCTION("""COMPUTED_VALUE"""),13.66)</f>
        <v>13.66</v>
      </c>
    </row>
    <row r="1599">
      <c r="A1599">
        <f>IFERROR(__xludf.DUMMYFUNCTION("""COMPUTED_VALUE"""),175226.0)</f>
        <v>175226</v>
      </c>
      <c r="B1599" t="str">
        <f>IFERROR(__xludf.DUMMYFUNCTION("""COMPUTED_VALUE"""),"Silk Vanilla Soy Yogurt (Single Serving Size)")</f>
        <v>Silk Vanilla Soy Yogurt (Single Serving Size)</v>
      </c>
      <c r="C1599" t="str">
        <f>IFERROR(__xludf.DUMMYFUNCTION("""COMPUTED_VALUE"""),"Beans and Lentils")</f>
        <v>Beans and Lentils</v>
      </c>
      <c r="D1599">
        <f>IFERROR(__xludf.DUMMYFUNCTION("""COMPUTED_VALUE"""),88.0)</f>
        <v>88</v>
      </c>
      <c r="E1599">
        <f>IFERROR(__xludf.DUMMYFUNCTION("""COMPUTED_VALUE"""),1.76)</f>
        <v>1.76</v>
      </c>
      <c r="F1599">
        <f>IFERROR(__xludf.DUMMYFUNCTION("""COMPUTED_VALUE"""),2.94)</f>
        <v>2.94</v>
      </c>
      <c r="G1599">
        <f>IFERROR(__xludf.DUMMYFUNCTION("""COMPUTED_VALUE"""),14.71)</f>
        <v>14.71</v>
      </c>
    </row>
    <row r="1600">
      <c r="A1600">
        <f>IFERROR(__xludf.DUMMYFUNCTION("""COMPUTED_VALUE"""),175227.0)</f>
        <v>175227</v>
      </c>
      <c r="B1600" t="str">
        <f>IFERROR(__xludf.DUMMYFUNCTION("""COMPUTED_VALUE"""),"Silk Plain Soy Yogurt")</f>
        <v>Silk Plain Soy Yogurt</v>
      </c>
      <c r="C1600" t="str">
        <f>IFERROR(__xludf.DUMMYFUNCTION("""COMPUTED_VALUE"""),"Beans and Lentils")</f>
        <v>Beans and Lentils</v>
      </c>
      <c r="D1600">
        <f>IFERROR(__xludf.DUMMYFUNCTION("""COMPUTED_VALUE"""),66.0)</f>
        <v>66</v>
      </c>
      <c r="E1600">
        <f>IFERROR(__xludf.DUMMYFUNCTION("""COMPUTED_VALUE"""),1.76)</f>
        <v>1.76</v>
      </c>
      <c r="F1600">
        <f>IFERROR(__xludf.DUMMYFUNCTION("""COMPUTED_VALUE"""),2.64)</f>
        <v>2.64</v>
      </c>
      <c r="G1600">
        <f>IFERROR(__xludf.DUMMYFUNCTION("""COMPUTED_VALUE"""),9.69)</f>
        <v>9.69</v>
      </c>
    </row>
    <row r="1601">
      <c r="A1601">
        <f>IFERROR(__xludf.DUMMYFUNCTION("""COMPUTED_VALUE"""),175228.0)</f>
        <v>175228</v>
      </c>
      <c r="B1601" t="str">
        <f>IFERROR(__xludf.DUMMYFUNCTION("""COMPUTED_VALUE"""),"Silk Strawberry Soy Yogurt")</f>
        <v>Silk Strawberry Soy Yogurt</v>
      </c>
      <c r="C1601" t="str">
        <f>IFERROR(__xludf.DUMMYFUNCTION("""COMPUTED_VALUE"""),"Beans and Lentils")</f>
        <v>Beans and Lentils</v>
      </c>
      <c r="D1601">
        <f>IFERROR(__xludf.DUMMYFUNCTION("""COMPUTED_VALUE"""),94.0)</f>
        <v>94</v>
      </c>
      <c r="E1601">
        <f>IFERROR(__xludf.DUMMYFUNCTION("""COMPUTED_VALUE"""),1.18)</f>
        <v>1.18</v>
      </c>
      <c r="F1601">
        <f>IFERROR(__xludf.DUMMYFUNCTION("""COMPUTED_VALUE"""),2.35)</f>
        <v>2.35</v>
      </c>
      <c r="G1601">
        <f>IFERROR(__xludf.DUMMYFUNCTION("""COMPUTED_VALUE"""),18.24)</f>
        <v>18.24</v>
      </c>
    </row>
    <row r="1602">
      <c r="A1602">
        <f>IFERROR(__xludf.DUMMYFUNCTION("""COMPUTED_VALUE"""),175229.0)</f>
        <v>175229</v>
      </c>
      <c r="B1602" t="str">
        <f>IFERROR(__xludf.DUMMYFUNCTION("""COMPUTED_VALUE"""),"Silk Key Lime Soy Yogurt")</f>
        <v>Silk Key Lime Soy Yogurt</v>
      </c>
      <c r="C1602" t="str">
        <f>IFERROR(__xludf.DUMMYFUNCTION("""COMPUTED_VALUE"""),"Beans and Lentils")</f>
        <v>Beans and Lentils</v>
      </c>
      <c r="D1602">
        <f>IFERROR(__xludf.DUMMYFUNCTION("""COMPUTED_VALUE"""),88.0)</f>
        <v>88</v>
      </c>
      <c r="E1602">
        <f>IFERROR(__xludf.DUMMYFUNCTION("""COMPUTED_VALUE"""),1.18)</f>
        <v>1.18</v>
      </c>
      <c r="F1602">
        <f>IFERROR(__xludf.DUMMYFUNCTION("""COMPUTED_VALUE"""),2.35)</f>
        <v>2.35</v>
      </c>
      <c r="G1602">
        <f>IFERROR(__xludf.DUMMYFUNCTION("""COMPUTED_VALUE"""),17.65)</f>
        <v>17.65</v>
      </c>
    </row>
    <row r="1603">
      <c r="A1603">
        <f>IFERROR(__xludf.DUMMYFUNCTION("""COMPUTED_VALUE"""),175230.0)</f>
        <v>175230</v>
      </c>
      <c r="B1603" t="str">
        <f>IFERROR(__xludf.DUMMYFUNCTION("""COMPUTED_VALUE"""),"Silk Banana-Strawberry Soy Yogurt")</f>
        <v>Silk Banana-Strawberry Soy Yogurt</v>
      </c>
      <c r="C1603" t="str">
        <f>IFERROR(__xludf.DUMMYFUNCTION("""COMPUTED_VALUE"""),"Beans and Lentils")</f>
        <v>Beans and Lentils</v>
      </c>
      <c r="D1603">
        <f>IFERROR(__xludf.DUMMYFUNCTION("""COMPUTED_VALUE"""),88.0)</f>
        <v>88</v>
      </c>
      <c r="E1603">
        <f>IFERROR(__xludf.DUMMYFUNCTION("""COMPUTED_VALUE"""),1.18)</f>
        <v>1.18</v>
      </c>
      <c r="F1603">
        <f>IFERROR(__xludf.DUMMYFUNCTION("""COMPUTED_VALUE"""),2.35)</f>
        <v>2.35</v>
      </c>
      <c r="G1603">
        <f>IFERROR(__xludf.DUMMYFUNCTION("""COMPUTED_VALUE"""),17.06)</f>
        <v>17.06</v>
      </c>
    </row>
    <row r="1604">
      <c r="A1604">
        <f>IFERROR(__xludf.DUMMYFUNCTION("""COMPUTED_VALUE"""),175231.0)</f>
        <v>175231</v>
      </c>
      <c r="B1604" t="str">
        <f>IFERROR(__xludf.DUMMYFUNCTION("""COMPUTED_VALUE"""),"Silk Original Creamer")</f>
        <v>Silk Original Creamer</v>
      </c>
      <c r="C1604" t="str">
        <f>IFERROR(__xludf.DUMMYFUNCTION("""COMPUTED_VALUE"""),"Beans and Lentils")</f>
        <v>Beans and Lentils</v>
      </c>
      <c r="D1604">
        <f>IFERROR(__xludf.DUMMYFUNCTION("""COMPUTED_VALUE"""),100.0)</f>
        <v>100</v>
      </c>
      <c r="E1604">
        <f>IFERROR(__xludf.DUMMYFUNCTION("""COMPUTED_VALUE"""),6.67)</f>
        <v>6.67</v>
      </c>
      <c r="F1604">
        <f>IFERROR(__xludf.DUMMYFUNCTION("""COMPUTED_VALUE"""),0.0)</f>
        <v>0</v>
      </c>
      <c r="G1604">
        <f>IFERROR(__xludf.DUMMYFUNCTION("""COMPUTED_VALUE"""),6.67)</f>
        <v>6.67</v>
      </c>
    </row>
    <row r="1605">
      <c r="A1605">
        <f>IFERROR(__xludf.DUMMYFUNCTION("""COMPUTED_VALUE"""),175232.0)</f>
        <v>175232</v>
      </c>
      <c r="B1605" t="str">
        <f>IFERROR(__xludf.DUMMYFUNCTION("""COMPUTED_VALUE"""),"Silk French Vanilla Creamer")</f>
        <v>Silk French Vanilla Creamer</v>
      </c>
      <c r="C1605" t="str">
        <f>IFERROR(__xludf.DUMMYFUNCTION("""COMPUTED_VALUE"""),"Beans and Lentils")</f>
        <v>Beans and Lentils</v>
      </c>
      <c r="D1605">
        <f>IFERROR(__xludf.DUMMYFUNCTION("""COMPUTED_VALUE"""),133.0)</f>
        <v>133</v>
      </c>
      <c r="E1605">
        <f>IFERROR(__xludf.DUMMYFUNCTION("""COMPUTED_VALUE"""),6.67)</f>
        <v>6.67</v>
      </c>
      <c r="F1605">
        <f>IFERROR(__xludf.DUMMYFUNCTION("""COMPUTED_VALUE"""),0.0)</f>
        <v>0</v>
      </c>
      <c r="G1605">
        <f>IFERROR(__xludf.DUMMYFUNCTION("""COMPUTED_VALUE"""),20.0)</f>
        <v>20</v>
      </c>
    </row>
    <row r="1606">
      <c r="A1606">
        <f>IFERROR(__xludf.DUMMYFUNCTION("""COMPUTED_VALUE"""),175233.0)</f>
        <v>175233</v>
      </c>
      <c r="B1606" t="str">
        <f>IFERROR(__xludf.DUMMYFUNCTION("""COMPUTED_VALUE"""),"Vitasoy Usa Organic Nasoya Tofu Plus Firm")</f>
        <v>Vitasoy Usa Organic Nasoya Tofu Plus Firm</v>
      </c>
      <c r="C1606" t="str">
        <f>IFERROR(__xludf.DUMMYFUNCTION("""COMPUTED_VALUE"""),"Beans and Lentils")</f>
        <v>Beans and Lentils</v>
      </c>
      <c r="D1606">
        <f>IFERROR(__xludf.DUMMYFUNCTION("""COMPUTED_VALUE"""),74.0)</f>
        <v>74</v>
      </c>
      <c r="E1606">
        <f>IFERROR(__xludf.DUMMYFUNCTION("""COMPUTED_VALUE"""),3.4)</f>
        <v>3.4</v>
      </c>
      <c r="F1606">
        <f>IFERROR(__xludf.DUMMYFUNCTION("""COMPUTED_VALUE"""),9.19)</f>
        <v>9.19</v>
      </c>
      <c r="G1606">
        <f>IFERROR(__xludf.DUMMYFUNCTION("""COMPUTED_VALUE"""),1.71)</f>
        <v>1.71</v>
      </c>
    </row>
    <row r="1607">
      <c r="A1607">
        <f>IFERROR(__xludf.DUMMYFUNCTION("""COMPUTED_VALUE"""),175234.0)</f>
        <v>175234</v>
      </c>
      <c r="B1607" t="str">
        <f>IFERROR(__xludf.DUMMYFUNCTION("""COMPUTED_VALUE"""),"Vitasoy Usa Organic Nasoya Sprouted Tofu Plus Super Firm")</f>
        <v>Vitasoy Usa Organic Nasoya Sprouted Tofu Plus Super Firm</v>
      </c>
      <c r="C1607" t="str">
        <f>IFERROR(__xludf.DUMMYFUNCTION("""COMPUTED_VALUE"""),"Beans and Lentils")</f>
        <v>Beans and Lentils</v>
      </c>
      <c r="D1607">
        <f>IFERROR(__xludf.DUMMYFUNCTION("""COMPUTED_VALUE"""),115.0)</f>
        <v>115</v>
      </c>
      <c r="E1607">
        <f>IFERROR(__xludf.DUMMYFUNCTION("""COMPUTED_VALUE"""),5.9)</f>
        <v>5.9</v>
      </c>
      <c r="F1607">
        <f>IFERROR(__xludf.DUMMYFUNCTION("""COMPUTED_VALUE"""),13.24)</f>
        <v>13.24</v>
      </c>
      <c r="G1607">
        <f>IFERROR(__xludf.DUMMYFUNCTION("""COMPUTED_VALUE"""),2.16)</f>
        <v>2.16</v>
      </c>
    </row>
    <row r="1608">
      <c r="A1608">
        <f>IFERROR(__xludf.DUMMYFUNCTION("""COMPUTED_VALUE"""),175235.0)</f>
        <v>175235</v>
      </c>
      <c r="B1608" t="str">
        <f>IFERROR(__xludf.DUMMYFUNCTION("""COMPUTED_VALUE"""),"Vitasoy Usa Azumaya Extra Firm Tofu")</f>
        <v>Vitasoy Usa Azumaya Extra Firm Tofu</v>
      </c>
      <c r="C1608" t="str">
        <f>IFERROR(__xludf.DUMMYFUNCTION("""COMPUTED_VALUE"""),"Beans and Lentils")</f>
        <v>Beans and Lentils</v>
      </c>
      <c r="D1608">
        <f>IFERROR(__xludf.DUMMYFUNCTION("""COMPUTED_VALUE"""),88.0)</f>
        <v>88</v>
      </c>
      <c r="E1608">
        <f>IFERROR(__xludf.DUMMYFUNCTION("""COMPUTED_VALUE"""),4.6)</f>
        <v>4.6</v>
      </c>
      <c r="F1608">
        <f>IFERROR(__xludf.DUMMYFUNCTION("""COMPUTED_VALUE"""),10.07)</f>
        <v>10.07</v>
      </c>
      <c r="G1608">
        <f>IFERROR(__xludf.DUMMYFUNCTION("""COMPUTED_VALUE"""),1.53)</f>
        <v>1.53</v>
      </c>
    </row>
    <row r="1609">
      <c r="A1609">
        <f>IFERROR(__xludf.DUMMYFUNCTION("""COMPUTED_VALUE"""),175236.0)</f>
        <v>175236</v>
      </c>
      <c r="B1609" t="str">
        <f>IFERROR(__xludf.DUMMYFUNCTION("""COMPUTED_VALUE"""),"Vitasoy Usa Azumaya Firm Tofu")</f>
        <v>Vitasoy Usa Azumaya Firm Tofu</v>
      </c>
      <c r="C1609" t="str">
        <f>IFERROR(__xludf.DUMMYFUNCTION("""COMPUTED_VALUE"""),"Beans and Lentils")</f>
        <v>Beans and Lentils</v>
      </c>
      <c r="D1609">
        <f>IFERROR(__xludf.DUMMYFUNCTION("""COMPUTED_VALUE"""),80.0)</f>
        <v>80</v>
      </c>
      <c r="E1609">
        <f>IFERROR(__xludf.DUMMYFUNCTION("""COMPUTED_VALUE"""),4.2)</f>
        <v>4.2</v>
      </c>
      <c r="F1609">
        <f>IFERROR(__xludf.DUMMYFUNCTION("""COMPUTED_VALUE"""),9.08)</f>
        <v>9.08</v>
      </c>
      <c r="G1609">
        <f>IFERROR(__xludf.DUMMYFUNCTION("""COMPUTED_VALUE"""),1.52)</f>
        <v>1.52</v>
      </c>
    </row>
    <row r="1610">
      <c r="A1610">
        <f>IFERROR(__xludf.DUMMYFUNCTION("""COMPUTED_VALUE"""),175237.0)</f>
        <v>175237</v>
      </c>
      <c r="B1610" t="str">
        <f>IFERROR(__xludf.DUMMYFUNCTION("""COMPUTED_VALUE"""),"Beans Black Mature Seeds Cooked Boiled With Salt")</f>
        <v>Beans Black Mature Seeds Cooked Boiled With Salt</v>
      </c>
      <c r="C1610" t="str">
        <f>IFERROR(__xludf.DUMMYFUNCTION("""COMPUTED_VALUE"""),"Beans and Lentils")</f>
        <v>Beans and Lentils</v>
      </c>
      <c r="D1610">
        <f>IFERROR(__xludf.DUMMYFUNCTION("""COMPUTED_VALUE"""),132.0)</f>
        <v>132</v>
      </c>
      <c r="E1610">
        <f>IFERROR(__xludf.DUMMYFUNCTION("""COMPUTED_VALUE"""),0.54)</f>
        <v>0.54</v>
      </c>
      <c r="F1610">
        <f>IFERROR(__xludf.DUMMYFUNCTION("""COMPUTED_VALUE"""),8.86)</f>
        <v>8.86</v>
      </c>
      <c r="G1610">
        <f>IFERROR(__xludf.DUMMYFUNCTION("""COMPUTED_VALUE"""),23.71)</f>
        <v>23.71</v>
      </c>
    </row>
    <row r="1611">
      <c r="A1611">
        <f>IFERROR(__xludf.DUMMYFUNCTION("""COMPUTED_VALUE"""),175238.0)</f>
        <v>175238</v>
      </c>
      <c r="B1611" t="str">
        <f>IFERROR(__xludf.DUMMYFUNCTION("""COMPUTED_VALUE"""),"Beans Black Mature Seeds Canned Low Sodium")</f>
        <v>Beans Black Mature Seeds Canned Low Sodium</v>
      </c>
      <c r="C1611" t="str">
        <f>IFERROR(__xludf.DUMMYFUNCTION("""COMPUTED_VALUE"""),"Beans and Lentils")</f>
        <v>Beans and Lentils</v>
      </c>
      <c r="D1611">
        <f>IFERROR(__xludf.DUMMYFUNCTION("""COMPUTED_VALUE"""),91.0)</f>
        <v>91</v>
      </c>
      <c r="E1611">
        <f>IFERROR(__xludf.DUMMYFUNCTION("""COMPUTED_VALUE"""),0.29)</f>
        <v>0.29</v>
      </c>
      <c r="F1611">
        <f>IFERROR(__xludf.DUMMYFUNCTION("""COMPUTED_VALUE"""),6.03)</f>
        <v>6.03</v>
      </c>
      <c r="G1611">
        <f>IFERROR(__xludf.DUMMYFUNCTION("""COMPUTED_VALUE"""),16.55)</f>
        <v>16.55</v>
      </c>
    </row>
    <row r="1612">
      <c r="A1612">
        <f>IFERROR(__xludf.DUMMYFUNCTION("""COMPUTED_VALUE"""),175239.0)</f>
        <v>175239</v>
      </c>
      <c r="B1612" t="str">
        <f>IFERROR(__xludf.DUMMYFUNCTION("""COMPUTED_VALUE"""),"Beans Black Turtle Mature Seeds Cooked Boiled With Salt")</f>
        <v>Beans Black Turtle Mature Seeds Cooked Boiled With Salt</v>
      </c>
      <c r="C1612" t="str">
        <f>IFERROR(__xludf.DUMMYFUNCTION("""COMPUTED_VALUE"""),"Beans and Lentils")</f>
        <v>Beans and Lentils</v>
      </c>
      <c r="D1612">
        <f>IFERROR(__xludf.DUMMYFUNCTION("""COMPUTED_VALUE"""),130.0)</f>
        <v>130</v>
      </c>
      <c r="E1612">
        <f>IFERROR(__xludf.DUMMYFUNCTION("""COMPUTED_VALUE"""),0.35)</f>
        <v>0.35</v>
      </c>
      <c r="F1612">
        <f>IFERROR(__xludf.DUMMYFUNCTION("""COMPUTED_VALUE"""),8.18)</f>
        <v>8.18</v>
      </c>
      <c r="G1612">
        <f>IFERROR(__xludf.DUMMYFUNCTION("""COMPUTED_VALUE"""),24.35)</f>
        <v>24.35</v>
      </c>
    </row>
    <row r="1613">
      <c r="A1613">
        <f>IFERROR(__xludf.DUMMYFUNCTION("""COMPUTED_VALUE"""),175240.0)</f>
        <v>175240</v>
      </c>
      <c r="B1613" t="str">
        <f>IFERROR(__xludf.DUMMYFUNCTION("""COMPUTED_VALUE"""),"Beans Cranberry (Roman) Mature Seeds Cooked Boiled With Salt")</f>
        <v>Beans Cranberry (Roman) Mature Seeds Cooked Boiled With Salt</v>
      </c>
      <c r="C1613" t="str">
        <f>IFERROR(__xludf.DUMMYFUNCTION("""COMPUTED_VALUE"""),"Beans and Lentils")</f>
        <v>Beans and Lentils</v>
      </c>
      <c r="D1613">
        <f>IFERROR(__xludf.DUMMYFUNCTION("""COMPUTED_VALUE"""),136.0)</f>
        <v>136</v>
      </c>
      <c r="E1613">
        <f>IFERROR(__xludf.DUMMYFUNCTION("""COMPUTED_VALUE"""),0.46)</f>
        <v>0.46</v>
      </c>
      <c r="F1613">
        <f>IFERROR(__xludf.DUMMYFUNCTION("""COMPUTED_VALUE"""),9.34)</f>
        <v>9.34</v>
      </c>
      <c r="G1613">
        <f>IFERROR(__xludf.DUMMYFUNCTION("""COMPUTED_VALUE"""),24.46)</f>
        <v>24.46</v>
      </c>
    </row>
    <row r="1614">
      <c r="A1614">
        <f>IFERROR(__xludf.DUMMYFUNCTION("""COMPUTED_VALUE"""),175241.0)</f>
        <v>175241</v>
      </c>
      <c r="B1614" t="str">
        <f>IFERROR(__xludf.DUMMYFUNCTION("""COMPUTED_VALUE"""),"Beans French Mature Seeds Cooked Boiled With Salt")</f>
        <v>Beans French Mature Seeds Cooked Boiled With Salt</v>
      </c>
      <c r="C1614" t="str">
        <f>IFERROR(__xludf.DUMMYFUNCTION("""COMPUTED_VALUE"""),"Beans and Lentils")</f>
        <v>Beans and Lentils</v>
      </c>
      <c r="D1614">
        <f>IFERROR(__xludf.DUMMYFUNCTION("""COMPUTED_VALUE"""),129.0)</f>
        <v>129</v>
      </c>
      <c r="E1614">
        <f>IFERROR(__xludf.DUMMYFUNCTION("""COMPUTED_VALUE"""),0.76)</f>
        <v>0.76</v>
      </c>
      <c r="F1614">
        <f>IFERROR(__xludf.DUMMYFUNCTION("""COMPUTED_VALUE"""),7.05)</f>
        <v>7.05</v>
      </c>
      <c r="G1614">
        <f>IFERROR(__xludf.DUMMYFUNCTION("""COMPUTED_VALUE"""),24.02)</f>
        <v>24.02</v>
      </c>
    </row>
    <row r="1615">
      <c r="A1615">
        <f>IFERROR(__xludf.DUMMYFUNCTION("""COMPUTED_VALUE"""),175242.0)</f>
        <v>175242</v>
      </c>
      <c r="B1615" t="str">
        <f>IFERROR(__xludf.DUMMYFUNCTION("""COMPUTED_VALUE"""),"Beans Kidney Red Mature Seeds Cooked Boiled With Salt")</f>
        <v>Beans Kidney Red Mature Seeds Cooked Boiled With Salt</v>
      </c>
      <c r="C1615" t="str">
        <f>IFERROR(__xludf.DUMMYFUNCTION("""COMPUTED_VALUE"""),"Beans and Lentils")</f>
        <v>Beans and Lentils</v>
      </c>
      <c r="D1615">
        <f>IFERROR(__xludf.DUMMYFUNCTION("""COMPUTED_VALUE"""),127.0)</f>
        <v>127</v>
      </c>
      <c r="E1615">
        <f>IFERROR(__xludf.DUMMYFUNCTION("""COMPUTED_VALUE"""),0.5)</f>
        <v>0.5</v>
      </c>
      <c r="F1615">
        <f>IFERROR(__xludf.DUMMYFUNCTION("""COMPUTED_VALUE"""),8.67)</f>
        <v>8.67</v>
      </c>
      <c r="G1615">
        <f>IFERROR(__xludf.DUMMYFUNCTION("""COMPUTED_VALUE"""),22.8)</f>
        <v>22.8</v>
      </c>
    </row>
    <row r="1616">
      <c r="A1616">
        <f>IFERROR(__xludf.DUMMYFUNCTION("""COMPUTED_VALUE"""),175243.0)</f>
        <v>175243</v>
      </c>
      <c r="B1616" t="str">
        <f>IFERROR(__xludf.DUMMYFUNCTION("""COMPUTED_VALUE"""),"Beans Kidney Red Mature Seeds Canned Drained Solids Rinsed In Tap Water")</f>
        <v>Beans Kidney Red Mature Seeds Canned Drained Solids Rinsed In Tap Water</v>
      </c>
      <c r="C1616" t="str">
        <f>IFERROR(__xludf.DUMMYFUNCTION("""COMPUTED_VALUE"""),"Beans and Lentils")</f>
        <v>Beans and Lentils</v>
      </c>
      <c r="D1616">
        <f>IFERROR(__xludf.DUMMYFUNCTION("""COMPUTED_VALUE"""),121.0)</f>
        <v>121</v>
      </c>
      <c r="E1616">
        <f>IFERROR(__xludf.DUMMYFUNCTION("""COMPUTED_VALUE"""),0.93)</f>
        <v>0.93</v>
      </c>
      <c r="F1616">
        <f>IFERROR(__xludf.DUMMYFUNCTION("""COMPUTED_VALUE"""),8.12)</f>
        <v>8.12</v>
      </c>
      <c r="G1616">
        <f>IFERROR(__xludf.DUMMYFUNCTION("""COMPUTED_VALUE"""),20.8)</f>
        <v>20.8</v>
      </c>
    </row>
    <row r="1617">
      <c r="A1617">
        <f>IFERROR(__xludf.DUMMYFUNCTION("""COMPUTED_VALUE"""),175244.0)</f>
        <v>175244</v>
      </c>
      <c r="B1617" t="str">
        <f>IFERROR(__xludf.DUMMYFUNCTION("""COMPUTED_VALUE"""),"Beans Kidney Royal Red Mature Seeds Cooked Boiled With Salt")</f>
        <v>Beans Kidney Royal Red Mature Seeds Cooked Boiled With Salt</v>
      </c>
      <c r="C1617" t="str">
        <f>IFERROR(__xludf.DUMMYFUNCTION("""COMPUTED_VALUE"""),"Beans and Lentils")</f>
        <v>Beans and Lentils</v>
      </c>
      <c r="D1617">
        <f>IFERROR(__xludf.DUMMYFUNCTION("""COMPUTED_VALUE"""),123.0)</f>
        <v>123</v>
      </c>
      <c r="E1617">
        <f>IFERROR(__xludf.DUMMYFUNCTION("""COMPUTED_VALUE"""),0.17)</f>
        <v>0.17</v>
      </c>
      <c r="F1617">
        <f>IFERROR(__xludf.DUMMYFUNCTION("""COMPUTED_VALUE"""),9.49)</f>
        <v>9.49</v>
      </c>
      <c r="G1617">
        <f>IFERROR(__xludf.DUMMYFUNCTION("""COMPUTED_VALUE"""),21.85)</f>
        <v>21.85</v>
      </c>
    </row>
    <row r="1618">
      <c r="A1618">
        <f>IFERROR(__xludf.DUMMYFUNCTION("""COMPUTED_VALUE"""),175245.0)</f>
        <v>175245</v>
      </c>
      <c r="B1618" t="str">
        <f>IFERROR(__xludf.DUMMYFUNCTION("""COMPUTED_VALUE"""),"Beans Kidney Red Mature Seeds Canned Solids And Liquid Low Sodium")</f>
        <v>Beans Kidney Red Mature Seeds Canned Solids And Liquid Low Sodium</v>
      </c>
      <c r="C1618" t="str">
        <f>IFERROR(__xludf.DUMMYFUNCTION("""COMPUTED_VALUE"""),"Beans and Lentils")</f>
        <v>Beans and Lentils</v>
      </c>
      <c r="D1618">
        <f>IFERROR(__xludf.DUMMYFUNCTION("""COMPUTED_VALUE"""),81.0)</f>
        <v>81</v>
      </c>
      <c r="E1618">
        <f>IFERROR(__xludf.DUMMYFUNCTION("""COMPUTED_VALUE"""),0.36)</f>
        <v>0.36</v>
      </c>
      <c r="F1618">
        <f>IFERROR(__xludf.DUMMYFUNCTION("""COMPUTED_VALUE"""),5.22)</f>
        <v>5.22</v>
      </c>
      <c r="G1618">
        <f>IFERROR(__xludf.DUMMYFUNCTION("""COMPUTED_VALUE"""),14.83)</f>
        <v>14.83</v>
      </c>
    </row>
    <row r="1619">
      <c r="A1619">
        <f>IFERROR(__xludf.DUMMYFUNCTION("""COMPUTED_VALUE"""),175246.0)</f>
        <v>175246</v>
      </c>
      <c r="B1619" t="str">
        <f>IFERROR(__xludf.DUMMYFUNCTION("""COMPUTED_VALUE"""),"Beans Small White Mature Seeds Cooked Boiled With Salt")</f>
        <v>Beans Small White Mature Seeds Cooked Boiled With Salt</v>
      </c>
      <c r="C1619" t="str">
        <f>IFERROR(__xludf.DUMMYFUNCTION("""COMPUTED_VALUE"""),"Beans and Lentils")</f>
        <v>Beans and Lentils</v>
      </c>
      <c r="D1619">
        <f>IFERROR(__xludf.DUMMYFUNCTION("""COMPUTED_VALUE"""),142.0)</f>
        <v>142</v>
      </c>
      <c r="E1619">
        <f>IFERROR(__xludf.DUMMYFUNCTION("""COMPUTED_VALUE"""),0.64)</f>
        <v>0.64</v>
      </c>
      <c r="F1619">
        <f>IFERROR(__xludf.DUMMYFUNCTION("""COMPUTED_VALUE"""),8.97)</f>
        <v>8.97</v>
      </c>
      <c r="G1619">
        <f>IFERROR(__xludf.DUMMYFUNCTION("""COMPUTED_VALUE"""),25.81)</f>
        <v>25.81</v>
      </c>
    </row>
    <row r="1620">
      <c r="A1620">
        <f>IFERROR(__xludf.DUMMYFUNCTION("""COMPUTED_VALUE"""),175247.0)</f>
        <v>175247</v>
      </c>
      <c r="B1620" t="str">
        <f>IFERROR(__xludf.DUMMYFUNCTION("""COMPUTED_VALUE"""),"Beans Pinto Mature Seeds Canned Solids And Liquids Low Sodium")</f>
        <v>Beans Pinto Mature Seeds Canned Solids And Liquids Low Sodium</v>
      </c>
      <c r="C1620" t="str">
        <f>IFERROR(__xludf.DUMMYFUNCTION("""COMPUTED_VALUE"""),"Beans and Lentils")</f>
        <v>Beans and Lentils</v>
      </c>
      <c r="D1620">
        <f>IFERROR(__xludf.DUMMYFUNCTION("""COMPUTED_VALUE"""),82.0)</f>
        <v>82</v>
      </c>
      <c r="E1620">
        <f>IFERROR(__xludf.DUMMYFUNCTION("""COMPUTED_VALUE"""),0.56)</f>
        <v>0.56</v>
      </c>
      <c r="F1620">
        <f>IFERROR(__xludf.DUMMYFUNCTION("""COMPUTED_VALUE"""),4.6)</f>
        <v>4.6</v>
      </c>
      <c r="G1620">
        <f>IFERROR(__xludf.DUMMYFUNCTION("""COMPUTED_VALUE"""),15.18)</f>
        <v>15.18</v>
      </c>
    </row>
    <row r="1621">
      <c r="A1621">
        <f>IFERROR(__xludf.DUMMYFUNCTION("""COMPUTED_VALUE"""),175248.0)</f>
        <v>175248</v>
      </c>
      <c r="B1621" t="str">
        <f>IFERROR(__xludf.DUMMYFUNCTION("""COMPUTED_VALUE"""),"Beans Yellow Mature Seeds Cooked Boiled With Salt")</f>
        <v>Beans Yellow Mature Seeds Cooked Boiled With Salt</v>
      </c>
      <c r="C1621" t="str">
        <f>IFERROR(__xludf.DUMMYFUNCTION("""COMPUTED_VALUE"""),"Beans and Lentils")</f>
        <v>Beans and Lentils</v>
      </c>
      <c r="D1621">
        <f>IFERROR(__xludf.DUMMYFUNCTION("""COMPUTED_VALUE"""),144.0)</f>
        <v>144</v>
      </c>
      <c r="E1621">
        <f>IFERROR(__xludf.DUMMYFUNCTION("""COMPUTED_VALUE"""),1.08)</f>
        <v>1.08</v>
      </c>
      <c r="F1621">
        <f>IFERROR(__xludf.DUMMYFUNCTION("""COMPUTED_VALUE"""),9.16)</f>
        <v>9.16</v>
      </c>
      <c r="G1621">
        <f>IFERROR(__xludf.DUMMYFUNCTION("""COMPUTED_VALUE"""),25.28)</f>
        <v>25.28</v>
      </c>
    </row>
    <row r="1622">
      <c r="A1622">
        <f>IFERROR(__xludf.DUMMYFUNCTION("""COMPUTED_VALUE"""),175249.0)</f>
        <v>175249</v>
      </c>
      <c r="B1622" t="str">
        <f>IFERROR(__xludf.DUMMYFUNCTION("""COMPUTED_VALUE"""),"Beans White Mature Seeds Cooked Boiled With Salt")</f>
        <v>Beans White Mature Seeds Cooked Boiled With Salt</v>
      </c>
      <c r="C1622" t="str">
        <f>IFERROR(__xludf.DUMMYFUNCTION("""COMPUTED_VALUE"""),"Beans and Lentils")</f>
        <v>Beans and Lentils</v>
      </c>
      <c r="D1622">
        <f>IFERROR(__xludf.DUMMYFUNCTION("""COMPUTED_VALUE"""),139.0)</f>
        <v>139</v>
      </c>
      <c r="E1622">
        <f>IFERROR(__xludf.DUMMYFUNCTION("""COMPUTED_VALUE"""),0.35)</f>
        <v>0.35</v>
      </c>
      <c r="F1622">
        <f>IFERROR(__xludf.DUMMYFUNCTION("""COMPUTED_VALUE"""),9.73)</f>
        <v>9.73</v>
      </c>
      <c r="G1622">
        <f>IFERROR(__xludf.DUMMYFUNCTION("""COMPUTED_VALUE"""),25.09)</f>
        <v>25.09</v>
      </c>
    </row>
    <row r="1623">
      <c r="A1623">
        <f>IFERROR(__xludf.DUMMYFUNCTION("""COMPUTED_VALUE"""),175250.0)</f>
        <v>175250</v>
      </c>
      <c r="B1623" t="str">
        <f>IFERROR(__xludf.DUMMYFUNCTION("""COMPUTED_VALUE"""),"Chickpeas (Garbanzo Beans Bengal Gram) Mature Seeds Canned Solids And Liquids Low Sodium")</f>
        <v>Chickpeas (Garbanzo Beans Bengal Gram) Mature Seeds Canned Solids And Liquids Low Sodium</v>
      </c>
      <c r="C1623" t="str">
        <f>IFERROR(__xludf.DUMMYFUNCTION("""COMPUTED_VALUE"""),"Beans and Lentils")</f>
        <v>Beans and Lentils</v>
      </c>
      <c r="D1623">
        <f>IFERROR(__xludf.DUMMYFUNCTION("""COMPUTED_VALUE"""),88.0)</f>
        <v>88</v>
      </c>
      <c r="E1623">
        <f>IFERROR(__xludf.DUMMYFUNCTION("""COMPUTED_VALUE"""),1.95)</f>
        <v>1.95</v>
      </c>
      <c r="F1623">
        <f>IFERROR(__xludf.DUMMYFUNCTION("""COMPUTED_VALUE"""),4.92)</f>
        <v>4.92</v>
      </c>
      <c r="G1623">
        <f>IFERROR(__xludf.DUMMYFUNCTION("""COMPUTED_VALUE"""),13.49)</f>
        <v>13.49</v>
      </c>
    </row>
    <row r="1624">
      <c r="A1624">
        <f>IFERROR(__xludf.DUMMYFUNCTION("""COMPUTED_VALUE"""),175251.0)</f>
        <v>175251</v>
      </c>
      <c r="B1624" t="str">
        <f>IFERROR(__xludf.DUMMYFUNCTION("""COMPUTED_VALUE"""),"Cowpeas Catjang Mature Seeds Cooked Boiled With Salt")</f>
        <v>Cowpeas Catjang Mature Seeds Cooked Boiled With Salt</v>
      </c>
      <c r="C1624" t="str">
        <f>IFERROR(__xludf.DUMMYFUNCTION("""COMPUTED_VALUE"""),"Beans and Lentils")</f>
        <v>Beans and Lentils</v>
      </c>
      <c r="D1624">
        <f>IFERROR(__xludf.DUMMYFUNCTION("""COMPUTED_VALUE"""),117.0)</f>
        <v>117</v>
      </c>
      <c r="E1624">
        <f>IFERROR(__xludf.DUMMYFUNCTION("""COMPUTED_VALUE"""),0.71)</f>
        <v>0.71</v>
      </c>
      <c r="F1624">
        <f>IFERROR(__xludf.DUMMYFUNCTION("""COMPUTED_VALUE"""),8.13)</f>
        <v>8.13</v>
      </c>
      <c r="G1624">
        <f>IFERROR(__xludf.DUMMYFUNCTION("""COMPUTED_VALUE"""),20.32)</f>
        <v>20.32</v>
      </c>
    </row>
    <row r="1625">
      <c r="A1625">
        <f>IFERROR(__xludf.DUMMYFUNCTION("""COMPUTED_VALUE"""),175252.0)</f>
        <v>175252</v>
      </c>
      <c r="B1625" t="str">
        <f>IFERROR(__xludf.DUMMYFUNCTION("""COMPUTED_VALUE"""),"Cowpeas Common (Blackeyes Crowder Southern) Mature Seeds Cooked Boiled With Salt")</f>
        <v>Cowpeas Common (Blackeyes Crowder Southern) Mature Seeds Cooked Boiled With Salt</v>
      </c>
      <c r="C1625" t="str">
        <f>IFERROR(__xludf.DUMMYFUNCTION("""COMPUTED_VALUE"""),"Beans and Lentils")</f>
        <v>Beans and Lentils</v>
      </c>
      <c r="D1625">
        <f>IFERROR(__xludf.DUMMYFUNCTION("""COMPUTED_VALUE"""),116.0)</f>
        <v>116</v>
      </c>
      <c r="E1625">
        <f>IFERROR(__xludf.DUMMYFUNCTION("""COMPUTED_VALUE"""),0.53)</f>
        <v>0.53</v>
      </c>
      <c r="F1625">
        <f>IFERROR(__xludf.DUMMYFUNCTION("""COMPUTED_VALUE"""),7.73)</f>
        <v>7.73</v>
      </c>
      <c r="G1625">
        <f>IFERROR(__xludf.DUMMYFUNCTION("""COMPUTED_VALUE"""),20.76)</f>
        <v>20.76</v>
      </c>
    </row>
    <row r="1626">
      <c r="A1626">
        <f>IFERROR(__xludf.DUMMYFUNCTION("""COMPUTED_VALUE"""),175253.0)</f>
        <v>175253</v>
      </c>
      <c r="B1626" t="str">
        <f>IFERROR(__xludf.DUMMYFUNCTION("""COMPUTED_VALUE"""),"Hyacinth Beans Mature Seeds Cooked Boiled With Salt")</f>
        <v>Hyacinth Beans Mature Seeds Cooked Boiled With Salt</v>
      </c>
      <c r="C1626" t="str">
        <f>IFERROR(__xludf.DUMMYFUNCTION("""COMPUTED_VALUE"""),"Beans and Lentils")</f>
        <v>Beans and Lentils</v>
      </c>
      <c r="D1626">
        <f>IFERROR(__xludf.DUMMYFUNCTION("""COMPUTED_VALUE"""),117.0)</f>
        <v>117</v>
      </c>
      <c r="E1626">
        <f>IFERROR(__xludf.DUMMYFUNCTION("""COMPUTED_VALUE"""),0.58)</f>
        <v>0.58</v>
      </c>
      <c r="F1626">
        <f>IFERROR(__xludf.DUMMYFUNCTION("""COMPUTED_VALUE"""),8.14)</f>
        <v>8.14</v>
      </c>
      <c r="G1626">
        <f>IFERROR(__xludf.DUMMYFUNCTION("""COMPUTED_VALUE"""),20.7)</f>
        <v>20.7</v>
      </c>
    </row>
    <row r="1627">
      <c r="A1627">
        <f>IFERROR(__xludf.DUMMYFUNCTION("""COMPUTED_VALUE"""),175254.0)</f>
        <v>175254</v>
      </c>
      <c r="B1627" t="str">
        <f>IFERROR(__xludf.DUMMYFUNCTION("""COMPUTED_VALUE"""),"Lentils Mature Seeds Cooked Boiled With Salt")</f>
        <v>Lentils Mature Seeds Cooked Boiled With Salt</v>
      </c>
      <c r="C1627" t="str">
        <f>IFERROR(__xludf.DUMMYFUNCTION("""COMPUTED_VALUE"""),"Beans and Lentils")</f>
        <v>Beans and Lentils</v>
      </c>
      <c r="D1627">
        <f>IFERROR(__xludf.DUMMYFUNCTION("""COMPUTED_VALUE"""),114.0)</f>
        <v>114</v>
      </c>
      <c r="E1627">
        <f>IFERROR(__xludf.DUMMYFUNCTION("""COMPUTED_VALUE"""),0.38)</f>
        <v>0.38</v>
      </c>
      <c r="F1627">
        <f>IFERROR(__xludf.DUMMYFUNCTION("""COMPUTED_VALUE"""),9.02)</f>
        <v>9.02</v>
      </c>
      <c r="G1627">
        <f>IFERROR(__xludf.DUMMYFUNCTION("""COMPUTED_VALUE"""),19.54)</f>
        <v>19.54</v>
      </c>
    </row>
    <row r="1628">
      <c r="A1628">
        <f>IFERROR(__xludf.DUMMYFUNCTION("""COMPUTED_VALUE"""),175255.0)</f>
        <v>175255</v>
      </c>
      <c r="B1628" t="str">
        <f>IFERROR(__xludf.DUMMYFUNCTION("""COMPUTED_VALUE"""),"Mung Beans Mature Seeds Cooked Boiled With Salt")</f>
        <v>Mung Beans Mature Seeds Cooked Boiled With Salt</v>
      </c>
      <c r="C1628" t="str">
        <f>IFERROR(__xludf.DUMMYFUNCTION("""COMPUTED_VALUE"""),"Beans and Lentils")</f>
        <v>Beans and Lentils</v>
      </c>
      <c r="D1628">
        <f>IFERROR(__xludf.DUMMYFUNCTION("""COMPUTED_VALUE"""),105.0)</f>
        <v>105</v>
      </c>
      <c r="E1628">
        <f>IFERROR(__xludf.DUMMYFUNCTION("""COMPUTED_VALUE"""),0.38)</f>
        <v>0.38</v>
      </c>
      <c r="F1628">
        <f>IFERROR(__xludf.DUMMYFUNCTION("""COMPUTED_VALUE"""),7.02)</f>
        <v>7.02</v>
      </c>
      <c r="G1628">
        <f>IFERROR(__xludf.DUMMYFUNCTION("""COMPUTED_VALUE"""),19.15)</f>
        <v>19.15</v>
      </c>
    </row>
    <row r="1629">
      <c r="A1629">
        <f>IFERROR(__xludf.DUMMYFUNCTION("""COMPUTED_VALUE"""),175256.0)</f>
        <v>175256</v>
      </c>
      <c r="B1629" t="str">
        <f>IFERROR(__xludf.DUMMYFUNCTION("""COMPUTED_VALUE"""),"Mungo Beans Mature Seeds Cooked Boiled With Salt")</f>
        <v>Mungo Beans Mature Seeds Cooked Boiled With Salt</v>
      </c>
      <c r="C1629" t="str">
        <f>IFERROR(__xludf.DUMMYFUNCTION("""COMPUTED_VALUE"""),"Beans and Lentils")</f>
        <v>Beans and Lentils</v>
      </c>
      <c r="D1629">
        <f>IFERROR(__xludf.DUMMYFUNCTION("""COMPUTED_VALUE"""),105.0)</f>
        <v>105</v>
      </c>
      <c r="E1629">
        <f>IFERROR(__xludf.DUMMYFUNCTION("""COMPUTED_VALUE"""),0.55)</f>
        <v>0.55</v>
      </c>
      <c r="F1629">
        <f>IFERROR(__xludf.DUMMYFUNCTION("""COMPUTED_VALUE"""),7.54)</f>
        <v>7.54</v>
      </c>
      <c r="G1629">
        <f>IFERROR(__xludf.DUMMYFUNCTION("""COMPUTED_VALUE"""),18.34)</f>
        <v>18.34</v>
      </c>
    </row>
    <row r="1630">
      <c r="A1630">
        <f>IFERROR(__xludf.DUMMYFUNCTION("""COMPUTED_VALUE"""),175257.0)</f>
        <v>175257</v>
      </c>
      <c r="B1630" t="str">
        <f>IFERROR(__xludf.DUMMYFUNCTION("""COMPUTED_VALUE"""),"Peas Split Mature Seeds Cooked Boiled With Salt")</f>
        <v>Peas Split Mature Seeds Cooked Boiled With Salt</v>
      </c>
      <c r="C1630" t="str">
        <f>IFERROR(__xludf.DUMMYFUNCTION("""COMPUTED_VALUE"""),"Beans and Lentils")</f>
        <v>Beans and Lentils</v>
      </c>
      <c r="D1630">
        <f>IFERROR(__xludf.DUMMYFUNCTION("""COMPUTED_VALUE"""),116.0)</f>
        <v>116</v>
      </c>
      <c r="E1630">
        <f>IFERROR(__xludf.DUMMYFUNCTION("""COMPUTED_VALUE"""),0.39)</f>
        <v>0.39</v>
      </c>
      <c r="F1630">
        <f>IFERROR(__xludf.DUMMYFUNCTION("""COMPUTED_VALUE"""),8.34)</f>
        <v>8.34</v>
      </c>
      <c r="G1630">
        <f>IFERROR(__xludf.DUMMYFUNCTION("""COMPUTED_VALUE"""),20.51)</f>
        <v>20.51</v>
      </c>
    </row>
    <row r="1631">
      <c r="A1631">
        <f>IFERROR(__xludf.DUMMYFUNCTION("""COMPUTED_VALUE"""),175258.0)</f>
        <v>175258</v>
      </c>
      <c r="B1631" t="str">
        <f>IFERROR(__xludf.DUMMYFUNCTION("""COMPUTED_VALUE"""),"Peanuts All Types Oil-Roasted Without Salt")</f>
        <v>Peanuts All Types Oil-Roasted Without Salt</v>
      </c>
      <c r="C1631" t="str">
        <f>IFERROR(__xludf.DUMMYFUNCTION("""COMPUTED_VALUE"""),"Beans and Lentils")</f>
        <v>Beans and Lentils</v>
      </c>
      <c r="D1631">
        <f>IFERROR(__xludf.DUMMYFUNCTION("""COMPUTED_VALUE"""),599.0)</f>
        <v>599</v>
      </c>
      <c r="E1631">
        <f>IFERROR(__xludf.DUMMYFUNCTION("""COMPUTED_VALUE"""),52.5)</f>
        <v>52.5</v>
      </c>
      <c r="F1631">
        <f>IFERROR(__xludf.DUMMYFUNCTION("""COMPUTED_VALUE"""),28.03)</f>
        <v>28.03</v>
      </c>
      <c r="G1631">
        <f>IFERROR(__xludf.DUMMYFUNCTION("""COMPUTED_VALUE"""),15.26)</f>
        <v>15.26</v>
      </c>
    </row>
    <row r="1632">
      <c r="A1632">
        <f>IFERROR(__xludf.DUMMYFUNCTION("""COMPUTED_VALUE"""),781807.0)</f>
        <v>781807</v>
      </c>
      <c r="B1632" t="str">
        <f>IFERROR(__xludf.DUMMYFUNCTION("""COMPUTED_VALUE"""),"Mozzarella Cheese Tomato And Basil With Oil And Vinegar Dressing")</f>
        <v>Mozzarella Cheese Tomato And Basil With Oil And Vinegar Dressing</v>
      </c>
      <c r="C1632" t="str">
        <f>IFERROR(__xludf.DUMMYFUNCTION("""COMPUTED_VALUE"""),"Vegetables")</f>
        <v>Vegetables</v>
      </c>
      <c r="D1632">
        <f>IFERROR(__xludf.DUMMYFUNCTION("""COMPUTED_VALUE"""),139.0)</f>
        <v>139</v>
      </c>
      <c r="E1632">
        <f>IFERROR(__xludf.DUMMYFUNCTION("""COMPUTED_VALUE"""),10.7)</f>
        <v>10.7</v>
      </c>
      <c r="F1632">
        <f>IFERROR(__xludf.DUMMYFUNCTION("""COMPUTED_VALUE"""),7.18)</f>
        <v>7.18</v>
      </c>
      <c r="G1632">
        <f>IFERROR(__xludf.DUMMYFUNCTION("""COMPUTED_VALUE"""),4.18)</f>
        <v>4.18</v>
      </c>
    </row>
    <row r="1633">
      <c r="A1633">
        <f>IFERROR(__xludf.DUMMYFUNCTION("""COMPUTED_VALUE"""),783283.0)</f>
        <v>783283</v>
      </c>
      <c r="B1633" t="str">
        <f>IFERROR(__xludf.DUMMYFUNCTION("""COMPUTED_VALUE"""),"Greens With Ham Or Pork")</f>
        <v>Greens With Ham Or Pork</v>
      </c>
      <c r="C1633" t="str">
        <f>IFERROR(__xludf.DUMMYFUNCTION("""COMPUTED_VALUE"""),"Vegetables")</f>
        <v>Vegetables</v>
      </c>
      <c r="D1633">
        <f>IFERROR(__xludf.DUMMYFUNCTION("""COMPUTED_VALUE"""),47.0)</f>
        <v>47</v>
      </c>
      <c r="E1633">
        <f>IFERROR(__xludf.DUMMYFUNCTION("""COMPUTED_VALUE"""),1.43)</f>
        <v>1.43</v>
      </c>
      <c r="F1633">
        <f>IFERROR(__xludf.DUMMYFUNCTION("""COMPUTED_VALUE"""),4.76)</f>
        <v>4.76</v>
      </c>
      <c r="G1633">
        <f>IFERROR(__xludf.DUMMYFUNCTION("""COMPUTED_VALUE"""),5.08)</f>
        <v>5.08</v>
      </c>
    </row>
    <row r="1634">
      <c r="A1634">
        <f>IFERROR(__xludf.DUMMYFUNCTION("""COMPUTED_VALUE"""),783803.0)</f>
        <v>783803</v>
      </c>
      <c r="B1634" t="str">
        <f>IFERROR(__xludf.DUMMYFUNCTION("""COMPUTED_VALUE"""),"Stuffed Green Pepper Frozen Meal")</f>
        <v>Stuffed Green Pepper Frozen Meal</v>
      </c>
      <c r="C1634" t="str">
        <f>IFERROR(__xludf.DUMMYFUNCTION("""COMPUTED_VALUE"""),"Vegetables")</f>
        <v>Vegetables</v>
      </c>
      <c r="D1634">
        <f>IFERROR(__xludf.DUMMYFUNCTION("""COMPUTED_VALUE"""),94.0)</f>
        <v>94</v>
      </c>
      <c r="E1634">
        <f>IFERROR(__xludf.DUMMYFUNCTION("""COMPUTED_VALUE"""),4.38)</f>
        <v>4.38</v>
      </c>
      <c r="F1634">
        <f>IFERROR(__xludf.DUMMYFUNCTION("""COMPUTED_VALUE"""),4.88)</f>
        <v>4.88</v>
      </c>
      <c r="G1634">
        <f>IFERROR(__xludf.DUMMYFUNCTION("""COMPUTED_VALUE"""),9.27)</f>
        <v>9.27</v>
      </c>
    </row>
    <row r="1635">
      <c r="A1635">
        <f>IFERROR(__xludf.DUMMYFUNCTION("""COMPUTED_VALUE"""),783938.0)</f>
        <v>783938</v>
      </c>
      <c r="B1635" t="str">
        <f>IFERROR(__xludf.DUMMYFUNCTION("""COMPUTED_VALUE"""),"Egg Curry")</f>
        <v>Egg Curry</v>
      </c>
      <c r="C1635" t="str">
        <f>IFERROR(__xludf.DUMMYFUNCTION("""COMPUTED_VALUE"""),"Vegetables")</f>
        <v>Vegetables</v>
      </c>
      <c r="D1635">
        <f>IFERROR(__xludf.DUMMYFUNCTION("""COMPUTED_VALUE"""),78.0)</f>
        <v>78</v>
      </c>
      <c r="E1635">
        <f>IFERROR(__xludf.DUMMYFUNCTION("""COMPUTED_VALUE"""),4.3)</f>
        <v>4.3</v>
      </c>
      <c r="F1635">
        <f>IFERROR(__xludf.DUMMYFUNCTION("""COMPUTED_VALUE"""),3.33)</f>
        <v>3.33</v>
      </c>
      <c r="G1635">
        <f>IFERROR(__xludf.DUMMYFUNCTION("""COMPUTED_VALUE"""),7.09)</f>
        <v>7.09</v>
      </c>
    </row>
    <row r="1636">
      <c r="A1636">
        <f>IFERROR(__xludf.DUMMYFUNCTION("""COMPUTED_VALUE"""),784133.0)</f>
        <v>784133</v>
      </c>
      <c r="B1636" t="str">
        <f>IFERROR(__xludf.DUMMYFUNCTION("""COMPUTED_VALUE"""),"Beans Dry Cooked Ns As To Type And As To Fat Added In Cooking")</f>
        <v>Beans Dry Cooked Ns As To Type And As To Fat Added In Cooking</v>
      </c>
      <c r="C1636" t="str">
        <f>IFERROR(__xludf.DUMMYFUNCTION("""COMPUTED_VALUE"""),"Beans and Lentils")</f>
        <v>Beans and Lentils</v>
      </c>
      <c r="D1636">
        <f>IFERROR(__xludf.DUMMYFUNCTION("""COMPUTED_VALUE"""),197.0)</f>
        <v>197</v>
      </c>
      <c r="E1636">
        <f>IFERROR(__xludf.DUMMYFUNCTION("""COMPUTED_VALUE"""),7.94)</f>
        <v>7.94</v>
      </c>
      <c r="F1636">
        <f>IFERROR(__xludf.DUMMYFUNCTION("""COMPUTED_VALUE"""),8.3)</f>
        <v>8.3</v>
      </c>
      <c r="G1636">
        <f>IFERROR(__xludf.DUMMYFUNCTION("""COMPUTED_VALUE"""),24.15)</f>
        <v>24.15</v>
      </c>
    </row>
    <row r="1637">
      <c r="A1637">
        <f>IFERROR(__xludf.DUMMYFUNCTION("""COMPUTED_VALUE"""),784134.0)</f>
        <v>784134</v>
      </c>
      <c r="B1637" t="str">
        <f>IFERROR(__xludf.DUMMYFUNCTION("""COMPUTED_VALUE"""),"Beans Dry Cooked Ns As To Type Fat Added In Cooking")</f>
        <v>Beans Dry Cooked Ns As To Type Fat Added In Cooking</v>
      </c>
      <c r="C1637" t="str">
        <f>IFERROR(__xludf.DUMMYFUNCTION("""COMPUTED_VALUE"""),"Beans and Lentils")</f>
        <v>Beans and Lentils</v>
      </c>
      <c r="D1637">
        <f>IFERROR(__xludf.DUMMYFUNCTION("""COMPUTED_VALUE"""),197.0)</f>
        <v>197</v>
      </c>
      <c r="E1637">
        <f>IFERROR(__xludf.DUMMYFUNCTION("""COMPUTED_VALUE"""),7.94)</f>
        <v>7.94</v>
      </c>
      <c r="F1637">
        <f>IFERROR(__xludf.DUMMYFUNCTION("""COMPUTED_VALUE"""),8.3)</f>
        <v>8.3</v>
      </c>
      <c r="G1637">
        <f>IFERROR(__xludf.DUMMYFUNCTION("""COMPUTED_VALUE"""),24.15)</f>
        <v>24.15</v>
      </c>
    </row>
    <row r="1638">
      <c r="A1638">
        <f>IFERROR(__xludf.DUMMYFUNCTION("""COMPUTED_VALUE"""),784135.0)</f>
        <v>784135</v>
      </c>
      <c r="B1638" t="str">
        <f>IFERROR(__xludf.DUMMYFUNCTION("""COMPUTED_VALUE"""),"Beans Dry Cooked Ns As To Type Fat Not Added In Cooking")</f>
        <v>Beans Dry Cooked Ns As To Type Fat Not Added In Cooking</v>
      </c>
      <c r="C1638" t="str">
        <f>IFERROR(__xludf.DUMMYFUNCTION("""COMPUTED_VALUE"""),"Beans and Lentils")</f>
        <v>Beans and Lentils</v>
      </c>
      <c r="D1638">
        <f>IFERROR(__xludf.DUMMYFUNCTION("""COMPUTED_VALUE"""),142.0)</f>
        <v>142</v>
      </c>
      <c r="E1638">
        <f>IFERROR(__xludf.DUMMYFUNCTION("""COMPUTED_VALUE"""),0.65)</f>
        <v>0.65</v>
      </c>
      <c r="F1638">
        <f>IFERROR(__xludf.DUMMYFUNCTION("""COMPUTED_VALUE"""),8.96)</f>
        <v>8.96</v>
      </c>
      <c r="G1638">
        <f>IFERROR(__xludf.DUMMYFUNCTION("""COMPUTED_VALUE"""),26.07)</f>
        <v>26.07</v>
      </c>
    </row>
    <row r="1639">
      <c r="A1639">
        <f>IFERROR(__xludf.DUMMYFUNCTION("""COMPUTED_VALUE"""),784136.0)</f>
        <v>784136</v>
      </c>
      <c r="B1639" t="str">
        <f>IFERROR(__xludf.DUMMYFUNCTION("""COMPUTED_VALUE"""),"Beans Canned Drained Ns As To Type And As To Fat Added In Cooking")</f>
        <v>Beans Canned Drained Ns As To Type And As To Fat Added In Cooking</v>
      </c>
      <c r="C1639" t="str">
        <f>IFERROR(__xludf.DUMMYFUNCTION("""COMPUTED_VALUE"""),"Beans and Lentils")</f>
        <v>Beans and Lentils</v>
      </c>
      <c r="D1639">
        <f>IFERROR(__xludf.DUMMYFUNCTION("""COMPUTED_VALUE"""),189.0)</f>
        <v>189</v>
      </c>
      <c r="E1639">
        <f>IFERROR(__xludf.DUMMYFUNCTION("""COMPUTED_VALUE"""),7.9)</f>
        <v>7.9</v>
      </c>
      <c r="F1639">
        <f>IFERROR(__xludf.DUMMYFUNCTION("""COMPUTED_VALUE"""),7.12)</f>
        <v>7.12</v>
      </c>
      <c r="G1639">
        <f>IFERROR(__xludf.DUMMYFUNCTION("""COMPUTED_VALUE"""),23.49)</f>
        <v>23.49</v>
      </c>
    </row>
    <row r="1640">
      <c r="A1640">
        <f>IFERROR(__xludf.DUMMYFUNCTION("""COMPUTED_VALUE"""),784137.0)</f>
        <v>784137</v>
      </c>
      <c r="B1640" t="str">
        <f>IFERROR(__xludf.DUMMYFUNCTION("""COMPUTED_VALUE"""),"Beans Canned Drained Ns As To Type Fat Added In Cooking")</f>
        <v>Beans Canned Drained Ns As To Type Fat Added In Cooking</v>
      </c>
      <c r="C1640" t="str">
        <f>IFERROR(__xludf.DUMMYFUNCTION("""COMPUTED_VALUE"""),"Beans and Lentils")</f>
        <v>Beans and Lentils</v>
      </c>
      <c r="D1640">
        <f>IFERROR(__xludf.DUMMYFUNCTION("""COMPUTED_VALUE"""),189.0)</f>
        <v>189</v>
      </c>
      <c r="E1640">
        <f>IFERROR(__xludf.DUMMYFUNCTION("""COMPUTED_VALUE"""),7.9)</f>
        <v>7.9</v>
      </c>
      <c r="F1640">
        <f>IFERROR(__xludf.DUMMYFUNCTION("""COMPUTED_VALUE"""),7.12)</f>
        <v>7.12</v>
      </c>
      <c r="G1640">
        <f>IFERROR(__xludf.DUMMYFUNCTION("""COMPUTED_VALUE"""),23.49)</f>
        <v>23.49</v>
      </c>
    </row>
    <row r="1641">
      <c r="A1641">
        <f>IFERROR(__xludf.DUMMYFUNCTION("""COMPUTED_VALUE"""),784138.0)</f>
        <v>784138</v>
      </c>
      <c r="B1641" t="str">
        <f>IFERROR(__xludf.DUMMYFUNCTION("""COMPUTED_VALUE"""),"Beans Canned Drained Ns As To Type Fat Not Added In Cooking")</f>
        <v>Beans Canned Drained Ns As To Type Fat Not Added In Cooking</v>
      </c>
      <c r="C1641" t="str">
        <f>IFERROR(__xludf.DUMMYFUNCTION("""COMPUTED_VALUE"""),"Beans and Lentils")</f>
        <v>Beans and Lentils</v>
      </c>
      <c r="D1641">
        <f>IFERROR(__xludf.DUMMYFUNCTION("""COMPUTED_VALUE"""),137.0)</f>
        <v>137</v>
      </c>
      <c r="E1641">
        <f>IFERROR(__xludf.DUMMYFUNCTION("""COMPUTED_VALUE"""),0.93)</f>
        <v>0.93</v>
      </c>
      <c r="F1641">
        <f>IFERROR(__xludf.DUMMYFUNCTION("""COMPUTED_VALUE"""),7.66)</f>
        <v>7.66</v>
      </c>
      <c r="G1641">
        <f>IFERROR(__xludf.DUMMYFUNCTION("""COMPUTED_VALUE"""),25.27)</f>
        <v>25.27</v>
      </c>
    </row>
    <row r="1642">
      <c r="A1642">
        <f>IFERROR(__xludf.DUMMYFUNCTION("""COMPUTED_VALUE"""),784139.0)</f>
        <v>784139</v>
      </c>
      <c r="B1642" t="str">
        <f>IFERROR(__xludf.DUMMYFUNCTION("""COMPUTED_VALUE"""),"White Beans Dry Cooked Ns As To Fat Added In Cooking")</f>
        <v>White Beans Dry Cooked Ns As To Fat Added In Cooking</v>
      </c>
      <c r="C1642" t="str">
        <f>IFERROR(__xludf.DUMMYFUNCTION("""COMPUTED_VALUE"""),"Beans and Lentils")</f>
        <v>Beans and Lentils</v>
      </c>
      <c r="D1642">
        <f>IFERROR(__xludf.DUMMYFUNCTION("""COMPUTED_VALUE"""),191.0)</f>
        <v>191</v>
      </c>
      <c r="E1642">
        <f>IFERROR(__xludf.DUMMYFUNCTION("""COMPUTED_VALUE"""),7.36)</f>
        <v>7.36</v>
      </c>
      <c r="F1642">
        <f>IFERROR(__xludf.DUMMYFUNCTION("""COMPUTED_VALUE"""),8.99)</f>
        <v>8.99</v>
      </c>
      <c r="G1642">
        <f>IFERROR(__xludf.DUMMYFUNCTION("""COMPUTED_VALUE"""),23.2)</f>
        <v>23.2</v>
      </c>
    </row>
    <row r="1643">
      <c r="A1643">
        <f>IFERROR(__xludf.DUMMYFUNCTION("""COMPUTED_VALUE"""),784140.0)</f>
        <v>784140</v>
      </c>
      <c r="B1643" t="str">
        <f>IFERROR(__xludf.DUMMYFUNCTION("""COMPUTED_VALUE"""),"White Beans Dry Cooked Fat Added In Cooking Ns As To Type Of Fat")</f>
        <v>White Beans Dry Cooked Fat Added In Cooking Ns As To Type Of Fat</v>
      </c>
      <c r="C1643" t="str">
        <f>IFERROR(__xludf.DUMMYFUNCTION("""COMPUTED_VALUE"""),"Beans and Lentils")</f>
        <v>Beans and Lentils</v>
      </c>
      <c r="D1643">
        <f>IFERROR(__xludf.DUMMYFUNCTION("""COMPUTED_VALUE"""),191.0)</f>
        <v>191</v>
      </c>
      <c r="E1643">
        <f>IFERROR(__xludf.DUMMYFUNCTION("""COMPUTED_VALUE"""),7.36)</f>
        <v>7.36</v>
      </c>
      <c r="F1643">
        <f>IFERROR(__xludf.DUMMYFUNCTION("""COMPUTED_VALUE"""),8.99)</f>
        <v>8.99</v>
      </c>
      <c r="G1643">
        <f>IFERROR(__xludf.DUMMYFUNCTION("""COMPUTED_VALUE"""),23.2)</f>
        <v>23.2</v>
      </c>
    </row>
    <row r="1644">
      <c r="A1644">
        <f>IFERROR(__xludf.DUMMYFUNCTION("""COMPUTED_VALUE"""),784141.0)</f>
        <v>784141</v>
      </c>
      <c r="B1644" t="str">
        <f>IFERROR(__xludf.DUMMYFUNCTION("""COMPUTED_VALUE"""),"White Beans Dry Cooked Made With Oil")</f>
        <v>White Beans Dry Cooked Made With Oil</v>
      </c>
      <c r="C1644" t="str">
        <f>IFERROR(__xludf.DUMMYFUNCTION("""COMPUTED_VALUE"""),"Beans and Lentils")</f>
        <v>Beans and Lentils</v>
      </c>
      <c r="D1644">
        <f>IFERROR(__xludf.DUMMYFUNCTION("""COMPUTED_VALUE"""),191.0)</f>
        <v>191</v>
      </c>
      <c r="E1644">
        <f>IFERROR(__xludf.DUMMYFUNCTION("""COMPUTED_VALUE"""),7.36)</f>
        <v>7.36</v>
      </c>
      <c r="F1644">
        <f>IFERROR(__xludf.DUMMYFUNCTION("""COMPUTED_VALUE"""),8.99)</f>
        <v>8.99</v>
      </c>
      <c r="G1644">
        <f>IFERROR(__xludf.DUMMYFUNCTION("""COMPUTED_VALUE"""),23.2)</f>
        <v>23.2</v>
      </c>
    </row>
    <row r="1645">
      <c r="A1645">
        <f>IFERROR(__xludf.DUMMYFUNCTION("""COMPUTED_VALUE"""),784142.0)</f>
        <v>784142</v>
      </c>
      <c r="B1645" t="str">
        <f>IFERROR(__xludf.DUMMYFUNCTION("""COMPUTED_VALUE"""),"White Beans Dry Cooked Made With Animal Fat Or Meat Drippings")</f>
        <v>White Beans Dry Cooked Made With Animal Fat Or Meat Drippings</v>
      </c>
      <c r="C1645" t="str">
        <f>IFERROR(__xludf.DUMMYFUNCTION("""COMPUTED_VALUE"""),"Beans and Lentils")</f>
        <v>Beans and Lentils</v>
      </c>
      <c r="D1645">
        <f>IFERROR(__xludf.DUMMYFUNCTION("""COMPUTED_VALUE"""),185.0)</f>
        <v>185</v>
      </c>
      <c r="E1645">
        <f>IFERROR(__xludf.DUMMYFUNCTION("""COMPUTED_VALUE"""),6.45)</f>
        <v>6.45</v>
      </c>
      <c r="F1645">
        <f>IFERROR(__xludf.DUMMYFUNCTION("""COMPUTED_VALUE"""),9.18)</f>
        <v>9.18</v>
      </c>
      <c r="G1645">
        <f>IFERROR(__xludf.DUMMYFUNCTION("""COMPUTED_VALUE"""),23.29)</f>
        <v>23.29</v>
      </c>
    </row>
    <row r="1646">
      <c r="A1646">
        <f>IFERROR(__xludf.DUMMYFUNCTION("""COMPUTED_VALUE"""),784143.0)</f>
        <v>784143</v>
      </c>
      <c r="B1646" t="str">
        <f>IFERROR(__xludf.DUMMYFUNCTION("""COMPUTED_VALUE"""),"White Beans Dry Cooked Made With Margarine")</f>
        <v>White Beans Dry Cooked Made With Margarine</v>
      </c>
      <c r="C1646" t="str">
        <f>IFERROR(__xludf.DUMMYFUNCTION("""COMPUTED_VALUE"""),"Beans and Lentils")</f>
        <v>Beans and Lentils</v>
      </c>
      <c r="D1646">
        <f>IFERROR(__xludf.DUMMYFUNCTION("""COMPUTED_VALUE"""),167.0)</f>
        <v>167</v>
      </c>
      <c r="E1646">
        <f>IFERROR(__xludf.DUMMYFUNCTION("""COMPUTED_VALUE"""),4.73)</f>
        <v>4.73</v>
      </c>
      <c r="F1646">
        <f>IFERROR(__xludf.DUMMYFUNCTION("""COMPUTED_VALUE"""),8.98)</f>
        <v>8.98</v>
      </c>
      <c r="G1646">
        <f>IFERROR(__xludf.DUMMYFUNCTION("""COMPUTED_VALUE"""),23.18)</f>
        <v>23.18</v>
      </c>
    </row>
    <row r="1647">
      <c r="A1647">
        <f>IFERROR(__xludf.DUMMYFUNCTION("""COMPUTED_VALUE"""),784144.0)</f>
        <v>784144</v>
      </c>
      <c r="B1647" t="str">
        <f>IFERROR(__xludf.DUMMYFUNCTION("""COMPUTED_VALUE"""),"White Beans Dry Cooked Fat Not Added In Cooking")</f>
        <v>White Beans Dry Cooked Fat Not Added In Cooking</v>
      </c>
      <c r="C1647" t="str">
        <f>IFERROR(__xludf.DUMMYFUNCTION("""COMPUTED_VALUE"""),"Beans and Lentils")</f>
        <v>Beans and Lentils</v>
      </c>
      <c r="D1647">
        <f>IFERROR(__xludf.DUMMYFUNCTION("""COMPUTED_VALUE"""),138.0)</f>
        <v>138</v>
      </c>
      <c r="E1647">
        <f>IFERROR(__xludf.DUMMYFUNCTION("""COMPUTED_VALUE"""),0.35)</f>
        <v>0.35</v>
      </c>
      <c r="F1647">
        <f>IFERROR(__xludf.DUMMYFUNCTION("""COMPUTED_VALUE"""),9.68)</f>
        <v>9.68</v>
      </c>
      <c r="G1647">
        <f>IFERROR(__xludf.DUMMYFUNCTION("""COMPUTED_VALUE"""),24.95)</f>
        <v>24.95</v>
      </c>
    </row>
    <row r="1648">
      <c r="A1648">
        <f>IFERROR(__xludf.DUMMYFUNCTION("""COMPUTED_VALUE"""),784145.0)</f>
        <v>784145</v>
      </c>
      <c r="B1648" t="str">
        <f>IFERROR(__xludf.DUMMYFUNCTION("""COMPUTED_VALUE"""),"White Beans Canned Drained Fat Added In Cooking Ns As To Type Of Fat")</f>
        <v>White Beans Canned Drained Fat Added In Cooking Ns As To Type Of Fat</v>
      </c>
      <c r="C1648" t="str">
        <f>IFERROR(__xludf.DUMMYFUNCTION("""COMPUTED_VALUE"""),"Beans and Lentils")</f>
        <v>Beans and Lentils</v>
      </c>
      <c r="D1648">
        <f>IFERROR(__xludf.DUMMYFUNCTION("""COMPUTED_VALUE"""),218.0)</f>
        <v>218</v>
      </c>
      <c r="E1648">
        <f>IFERROR(__xludf.DUMMYFUNCTION("""COMPUTED_VALUE"""),7.57)</f>
        <v>7.57</v>
      </c>
      <c r="F1648">
        <f>IFERROR(__xludf.DUMMYFUNCTION("""COMPUTED_VALUE"""),10.07)</f>
        <v>10.07</v>
      </c>
      <c r="G1648">
        <f>IFERROR(__xludf.DUMMYFUNCTION("""COMPUTED_VALUE"""),28.74)</f>
        <v>28.74</v>
      </c>
    </row>
    <row r="1649">
      <c r="A1649">
        <f>IFERROR(__xludf.DUMMYFUNCTION("""COMPUTED_VALUE"""),784146.0)</f>
        <v>784146</v>
      </c>
      <c r="B1649" t="str">
        <f>IFERROR(__xludf.DUMMYFUNCTION("""COMPUTED_VALUE"""),"White Beans Canned Drained Made With Oil")</f>
        <v>White Beans Canned Drained Made With Oil</v>
      </c>
      <c r="C1649" t="str">
        <f>IFERROR(__xludf.DUMMYFUNCTION("""COMPUTED_VALUE"""),"Beans and Lentils")</f>
        <v>Beans and Lentils</v>
      </c>
      <c r="D1649">
        <f>IFERROR(__xludf.DUMMYFUNCTION("""COMPUTED_VALUE"""),218.0)</f>
        <v>218</v>
      </c>
      <c r="E1649">
        <f>IFERROR(__xludf.DUMMYFUNCTION("""COMPUTED_VALUE"""),7.57)</f>
        <v>7.57</v>
      </c>
      <c r="F1649">
        <f>IFERROR(__xludf.DUMMYFUNCTION("""COMPUTED_VALUE"""),10.07)</f>
        <v>10.07</v>
      </c>
      <c r="G1649">
        <f>IFERROR(__xludf.DUMMYFUNCTION("""COMPUTED_VALUE"""),28.74)</f>
        <v>28.74</v>
      </c>
    </row>
    <row r="1650">
      <c r="A1650">
        <f>IFERROR(__xludf.DUMMYFUNCTION("""COMPUTED_VALUE"""),784147.0)</f>
        <v>784147</v>
      </c>
      <c r="B1650" t="str">
        <f>IFERROR(__xludf.DUMMYFUNCTION("""COMPUTED_VALUE"""),"White Beans Canned Drained Fat Not Added In Cooking")</f>
        <v>White Beans Canned Drained Fat Not Added In Cooking</v>
      </c>
      <c r="C1650" t="str">
        <f>IFERROR(__xludf.DUMMYFUNCTION("""COMPUTED_VALUE"""),"Beans and Lentils")</f>
        <v>Beans and Lentils</v>
      </c>
      <c r="D1650">
        <f>IFERROR(__xludf.DUMMYFUNCTION("""COMPUTED_VALUE"""),168.0)</f>
        <v>168</v>
      </c>
      <c r="E1650">
        <f>IFERROR(__xludf.DUMMYFUNCTION("""COMPUTED_VALUE"""),0.57)</f>
        <v>0.57</v>
      </c>
      <c r="F1650">
        <f>IFERROR(__xludf.DUMMYFUNCTION("""COMPUTED_VALUE"""),10.84)</f>
        <v>10.84</v>
      </c>
      <c r="G1650">
        <f>IFERROR(__xludf.DUMMYFUNCTION("""COMPUTED_VALUE"""),30.91)</f>
        <v>30.91</v>
      </c>
    </row>
    <row r="1651">
      <c r="A1651">
        <f>IFERROR(__xludf.DUMMYFUNCTION("""COMPUTED_VALUE"""),784148.0)</f>
        <v>784148</v>
      </c>
      <c r="B1651" t="str">
        <f>IFERROR(__xludf.DUMMYFUNCTION("""COMPUTED_VALUE"""),"White Beans Canned Drained Low Sodium Ns As To Fat Added In Cooking")</f>
        <v>White Beans Canned Drained Low Sodium Ns As To Fat Added In Cooking</v>
      </c>
      <c r="C1651" t="str">
        <f>IFERROR(__xludf.DUMMYFUNCTION("""COMPUTED_VALUE"""),"Beans and Lentils")</f>
        <v>Beans and Lentils</v>
      </c>
      <c r="D1651">
        <f>IFERROR(__xludf.DUMMYFUNCTION("""COMPUTED_VALUE"""),218.0)</f>
        <v>218</v>
      </c>
      <c r="E1651">
        <f>IFERROR(__xludf.DUMMYFUNCTION("""COMPUTED_VALUE"""),7.57)</f>
        <v>7.57</v>
      </c>
      <c r="F1651">
        <f>IFERROR(__xludf.DUMMYFUNCTION("""COMPUTED_VALUE"""),10.07)</f>
        <v>10.07</v>
      </c>
      <c r="G1651">
        <f>IFERROR(__xludf.DUMMYFUNCTION("""COMPUTED_VALUE"""),28.74)</f>
        <v>28.74</v>
      </c>
    </row>
    <row r="1652">
      <c r="A1652">
        <f>IFERROR(__xludf.DUMMYFUNCTION("""COMPUTED_VALUE"""),784149.0)</f>
        <v>784149</v>
      </c>
      <c r="B1652" t="str">
        <f>IFERROR(__xludf.DUMMYFUNCTION("""COMPUTED_VALUE"""),"White Beans Canned Drained Low Sodium Fat Added In Cooking")</f>
        <v>White Beans Canned Drained Low Sodium Fat Added In Cooking</v>
      </c>
      <c r="C1652" t="str">
        <f>IFERROR(__xludf.DUMMYFUNCTION("""COMPUTED_VALUE"""),"Beans and Lentils")</f>
        <v>Beans and Lentils</v>
      </c>
      <c r="D1652">
        <f>IFERROR(__xludf.DUMMYFUNCTION("""COMPUTED_VALUE"""),218.0)</f>
        <v>218</v>
      </c>
      <c r="E1652">
        <f>IFERROR(__xludf.DUMMYFUNCTION("""COMPUTED_VALUE"""),7.57)</f>
        <v>7.57</v>
      </c>
      <c r="F1652">
        <f>IFERROR(__xludf.DUMMYFUNCTION("""COMPUTED_VALUE"""),10.07)</f>
        <v>10.07</v>
      </c>
      <c r="G1652">
        <f>IFERROR(__xludf.DUMMYFUNCTION("""COMPUTED_VALUE"""),28.74)</f>
        <v>28.74</v>
      </c>
    </row>
    <row r="1653">
      <c r="A1653">
        <f>IFERROR(__xludf.DUMMYFUNCTION("""COMPUTED_VALUE"""),784150.0)</f>
        <v>784150</v>
      </c>
      <c r="B1653" t="str">
        <f>IFERROR(__xludf.DUMMYFUNCTION("""COMPUTED_VALUE"""),"White Beans Canned Drained Low Sodium Fat Not Added In Cooking")</f>
        <v>White Beans Canned Drained Low Sodium Fat Not Added In Cooking</v>
      </c>
      <c r="C1653" t="str">
        <f>IFERROR(__xludf.DUMMYFUNCTION("""COMPUTED_VALUE"""),"Beans and Lentils")</f>
        <v>Beans and Lentils</v>
      </c>
      <c r="D1653">
        <f>IFERROR(__xludf.DUMMYFUNCTION("""COMPUTED_VALUE"""),168.0)</f>
        <v>168</v>
      </c>
      <c r="E1653">
        <f>IFERROR(__xludf.DUMMYFUNCTION("""COMPUTED_VALUE"""),0.57)</f>
        <v>0.57</v>
      </c>
      <c r="F1653">
        <f>IFERROR(__xludf.DUMMYFUNCTION("""COMPUTED_VALUE"""),10.84)</f>
        <v>10.84</v>
      </c>
      <c r="G1653">
        <f>IFERROR(__xludf.DUMMYFUNCTION("""COMPUTED_VALUE"""),30.91)</f>
        <v>30.91</v>
      </c>
    </row>
    <row r="1654">
      <c r="A1654">
        <f>IFERROR(__xludf.DUMMYFUNCTION("""COMPUTED_VALUE"""),784151.0)</f>
        <v>784151</v>
      </c>
      <c r="B1654" t="str">
        <f>IFERROR(__xludf.DUMMYFUNCTION("""COMPUTED_VALUE"""),"Black Brown Or Bayo Beans Dry Cooked Ns As To Fat Added In Cooking")</f>
        <v>Black Brown Or Bayo Beans Dry Cooked Ns As To Fat Added In Cooking</v>
      </c>
      <c r="C1654" t="str">
        <f>IFERROR(__xludf.DUMMYFUNCTION("""COMPUTED_VALUE"""),"Beans and Lentils")</f>
        <v>Beans and Lentils</v>
      </c>
      <c r="D1654">
        <f>IFERROR(__xludf.DUMMYFUNCTION("""COMPUTED_VALUE"""),184.0)</f>
        <v>184</v>
      </c>
      <c r="E1654">
        <f>IFERROR(__xludf.DUMMYFUNCTION("""COMPUTED_VALUE"""),7.5)</f>
        <v>7.5</v>
      </c>
      <c r="F1654">
        <f>IFERROR(__xludf.DUMMYFUNCTION("""COMPUTED_VALUE"""),8.19)</f>
        <v>8.19</v>
      </c>
      <c r="G1654">
        <f>IFERROR(__xludf.DUMMYFUNCTION("""COMPUTED_VALUE"""),21.93)</f>
        <v>21.93</v>
      </c>
    </row>
    <row r="1655">
      <c r="A1655">
        <f>IFERROR(__xludf.DUMMYFUNCTION("""COMPUTED_VALUE"""),784152.0)</f>
        <v>784152</v>
      </c>
      <c r="B1655" t="str">
        <f>IFERROR(__xludf.DUMMYFUNCTION("""COMPUTED_VALUE"""),"Black Brown Or Bayo Beans Dry Cooked Fat Added In Cooking Ns As To Type Of Fat")</f>
        <v>Black Brown Or Bayo Beans Dry Cooked Fat Added In Cooking Ns As To Type Of Fat</v>
      </c>
      <c r="C1655" t="str">
        <f>IFERROR(__xludf.DUMMYFUNCTION("""COMPUTED_VALUE"""),"Beans and Lentils")</f>
        <v>Beans and Lentils</v>
      </c>
      <c r="D1655">
        <f>IFERROR(__xludf.DUMMYFUNCTION("""COMPUTED_VALUE"""),184.0)</f>
        <v>184</v>
      </c>
      <c r="E1655">
        <f>IFERROR(__xludf.DUMMYFUNCTION("""COMPUTED_VALUE"""),7.5)</f>
        <v>7.5</v>
      </c>
      <c r="F1655">
        <f>IFERROR(__xludf.DUMMYFUNCTION("""COMPUTED_VALUE"""),8.19)</f>
        <v>8.19</v>
      </c>
      <c r="G1655">
        <f>IFERROR(__xludf.DUMMYFUNCTION("""COMPUTED_VALUE"""),21.93)</f>
        <v>21.93</v>
      </c>
    </row>
    <row r="1656">
      <c r="A1656">
        <f>IFERROR(__xludf.DUMMYFUNCTION("""COMPUTED_VALUE"""),784153.0)</f>
        <v>784153</v>
      </c>
      <c r="B1656" t="str">
        <f>IFERROR(__xludf.DUMMYFUNCTION("""COMPUTED_VALUE"""),"Black Brown Or Bayo Beans Dry Cooked Made With Oil")</f>
        <v>Black Brown Or Bayo Beans Dry Cooked Made With Oil</v>
      </c>
      <c r="C1656" t="str">
        <f>IFERROR(__xludf.DUMMYFUNCTION("""COMPUTED_VALUE"""),"Beans and Lentils")</f>
        <v>Beans and Lentils</v>
      </c>
      <c r="D1656">
        <f>IFERROR(__xludf.DUMMYFUNCTION("""COMPUTED_VALUE"""),186.0)</f>
        <v>186</v>
      </c>
      <c r="E1656">
        <f>IFERROR(__xludf.DUMMYFUNCTION("""COMPUTED_VALUE"""),7.8)</f>
        <v>7.8</v>
      </c>
      <c r="F1656">
        <f>IFERROR(__xludf.DUMMYFUNCTION("""COMPUTED_VALUE"""),8.17)</f>
        <v>8.17</v>
      </c>
      <c r="G1656">
        <f>IFERROR(__xludf.DUMMYFUNCTION("""COMPUTED_VALUE"""),21.85)</f>
        <v>21.85</v>
      </c>
    </row>
    <row r="1657">
      <c r="A1657">
        <f>IFERROR(__xludf.DUMMYFUNCTION("""COMPUTED_VALUE"""),784154.0)</f>
        <v>784154</v>
      </c>
      <c r="B1657" t="str">
        <f>IFERROR(__xludf.DUMMYFUNCTION("""COMPUTED_VALUE"""),"Black Brown Or Bayo Beans Dry Cooked Made With Animal Fat Or Meat Drippings")</f>
        <v>Black Brown Or Bayo Beans Dry Cooked Made With Animal Fat Or Meat Drippings</v>
      </c>
      <c r="C1657" t="str">
        <f>IFERROR(__xludf.DUMMYFUNCTION("""COMPUTED_VALUE"""),"Beans and Lentils")</f>
        <v>Beans and Lentils</v>
      </c>
      <c r="D1657">
        <f>IFERROR(__xludf.DUMMYFUNCTION("""COMPUTED_VALUE"""),178.0)</f>
        <v>178</v>
      </c>
      <c r="E1657">
        <f>IFERROR(__xludf.DUMMYFUNCTION("""COMPUTED_VALUE"""),6.6)</f>
        <v>6.6</v>
      </c>
      <c r="F1657">
        <f>IFERROR(__xludf.DUMMYFUNCTION("""COMPUTED_VALUE"""),8.38)</f>
        <v>8.38</v>
      </c>
      <c r="G1657">
        <f>IFERROR(__xludf.DUMMYFUNCTION("""COMPUTED_VALUE"""),22.02)</f>
        <v>22.02</v>
      </c>
    </row>
    <row r="1658">
      <c r="A1658">
        <f>IFERROR(__xludf.DUMMYFUNCTION("""COMPUTED_VALUE"""),784155.0)</f>
        <v>784155</v>
      </c>
      <c r="B1658" t="str">
        <f>IFERROR(__xludf.DUMMYFUNCTION("""COMPUTED_VALUE"""),"Black Brown Or Bayo Beans Dry Cooked Made With Margarine")</f>
        <v>Black Brown Or Bayo Beans Dry Cooked Made With Margarine</v>
      </c>
      <c r="C1658" t="str">
        <f>IFERROR(__xludf.DUMMYFUNCTION("""COMPUTED_VALUE"""),"Beans and Lentils")</f>
        <v>Beans and Lentils</v>
      </c>
      <c r="D1658">
        <f>IFERROR(__xludf.DUMMYFUNCTION("""COMPUTED_VALUE"""),161.0)</f>
        <v>161</v>
      </c>
      <c r="E1658">
        <f>IFERROR(__xludf.DUMMYFUNCTION("""COMPUTED_VALUE"""),4.88)</f>
        <v>4.88</v>
      </c>
      <c r="F1658">
        <f>IFERROR(__xludf.DUMMYFUNCTION("""COMPUTED_VALUE"""),8.18)</f>
        <v>8.18</v>
      </c>
      <c r="G1658">
        <f>IFERROR(__xludf.DUMMYFUNCTION("""COMPUTED_VALUE"""),21.91)</f>
        <v>21.91</v>
      </c>
    </row>
    <row r="1659">
      <c r="A1659">
        <f>IFERROR(__xludf.DUMMYFUNCTION("""COMPUTED_VALUE"""),784156.0)</f>
        <v>784156</v>
      </c>
      <c r="B1659" t="str">
        <f>IFERROR(__xludf.DUMMYFUNCTION("""COMPUTED_VALUE"""),"Black Brown Or Bayo Beans Dry Cooked Fat Not Added In Cooking")</f>
        <v>Black Brown Or Bayo Beans Dry Cooked Fat Not Added In Cooking</v>
      </c>
      <c r="C1659" t="str">
        <f>IFERROR(__xludf.DUMMYFUNCTION("""COMPUTED_VALUE"""),"Beans and Lentils")</f>
        <v>Beans and Lentils</v>
      </c>
      <c r="D1659">
        <f>IFERROR(__xludf.DUMMYFUNCTION("""COMPUTED_VALUE"""),131.0)</f>
        <v>131</v>
      </c>
      <c r="E1659">
        <f>IFERROR(__xludf.DUMMYFUNCTION("""COMPUTED_VALUE"""),0.54)</f>
        <v>0.54</v>
      </c>
      <c r="F1659">
        <f>IFERROR(__xludf.DUMMYFUNCTION("""COMPUTED_VALUE"""),8.81)</f>
        <v>8.81</v>
      </c>
      <c r="G1659">
        <f>IFERROR(__xludf.DUMMYFUNCTION("""COMPUTED_VALUE"""),23.58)</f>
        <v>23.58</v>
      </c>
    </row>
    <row r="1660">
      <c r="A1660">
        <f>IFERROR(__xludf.DUMMYFUNCTION("""COMPUTED_VALUE"""),784157.0)</f>
        <v>784157</v>
      </c>
      <c r="B1660" t="str">
        <f>IFERROR(__xludf.DUMMYFUNCTION("""COMPUTED_VALUE"""),"Black Brown Or Bayo Beans Canned Drained Ns As To Fat Added In Cooking")</f>
        <v>Black Brown Or Bayo Beans Canned Drained Ns As To Fat Added In Cooking</v>
      </c>
      <c r="C1660" t="str">
        <f>IFERROR(__xludf.DUMMYFUNCTION("""COMPUTED_VALUE"""),"Beans and Lentils")</f>
        <v>Beans and Lentils</v>
      </c>
      <c r="D1660">
        <f>IFERROR(__xludf.DUMMYFUNCTION("""COMPUTED_VALUE"""),187.0)</f>
        <v>187</v>
      </c>
      <c r="E1660">
        <f>IFERROR(__xludf.DUMMYFUNCTION("""COMPUTED_VALUE"""),7.43)</f>
        <v>7.43</v>
      </c>
      <c r="F1660">
        <f>IFERROR(__xludf.DUMMYFUNCTION("""COMPUTED_VALUE"""),8.24)</f>
        <v>8.24</v>
      </c>
      <c r="G1660">
        <f>IFERROR(__xludf.DUMMYFUNCTION("""COMPUTED_VALUE"""),22.62)</f>
        <v>22.62</v>
      </c>
    </row>
    <row r="1661">
      <c r="A1661">
        <f>IFERROR(__xludf.DUMMYFUNCTION("""COMPUTED_VALUE"""),784158.0)</f>
        <v>784158</v>
      </c>
      <c r="B1661" t="str">
        <f>IFERROR(__xludf.DUMMYFUNCTION("""COMPUTED_VALUE"""),"Black Brown Or Bayo Beans Canned Drained Fat Added In Cooking Ns As To Type Of Fat")</f>
        <v>Black Brown Or Bayo Beans Canned Drained Fat Added In Cooking Ns As To Type Of Fat</v>
      </c>
      <c r="C1661" t="str">
        <f>IFERROR(__xludf.DUMMYFUNCTION("""COMPUTED_VALUE"""),"Beans and Lentils")</f>
        <v>Beans and Lentils</v>
      </c>
      <c r="D1661">
        <f>IFERROR(__xludf.DUMMYFUNCTION("""COMPUTED_VALUE"""),187.0)</f>
        <v>187</v>
      </c>
      <c r="E1661">
        <f>IFERROR(__xludf.DUMMYFUNCTION("""COMPUTED_VALUE"""),7.43)</f>
        <v>7.43</v>
      </c>
      <c r="F1661">
        <f>IFERROR(__xludf.DUMMYFUNCTION("""COMPUTED_VALUE"""),8.24)</f>
        <v>8.24</v>
      </c>
      <c r="G1661">
        <f>IFERROR(__xludf.DUMMYFUNCTION("""COMPUTED_VALUE"""),22.62)</f>
        <v>22.62</v>
      </c>
    </row>
    <row r="1662">
      <c r="A1662">
        <f>IFERROR(__xludf.DUMMYFUNCTION("""COMPUTED_VALUE"""),784159.0)</f>
        <v>784159</v>
      </c>
      <c r="B1662" t="str">
        <f>IFERROR(__xludf.DUMMYFUNCTION("""COMPUTED_VALUE"""),"Black Brown Or Bayo Beans Canned Drained Made With Oil")</f>
        <v>Black Brown Or Bayo Beans Canned Drained Made With Oil</v>
      </c>
      <c r="C1662" t="str">
        <f>IFERROR(__xludf.DUMMYFUNCTION("""COMPUTED_VALUE"""),"Beans and Lentils")</f>
        <v>Beans and Lentils</v>
      </c>
      <c r="D1662">
        <f>IFERROR(__xludf.DUMMYFUNCTION("""COMPUTED_VALUE"""),187.0)</f>
        <v>187</v>
      </c>
      <c r="E1662">
        <f>IFERROR(__xludf.DUMMYFUNCTION("""COMPUTED_VALUE"""),7.43)</f>
        <v>7.43</v>
      </c>
      <c r="F1662">
        <f>IFERROR(__xludf.DUMMYFUNCTION("""COMPUTED_VALUE"""),8.24)</f>
        <v>8.24</v>
      </c>
      <c r="G1662">
        <f>IFERROR(__xludf.DUMMYFUNCTION("""COMPUTED_VALUE"""),22.62)</f>
        <v>22.62</v>
      </c>
    </row>
    <row r="1663">
      <c r="A1663">
        <f>IFERROR(__xludf.DUMMYFUNCTION("""COMPUTED_VALUE"""),784160.0)</f>
        <v>784160</v>
      </c>
      <c r="B1663" t="str">
        <f>IFERROR(__xludf.DUMMYFUNCTION("""COMPUTED_VALUE"""),"Black Brown Or Bayo Beans Canned Drained Made With Animal Fat Or Meat Drippings")</f>
        <v>Black Brown Or Bayo Beans Canned Drained Made With Animal Fat Or Meat Drippings</v>
      </c>
      <c r="C1663" t="str">
        <f>IFERROR(__xludf.DUMMYFUNCTION("""COMPUTED_VALUE"""),"Beans and Lentils")</f>
        <v>Beans and Lentils</v>
      </c>
      <c r="D1663">
        <f>IFERROR(__xludf.DUMMYFUNCTION("""COMPUTED_VALUE"""),181.0)</f>
        <v>181</v>
      </c>
      <c r="E1663">
        <f>IFERROR(__xludf.DUMMYFUNCTION("""COMPUTED_VALUE"""),6.52)</f>
        <v>6.52</v>
      </c>
      <c r="F1663">
        <f>IFERROR(__xludf.DUMMYFUNCTION("""COMPUTED_VALUE"""),8.43)</f>
        <v>8.43</v>
      </c>
      <c r="G1663">
        <f>IFERROR(__xludf.DUMMYFUNCTION("""COMPUTED_VALUE"""),22.72)</f>
        <v>22.72</v>
      </c>
    </row>
    <row r="1664">
      <c r="A1664">
        <f>IFERROR(__xludf.DUMMYFUNCTION("""COMPUTED_VALUE"""),784161.0)</f>
        <v>784161</v>
      </c>
      <c r="B1664" t="str">
        <f>IFERROR(__xludf.DUMMYFUNCTION("""COMPUTED_VALUE"""),"Black Brown Or Bayo Beans Canned Drained Made With Margarine")</f>
        <v>Black Brown Or Bayo Beans Canned Drained Made With Margarine</v>
      </c>
      <c r="C1664" t="str">
        <f>IFERROR(__xludf.DUMMYFUNCTION("""COMPUTED_VALUE"""),"Beans and Lentils")</f>
        <v>Beans and Lentils</v>
      </c>
      <c r="D1664">
        <f>IFERROR(__xludf.DUMMYFUNCTION("""COMPUTED_VALUE"""),163.0)</f>
        <v>163</v>
      </c>
      <c r="E1664">
        <f>IFERROR(__xludf.DUMMYFUNCTION("""COMPUTED_VALUE"""),4.8)</f>
        <v>4.8</v>
      </c>
      <c r="F1664">
        <f>IFERROR(__xludf.DUMMYFUNCTION("""COMPUTED_VALUE"""),8.23)</f>
        <v>8.23</v>
      </c>
      <c r="G1664">
        <f>IFERROR(__xludf.DUMMYFUNCTION("""COMPUTED_VALUE"""),22.61)</f>
        <v>22.61</v>
      </c>
    </row>
    <row r="1665">
      <c r="A1665">
        <f>IFERROR(__xludf.DUMMYFUNCTION("""COMPUTED_VALUE"""),784162.0)</f>
        <v>784162</v>
      </c>
      <c r="B1665" t="str">
        <f>IFERROR(__xludf.DUMMYFUNCTION("""COMPUTED_VALUE"""),"Black Brown Or Bayo Beans Canned Drained Fat Not Added In Cooking")</f>
        <v>Black Brown Or Bayo Beans Canned Drained Fat Not Added In Cooking</v>
      </c>
      <c r="C1665" t="str">
        <f>IFERROR(__xludf.DUMMYFUNCTION("""COMPUTED_VALUE"""),"Beans and Lentils")</f>
        <v>Beans and Lentils</v>
      </c>
      <c r="D1665">
        <f>IFERROR(__xludf.DUMMYFUNCTION("""COMPUTED_VALUE"""),134.0)</f>
        <v>134</v>
      </c>
      <c r="E1665">
        <f>IFERROR(__xludf.DUMMYFUNCTION("""COMPUTED_VALUE"""),0.43)</f>
        <v>0.43</v>
      </c>
      <c r="F1665">
        <f>IFERROR(__xludf.DUMMYFUNCTION("""COMPUTED_VALUE"""),8.87)</f>
        <v>8.87</v>
      </c>
      <c r="G1665">
        <f>IFERROR(__xludf.DUMMYFUNCTION("""COMPUTED_VALUE"""),24.34)</f>
        <v>24.34</v>
      </c>
    </row>
    <row r="1666">
      <c r="A1666">
        <f>IFERROR(__xludf.DUMMYFUNCTION("""COMPUTED_VALUE"""),784163.0)</f>
        <v>784163</v>
      </c>
      <c r="B1666" t="str">
        <f>IFERROR(__xludf.DUMMYFUNCTION("""COMPUTED_VALUE"""),"Black Brown Or Bayo Beans Canned Drained Low Sodium Ns As To Fat Added In Cooking")</f>
        <v>Black Brown Or Bayo Beans Canned Drained Low Sodium Ns As To Fat Added In Cooking</v>
      </c>
      <c r="C1666" t="str">
        <f>IFERROR(__xludf.DUMMYFUNCTION("""COMPUTED_VALUE"""),"Beans and Lentils")</f>
        <v>Beans and Lentils</v>
      </c>
      <c r="D1666">
        <f>IFERROR(__xludf.DUMMYFUNCTION("""COMPUTED_VALUE"""),187.0)</f>
        <v>187</v>
      </c>
      <c r="E1666">
        <f>IFERROR(__xludf.DUMMYFUNCTION("""COMPUTED_VALUE"""),7.43)</f>
        <v>7.43</v>
      </c>
      <c r="F1666">
        <f>IFERROR(__xludf.DUMMYFUNCTION("""COMPUTED_VALUE"""),8.24)</f>
        <v>8.24</v>
      </c>
      <c r="G1666">
        <f>IFERROR(__xludf.DUMMYFUNCTION("""COMPUTED_VALUE"""),22.62)</f>
        <v>22.62</v>
      </c>
    </row>
    <row r="1667">
      <c r="A1667">
        <f>IFERROR(__xludf.DUMMYFUNCTION("""COMPUTED_VALUE"""),784164.0)</f>
        <v>784164</v>
      </c>
      <c r="B1667" t="str">
        <f>IFERROR(__xludf.DUMMYFUNCTION("""COMPUTED_VALUE"""),"Black Brown Or Bayo Beans Canned Drained Low Sodium Fat Added In Cooking")</f>
        <v>Black Brown Or Bayo Beans Canned Drained Low Sodium Fat Added In Cooking</v>
      </c>
      <c r="C1667" t="str">
        <f>IFERROR(__xludf.DUMMYFUNCTION("""COMPUTED_VALUE"""),"Beans and Lentils")</f>
        <v>Beans and Lentils</v>
      </c>
      <c r="D1667">
        <f>IFERROR(__xludf.DUMMYFUNCTION("""COMPUTED_VALUE"""),187.0)</f>
        <v>187</v>
      </c>
      <c r="E1667">
        <f>IFERROR(__xludf.DUMMYFUNCTION("""COMPUTED_VALUE"""),7.43)</f>
        <v>7.43</v>
      </c>
      <c r="F1667">
        <f>IFERROR(__xludf.DUMMYFUNCTION("""COMPUTED_VALUE"""),8.24)</f>
        <v>8.24</v>
      </c>
      <c r="G1667">
        <f>IFERROR(__xludf.DUMMYFUNCTION("""COMPUTED_VALUE"""),22.62)</f>
        <v>22.62</v>
      </c>
    </row>
    <row r="1668">
      <c r="A1668">
        <f>IFERROR(__xludf.DUMMYFUNCTION("""COMPUTED_VALUE"""),784165.0)</f>
        <v>784165</v>
      </c>
      <c r="B1668" t="str">
        <f>IFERROR(__xludf.DUMMYFUNCTION("""COMPUTED_VALUE"""),"Black Brown Or Bayo Beans Canned Drained Low Sodium Fat Not Added In Cooking")</f>
        <v>Black Brown Or Bayo Beans Canned Drained Low Sodium Fat Not Added In Cooking</v>
      </c>
      <c r="C1668" t="str">
        <f>IFERROR(__xludf.DUMMYFUNCTION("""COMPUTED_VALUE"""),"Beans and Lentils")</f>
        <v>Beans and Lentils</v>
      </c>
      <c r="D1668">
        <f>IFERROR(__xludf.DUMMYFUNCTION("""COMPUTED_VALUE"""),134.0)</f>
        <v>134</v>
      </c>
      <c r="E1668">
        <f>IFERROR(__xludf.DUMMYFUNCTION("""COMPUTED_VALUE"""),0.43)</f>
        <v>0.43</v>
      </c>
      <c r="F1668">
        <f>IFERROR(__xludf.DUMMYFUNCTION("""COMPUTED_VALUE"""),8.87)</f>
        <v>8.87</v>
      </c>
      <c r="G1668">
        <f>IFERROR(__xludf.DUMMYFUNCTION("""COMPUTED_VALUE"""),24.34)</f>
        <v>24.34</v>
      </c>
    </row>
    <row r="1669">
      <c r="A1669">
        <f>IFERROR(__xludf.DUMMYFUNCTION("""COMPUTED_VALUE"""),784166.0)</f>
        <v>784166</v>
      </c>
      <c r="B1669" t="str">
        <f>IFERROR(__xludf.DUMMYFUNCTION("""COMPUTED_VALUE"""),"Fava Beans Dry Cooked Ns As To Fat Added In Cooking")</f>
        <v>Fava Beans Dry Cooked Ns As To Fat Added In Cooking</v>
      </c>
      <c r="C1669" t="str">
        <f>IFERROR(__xludf.DUMMYFUNCTION("""COMPUTED_VALUE"""),"Beans and Lentils")</f>
        <v>Beans and Lentils</v>
      </c>
      <c r="D1669">
        <f>IFERROR(__xludf.DUMMYFUNCTION("""COMPUTED_VALUE"""),167.0)</f>
        <v>167</v>
      </c>
      <c r="E1669">
        <f>IFERROR(__xludf.DUMMYFUNCTION("""COMPUTED_VALUE"""),7.75)</f>
        <v>7.75</v>
      </c>
      <c r="F1669">
        <f>IFERROR(__xludf.DUMMYFUNCTION("""COMPUTED_VALUE"""),7.0)</f>
        <v>7</v>
      </c>
      <c r="G1669">
        <f>IFERROR(__xludf.DUMMYFUNCTION("""COMPUTED_VALUE"""),18.09)</f>
        <v>18.09</v>
      </c>
    </row>
    <row r="1670">
      <c r="A1670">
        <f>IFERROR(__xludf.DUMMYFUNCTION("""COMPUTED_VALUE"""),784167.0)</f>
        <v>784167</v>
      </c>
      <c r="B1670" t="str">
        <f>IFERROR(__xludf.DUMMYFUNCTION("""COMPUTED_VALUE"""),"Fava Beans Dry Cooked Fat Added In Cooking")</f>
        <v>Fava Beans Dry Cooked Fat Added In Cooking</v>
      </c>
      <c r="C1670" t="str">
        <f>IFERROR(__xludf.DUMMYFUNCTION("""COMPUTED_VALUE"""),"Beans and Lentils")</f>
        <v>Beans and Lentils</v>
      </c>
      <c r="D1670">
        <f>IFERROR(__xludf.DUMMYFUNCTION("""COMPUTED_VALUE"""),167.0)</f>
        <v>167</v>
      </c>
      <c r="E1670">
        <f>IFERROR(__xludf.DUMMYFUNCTION("""COMPUTED_VALUE"""),7.75)</f>
        <v>7.75</v>
      </c>
      <c r="F1670">
        <f>IFERROR(__xludf.DUMMYFUNCTION("""COMPUTED_VALUE"""),7.0)</f>
        <v>7</v>
      </c>
      <c r="G1670">
        <f>IFERROR(__xludf.DUMMYFUNCTION("""COMPUTED_VALUE"""),18.09)</f>
        <v>18.09</v>
      </c>
    </row>
    <row r="1671">
      <c r="A1671">
        <f>IFERROR(__xludf.DUMMYFUNCTION("""COMPUTED_VALUE"""),784168.0)</f>
        <v>784168</v>
      </c>
      <c r="B1671" t="str">
        <f>IFERROR(__xludf.DUMMYFUNCTION("""COMPUTED_VALUE"""),"Fava Beans Dry Cooked Fat Not Added In Cooking")</f>
        <v>Fava Beans Dry Cooked Fat Not Added In Cooking</v>
      </c>
      <c r="C1671" t="str">
        <f>IFERROR(__xludf.DUMMYFUNCTION("""COMPUTED_VALUE"""),"Beans and Lentils")</f>
        <v>Beans and Lentils</v>
      </c>
      <c r="D1671">
        <f>IFERROR(__xludf.DUMMYFUNCTION("""COMPUTED_VALUE"""),109.0)</f>
        <v>109</v>
      </c>
      <c r="E1671">
        <f>IFERROR(__xludf.DUMMYFUNCTION("""COMPUTED_VALUE"""),0.4)</f>
        <v>0.4</v>
      </c>
      <c r="F1671">
        <f>IFERROR(__xludf.DUMMYFUNCTION("""COMPUTED_VALUE"""),7.56)</f>
        <v>7.56</v>
      </c>
      <c r="G1671">
        <f>IFERROR(__xludf.DUMMYFUNCTION("""COMPUTED_VALUE"""),19.54)</f>
        <v>19.54</v>
      </c>
    </row>
    <row r="1672">
      <c r="A1672">
        <f>IFERROR(__xludf.DUMMYFUNCTION("""COMPUTED_VALUE"""),784169.0)</f>
        <v>784169</v>
      </c>
      <c r="B1672" t="str">
        <f>IFERROR(__xludf.DUMMYFUNCTION("""COMPUTED_VALUE"""),"Fava Beans Canned Drained Fat Added In Cooking")</f>
        <v>Fava Beans Canned Drained Fat Added In Cooking</v>
      </c>
      <c r="C1672" t="str">
        <f>IFERROR(__xludf.DUMMYFUNCTION("""COMPUTED_VALUE"""),"Beans and Lentils")</f>
        <v>Beans and Lentils</v>
      </c>
      <c r="D1672">
        <f>IFERROR(__xludf.DUMMYFUNCTION("""COMPUTED_VALUE"""),163.0)</f>
        <v>163</v>
      </c>
      <c r="E1672">
        <f>IFERROR(__xludf.DUMMYFUNCTION("""COMPUTED_VALUE"""),7.34)</f>
        <v>7.34</v>
      </c>
      <c r="F1672">
        <f>IFERROR(__xludf.DUMMYFUNCTION("""COMPUTED_VALUE"""),7.01)</f>
        <v>7.01</v>
      </c>
      <c r="G1672">
        <f>IFERROR(__xludf.DUMMYFUNCTION("""COMPUTED_VALUE"""),18.13)</f>
        <v>18.13</v>
      </c>
    </row>
    <row r="1673">
      <c r="A1673">
        <f>IFERROR(__xludf.DUMMYFUNCTION("""COMPUTED_VALUE"""),784170.0)</f>
        <v>784170</v>
      </c>
      <c r="B1673" t="str">
        <f>IFERROR(__xludf.DUMMYFUNCTION("""COMPUTED_VALUE"""),"Lima Beans Dry Cooked Ns As To Fat Added In Cooking")</f>
        <v>Lima Beans Dry Cooked Ns As To Fat Added In Cooking</v>
      </c>
      <c r="C1673" t="str">
        <f>IFERROR(__xludf.DUMMYFUNCTION("""COMPUTED_VALUE"""),"Beans and Lentils")</f>
        <v>Beans and Lentils</v>
      </c>
      <c r="D1673">
        <f>IFERROR(__xludf.DUMMYFUNCTION("""COMPUTED_VALUE"""),166.0)</f>
        <v>166</v>
      </c>
      <c r="E1673">
        <f>IFERROR(__xludf.DUMMYFUNCTION("""COMPUTED_VALUE"""),7.08)</f>
        <v>7.08</v>
      </c>
      <c r="F1673">
        <f>IFERROR(__xludf.DUMMYFUNCTION("""COMPUTED_VALUE"""),7.24)</f>
        <v>7.24</v>
      </c>
      <c r="G1673">
        <f>IFERROR(__xludf.DUMMYFUNCTION("""COMPUTED_VALUE"""),19.37)</f>
        <v>19.37</v>
      </c>
    </row>
    <row r="1674">
      <c r="A1674">
        <f>IFERROR(__xludf.DUMMYFUNCTION("""COMPUTED_VALUE"""),784171.0)</f>
        <v>784171</v>
      </c>
      <c r="B1674" t="str">
        <f>IFERROR(__xludf.DUMMYFUNCTION("""COMPUTED_VALUE"""),"Lima Beans Dry Cooked Fat Added In Cooking Ns As To Type Of Fat")</f>
        <v>Lima Beans Dry Cooked Fat Added In Cooking Ns As To Type Of Fat</v>
      </c>
      <c r="C1674" t="str">
        <f>IFERROR(__xludf.DUMMYFUNCTION("""COMPUTED_VALUE"""),"Beans and Lentils")</f>
        <v>Beans and Lentils</v>
      </c>
      <c r="D1674">
        <f>IFERROR(__xludf.DUMMYFUNCTION("""COMPUTED_VALUE"""),166.0)</f>
        <v>166</v>
      </c>
      <c r="E1674">
        <f>IFERROR(__xludf.DUMMYFUNCTION("""COMPUTED_VALUE"""),7.08)</f>
        <v>7.08</v>
      </c>
      <c r="F1674">
        <f>IFERROR(__xludf.DUMMYFUNCTION("""COMPUTED_VALUE"""),7.24)</f>
        <v>7.24</v>
      </c>
      <c r="G1674">
        <f>IFERROR(__xludf.DUMMYFUNCTION("""COMPUTED_VALUE"""),19.37)</f>
        <v>19.37</v>
      </c>
    </row>
    <row r="1675">
      <c r="A1675">
        <f>IFERROR(__xludf.DUMMYFUNCTION("""COMPUTED_VALUE"""),784172.0)</f>
        <v>784172</v>
      </c>
      <c r="B1675" t="str">
        <f>IFERROR(__xludf.DUMMYFUNCTION("""COMPUTED_VALUE"""),"Lima Beans Dry Cooked Made With Oil")</f>
        <v>Lima Beans Dry Cooked Made With Oil</v>
      </c>
      <c r="C1675" t="str">
        <f>IFERROR(__xludf.DUMMYFUNCTION("""COMPUTED_VALUE"""),"Beans and Lentils")</f>
        <v>Beans and Lentils</v>
      </c>
      <c r="D1675">
        <f>IFERROR(__xludf.DUMMYFUNCTION("""COMPUTED_VALUE"""),166.0)</f>
        <v>166</v>
      </c>
      <c r="E1675">
        <f>IFERROR(__xludf.DUMMYFUNCTION("""COMPUTED_VALUE"""),7.08)</f>
        <v>7.08</v>
      </c>
      <c r="F1675">
        <f>IFERROR(__xludf.DUMMYFUNCTION("""COMPUTED_VALUE"""),7.24)</f>
        <v>7.24</v>
      </c>
      <c r="G1675">
        <f>IFERROR(__xludf.DUMMYFUNCTION("""COMPUTED_VALUE"""),19.37)</f>
        <v>19.37</v>
      </c>
    </row>
    <row r="1676">
      <c r="A1676">
        <f>IFERROR(__xludf.DUMMYFUNCTION("""COMPUTED_VALUE"""),784173.0)</f>
        <v>784173</v>
      </c>
      <c r="B1676" t="str">
        <f>IFERROR(__xludf.DUMMYFUNCTION("""COMPUTED_VALUE"""),"Lima Beans Dry Cooked Made With Animal Fat Or Meat Drippings")</f>
        <v>Lima Beans Dry Cooked Made With Animal Fat Or Meat Drippings</v>
      </c>
      <c r="C1676" t="str">
        <f>IFERROR(__xludf.DUMMYFUNCTION("""COMPUTED_VALUE"""),"Beans and Lentils")</f>
        <v>Beans and Lentils</v>
      </c>
      <c r="D1676">
        <f>IFERROR(__xludf.DUMMYFUNCTION("""COMPUTED_VALUE"""),161.0)</f>
        <v>161</v>
      </c>
      <c r="E1676">
        <f>IFERROR(__xludf.DUMMYFUNCTION("""COMPUTED_VALUE"""),6.21)</f>
        <v>6.21</v>
      </c>
      <c r="F1676">
        <f>IFERROR(__xludf.DUMMYFUNCTION("""COMPUTED_VALUE"""),7.41)</f>
        <v>7.41</v>
      </c>
      <c r="G1676">
        <f>IFERROR(__xludf.DUMMYFUNCTION("""COMPUTED_VALUE"""),19.45)</f>
        <v>19.45</v>
      </c>
    </row>
    <row r="1677">
      <c r="A1677">
        <f>IFERROR(__xludf.DUMMYFUNCTION("""COMPUTED_VALUE"""),784174.0)</f>
        <v>784174</v>
      </c>
      <c r="B1677" t="str">
        <f>IFERROR(__xludf.DUMMYFUNCTION("""COMPUTED_VALUE"""),"Lima Beans Dry Cooked Made With Margarine")</f>
        <v>Lima Beans Dry Cooked Made With Margarine</v>
      </c>
      <c r="C1677" t="str">
        <f>IFERROR(__xludf.DUMMYFUNCTION("""COMPUTED_VALUE"""),"Beans and Lentils")</f>
        <v>Beans and Lentils</v>
      </c>
      <c r="D1677">
        <f>IFERROR(__xludf.DUMMYFUNCTION("""COMPUTED_VALUE"""),144.0)</f>
        <v>144</v>
      </c>
      <c r="E1677">
        <f>IFERROR(__xludf.DUMMYFUNCTION("""COMPUTED_VALUE"""),4.56)</f>
        <v>4.56</v>
      </c>
      <c r="F1677">
        <f>IFERROR(__xludf.DUMMYFUNCTION("""COMPUTED_VALUE"""),7.22)</f>
        <v>7.22</v>
      </c>
      <c r="G1677">
        <f>IFERROR(__xludf.DUMMYFUNCTION("""COMPUTED_VALUE"""),19.37)</f>
        <v>19.37</v>
      </c>
    </row>
    <row r="1678">
      <c r="A1678">
        <f>IFERROR(__xludf.DUMMYFUNCTION("""COMPUTED_VALUE"""),784175.0)</f>
        <v>784175</v>
      </c>
      <c r="B1678" t="str">
        <f>IFERROR(__xludf.DUMMYFUNCTION("""COMPUTED_VALUE"""),"Lima Beans Dry Cooked Fat Not Added In Cooking")</f>
        <v>Lima Beans Dry Cooked Fat Not Added In Cooking</v>
      </c>
      <c r="C1678" t="str">
        <f>IFERROR(__xludf.DUMMYFUNCTION("""COMPUTED_VALUE"""),"Beans and Lentils")</f>
        <v>Beans and Lentils</v>
      </c>
      <c r="D1678">
        <f>IFERROR(__xludf.DUMMYFUNCTION("""COMPUTED_VALUE"""),114.0)</f>
        <v>114</v>
      </c>
      <c r="E1678">
        <f>IFERROR(__xludf.DUMMYFUNCTION("""COMPUTED_VALUE"""),0.38)</f>
        <v>0.38</v>
      </c>
      <c r="F1678">
        <f>IFERROR(__xludf.DUMMYFUNCTION("""COMPUTED_VALUE"""),7.76)</f>
        <v>7.76</v>
      </c>
      <c r="G1678">
        <f>IFERROR(__xludf.DUMMYFUNCTION("""COMPUTED_VALUE"""),20.77)</f>
        <v>20.77</v>
      </c>
    </row>
    <row r="1679">
      <c r="A1679">
        <f>IFERROR(__xludf.DUMMYFUNCTION("""COMPUTED_VALUE"""),784176.0)</f>
        <v>784176</v>
      </c>
      <c r="B1679" t="str">
        <f>IFERROR(__xludf.DUMMYFUNCTION("""COMPUTED_VALUE"""),"Pink Beans Dry Cooked Ns As To Fat Added In Cooking")</f>
        <v>Pink Beans Dry Cooked Ns As To Fat Added In Cooking</v>
      </c>
      <c r="C1679" t="str">
        <f>IFERROR(__xludf.DUMMYFUNCTION("""COMPUTED_VALUE"""),"Beans and Lentils")</f>
        <v>Beans and Lentils</v>
      </c>
      <c r="D1679">
        <f>IFERROR(__xludf.DUMMYFUNCTION("""COMPUTED_VALUE"""),203.0)</f>
        <v>203</v>
      </c>
      <c r="E1679">
        <f>IFERROR(__xludf.DUMMYFUNCTION("""COMPUTED_VALUE"""),7.87)</f>
        <v>7.87</v>
      </c>
      <c r="F1679">
        <f>IFERROR(__xludf.DUMMYFUNCTION("""COMPUTED_VALUE"""),8.34)</f>
        <v>8.34</v>
      </c>
      <c r="G1679">
        <f>IFERROR(__xludf.DUMMYFUNCTION("""COMPUTED_VALUE"""),25.69)</f>
        <v>25.69</v>
      </c>
    </row>
    <row r="1680">
      <c r="A1680">
        <f>IFERROR(__xludf.DUMMYFUNCTION("""COMPUTED_VALUE"""),784177.0)</f>
        <v>784177</v>
      </c>
      <c r="B1680" t="str">
        <f>IFERROR(__xludf.DUMMYFUNCTION("""COMPUTED_VALUE"""),"Pink Beans Dry Cooked Fat Not Added In Cooking")</f>
        <v>Pink Beans Dry Cooked Fat Not Added In Cooking</v>
      </c>
      <c r="C1680" t="str">
        <f>IFERROR(__xludf.DUMMYFUNCTION("""COMPUTED_VALUE"""),"Beans and Lentils")</f>
        <v>Beans and Lentils</v>
      </c>
      <c r="D1680">
        <f>IFERROR(__xludf.DUMMYFUNCTION("""COMPUTED_VALUE"""),148.0)</f>
        <v>148</v>
      </c>
      <c r="E1680">
        <f>IFERROR(__xludf.DUMMYFUNCTION("""COMPUTED_VALUE"""),0.49)</f>
        <v>0.49</v>
      </c>
      <c r="F1680">
        <f>IFERROR(__xludf.DUMMYFUNCTION("""COMPUTED_VALUE"""),9.01)</f>
        <v>9.01</v>
      </c>
      <c r="G1680">
        <f>IFERROR(__xludf.DUMMYFUNCTION("""COMPUTED_VALUE"""),27.75)</f>
        <v>27.75</v>
      </c>
    </row>
    <row r="1681">
      <c r="A1681">
        <f>IFERROR(__xludf.DUMMYFUNCTION("""COMPUTED_VALUE"""),784178.0)</f>
        <v>784178</v>
      </c>
      <c r="B1681" t="str">
        <f>IFERROR(__xludf.DUMMYFUNCTION("""COMPUTED_VALUE"""),"Pink Beans Dry Cooked Fat Added In Cooking")</f>
        <v>Pink Beans Dry Cooked Fat Added In Cooking</v>
      </c>
      <c r="C1681" t="str">
        <f>IFERROR(__xludf.DUMMYFUNCTION("""COMPUTED_VALUE"""),"Beans and Lentils")</f>
        <v>Beans and Lentils</v>
      </c>
      <c r="D1681">
        <f>IFERROR(__xludf.DUMMYFUNCTION("""COMPUTED_VALUE"""),203.0)</f>
        <v>203</v>
      </c>
      <c r="E1681">
        <f>IFERROR(__xludf.DUMMYFUNCTION("""COMPUTED_VALUE"""),7.87)</f>
        <v>7.87</v>
      </c>
      <c r="F1681">
        <f>IFERROR(__xludf.DUMMYFUNCTION("""COMPUTED_VALUE"""),8.34)</f>
        <v>8.34</v>
      </c>
      <c r="G1681">
        <f>IFERROR(__xludf.DUMMYFUNCTION("""COMPUTED_VALUE"""),25.69)</f>
        <v>25.69</v>
      </c>
    </row>
    <row r="1682">
      <c r="A1682">
        <f>IFERROR(__xludf.DUMMYFUNCTION("""COMPUTED_VALUE"""),784179.0)</f>
        <v>784179</v>
      </c>
      <c r="B1682" t="str">
        <f>IFERROR(__xludf.DUMMYFUNCTION("""COMPUTED_VALUE"""),"Pink Beans Canned Drained Fat Added In Cooking")</f>
        <v>Pink Beans Canned Drained Fat Added In Cooking</v>
      </c>
      <c r="C1682" t="str">
        <f>IFERROR(__xludf.DUMMYFUNCTION("""COMPUTED_VALUE"""),"Beans and Lentils")</f>
        <v>Beans and Lentils</v>
      </c>
      <c r="D1682">
        <f>IFERROR(__xludf.DUMMYFUNCTION("""COMPUTED_VALUE"""),200.0)</f>
        <v>200</v>
      </c>
      <c r="E1682">
        <f>IFERROR(__xludf.DUMMYFUNCTION("""COMPUTED_VALUE"""),7.48)</f>
        <v>7.48</v>
      </c>
      <c r="F1682">
        <f>IFERROR(__xludf.DUMMYFUNCTION("""COMPUTED_VALUE"""),8.35)</f>
        <v>8.35</v>
      </c>
      <c r="G1682">
        <f>IFERROR(__xludf.DUMMYFUNCTION("""COMPUTED_VALUE"""),25.74)</f>
        <v>25.74</v>
      </c>
    </row>
    <row r="1683">
      <c r="A1683">
        <f>IFERROR(__xludf.DUMMYFUNCTION("""COMPUTED_VALUE"""),784180.0)</f>
        <v>784180</v>
      </c>
      <c r="B1683" t="str">
        <f>IFERROR(__xludf.DUMMYFUNCTION("""COMPUTED_VALUE"""),"Pink Beans Canned Drained Fat Not Added In Cooking")</f>
        <v>Pink Beans Canned Drained Fat Not Added In Cooking</v>
      </c>
      <c r="C1683" t="str">
        <f>IFERROR(__xludf.DUMMYFUNCTION("""COMPUTED_VALUE"""),"Beans and Lentils")</f>
        <v>Beans and Lentils</v>
      </c>
      <c r="D1683">
        <f>IFERROR(__xludf.DUMMYFUNCTION("""COMPUTED_VALUE"""),148.0)</f>
        <v>148</v>
      </c>
      <c r="E1683">
        <f>IFERROR(__xludf.DUMMYFUNCTION("""COMPUTED_VALUE"""),0.49)</f>
        <v>0.49</v>
      </c>
      <c r="F1683">
        <f>IFERROR(__xludf.DUMMYFUNCTION("""COMPUTED_VALUE"""),8.98)</f>
        <v>8.98</v>
      </c>
      <c r="G1683">
        <f>IFERROR(__xludf.DUMMYFUNCTION("""COMPUTED_VALUE"""),27.68)</f>
        <v>27.68</v>
      </c>
    </row>
    <row r="1684">
      <c r="A1684">
        <f>IFERROR(__xludf.DUMMYFUNCTION("""COMPUTED_VALUE"""),784181.0)</f>
        <v>784181</v>
      </c>
      <c r="B1684" t="str">
        <f>IFERROR(__xludf.DUMMYFUNCTION("""COMPUTED_VALUE"""),"Pinto Calico Or Red Mexican Beans Dry Cooked Ns As To Fat Added In Cooking")</f>
        <v>Pinto Calico Or Red Mexican Beans Dry Cooked Ns As To Fat Added In Cooking</v>
      </c>
      <c r="C1684" t="str">
        <f>IFERROR(__xludf.DUMMYFUNCTION("""COMPUTED_VALUE"""),"Beans and Lentils")</f>
        <v>Beans and Lentils</v>
      </c>
      <c r="D1684">
        <f>IFERROR(__xludf.DUMMYFUNCTION("""COMPUTED_VALUE"""),197.0)</f>
        <v>197</v>
      </c>
      <c r="E1684">
        <f>IFERROR(__xludf.DUMMYFUNCTION("""COMPUTED_VALUE"""),7.94)</f>
        <v>7.94</v>
      </c>
      <c r="F1684">
        <f>IFERROR(__xludf.DUMMYFUNCTION("""COMPUTED_VALUE"""),8.3)</f>
        <v>8.3</v>
      </c>
      <c r="G1684">
        <f>IFERROR(__xludf.DUMMYFUNCTION("""COMPUTED_VALUE"""),24.15)</f>
        <v>24.15</v>
      </c>
    </row>
    <row r="1685">
      <c r="A1685">
        <f>IFERROR(__xludf.DUMMYFUNCTION("""COMPUTED_VALUE"""),784182.0)</f>
        <v>784182</v>
      </c>
      <c r="B1685" t="str">
        <f>IFERROR(__xludf.DUMMYFUNCTION("""COMPUTED_VALUE"""),"Pinto Calico Or Red Mexican Beans Dry Cooked Fat Added In Cooking Ns As To Type Of Fat")</f>
        <v>Pinto Calico Or Red Mexican Beans Dry Cooked Fat Added In Cooking Ns As To Type Of Fat</v>
      </c>
      <c r="C1685" t="str">
        <f>IFERROR(__xludf.DUMMYFUNCTION("""COMPUTED_VALUE"""),"Beans and Lentils")</f>
        <v>Beans and Lentils</v>
      </c>
      <c r="D1685">
        <f>IFERROR(__xludf.DUMMYFUNCTION("""COMPUTED_VALUE"""),197.0)</f>
        <v>197</v>
      </c>
      <c r="E1685">
        <f>IFERROR(__xludf.DUMMYFUNCTION("""COMPUTED_VALUE"""),7.94)</f>
        <v>7.94</v>
      </c>
      <c r="F1685">
        <f>IFERROR(__xludf.DUMMYFUNCTION("""COMPUTED_VALUE"""),8.3)</f>
        <v>8.3</v>
      </c>
      <c r="G1685">
        <f>IFERROR(__xludf.DUMMYFUNCTION("""COMPUTED_VALUE"""),24.15)</f>
        <v>24.15</v>
      </c>
    </row>
    <row r="1686">
      <c r="A1686">
        <f>IFERROR(__xludf.DUMMYFUNCTION("""COMPUTED_VALUE"""),784183.0)</f>
        <v>784183</v>
      </c>
      <c r="B1686" t="str">
        <f>IFERROR(__xludf.DUMMYFUNCTION("""COMPUTED_VALUE"""),"Pinto Calico Or Red Mexican Beans Dry Cooked Made With Oil")</f>
        <v>Pinto Calico Or Red Mexican Beans Dry Cooked Made With Oil</v>
      </c>
      <c r="C1686" t="str">
        <f>IFERROR(__xludf.DUMMYFUNCTION("""COMPUTED_VALUE"""),"Beans and Lentils")</f>
        <v>Beans and Lentils</v>
      </c>
      <c r="D1686">
        <f>IFERROR(__xludf.DUMMYFUNCTION("""COMPUTED_VALUE"""),197.0)</f>
        <v>197</v>
      </c>
      <c r="E1686">
        <f>IFERROR(__xludf.DUMMYFUNCTION("""COMPUTED_VALUE"""),7.94)</f>
        <v>7.94</v>
      </c>
      <c r="F1686">
        <f>IFERROR(__xludf.DUMMYFUNCTION("""COMPUTED_VALUE"""),8.3)</f>
        <v>8.3</v>
      </c>
      <c r="G1686">
        <f>IFERROR(__xludf.DUMMYFUNCTION("""COMPUTED_VALUE"""),24.15)</f>
        <v>24.15</v>
      </c>
    </row>
    <row r="1687">
      <c r="A1687">
        <f>IFERROR(__xludf.DUMMYFUNCTION("""COMPUTED_VALUE"""),784184.0)</f>
        <v>784184</v>
      </c>
      <c r="B1687" t="str">
        <f>IFERROR(__xludf.DUMMYFUNCTION("""COMPUTED_VALUE"""),"Pinto Calico Or Red Mexican Beans Dry Cooked Made With Animal Fat Or Meat Drippings")</f>
        <v>Pinto Calico Or Red Mexican Beans Dry Cooked Made With Animal Fat Or Meat Drippings</v>
      </c>
      <c r="C1687" t="str">
        <f>IFERROR(__xludf.DUMMYFUNCTION("""COMPUTED_VALUE"""),"Beans and Lentils")</f>
        <v>Beans and Lentils</v>
      </c>
      <c r="D1687">
        <f>IFERROR(__xludf.DUMMYFUNCTION("""COMPUTED_VALUE"""),191.0)</f>
        <v>191</v>
      </c>
      <c r="E1687">
        <f>IFERROR(__xludf.DUMMYFUNCTION("""COMPUTED_VALUE"""),6.99)</f>
        <v>6.99</v>
      </c>
      <c r="F1687">
        <f>IFERROR(__xludf.DUMMYFUNCTION("""COMPUTED_VALUE"""),8.49)</f>
        <v>8.49</v>
      </c>
      <c r="G1687">
        <f>IFERROR(__xludf.DUMMYFUNCTION("""COMPUTED_VALUE"""),24.26)</f>
        <v>24.26</v>
      </c>
    </row>
    <row r="1688">
      <c r="A1688">
        <f>IFERROR(__xludf.DUMMYFUNCTION("""COMPUTED_VALUE"""),784185.0)</f>
        <v>784185</v>
      </c>
      <c r="B1688" t="str">
        <f>IFERROR(__xludf.DUMMYFUNCTION("""COMPUTED_VALUE"""),"Pinto Calico Or Red Mexican Beans Dry Cooked Made With Margarine")</f>
        <v>Pinto Calico Or Red Mexican Beans Dry Cooked Made With Margarine</v>
      </c>
      <c r="C1688" t="str">
        <f>IFERROR(__xludf.DUMMYFUNCTION("""COMPUTED_VALUE"""),"Beans and Lentils")</f>
        <v>Beans and Lentils</v>
      </c>
      <c r="D1688">
        <f>IFERROR(__xludf.DUMMYFUNCTION("""COMPUTED_VALUE"""),172.0)</f>
        <v>172</v>
      </c>
      <c r="E1688">
        <f>IFERROR(__xludf.DUMMYFUNCTION("""COMPUTED_VALUE"""),5.19)</f>
        <v>5.19</v>
      </c>
      <c r="F1688">
        <f>IFERROR(__xludf.DUMMYFUNCTION("""COMPUTED_VALUE"""),8.28)</f>
        <v>8.28</v>
      </c>
      <c r="G1688">
        <f>IFERROR(__xludf.DUMMYFUNCTION("""COMPUTED_VALUE"""),24.13)</f>
        <v>24.13</v>
      </c>
    </row>
    <row r="1689">
      <c r="A1689">
        <f>IFERROR(__xludf.DUMMYFUNCTION("""COMPUTED_VALUE"""),784186.0)</f>
        <v>784186</v>
      </c>
      <c r="B1689" t="str">
        <f>IFERROR(__xludf.DUMMYFUNCTION("""COMPUTED_VALUE"""),"Pinto Calico Or Red Mexican Beans Dry Cooked Fat Not Added In Cooking")</f>
        <v>Pinto Calico Or Red Mexican Beans Dry Cooked Fat Not Added In Cooking</v>
      </c>
      <c r="C1689" t="str">
        <f>IFERROR(__xludf.DUMMYFUNCTION("""COMPUTED_VALUE"""),"Beans and Lentils")</f>
        <v>Beans and Lentils</v>
      </c>
      <c r="D1689">
        <f>IFERROR(__xludf.DUMMYFUNCTION("""COMPUTED_VALUE"""),142.0)</f>
        <v>142</v>
      </c>
      <c r="E1689">
        <f>IFERROR(__xludf.DUMMYFUNCTION("""COMPUTED_VALUE"""),0.65)</f>
        <v>0.65</v>
      </c>
      <c r="F1689">
        <f>IFERROR(__xludf.DUMMYFUNCTION("""COMPUTED_VALUE"""),8.96)</f>
        <v>8.96</v>
      </c>
      <c r="G1689">
        <f>IFERROR(__xludf.DUMMYFUNCTION("""COMPUTED_VALUE"""),26.07)</f>
        <v>26.07</v>
      </c>
    </row>
    <row r="1690">
      <c r="A1690">
        <f>IFERROR(__xludf.DUMMYFUNCTION("""COMPUTED_VALUE"""),784187.0)</f>
        <v>784187</v>
      </c>
      <c r="B1690" t="str">
        <f>IFERROR(__xludf.DUMMYFUNCTION("""COMPUTED_VALUE"""),"Pinto Calico Or Red Mexican Beans Canned Drained Ns As To Fat Added In Cooking")</f>
        <v>Pinto Calico Or Red Mexican Beans Canned Drained Ns As To Fat Added In Cooking</v>
      </c>
      <c r="C1690" t="str">
        <f>IFERROR(__xludf.DUMMYFUNCTION("""COMPUTED_VALUE"""),"Beans and Lentils")</f>
        <v>Beans and Lentils</v>
      </c>
      <c r="D1690">
        <f>IFERROR(__xludf.DUMMYFUNCTION("""COMPUTED_VALUE"""),189.0)</f>
        <v>189</v>
      </c>
      <c r="E1690">
        <f>IFERROR(__xludf.DUMMYFUNCTION("""COMPUTED_VALUE"""),7.89)</f>
        <v>7.89</v>
      </c>
      <c r="F1690">
        <f>IFERROR(__xludf.DUMMYFUNCTION("""COMPUTED_VALUE"""),7.12)</f>
        <v>7.12</v>
      </c>
      <c r="G1690">
        <f>IFERROR(__xludf.DUMMYFUNCTION("""COMPUTED_VALUE"""),23.5)</f>
        <v>23.5</v>
      </c>
    </row>
    <row r="1691">
      <c r="A1691">
        <f>IFERROR(__xludf.DUMMYFUNCTION("""COMPUTED_VALUE"""),784188.0)</f>
        <v>784188</v>
      </c>
      <c r="B1691" t="str">
        <f>IFERROR(__xludf.DUMMYFUNCTION("""COMPUTED_VALUE"""),"Pinto Calico Or Red Mexican Beans Canned Drained Fat Added In Cooking Ns As To Type Of Fat")</f>
        <v>Pinto Calico Or Red Mexican Beans Canned Drained Fat Added In Cooking Ns As To Type Of Fat</v>
      </c>
      <c r="C1691" t="str">
        <f>IFERROR(__xludf.DUMMYFUNCTION("""COMPUTED_VALUE"""),"Beans and Lentils")</f>
        <v>Beans and Lentils</v>
      </c>
      <c r="D1691">
        <f>IFERROR(__xludf.DUMMYFUNCTION("""COMPUTED_VALUE"""),189.0)</f>
        <v>189</v>
      </c>
      <c r="E1691">
        <f>IFERROR(__xludf.DUMMYFUNCTION("""COMPUTED_VALUE"""),7.89)</f>
        <v>7.89</v>
      </c>
      <c r="F1691">
        <f>IFERROR(__xludf.DUMMYFUNCTION("""COMPUTED_VALUE"""),7.12)</f>
        <v>7.12</v>
      </c>
      <c r="G1691">
        <f>IFERROR(__xludf.DUMMYFUNCTION("""COMPUTED_VALUE"""),23.5)</f>
        <v>23.5</v>
      </c>
    </row>
    <row r="1692">
      <c r="A1692">
        <f>IFERROR(__xludf.DUMMYFUNCTION("""COMPUTED_VALUE"""),784189.0)</f>
        <v>784189</v>
      </c>
      <c r="B1692" t="str">
        <f>IFERROR(__xludf.DUMMYFUNCTION("""COMPUTED_VALUE"""),"Pinto Calico Or Red Mexican Beans Canned Drained Made With Oil")</f>
        <v>Pinto Calico Or Red Mexican Beans Canned Drained Made With Oil</v>
      </c>
      <c r="C1692" t="str">
        <f>IFERROR(__xludf.DUMMYFUNCTION("""COMPUTED_VALUE"""),"Beans and Lentils")</f>
        <v>Beans and Lentils</v>
      </c>
      <c r="D1692">
        <f>IFERROR(__xludf.DUMMYFUNCTION("""COMPUTED_VALUE"""),189.0)</f>
        <v>189</v>
      </c>
      <c r="E1692">
        <f>IFERROR(__xludf.DUMMYFUNCTION("""COMPUTED_VALUE"""),7.89)</f>
        <v>7.89</v>
      </c>
      <c r="F1692">
        <f>IFERROR(__xludf.DUMMYFUNCTION("""COMPUTED_VALUE"""),7.12)</f>
        <v>7.12</v>
      </c>
      <c r="G1692">
        <f>IFERROR(__xludf.DUMMYFUNCTION("""COMPUTED_VALUE"""),23.5)</f>
        <v>23.5</v>
      </c>
    </row>
    <row r="1693">
      <c r="A1693">
        <f>IFERROR(__xludf.DUMMYFUNCTION("""COMPUTED_VALUE"""),784190.0)</f>
        <v>784190</v>
      </c>
      <c r="B1693" t="str">
        <f>IFERROR(__xludf.DUMMYFUNCTION("""COMPUTED_VALUE"""),"Pinto Calico Or Red Mexican Beans Canned Drained Made With Animal Fat Or Meat Drippings")</f>
        <v>Pinto Calico Or Red Mexican Beans Canned Drained Made With Animal Fat Or Meat Drippings</v>
      </c>
      <c r="C1693" t="str">
        <f>IFERROR(__xludf.DUMMYFUNCTION("""COMPUTED_VALUE"""),"Beans and Lentils")</f>
        <v>Beans and Lentils</v>
      </c>
      <c r="D1693">
        <f>IFERROR(__xludf.DUMMYFUNCTION("""COMPUTED_VALUE"""),183.0)</f>
        <v>183</v>
      </c>
      <c r="E1693">
        <f>IFERROR(__xludf.DUMMYFUNCTION("""COMPUTED_VALUE"""),6.99)</f>
        <v>6.99</v>
      </c>
      <c r="F1693">
        <f>IFERROR(__xludf.DUMMYFUNCTION("""COMPUTED_VALUE"""),7.3)</f>
        <v>7.3</v>
      </c>
      <c r="G1693">
        <f>IFERROR(__xludf.DUMMYFUNCTION("""COMPUTED_VALUE"""),23.59)</f>
        <v>23.59</v>
      </c>
    </row>
    <row r="1694">
      <c r="A1694">
        <f>IFERROR(__xludf.DUMMYFUNCTION("""COMPUTED_VALUE"""),784191.0)</f>
        <v>784191</v>
      </c>
      <c r="B1694" t="str">
        <f>IFERROR(__xludf.DUMMYFUNCTION("""COMPUTED_VALUE"""),"Pinto Calico Or Red Mexican Beans Canned Drained Made With Margarine")</f>
        <v>Pinto Calico Or Red Mexican Beans Canned Drained Made With Margarine</v>
      </c>
      <c r="C1694" t="str">
        <f>IFERROR(__xludf.DUMMYFUNCTION("""COMPUTED_VALUE"""),"Beans and Lentils")</f>
        <v>Beans and Lentils</v>
      </c>
      <c r="D1694">
        <f>IFERROR(__xludf.DUMMYFUNCTION("""COMPUTED_VALUE"""),166.0)</f>
        <v>166</v>
      </c>
      <c r="E1694">
        <f>IFERROR(__xludf.DUMMYFUNCTION("""COMPUTED_VALUE"""),5.26)</f>
        <v>5.26</v>
      </c>
      <c r="F1694">
        <f>IFERROR(__xludf.DUMMYFUNCTION("""COMPUTED_VALUE"""),7.11)</f>
        <v>7.11</v>
      </c>
      <c r="G1694">
        <f>IFERROR(__xludf.DUMMYFUNCTION("""COMPUTED_VALUE"""),23.48)</f>
        <v>23.48</v>
      </c>
    </row>
    <row r="1695">
      <c r="A1695">
        <f>IFERROR(__xludf.DUMMYFUNCTION("""COMPUTED_VALUE"""),784192.0)</f>
        <v>784192</v>
      </c>
      <c r="B1695" t="str">
        <f>IFERROR(__xludf.DUMMYFUNCTION("""COMPUTED_VALUE"""),"Pinto Calico Or Red Mexican Beans Canned Drained Fat Not Added In Cooking")</f>
        <v>Pinto Calico Or Red Mexican Beans Canned Drained Fat Not Added In Cooking</v>
      </c>
      <c r="C1695" t="str">
        <f>IFERROR(__xludf.DUMMYFUNCTION("""COMPUTED_VALUE"""),"Beans and Lentils")</f>
        <v>Beans and Lentils</v>
      </c>
      <c r="D1695">
        <f>IFERROR(__xludf.DUMMYFUNCTION("""COMPUTED_VALUE"""),137.0)</f>
        <v>137</v>
      </c>
      <c r="E1695">
        <f>IFERROR(__xludf.DUMMYFUNCTION("""COMPUTED_VALUE"""),0.93)</f>
        <v>0.93</v>
      </c>
      <c r="F1695">
        <f>IFERROR(__xludf.DUMMYFUNCTION("""COMPUTED_VALUE"""),7.66)</f>
        <v>7.66</v>
      </c>
      <c r="G1695">
        <f>IFERROR(__xludf.DUMMYFUNCTION("""COMPUTED_VALUE"""),25.27)</f>
        <v>25.27</v>
      </c>
    </row>
    <row r="1696">
      <c r="A1696">
        <f>IFERROR(__xludf.DUMMYFUNCTION("""COMPUTED_VALUE"""),784193.0)</f>
        <v>784193</v>
      </c>
      <c r="B1696" t="str">
        <f>IFERROR(__xludf.DUMMYFUNCTION("""COMPUTED_VALUE"""),"Pinto Calico Or Red Mexican Beans Canned Drained Low Sodium Ns As To Fat Added In Cooking")</f>
        <v>Pinto Calico Or Red Mexican Beans Canned Drained Low Sodium Ns As To Fat Added In Cooking</v>
      </c>
      <c r="C1696" t="str">
        <f>IFERROR(__xludf.DUMMYFUNCTION("""COMPUTED_VALUE"""),"Beans and Lentils")</f>
        <v>Beans and Lentils</v>
      </c>
      <c r="D1696">
        <f>IFERROR(__xludf.DUMMYFUNCTION("""COMPUTED_VALUE"""),189.0)</f>
        <v>189</v>
      </c>
      <c r="E1696">
        <f>IFERROR(__xludf.DUMMYFUNCTION("""COMPUTED_VALUE"""),7.9)</f>
        <v>7.9</v>
      </c>
      <c r="F1696">
        <f>IFERROR(__xludf.DUMMYFUNCTION("""COMPUTED_VALUE"""),7.13)</f>
        <v>7.13</v>
      </c>
      <c r="G1696">
        <f>IFERROR(__xludf.DUMMYFUNCTION("""COMPUTED_VALUE"""),23.52)</f>
        <v>23.52</v>
      </c>
    </row>
    <row r="1697">
      <c r="A1697">
        <f>IFERROR(__xludf.DUMMYFUNCTION("""COMPUTED_VALUE"""),784194.0)</f>
        <v>784194</v>
      </c>
      <c r="B1697" t="str">
        <f>IFERROR(__xludf.DUMMYFUNCTION("""COMPUTED_VALUE"""),"Pinto Calico Or Red Mexican Beans Canned Drained Low Sodium Fat Added In Cooking")</f>
        <v>Pinto Calico Or Red Mexican Beans Canned Drained Low Sodium Fat Added In Cooking</v>
      </c>
      <c r="C1697" t="str">
        <f>IFERROR(__xludf.DUMMYFUNCTION("""COMPUTED_VALUE"""),"Beans and Lentils")</f>
        <v>Beans and Lentils</v>
      </c>
      <c r="D1697">
        <f>IFERROR(__xludf.DUMMYFUNCTION("""COMPUTED_VALUE"""),189.0)</f>
        <v>189</v>
      </c>
      <c r="E1697">
        <f>IFERROR(__xludf.DUMMYFUNCTION("""COMPUTED_VALUE"""),7.9)</f>
        <v>7.9</v>
      </c>
      <c r="F1697">
        <f>IFERROR(__xludf.DUMMYFUNCTION("""COMPUTED_VALUE"""),7.13)</f>
        <v>7.13</v>
      </c>
      <c r="G1697">
        <f>IFERROR(__xludf.DUMMYFUNCTION("""COMPUTED_VALUE"""),23.52)</f>
        <v>23.52</v>
      </c>
    </row>
    <row r="1698">
      <c r="A1698">
        <f>IFERROR(__xludf.DUMMYFUNCTION("""COMPUTED_VALUE"""),784195.0)</f>
        <v>784195</v>
      </c>
      <c r="B1698" t="str">
        <f>IFERROR(__xludf.DUMMYFUNCTION("""COMPUTED_VALUE"""),"Pinto Calico Or Red Mexican Beans Canned Drained Low Sodium Fat Not Added In Cooking")</f>
        <v>Pinto Calico Or Red Mexican Beans Canned Drained Low Sodium Fat Not Added In Cooking</v>
      </c>
      <c r="C1698" t="str">
        <f>IFERROR(__xludf.DUMMYFUNCTION("""COMPUTED_VALUE"""),"Beans and Lentils")</f>
        <v>Beans and Lentils</v>
      </c>
      <c r="D1698">
        <f>IFERROR(__xludf.DUMMYFUNCTION("""COMPUTED_VALUE"""),137.0)</f>
        <v>137</v>
      </c>
      <c r="E1698">
        <f>IFERROR(__xludf.DUMMYFUNCTION("""COMPUTED_VALUE"""),0.93)</f>
        <v>0.93</v>
      </c>
      <c r="F1698">
        <f>IFERROR(__xludf.DUMMYFUNCTION("""COMPUTED_VALUE"""),7.67)</f>
        <v>7.67</v>
      </c>
      <c r="G1698">
        <f>IFERROR(__xludf.DUMMYFUNCTION("""COMPUTED_VALUE"""),25.3)</f>
        <v>25.3</v>
      </c>
    </row>
    <row r="1699">
      <c r="A1699">
        <f>IFERROR(__xludf.DUMMYFUNCTION("""COMPUTED_VALUE"""),784196.0)</f>
        <v>784196</v>
      </c>
      <c r="B1699" t="str">
        <f>IFERROR(__xludf.DUMMYFUNCTION("""COMPUTED_VALUE"""),"Red Kidney Beans Dry Cooked Ns As To Fat Added In Cooking")</f>
        <v>Red Kidney Beans Dry Cooked Ns As To Fat Added In Cooking</v>
      </c>
      <c r="C1699" t="str">
        <f>IFERROR(__xludf.DUMMYFUNCTION("""COMPUTED_VALUE"""),"Beans and Lentils")</f>
        <v>Beans and Lentils</v>
      </c>
      <c r="D1699">
        <f>IFERROR(__xludf.DUMMYFUNCTION("""COMPUTED_VALUE"""),180.0)</f>
        <v>180</v>
      </c>
      <c r="E1699">
        <f>IFERROR(__xludf.DUMMYFUNCTION("""COMPUTED_VALUE"""),7.57)</f>
        <v>7.57</v>
      </c>
      <c r="F1699">
        <f>IFERROR(__xludf.DUMMYFUNCTION("""COMPUTED_VALUE"""),8.01)</f>
        <v>8.01</v>
      </c>
      <c r="G1699">
        <f>IFERROR(__xludf.DUMMYFUNCTION("""COMPUTED_VALUE"""),21.06)</f>
        <v>21.06</v>
      </c>
    </row>
    <row r="1700">
      <c r="A1700">
        <f>IFERROR(__xludf.DUMMYFUNCTION("""COMPUTED_VALUE"""),784197.0)</f>
        <v>784197</v>
      </c>
      <c r="B1700" t="str">
        <f>IFERROR(__xludf.DUMMYFUNCTION("""COMPUTED_VALUE"""),"Red Kidney Beans Dry Cooked Fat Added In Cooking Ns As To Type Of Fat")</f>
        <v>Red Kidney Beans Dry Cooked Fat Added In Cooking Ns As To Type Of Fat</v>
      </c>
      <c r="C1700" t="str">
        <f>IFERROR(__xludf.DUMMYFUNCTION("""COMPUTED_VALUE"""),"Beans and Lentils")</f>
        <v>Beans and Lentils</v>
      </c>
      <c r="D1700">
        <f>IFERROR(__xludf.DUMMYFUNCTION("""COMPUTED_VALUE"""),180.0)</f>
        <v>180</v>
      </c>
      <c r="E1700">
        <f>IFERROR(__xludf.DUMMYFUNCTION("""COMPUTED_VALUE"""),7.57)</f>
        <v>7.57</v>
      </c>
      <c r="F1700">
        <f>IFERROR(__xludf.DUMMYFUNCTION("""COMPUTED_VALUE"""),8.01)</f>
        <v>8.01</v>
      </c>
      <c r="G1700">
        <f>IFERROR(__xludf.DUMMYFUNCTION("""COMPUTED_VALUE"""),21.06)</f>
        <v>21.06</v>
      </c>
    </row>
    <row r="1701">
      <c r="A1701">
        <f>IFERROR(__xludf.DUMMYFUNCTION("""COMPUTED_VALUE"""),784198.0)</f>
        <v>784198</v>
      </c>
      <c r="B1701" t="str">
        <f>IFERROR(__xludf.DUMMYFUNCTION("""COMPUTED_VALUE"""),"Red Kidney Beans Dry Cooked Made With Oil")</f>
        <v>Red Kidney Beans Dry Cooked Made With Oil</v>
      </c>
      <c r="C1701" t="str">
        <f>IFERROR(__xludf.DUMMYFUNCTION("""COMPUTED_VALUE"""),"Beans and Lentils")</f>
        <v>Beans and Lentils</v>
      </c>
      <c r="D1701">
        <f>IFERROR(__xludf.DUMMYFUNCTION("""COMPUTED_VALUE"""),180.0)</f>
        <v>180</v>
      </c>
      <c r="E1701">
        <f>IFERROR(__xludf.DUMMYFUNCTION("""COMPUTED_VALUE"""),7.57)</f>
        <v>7.57</v>
      </c>
      <c r="F1701">
        <f>IFERROR(__xludf.DUMMYFUNCTION("""COMPUTED_VALUE"""),8.01)</f>
        <v>8.01</v>
      </c>
      <c r="G1701">
        <f>IFERROR(__xludf.DUMMYFUNCTION("""COMPUTED_VALUE"""),21.06)</f>
        <v>21.06</v>
      </c>
    </row>
    <row r="1702">
      <c r="A1702">
        <f>IFERROR(__xludf.DUMMYFUNCTION("""COMPUTED_VALUE"""),784199.0)</f>
        <v>784199</v>
      </c>
      <c r="B1702" t="str">
        <f>IFERROR(__xludf.DUMMYFUNCTION("""COMPUTED_VALUE"""),"Red Kidney Beans Dry Cooked Made With Animal Fat Or Meat Drippings")</f>
        <v>Red Kidney Beans Dry Cooked Made With Animal Fat Or Meat Drippings</v>
      </c>
      <c r="C1702" t="str">
        <f>IFERROR(__xludf.DUMMYFUNCTION("""COMPUTED_VALUE"""),"Beans and Lentils")</f>
        <v>Beans and Lentils</v>
      </c>
      <c r="D1702">
        <f>IFERROR(__xludf.DUMMYFUNCTION("""COMPUTED_VALUE"""),174.0)</f>
        <v>174</v>
      </c>
      <c r="E1702">
        <f>IFERROR(__xludf.DUMMYFUNCTION("""COMPUTED_VALUE"""),6.65)</f>
        <v>6.65</v>
      </c>
      <c r="F1702">
        <f>IFERROR(__xludf.DUMMYFUNCTION("""COMPUTED_VALUE"""),8.19)</f>
        <v>8.19</v>
      </c>
      <c r="G1702">
        <f>IFERROR(__xludf.DUMMYFUNCTION("""COMPUTED_VALUE"""),21.15)</f>
        <v>21.15</v>
      </c>
    </row>
    <row r="1703">
      <c r="A1703">
        <f>IFERROR(__xludf.DUMMYFUNCTION("""COMPUTED_VALUE"""),784200.0)</f>
        <v>784200</v>
      </c>
      <c r="B1703" t="str">
        <f>IFERROR(__xludf.DUMMYFUNCTION("""COMPUTED_VALUE"""),"Red Kidney Beans Dry Cooked Made With Margarine")</f>
        <v>Red Kidney Beans Dry Cooked Made With Margarine</v>
      </c>
      <c r="C1703" t="str">
        <f>IFERROR(__xludf.DUMMYFUNCTION("""COMPUTED_VALUE"""),"Beans and Lentils")</f>
        <v>Beans and Lentils</v>
      </c>
      <c r="D1703">
        <f>IFERROR(__xludf.DUMMYFUNCTION("""COMPUTED_VALUE"""),157.0)</f>
        <v>157</v>
      </c>
      <c r="E1703">
        <f>IFERROR(__xludf.DUMMYFUNCTION("""COMPUTED_VALUE"""),4.91)</f>
        <v>4.91</v>
      </c>
      <c r="F1703">
        <f>IFERROR(__xludf.DUMMYFUNCTION("""COMPUTED_VALUE"""),7.99)</f>
        <v>7.99</v>
      </c>
      <c r="G1703">
        <f>IFERROR(__xludf.DUMMYFUNCTION("""COMPUTED_VALUE"""),21.05)</f>
        <v>21.05</v>
      </c>
    </row>
    <row r="1704">
      <c r="A1704">
        <f>IFERROR(__xludf.DUMMYFUNCTION("""COMPUTED_VALUE"""),784201.0)</f>
        <v>784201</v>
      </c>
      <c r="B1704" t="str">
        <f>IFERROR(__xludf.DUMMYFUNCTION("""COMPUTED_VALUE"""),"Red Kidney Beans Dry Cooked Fat Not Added In Cooking")</f>
        <v>Red Kidney Beans Dry Cooked Fat Not Added In Cooking</v>
      </c>
      <c r="C1704" t="str">
        <f>IFERROR(__xludf.DUMMYFUNCTION("""COMPUTED_VALUE"""),"Beans and Lentils")</f>
        <v>Beans and Lentils</v>
      </c>
      <c r="D1704">
        <f>IFERROR(__xludf.DUMMYFUNCTION("""COMPUTED_VALUE"""),126.0)</f>
        <v>126</v>
      </c>
      <c r="E1704">
        <f>IFERROR(__xludf.DUMMYFUNCTION("""COMPUTED_VALUE"""),0.5)</f>
        <v>0.5</v>
      </c>
      <c r="F1704">
        <f>IFERROR(__xludf.DUMMYFUNCTION("""COMPUTED_VALUE"""),8.62)</f>
        <v>8.62</v>
      </c>
      <c r="G1704">
        <f>IFERROR(__xludf.DUMMYFUNCTION("""COMPUTED_VALUE"""),22.67)</f>
        <v>22.67</v>
      </c>
    </row>
    <row r="1705">
      <c r="A1705">
        <f>IFERROR(__xludf.DUMMYFUNCTION("""COMPUTED_VALUE"""),784202.0)</f>
        <v>784202</v>
      </c>
      <c r="B1705" t="str">
        <f>IFERROR(__xludf.DUMMYFUNCTION("""COMPUTED_VALUE"""),"Red Kidney Beans Canned Drained Fat Added In Cooking Ns As To Type Of Fat")</f>
        <v>Red Kidney Beans Canned Drained Fat Added In Cooking Ns As To Type Of Fat</v>
      </c>
      <c r="C1705" t="str">
        <f>IFERROR(__xludf.DUMMYFUNCTION("""COMPUTED_VALUE"""),"Beans and Lentils")</f>
        <v>Beans and Lentils</v>
      </c>
      <c r="D1705">
        <f>IFERROR(__xludf.DUMMYFUNCTION("""COMPUTED_VALUE"""),188.0)</f>
        <v>188</v>
      </c>
      <c r="E1705">
        <f>IFERROR(__xludf.DUMMYFUNCTION("""COMPUTED_VALUE"""),7.58)</f>
        <v>7.58</v>
      </c>
      <c r="F1705">
        <f>IFERROR(__xludf.DUMMYFUNCTION("""COMPUTED_VALUE"""),8.09)</f>
        <v>8.09</v>
      </c>
      <c r="G1705">
        <f>IFERROR(__xludf.DUMMYFUNCTION("""COMPUTED_VALUE"""),22.98)</f>
        <v>22.98</v>
      </c>
    </row>
    <row r="1706">
      <c r="A1706">
        <f>IFERROR(__xludf.DUMMYFUNCTION("""COMPUTED_VALUE"""),784203.0)</f>
        <v>784203</v>
      </c>
      <c r="B1706" t="str">
        <f>IFERROR(__xludf.DUMMYFUNCTION("""COMPUTED_VALUE"""),"Red Kidney Beans Canned Drained Made With Oil")</f>
        <v>Red Kidney Beans Canned Drained Made With Oil</v>
      </c>
      <c r="C1706" t="str">
        <f>IFERROR(__xludf.DUMMYFUNCTION("""COMPUTED_VALUE"""),"Beans and Lentils")</f>
        <v>Beans and Lentils</v>
      </c>
      <c r="D1706">
        <f>IFERROR(__xludf.DUMMYFUNCTION("""COMPUTED_VALUE"""),188.0)</f>
        <v>188</v>
      </c>
      <c r="E1706">
        <f>IFERROR(__xludf.DUMMYFUNCTION("""COMPUTED_VALUE"""),7.58)</f>
        <v>7.58</v>
      </c>
      <c r="F1706">
        <f>IFERROR(__xludf.DUMMYFUNCTION("""COMPUTED_VALUE"""),8.09)</f>
        <v>8.09</v>
      </c>
      <c r="G1706">
        <f>IFERROR(__xludf.DUMMYFUNCTION("""COMPUTED_VALUE"""),22.98)</f>
        <v>22.98</v>
      </c>
    </row>
    <row r="1707">
      <c r="A1707">
        <f>IFERROR(__xludf.DUMMYFUNCTION("""COMPUTED_VALUE"""),784204.0)</f>
        <v>784204</v>
      </c>
      <c r="B1707" t="str">
        <f>IFERROR(__xludf.DUMMYFUNCTION("""COMPUTED_VALUE"""),"Red Kidney Beans Canned Drained Fat Not Added In Cooking")</f>
        <v>Red Kidney Beans Canned Drained Fat Not Added In Cooking</v>
      </c>
      <c r="C1707" t="str">
        <f>IFERROR(__xludf.DUMMYFUNCTION("""COMPUTED_VALUE"""),"Beans and Lentils")</f>
        <v>Beans and Lentils</v>
      </c>
      <c r="D1707">
        <f>IFERROR(__xludf.DUMMYFUNCTION("""COMPUTED_VALUE"""),135.0)</f>
        <v>135</v>
      </c>
      <c r="E1707">
        <f>IFERROR(__xludf.DUMMYFUNCTION("""COMPUTED_VALUE"""),0.6)</f>
        <v>0.6</v>
      </c>
      <c r="F1707">
        <f>IFERROR(__xludf.DUMMYFUNCTION("""COMPUTED_VALUE"""),8.7)</f>
        <v>8.7</v>
      </c>
      <c r="G1707">
        <f>IFERROR(__xludf.DUMMYFUNCTION("""COMPUTED_VALUE"""),24.72)</f>
        <v>24.72</v>
      </c>
    </row>
    <row r="1708">
      <c r="A1708">
        <f>IFERROR(__xludf.DUMMYFUNCTION("""COMPUTED_VALUE"""),784205.0)</f>
        <v>784205</v>
      </c>
      <c r="B1708" t="str">
        <f>IFERROR(__xludf.DUMMYFUNCTION("""COMPUTED_VALUE"""),"Red Kidney Beans Canned Drained Low Sodium Ns As To Fat Added In Cooking")</f>
        <v>Red Kidney Beans Canned Drained Low Sodium Ns As To Fat Added In Cooking</v>
      </c>
      <c r="C1708" t="str">
        <f>IFERROR(__xludf.DUMMYFUNCTION("""COMPUTED_VALUE"""),"Beans and Lentils")</f>
        <v>Beans and Lentils</v>
      </c>
      <c r="D1708">
        <f>IFERROR(__xludf.DUMMYFUNCTION("""COMPUTED_VALUE"""),188.0)</f>
        <v>188</v>
      </c>
      <c r="E1708">
        <f>IFERROR(__xludf.DUMMYFUNCTION("""COMPUTED_VALUE"""),7.6)</f>
        <v>7.6</v>
      </c>
      <c r="F1708">
        <f>IFERROR(__xludf.DUMMYFUNCTION("""COMPUTED_VALUE"""),8.09)</f>
        <v>8.09</v>
      </c>
      <c r="G1708">
        <f>IFERROR(__xludf.DUMMYFUNCTION("""COMPUTED_VALUE"""),22.98)</f>
        <v>22.98</v>
      </c>
    </row>
    <row r="1709">
      <c r="A1709">
        <f>IFERROR(__xludf.DUMMYFUNCTION("""COMPUTED_VALUE"""),784206.0)</f>
        <v>784206</v>
      </c>
      <c r="B1709" t="str">
        <f>IFERROR(__xludf.DUMMYFUNCTION("""COMPUTED_VALUE"""),"Red Kidney Beans Canned Drained Low Sodium Fat Added In Cooking")</f>
        <v>Red Kidney Beans Canned Drained Low Sodium Fat Added In Cooking</v>
      </c>
      <c r="C1709" t="str">
        <f>IFERROR(__xludf.DUMMYFUNCTION("""COMPUTED_VALUE"""),"Beans and Lentils")</f>
        <v>Beans and Lentils</v>
      </c>
      <c r="D1709">
        <f>IFERROR(__xludf.DUMMYFUNCTION("""COMPUTED_VALUE"""),188.0)</f>
        <v>188</v>
      </c>
      <c r="E1709">
        <f>IFERROR(__xludf.DUMMYFUNCTION("""COMPUTED_VALUE"""),7.6)</f>
        <v>7.6</v>
      </c>
      <c r="F1709">
        <f>IFERROR(__xludf.DUMMYFUNCTION("""COMPUTED_VALUE"""),8.09)</f>
        <v>8.09</v>
      </c>
      <c r="G1709">
        <f>IFERROR(__xludf.DUMMYFUNCTION("""COMPUTED_VALUE"""),22.98)</f>
        <v>22.98</v>
      </c>
    </row>
    <row r="1710">
      <c r="A1710">
        <f>IFERROR(__xludf.DUMMYFUNCTION("""COMPUTED_VALUE"""),784207.0)</f>
        <v>784207</v>
      </c>
      <c r="B1710" t="str">
        <f>IFERROR(__xludf.DUMMYFUNCTION("""COMPUTED_VALUE"""),"Red Kidney Beans Canned Drained Low Sodium Fat Not Added In Cooking")</f>
        <v>Red Kidney Beans Canned Drained Low Sodium Fat Not Added In Cooking</v>
      </c>
      <c r="C1710" t="str">
        <f>IFERROR(__xludf.DUMMYFUNCTION("""COMPUTED_VALUE"""),"Beans and Lentils")</f>
        <v>Beans and Lentils</v>
      </c>
      <c r="D1710">
        <f>IFERROR(__xludf.DUMMYFUNCTION("""COMPUTED_VALUE"""),135.0)</f>
        <v>135</v>
      </c>
      <c r="E1710">
        <f>IFERROR(__xludf.DUMMYFUNCTION("""COMPUTED_VALUE"""),0.6)</f>
        <v>0.6</v>
      </c>
      <c r="F1710">
        <f>IFERROR(__xludf.DUMMYFUNCTION("""COMPUTED_VALUE"""),8.7)</f>
        <v>8.7</v>
      </c>
      <c r="G1710">
        <f>IFERROR(__xludf.DUMMYFUNCTION("""COMPUTED_VALUE"""),24.72)</f>
        <v>24.72</v>
      </c>
    </row>
    <row r="1711">
      <c r="A1711">
        <f>IFERROR(__xludf.DUMMYFUNCTION("""COMPUTED_VALUE"""),784208.0)</f>
        <v>784208</v>
      </c>
      <c r="B1711" t="str">
        <f>IFERROR(__xludf.DUMMYFUNCTION("""COMPUTED_VALUE"""),"Yellow Canary Or Peruvian Beans Dry Cooked Ns As To Fat Added In Cooking")</f>
        <v>Yellow Canary Or Peruvian Beans Dry Cooked Ns As To Fat Added In Cooking</v>
      </c>
      <c r="C1711" t="str">
        <f>IFERROR(__xludf.DUMMYFUNCTION("""COMPUTED_VALUE"""),"Beans and Lentils")</f>
        <v>Beans and Lentils</v>
      </c>
      <c r="D1711">
        <f>IFERROR(__xludf.DUMMYFUNCTION("""COMPUTED_VALUE"""),195.0)</f>
        <v>195</v>
      </c>
      <c r="E1711">
        <f>IFERROR(__xludf.DUMMYFUNCTION("""COMPUTED_VALUE"""),8.0)</f>
        <v>8</v>
      </c>
      <c r="F1711">
        <f>IFERROR(__xludf.DUMMYFUNCTION("""COMPUTED_VALUE"""),8.47)</f>
        <v>8.47</v>
      </c>
      <c r="G1711">
        <f>IFERROR(__xludf.DUMMYFUNCTION("""COMPUTED_VALUE"""),23.38)</f>
        <v>23.38</v>
      </c>
    </row>
    <row r="1712">
      <c r="A1712">
        <f>IFERROR(__xludf.DUMMYFUNCTION("""COMPUTED_VALUE"""),784209.0)</f>
        <v>784209</v>
      </c>
      <c r="B1712" t="str">
        <f>IFERROR(__xludf.DUMMYFUNCTION("""COMPUTED_VALUE"""),"Yellow Canary Or Peruvian Beans Dry Cooked Fat Added In Cooking Ns As To Type Of Fat")</f>
        <v>Yellow Canary Or Peruvian Beans Dry Cooked Fat Added In Cooking Ns As To Type Of Fat</v>
      </c>
      <c r="C1712" t="str">
        <f>IFERROR(__xludf.DUMMYFUNCTION("""COMPUTED_VALUE"""),"Beans and Lentils")</f>
        <v>Beans and Lentils</v>
      </c>
      <c r="D1712">
        <f>IFERROR(__xludf.DUMMYFUNCTION("""COMPUTED_VALUE"""),195.0)</f>
        <v>195</v>
      </c>
      <c r="E1712">
        <f>IFERROR(__xludf.DUMMYFUNCTION("""COMPUTED_VALUE"""),8.0)</f>
        <v>8</v>
      </c>
      <c r="F1712">
        <f>IFERROR(__xludf.DUMMYFUNCTION("""COMPUTED_VALUE"""),8.47)</f>
        <v>8.47</v>
      </c>
      <c r="G1712">
        <f>IFERROR(__xludf.DUMMYFUNCTION("""COMPUTED_VALUE"""),23.38)</f>
        <v>23.38</v>
      </c>
    </row>
    <row r="1713">
      <c r="A1713">
        <f>IFERROR(__xludf.DUMMYFUNCTION("""COMPUTED_VALUE"""),784210.0)</f>
        <v>784210</v>
      </c>
      <c r="B1713" t="str">
        <f>IFERROR(__xludf.DUMMYFUNCTION("""COMPUTED_VALUE"""),"Yellow Canary Or Peruvian Beans Dry Cooked Made With Oil")</f>
        <v>Yellow Canary Or Peruvian Beans Dry Cooked Made With Oil</v>
      </c>
      <c r="C1713" t="str">
        <f>IFERROR(__xludf.DUMMYFUNCTION("""COMPUTED_VALUE"""),"Beans and Lentils")</f>
        <v>Beans and Lentils</v>
      </c>
      <c r="D1713">
        <f>IFERROR(__xludf.DUMMYFUNCTION("""COMPUTED_VALUE"""),195.0)</f>
        <v>195</v>
      </c>
      <c r="E1713">
        <f>IFERROR(__xludf.DUMMYFUNCTION("""COMPUTED_VALUE"""),8.0)</f>
        <v>8</v>
      </c>
      <c r="F1713">
        <f>IFERROR(__xludf.DUMMYFUNCTION("""COMPUTED_VALUE"""),8.47)</f>
        <v>8.47</v>
      </c>
      <c r="G1713">
        <f>IFERROR(__xludf.DUMMYFUNCTION("""COMPUTED_VALUE"""),23.38)</f>
        <v>23.38</v>
      </c>
    </row>
    <row r="1714">
      <c r="A1714">
        <f>IFERROR(__xludf.DUMMYFUNCTION("""COMPUTED_VALUE"""),784211.0)</f>
        <v>784211</v>
      </c>
      <c r="B1714" t="str">
        <f>IFERROR(__xludf.DUMMYFUNCTION("""COMPUTED_VALUE"""),"Yellow Canary Or Peruvian Beans Dry Cooked Made With Animal Fat Or Meat Drippings")</f>
        <v>Yellow Canary Or Peruvian Beans Dry Cooked Made With Animal Fat Or Meat Drippings</v>
      </c>
      <c r="C1714" t="str">
        <f>IFERROR(__xludf.DUMMYFUNCTION("""COMPUTED_VALUE"""),"Beans and Lentils")</f>
        <v>Beans and Lentils</v>
      </c>
      <c r="D1714">
        <f>IFERROR(__xludf.DUMMYFUNCTION("""COMPUTED_VALUE"""),189.0)</f>
        <v>189</v>
      </c>
      <c r="E1714">
        <f>IFERROR(__xludf.DUMMYFUNCTION("""COMPUTED_VALUE"""),7.1)</f>
        <v>7.1</v>
      </c>
      <c r="F1714">
        <f>IFERROR(__xludf.DUMMYFUNCTION("""COMPUTED_VALUE"""),8.65)</f>
        <v>8.65</v>
      </c>
      <c r="G1714">
        <f>IFERROR(__xludf.DUMMYFUNCTION("""COMPUTED_VALUE"""),23.48)</f>
        <v>23.48</v>
      </c>
    </row>
    <row r="1715">
      <c r="A1715">
        <f>IFERROR(__xludf.DUMMYFUNCTION("""COMPUTED_VALUE"""),784212.0)</f>
        <v>784212</v>
      </c>
      <c r="B1715" t="str">
        <f>IFERROR(__xludf.DUMMYFUNCTION("""COMPUTED_VALUE"""),"Yellow Canary Or Peruvian Beans Dry Cooked Made With Margarine")</f>
        <v>Yellow Canary Or Peruvian Beans Dry Cooked Made With Margarine</v>
      </c>
      <c r="C1715" t="str">
        <f>IFERROR(__xludf.DUMMYFUNCTION("""COMPUTED_VALUE"""),"Beans and Lentils")</f>
        <v>Beans and Lentils</v>
      </c>
      <c r="D1715">
        <f>IFERROR(__xludf.DUMMYFUNCTION("""COMPUTED_VALUE"""),172.0)</f>
        <v>172</v>
      </c>
      <c r="E1715">
        <f>IFERROR(__xludf.DUMMYFUNCTION("""COMPUTED_VALUE"""),5.38)</f>
        <v>5.38</v>
      </c>
      <c r="F1715">
        <f>IFERROR(__xludf.DUMMYFUNCTION("""COMPUTED_VALUE"""),8.45)</f>
        <v>8.45</v>
      </c>
      <c r="G1715">
        <f>IFERROR(__xludf.DUMMYFUNCTION("""COMPUTED_VALUE"""),23.36)</f>
        <v>23.36</v>
      </c>
    </row>
    <row r="1716">
      <c r="A1716">
        <f>IFERROR(__xludf.DUMMYFUNCTION("""COMPUTED_VALUE"""),784213.0)</f>
        <v>784213</v>
      </c>
      <c r="B1716" t="str">
        <f>IFERROR(__xludf.DUMMYFUNCTION("""COMPUTED_VALUE"""),"Yellow Canary Or Peruvian Beans Dry Cooked Fat Not Added In Cooking")</f>
        <v>Yellow Canary Or Peruvian Beans Dry Cooked Fat Not Added In Cooking</v>
      </c>
      <c r="C1716" t="str">
        <f>IFERROR(__xludf.DUMMYFUNCTION("""COMPUTED_VALUE"""),"Beans and Lentils")</f>
        <v>Beans and Lentils</v>
      </c>
      <c r="D1716">
        <f>IFERROR(__xludf.DUMMYFUNCTION("""COMPUTED_VALUE"""),143.0)</f>
        <v>143</v>
      </c>
      <c r="E1716">
        <f>IFERROR(__xludf.DUMMYFUNCTION("""COMPUTED_VALUE"""),1.07)</f>
        <v>1.07</v>
      </c>
      <c r="F1716">
        <f>IFERROR(__xludf.DUMMYFUNCTION("""COMPUTED_VALUE"""),9.11)</f>
        <v>9.11</v>
      </c>
      <c r="G1716">
        <f>IFERROR(__xludf.DUMMYFUNCTION("""COMPUTED_VALUE"""),25.14)</f>
        <v>25.14</v>
      </c>
    </row>
    <row r="1717">
      <c r="A1717">
        <f>IFERROR(__xludf.DUMMYFUNCTION("""COMPUTED_VALUE"""),784214.0)</f>
        <v>784214</v>
      </c>
      <c r="B1717" t="str">
        <f>IFERROR(__xludf.DUMMYFUNCTION("""COMPUTED_VALUE"""),"Yellow Canary Or Peruvian Beans Canned Drained Fat Added In Cooking Ns As To Type Of Fat")</f>
        <v>Yellow Canary Or Peruvian Beans Canned Drained Fat Added In Cooking Ns As To Type Of Fat</v>
      </c>
      <c r="C1717" t="str">
        <f>IFERROR(__xludf.DUMMYFUNCTION("""COMPUTED_VALUE"""),"Beans and Lentils")</f>
        <v>Beans and Lentils</v>
      </c>
      <c r="D1717">
        <f>IFERROR(__xludf.DUMMYFUNCTION("""COMPUTED_VALUE"""),195.0)</f>
        <v>195</v>
      </c>
      <c r="E1717">
        <f>IFERROR(__xludf.DUMMYFUNCTION("""COMPUTED_VALUE"""),7.97)</f>
        <v>7.97</v>
      </c>
      <c r="F1717">
        <f>IFERROR(__xludf.DUMMYFUNCTION("""COMPUTED_VALUE"""),8.45)</f>
        <v>8.45</v>
      </c>
      <c r="G1717">
        <f>IFERROR(__xludf.DUMMYFUNCTION("""COMPUTED_VALUE"""),23.32)</f>
        <v>23.32</v>
      </c>
    </row>
    <row r="1718">
      <c r="A1718">
        <f>IFERROR(__xludf.DUMMYFUNCTION("""COMPUTED_VALUE"""),784215.0)</f>
        <v>784215</v>
      </c>
      <c r="B1718" t="str">
        <f>IFERROR(__xludf.DUMMYFUNCTION("""COMPUTED_VALUE"""),"Soybeans Dry Cooked Fat Not Added In Cooking")</f>
        <v>Soybeans Dry Cooked Fat Not Added In Cooking</v>
      </c>
      <c r="C1718" t="str">
        <f>IFERROR(__xludf.DUMMYFUNCTION("""COMPUTED_VALUE"""),"Beans and Lentils")</f>
        <v>Beans and Lentils</v>
      </c>
      <c r="D1718">
        <f>IFERROR(__xludf.DUMMYFUNCTION("""COMPUTED_VALUE"""),171.0)</f>
        <v>171</v>
      </c>
      <c r="E1718">
        <f>IFERROR(__xludf.DUMMYFUNCTION("""COMPUTED_VALUE"""),8.92)</f>
        <v>8.92</v>
      </c>
      <c r="F1718">
        <f>IFERROR(__xludf.DUMMYFUNCTION("""COMPUTED_VALUE"""),18.1)</f>
        <v>18.1</v>
      </c>
      <c r="G1718">
        <f>IFERROR(__xludf.DUMMYFUNCTION("""COMPUTED_VALUE"""),8.31)</f>
        <v>8.31</v>
      </c>
    </row>
    <row r="1719">
      <c r="A1719">
        <f>IFERROR(__xludf.DUMMYFUNCTION("""COMPUTED_VALUE"""),784216.0)</f>
        <v>784216</v>
      </c>
      <c r="B1719" t="str">
        <f>IFERROR(__xludf.DUMMYFUNCTION("""COMPUTED_VALUE"""),"Soybeans Dry Cooked Fat Added In Cooking")</f>
        <v>Soybeans Dry Cooked Fat Added In Cooking</v>
      </c>
      <c r="C1719" t="str">
        <f>IFERROR(__xludf.DUMMYFUNCTION("""COMPUTED_VALUE"""),"Beans and Lentils")</f>
        <v>Beans and Lentils</v>
      </c>
      <c r="D1719">
        <f>IFERROR(__xludf.DUMMYFUNCTION("""COMPUTED_VALUE"""),223.0)</f>
        <v>223</v>
      </c>
      <c r="E1719">
        <f>IFERROR(__xludf.DUMMYFUNCTION("""COMPUTED_VALUE"""),15.57)</f>
        <v>15.57</v>
      </c>
      <c r="F1719">
        <f>IFERROR(__xludf.DUMMYFUNCTION("""COMPUTED_VALUE"""),16.78)</f>
        <v>16.78</v>
      </c>
      <c r="G1719">
        <f>IFERROR(__xludf.DUMMYFUNCTION("""COMPUTED_VALUE"""),7.7)</f>
        <v>7.7</v>
      </c>
    </row>
    <row r="1720">
      <c r="A1720">
        <f>IFERROR(__xludf.DUMMYFUNCTION("""COMPUTED_VALUE"""),784217.0)</f>
        <v>784217</v>
      </c>
      <c r="B1720" t="str">
        <f>IFERROR(__xludf.DUMMYFUNCTION("""COMPUTED_VALUE"""),"Soybeans Dry Cooked Ns As To Fat Added In Cooking")</f>
        <v>Soybeans Dry Cooked Ns As To Fat Added In Cooking</v>
      </c>
      <c r="C1720" t="str">
        <f>IFERROR(__xludf.DUMMYFUNCTION("""COMPUTED_VALUE"""),"Beans and Lentils")</f>
        <v>Beans and Lentils</v>
      </c>
      <c r="D1720">
        <f>IFERROR(__xludf.DUMMYFUNCTION("""COMPUTED_VALUE"""),223.0)</f>
        <v>223</v>
      </c>
      <c r="E1720">
        <f>IFERROR(__xludf.DUMMYFUNCTION("""COMPUTED_VALUE"""),15.57)</f>
        <v>15.57</v>
      </c>
      <c r="F1720">
        <f>IFERROR(__xludf.DUMMYFUNCTION("""COMPUTED_VALUE"""),16.78)</f>
        <v>16.78</v>
      </c>
      <c r="G1720">
        <f>IFERROR(__xludf.DUMMYFUNCTION("""COMPUTED_VALUE"""),7.7)</f>
        <v>7.7</v>
      </c>
    </row>
    <row r="1721">
      <c r="A1721">
        <f>IFERROR(__xludf.DUMMYFUNCTION("""COMPUTED_VALUE"""),784218.0)</f>
        <v>784218</v>
      </c>
      <c r="B1721" t="str">
        <f>IFERROR(__xludf.DUMMYFUNCTION("""COMPUTED_VALUE"""),"Mung Beans Dry Cooked Fat Not Added In Cooking")</f>
        <v>Mung Beans Dry Cooked Fat Not Added In Cooking</v>
      </c>
      <c r="C1721" t="str">
        <f>IFERROR(__xludf.DUMMYFUNCTION("""COMPUTED_VALUE"""),"Beans and Lentils")</f>
        <v>Beans and Lentils</v>
      </c>
      <c r="D1721">
        <f>IFERROR(__xludf.DUMMYFUNCTION("""COMPUTED_VALUE"""),104.0)</f>
        <v>104</v>
      </c>
      <c r="E1721">
        <f>IFERROR(__xludf.DUMMYFUNCTION("""COMPUTED_VALUE"""),0.38)</f>
        <v>0.38</v>
      </c>
      <c r="F1721">
        <f>IFERROR(__xludf.DUMMYFUNCTION("""COMPUTED_VALUE"""),6.98)</f>
        <v>6.98</v>
      </c>
      <c r="G1721">
        <f>IFERROR(__xludf.DUMMYFUNCTION("""COMPUTED_VALUE"""),19.06)</f>
        <v>19.06</v>
      </c>
    </row>
    <row r="1722">
      <c r="A1722">
        <f>IFERROR(__xludf.DUMMYFUNCTION("""COMPUTED_VALUE"""),784219.0)</f>
        <v>784219</v>
      </c>
      <c r="B1722" t="str">
        <f>IFERROR(__xludf.DUMMYFUNCTION("""COMPUTED_VALUE"""),"Mung Beans Dry Cooked Fat Added In Cooking")</f>
        <v>Mung Beans Dry Cooked Fat Added In Cooking</v>
      </c>
      <c r="C1722" t="str">
        <f>IFERROR(__xludf.DUMMYFUNCTION("""COMPUTED_VALUE"""),"Beans and Lentils")</f>
        <v>Beans and Lentils</v>
      </c>
      <c r="D1722">
        <f>IFERROR(__xludf.DUMMYFUNCTION("""COMPUTED_VALUE"""),154.0)</f>
        <v>154</v>
      </c>
      <c r="E1722">
        <f>IFERROR(__xludf.DUMMYFUNCTION("""COMPUTED_VALUE"""),6.64)</f>
        <v>6.64</v>
      </c>
      <c r="F1722">
        <f>IFERROR(__xludf.DUMMYFUNCTION("""COMPUTED_VALUE"""),6.55)</f>
        <v>6.55</v>
      </c>
      <c r="G1722">
        <f>IFERROR(__xludf.DUMMYFUNCTION("""COMPUTED_VALUE"""),17.86)</f>
        <v>17.86</v>
      </c>
    </row>
    <row r="1723">
      <c r="A1723">
        <f>IFERROR(__xludf.DUMMYFUNCTION("""COMPUTED_VALUE"""),784220.0)</f>
        <v>784220</v>
      </c>
      <c r="B1723" t="str">
        <f>IFERROR(__xludf.DUMMYFUNCTION("""COMPUTED_VALUE"""),"Mung Beans Dry Cooked Ns As To Fat Added In Cooking")</f>
        <v>Mung Beans Dry Cooked Ns As To Fat Added In Cooking</v>
      </c>
      <c r="C1723" t="str">
        <f>IFERROR(__xludf.DUMMYFUNCTION("""COMPUTED_VALUE"""),"Beans and Lentils")</f>
        <v>Beans and Lentils</v>
      </c>
      <c r="D1723">
        <f>IFERROR(__xludf.DUMMYFUNCTION("""COMPUTED_VALUE"""),154.0)</f>
        <v>154</v>
      </c>
      <c r="E1723">
        <f>IFERROR(__xludf.DUMMYFUNCTION("""COMPUTED_VALUE"""),6.64)</f>
        <v>6.64</v>
      </c>
      <c r="F1723">
        <f>IFERROR(__xludf.DUMMYFUNCTION("""COMPUTED_VALUE"""),6.55)</f>
        <v>6.55</v>
      </c>
      <c r="G1723">
        <f>IFERROR(__xludf.DUMMYFUNCTION("""COMPUTED_VALUE"""),17.86)</f>
        <v>17.86</v>
      </c>
    </row>
    <row r="1724">
      <c r="A1724">
        <f>IFERROR(__xludf.DUMMYFUNCTION("""COMPUTED_VALUE"""),784221.0)</f>
        <v>784221</v>
      </c>
      <c r="B1724" t="str">
        <f>IFERROR(__xludf.DUMMYFUNCTION("""COMPUTED_VALUE"""),"Mung Beans Canned Drained Ns As To Fat Added In Cooking")</f>
        <v>Mung Beans Canned Drained Ns As To Fat Added In Cooking</v>
      </c>
      <c r="C1724" t="str">
        <f>IFERROR(__xludf.DUMMYFUNCTION("""COMPUTED_VALUE"""),"Beans and Lentils")</f>
        <v>Beans and Lentils</v>
      </c>
      <c r="D1724">
        <f>IFERROR(__xludf.DUMMYFUNCTION("""COMPUTED_VALUE"""),159.0)</f>
        <v>159</v>
      </c>
      <c r="E1724">
        <f>IFERROR(__xludf.DUMMYFUNCTION("""COMPUTED_VALUE"""),7.32)</f>
        <v>7.32</v>
      </c>
      <c r="F1724">
        <f>IFERROR(__xludf.DUMMYFUNCTION("""COMPUTED_VALUE"""),6.48)</f>
        <v>6.48</v>
      </c>
      <c r="G1724">
        <f>IFERROR(__xludf.DUMMYFUNCTION("""COMPUTED_VALUE"""),17.67)</f>
        <v>17.67</v>
      </c>
    </row>
    <row r="1725">
      <c r="A1725">
        <f>IFERROR(__xludf.DUMMYFUNCTION("""COMPUTED_VALUE"""),784225.0)</f>
        <v>784225</v>
      </c>
      <c r="B1725" t="str">
        <f>IFERROR(__xludf.DUMMYFUNCTION("""COMPUTED_VALUE"""),"Beans And Tomatoes Ns As To Fat Added In Cooking")</f>
        <v>Beans And Tomatoes Ns As To Fat Added In Cooking</v>
      </c>
      <c r="C1725" t="str">
        <f>IFERROR(__xludf.DUMMYFUNCTION("""COMPUTED_VALUE"""),"Beans and Lentils")</f>
        <v>Beans and Lentils</v>
      </c>
      <c r="D1725">
        <f>IFERROR(__xludf.DUMMYFUNCTION("""COMPUTED_VALUE"""),141.0)</f>
        <v>141</v>
      </c>
      <c r="E1725">
        <f>IFERROR(__xludf.DUMMYFUNCTION("""COMPUTED_VALUE"""),5.48)</f>
        <v>5.48</v>
      </c>
      <c r="F1725">
        <f>IFERROR(__xludf.DUMMYFUNCTION("""COMPUTED_VALUE"""),6.07)</f>
        <v>6.07</v>
      </c>
      <c r="G1725">
        <f>IFERROR(__xludf.DUMMYFUNCTION("""COMPUTED_VALUE"""),17.9)</f>
        <v>17.9</v>
      </c>
    </row>
    <row r="1726">
      <c r="A1726">
        <f>IFERROR(__xludf.DUMMYFUNCTION("""COMPUTED_VALUE"""),784226.0)</f>
        <v>784226</v>
      </c>
      <c r="B1726" t="str">
        <f>IFERROR(__xludf.DUMMYFUNCTION("""COMPUTED_VALUE"""),"Beans And Tomatoes Fat Not Added In Cooking")</f>
        <v>Beans And Tomatoes Fat Not Added In Cooking</v>
      </c>
      <c r="C1726" t="str">
        <f>IFERROR(__xludf.DUMMYFUNCTION("""COMPUTED_VALUE"""),"Beans and Lentils")</f>
        <v>Beans and Lentils</v>
      </c>
      <c r="D1726">
        <f>IFERROR(__xludf.DUMMYFUNCTION("""COMPUTED_VALUE"""),101.0)</f>
        <v>101</v>
      </c>
      <c r="E1726">
        <f>IFERROR(__xludf.DUMMYFUNCTION("""COMPUTED_VALUE"""),0.48)</f>
        <v>0.48</v>
      </c>
      <c r="F1726">
        <f>IFERROR(__xludf.DUMMYFUNCTION("""COMPUTED_VALUE"""),6.28)</f>
        <v>6.28</v>
      </c>
      <c r="G1726">
        <f>IFERROR(__xludf.DUMMYFUNCTION("""COMPUTED_VALUE"""),18.97)</f>
        <v>18.97</v>
      </c>
    </row>
    <row r="1727">
      <c r="A1727">
        <f>IFERROR(__xludf.DUMMYFUNCTION("""COMPUTED_VALUE"""),784227.0)</f>
        <v>784227</v>
      </c>
      <c r="B1727" t="str">
        <f>IFERROR(__xludf.DUMMYFUNCTION("""COMPUTED_VALUE"""),"Beans And Tomatoes Fat Added In Cooking")</f>
        <v>Beans And Tomatoes Fat Added In Cooking</v>
      </c>
      <c r="C1727" t="str">
        <f>IFERROR(__xludf.DUMMYFUNCTION("""COMPUTED_VALUE"""),"Beans and Lentils")</f>
        <v>Beans and Lentils</v>
      </c>
      <c r="D1727">
        <f>IFERROR(__xludf.DUMMYFUNCTION("""COMPUTED_VALUE"""),141.0)</f>
        <v>141</v>
      </c>
      <c r="E1727">
        <f>IFERROR(__xludf.DUMMYFUNCTION("""COMPUTED_VALUE"""),5.48)</f>
        <v>5.48</v>
      </c>
      <c r="F1727">
        <f>IFERROR(__xludf.DUMMYFUNCTION("""COMPUTED_VALUE"""),6.07)</f>
        <v>6.07</v>
      </c>
      <c r="G1727">
        <f>IFERROR(__xludf.DUMMYFUNCTION("""COMPUTED_VALUE"""),17.9)</f>
        <v>17.9</v>
      </c>
    </row>
    <row r="1728">
      <c r="A1728">
        <f>IFERROR(__xludf.DUMMYFUNCTION("""COMPUTED_VALUE"""),784228.0)</f>
        <v>784228</v>
      </c>
      <c r="B1728" t="str">
        <f>IFERROR(__xludf.DUMMYFUNCTION("""COMPUTED_VALUE"""),"Black Bean Salad")</f>
        <v>Black Bean Salad</v>
      </c>
      <c r="C1728" t="str">
        <f>IFERROR(__xludf.DUMMYFUNCTION("""COMPUTED_VALUE"""),"Beans and Lentils")</f>
        <v>Beans and Lentils</v>
      </c>
      <c r="D1728">
        <f>IFERROR(__xludf.DUMMYFUNCTION("""COMPUTED_VALUE"""),109.0)</f>
        <v>109</v>
      </c>
      <c r="E1728">
        <f>IFERROR(__xludf.DUMMYFUNCTION("""COMPUTED_VALUE"""),3.88)</f>
        <v>3.88</v>
      </c>
      <c r="F1728">
        <f>IFERROR(__xludf.DUMMYFUNCTION("""COMPUTED_VALUE"""),3.92)</f>
        <v>3.92</v>
      </c>
      <c r="G1728">
        <f>IFERROR(__xludf.DUMMYFUNCTION("""COMPUTED_VALUE"""),15.65)</f>
        <v>15.65</v>
      </c>
    </row>
    <row r="1729">
      <c r="A1729">
        <f>IFERROR(__xludf.DUMMYFUNCTION("""COMPUTED_VALUE"""),784230.0)</f>
        <v>784230</v>
      </c>
      <c r="B1729" t="str">
        <f>IFERROR(__xludf.DUMMYFUNCTION("""COMPUTED_VALUE"""),"Refried Beans Fat Added In Cooking Ns As To Type Of Fat")</f>
        <v>Refried Beans Fat Added In Cooking Ns As To Type Of Fat</v>
      </c>
      <c r="C1729" t="str">
        <f>IFERROR(__xludf.DUMMYFUNCTION("""COMPUTED_VALUE"""),"Beans and Lentils")</f>
        <v>Beans and Lentils</v>
      </c>
      <c r="D1729">
        <f>IFERROR(__xludf.DUMMYFUNCTION("""COMPUTED_VALUE"""),144.0)</f>
        <v>144</v>
      </c>
      <c r="E1729">
        <f>IFERROR(__xludf.DUMMYFUNCTION("""COMPUTED_VALUE"""),5.71)</f>
        <v>5.71</v>
      </c>
      <c r="F1729">
        <f>IFERROR(__xludf.DUMMYFUNCTION("""COMPUTED_VALUE"""),6.12)</f>
        <v>6.12</v>
      </c>
      <c r="G1729">
        <f>IFERROR(__xludf.DUMMYFUNCTION("""COMPUTED_VALUE"""),17.8)</f>
        <v>17.8</v>
      </c>
    </row>
    <row r="1730">
      <c r="A1730">
        <f>IFERROR(__xludf.DUMMYFUNCTION("""COMPUTED_VALUE"""),784231.0)</f>
        <v>784231</v>
      </c>
      <c r="B1730" t="str">
        <f>IFERROR(__xludf.DUMMYFUNCTION("""COMPUTED_VALUE"""),"Refried Beans Made With Oil")</f>
        <v>Refried Beans Made With Oil</v>
      </c>
      <c r="C1730" t="str">
        <f>IFERROR(__xludf.DUMMYFUNCTION("""COMPUTED_VALUE"""),"Beans and Lentils")</f>
        <v>Beans and Lentils</v>
      </c>
      <c r="D1730">
        <f>IFERROR(__xludf.DUMMYFUNCTION("""COMPUTED_VALUE"""),144.0)</f>
        <v>144</v>
      </c>
      <c r="E1730">
        <f>IFERROR(__xludf.DUMMYFUNCTION("""COMPUTED_VALUE"""),5.71)</f>
        <v>5.71</v>
      </c>
      <c r="F1730">
        <f>IFERROR(__xludf.DUMMYFUNCTION("""COMPUTED_VALUE"""),6.12)</f>
        <v>6.12</v>
      </c>
      <c r="G1730">
        <f>IFERROR(__xludf.DUMMYFUNCTION("""COMPUTED_VALUE"""),17.8)</f>
        <v>17.8</v>
      </c>
    </row>
    <row r="1731">
      <c r="A1731">
        <f>IFERROR(__xludf.DUMMYFUNCTION("""COMPUTED_VALUE"""),784232.0)</f>
        <v>784232</v>
      </c>
      <c r="B1731" t="str">
        <f>IFERROR(__xludf.DUMMYFUNCTION("""COMPUTED_VALUE"""),"Refried Beans Made With Animal Fat Or Meat Drippings")</f>
        <v>Refried Beans Made With Animal Fat Or Meat Drippings</v>
      </c>
      <c r="C1731" t="str">
        <f>IFERROR(__xludf.DUMMYFUNCTION("""COMPUTED_VALUE"""),"Beans and Lentils")</f>
        <v>Beans and Lentils</v>
      </c>
      <c r="D1731">
        <f>IFERROR(__xludf.DUMMYFUNCTION("""COMPUTED_VALUE"""),140.0)</f>
        <v>140</v>
      </c>
      <c r="E1731">
        <f>IFERROR(__xludf.DUMMYFUNCTION("""COMPUTED_VALUE"""),5.14)</f>
        <v>5.14</v>
      </c>
      <c r="F1731">
        <f>IFERROR(__xludf.DUMMYFUNCTION("""COMPUTED_VALUE"""),6.22)</f>
        <v>6.22</v>
      </c>
      <c r="G1731">
        <f>IFERROR(__xludf.DUMMYFUNCTION("""COMPUTED_VALUE"""),17.84)</f>
        <v>17.84</v>
      </c>
    </row>
    <row r="1732">
      <c r="A1732">
        <f>IFERROR(__xludf.DUMMYFUNCTION("""COMPUTED_VALUE"""),784233.0)</f>
        <v>784233</v>
      </c>
      <c r="B1732" t="str">
        <f>IFERROR(__xludf.DUMMYFUNCTION("""COMPUTED_VALUE"""),"Refried Beans Made With Margarine")</f>
        <v>Refried Beans Made With Margarine</v>
      </c>
      <c r="C1732" t="str">
        <f>IFERROR(__xludf.DUMMYFUNCTION("""COMPUTED_VALUE"""),"Beans and Lentils")</f>
        <v>Beans and Lentils</v>
      </c>
      <c r="D1732">
        <f>IFERROR(__xludf.DUMMYFUNCTION("""COMPUTED_VALUE"""),129.0)</f>
        <v>129</v>
      </c>
      <c r="E1732">
        <f>IFERROR(__xludf.DUMMYFUNCTION("""COMPUTED_VALUE"""),4.08)</f>
        <v>4.08</v>
      </c>
      <c r="F1732">
        <f>IFERROR(__xludf.DUMMYFUNCTION("""COMPUTED_VALUE"""),6.11)</f>
        <v>6.11</v>
      </c>
      <c r="G1732">
        <f>IFERROR(__xludf.DUMMYFUNCTION("""COMPUTED_VALUE"""),17.8)</f>
        <v>17.8</v>
      </c>
    </row>
    <row r="1733">
      <c r="A1733">
        <f>IFERROR(__xludf.DUMMYFUNCTION("""COMPUTED_VALUE"""),784235.0)</f>
        <v>784235</v>
      </c>
      <c r="B1733" t="str">
        <f>IFERROR(__xludf.DUMMYFUNCTION("""COMPUTED_VALUE"""),"Refried Beans Ns As To Fat Added In Cooking")</f>
        <v>Refried Beans Ns As To Fat Added In Cooking</v>
      </c>
      <c r="C1733" t="str">
        <f>IFERROR(__xludf.DUMMYFUNCTION("""COMPUTED_VALUE"""),"Beans and Lentils")</f>
        <v>Beans and Lentils</v>
      </c>
      <c r="D1733">
        <f>IFERROR(__xludf.DUMMYFUNCTION("""COMPUTED_VALUE"""),144.0)</f>
        <v>144</v>
      </c>
      <c r="E1733">
        <f>IFERROR(__xludf.DUMMYFUNCTION("""COMPUTED_VALUE"""),5.71)</f>
        <v>5.71</v>
      </c>
      <c r="F1733">
        <f>IFERROR(__xludf.DUMMYFUNCTION("""COMPUTED_VALUE"""),6.12)</f>
        <v>6.12</v>
      </c>
      <c r="G1733">
        <f>IFERROR(__xludf.DUMMYFUNCTION("""COMPUTED_VALUE"""),17.8)</f>
        <v>17.8</v>
      </c>
    </row>
    <row r="1734">
      <c r="A1734">
        <f>IFERROR(__xludf.DUMMYFUNCTION("""COMPUTED_VALUE"""),784237.0)</f>
        <v>784237</v>
      </c>
      <c r="B1734" t="str">
        <f>IFERROR(__xludf.DUMMYFUNCTION("""COMPUTED_VALUE"""),"Refried Beans With Cheese")</f>
        <v>Refried Beans With Cheese</v>
      </c>
      <c r="C1734" t="str">
        <f>IFERROR(__xludf.DUMMYFUNCTION("""COMPUTED_VALUE"""),"Beans and Lentils")</f>
        <v>Beans and Lentils</v>
      </c>
      <c r="D1734">
        <f>IFERROR(__xludf.DUMMYFUNCTION("""COMPUTED_VALUE"""),107.0)</f>
        <v>107</v>
      </c>
      <c r="E1734">
        <f>IFERROR(__xludf.DUMMYFUNCTION("""COMPUTED_VALUE"""),3.67)</f>
        <v>3.67</v>
      </c>
      <c r="F1734">
        <f>IFERROR(__xludf.DUMMYFUNCTION("""COMPUTED_VALUE"""),5.93)</f>
        <v>5.93</v>
      </c>
      <c r="G1734">
        <f>IFERROR(__xludf.DUMMYFUNCTION("""COMPUTED_VALUE"""),13.0)</f>
        <v>13</v>
      </c>
    </row>
    <row r="1735">
      <c r="A1735">
        <f>IFERROR(__xludf.DUMMYFUNCTION("""COMPUTED_VALUE"""),784238.0)</f>
        <v>784238</v>
      </c>
      <c r="B1735" t="str">
        <f>IFERROR(__xludf.DUMMYFUNCTION("""COMPUTED_VALUE"""),"Refried Beans With Meat")</f>
        <v>Refried Beans With Meat</v>
      </c>
      <c r="C1735" t="str">
        <f>IFERROR(__xludf.DUMMYFUNCTION("""COMPUTED_VALUE"""),"Beans and Lentils")</f>
        <v>Beans and Lentils</v>
      </c>
      <c r="D1735">
        <f>IFERROR(__xludf.DUMMYFUNCTION("""COMPUTED_VALUE"""),116.0)</f>
        <v>116</v>
      </c>
      <c r="E1735">
        <f>IFERROR(__xludf.DUMMYFUNCTION("""COMPUTED_VALUE"""),2.17)</f>
        <v>2.17</v>
      </c>
      <c r="F1735">
        <f>IFERROR(__xludf.DUMMYFUNCTION("""COMPUTED_VALUE"""),7.28)</f>
        <v>7.28</v>
      </c>
      <c r="G1735">
        <f>IFERROR(__xludf.DUMMYFUNCTION("""COMPUTED_VALUE"""),17.38)</f>
        <v>17.38</v>
      </c>
    </row>
    <row r="1736">
      <c r="A1736">
        <f>IFERROR(__xludf.DUMMYFUNCTION("""COMPUTED_VALUE"""),784245.0)</f>
        <v>784245</v>
      </c>
      <c r="B1736" t="str">
        <f>IFERROR(__xludf.DUMMYFUNCTION("""COMPUTED_VALUE"""),"Beans And Franks")</f>
        <v>Beans And Franks</v>
      </c>
      <c r="C1736" t="str">
        <f>IFERROR(__xludf.DUMMYFUNCTION("""COMPUTED_VALUE"""),"Beans and Lentils")</f>
        <v>Beans and Lentils</v>
      </c>
      <c r="D1736">
        <f>IFERROR(__xludf.DUMMYFUNCTION("""COMPUTED_VALUE"""),138.0)</f>
        <v>138</v>
      </c>
      <c r="E1736">
        <f>IFERROR(__xludf.DUMMYFUNCTION("""COMPUTED_VALUE"""),5.22)</f>
        <v>5.22</v>
      </c>
      <c r="F1736">
        <f>IFERROR(__xludf.DUMMYFUNCTION("""COMPUTED_VALUE"""),6.74)</f>
        <v>6.74</v>
      </c>
      <c r="G1736">
        <f>IFERROR(__xludf.DUMMYFUNCTION("""COMPUTED_VALUE"""),17.29)</f>
        <v>17.29</v>
      </c>
    </row>
    <row r="1737">
      <c r="A1737">
        <f>IFERROR(__xludf.DUMMYFUNCTION("""COMPUTED_VALUE"""),784246.0)</f>
        <v>784246</v>
      </c>
      <c r="B1737" t="str">
        <f>IFERROR(__xludf.DUMMYFUNCTION("""COMPUTED_VALUE"""),"Beans Dry Cooked With Ground Beef")</f>
        <v>Beans Dry Cooked With Ground Beef</v>
      </c>
      <c r="C1737" t="str">
        <f>IFERROR(__xludf.DUMMYFUNCTION("""COMPUTED_VALUE"""),"Beans and Lentils")</f>
        <v>Beans and Lentils</v>
      </c>
      <c r="D1737">
        <f>IFERROR(__xludf.DUMMYFUNCTION("""COMPUTED_VALUE"""),203.0)</f>
        <v>203</v>
      </c>
      <c r="E1737">
        <f>IFERROR(__xludf.DUMMYFUNCTION("""COMPUTED_VALUE"""),9.06)</f>
        <v>9.06</v>
      </c>
      <c r="F1737">
        <f>IFERROR(__xludf.DUMMYFUNCTION("""COMPUTED_VALUE"""),11.97)</f>
        <v>11.97</v>
      </c>
      <c r="G1737">
        <f>IFERROR(__xludf.DUMMYFUNCTION("""COMPUTED_VALUE"""),19.02)</f>
        <v>19.02</v>
      </c>
    </row>
    <row r="1738">
      <c r="A1738">
        <f>IFERROR(__xludf.DUMMYFUNCTION("""COMPUTED_VALUE"""),784248.0)</f>
        <v>784248</v>
      </c>
      <c r="B1738" t="str">
        <f>IFERROR(__xludf.DUMMYFUNCTION("""COMPUTED_VALUE"""),"Beans Dry Cooked With Pork")</f>
        <v>Beans Dry Cooked With Pork</v>
      </c>
      <c r="C1738" t="str">
        <f>IFERROR(__xludf.DUMMYFUNCTION("""COMPUTED_VALUE"""),"Beans and Lentils")</f>
        <v>Beans and Lentils</v>
      </c>
      <c r="D1738">
        <f>IFERROR(__xludf.DUMMYFUNCTION("""COMPUTED_VALUE"""),189.0)</f>
        <v>189</v>
      </c>
      <c r="E1738">
        <f>IFERROR(__xludf.DUMMYFUNCTION("""COMPUTED_VALUE"""),7.89)</f>
        <v>7.89</v>
      </c>
      <c r="F1738">
        <f>IFERROR(__xludf.DUMMYFUNCTION("""COMPUTED_VALUE"""),10.35)</f>
        <v>10.35</v>
      </c>
      <c r="G1738">
        <f>IFERROR(__xludf.DUMMYFUNCTION("""COMPUTED_VALUE"""),19.77)</f>
        <v>19.77</v>
      </c>
    </row>
    <row r="1739">
      <c r="A1739">
        <f>IFERROR(__xludf.DUMMYFUNCTION("""COMPUTED_VALUE"""),784250.0)</f>
        <v>784250</v>
      </c>
      <c r="B1739" t="str">
        <f>IFERROR(__xludf.DUMMYFUNCTION("""COMPUTED_VALUE"""),"Bean Cake")</f>
        <v>Bean Cake</v>
      </c>
      <c r="C1739" t="str">
        <f>IFERROR(__xludf.DUMMYFUNCTION("""COMPUTED_VALUE"""),"Beans and Lentils")</f>
        <v>Beans and Lentils</v>
      </c>
      <c r="D1739">
        <f>IFERROR(__xludf.DUMMYFUNCTION("""COMPUTED_VALUE"""),408.0)</f>
        <v>408</v>
      </c>
      <c r="E1739">
        <f>IFERROR(__xludf.DUMMYFUNCTION("""COMPUTED_VALUE"""),21.2)</f>
        <v>21.2</v>
      </c>
      <c r="F1739">
        <f>IFERROR(__xludf.DUMMYFUNCTION("""COMPUTED_VALUE"""),5.63)</f>
        <v>5.63</v>
      </c>
      <c r="G1739">
        <f>IFERROR(__xludf.DUMMYFUNCTION("""COMPUTED_VALUE"""),49.66)</f>
        <v>49.66</v>
      </c>
    </row>
    <row r="1740">
      <c r="A1740">
        <f>IFERROR(__xludf.DUMMYFUNCTION("""COMPUTED_VALUE"""),784251.0)</f>
        <v>784251</v>
      </c>
      <c r="B1740" t="str">
        <f>IFERROR(__xludf.DUMMYFUNCTION("""COMPUTED_VALUE"""),"Stewed Beans With Pork Tomatoes And Chili Peppers Mexican Style")</f>
        <v>Stewed Beans With Pork Tomatoes And Chili Peppers Mexican Style</v>
      </c>
      <c r="C1740" t="str">
        <f>IFERROR(__xludf.DUMMYFUNCTION("""COMPUTED_VALUE"""),"Beans and Lentils")</f>
        <v>Beans and Lentils</v>
      </c>
      <c r="D1740">
        <f>IFERROR(__xludf.DUMMYFUNCTION("""COMPUTED_VALUE"""),136.0)</f>
        <v>136</v>
      </c>
      <c r="E1740">
        <f>IFERROR(__xludf.DUMMYFUNCTION("""COMPUTED_VALUE"""),8.46)</f>
        <v>8.46</v>
      </c>
      <c r="F1740">
        <f>IFERROR(__xludf.DUMMYFUNCTION("""COMPUTED_VALUE"""),5.48)</f>
        <v>5.48</v>
      </c>
      <c r="G1740">
        <f>IFERROR(__xludf.DUMMYFUNCTION("""COMPUTED_VALUE"""),9.67)</f>
        <v>9.67</v>
      </c>
    </row>
    <row r="1741">
      <c r="A1741">
        <f>IFERROR(__xludf.DUMMYFUNCTION("""COMPUTED_VALUE"""),784252.0)</f>
        <v>784252</v>
      </c>
      <c r="B1741" t="str">
        <f>IFERROR(__xludf.DUMMYFUNCTION("""COMPUTED_VALUE"""),"Stewed Red Beans Puerto Rican Style")</f>
        <v>Stewed Red Beans Puerto Rican Style</v>
      </c>
      <c r="C1741" t="str">
        <f>IFERROR(__xludf.DUMMYFUNCTION("""COMPUTED_VALUE"""),"Beans and Lentils")</f>
        <v>Beans and Lentils</v>
      </c>
      <c r="D1741">
        <f>IFERROR(__xludf.DUMMYFUNCTION("""COMPUTED_VALUE"""),84.0)</f>
        <v>84</v>
      </c>
      <c r="E1741">
        <f>IFERROR(__xludf.DUMMYFUNCTION("""COMPUTED_VALUE"""),3.02)</f>
        <v>3.02</v>
      </c>
      <c r="F1741">
        <f>IFERROR(__xludf.DUMMYFUNCTION("""COMPUTED_VALUE"""),4.29)</f>
        <v>4.29</v>
      </c>
      <c r="G1741">
        <f>IFERROR(__xludf.DUMMYFUNCTION("""COMPUTED_VALUE"""),10.22)</f>
        <v>10.22</v>
      </c>
    </row>
    <row r="1742">
      <c r="A1742">
        <f>IFERROR(__xludf.DUMMYFUNCTION("""COMPUTED_VALUE"""),784253.0)</f>
        <v>784253</v>
      </c>
      <c r="B1742" t="str">
        <f>IFERROR(__xludf.DUMMYFUNCTION("""COMPUTED_VALUE"""),"Stewed Pink Beans With White Potatoes And Ham Puerto Rican Style")</f>
        <v>Stewed Pink Beans With White Potatoes And Ham Puerto Rican Style</v>
      </c>
      <c r="C1742" t="str">
        <f>IFERROR(__xludf.DUMMYFUNCTION("""COMPUTED_VALUE"""),"Beans and Lentils")</f>
        <v>Beans and Lentils</v>
      </c>
      <c r="D1742">
        <f>IFERROR(__xludf.DUMMYFUNCTION("""COMPUTED_VALUE"""),86.0)</f>
        <v>86</v>
      </c>
      <c r="E1742">
        <f>IFERROR(__xludf.DUMMYFUNCTION("""COMPUTED_VALUE"""),3.04)</f>
        <v>3.04</v>
      </c>
      <c r="F1742">
        <f>IFERROR(__xludf.DUMMYFUNCTION("""COMPUTED_VALUE"""),4.16)</f>
        <v>4.16</v>
      </c>
      <c r="G1742">
        <f>IFERROR(__xludf.DUMMYFUNCTION("""COMPUTED_VALUE"""),10.54)</f>
        <v>10.54</v>
      </c>
    </row>
    <row r="1743">
      <c r="A1743">
        <f>IFERROR(__xludf.DUMMYFUNCTION("""COMPUTED_VALUE"""),784254.0)</f>
        <v>784254</v>
      </c>
      <c r="B1743" t="str">
        <f>IFERROR(__xludf.DUMMYFUNCTION("""COMPUTED_VALUE"""),"Stewed Pink Beans With Pig's Feet Puerto Rican Style")</f>
        <v>Stewed Pink Beans With Pig's Feet Puerto Rican Style</v>
      </c>
      <c r="C1743" t="str">
        <f>IFERROR(__xludf.DUMMYFUNCTION("""COMPUTED_VALUE"""),"Beans and Lentils")</f>
        <v>Beans and Lentils</v>
      </c>
      <c r="D1743">
        <f>IFERROR(__xludf.DUMMYFUNCTION("""COMPUTED_VALUE"""),143.0)</f>
        <v>143</v>
      </c>
      <c r="E1743">
        <f>IFERROR(__xludf.DUMMYFUNCTION("""COMPUTED_VALUE"""),8.28)</f>
        <v>8.28</v>
      </c>
      <c r="F1743">
        <f>IFERROR(__xludf.DUMMYFUNCTION("""COMPUTED_VALUE"""),9.18)</f>
        <v>9.18</v>
      </c>
      <c r="G1743">
        <f>IFERROR(__xludf.DUMMYFUNCTION("""COMPUTED_VALUE"""),7.9)</f>
        <v>7.9</v>
      </c>
    </row>
    <row r="1744">
      <c r="A1744">
        <f>IFERROR(__xludf.DUMMYFUNCTION("""COMPUTED_VALUE"""),784255.0)</f>
        <v>784255</v>
      </c>
      <c r="B1744" t="str">
        <f>IFERROR(__xludf.DUMMYFUNCTION("""COMPUTED_VALUE"""),"Stewed Red Beans With Pig's Feet Puerto Rican Style")</f>
        <v>Stewed Red Beans With Pig's Feet Puerto Rican Style</v>
      </c>
      <c r="C1744" t="str">
        <f>IFERROR(__xludf.DUMMYFUNCTION("""COMPUTED_VALUE"""),"Beans and Lentils")</f>
        <v>Beans and Lentils</v>
      </c>
      <c r="D1744">
        <f>IFERROR(__xludf.DUMMYFUNCTION("""COMPUTED_VALUE"""),142.0)</f>
        <v>142</v>
      </c>
      <c r="E1744">
        <f>IFERROR(__xludf.DUMMYFUNCTION("""COMPUTED_VALUE"""),8.26)</f>
        <v>8.26</v>
      </c>
      <c r="F1744">
        <f>IFERROR(__xludf.DUMMYFUNCTION("""COMPUTED_VALUE"""),9.28)</f>
        <v>9.28</v>
      </c>
      <c r="G1744">
        <f>IFERROR(__xludf.DUMMYFUNCTION("""COMPUTED_VALUE"""),7.78)</f>
        <v>7.78</v>
      </c>
    </row>
    <row r="1745">
      <c r="A1745">
        <f>IFERROR(__xludf.DUMMYFUNCTION("""COMPUTED_VALUE"""),784256.0)</f>
        <v>784256</v>
      </c>
      <c r="B1745" t="str">
        <f>IFERROR(__xludf.DUMMYFUNCTION("""COMPUTED_VALUE"""),"Stewed Red Beans With Pig's Feet And Potatoes Puerto Rican Style")</f>
        <v>Stewed Red Beans With Pig's Feet And Potatoes Puerto Rican Style</v>
      </c>
      <c r="C1745" t="str">
        <f>IFERROR(__xludf.DUMMYFUNCTION("""COMPUTED_VALUE"""),"Beans and Lentils")</f>
        <v>Beans and Lentils</v>
      </c>
      <c r="D1745">
        <f>IFERROR(__xludf.DUMMYFUNCTION("""COMPUTED_VALUE"""),151.0)</f>
        <v>151</v>
      </c>
      <c r="E1745">
        <f>IFERROR(__xludf.DUMMYFUNCTION("""COMPUTED_VALUE"""),8.27)</f>
        <v>8.27</v>
      </c>
      <c r="F1745">
        <f>IFERROR(__xludf.DUMMYFUNCTION("""COMPUTED_VALUE"""),9.47)</f>
        <v>9.47</v>
      </c>
      <c r="G1745">
        <f>IFERROR(__xludf.DUMMYFUNCTION("""COMPUTED_VALUE"""),9.7)</f>
        <v>9.7</v>
      </c>
    </row>
    <row r="1746">
      <c r="A1746">
        <f>IFERROR(__xludf.DUMMYFUNCTION("""COMPUTED_VALUE"""),784257.0)</f>
        <v>784257</v>
      </c>
      <c r="B1746" t="str">
        <f>IFERROR(__xludf.DUMMYFUNCTION("""COMPUTED_VALUE"""),"Black Beans Cuban Style")</f>
        <v>Black Beans Cuban Style</v>
      </c>
      <c r="C1746" t="str">
        <f>IFERROR(__xludf.DUMMYFUNCTION("""COMPUTED_VALUE"""),"Beans and Lentils")</f>
        <v>Beans and Lentils</v>
      </c>
      <c r="D1746">
        <f>IFERROR(__xludf.DUMMYFUNCTION("""COMPUTED_VALUE"""),109.0)</f>
        <v>109</v>
      </c>
      <c r="E1746">
        <f>IFERROR(__xludf.DUMMYFUNCTION("""COMPUTED_VALUE"""),1.56)</f>
        <v>1.56</v>
      </c>
      <c r="F1746">
        <f>IFERROR(__xludf.DUMMYFUNCTION("""COMPUTED_VALUE"""),5.99)</f>
        <v>5.99</v>
      </c>
      <c r="G1746">
        <f>IFERROR(__xludf.DUMMYFUNCTION("""COMPUTED_VALUE"""),18.38)</f>
        <v>18.38</v>
      </c>
    </row>
    <row r="1747">
      <c r="A1747">
        <f>IFERROR(__xludf.DUMMYFUNCTION("""COMPUTED_VALUE"""),784258.0)</f>
        <v>784258</v>
      </c>
      <c r="B1747" t="str">
        <f>IFERROR(__xludf.DUMMYFUNCTION("""COMPUTED_VALUE"""),"Chili With Beans Without Meat")</f>
        <v>Chili With Beans Without Meat</v>
      </c>
      <c r="C1747" t="str">
        <f>IFERROR(__xludf.DUMMYFUNCTION("""COMPUTED_VALUE"""),"Beans and Lentils")</f>
        <v>Beans and Lentils</v>
      </c>
      <c r="D1747">
        <f>IFERROR(__xludf.DUMMYFUNCTION("""COMPUTED_VALUE"""),42.0)</f>
        <v>42</v>
      </c>
      <c r="E1747">
        <f>IFERROR(__xludf.DUMMYFUNCTION("""COMPUTED_VALUE"""),0.33)</f>
        <v>0.33</v>
      </c>
      <c r="F1747">
        <f>IFERROR(__xludf.DUMMYFUNCTION("""COMPUTED_VALUE"""),2.39)</f>
        <v>2.39</v>
      </c>
      <c r="G1747">
        <f>IFERROR(__xludf.DUMMYFUNCTION("""COMPUTED_VALUE"""),8.19)</f>
        <v>8.19</v>
      </c>
    </row>
    <row r="1748">
      <c r="A1748">
        <f>IFERROR(__xludf.DUMMYFUNCTION("""COMPUTED_VALUE"""),784259.0)</f>
        <v>784259</v>
      </c>
      <c r="B1748" t="str">
        <f>IFERROR(__xludf.DUMMYFUNCTION("""COMPUTED_VALUE"""),"Cowpeas Dry Cooked Ns As To Fat Added In Cooking")</f>
        <v>Cowpeas Dry Cooked Ns As To Fat Added In Cooking</v>
      </c>
      <c r="C1748" t="str">
        <f>IFERROR(__xludf.DUMMYFUNCTION("""COMPUTED_VALUE"""),"Beans and Lentils")</f>
        <v>Beans and Lentils</v>
      </c>
      <c r="D1748">
        <f>IFERROR(__xludf.DUMMYFUNCTION("""COMPUTED_VALUE"""),172.0)</f>
        <v>172</v>
      </c>
      <c r="E1748">
        <f>IFERROR(__xludf.DUMMYFUNCTION("""COMPUTED_VALUE"""),7.79)</f>
        <v>7.79</v>
      </c>
      <c r="F1748">
        <f>IFERROR(__xludf.DUMMYFUNCTION("""COMPUTED_VALUE"""),7.12)</f>
        <v>7.12</v>
      </c>
      <c r="G1748">
        <f>IFERROR(__xludf.DUMMYFUNCTION("""COMPUTED_VALUE"""),19.13)</f>
        <v>19.13</v>
      </c>
    </row>
    <row r="1749">
      <c r="A1749">
        <f>IFERROR(__xludf.DUMMYFUNCTION("""COMPUTED_VALUE"""),784260.0)</f>
        <v>784260</v>
      </c>
      <c r="B1749" t="str">
        <f>IFERROR(__xludf.DUMMYFUNCTION("""COMPUTED_VALUE"""),"Cowpeas Dry Cooked Fat Added In Cooking")</f>
        <v>Cowpeas Dry Cooked Fat Added In Cooking</v>
      </c>
      <c r="C1749" t="str">
        <f>IFERROR(__xludf.DUMMYFUNCTION("""COMPUTED_VALUE"""),"Beans and Lentils")</f>
        <v>Beans and Lentils</v>
      </c>
      <c r="D1749">
        <f>IFERROR(__xludf.DUMMYFUNCTION("""COMPUTED_VALUE"""),172.0)</f>
        <v>172</v>
      </c>
      <c r="E1749">
        <f>IFERROR(__xludf.DUMMYFUNCTION("""COMPUTED_VALUE"""),7.79)</f>
        <v>7.79</v>
      </c>
      <c r="F1749">
        <f>IFERROR(__xludf.DUMMYFUNCTION("""COMPUTED_VALUE"""),7.12)</f>
        <v>7.12</v>
      </c>
      <c r="G1749">
        <f>IFERROR(__xludf.DUMMYFUNCTION("""COMPUTED_VALUE"""),19.13)</f>
        <v>19.13</v>
      </c>
    </row>
    <row r="1750">
      <c r="A1750">
        <f>IFERROR(__xludf.DUMMYFUNCTION("""COMPUTED_VALUE"""),784261.0)</f>
        <v>784261</v>
      </c>
      <c r="B1750" t="str">
        <f>IFERROR(__xludf.DUMMYFUNCTION("""COMPUTED_VALUE"""),"Cowpeas Dry Cooked Fat Not Added In Cooking")</f>
        <v>Cowpeas Dry Cooked Fat Not Added In Cooking</v>
      </c>
      <c r="C1750" t="str">
        <f>IFERROR(__xludf.DUMMYFUNCTION("""COMPUTED_VALUE"""),"Beans and Lentils")</f>
        <v>Beans and Lentils</v>
      </c>
      <c r="D1750">
        <f>IFERROR(__xludf.DUMMYFUNCTION("""COMPUTED_VALUE"""),115.0)</f>
        <v>115</v>
      </c>
      <c r="E1750">
        <f>IFERROR(__xludf.DUMMYFUNCTION("""COMPUTED_VALUE"""),0.53)</f>
        <v>0.53</v>
      </c>
      <c r="F1750">
        <f>IFERROR(__xludf.DUMMYFUNCTION("""COMPUTED_VALUE"""),7.68)</f>
        <v>7.68</v>
      </c>
      <c r="G1750">
        <f>IFERROR(__xludf.DUMMYFUNCTION("""COMPUTED_VALUE"""),20.64)</f>
        <v>20.64</v>
      </c>
    </row>
    <row r="1751">
      <c r="A1751">
        <f>IFERROR(__xludf.DUMMYFUNCTION("""COMPUTED_VALUE"""),784262.0)</f>
        <v>784262</v>
      </c>
      <c r="B1751" t="str">
        <f>IFERROR(__xludf.DUMMYFUNCTION("""COMPUTED_VALUE"""),"Chickpeas Dry Cooked Ns As To Fat Added In Cooking")</f>
        <v>Chickpeas Dry Cooked Ns As To Fat Added In Cooking</v>
      </c>
      <c r="C1751" t="str">
        <f>IFERROR(__xludf.DUMMYFUNCTION("""COMPUTED_VALUE"""),"Beans and Lentils")</f>
        <v>Beans and Lentils</v>
      </c>
      <c r="D1751">
        <f>IFERROR(__xludf.DUMMYFUNCTION("""COMPUTED_VALUE"""),218.0)</f>
        <v>218</v>
      </c>
      <c r="E1751">
        <f>IFERROR(__xludf.DUMMYFUNCTION("""COMPUTED_VALUE"""),10.01)</f>
        <v>10.01</v>
      </c>
      <c r="F1751">
        <f>IFERROR(__xludf.DUMMYFUNCTION("""COMPUTED_VALUE"""),8.14)</f>
        <v>8.14</v>
      </c>
      <c r="G1751">
        <f>IFERROR(__xludf.DUMMYFUNCTION("""COMPUTED_VALUE"""),25.18)</f>
        <v>25.18</v>
      </c>
    </row>
    <row r="1752">
      <c r="A1752">
        <f>IFERROR(__xludf.DUMMYFUNCTION("""COMPUTED_VALUE"""),784263.0)</f>
        <v>784263</v>
      </c>
      <c r="B1752" t="str">
        <f>IFERROR(__xludf.DUMMYFUNCTION("""COMPUTED_VALUE"""),"Chickpeas Dry Cooked Fat Added In Cooking Ns As To Type Of Fat")</f>
        <v>Chickpeas Dry Cooked Fat Added In Cooking Ns As To Type Of Fat</v>
      </c>
      <c r="C1752" t="str">
        <f>IFERROR(__xludf.DUMMYFUNCTION("""COMPUTED_VALUE"""),"Beans and Lentils")</f>
        <v>Beans and Lentils</v>
      </c>
      <c r="D1752">
        <f>IFERROR(__xludf.DUMMYFUNCTION("""COMPUTED_VALUE"""),218.0)</f>
        <v>218</v>
      </c>
      <c r="E1752">
        <f>IFERROR(__xludf.DUMMYFUNCTION("""COMPUTED_VALUE"""),10.01)</f>
        <v>10.01</v>
      </c>
      <c r="F1752">
        <f>IFERROR(__xludf.DUMMYFUNCTION("""COMPUTED_VALUE"""),8.14)</f>
        <v>8.14</v>
      </c>
      <c r="G1752">
        <f>IFERROR(__xludf.DUMMYFUNCTION("""COMPUTED_VALUE"""),25.18)</f>
        <v>25.18</v>
      </c>
    </row>
    <row r="1753">
      <c r="A1753">
        <f>IFERROR(__xludf.DUMMYFUNCTION("""COMPUTED_VALUE"""),784264.0)</f>
        <v>784264</v>
      </c>
      <c r="B1753" t="str">
        <f>IFERROR(__xludf.DUMMYFUNCTION("""COMPUTED_VALUE"""),"Chickpeas Dry Cooked Made With Oil")</f>
        <v>Chickpeas Dry Cooked Made With Oil</v>
      </c>
      <c r="C1753" t="str">
        <f>IFERROR(__xludf.DUMMYFUNCTION("""COMPUTED_VALUE"""),"Beans and Lentils")</f>
        <v>Beans and Lentils</v>
      </c>
      <c r="D1753">
        <f>IFERROR(__xludf.DUMMYFUNCTION("""COMPUTED_VALUE"""),218.0)</f>
        <v>218</v>
      </c>
      <c r="E1753">
        <f>IFERROR(__xludf.DUMMYFUNCTION("""COMPUTED_VALUE"""),10.01)</f>
        <v>10.01</v>
      </c>
      <c r="F1753">
        <f>IFERROR(__xludf.DUMMYFUNCTION("""COMPUTED_VALUE"""),8.14)</f>
        <v>8.14</v>
      </c>
      <c r="G1753">
        <f>IFERROR(__xludf.DUMMYFUNCTION("""COMPUTED_VALUE"""),25.18)</f>
        <v>25.18</v>
      </c>
    </row>
    <row r="1754">
      <c r="A1754">
        <f>IFERROR(__xludf.DUMMYFUNCTION("""COMPUTED_VALUE"""),784265.0)</f>
        <v>784265</v>
      </c>
      <c r="B1754" t="str">
        <f>IFERROR(__xludf.DUMMYFUNCTION("""COMPUTED_VALUE"""),"Chickpeas Dry Cooked Made With Animal Fat Or Meat Drippings")</f>
        <v>Chickpeas Dry Cooked Made With Animal Fat Or Meat Drippings</v>
      </c>
      <c r="C1754" t="str">
        <f>IFERROR(__xludf.DUMMYFUNCTION("""COMPUTED_VALUE"""),"Beans and Lentils")</f>
        <v>Beans and Lentils</v>
      </c>
      <c r="D1754">
        <f>IFERROR(__xludf.DUMMYFUNCTION("""COMPUTED_VALUE"""),212.0)</f>
        <v>212</v>
      </c>
      <c r="E1754">
        <f>IFERROR(__xludf.DUMMYFUNCTION("""COMPUTED_VALUE"""),9.03)</f>
        <v>9.03</v>
      </c>
      <c r="F1754">
        <f>IFERROR(__xludf.DUMMYFUNCTION("""COMPUTED_VALUE"""),8.33)</f>
        <v>8.33</v>
      </c>
      <c r="G1754">
        <f>IFERROR(__xludf.DUMMYFUNCTION("""COMPUTED_VALUE"""),25.29)</f>
        <v>25.29</v>
      </c>
    </row>
    <row r="1755">
      <c r="A1755">
        <f>IFERROR(__xludf.DUMMYFUNCTION("""COMPUTED_VALUE"""),784266.0)</f>
        <v>784266</v>
      </c>
      <c r="B1755" t="str">
        <f>IFERROR(__xludf.DUMMYFUNCTION("""COMPUTED_VALUE"""),"Chickpeas Dry Cooked Made With Margarine")</f>
        <v>Chickpeas Dry Cooked Made With Margarine</v>
      </c>
      <c r="C1755" t="str">
        <f>IFERROR(__xludf.DUMMYFUNCTION("""COMPUTED_VALUE"""),"Beans and Lentils")</f>
        <v>Beans and Lentils</v>
      </c>
      <c r="D1755">
        <f>IFERROR(__xludf.DUMMYFUNCTION("""COMPUTED_VALUE"""),193.0)</f>
        <v>193</v>
      </c>
      <c r="E1755">
        <f>IFERROR(__xludf.DUMMYFUNCTION("""COMPUTED_VALUE"""),7.14)</f>
        <v>7.14</v>
      </c>
      <c r="F1755">
        <f>IFERROR(__xludf.DUMMYFUNCTION("""COMPUTED_VALUE"""),8.12)</f>
        <v>8.12</v>
      </c>
      <c r="G1755">
        <f>IFERROR(__xludf.DUMMYFUNCTION("""COMPUTED_VALUE"""),25.15)</f>
        <v>25.15</v>
      </c>
    </row>
    <row r="1756">
      <c r="A1756">
        <f>IFERROR(__xludf.DUMMYFUNCTION("""COMPUTED_VALUE"""),784267.0)</f>
        <v>784267</v>
      </c>
      <c r="B1756" t="str">
        <f>IFERROR(__xludf.DUMMYFUNCTION("""COMPUTED_VALUE"""),"Chickpeas Dry Cooked Fat Not Added In Cooking")</f>
        <v>Chickpeas Dry Cooked Fat Not Added In Cooking</v>
      </c>
      <c r="C1756" t="str">
        <f>IFERROR(__xludf.DUMMYFUNCTION("""COMPUTED_VALUE"""),"Beans and Lentils")</f>
        <v>Beans and Lentils</v>
      </c>
      <c r="D1756">
        <f>IFERROR(__xludf.DUMMYFUNCTION("""COMPUTED_VALUE"""),163.0)</f>
        <v>163</v>
      </c>
      <c r="E1756">
        <f>IFERROR(__xludf.DUMMYFUNCTION("""COMPUTED_VALUE"""),2.57)</f>
        <v>2.57</v>
      </c>
      <c r="F1756">
        <f>IFERROR(__xludf.DUMMYFUNCTION("""COMPUTED_VALUE"""),8.81)</f>
        <v>8.81</v>
      </c>
      <c r="G1756">
        <f>IFERROR(__xludf.DUMMYFUNCTION("""COMPUTED_VALUE"""),27.25)</f>
        <v>27.25</v>
      </c>
    </row>
    <row r="1757">
      <c r="A1757">
        <f>IFERROR(__xludf.DUMMYFUNCTION("""COMPUTED_VALUE"""),784268.0)</f>
        <v>784268</v>
      </c>
      <c r="B1757" t="str">
        <f>IFERROR(__xludf.DUMMYFUNCTION("""COMPUTED_VALUE"""),"Chickpeas Canned Drained Ns As To Fat Added In Cooking")</f>
        <v>Chickpeas Canned Drained Ns As To Fat Added In Cooking</v>
      </c>
      <c r="C1757" t="str">
        <f>IFERROR(__xludf.DUMMYFUNCTION("""COMPUTED_VALUE"""),"Beans and Lentils")</f>
        <v>Beans and Lentils</v>
      </c>
      <c r="D1757">
        <f>IFERROR(__xludf.DUMMYFUNCTION("""COMPUTED_VALUE"""),198.0)</f>
        <v>198</v>
      </c>
      <c r="E1757">
        <f>IFERROR(__xludf.DUMMYFUNCTION("""COMPUTED_VALUE"""),10.04)</f>
        <v>10.04</v>
      </c>
      <c r="F1757">
        <f>IFERROR(__xludf.DUMMYFUNCTION("""COMPUTED_VALUE"""),7.61)</f>
        <v>7.61</v>
      </c>
      <c r="G1757">
        <f>IFERROR(__xludf.DUMMYFUNCTION("""COMPUTED_VALUE"""),20.87)</f>
        <v>20.87</v>
      </c>
    </row>
    <row r="1758">
      <c r="A1758">
        <f>IFERROR(__xludf.DUMMYFUNCTION("""COMPUTED_VALUE"""),784269.0)</f>
        <v>784269</v>
      </c>
      <c r="B1758" t="str">
        <f>IFERROR(__xludf.DUMMYFUNCTION("""COMPUTED_VALUE"""),"Chickpeas Canned Drained Fat Added In Cooking Ns As To Type Of Fat")</f>
        <v>Chickpeas Canned Drained Fat Added In Cooking Ns As To Type Of Fat</v>
      </c>
      <c r="C1758" t="str">
        <f>IFERROR(__xludf.DUMMYFUNCTION("""COMPUTED_VALUE"""),"Beans and Lentils")</f>
        <v>Beans and Lentils</v>
      </c>
      <c r="D1758">
        <f>IFERROR(__xludf.DUMMYFUNCTION("""COMPUTED_VALUE"""),198.0)</f>
        <v>198</v>
      </c>
      <c r="E1758">
        <f>IFERROR(__xludf.DUMMYFUNCTION("""COMPUTED_VALUE"""),10.04)</f>
        <v>10.04</v>
      </c>
      <c r="F1758">
        <f>IFERROR(__xludf.DUMMYFUNCTION("""COMPUTED_VALUE"""),7.61)</f>
        <v>7.61</v>
      </c>
      <c r="G1758">
        <f>IFERROR(__xludf.DUMMYFUNCTION("""COMPUTED_VALUE"""),20.87)</f>
        <v>20.87</v>
      </c>
    </row>
    <row r="1759">
      <c r="A1759">
        <f>IFERROR(__xludf.DUMMYFUNCTION("""COMPUTED_VALUE"""),784270.0)</f>
        <v>784270</v>
      </c>
      <c r="B1759" t="str">
        <f>IFERROR(__xludf.DUMMYFUNCTION("""COMPUTED_VALUE"""),"Chickpeas Canned Drained Made With Oil")</f>
        <v>Chickpeas Canned Drained Made With Oil</v>
      </c>
      <c r="C1759" t="str">
        <f>IFERROR(__xludf.DUMMYFUNCTION("""COMPUTED_VALUE"""),"Beans and Lentils")</f>
        <v>Beans and Lentils</v>
      </c>
      <c r="D1759">
        <f>IFERROR(__xludf.DUMMYFUNCTION("""COMPUTED_VALUE"""),198.0)</f>
        <v>198</v>
      </c>
      <c r="E1759">
        <f>IFERROR(__xludf.DUMMYFUNCTION("""COMPUTED_VALUE"""),10.04)</f>
        <v>10.04</v>
      </c>
      <c r="F1759">
        <f>IFERROR(__xludf.DUMMYFUNCTION("""COMPUTED_VALUE"""),7.61)</f>
        <v>7.61</v>
      </c>
      <c r="G1759">
        <f>IFERROR(__xludf.DUMMYFUNCTION("""COMPUTED_VALUE"""),20.87)</f>
        <v>20.87</v>
      </c>
    </row>
    <row r="1760">
      <c r="A1760">
        <f>IFERROR(__xludf.DUMMYFUNCTION("""COMPUTED_VALUE"""),784271.0)</f>
        <v>784271</v>
      </c>
      <c r="B1760" t="str">
        <f>IFERROR(__xludf.DUMMYFUNCTION("""COMPUTED_VALUE"""),"Chickpeas Canned Drained Fat Not Added In Cooking")</f>
        <v>Chickpeas Canned Drained Fat Not Added In Cooking</v>
      </c>
      <c r="C1760" t="str">
        <f>IFERROR(__xludf.DUMMYFUNCTION("""COMPUTED_VALUE"""),"Beans and Lentils")</f>
        <v>Beans and Lentils</v>
      </c>
      <c r="D1760">
        <f>IFERROR(__xludf.DUMMYFUNCTION("""COMPUTED_VALUE"""),146.0)</f>
        <v>146</v>
      </c>
      <c r="E1760">
        <f>IFERROR(__xludf.DUMMYFUNCTION("""COMPUTED_VALUE"""),3.24)</f>
        <v>3.24</v>
      </c>
      <c r="F1760">
        <f>IFERROR(__xludf.DUMMYFUNCTION("""COMPUTED_VALUE"""),8.19)</f>
        <v>8.19</v>
      </c>
      <c r="G1760">
        <f>IFERROR(__xludf.DUMMYFUNCTION("""COMPUTED_VALUE"""),22.45)</f>
        <v>22.45</v>
      </c>
    </row>
    <row r="1761">
      <c r="A1761">
        <f>IFERROR(__xludf.DUMMYFUNCTION("""COMPUTED_VALUE"""),784272.0)</f>
        <v>784272</v>
      </c>
      <c r="B1761" t="str">
        <f>IFERROR(__xludf.DUMMYFUNCTION("""COMPUTED_VALUE"""),"Chickpeas Canned Drained Low Sodium Ns As To Fat Added In Cooking")</f>
        <v>Chickpeas Canned Drained Low Sodium Ns As To Fat Added In Cooking</v>
      </c>
      <c r="C1761" t="str">
        <f>IFERROR(__xludf.DUMMYFUNCTION("""COMPUTED_VALUE"""),"Beans and Lentils")</f>
        <v>Beans and Lentils</v>
      </c>
      <c r="D1761">
        <f>IFERROR(__xludf.DUMMYFUNCTION("""COMPUTED_VALUE"""),199.0)</f>
        <v>199</v>
      </c>
      <c r="E1761">
        <f>IFERROR(__xludf.DUMMYFUNCTION("""COMPUTED_VALUE"""),10.06)</f>
        <v>10.06</v>
      </c>
      <c r="F1761">
        <f>IFERROR(__xludf.DUMMYFUNCTION("""COMPUTED_VALUE"""),7.62)</f>
        <v>7.62</v>
      </c>
      <c r="G1761">
        <f>IFERROR(__xludf.DUMMYFUNCTION("""COMPUTED_VALUE"""),20.9)</f>
        <v>20.9</v>
      </c>
    </row>
    <row r="1762">
      <c r="A1762">
        <f>IFERROR(__xludf.DUMMYFUNCTION("""COMPUTED_VALUE"""),784273.0)</f>
        <v>784273</v>
      </c>
      <c r="B1762" t="str">
        <f>IFERROR(__xludf.DUMMYFUNCTION("""COMPUTED_VALUE"""),"Chickpeas Canned Drained Low Sodium Fat Added In Cooking")</f>
        <v>Chickpeas Canned Drained Low Sodium Fat Added In Cooking</v>
      </c>
      <c r="C1762" t="str">
        <f>IFERROR(__xludf.DUMMYFUNCTION("""COMPUTED_VALUE"""),"Beans and Lentils")</f>
        <v>Beans and Lentils</v>
      </c>
      <c r="D1762">
        <f>IFERROR(__xludf.DUMMYFUNCTION("""COMPUTED_VALUE"""),199.0)</f>
        <v>199</v>
      </c>
      <c r="E1762">
        <f>IFERROR(__xludf.DUMMYFUNCTION("""COMPUTED_VALUE"""),10.06)</f>
        <v>10.06</v>
      </c>
      <c r="F1762">
        <f>IFERROR(__xludf.DUMMYFUNCTION("""COMPUTED_VALUE"""),7.62)</f>
        <v>7.62</v>
      </c>
      <c r="G1762">
        <f>IFERROR(__xludf.DUMMYFUNCTION("""COMPUTED_VALUE"""),20.9)</f>
        <v>20.9</v>
      </c>
    </row>
    <row r="1763">
      <c r="A1763">
        <f>IFERROR(__xludf.DUMMYFUNCTION("""COMPUTED_VALUE"""),784274.0)</f>
        <v>784274</v>
      </c>
      <c r="B1763" t="str">
        <f>IFERROR(__xludf.DUMMYFUNCTION("""COMPUTED_VALUE"""),"Chickpeas Canned Drained Low Sodium Fat Not Added In Cooking")</f>
        <v>Chickpeas Canned Drained Low Sodium Fat Not Added In Cooking</v>
      </c>
      <c r="C1763" t="str">
        <f>IFERROR(__xludf.DUMMYFUNCTION("""COMPUTED_VALUE"""),"Beans and Lentils")</f>
        <v>Beans and Lentils</v>
      </c>
      <c r="D1763">
        <f>IFERROR(__xludf.DUMMYFUNCTION("""COMPUTED_VALUE"""),147.0)</f>
        <v>147</v>
      </c>
      <c r="E1763">
        <f>IFERROR(__xludf.DUMMYFUNCTION("""COMPUTED_VALUE"""),3.25)</f>
        <v>3.25</v>
      </c>
      <c r="F1763">
        <f>IFERROR(__xludf.DUMMYFUNCTION("""COMPUTED_VALUE"""),8.2)</f>
        <v>8.2</v>
      </c>
      <c r="G1763">
        <f>IFERROR(__xludf.DUMMYFUNCTION("""COMPUTED_VALUE"""),22.48)</f>
        <v>22.48</v>
      </c>
    </row>
    <row r="1764">
      <c r="A1764">
        <f>IFERROR(__xludf.DUMMYFUNCTION("""COMPUTED_VALUE"""),784275.0)</f>
        <v>784275</v>
      </c>
      <c r="B1764" t="str">
        <f>IFERROR(__xludf.DUMMYFUNCTION("""COMPUTED_VALUE"""),"Green Or Yellow Split Peas Dry Cooked Fat Not Added In Cooking")</f>
        <v>Green Or Yellow Split Peas Dry Cooked Fat Not Added In Cooking</v>
      </c>
      <c r="C1764" t="str">
        <f>IFERROR(__xludf.DUMMYFUNCTION("""COMPUTED_VALUE"""),"Beans and Lentils")</f>
        <v>Beans and Lentils</v>
      </c>
      <c r="D1764">
        <f>IFERROR(__xludf.DUMMYFUNCTION("""COMPUTED_VALUE"""),117.0)</f>
        <v>117</v>
      </c>
      <c r="E1764">
        <f>IFERROR(__xludf.DUMMYFUNCTION("""COMPUTED_VALUE"""),0.39)</f>
        <v>0.39</v>
      </c>
      <c r="F1764">
        <f>IFERROR(__xludf.DUMMYFUNCTION("""COMPUTED_VALUE"""),8.3)</f>
        <v>8.3</v>
      </c>
      <c r="G1764">
        <f>IFERROR(__xludf.DUMMYFUNCTION("""COMPUTED_VALUE"""),20.99)</f>
        <v>20.99</v>
      </c>
    </row>
    <row r="1765">
      <c r="A1765">
        <f>IFERROR(__xludf.DUMMYFUNCTION("""COMPUTED_VALUE"""),784276.0)</f>
        <v>784276</v>
      </c>
      <c r="B1765" t="str">
        <f>IFERROR(__xludf.DUMMYFUNCTION("""COMPUTED_VALUE"""),"Green Or Yellow Split Peas Dry Cooked Fat Added In Cooking Ns As To Type Of Fat")</f>
        <v>Green Or Yellow Split Peas Dry Cooked Fat Added In Cooking Ns As To Type Of Fat</v>
      </c>
      <c r="C1765" t="str">
        <f>IFERROR(__xludf.DUMMYFUNCTION("""COMPUTED_VALUE"""),"Beans and Lentils")</f>
        <v>Beans and Lentils</v>
      </c>
      <c r="D1765">
        <f>IFERROR(__xludf.DUMMYFUNCTION("""COMPUTED_VALUE"""),167.0)</f>
        <v>167</v>
      </c>
      <c r="E1765">
        <f>IFERROR(__xludf.DUMMYFUNCTION("""COMPUTED_VALUE"""),6.83)</f>
        <v>6.83</v>
      </c>
      <c r="F1765">
        <f>IFERROR(__xludf.DUMMYFUNCTION("""COMPUTED_VALUE"""),7.76)</f>
        <v>7.76</v>
      </c>
      <c r="G1765">
        <f>IFERROR(__xludf.DUMMYFUNCTION("""COMPUTED_VALUE"""),19.64)</f>
        <v>19.64</v>
      </c>
    </row>
    <row r="1766">
      <c r="A1766">
        <f>IFERROR(__xludf.DUMMYFUNCTION("""COMPUTED_VALUE"""),784277.0)</f>
        <v>784277</v>
      </c>
      <c r="B1766" t="str">
        <f>IFERROR(__xludf.DUMMYFUNCTION("""COMPUTED_VALUE"""),"Green Or Yellow Split Peas Dry Cooked Made With Oil")</f>
        <v>Green Or Yellow Split Peas Dry Cooked Made With Oil</v>
      </c>
      <c r="C1766" t="str">
        <f>IFERROR(__xludf.DUMMYFUNCTION("""COMPUTED_VALUE"""),"Beans and Lentils")</f>
        <v>Beans and Lentils</v>
      </c>
      <c r="D1766">
        <f>IFERROR(__xludf.DUMMYFUNCTION("""COMPUTED_VALUE"""),167.0)</f>
        <v>167</v>
      </c>
      <c r="E1766">
        <f>IFERROR(__xludf.DUMMYFUNCTION("""COMPUTED_VALUE"""),6.83)</f>
        <v>6.83</v>
      </c>
      <c r="F1766">
        <f>IFERROR(__xludf.DUMMYFUNCTION("""COMPUTED_VALUE"""),7.76)</f>
        <v>7.76</v>
      </c>
      <c r="G1766">
        <f>IFERROR(__xludf.DUMMYFUNCTION("""COMPUTED_VALUE"""),19.64)</f>
        <v>19.64</v>
      </c>
    </row>
    <row r="1767">
      <c r="A1767">
        <f>IFERROR(__xludf.DUMMYFUNCTION("""COMPUTED_VALUE"""),784278.0)</f>
        <v>784278</v>
      </c>
      <c r="B1767" t="str">
        <f>IFERROR(__xludf.DUMMYFUNCTION("""COMPUTED_VALUE"""),"Green Or Yellow Split Peas Dry Cooked Made With Animal Fat Or Meat Drippings")</f>
        <v>Green Or Yellow Split Peas Dry Cooked Made With Animal Fat Or Meat Drippings</v>
      </c>
      <c r="C1767" t="str">
        <f>IFERROR(__xludf.DUMMYFUNCTION("""COMPUTED_VALUE"""),"Beans and Lentils")</f>
        <v>Beans and Lentils</v>
      </c>
      <c r="D1767">
        <f>IFERROR(__xludf.DUMMYFUNCTION("""COMPUTED_VALUE"""),162.0)</f>
        <v>162</v>
      </c>
      <c r="E1767">
        <f>IFERROR(__xludf.DUMMYFUNCTION("""COMPUTED_VALUE"""),5.99)</f>
        <v>5.99</v>
      </c>
      <c r="F1767">
        <f>IFERROR(__xludf.DUMMYFUNCTION("""COMPUTED_VALUE"""),7.93)</f>
        <v>7.93</v>
      </c>
      <c r="G1767">
        <f>IFERROR(__xludf.DUMMYFUNCTION("""COMPUTED_VALUE"""),19.71)</f>
        <v>19.71</v>
      </c>
    </row>
    <row r="1768">
      <c r="A1768">
        <f>IFERROR(__xludf.DUMMYFUNCTION("""COMPUTED_VALUE"""),784279.0)</f>
        <v>784279</v>
      </c>
      <c r="B1768" t="str">
        <f>IFERROR(__xludf.DUMMYFUNCTION("""COMPUTED_VALUE"""),"Green Or Yellow Split Peas Dry Cooked Made With Margarine")</f>
        <v>Green Or Yellow Split Peas Dry Cooked Made With Margarine</v>
      </c>
      <c r="C1768" t="str">
        <f>IFERROR(__xludf.DUMMYFUNCTION("""COMPUTED_VALUE"""),"Beans and Lentils")</f>
        <v>Beans and Lentils</v>
      </c>
      <c r="D1768">
        <f>IFERROR(__xludf.DUMMYFUNCTION("""COMPUTED_VALUE"""),146.0)</f>
        <v>146</v>
      </c>
      <c r="E1768">
        <f>IFERROR(__xludf.DUMMYFUNCTION("""COMPUTED_VALUE"""),4.41)</f>
        <v>4.41</v>
      </c>
      <c r="F1768">
        <f>IFERROR(__xludf.DUMMYFUNCTION("""COMPUTED_VALUE"""),7.75)</f>
        <v>7.75</v>
      </c>
      <c r="G1768">
        <f>IFERROR(__xludf.DUMMYFUNCTION("""COMPUTED_VALUE"""),19.63)</f>
        <v>19.63</v>
      </c>
    </row>
    <row r="1769">
      <c r="A1769">
        <f>IFERROR(__xludf.DUMMYFUNCTION("""COMPUTED_VALUE"""),784280.0)</f>
        <v>784280</v>
      </c>
      <c r="B1769" t="str">
        <f>IFERROR(__xludf.DUMMYFUNCTION("""COMPUTED_VALUE"""),"Green Or Yellow Split Peas Dry Cooked Ns As To Fat Added In Cooking")</f>
        <v>Green Or Yellow Split Peas Dry Cooked Ns As To Fat Added In Cooking</v>
      </c>
      <c r="C1769" t="str">
        <f>IFERROR(__xludf.DUMMYFUNCTION("""COMPUTED_VALUE"""),"Beans and Lentils")</f>
        <v>Beans and Lentils</v>
      </c>
      <c r="D1769">
        <f>IFERROR(__xludf.DUMMYFUNCTION("""COMPUTED_VALUE"""),167.0)</f>
        <v>167</v>
      </c>
      <c r="E1769">
        <f>IFERROR(__xludf.DUMMYFUNCTION("""COMPUTED_VALUE"""),6.83)</f>
        <v>6.83</v>
      </c>
      <c r="F1769">
        <f>IFERROR(__xludf.DUMMYFUNCTION("""COMPUTED_VALUE"""),7.76)</f>
        <v>7.76</v>
      </c>
      <c r="G1769">
        <f>IFERROR(__xludf.DUMMYFUNCTION("""COMPUTED_VALUE"""),19.64)</f>
        <v>19.64</v>
      </c>
    </row>
    <row r="1770">
      <c r="A1770">
        <f>IFERROR(__xludf.DUMMYFUNCTION("""COMPUTED_VALUE"""),784282.0)</f>
        <v>784282</v>
      </c>
      <c r="B1770" t="str">
        <f>IFERROR(__xludf.DUMMYFUNCTION("""COMPUTED_VALUE"""),"Peas Dry Cooked With Pork")</f>
        <v>Peas Dry Cooked With Pork</v>
      </c>
      <c r="C1770" t="str">
        <f>IFERROR(__xludf.DUMMYFUNCTION("""COMPUTED_VALUE"""),"Beans and Lentils")</f>
        <v>Beans and Lentils</v>
      </c>
      <c r="D1770">
        <f>IFERROR(__xludf.DUMMYFUNCTION("""COMPUTED_VALUE"""),169.0)</f>
        <v>169</v>
      </c>
      <c r="E1770">
        <f>IFERROR(__xludf.DUMMYFUNCTION("""COMPUTED_VALUE"""),7.41)</f>
        <v>7.41</v>
      </c>
      <c r="F1770">
        <f>IFERROR(__xludf.DUMMYFUNCTION("""COMPUTED_VALUE"""),9.23)</f>
        <v>9.23</v>
      </c>
      <c r="G1770">
        <f>IFERROR(__xludf.DUMMYFUNCTION("""COMPUTED_VALUE"""),17.04)</f>
        <v>17.04</v>
      </c>
    </row>
    <row r="1771">
      <c r="A1771">
        <f>IFERROR(__xludf.DUMMYFUNCTION("""COMPUTED_VALUE"""),784283.0)</f>
        <v>784283</v>
      </c>
      <c r="B1771" t="str">
        <f>IFERROR(__xludf.DUMMYFUNCTION("""COMPUTED_VALUE"""),"Cowpeas Dry Cooked With Pork")</f>
        <v>Cowpeas Dry Cooked With Pork</v>
      </c>
      <c r="C1771" t="str">
        <f>IFERROR(__xludf.DUMMYFUNCTION("""COMPUTED_VALUE"""),"Beans and Lentils")</f>
        <v>Beans and Lentils</v>
      </c>
      <c r="D1771">
        <f>IFERROR(__xludf.DUMMYFUNCTION("""COMPUTED_VALUE"""),173.0)</f>
        <v>173</v>
      </c>
      <c r="E1771">
        <f>IFERROR(__xludf.DUMMYFUNCTION("""COMPUTED_VALUE"""),8.26)</f>
        <v>8.26</v>
      </c>
      <c r="F1771">
        <f>IFERROR(__xludf.DUMMYFUNCTION("""COMPUTED_VALUE"""),8.86)</f>
        <v>8.86</v>
      </c>
      <c r="G1771">
        <f>IFERROR(__xludf.DUMMYFUNCTION("""COMPUTED_VALUE"""),16.36)</f>
        <v>16.36</v>
      </c>
    </row>
    <row r="1772">
      <c r="A1772">
        <f>IFERROR(__xludf.DUMMYFUNCTION("""COMPUTED_VALUE"""),784284.0)</f>
        <v>784284</v>
      </c>
      <c r="B1772" t="str">
        <f>IFERROR(__xludf.DUMMYFUNCTION("""COMPUTED_VALUE"""),"Lentils Dry Cooked Ns As To Fat Added In Cooking")</f>
        <v>Lentils Dry Cooked Ns As To Fat Added In Cooking</v>
      </c>
      <c r="C1772" t="str">
        <f>IFERROR(__xludf.DUMMYFUNCTION("""COMPUTED_VALUE"""),"Beans and Lentils")</f>
        <v>Beans and Lentils</v>
      </c>
      <c r="D1772">
        <f>IFERROR(__xludf.DUMMYFUNCTION("""COMPUTED_VALUE"""),165.0)</f>
        <v>165</v>
      </c>
      <c r="E1772">
        <f>IFERROR(__xludf.DUMMYFUNCTION("""COMPUTED_VALUE"""),6.76)</f>
        <v>6.76</v>
      </c>
      <c r="F1772">
        <f>IFERROR(__xludf.DUMMYFUNCTION("""COMPUTED_VALUE"""),8.4)</f>
        <v>8.4</v>
      </c>
      <c r="G1772">
        <f>IFERROR(__xludf.DUMMYFUNCTION("""COMPUTED_VALUE"""),18.74)</f>
        <v>18.74</v>
      </c>
    </row>
    <row r="1773">
      <c r="A1773">
        <f>IFERROR(__xludf.DUMMYFUNCTION("""COMPUTED_VALUE"""),784285.0)</f>
        <v>784285</v>
      </c>
      <c r="B1773" t="str">
        <f>IFERROR(__xludf.DUMMYFUNCTION("""COMPUTED_VALUE"""),"Lentils Dry Cooked Fat Added In Cooking Ns As To Type Of Fat")</f>
        <v>Lentils Dry Cooked Fat Added In Cooking Ns As To Type Of Fat</v>
      </c>
      <c r="C1773" t="str">
        <f>IFERROR(__xludf.DUMMYFUNCTION("""COMPUTED_VALUE"""),"Beans and Lentils")</f>
        <v>Beans and Lentils</v>
      </c>
      <c r="D1773">
        <f>IFERROR(__xludf.DUMMYFUNCTION("""COMPUTED_VALUE"""),165.0)</f>
        <v>165</v>
      </c>
      <c r="E1773">
        <f>IFERROR(__xludf.DUMMYFUNCTION("""COMPUTED_VALUE"""),6.76)</f>
        <v>6.76</v>
      </c>
      <c r="F1773">
        <f>IFERROR(__xludf.DUMMYFUNCTION("""COMPUTED_VALUE"""),8.4)</f>
        <v>8.4</v>
      </c>
      <c r="G1773">
        <f>IFERROR(__xludf.DUMMYFUNCTION("""COMPUTED_VALUE"""),18.74)</f>
        <v>18.74</v>
      </c>
    </row>
    <row r="1774">
      <c r="A1774">
        <f>IFERROR(__xludf.DUMMYFUNCTION("""COMPUTED_VALUE"""),784286.0)</f>
        <v>784286</v>
      </c>
      <c r="B1774" t="str">
        <f>IFERROR(__xludf.DUMMYFUNCTION("""COMPUTED_VALUE"""),"Lentils Dry Cooked Made With Oil")</f>
        <v>Lentils Dry Cooked Made With Oil</v>
      </c>
      <c r="C1774" t="str">
        <f>IFERROR(__xludf.DUMMYFUNCTION("""COMPUTED_VALUE"""),"Beans and Lentils")</f>
        <v>Beans and Lentils</v>
      </c>
      <c r="D1774">
        <f>IFERROR(__xludf.DUMMYFUNCTION("""COMPUTED_VALUE"""),165.0)</f>
        <v>165</v>
      </c>
      <c r="E1774">
        <f>IFERROR(__xludf.DUMMYFUNCTION("""COMPUTED_VALUE"""),6.76)</f>
        <v>6.76</v>
      </c>
      <c r="F1774">
        <f>IFERROR(__xludf.DUMMYFUNCTION("""COMPUTED_VALUE"""),8.4)</f>
        <v>8.4</v>
      </c>
      <c r="G1774">
        <f>IFERROR(__xludf.DUMMYFUNCTION("""COMPUTED_VALUE"""),18.74)</f>
        <v>18.74</v>
      </c>
    </row>
    <row r="1775">
      <c r="A1775">
        <f>IFERROR(__xludf.DUMMYFUNCTION("""COMPUTED_VALUE"""),784287.0)</f>
        <v>784287</v>
      </c>
      <c r="B1775" t="str">
        <f>IFERROR(__xludf.DUMMYFUNCTION("""COMPUTED_VALUE"""),"Lentils Dry Cooked Made With Animal Fat Or Meat Drippings")</f>
        <v>Lentils Dry Cooked Made With Animal Fat Or Meat Drippings</v>
      </c>
      <c r="C1775" t="str">
        <f>IFERROR(__xludf.DUMMYFUNCTION("""COMPUTED_VALUE"""),"Beans and Lentils")</f>
        <v>Beans and Lentils</v>
      </c>
      <c r="D1775">
        <f>IFERROR(__xludf.DUMMYFUNCTION("""COMPUTED_VALUE"""),159.0)</f>
        <v>159</v>
      </c>
      <c r="E1775">
        <f>IFERROR(__xludf.DUMMYFUNCTION("""COMPUTED_VALUE"""),5.93)</f>
        <v>5.93</v>
      </c>
      <c r="F1775">
        <f>IFERROR(__xludf.DUMMYFUNCTION("""COMPUTED_VALUE"""),8.57)</f>
        <v>8.57</v>
      </c>
      <c r="G1775">
        <f>IFERROR(__xludf.DUMMYFUNCTION("""COMPUTED_VALUE"""),18.82)</f>
        <v>18.82</v>
      </c>
    </row>
    <row r="1776">
      <c r="A1776">
        <f>IFERROR(__xludf.DUMMYFUNCTION("""COMPUTED_VALUE"""),784288.0)</f>
        <v>784288</v>
      </c>
      <c r="B1776" t="str">
        <f>IFERROR(__xludf.DUMMYFUNCTION("""COMPUTED_VALUE"""),"Lentils Dry Cooked Made With Margarine")</f>
        <v>Lentils Dry Cooked Made With Margarine</v>
      </c>
      <c r="C1776" t="str">
        <f>IFERROR(__xludf.DUMMYFUNCTION("""COMPUTED_VALUE"""),"Beans and Lentils")</f>
        <v>Beans and Lentils</v>
      </c>
      <c r="D1776">
        <f>IFERROR(__xludf.DUMMYFUNCTION("""COMPUTED_VALUE"""),143.0)</f>
        <v>143</v>
      </c>
      <c r="E1776">
        <f>IFERROR(__xludf.DUMMYFUNCTION("""COMPUTED_VALUE"""),4.37)</f>
        <v>4.37</v>
      </c>
      <c r="F1776">
        <f>IFERROR(__xludf.DUMMYFUNCTION("""COMPUTED_VALUE"""),8.38)</f>
        <v>8.38</v>
      </c>
      <c r="G1776">
        <f>IFERROR(__xludf.DUMMYFUNCTION("""COMPUTED_VALUE"""),18.74)</f>
        <v>18.74</v>
      </c>
    </row>
    <row r="1777">
      <c r="A1777">
        <f>IFERROR(__xludf.DUMMYFUNCTION("""COMPUTED_VALUE"""),784289.0)</f>
        <v>784289</v>
      </c>
      <c r="B1777" t="str">
        <f>IFERROR(__xludf.DUMMYFUNCTION("""COMPUTED_VALUE"""),"Lentils Dry Cooked Fat Not Added In Cooking")</f>
        <v>Lentils Dry Cooked Fat Not Added In Cooking</v>
      </c>
      <c r="C1777" t="str">
        <f>IFERROR(__xludf.DUMMYFUNCTION("""COMPUTED_VALUE"""),"Beans and Lentils")</f>
        <v>Beans and Lentils</v>
      </c>
      <c r="D1777">
        <f>IFERROR(__xludf.DUMMYFUNCTION("""COMPUTED_VALUE"""),115.0)</f>
        <v>115</v>
      </c>
      <c r="E1777">
        <f>IFERROR(__xludf.DUMMYFUNCTION("""COMPUTED_VALUE"""),0.38)</f>
        <v>0.38</v>
      </c>
      <c r="F1777">
        <f>IFERROR(__xludf.DUMMYFUNCTION("""COMPUTED_VALUE"""),8.98)</f>
        <v>8.98</v>
      </c>
      <c r="G1777">
        <f>IFERROR(__xludf.DUMMYFUNCTION("""COMPUTED_VALUE"""),20.03)</f>
        <v>20.03</v>
      </c>
    </row>
    <row r="1778">
      <c r="A1778">
        <f>IFERROR(__xludf.DUMMYFUNCTION("""COMPUTED_VALUE"""),784290.0)</f>
        <v>784290</v>
      </c>
      <c r="B1778" t="str">
        <f>IFERROR(__xludf.DUMMYFUNCTION("""COMPUTED_VALUE"""),"Loaf Lentil")</f>
        <v>Loaf Lentil</v>
      </c>
      <c r="C1778" t="str">
        <f>IFERROR(__xludf.DUMMYFUNCTION("""COMPUTED_VALUE"""),"Beans and Lentils")</f>
        <v>Beans and Lentils</v>
      </c>
      <c r="D1778">
        <f>IFERROR(__xludf.DUMMYFUNCTION("""COMPUTED_VALUE"""),72.0)</f>
        <v>72</v>
      </c>
      <c r="E1778">
        <f>IFERROR(__xludf.DUMMYFUNCTION("""COMPUTED_VALUE"""),2.41)</f>
        <v>2.41</v>
      </c>
      <c r="F1778">
        <f>IFERROR(__xludf.DUMMYFUNCTION("""COMPUTED_VALUE"""),2.2)</f>
        <v>2.2</v>
      </c>
      <c r="G1778">
        <f>IFERROR(__xludf.DUMMYFUNCTION("""COMPUTED_VALUE"""),10.7)</f>
        <v>10.7</v>
      </c>
    </row>
    <row r="1779">
      <c r="A1779">
        <f>IFERROR(__xludf.DUMMYFUNCTION("""COMPUTED_VALUE"""),784291.0)</f>
        <v>784291</v>
      </c>
      <c r="B1779" t="str">
        <f>IFERROR(__xludf.DUMMYFUNCTION("""COMPUTED_VALUE"""),"Stewed Chickpeas Puerto Rican Style")</f>
        <v>Stewed Chickpeas Puerto Rican Style</v>
      </c>
      <c r="C1779" t="str">
        <f>IFERROR(__xludf.DUMMYFUNCTION("""COMPUTED_VALUE"""),"Beans and Lentils")</f>
        <v>Beans and Lentils</v>
      </c>
      <c r="D1779">
        <f>IFERROR(__xludf.DUMMYFUNCTION("""COMPUTED_VALUE"""),89.0)</f>
        <v>89</v>
      </c>
      <c r="E1779">
        <f>IFERROR(__xludf.DUMMYFUNCTION("""COMPUTED_VALUE"""),3.91)</f>
        <v>3.91</v>
      </c>
      <c r="F1779">
        <f>IFERROR(__xludf.DUMMYFUNCTION("""COMPUTED_VALUE"""),4.11)</f>
        <v>4.11</v>
      </c>
      <c r="G1779">
        <f>IFERROR(__xludf.DUMMYFUNCTION("""COMPUTED_VALUE"""),9.81)</f>
        <v>9.81</v>
      </c>
    </row>
    <row r="1780">
      <c r="A1780">
        <f>IFERROR(__xludf.DUMMYFUNCTION("""COMPUTED_VALUE"""),784292.0)</f>
        <v>784292</v>
      </c>
      <c r="B1780" t="str">
        <f>IFERROR(__xludf.DUMMYFUNCTION("""COMPUTED_VALUE"""),"Stewed Chickpeas With Potatoes Puerto Rican Style")</f>
        <v>Stewed Chickpeas With Potatoes Puerto Rican Style</v>
      </c>
      <c r="C1780" t="str">
        <f>IFERROR(__xludf.DUMMYFUNCTION("""COMPUTED_VALUE"""),"Beans and Lentils")</f>
        <v>Beans and Lentils</v>
      </c>
      <c r="D1780">
        <f>IFERROR(__xludf.DUMMYFUNCTION("""COMPUTED_VALUE"""),160.0)</f>
        <v>160</v>
      </c>
      <c r="E1780">
        <f>IFERROR(__xludf.DUMMYFUNCTION("""COMPUTED_VALUE"""),5.12)</f>
        <v>5.12</v>
      </c>
      <c r="F1780">
        <f>IFERROR(__xludf.DUMMYFUNCTION("""COMPUTED_VALUE"""),7.78)</f>
        <v>7.78</v>
      </c>
      <c r="G1780">
        <f>IFERROR(__xludf.DUMMYFUNCTION("""COMPUTED_VALUE"""),21.64)</f>
        <v>21.64</v>
      </c>
    </row>
    <row r="1781">
      <c r="A1781">
        <f>IFERROR(__xludf.DUMMYFUNCTION("""COMPUTED_VALUE"""),784293.0)</f>
        <v>784293</v>
      </c>
      <c r="B1781" t="str">
        <f>IFERROR(__xludf.DUMMYFUNCTION("""COMPUTED_VALUE"""),"Chickpeas Stewed With Pig's Feet Puerto Rican Style")</f>
        <v>Chickpeas Stewed With Pig's Feet Puerto Rican Style</v>
      </c>
      <c r="C1781" t="str">
        <f>IFERROR(__xludf.DUMMYFUNCTION("""COMPUTED_VALUE"""),"Beans and Lentils")</f>
        <v>Beans and Lentils</v>
      </c>
      <c r="D1781">
        <f>IFERROR(__xludf.DUMMYFUNCTION("""COMPUTED_VALUE"""),151.0)</f>
        <v>151</v>
      </c>
      <c r="E1781">
        <f>IFERROR(__xludf.DUMMYFUNCTION("""COMPUTED_VALUE"""),9.07)</f>
        <v>9.07</v>
      </c>
      <c r="F1781">
        <f>IFERROR(__xludf.DUMMYFUNCTION("""COMPUTED_VALUE"""),9.44)</f>
        <v>9.44</v>
      </c>
      <c r="G1781">
        <f>IFERROR(__xludf.DUMMYFUNCTION("""COMPUTED_VALUE"""),8.1)</f>
        <v>8.1</v>
      </c>
    </row>
    <row r="1782">
      <c r="A1782">
        <f>IFERROR(__xludf.DUMMYFUNCTION("""COMPUTED_VALUE"""),784294.0)</f>
        <v>784294</v>
      </c>
      <c r="B1782" t="str">
        <f>IFERROR(__xludf.DUMMYFUNCTION("""COMPUTED_VALUE"""),"Stewed Chickpeas With Spanish Sausages Puerto Rican Style")</f>
        <v>Stewed Chickpeas With Spanish Sausages Puerto Rican Style</v>
      </c>
      <c r="C1782" t="str">
        <f>IFERROR(__xludf.DUMMYFUNCTION("""COMPUTED_VALUE"""),"Beans and Lentils")</f>
        <v>Beans and Lentils</v>
      </c>
      <c r="D1782">
        <f>IFERROR(__xludf.DUMMYFUNCTION("""COMPUTED_VALUE"""),212.0)</f>
        <v>212</v>
      </c>
      <c r="E1782">
        <f>IFERROR(__xludf.DUMMYFUNCTION("""COMPUTED_VALUE"""),15.62)</f>
        <v>15.62</v>
      </c>
      <c r="F1782">
        <f>IFERROR(__xludf.DUMMYFUNCTION("""COMPUTED_VALUE"""),6.44)</f>
        <v>6.44</v>
      </c>
      <c r="G1782">
        <f>IFERROR(__xludf.DUMMYFUNCTION("""COMPUTED_VALUE"""),12.4)</f>
        <v>12.4</v>
      </c>
    </row>
    <row r="1783">
      <c r="A1783">
        <f>IFERROR(__xludf.DUMMYFUNCTION("""COMPUTED_VALUE"""),784295.0)</f>
        <v>784295</v>
      </c>
      <c r="B1783" t="str">
        <f>IFERROR(__xludf.DUMMYFUNCTION("""COMPUTED_VALUE"""),"Fried Chickpeas With Bacon Puerto Rican Style")</f>
        <v>Fried Chickpeas With Bacon Puerto Rican Style</v>
      </c>
      <c r="C1783" t="str">
        <f>IFERROR(__xludf.DUMMYFUNCTION("""COMPUTED_VALUE"""),"Beans and Lentils")</f>
        <v>Beans and Lentils</v>
      </c>
      <c r="D1783">
        <f>IFERROR(__xludf.DUMMYFUNCTION("""COMPUTED_VALUE"""),309.0)</f>
        <v>309</v>
      </c>
      <c r="E1783">
        <f>IFERROR(__xludf.DUMMYFUNCTION("""COMPUTED_VALUE"""),19.08)</f>
        <v>19.08</v>
      </c>
      <c r="F1783">
        <f>IFERROR(__xludf.DUMMYFUNCTION("""COMPUTED_VALUE"""),11.99)</f>
        <v>11.99</v>
      </c>
      <c r="G1783">
        <f>IFERROR(__xludf.DUMMYFUNCTION("""COMPUTED_VALUE"""),23.46)</f>
        <v>23.46</v>
      </c>
    </row>
    <row r="1784">
      <c r="A1784">
        <f>IFERROR(__xludf.DUMMYFUNCTION("""COMPUTED_VALUE"""),784298.0)</f>
        <v>784298</v>
      </c>
      <c r="B1784" t="str">
        <f>IFERROR(__xludf.DUMMYFUNCTION("""COMPUTED_VALUE"""),"Sambar Vegetable Stew")</f>
        <v>Sambar Vegetable Stew</v>
      </c>
      <c r="C1784" t="str">
        <f>IFERROR(__xludf.DUMMYFUNCTION("""COMPUTED_VALUE"""),"Vegetables")</f>
        <v>Vegetables</v>
      </c>
      <c r="D1784">
        <f>IFERROR(__xludf.DUMMYFUNCTION("""COMPUTED_VALUE"""),84.0)</f>
        <v>84</v>
      </c>
      <c r="E1784">
        <f>IFERROR(__xludf.DUMMYFUNCTION("""COMPUTED_VALUE"""),2.64)</f>
        <v>2.64</v>
      </c>
      <c r="F1784">
        <f>IFERROR(__xludf.DUMMYFUNCTION("""COMPUTED_VALUE"""),4.3)</f>
        <v>4.3</v>
      </c>
      <c r="G1784">
        <f>IFERROR(__xludf.DUMMYFUNCTION("""COMPUTED_VALUE"""),11.61)</f>
        <v>11.61</v>
      </c>
    </row>
    <row r="1785">
      <c r="A1785">
        <f>IFERROR(__xludf.DUMMYFUNCTION("""COMPUTED_VALUE"""),784315.0)</f>
        <v>784315</v>
      </c>
      <c r="B1785" t="str">
        <f>IFERROR(__xludf.DUMMYFUNCTION("""COMPUTED_VALUE"""),"Soybean Curd Breaded Fried")</f>
        <v>Soybean Curd Breaded Fried</v>
      </c>
      <c r="C1785" t="str">
        <f>IFERROR(__xludf.DUMMYFUNCTION("""COMPUTED_VALUE"""),"Beans and Lentils")</f>
        <v>Beans and Lentils</v>
      </c>
      <c r="D1785">
        <f>IFERROR(__xludf.DUMMYFUNCTION("""COMPUTED_VALUE"""),150.0)</f>
        <v>150</v>
      </c>
      <c r="E1785">
        <f>IFERROR(__xludf.DUMMYFUNCTION("""COMPUTED_VALUE"""),9.6)</f>
        <v>9.6</v>
      </c>
      <c r="F1785">
        <f>IFERROR(__xludf.DUMMYFUNCTION("""COMPUTED_VALUE"""),8.4)</f>
        <v>8.4</v>
      </c>
      <c r="G1785">
        <f>IFERROR(__xludf.DUMMYFUNCTION("""COMPUTED_VALUE"""),8.7)</f>
        <v>8.7</v>
      </c>
    </row>
    <row r="1786">
      <c r="A1786">
        <f>IFERROR(__xludf.DUMMYFUNCTION("""COMPUTED_VALUE"""),784317.0)</f>
        <v>784317</v>
      </c>
      <c r="B1786" t="str">
        <f>IFERROR(__xludf.DUMMYFUNCTION("""COMPUTED_VALUE"""),"Vermicelli Made From Soybeans")</f>
        <v>Vermicelli Made From Soybeans</v>
      </c>
      <c r="C1786" t="str">
        <f>IFERROR(__xludf.DUMMYFUNCTION("""COMPUTED_VALUE"""),"Grains and Pasta")</f>
        <v>Grains and Pasta</v>
      </c>
      <c r="D1786">
        <f>IFERROR(__xludf.DUMMYFUNCTION("""COMPUTED_VALUE"""),126.0)</f>
        <v>126</v>
      </c>
      <c r="E1786">
        <f>IFERROR(__xludf.DUMMYFUNCTION("""COMPUTED_VALUE"""),0.04)</f>
        <v>0.04</v>
      </c>
      <c r="F1786">
        <f>IFERROR(__xludf.DUMMYFUNCTION("""COMPUTED_VALUE"""),0.04)</f>
        <v>0.04</v>
      </c>
      <c r="G1786">
        <f>IFERROR(__xludf.DUMMYFUNCTION("""COMPUTED_VALUE"""),31.42)</f>
        <v>31.42</v>
      </c>
    </row>
    <row r="1787">
      <c r="A1787">
        <f>IFERROR(__xludf.DUMMYFUNCTION("""COMPUTED_VALUE"""),784351.0)</f>
        <v>784351</v>
      </c>
      <c r="B1787" t="str">
        <f>IFERROR(__xludf.DUMMYFUNCTION("""COMPUTED_VALUE"""),"Swiss Steak With Gravy Meatless")</f>
        <v>Swiss Steak With Gravy Meatless</v>
      </c>
      <c r="C1787" t="str">
        <f>IFERROR(__xludf.DUMMYFUNCTION("""COMPUTED_VALUE"""),"Beans and Lentils")</f>
        <v>Beans and Lentils</v>
      </c>
      <c r="D1787">
        <f>IFERROR(__xludf.DUMMYFUNCTION("""COMPUTED_VALUE"""),180.0)</f>
        <v>180</v>
      </c>
      <c r="E1787">
        <f>IFERROR(__xludf.DUMMYFUNCTION("""COMPUTED_VALUE"""),8.07)</f>
        <v>8.07</v>
      </c>
      <c r="F1787">
        <f>IFERROR(__xludf.DUMMYFUNCTION("""COMPUTED_VALUE"""),12.67)</f>
        <v>12.67</v>
      </c>
      <c r="G1787">
        <f>IFERROR(__xludf.DUMMYFUNCTION("""COMPUTED_VALUE"""),14.1)</f>
        <v>14.1</v>
      </c>
    </row>
    <row r="1788">
      <c r="A1788">
        <f>IFERROR(__xludf.DUMMYFUNCTION("""COMPUTED_VALUE"""),784353.0)</f>
        <v>784353</v>
      </c>
      <c r="B1788" t="str">
        <f>IFERROR(__xludf.DUMMYFUNCTION("""COMPUTED_VALUE"""),"Vegetarian Pot Pie")</f>
        <v>Vegetarian Pot Pie</v>
      </c>
      <c r="C1788" t="str">
        <f>IFERROR(__xludf.DUMMYFUNCTION("""COMPUTED_VALUE"""),"Beans and Lentils")</f>
        <v>Beans and Lentils</v>
      </c>
      <c r="D1788">
        <f>IFERROR(__xludf.DUMMYFUNCTION("""COMPUTED_VALUE"""),224.0)</f>
        <v>224</v>
      </c>
      <c r="E1788">
        <f>IFERROR(__xludf.DUMMYFUNCTION("""COMPUTED_VALUE"""),13.98)</f>
        <v>13.98</v>
      </c>
      <c r="F1788">
        <f>IFERROR(__xludf.DUMMYFUNCTION("""COMPUTED_VALUE"""),7.69)</f>
        <v>7.69</v>
      </c>
      <c r="G1788">
        <f>IFERROR(__xludf.DUMMYFUNCTION("""COMPUTED_VALUE"""),17.02)</f>
        <v>17.02</v>
      </c>
    </row>
    <row r="1789">
      <c r="A1789">
        <f>IFERROR(__xludf.DUMMYFUNCTION("""COMPUTED_VALUE"""),784354.0)</f>
        <v>784354</v>
      </c>
      <c r="B1789" t="str">
        <f>IFERROR(__xludf.DUMMYFUNCTION("""COMPUTED_VALUE"""),"Vegetarian Chili Made With Meat Substitute")</f>
        <v>Vegetarian Chili Made With Meat Substitute</v>
      </c>
      <c r="C1789" t="str">
        <f>IFERROR(__xludf.DUMMYFUNCTION("""COMPUTED_VALUE"""),"Beans and Lentils")</f>
        <v>Beans and Lentils</v>
      </c>
      <c r="D1789">
        <f>IFERROR(__xludf.DUMMYFUNCTION("""COMPUTED_VALUE"""),107.0)</f>
        <v>107</v>
      </c>
      <c r="E1789">
        <f>IFERROR(__xludf.DUMMYFUNCTION("""COMPUTED_VALUE"""),2.93)</f>
        <v>2.93</v>
      </c>
      <c r="F1789">
        <f>IFERROR(__xludf.DUMMYFUNCTION("""COMPUTED_VALUE"""),7.44)</f>
        <v>7.44</v>
      </c>
      <c r="G1789">
        <f>IFERROR(__xludf.DUMMYFUNCTION("""COMPUTED_VALUE"""),13.89)</f>
        <v>13.89</v>
      </c>
    </row>
    <row r="1790">
      <c r="A1790">
        <f>IFERROR(__xludf.DUMMYFUNCTION("""COMPUTED_VALUE"""),784358.0)</f>
        <v>784358</v>
      </c>
      <c r="B1790" t="str">
        <f>IFERROR(__xludf.DUMMYFUNCTION("""COMPUTED_VALUE"""),"Vegetarian Stew")</f>
        <v>Vegetarian Stew</v>
      </c>
      <c r="C1790" t="str">
        <f>IFERROR(__xludf.DUMMYFUNCTION("""COMPUTED_VALUE"""),"Beans and Lentils")</f>
        <v>Beans and Lentils</v>
      </c>
      <c r="D1790">
        <f>IFERROR(__xludf.DUMMYFUNCTION("""COMPUTED_VALUE"""),31.0)</f>
        <v>31</v>
      </c>
      <c r="E1790">
        <f>IFERROR(__xludf.DUMMYFUNCTION("""COMPUTED_VALUE"""),2.14)</f>
        <v>2.14</v>
      </c>
      <c r="F1790">
        <f>IFERROR(__xludf.DUMMYFUNCTION("""COMPUTED_VALUE"""),0.8)</f>
        <v>0.8</v>
      </c>
      <c r="G1790">
        <f>IFERROR(__xludf.DUMMYFUNCTION("""COMPUTED_VALUE"""),2.98)</f>
        <v>2.98</v>
      </c>
    </row>
    <row r="1791">
      <c r="A1791">
        <f>IFERROR(__xludf.DUMMYFUNCTION("""COMPUTED_VALUE"""),784359.0)</f>
        <v>784359</v>
      </c>
      <c r="B1791" t="str">
        <f>IFERROR(__xludf.DUMMYFUNCTION("""COMPUTED_VALUE"""),"Vegetarian Stroganoff")</f>
        <v>Vegetarian Stroganoff</v>
      </c>
      <c r="C1791" t="str">
        <f>IFERROR(__xludf.DUMMYFUNCTION("""COMPUTED_VALUE"""),"Beans and Lentils")</f>
        <v>Beans and Lentils</v>
      </c>
      <c r="D1791">
        <f>IFERROR(__xludf.DUMMYFUNCTION("""COMPUTED_VALUE"""),166.0)</f>
        <v>166</v>
      </c>
      <c r="E1791">
        <f>IFERROR(__xludf.DUMMYFUNCTION("""COMPUTED_VALUE"""),10.16)</f>
        <v>10.16</v>
      </c>
      <c r="F1791">
        <f>IFERROR(__xludf.DUMMYFUNCTION("""COMPUTED_VALUE"""),7.58)</f>
        <v>7.58</v>
      </c>
      <c r="G1791">
        <f>IFERROR(__xludf.DUMMYFUNCTION("""COMPUTED_VALUE"""),11.62)</f>
        <v>11.62</v>
      </c>
    </row>
    <row r="1792">
      <c r="A1792">
        <f>IFERROR(__xludf.DUMMYFUNCTION("""COMPUTED_VALUE"""),784361.0)</f>
        <v>784361</v>
      </c>
      <c r="B1792" t="str">
        <f>IFERROR(__xludf.DUMMYFUNCTION("""COMPUTED_VALUE"""),"Soyburger Meatless With Cheese On Bun")</f>
        <v>Soyburger Meatless With Cheese On Bun</v>
      </c>
      <c r="C1792" t="str">
        <f>IFERROR(__xludf.DUMMYFUNCTION("""COMPUTED_VALUE"""),"Beans and Lentils")</f>
        <v>Beans and Lentils</v>
      </c>
      <c r="D1792">
        <f>IFERROR(__xludf.DUMMYFUNCTION("""COMPUTED_VALUE"""),208.0)</f>
        <v>208</v>
      </c>
      <c r="E1792">
        <f>IFERROR(__xludf.DUMMYFUNCTION("""COMPUTED_VALUE"""),6.61)</f>
        <v>6.61</v>
      </c>
      <c r="F1792">
        <f>IFERROR(__xludf.DUMMYFUNCTION("""COMPUTED_VALUE"""),12.28)</f>
        <v>12.28</v>
      </c>
      <c r="G1792">
        <f>IFERROR(__xludf.DUMMYFUNCTION("""COMPUTED_VALUE"""),24.76)</f>
        <v>24.76</v>
      </c>
    </row>
    <row r="1793">
      <c r="A1793">
        <f>IFERROR(__xludf.DUMMYFUNCTION("""COMPUTED_VALUE"""),785404.0)</f>
        <v>785404</v>
      </c>
      <c r="B1793" t="str">
        <f>IFERROR(__xludf.DUMMYFUNCTION("""COMPUTED_VALUE"""),"Pasta Vegetable Cooked")</f>
        <v>Pasta Vegetable Cooked</v>
      </c>
      <c r="C1793" t="str">
        <f>IFERROR(__xludf.DUMMYFUNCTION("""COMPUTED_VALUE"""),"Grains and Pasta")</f>
        <v>Grains and Pasta</v>
      </c>
      <c r="D1793">
        <f>IFERROR(__xludf.DUMMYFUNCTION("""COMPUTED_VALUE"""),128.0)</f>
        <v>128</v>
      </c>
      <c r="E1793">
        <f>IFERROR(__xludf.DUMMYFUNCTION("""COMPUTED_VALUE"""),0.11)</f>
        <v>0.11</v>
      </c>
      <c r="F1793">
        <f>IFERROR(__xludf.DUMMYFUNCTION("""COMPUTED_VALUE"""),4.52)</f>
        <v>4.52</v>
      </c>
      <c r="G1793">
        <f>IFERROR(__xludf.DUMMYFUNCTION("""COMPUTED_VALUE"""),26.55)</f>
        <v>26.55</v>
      </c>
    </row>
    <row r="1794">
      <c r="A1794">
        <f>IFERROR(__xludf.DUMMYFUNCTION("""COMPUTED_VALUE"""),785405.0)</f>
        <v>785405</v>
      </c>
      <c r="B1794" t="str">
        <f>IFERROR(__xludf.DUMMYFUNCTION("""COMPUTED_VALUE"""),"Noodles Cooked")</f>
        <v>Noodles Cooked</v>
      </c>
      <c r="C1794" t="str">
        <f>IFERROR(__xludf.DUMMYFUNCTION("""COMPUTED_VALUE"""),"Grains and Pasta")</f>
        <v>Grains and Pasta</v>
      </c>
      <c r="D1794">
        <f>IFERROR(__xludf.DUMMYFUNCTION("""COMPUTED_VALUE"""),137.0)</f>
        <v>137</v>
      </c>
      <c r="E1794">
        <f>IFERROR(__xludf.DUMMYFUNCTION("""COMPUTED_VALUE"""),2.06)</f>
        <v>2.06</v>
      </c>
      <c r="F1794">
        <f>IFERROR(__xludf.DUMMYFUNCTION("""COMPUTED_VALUE"""),4.51)</f>
        <v>4.51</v>
      </c>
      <c r="G1794">
        <f>IFERROR(__xludf.DUMMYFUNCTION("""COMPUTED_VALUE"""),25.01)</f>
        <v>25.01</v>
      </c>
    </row>
    <row r="1795">
      <c r="A1795">
        <f>IFERROR(__xludf.DUMMYFUNCTION("""COMPUTED_VALUE"""),785406.0)</f>
        <v>785406</v>
      </c>
      <c r="B1795" t="str">
        <f>IFERROR(__xludf.DUMMYFUNCTION("""COMPUTED_VALUE"""),"Noodles Whole Grain Cooked")</f>
        <v>Noodles Whole Grain Cooked</v>
      </c>
      <c r="C1795" t="str">
        <f>IFERROR(__xludf.DUMMYFUNCTION("""COMPUTED_VALUE"""),"Grains and Pasta")</f>
        <v>Grains and Pasta</v>
      </c>
      <c r="D1795">
        <f>IFERROR(__xludf.DUMMYFUNCTION("""COMPUTED_VALUE"""),148.0)</f>
        <v>148</v>
      </c>
      <c r="E1795">
        <f>IFERROR(__xludf.DUMMYFUNCTION("""COMPUTED_VALUE"""),1.7)</f>
        <v>1.7</v>
      </c>
      <c r="F1795">
        <f>IFERROR(__xludf.DUMMYFUNCTION("""COMPUTED_VALUE"""),5.96)</f>
        <v>5.96</v>
      </c>
      <c r="G1795">
        <f>IFERROR(__xludf.DUMMYFUNCTION("""COMPUTED_VALUE"""),29.91)</f>
        <v>29.91</v>
      </c>
    </row>
    <row r="1796">
      <c r="A1796">
        <f>IFERROR(__xludf.DUMMYFUNCTION("""COMPUTED_VALUE"""),785407.0)</f>
        <v>785407</v>
      </c>
      <c r="B1796" t="str">
        <f>IFERROR(__xludf.DUMMYFUNCTION("""COMPUTED_VALUE"""),"Noodles Vegetable Cooked")</f>
        <v>Noodles Vegetable Cooked</v>
      </c>
      <c r="C1796" t="str">
        <f>IFERROR(__xludf.DUMMYFUNCTION("""COMPUTED_VALUE"""),"Grains and Pasta")</f>
        <v>Grains and Pasta</v>
      </c>
      <c r="D1796">
        <f>IFERROR(__xludf.DUMMYFUNCTION("""COMPUTED_VALUE"""),131.0)</f>
        <v>131</v>
      </c>
      <c r="E1796">
        <f>IFERROR(__xludf.DUMMYFUNCTION("""COMPUTED_VALUE"""),1.56)</f>
        <v>1.56</v>
      </c>
      <c r="F1796">
        <f>IFERROR(__xludf.DUMMYFUNCTION("""COMPUTED_VALUE"""),5.01)</f>
        <v>5.01</v>
      </c>
      <c r="G1796">
        <f>IFERROR(__xludf.DUMMYFUNCTION("""COMPUTED_VALUE"""),24.1)</f>
        <v>24.1</v>
      </c>
    </row>
    <row r="1797">
      <c r="A1797">
        <f>IFERROR(__xludf.DUMMYFUNCTION("""COMPUTED_VALUE"""),785409.0)</f>
        <v>785409</v>
      </c>
      <c r="B1797" t="str">
        <f>IFERROR(__xludf.DUMMYFUNCTION("""COMPUTED_VALUE"""),"Long Rice Noodles Made From Mung Beans Cooked")</f>
        <v>Long Rice Noodles Made From Mung Beans Cooked</v>
      </c>
      <c r="C1797" t="str">
        <f>IFERROR(__xludf.DUMMYFUNCTION("""COMPUTED_VALUE"""),"Grains and Pasta")</f>
        <v>Grains and Pasta</v>
      </c>
      <c r="D1797">
        <f>IFERROR(__xludf.DUMMYFUNCTION("""COMPUTED_VALUE"""),84.0)</f>
        <v>84</v>
      </c>
      <c r="E1797">
        <f>IFERROR(__xludf.DUMMYFUNCTION("""COMPUTED_VALUE"""),0.01)</f>
        <v>0.01</v>
      </c>
      <c r="F1797">
        <f>IFERROR(__xludf.DUMMYFUNCTION("""COMPUTED_VALUE"""),0.04)</f>
        <v>0.04</v>
      </c>
      <c r="G1797">
        <f>IFERROR(__xludf.DUMMYFUNCTION("""COMPUTED_VALUE"""),20.66)</f>
        <v>20.66</v>
      </c>
    </row>
    <row r="1798">
      <c r="A1798">
        <f>IFERROR(__xludf.DUMMYFUNCTION("""COMPUTED_VALUE"""),785411.0)</f>
        <v>785411</v>
      </c>
      <c r="B1798" t="str">
        <f>IFERROR(__xludf.DUMMYFUNCTION("""COMPUTED_VALUE"""),"Pasta Cooked")</f>
        <v>Pasta Cooked</v>
      </c>
      <c r="C1798" t="str">
        <f>IFERROR(__xludf.DUMMYFUNCTION("""COMPUTED_VALUE"""),"Grains and Pasta")</f>
        <v>Grains and Pasta</v>
      </c>
      <c r="D1798">
        <f>IFERROR(__xludf.DUMMYFUNCTION("""COMPUTED_VALUE"""),157.0)</f>
        <v>157</v>
      </c>
      <c r="E1798">
        <f>IFERROR(__xludf.DUMMYFUNCTION("""COMPUTED_VALUE"""),0.92)</f>
        <v>0.92</v>
      </c>
      <c r="F1798">
        <f>IFERROR(__xludf.DUMMYFUNCTION("""COMPUTED_VALUE"""),5.76)</f>
        <v>5.76</v>
      </c>
      <c r="G1798">
        <f>IFERROR(__xludf.DUMMYFUNCTION("""COMPUTED_VALUE"""),30.68)</f>
        <v>30.68</v>
      </c>
    </row>
    <row r="1799">
      <c r="A1799">
        <f>IFERROR(__xludf.DUMMYFUNCTION("""COMPUTED_VALUE"""),785412.0)</f>
        <v>785412</v>
      </c>
      <c r="B1799" t="str">
        <f>IFERROR(__xludf.DUMMYFUNCTION("""COMPUTED_VALUE"""),"Pasta Whole Grain Cooked")</f>
        <v>Pasta Whole Grain Cooked</v>
      </c>
      <c r="C1799" t="str">
        <f>IFERROR(__xludf.DUMMYFUNCTION("""COMPUTED_VALUE"""),"Grains and Pasta")</f>
        <v>Grains and Pasta</v>
      </c>
      <c r="D1799">
        <f>IFERROR(__xludf.DUMMYFUNCTION("""COMPUTED_VALUE"""),148.0)</f>
        <v>148</v>
      </c>
      <c r="E1799">
        <f>IFERROR(__xludf.DUMMYFUNCTION("""COMPUTED_VALUE"""),1.7)</f>
        <v>1.7</v>
      </c>
      <c r="F1799">
        <f>IFERROR(__xludf.DUMMYFUNCTION("""COMPUTED_VALUE"""),5.95)</f>
        <v>5.95</v>
      </c>
      <c r="G1799">
        <f>IFERROR(__xludf.DUMMYFUNCTION("""COMPUTED_VALUE"""),29.89)</f>
        <v>29.89</v>
      </c>
    </row>
    <row r="1800">
      <c r="A1800">
        <f>IFERROR(__xludf.DUMMYFUNCTION("""COMPUTED_VALUE"""),785415.0)</f>
        <v>785415</v>
      </c>
      <c r="B1800" t="str">
        <f>IFERROR(__xludf.DUMMYFUNCTION("""COMPUTED_VALUE"""),"Barley Ns As To Fat Added In Cooking")</f>
        <v>Barley Ns As To Fat Added In Cooking</v>
      </c>
      <c r="C1800" t="str">
        <f>IFERROR(__xludf.DUMMYFUNCTION("""COMPUTED_VALUE"""),"Grains and Pasta")</f>
        <v>Grains and Pasta</v>
      </c>
      <c r="D1800">
        <f>IFERROR(__xludf.DUMMYFUNCTION("""COMPUTED_VALUE"""),122.0)</f>
        <v>122</v>
      </c>
      <c r="E1800">
        <f>IFERROR(__xludf.DUMMYFUNCTION("""COMPUTED_VALUE"""),0.44)</f>
        <v>0.44</v>
      </c>
      <c r="F1800">
        <f>IFERROR(__xludf.DUMMYFUNCTION("""COMPUTED_VALUE"""),2.25)</f>
        <v>2.25</v>
      </c>
      <c r="G1800">
        <f>IFERROR(__xludf.DUMMYFUNCTION("""COMPUTED_VALUE"""),28.09)</f>
        <v>28.09</v>
      </c>
    </row>
    <row r="1801">
      <c r="A1801">
        <f>IFERROR(__xludf.DUMMYFUNCTION("""COMPUTED_VALUE"""),785416.0)</f>
        <v>785416</v>
      </c>
      <c r="B1801" t="str">
        <f>IFERROR(__xludf.DUMMYFUNCTION("""COMPUTED_VALUE"""),"Barley Fat Not Added In Cooking")</f>
        <v>Barley Fat Not Added In Cooking</v>
      </c>
      <c r="C1801" t="str">
        <f>IFERROR(__xludf.DUMMYFUNCTION("""COMPUTED_VALUE"""),"Grains and Pasta")</f>
        <v>Grains and Pasta</v>
      </c>
      <c r="D1801">
        <f>IFERROR(__xludf.DUMMYFUNCTION("""COMPUTED_VALUE"""),122.0)</f>
        <v>122</v>
      </c>
      <c r="E1801">
        <f>IFERROR(__xludf.DUMMYFUNCTION("""COMPUTED_VALUE"""),0.44)</f>
        <v>0.44</v>
      </c>
      <c r="F1801">
        <f>IFERROR(__xludf.DUMMYFUNCTION("""COMPUTED_VALUE"""),2.25)</f>
        <v>2.25</v>
      </c>
      <c r="G1801">
        <f>IFERROR(__xludf.DUMMYFUNCTION("""COMPUTED_VALUE"""),28.09)</f>
        <v>28.09</v>
      </c>
    </row>
    <row r="1802">
      <c r="A1802">
        <f>IFERROR(__xludf.DUMMYFUNCTION("""COMPUTED_VALUE"""),785417.0)</f>
        <v>785417</v>
      </c>
      <c r="B1802" t="str">
        <f>IFERROR(__xludf.DUMMYFUNCTION("""COMPUTED_VALUE"""),"Barley Fat Added In Cooking")</f>
        <v>Barley Fat Added In Cooking</v>
      </c>
      <c r="C1802" t="str">
        <f>IFERROR(__xludf.DUMMYFUNCTION("""COMPUTED_VALUE"""),"Grains and Pasta")</f>
        <v>Grains and Pasta</v>
      </c>
      <c r="D1802">
        <f>IFERROR(__xludf.DUMMYFUNCTION("""COMPUTED_VALUE"""),138.0)</f>
        <v>138</v>
      </c>
      <c r="E1802">
        <f>IFERROR(__xludf.DUMMYFUNCTION("""COMPUTED_VALUE"""),2.66)</f>
        <v>2.66</v>
      </c>
      <c r="F1802">
        <f>IFERROR(__xludf.DUMMYFUNCTION("""COMPUTED_VALUE"""),2.2)</f>
        <v>2.2</v>
      </c>
      <c r="G1802">
        <f>IFERROR(__xludf.DUMMYFUNCTION("""COMPUTED_VALUE"""),27.24)</f>
        <v>27.24</v>
      </c>
    </row>
    <row r="1803">
      <c r="A1803">
        <f>IFERROR(__xludf.DUMMYFUNCTION("""COMPUTED_VALUE"""),785418.0)</f>
        <v>785418</v>
      </c>
      <c r="B1803" t="str">
        <f>IFERROR(__xludf.DUMMYFUNCTION("""COMPUTED_VALUE"""),"Buckwheat Groats Ns As To Fat Added In Cooking")</f>
        <v>Buckwheat Groats Ns As To Fat Added In Cooking</v>
      </c>
      <c r="C1803" t="str">
        <f>IFERROR(__xludf.DUMMYFUNCTION("""COMPUTED_VALUE"""),"Grains and Pasta")</f>
        <v>Grains and Pasta</v>
      </c>
      <c r="D1803">
        <f>IFERROR(__xludf.DUMMYFUNCTION("""COMPUTED_VALUE"""),92.0)</f>
        <v>92</v>
      </c>
      <c r="E1803">
        <f>IFERROR(__xludf.DUMMYFUNCTION("""COMPUTED_VALUE"""),0.62)</f>
        <v>0.62</v>
      </c>
      <c r="F1803">
        <f>IFERROR(__xludf.DUMMYFUNCTION("""COMPUTED_VALUE"""),3.37)</f>
        <v>3.37</v>
      </c>
      <c r="G1803">
        <f>IFERROR(__xludf.DUMMYFUNCTION("""COMPUTED_VALUE"""),19.86)</f>
        <v>19.86</v>
      </c>
    </row>
    <row r="1804">
      <c r="A1804">
        <f>IFERROR(__xludf.DUMMYFUNCTION("""COMPUTED_VALUE"""),785419.0)</f>
        <v>785419</v>
      </c>
      <c r="B1804" t="str">
        <f>IFERROR(__xludf.DUMMYFUNCTION("""COMPUTED_VALUE"""),"Buckwheat Groats Fat Not Added In Cooking")</f>
        <v>Buckwheat Groats Fat Not Added In Cooking</v>
      </c>
      <c r="C1804" t="str">
        <f>IFERROR(__xludf.DUMMYFUNCTION("""COMPUTED_VALUE"""),"Grains and Pasta")</f>
        <v>Grains and Pasta</v>
      </c>
      <c r="D1804">
        <f>IFERROR(__xludf.DUMMYFUNCTION("""COMPUTED_VALUE"""),92.0)</f>
        <v>92</v>
      </c>
      <c r="E1804">
        <f>IFERROR(__xludf.DUMMYFUNCTION("""COMPUTED_VALUE"""),0.62)</f>
        <v>0.62</v>
      </c>
      <c r="F1804">
        <f>IFERROR(__xludf.DUMMYFUNCTION("""COMPUTED_VALUE"""),3.37)</f>
        <v>3.37</v>
      </c>
      <c r="G1804">
        <f>IFERROR(__xludf.DUMMYFUNCTION("""COMPUTED_VALUE"""),19.86)</f>
        <v>19.86</v>
      </c>
    </row>
    <row r="1805">
      <c r="A1805">
        <f>IFERROR(__xludf.DUMMYFUNCTION("""COMPUTED_VALUE"""),785420.0)</f>
        <v>785420</v>
      </c>
      <c r="B1805" t="str">
        <f>IFERROR(__xludf.DUMMYFUNCTION("""COMPUTED_VALUE"""),"Buckwheat Groats Fat Added In Cooking")</f>
        <v>Buckwheat Groats Fat Added In Cooking</v>
      </c>
      <c r="C1805" t="str">
        <f>IFERROR(__xludf.DUMMYFUNCTION("""COMPUTED_VALUE"""),"Grains and Pasta")</f>
        <v>Grains and Pasta</v>
      </c>
      <c r="D1805">
        <f>IFERROR(__xludf.DUMMYFUNCTION("""COMPUTED_VALUE"""),112.0)</f>
        <v>112</v>
      </c>
      <c r="E1805">
        <f>IFERROR(__xludf.DUMMYFUNCTION("""COMPUTED_VALUE"""),3.33)</f>
        <v>3.33</v>
      </c>
      <c r="F1805">
        <f>IFERROR(__xludf.DUMMYFUNCTION("""COMPUTED_VALUE"""),3.22)</f>
        <v>3.22</v>
      </c>
      <c r="G1805">
        <f>IFERROR(__xludf.DUMMYFUNCTION("""COMPUTED_VALUE"""),18.99)</f>
        <v>18.99</v>
      </c>
    </row>
    <row r="1806">
      <c r="A1806">
        <f>IFERROR(__xludf.DUMMYFUNCTION("""COMPUTED_VALUE"""),785451.0)</f>
        <v>785451</v>
      </c>
      <c r="B1806" t="str">
        <f>IFERROR(__xludf.DUMMYFUNCTION("""COMPUTED_VALUE"""),"Millet Ns As To Fat Added In Cooking")</f>
        <v>Millet Ns As To Fat Added In Cooking</v>
      </c>
      <c r="C1806" t="str">
        <f>IFERROR(__xludf.DUMMYFUNCTION("""COMPUTED_VALUE"""),"Grains and Pasta")</f>
        <v>Grains and Pasta</v>
      </c>
      <c r="D1806">
        <f>IFERROR(__xludf.DUMMYFUNCTION("""COMPUTED_VALUE"""),118.0)</f>
        <v>118</v>
      </c>
      <c r="E1806">
        <f>IFERROR(__xludf.DUMMYFUNCTION("""COMPUTED_VALUE"""),1.0)</f>
        <v>1</v>
      </c>
      <c r="F1806">
        <f>IFERROR(__xludf.DUMMYFUNCTION("""COMPUTED_VALUE"""),3.5)</f>
        <v>3.5</v>
      </c>
      <c r="G1806">
        <f>IFERROR(__xludf.DUMMYFUNCTION("""COMPUTED_VALUE"""),23.57)</f>
        <v>23.57</v>
      </c>
    </row>
    <row r="1807">
      <c r="A1807">
        <f>IFERROR(__xludf.DUMMYFUNCTION("""COMPUTED_VALUE"""),785452.0)</f>
        <v>785452</v>
      </c>
      <c r="B1807" t="str">
        <f>IFERROR(__xludf.DUMMYFUNCTION("""COMPUTED_VALUE"""),"Millet Fat Not Added In Cooking")</f>
        <v>Millet Fat Not Added In Cooking</v>
      </c>
      <c r="C1807" t="str">
        <f>IFERROR(__xludf.DUMMYFUNCTION("""COMPUTED_VALUE"""),"Grains and Pasta")</f>
        <v>Grains and Pasta</v>
      </c>
      <c r="D1807">
        <f>IFERROR(__xludf.DUMMYFUNCTION("""COMPUTED_VALUE"""),118.0)</f>
        <v>118</v>
      </c>
      <c r="E1807">
        <f>IFERROR(__xludf.DUMMYFUNCTION("""COMPUTED_VALUE"""),1.0)</f>
        <v>1</v>
      </c>
      <c r="F1807">
        <f>IFERROR(__xludf.DUMMYFUNCTION("""COMPUTED_VALUE"""),3.5)</f>
        <v>3.5</v>
      </c>
      <c r="G1807">
        <f>IFERROR(__xludf.DUMMYFUNCTION("""COMPUTED_VALUE"""),23.57)</f>
        <v>23.57</v>
      </c>
    </row>
    <row r="1808">
      <c r="A1808">
        <f>IFERROR(__xludf.DUMMYFUNCTION("""COMPUTED_VALUE"""),785453.0)</f>
        <v>785453</v>
      </c>
      <c r="B1808" t="str">
        <f>IFERROR(__xludf.DUMMYFUNCTION("""COMPUTED_VALUE"""),"Millet Fat Added In Cooking")</f>
        <v>Millet Fat Added In Cooking</v>
      </c>
      <c r="C1808" t="str">
        <f>IFERROR(__xludf.DUMMYFUNCTION("""COMPUTED_VALUE"""),"Grains and Pasta")</f>
        <v>Grains and Pasta</v>
      </c>
      <c r="D1808">
        <f>IFERROR(__xludf.DUMMYFUNCTION("""COMPUTED_VALUE"""),140.0)</f>
        <v>140</v>
      </c>
      <c r="E1808">
        <f>IFERROR(__xludf.DUMMYFUNCTION("""COMPUTED_VALUE"""),4.04)</f>
        <v>4.04</v>
      </c>
      <c r="F1808">
        <f>IFERROR(__xludf.DUMMYFUNCTION("""COMPUTED_VALUE"""),3.32)</f>
        <v>3.32</v>
      </c>
      <c r="G1808">
        <f>IFERROR(__xludf.DUMMYFUNCTION("""COMPUTED_VALUE"""),22.39)</f>
        <v>22.39</v>
      </c>
    </row>
    <row r="1809">
      <c r="A1809">
        <f>IFERROR(__xludf.DUMMYFUNCTION("""COMPUTED_VALUE"""),785498.0)</f>
        <v>785498</v>
      </c>
      <c r="B1809" t="str">
        <f>IFERROR(__xludf.DUMMYFUNCTION("""COMPUTED_VALUE"""),"Quinoa Ns As To Fat Added In Cooking")</f>
        <v>Quinoa Ns As To Fat Added In Cooking</v>
      </c>
      <c r="C1809" t="str">
        <f>IFERROR(__xludf.DUMMYFUNCTION("""COMPUTED_VALUE"""),"Grains and Pasta")</f>
        <v>Grains and Pasta</v>
      </c>
      <c r="D1809">
        <f>IFERROR(__xludf.DUMMYFUNCTION("""COMPUTED_VALUE"""),140.0)</f>
        <v>140</v>
      </c>
      <c r="E1809">
        <f>IFERROR(__xludf.DUMMYFUNCTION("""COMPUTED_VALUE"""),4.74)</f>
        <v>4.74</v>
      </c>
      <c r="F1809">
        <f>IFERROR(__xludf.DUMMYFUNCTION("""COMPUTED_VALUE"""),4.18)</f>
        <v>4.18</v>
      </c>
      <c r="G1809">
        <f>IFERROR(__xludf.DUMMYFUNCTION("""COMPUTED_VALUE"""),20.22)</f>
        <v>20.22</v>
      </c>
    </row>
    <row r="1810">
      <c r="A1810">
        <f>IFERROR(__xludf.DUMMYFUNCTION("""COMPUTED_VALUE"""),785499.0)</f>
        <v>785499</v>
      </c>
      <c r="B1810" t="str">
        <f>IFERROR(__xludf.DUMMYFUNCTION("""COMPUTED_VALUE"""),"Quinoa Fat Not Added In Cooking")</f>
        <v>Quinoa Fat Not Added In Cooking</v>
      </c>
      <c r="C1810" t="str">
        <f>IFERROR(__xludf.DUMMYFUNCTION("""COMPUTED_VALUE"""),"Grains and Pasta")</f>
        <v>Grains and Pasta</v>
      </c>
      <c r="D1810">
        <f>IFERROR(__xludf.DUMMYFUNCTION("""COMPUTED_VALUE"""),120.0)</f>
        <v>120</v>
      </c>
      <c r="E1810">
        <f>IFERROR(__xludf.DUMMYFUNCTION("""COMPUTED_VALUE"""),1.91)</f>
        <v>1.91</v>
      </c>
      <c r="F1810">
        <f>IFERROR(__xludf.DUMMYFUNCTION("""COMPUTED_VALUE"""),4.38)</f>
        <v>4.38</v>
      </c>
      <c r="G1810">
        <f>IFERROR(__xludf.DUMMYFUNCTION("""COMPUTED_VALUE"""),21.21)</f>
        <v>21.21</v>
      </c>
    </row>
    <row r="1811">
      <c r="A1811">
        <f>IFERROR(__xludf.DUMMYFUNCTION("""COMPUTED_VALUE"""),785500.0)</f>
        <v>785500</v>
      </c>
      <c r="B1811" t="str">
        <f>IFERROR(__xludf.DUMMYFUNCTION("""COMPUTED_VALUE"""),"Quinoa Fat Added In Cooking")</f>
        <v>Quinoa Fat Added In Cooking</v>
      </c>
      <c r="C1811" t="str">
        <f>IFERROR(__xludf.DUMMYFUNCTION("""COMPUTED_VALUE"""),"Grains and Pasta")</f>
        <v>Grains and Pasta</v>
      </c>
      <c r="D1811">
        <f>IFERROR(__xludf.DUMMYFUNCTION("""COMPUTED_VALUE"""),140.0)</f>
        <v>140</v>
      </c>
      <c r="E1811">
        <f>IFERROR(__xludf.DUMMYFUNCTION("""COMPUTED_VALUE"""),4.74)</f>
        <v>4.74</v>
      </c>
      <c r="F1811">
        <f>IFERROR(__xludf.DUMMYFUNCTION("""COMPUTED_VALUE"""),4.18)</f>
        <v>4.18</v>
      </c>
      <c r="G1811">
        <f>IFERROR(__xludf.DUMMYFUNCTION("""COMPUTED_VALUE"""),20.22)</f>
        <v>20.22</v>
      </c>
    </row>
    <row r="1812">
      <c r="A1812">
        <f>IFERROR(__xludf.DUMMYFUNCTION("""COMPUTED_VALUE"""),785501.0)</f>
        <v>785501</v>
      </c>
      <c r="B1812" t="str">
        <f>IFERROR(__xludf.DUMMYFUNCTION("""COMPUTED_VALUE"""),"Rice Cooked Nfs")</f>
        <v>Rice Cooked Nfs</v>
      </c>
      <c r="C1812" t="str">
        <f>IFERROR(__xludf.DUMMYFUNCTION("""COMPUTED_VALUE"""),"Grains and Pasta")</f>
        <v>Grains and Pasta</v>
      </c>
      <c r="D1812">
        <f>IFERROR(__xludf.DUMMYFUNCTION("""COMPUTED_VALUE"""),129.0)</f>
        <v>129</v>
      </c>
      <c r="E1812">
        <f>IFERROR(__xludf.DUMMYFUNCTION("""COMPUTED_VALUE"""),0.28)</f>
        <v>0.28</v>
      </c>
      <c r="F1812">
        <f>IFERROR(__xludf.DUMMYFUNCTION("""COMPUTED_VALUE"""),2.67)</f>
        <v>2.67</v>
      </c>
      <c r="G1812">
        <f>IFERROR(__xludf.DUMMYFUNCTION("""COMPUTED_VALUE"""),27.99)</f>
        <v>27.99</v>
      </c>
    </row>
    <row r="1813">
      <c r="A1813">
        <f>IFERROR(__xludf.DUMMYFUNCTION("""COMPUTED_VALUE"""),785502.0)</f>
        <v>785502</v>
      </c>
      <c r="B1813" t="str">
        <f>IFERROR(__xludf.DUMMYFUNCTION("""COMPUTED_VALUE"""),"Rice White Cooked Ns As To Fat Added In Cooking")</f>
        <v>Rice White Cooked Ns As To Fat Added In Cooking</v>
      </c>
      <c r="C1813" t="str">
        <f>IFERROR(__xludf.DUMMYFUNCTION("""COMPUTED_VALUE"""),"Grains and Pasta")</f>
        <v>Grains and Pasta</v>
      </c>
      <c r="D1813">
        <f>IFERROR(__xludf.DUMMYFUNCTION("""COMPUTED_VALUE"""),129.0)</f>
        <v>129</v>
      </c>
      <c r="E1813">
        <f>IFERROR(__xludf.DUMMYFUNCTION("""COMPUTED_VALUE"""),0.28)</f>
        <v>0.28</v>
      </c>
      <c r="F1813">
        <f>IFERROR(__xludf.DUMMYFUNCTION("""COMPUTED_VALUE"""),2.67)</f>
        <v>2.67</v>
      </c>
      <c r="G1813">
        <f>IFERROR(__xludf.DUMMYFUNCTION("""COMPUTED_VALUE"""),27.99)</f>
        <v>27.99</v>
      </c>
    </row>
    <row r="1814">
      <c r="A1814">
        <f>IFERROR(__xludf.DUMMYFUNCTION("""COMPUTED_VALUE"""),785503.0)</f>
        <v>785503</v>
      </c>
      <c r="B1814" t="str">
        <f>IFERROR(__xludf.DUMMYFUNCTION("""COMPUTED_VALUE"""),"Rice White Cooked Fat Added In Cooking Made With Oil")</f>
        <v>Rice White Cooked Fat Added In Cooking Made With Oil</v>
      </c>
      <c r="C1814" t="str">
        <f>IFERROR(__xludf.DUMMYFUNCTION("""COMPUTED_VALUE"""),"Grains and Pasta")</f>
        <v>Grains and Pasta</v>
      </c>
      <c r="D1814">
        <f>IFERROR(__xludf.DUMMYFUNCTION("""COMPUTED_VALUE"""),150.0)</f>
        <v>150</v>
      </c>
      <c r="E1814">
        <f>IFERROR(__xludf.DUMMYFUNCTION("""COMPUTED_VALUE"""),3.05)</f>
        <v>3.05</v>
      </c>
      <c r="F1814">
        <f>IFERROR(__xludf.DUMMYFUNCTION("""COMPUTED_VALUE"""),2.6)</f>
        <v>2.6</v>
      </c>
      <c r="G1814">
        <f>IFERROR(__xludf.DUMMYFUNCTION("""COMPUTED_VALUE"""),27.22)</f>
        <v>27.22</v>
      </c>
    </row>
    <row r="1815">
      <c r="A1815">
        <f>IFERROR(__xludf.DUMMYFUNCTION("""COMPUTED_VALUE"""),785504.0)</f>
        <v>785504</v>
      </c>
      <c r="B1815" t="str">
        <f>IFERROR(__xludf.DUMMYFUNCTION("""COMPUTED_VALUE"""),"Rice White Cooked Fat Added In Cooking Made With Butter")</f>
        <v>Rice White Cooked Fat Added In Cooking Made With Butter</v>
      </c>
      <c r="C1815" t="str">
        <f>IFERROR(__xludf.DUMMYFUNCTION("""COMPUTED_VALUE"""),"Grains and Pasta")</f>
        <v>Grains and Pasta</v>
      </c>
      <c r="D1815">
        <f>IFERROR(__xludf.DUMMYFUNCTION("""COMPUTED_VALUE"""),146.0)</f>
        <v>146</v>
      </c>
      <c r="E1815">
        <f>IFERROR(__xludf.DUMMYFUNCTION("""COMPUTED_VALUE"""),2.61)</f>
        <v>2.61</v>
      </c>
      <c r="F1815">
        <f>IFERROR(__xludf.DUMMYFUNCTION("""COMPUTED_VALUE"""),2.62)</f>
        <v>2.62</v>
      </c>
      <c r="G1815">
        <f>IFERROR(__xludf.DUMMYFUNCTION("""COMPUTED_VALUE"""),27.19)</f>
        <v>27.19</v>
      </c>
    </row>
    <row r="1816">
      <c r="A1816">
        <f>IFERROR(__xludf.DUMMYFUNCTION("""COMPUTED_VALUE"""),785505.0)</f>
        <v>785505</v>
      </c>
      <c r="B1816" t="str">
        <f>IFERROR(__xludf.DUMMYFUNCTION("""COMPUTED_VALUE"""),"Rice White Cooked Fat Added In Cooking Made With Margarine")</f>
        <v>Rice White Cooked Fat Added In Cooking Made With Margarine</v>
      </c>
      <c r="C1816" t="str">
        <f>IFERROR(__xludf.DUMMYFUNCTION("""COMPUTED_VALUE"""),"Grains and Pasta")</f>
        <v>Grains and Pasta</v>
      </c>
      <c r="D1816">
        <f>IFERROR(__xludf.DUMMYFUNCTION("""COMPUTED_VALUE"""),141.0)</f>
        <v>141</v>
      </c>
      <c r="E1816">
        <f>IFERROR(__xludf.DUMMYFUNCTION("""COMPUTED_VALUE"""),2.01)</f>
        <v>2.01</v>
      </c>
      <c r="F1816">
        <f>IFERROR(__xludf.DUMMYFUNCTION("""COMPUTED_VALUE"""),2.6)</f>
        <v>2.6</v>
      </c>
      <c r="G1816">
        <f>IFERROR(__xludf.DUMMYFUNCTION("""COMPUTED_VALUE"""),27.2)</f>
        <v>27.2</v>
      </c>
    </row>
    <row r="1817">
      <c r="A1817">
        <f>IFERROR(__xludf.DUMMYFUNCTION("""COMPUTED_VALUE"""),785506.0)</f>
        <v>785506</v>
      </c>
      <c r="B1817" t="str">
        <f>IFERROR(__xludf.DUMMYFUNCTION("""COMPUTED_VALUE"""),"Rice White Cooked Fat Added In Cooking Ns As To Type Of Fat")</f>
        <v>Rice White Cooked Fat Added In Cooking Ns As To Type Of Fat</v>
      </c>
      <c r="C1817" t="str">
        <f>IFERROR(__xludf.DUMMYFUNCTION("""COMPUTED_VALUE"""),"Grains and Pasta")</f>
        <v>Grains and Pasta</v>
      </c>
      <c r="D1817">
        <f>IFERROR(__xludf.DUMMYFUNCTION("""COMPUTED_VALUE"""),147.0)</f>
        <v>147</v>
      </c>
      <c r="E1817">
        <f>IFERROR(__xludf.DUMMYFUNCTION("""COMPUTED_VALUE"""),2.73)</f>
        <v>2.73</v>
      </c>
      <c r="F1817">
        <f>IFERROR(__xludf.DUMMYFUNCTION("""COMPUTED_VALUE"""),2.6)</f>
        <v>2.6</v>
      </c>
      <c r="G1817">
        <f>IFERROR(__xludf.DUMMYFUNCTION("""COMPUTED_VALUE"""),27.2)</f>
        <v>27.2</v>
      </c>
    </row>
    <row r="1818">
      <c r="A1818">
        <f>IFERROR(__xludf.DUMMYFUNCTION("""COMPUTED_VALUE"""),785507.0)</f>
        <v>785507</v>
      </c>
      <c r="B1818" t="str">
        <f>IFERROR(__xludf.DUMMYFUNCTION("""COMPUTED_VALUE"""),"Rice White Cooked Fat Not Added In Cooking")</f>
        <v>Rice White Cooked Fat Not Added In Cooking</v>
      </c>
      <c r="C1818" t="str">
        <f>IFERROR(__xludf.DUMMYFUNCTION("""COMPUTED_VALUE"""),"Grains and Pasta")</f>
        <v>Grains and Pasta</v>
      </c>
      <c r="D1818">
        <f>IFERROR(__xludf.DUMMYFUNCTION("""COMPUTED_VALUE"""),129.0)</f>
        <v>129</v>
      </c>
      <c r="E1818">
        <f>IFERROR(__xludf.DUMMYFUNCTION("""COMPUTED_VALUE"""),0.28)</f>
        <v>0.28</v>
      </c>
      <c r="F1818">
        <f>IFERROR(__xludf.DUMMYFUNCTION("""COMPUTED_VALUE"""),2.67)</f>
        <v>2.67</v>
      </c>
      <c r="G1818">
        <f>IFERROR(__xludf.DUMMYFUNCTION("""COMPUTED_VALUE"""),27.99)</f>
        <v>27.99</v>
      </c>
    </row>
    <row r="1819">
      <c r="A1819">
        <f>IFERROR(__xludf.DUMMYFUNCTION("""COMPUTED_VALUE"""),785508.0)</f>
        <v>785508</v>
      </c>
      <c r="B1819" t="str">
        <f>IFERROR(__xludf.DUMMYFUNCTION("""COMPUTED_VALUE"""),"Rice Brown Cooked Ns As To Fat Added In Cooking")</f>
        <v>Rice Brown Cooked Ns As To Fat Added In Cooking</v>
      </c>
      <c r="C1819" t="str">
        <f>IFERROR(__xludf.DUMMYFUNCTION("""COMPUTED_VALUE"""),"Grains and Pasta")</f>
        <v>Grains and Pasta</v>
      </c>
      <c r="D1819">
        <f>IFERROR(__xludf.DUMMYFUNCTION("""COMPUTED_VALUE"""),122.0)</f>
        <v>122</v>
      </c>
      <c r="E1819">
        <f>IFERROR(__xludf.DUMMYFUNCTION("""COMPUTED_VALUE"""),0.96)</f>
        <v>0.96</v>
      </c>
      <c r="F1819">
        <f>IFERROR(__xludf.DUMMYFUNCTION("""COMPUTED_VALUE"""),2.73)</f>
        <v>2.73</v>
      </c>
      <c r="G1819">
        <f>IFERROR(__xludf.DUMMYFUNCTION("""COMPUTED_VALUE"""),25.45)</f>
        <v>25.45</v>
      </c>
    </row>
    <row r="1820">
      <c r="A1820">
        <f>IFERROR(__xludf.DUMMYFUNCTION("""COMPUTED_VALUE"""),785509.0)</f>
        <v>785509</v>
      </c>
      <c r="B1820" t="str">
        <f>IFERROR(__xludf.DUMMYFUNCTION("""COMPUTED_VALUE"""),"Rice Brown Cooked Fat Added In Cooking Made With Oil")</f>
        <v>Rice Brown Cooked Fat Added In Cooking Made With Oil</v>
      </c>
      <c r="C1820" t="str">
        <f>IFERROR(__xludf.DUMMYFUNCTION("""COMPUTED_VALUE"""),"Grains and Pasta")</f>
        <v>Grains and Pasta</v>
      </c>
      <c r="D1820">
        <f>IFERROR(__xludf.DUMMYFUNCTION("""COMPUTED_VALUE"""),140.0)</f>
        <v>140</v>
      </c>
      <c r="E1820">
        <f>IFERROR(__xludf.DUMMYFUNCTION("""COMPUTED_VALUE"""),3.21)</f>
        <v>3.21</v>
      </c>
      <c r="F1820">
        <f>IFERROR(__xludf.DUMMYFUNCTION("""COMPUTED_VALUE"""),2.66)</f>
        <v>2.66</v>
      </c>
      <c r="G1820">
        <f>IFERROR(__xludf.DUMMYFUNCTION("""COMPUTED_VALUE"""),24.87)</f>
        <v>24.87</v>
      </c>
    </row>
    <row r="1821">
      <c r="A1821">
        <f>IFERROR(__xludf.DUMMYFUNCTION("""COMPUTED_VALUE"""),785510.0)</f>
        <v>785510</v>
      </c>
      <c r="B1821" t="str">
        <f>IFERROR(__xludf.DUMMYFUNCTION("""COMPUTED_VALUE"""),"Rice Brown Cooked Fat Added In Cooking Made With Butter")</f>
        <v>Rice Brown Cooked Fat Added In Cooking Made With Butter</v>
      </c>
      <c r="C1821" t="str">
        <f>IFERROR(__xludf.DUMMYFUNCTION("""COMPUTED_VALUE"""),"Grains and Pasta")</f>
        <v>Grains and Pasta</v>
      </c>
      <c r="D1821">
        <f>IFERROR(__xludf.DUMMYFUNCTION("""COMPUTED_VALUE"""),136.0)</f>
        <v>136</v>
      </c>
      <c r="E1821">
        <f>IFERROR(__xludf.DUMMYFUNCTION("""COMPUTED_VALUE"""),2.85)</f>
        <v>2.85</v>
      </c>
      <c r="F1821">
        <f>IFERROR(__xludf.DUMMYFUNCTION("""COMPUTED_VALUE"""),2.68)</f>
        <v>2.68</v>
      </c>
      <c r="G1821">
        <f>IFERROR(__xludf.DUMMYFUNCTION("""COMPUTED_VALUE"""),24.85)</f>
        <v>24.85</v>
      </c>
    </row>
    <row r="1822">
      <c r="A1822">
        <f>IFERROR(__xludf.DUMMYFUNCTION("""COMPUTED_VALUE"""),785511.0)</f>
        <v>785511</v>
      </c>
      <c r="B1822" t="str">
        <f>IFERROR(__xludf.DUMMYFUNCTION("""COMPUTED_VALUE"""),"Rice Brown Cooked Fat Added In Cooking Made With Margarine")</f>
        <v>Rice Brown Cooked Fat Added In Cooking Made With Margarine</v>
      </c>
      <c r="C1822" t="str">
        <f>IFERROR(__xludf.DUMMYFUNCTION("""COMPUTED_VALUE"""),"Grains and Pasta")</f>
        <v>Grains and Pasta</v>
      </c>
      <c r="D1822">
        <f>IFERROR(__xludf.DUMMYFUNCTION("""COMPUTED_VALUE"""),132.0)</f>
        <v>132</v>
      </c>
      <c r="E1822">
        <f>IFERROR(__xludf.DUMMYFUNCTION("""COMPUTED_VALUE"""),2.36)</f>
        <v>2.36</v>
      </c>
      <c r="F1822">
        <f>IFERROR(__xludf.DUMMYFUNCTION("""COMPUTED_VALUE"""),2.66)</f>
        <v>2.66</v>
      </c>
      <c r="G1822">
        <f>IFERROR(__xludf.DUMMYFUNCTION("""COMPUTED_VALUE"""),24.86)</f>
        <v>24.86</v>
      </c>
    </row>
    <row r="1823">
      <c r="A1823">
        <f>IFERROR(__xludf.DUMMYFUNCTION("""COMPUTED_VALUE"""),785512.0)</f>
        <v>785512</v>
      </c>
      <c r="B1823" t="str">
        <f>IFERROR(__xludf.DUMMYFUNCTION("""COMPUTED_VALUE"""),"Rice Brown Cooked Fat Added In Cooking Ns As To Type Of Fat")</f>
        <v>Rice Brown Cooked Fat Added In Cooking Ns As To Type Of Fat</v>
      </c>
      <c r="C1823" t="str">
        <f>IFERROR(__xludf.DUMMYFUNCTION("""COMPUTED_VALUE"""),"Grains and Pasta")</f>
        <v>Grains and Pasta</v>
      </c>
      <c r="D1823">
        <f>IFERROR(__xludf.DUMMYFUNCTION("""COMPUTED_VALUE"""),137.0)</f>
        <v>137</v>
      </c>
      <c r="E1823">
        <f>IFERROR(__xludf.DUMMYFUNCTION("""COMPUTED_VALUE"""),2.95)</f>
        <v>2.95</v>
      </c>
      <c r="F1823">
        <f>IFERROR(__xludf.DUMMYFUNCTION("""COMPUTED_VALUE"""),2.67)</f>
        <v>2.67</v>
      </c>
      <c r="G1823">
        <f>IFERROR(__xludf.DUMMYFUNCTION("""COMPUTED_VALUE"""),24.86)</f>
        <v>24.86</v>
      </c>
    </row>
    <row r="1824">
      <c r="A1824">
        <f>IFERROR(__xludf.DUMMYFUNCTION("""COMPUTED_VALUE"""),785513.0)</f>
        <v>785513</v>
      </c>
      <c r="B1824" t="str">
        <f>IFERROR(__xludf.DUMMYFUNCTION("""COMPUTED_VALUE"""),"Rice Brown Cooked Fat Not Added In Cooking")</f>
        <v>Rice Brown Cooked Fat Not Added In Cooking</v>
      </c>
      <c r="C1824" t="str">
        <f>IFERROR(__xludf.DUMMYFUNCTION("""COMPUTED_VALUE"""),"Grains and Pasta")</f>
        <v>Grains and Pasta</v>
      </c>
      <c r="D1824">
        <f>IFERROR(__xludf.DUMMYFUNCTION("""COMPUTED_VALUE"""),122.0)</f>
        <v>122</v>
      </c>
      <c r="E1824">
        <f>IFERROR(__xludf.DUMMYFUNCTION("""COMPUTED_VALUE"""),0.96)</f>
        <v>0.96</v>
      </c>
      <c r="F1824">
        <f>IFERROR(__xludf.DUMMYFUNCTION("""COMPUTED_VALUE"""),2.73)</f>
        <v>2.73</v>
      </c>
      <c r="G1824">
        <f>IFERROR(__xludf.DUMMYFUNCTION("""COMPUTED_VALUE"""),25.45)</f>
        <v>25.45</v>
      </c>
    </row>
    <row r="1825">
      <c r="A1825">
        <f>IFERROR(__xludf.DUMMYFUNCTION("""COMPUTED_VALUE"""),785515.0)</f>
        <v>785515</v>
      </c>
      <c r="B1825" t="str">
        <f>IFERROR(__xludf.DUMMYFUNCTION("""COMPUTED_VALUE"""),"Rice Cooked With Milk")</f>
        <v>Rice Cooked With Milk</v>
      </c>
      <c r="C1825" t="str">
        <f>IFERROR(__xludf.DUMMYFUNCTION("""COMPUTED_VALUE"""),"Grains and Pasta")</f>
        <v>Grains and Pasta</v>
      </c>
      <c r="D1825">
        <f>IFERROR(__xludf.DUMMYFUNCTION("""COMPUTED_VALUE"""),143.0)</f>
        <v>143</v>
      </c>
      <c r="E1825">
        <f>IFERROR(__xludf.DUMMYFUNCTION("""COMPUTED_VALUE"""),2.21)</f>
        <v>2.21</v>
      </c>
      <c r="F1825">
        <f>IFERROR(__xludf.DUMMYFUNCTION("""COMPUTED_VALUE"""),5.06)</f>
        <v>5.06</v>
      </c>
      <c r="G1825">
        <f>IFERROR(__xludf.DUMMYFUNCTION("""COMPUTED_VALUE"""),25.03)</f>
        <v>25.03</v>
      </c>
    </row>
    <row r="1826">
      <c r="A1826">
        <f>IFERROR(__xludf.DUMMYFUNCTION("""COMPUTED_VALUE"""),785516.0)</f>
        <v>785516</v>
      </c>
      <c r="B1826" t="str">
        <f>IFERROR(__xludf.DUMMYFUNCTION("""COMPUTED_VALUE"""),"Rice Sweet Cooked With Honey")</f>
        <v>Rice Sweet Cooked With Honey</v>
      </c>
      <c r="C1826" t="str">
        <f>IFERROR(__xludf.DUMMYFUNCTION("""COMPUTED_VALUE"""),"Grains and Pasta")</f>
        <v>Grains and Pasta</v>
      </c>
      <c r="D1826">
        <f>IFERROR(__xludf.DUMMYFUNCTION("""COMPUTED_VALUE"""),140.0)</f>
        <v>140</v>
      </c>
      <c r="E1826">
        <f>IFERROR(__xludf.DUMMYFUNCTION("""COMPUTED_VALUE"""),0.26)</f>
        <v>0.26</v>
      </c>
      <c r="F1826">
        <f>IFERROR(__xludf.DUMMYFUNCTION("""COMPUTED_VALUE"""),2.52)</f>
        <v>2.52</v>
      </c>
      <c r="G1826">
        <f>IFERROR(__xludf.DUMMYFUNCTION("""COMPUTED_VALUE"""),31.3)</f>
        <v>31.3</v>
      </c>
    </row>
    <row r="1827">
      <c r="A1827">
        <f>IFERROR(__xludf.DUMMYFUNCTION("""COMPUTED_VALUE"""),785521.0)</f>
        <v>785521</v>
      </c>
      <c r="B1827" t="str">
        <f>IFERROR(__xludf.DUMMYFUNCTION("""COMPUTED_VALUE"""),"Congee")</f>
        <v>Congee</v>
      </c>
      <c r="C1827" t="str">
        <f>IFERROR(__xludf.DUMMYFUNCTION("""COMPUTED_VALUE"""),"Grains and Pasta")</f>
        <v>Grains and Pasta</v>
      </c>
      <c r="D1827">
        <f>IFERROR(__xludf.DUMMYFUNCTION("""COMPUTED_VALUE"""),33.0)</f>
        <v>33</v>
      </c>
      <c r="E1827">
        <f>IFERROR(__xludf.DUMMYFUNCTION("""COMPUTED_VALUE"""),0.07)</f>
        <v>0.07</v>
      </c>
      <c r="F1827">
        <f>IFERROR(__xludf.DUMMYFUNCTION("""COMPUTED_VALUE"""),0.68)</f>
        <v>0.68</v>
      </c>
      <c r="G1827">
        <f>IFERROR(__xludf.DUMMYFUNCTION("""COMPUTED_VALUE"""),7.16)</f>
        <v>7.16</v>
      </c>
    </row>
    <row r="1828">
      <c r="A1828">
        <f>IFERROR(__xludf.DUMMYFUNCTION("""COMPUTED_VALUE"""),785522.0)</f>
        <v>785522</v>
      </c>
      <c r="B1828" t="str">
        <f>IFERROR(__xludf.DUMMYFUNCTION("""COMPUTED_VALUE"""),"Yellow Rice Cooked Ns As To Fat Added In Cooking")</f>
        <v>Yellow Rice Cooked Ns As To Fat Added In Cooking</v>
      </c>
      <c r="C1828" t="str">
        <f>IFERROR(__xludf.DUMMYFUNCTION("""COMPUTED_VALUE"""),"Grains and Pasta")</f>
        <v>Grains and Pasta</v>
      </c>
      <c r="D1828">
        <f>IFERROR(__xludf.DUMMYFUNCTION("""COMPUTED_VALUE"""),88.0)</f>
        <v>88</v>
      </c>
      <c r="E1828">
        <f>IFERROR(__xludf.DUMMYFUNCTION("""COMPUTED_VALUE"""),0.45)</f>
        <v>0.45</v>
      </c>
      <c r="F1828">
        <f>IFERROR(__xludf.DUMMYFUNCTION("""COMPUTED_VALUE"""),1.8)</f>
        <v>1.8</v>
      </c>
      <c r="G1828">
        <f>IFERROR(__xludf.DUMMYFUNCTION("""COMPUTED_VALUE"""),19.1)</f>
        <v>19.1</v>
      </c>
    </row>
    <row r="1829">
      <c r="A1829">
        <f>IFERROR(__xludf.DUMMYFUNCTION("""COMPUTED_VALUE"""),785523.0)</f>
        <v>785523</v>
      </c>
      <c r="B1829" t="str">
        <f>IFERROR(__xludf.DUMMYFUNCTION("""COMPUTED_VALUE"""),"Yellow Rice Cooked Fat Not Added In Cooking")</f>
        <v>Yellow Rice Cooked Fat Not Added In Cooking</v>
      </c>
      <c r="C1829" t="str">
        <f>IFERROR(__xludf.DUMMYFUNCTION("""COMPUTED_VALUE"""),"Grains and Pasta")</f>
        <v>Grains and Pasta</v>
      </c>
      <c r="D1829">
        <f>IFERROR(__xludf.DUMMYFUNCTION("""COMPUTED_VALUE"""),88.0)</f>
        <v>88</v>
      </c>
      <c r="E1829">
        <f>IFERROR(__xludf.DUMMYFUNCTION("""COMPUTED_VALUE"""),0.45)</f>
        <v>0.45</v>
      </c>
      <c r="F1829">
        <f>IFERROR(__xludf.DUMMYFUNCTION("""COMPUTED_VALUE"""),1.8)</f>
        <v>1.8</v>
      </c>
      <c r="G1829">
        <f>IFERROR(__xludf.DUMMYFUNCTION("""COMPUTED_VALUE"""),19.1)</f>
        <v>19.1</v>
      </c>
    </row>
    <row r="1830">
      <c r="A1830">
        <f>IFERROR(__xludf.DUMMYFUNCTION("""COMPUTED_VALUE"""),785524.0)</f>
        <v>785524</v>
      </c>
      <c r="B1830" t="str">
        <f>IFERROR(__xludf.DUMMYFUNCTION("""COMPUTED_VALUE"""),"Yellow Rice Cooked Fat Added In Cooking")</f>
        <v>Yellow Rice Cooked Fat Added In Cooking</v>
      </c>
      <c r="C1830" t="str">
        <f>IFERROR(__xludf.DUMMYFUNCTION("""COMPUTED_VALUE"""),"Grains and Pasta")</f>
        <v>Grains and Pasta</v>
      </c>
      <c r="D1830">
        <f>IFERROR(__xludf.DUMMYFUNCTION("""COMPUTED_VALUE"""),104.0)</f>
        <v>104</v>
      </c>
      <c r="E1830">
        <f>IFERROR(__xludf.DUMMYFUNCTION("""COMPUTED_VALUE"""),2.46)</f>
        <v>2.46</v>
      </c>
      <c r="F1830">
        <f>IFERROR(__xludf.DUMMYFUNCTION("""COMPUTED_VALUE"""),1.76)</f>
        <v>1.76</v>
      </c>
      <c r="G1830">
        <f>IFERROR(__xludf.DUMMYFUNCTION("""COMPUTED_VALUE"""),18.69)</f>
        <v>18.69</v>
      </c>
    </row>
    <row r="1831">
      <c r="A1831">
        <f>IFERROR(__xludf.DUMMYFUNCTION("""COMPUTED_VALUE"""),785525.0)</f>
        <v>785525</v>
      </c>
      <c r="B1831" t="str">
        <f>IFERROR(__xludf.DUMMYFUNCTION("""COMPUTED_VALUE"""),"Rice White Cooked Glutinous")</f>
        <v>Rice White Cooked Glutinous</v>
      </c>
      <c r="C1831" t="str">
        <f>IFERROR(__xludf.DUMMYFUNCTION("""COMPUTED_VALUE"""),"Grains and Pasta")</f>
        <v>Grains and Pasta</v>
      </c>
      <c r="D1831">
        <f>IFERROR(__xludf.DUMMYFUNCTION("""COMPUTED_VALUE"""),96.0)</f>
        <v>96</v>
      </c>
      <c r="E1831">
        <f>IFERROR(__xludf.DUMMYFUNCTION("""COMPUTED_VALUE"""),0.19)</f>
        <v>0.19</v>
      </c>
      <c r="F1831">
        <f>IFERROR(__xludf.DUMMYFUNCTION("""COMPUTED_VALUE"""),2.01)</f>
        <v>2.01</v>
      </c>
      <c r="G1831">
        <f>IFERROR(__xludf.DUMMYFUNCTION("""COMPUTED_VALUE"""),20.97)</f>
        <v>20.97</v>
      </c>
    </row>
    <row r="1832">
      <c r="A1832">
        <f>IFERROR(__xludf.DUMMYFUNCTION("""COMPUTED_VALUE"""),785527.0)</f>
        <v>785527</v>
      </c>
      <c r="B1832" t="str">
        <f>IFERROR(__xludf.DUMMYFUNCTION("""COMPUTED_VALUE"""),"Rice Wild 100% Cooked Ns As To Fat Added In Cooking")</f>
        <v>Rice Wild 100% Cooked Ns As To Fat Added In Cooking</v>
      </c>
      <c r="C1832" t="str">
        <f>IFERROR(__xludf.DUMMYFUNCTION("""COMPUTED_VALUE"""),"Grains and Pasta")</f>
        <v>Grains and Pasta</v>
      </c>
      <c r="D1832">
        <f>IFERROR(__xludf.DUMMYFUNCTION("""COMPUTED_VALUE"""),121.0)</f>
        <v>121</v>
      </c>
      <c r="E1832">
        <f>IFERROR(__xludf.DUMMYFUNCTION("""COMPUTED_VALUE"""),3.01)</f>
        <v>3.01</v>
      </c>
      <c r="F1832">
        <f>IFERROR(__xludf.DUMMYFUNCTION("""COMPUTED_VALUE"""),3.86)</f>
        <v>3.86</v>
      </c>
      <c r="G1832">
        <f>IFERROR(__xludf.DUMMYFUNCTION("""COMPUTED_VALUE"""),20.64)</f>
        <v>20.64</v>
      </c>
    </row>
    <row r="1833">
      <c r="A1833">
        <f>IFERROR(__xludf.DUMMYFUNCTION("""COMPUTED_VALUE"""),785528.0)</f>
        <v>785528</v>
      </c>
      <c r="B1833" t="str">
        <f>IFERROR(__xludf.DUMMYFUNCTION("""COMPUTED_VALUE"""),"Rice Wild 100% Cooked Fat Not Added In Cooking")</f>
        <v>Rice Wild 100% Cooked Fat Not Added In Cooking</v>
      </c>
      <c r="C1833" t="str">
        <f>IFERROR(__xludf.DUMMYFUNCTION("""COMPUTED_VALUE"""),"Grains and Pasta")</f>
        <v>Grains and Pasta</v>
      </c>
      <c r="D1833">
        <f>IFERROR(__xludf.DUMMYFUNCTION("""COMPUTED_VALUE"""),100.0)</f>
        <v>100</v>
      </c>
      <c r="E1833">
        <f>IFERROR(__xludf.DUMMYFUNCTION("""COMPUTED_VALUE"""),0.34)</f>
        <v>0.34</v>
      </c>
      <c r="F1833">
        <f>IFERROR(__xludf.DUMMYFUNCTION("""COMPUTED_VALUE"""),3.97)</f>
        <v>3.97</v>
      </c>
      <c r="G1833">
        <f>IFERROR(__xludf.DUMMYFUNCTION("""COMPUTED_VALUE"""),21.21)</f>
        <v>21.21</v>
      </c>
    </row>
    <row r="1834">
      <c r="A1834">
        <f>IFERROR(__xludf.DUMMYFUNCTION("""COMPUTED_VALUE"""),785529.0)</f>
        <v>785529</v>
      </c>
      <c r="B1834" t="str">
        <f>IFERROR(__xludf.DUMMYFUNCTION("""COMPUTED_VALUE"""),"Rice Wild 100% Cooked Fat Added In Cooking")</f>
        <v>Rice Wild 100% Cooked Fat Added In Cooking</v>
      </c>
      <c r="C1834" t="str">
        <f>IFERROR(__xludf.DUMMYFUNCTION("""COMPUTED_VALUE"""),"Grains and Pasta")</f>
        <v>Grains and Pasta</v>
      </c>
      <c r="D1834">
        <f>IFERROR(__xludf.DUMMYFUNCTION("""COMPUTED_VALUE"""),121.0)</f>
        <v>121</v>
      </c>
      <c r="E1834">
        <f>IFERROR(__xludf.DUMMYFUNCTION("""COMPUTED_VALUE"""),3.01)</f>
        <v>3.01</v>
      </c>
      <c r="F1834">
        <f>IFERROR(__xludf.DUMMYFUNCTION("""COMPUTED_VALUE"""),3.86)</f>
        <v>3.86</v>
      </c>
      <c r="G1834">
        <f>IFERROR(__xludf.DUMMYFUNCTION("""COMPUTED_VALUE"""),20.64)</f>
        <v>20.64</v>
      </c>
    </row>
    <row r="1835">
      <c r="A1835">
        <f>IFERROR(__xludf.DUMMYFUNCTION("""COMPUTED_VALUE"""),785532.0)</f>
        <v>785532</v>
      </c>
      <c r="B1835" t="str">
        <f>IFERROR(__xludf.DUMMYFUNCTION("""COMPUTED_VALUE"""),"Rice White And Wild Cooked Fat Not Added In Cooking")</f>
        <v>Rice White And Wild Cooked Fat Not Added In Cooking</v>
      </c>
      <c r="C1835" t="str">
        <f>IFERROR(__xludf.DUMMYFUNCTION("""COMPUTED_VALUE"""),"Grains and Pasta")</f>
        <v>Grains and Pasta</v>
      </c>
      <c r="D1835">
        <f>IFERROR(__xludf.DUMMYFUNCTION("""COMPUTED_VALUE"""),121.0)</f>
        <v>121</v>
      </c>
      <c r="E1835">
        <f>IFERROR(__xludf.DUMMYFUNCTION("""COMPUTED_VALUE"""),0.3)</f>
        <v>0.3</v>
      </c>
      <c r="F1835">
        <f>IFERROR(__xludf.DUMMYFUNCTION("""COMPUTED_VALUE"""),3.59)</f>
        <v>3.59</v>
      </c>
      <c r="G1835">
        <f>IFERROR(__xludf.DUMMYFUNCTION("""COMPUTED_VALUE"""),25.99)</f>
        <v>25.99</v>
      </c>
    </row>
    <row r="1836">
      <c r="A1836">
        <f>IFERROR(__xludf.DUMMYFUNCTION("""COMPUTED_VALUE"""),785533.0)</f>
        <v>785533</v>
      </c>
      <c r="B1836" t="str">
        <f>IFERROR(__xludf.DUMMYFUNCTION("""COMPUTED_VALUE"""),"Rice Brown And Wild Cooked Fat Not Added In Cooking")</f>
        <v>Rice Brown And Wild Cooked Fat Not Added In Cooking</v>
      </c>
      <c r="C1836" t="str">
        <f>IFERROR(__xludf.DUMMYFUNCTION("""COMPUTED_VALUE"""),"Grains and Pasta")</f>
        <v>Grains and Pasta</v>
      </c>
      <c r="D1836">
        <f>IFERROR(__xludf.DUMMYFUNCTION("""COMPUTED_VALUE"""),120.0)</f>
        <v>120</v>
      </c>
      <c r="E1836">
        <f>IFERROR(__xludf.DUMMYFUNCTION("""COMPUTED_VALUE"""),0.88)</f>
        <v>0.88</v>
      </c>
      <c r="F1836">
        <f>IFERROR(__xludf.DUMMYFUNCTION("""COMPUTED_VALUE"""),2.89)</f>
        <v>2.89</v>
      </c>
      <c r="G1836">
        <f>IFERROR(__xludf.DUMMYFUNCTION("""COMPUTED_VALUE"""),24.9)</f>
        <v>24.9</v>
      </c>
    </row>
    <row r="1837">
      <c r="A1837">
        <f>IFERROR(__xludf.DUMMYFUNCTION("""COMPUTED_VALUE"""),785534.0)</f>
        <v>785534</v>
      </c>
      <c r="B1837" t="str">
        <f>IFERROR(__xludf.DUMMYFUNCTION("""COMPUTED_VALUE"""),"Rice White And Wild Cooked Fat Added In Cooking")</f>
        <v>Rice White And Wild Cooked Fat Added In Cooking</v>
      </c>
      <c r="C1837" t="str">
        <f>IFERROR(__xludf.DUMMYFUNCTION("""COMPUTED_VALUE"""),"Grains and Pasta")</f>
        <v>Grains and Pasta</v>
      </c>
      <c r="D1837">
        <f>IFERROR(__xludf.DUMMYFUNCTION("""COMPUTED_VALUE"""),112.0)</f>
        <v>112</v>
      </c>
      <c r="E1837">
        <f>IFERROR(__xludf.DUMMYFUNCTION("""COMPUTED_VALUE"""),2.16)</f>
        <v>2.16</v>
      </c>
      <c r="F1837">
        <f>IFERROR(__xludf.DUMMYFUNCTION("""COMPUTED_VALUE"""),2.17)</f>
        <v>2.17</v>
      </c>
      <c r="G1837">
        <f>IFERROR(__xludf.DUMMYFUNCTION("""COMPUTED_VALUE"""),20.61)</f>
        <v>20.61</v>
      </c>
    </row>
    <row r="1838">
      <c r="A1838">
        <f>IFERROR(__xludf.DUMMYFUNCTION("""COMPUTED_VALUE"""),785535.0)</f>
        <v>785535</v>
      </c>
      <c r="B1838" t="str">
        <f>IFERROR(__xludf.DUMMYFUNCTION("""COMPUTED_VALUE"""),"Rice White And Wild Cooked Ns As To Fat Added In Cooking")</f>
        <v>Rice White And Wild Cooked Ns As To Fat Added In Cooking</v>
      </c>
      <c r="C1838" t="str">
        <f>IFERROR(__xludf.DUMMYFUNCTION("""COMPUTED_VALUE"""),"Grains and Pasta")</f>
        <v>Grains and Pasta</v>
      </c>
      <c r="D1838">
        <f>IFERROR(__xludf.DUMMYFUNCTION("""COMPUTED_VALUE"""),112.0)</f>
        <v>112</v>
      </c>
      <c r="E1838">
        <f>IFERROR(__xludf.DUMMYFUNCTION("""COMPUTED_VALUE"""),2.16)</f>
        <v>2.16</v>
      </c>
      <c r="F1838">
        <f>IFERROR(__xludf.DUMMYFUNCTION("""COMPUTED_VALUE"""),2.17)</f>
        <v>2.17</v>
      </c>
      <c r="G1838">
        <f>IFERROR(__xludf.DUMMYFUNCTION("""COMPUTED_VALUE"""),20.61)</f>
        <v>20.61</v>
      </c>
    </row>
    <row r="1839">
      <c r="A1839">
        <f>IFERROR(__xludf.DUMMYFUNCTION("""COMPUTED_VALUE"""),785536.0)</f>
        <v>785536</v>
      </c>
      <c r="B1839" t="str">
        <f>IFERROR(__xludf.DUMMYFUNCTION("""COMPUTED_VALUE"""),"Rice Brown And Wild Cooked Fat Added In Cooking")</f>
        <v>Rice Brown And Wild Cooked Fat Added In Cooking</v>
      </c>
      <c r="C1839" t="str">
        <f>IFERROR(__xludf.DUMMYFUNCTION("""COMPUTED_VALUE"""),"Grains and Pasta")</f>
        <v>Grains and Pasta</v>
      </c>
      <c r="D1839">
        <f>IFERROR(__xludf.DUMMYFUNCTION("""COMPUTED_VALUE"""),137.0)</f>
        <v>137</v>
      </c>
      <c r="E1839">
        <f>IFERROR(__xludf.DUMMYFUNCTION("""COMPUTED_VALUE"""),3.18)</f>
        <v>3.18</v>
      </c>
      <c r="F1839">
        <f>IFERROR(__xludf.DUMMYFUNCTION("""COMPUTED_VALUE"""),2.82)</f>
        <v>2.82</v>
      </c>
      <c r="G1839">
        <f>IFERROR(__xludf.DUMMYFUNCTION("""COMPUTED_VALUE"""),24.32)</f>
        <v>24.32</v>
      </c>
    </row>
    <row r="1840">
      <c r="A1840">
        <f>IFERROR(__xludf.DUMMYFUNCTION("""COMPUTED_VALUE"""),785537.0)</f>
        <v>785537</v>
      </c>
      <c r="B1840" t="str">
        <f>IFERROR(__xludf.DUMMYFUNCTION("""COMPUTED_VALUE"""),"Rice Brown And Wild Cooked Ns As To Fat Added In Cooking")</f>
        <v>Rice Brown And Wild Cooked Ns As To Fat Added In Cooking</v>
      </c>
      <c r="C1840" t="str">
        <f>IFERROR(__xludf.DUMMYFUNCTION("""COMPUTED_VALUE"""),"Grains and Pasta")</f>
        <v>Grains and Pasta</v>
      </c>
      <c r="D1840">
        <f>IFERROR(__xludf.DUMMYFUNCTION("""COMPUTED_VALUE"""),113.0)</f>
        <v>113</v>
      </c>
      <c r="E1840">
        <f>IFERROR(__xludf.DUMMYFUNCTION("""COMPUTED_VALUE"""),2.72)</f>
        <v>2.72</v>
      </c>
      <c r="F1840">
        <f>IFERROR(__xludf.DUMMYFUNCTION("""COMPUTED_VALUE"""),2.26)</f>
        <v>2.26</v>
      </c>
      <c r="G1840">
        <f>IFERROR(__xludf.DUMMYFUNCTION("""COMPUTED_VALUE"""),19.8)</f>
        <v>19.8</v>
      </c>
    </row>
    <row r="1841">
      <c r="A1841">
        <f>IFERROR(__xludf.DUMMYFUNCTION("""COMPUTED_VALUE"""),785538.0)</f>
        <v>785538</v>
      </c>
      <c r="B1841" t="str">
        <f>IFERROR(__xludf.DUMMYFUNCTION("""COMPUTED_VALUE"""),"Rice White Cooked With Fat Puerto Rican Style")</f>
        <v>Rice White Cooked With Fat Puerto Rican Style</v>
      </c>
      <c r="C1841" t="str">
        <f>IFERROR(__xludf.DUMMYFUNCTION("""COMPUTED_VALUE"""),"Grains and Pasta")</f>
        <v>Grains and Pasta</v>
      </c>
      <c r="D1841">
        <f>IFERROR(__xludf.DUMMYFUNCTION("""COMPUTED_VALUE"""),198.0)</f>
        <v>198</v>
      </c>
      <c r="E1841">
        <f>IFERROR(__xludf.DUMMYFUNCTION("""COMPUTED_VALUE"""),6.15)</f>
        <v>6.15</v>
      </c>
      <c r="F1841">
        <f>IFERROR(__xludf.DUMMYFUNCTION("""COMPUTED_VALUE"""),2.85)</f>
        <v>2.85</v>
      </c>
      <c r="G1841">
        <f>IFERROR(__xludf.DUMMYFUNCTION("""COMPUTED_VALUE"""),31.94)</f>
        <v>31.94</v>
      </c>
    </row>
    <row r="1842">
      <c r="A1842">
        <f>IFERROR(__xludf.DUMMYFUNCTION("""COMPUTED_VALUE"""),785561.0)</f>
        <v>785561</v>
      </c>
      <c r="B1842" t="str">
        <f>IFERROR(__xludf.DUMMYFUNCTION("""COMPUTED_VALUE"""),"Bulgur Fat Not Added In Cooking")</f>
        <v>Bulgur Fat Not Added In Cooking</v>
      </c>
      <c r="C1842" t="str">
        <f>IFERROR(__xludf.DUMMYFUNCTION("""COMPUTED_VALUE"""),"Grains and Pasta")</f>
        <v>Grains and Pasta</v>
      </c>
      <c r="D1842">
        <f>IFERROR(__xludf.DUMMYFUNCTION("""COMPUTED_VALUE"""),83.0)</f>
        <v>83</v>
      </c>
      <c r="E1842">
        <f>IFERROR(__xludf.DUMMYFUNCTION("""COMPUTED_VALUE"""),0.24)</f>
        <v>0.24</v>
      </c>
      <c r="F1842">
        <f>IFERROR(__xludf.DUMMYFUNCTION("""COMPUTED_VALUE"""),3.06)</f>
        <v>3.06</v>
      </c>
      <c r="G1842">
        <f>IFERROR(__xludf.DUMMYFUNCTION("""COMPUTED_VALUE"""),18.48)</f>
        <v>18.48</v>
      </c>
    </row>
    <row r="1843">
      <c r="A1843">
        <f>IFERROR(__xludf.DUMMYFUNCTION("""COMPUTED_VALUE"""),785562.0)</f>
        <v>785562</v>
      </c>
      <c r="B1843" t="str">
        <f>IFERROR(__xludf.DUMMYFUNCTION("""COMPUTED_VALUE"""),"Bulgur Fat Added In Cooking")</f>
        <v>Bulgur Fat Added In Cooking</v>
      </c>
      <c r="C1843" t="str">
        <f>IFERROR(__xludf.DUMMYFUNCTION("""COMPUTED_VALUE"""),"Grains and Pasta")</f>
        <v>Grains and Pasta</v>
      </c>
      <c r="D1843">
        <f>IFERROR(__xludf.DUMMYFUNCTION("""COMPUTED_VALUE"""),112.0)</f>
        <v>112</v>
      </c>
      <c r="E1843">
        <f>IFERROR(__xludf.DUMMYFUNCTION("""COMPUTED_VALUE"""),4.15)</f>
        <v>4.15</v>
      </c>
      <c r="F1843">
        <f>IFERROR(__xludf.DUMMYFUNCTION("""COMPUTED_VALUE"""),2.87)</f>
        <v>2.87</v>
      </c>
      <c r="G1843">
        <f>IFERROR(__xludf.DUMMYFUNCTION("""COMPUTED_VALUE"""),17.32)</f>
        <v>17.32</v>
      </c>
    </row>
    <row r="1844">
      <c r="A1844">
        <f>IFERROR(__xludf.DUMMYFUNCTION("""COMPUTED_VALUE"""),785563.0)</f>
        <v>785563</v>
      </c>
      <c r="B1844" t="str">
        <f>IFERROR(__xludf.DUMMYFUNCTION("""COMPUTED_VALUE"""),"Bulgur Ns As To Fat Added In Cooking")</f>
        <v>Bulgur Ns As To Fat Added In Cooking</v>
      </c>
      <c r="C1844" t="str">
        <f>IFERROR(__xludf.DUMMYFUNCTION("""COMPUTED_VALUE"""),"Grains and Pasta")</f>
        <v>Grains and Pasta</v>
      </c>
      <c r="D1844">
        <f>IFERROR(__xludf.DUMMYFUNCTION("""COMPUTED_VALUE"""),83.0)</f>
        <v>83</v>
      </c>
      <c r="E1844">
        <f>IFERROR(__xludf.DUMMYFUNCTION("""COMPUTED_VALUE"""),0.24)</f>
        <v>0.24</v>
      </c>
      <c r="F1844">
        <f>IFERROR(__xludf.DUMMYFUNCTION("""COMPUTED_VALUE"""),3.06)</f>
        <v>3.06</v>
      </c>
      <c r="G1844">
        <f>IFERROR(__xludf.DUMMYFUNCTION("""COMPUTED_VALUE"""),18.48)</f>
        <v>18.48</v>
      </c>
    </row>
    <row r="1845">
      <c r="A1845">
        <f>IFERROR(__xludf.DUMMYFUNCTION("""COMPUTED_VALUE"""),785564.0)</f>
        <v>785564</v>
      </c>
      <c r="B1845" t="str">
        <f>IFERROR(__xludf.DUMMYFUNCTION("""COMPUTED_VALUE"""),"Couscous Plain Cooked")</f>
        <v>Couscous Plain Cooked</v>
      </c>
      <c r="C1845" t="str">
        <f>IFERROR(__xludf.DUMMYFUNCTION("""COMPUTED_VALUE"""),"Grains and Pasta")</f>
        <v>Grains and Pasta</v>
      </c>
      <c r="D1845">
        <f>IFERROR(__xludf.DUMMYFUNCTION("""COMPUTED_VALUE"""),111.0)</f>
        <v>111</v>
      </c>
      <c r="E1845">
        <f>IFERROR(__xludf.DUMMYFUNCTION("""COMPUTED_VALUE"""),0.16)</f>
        <v>0.16</v>
      </c>
      <c r="F1845">
        <f>IFERROR(__xludf.DUMMYFUNCTION("""COMPUTED_VALUE"""),3.77)</f>
        <v>3.77</v>
      </c>
      <c r="G1845">
        <f>IFERROR(__xludf.DUMMYFUNCTION("""COMPUTED_VALUE"""),23.11)</f>
        <v>23.11</v>
      </c>
    </row>
    <row r="1846">
      <c r="A1846">
        <f>IFERROR(__xludf.DUMMYFUNCTION("""COMPUTED_VALUE"""),786402.0)</f>
        <v>786402</v>
      </c>
      <c r="B1846" t="str">
        <f>IFERROR(__xludf.DUMMYFUNCTION("""COMPUTED_VALUE"""),"Stuffed Pepper With Meat")</f>
        <v>Stuffed Pepper With Meat</v>
      </c>
      <c r="C1846" t="str">
        <f>IFERROR(__xludf.DUMMYFUNCTION("""COMPUTED_VALUE"""),"Vegetables")</f>
        <v>Vegetables</v>
      </c>
      <c r="D1846">
        <f>IFERROR(__xludf.DUMMYFUNCTION("""COMPUTED_VALUE"""),193.0)</f>
        <v>193</v>
      </c>
      <c r="E1846">
        <f>IFERROR(__xludf.DUMMYFUNCTION("""COMPUTED_VALUE"""),15.64)</f>
        <v>15.64</v>
      </c>
      <c r="F1846">
        <f>IFERROR(__xludf.DUMMYFUNCTION("""COMPUTED_VALUE"""),9.25)</f>
        <v>9.25</v>
      </c>
      <c r="G1846">
        <f>IFERROR(__xludf.DUMMYFUNCTION("""COMPUTED_VALUE"""),4.22)</f>
        <v>4.22</v>
      </c>
    </row>
    <row r="1847">
      <c r="A1847">
        <f>IFERROR(__xludf.DUMMYFUNCTION("""COMPUTED_VALUE"""),786403.0)</f>
        <v>786403</v>
      </c>
      <c r="B1847" t="str">
        <f>IFERROR(__xludf.DUMMYFUNCTION("""COMPUTED_VALUE"""),"Stuffed Pepper With Rice And Meat")</f>
        <v>Stuffed Pepper With Rice And Meat</v>
      </c>
      <c r="C1847" t="str">
        <f>IFERROR(__xludf.DUMMYFUNCTION("""COMPUTED_VALUE"""),"Vegetables")</f>
        <v>Vegetables</v>
      </c>
      <c r="D1847">
        <f>IFERROR(__xludf.DUMMYFUNCTION("""COMPUTED_VALUE"""),174.0)</f>
        <v>174</v>
      </c>
      <c r="E1847">
        <f>IFERROR(__xludf.DUMMYFUNCTION("""COMPUTED_VALUE"""),11.46)</f>
        <v>11.46</v>
      </c>
      <c r="F1847">
        <f>IFERROR(__xludf.DUMMYFUNCTION("""COMPUTED_VALUE"""),7.87)</f>
        <v>7.87</v>
      </c>
      <c r="G1847">
        <f>IFERROR(__xludf.DUMMYFUNCTION("""COMPUTED_VALUE"""),9.91)</f>
        <v>9.91</v>
      </c>
    </row>
    <row r="1848">
      <c r="A1848">
        <f>IFERROR(__xludf.DUMMYFUNCTION("""COMPUTED_VALUE"""),786404.0)</f>
        <v>786404</v>
      </c>
      <c r="B1848" t="str">
        <f>IFERROR(__xludf.DUMMYFUNCTION("""COMPUTED_VALUE"""),"Stuffed Pepper With Rice Meatless")</f>
        <v>Stuffed Pepper With Rice Meatless</v>
      </c>
      <c r="C1848" t="str">
        <f>IFERROR(__xludf.DUMMYFUNCTION("""COMPUTED_VALUE"""),"Vegetables")</f>
        <v>Vegetables</v>
      </c>
      <c r="D1848">
        <f>IFERROR(__xludf.DUMMYFUNCTION("""COMPUTED_VALUE"""),161.0)</f>
        <v>161</v>
      </c>
      <c r="E1848">
        <f>IFERROR(__xludf.DUMMYFUNCTION("""COMPUTED_VALUE"""),11.05)</f>
        <v>11.05</v>
      </c>
      <c r="F1848">
        <f>IFERROR(__xludf.DUMMYFUNCTION("""COMPUTED_VALUE"""),3.79)</f>
        <v>3.79</v>
      </c>
      <c r="G1848">
        <f>IFERROR(__xludf.DUMMYFUNCTION("""COMPUTED_VALUE"""),12.02)</f>
        <v>12.02</v>
      </c>
    </row>
    <row r="1849">
      <c r="A1849">
        <f>IFERROR(__xludf.DUMMYFUNCTION("""COMPUTED_VALUE"""),786405.0)</f>
        <v>786405</v>
      </c>
      <c r="B1849" t="str">
        <f>IFERROR(__xludf.DUMMYFUNCTION("""COMPUTED_VALUE"""),"Stuffed Tomato With Rice And Meat")</f>
        <v>Stuffed Tomato With Rice And Meat</v>
      </c>
      <c r="C1849" t="str">
        <f>IFERROR(__xludf.DUMMYFUNCTION("""COMPUTED_VALUE"""),"Vegetables")</f>
        <v>Vegetables</v>
      </c>
      <c r="D1849">
        <f>IFERROR(__xludf.DUMMYFUNCTION("""COMPUTED_VALUE"""),98.0)</f>
        <v>98</v>
      </c>
      <c r="E1849">
        <f>IFERROR(__xludf.DUMMYFUNCTION("""COMPUTED_VALUE"""),4.49)</f>
        <v>4.49</v>
      </c>
      <c r="F1849">
        <f>IFERROR(__xludf.DUMMYFUNCTION("""COMPUTED_VALUE"""),4.75)</f>
        <v>4.75</v>
      </c>
      <c r="G1849">
        <f>IFERROR(__xludf.DUMMYFUNCTION("""COMPUTED_VALUE"""),9.86)</f>
        <v>9.86</v>
      </c>
    </row>
    <row r="1850">
      <c r="A1850">
        <f>IFERROR(__xludf.DUMMYFUNCTION("""COMPUTED_VALUE"""),786406.0)</f>
        <v>786406</v>
      </c>
      <c r="B1850" t="str">
        <f>IFERROR(__xludf.DUMMYFUNCTION("""COMPUTED_VALUE"""),"Stuffed Tomato With Rice Meatless")</f>
        <v>Stuffed Tomato With Rice Meatless</v>
      </c>
      <c r="C1850" t="str">
        <f>IFERROR(__xludf.DUMMYFUNCTION("""COMPUTED_VALUE"""),"Vegetables")</f>
        <v>Vegetables</v>
      </c>
      <c r="D1850">
        <f>IFERROR(__xludf.DUMMYFUNCTION("""COMPUTED_VALUE"""),76.0)</f>
        <v>76</v>
      </c>
      <c r="E1850">
        <f>IFERROR(__xludf.DUMMYFUNCTION("""COMPUTED_VALUE"""),2.12)</f>
        <v>2.12</v>
      </c>
      <c r="F1850">
        <f>IFERROR(__xludf.DUMMYFUNCTION("""COMPUTED_VALUE"""),1.61)</f>
        <v>1.61</v>
      </c>
      <c r="G1850">
        <f>IFERROR(__xludf.DUMMYFUNCTION("""COMPUTED_VALUE"""),13.08)</f>
        <v>13.08</v>
      </c>
    </row>
    <row r="1851">
      <c r="A1851">
        <f>IFERROR(__xludf.DUMMYFUNCTION("""COMPUTED_VALUE"""),786544.0)</f>
        <v>786544</v>
      </c>
      <c r="B1851" t="str">
        <f>IFERROR(__xludf.DUMMYFUNCTION("""COMPUTED_VALUE"""),"Meat Substitute Cereal- And Vegetable Protein-Based Fried")</f>
        <v>Meat Substitute Cereal- And Vegetable Protein-Based Fried</v>
      </c>
      <c r="C1851" t="str">
        <f>IFERROR(__xludf.DUMMYFUNCTION("""COMPUTED_VALUE"""),"Beans and Lentils")</f>
        <v>Beans and Lentils</v>
      </c>
      <c r="D1851">
        <f>IFERROR(__xludf.DUMMYFUNCTION("""COMPUTED_VALUE"""),334.0)</f>
        <v>334</v>
      </c>
      <c r="E1851">
        <f>IFERROR(__xludf.DUMMYFUNCTION("""COMPUTED_VALUE"""),7.04)</f>
        <v>7.04</v>
      </c>
      <c r="F1851">
        <f>IFERROR(__xludf.DUMMYFUNCTION("""COMPUTED_VALUE"""),11.28)</f>
        <v>11.28</v>
      </c>
      <c r="G1851">
        <f>IFERROR(__xludf.DUMMYFUNCTION("""COMPUTED_VALUE"""),61.87)</f>
        <v>61.87</v>
      </c>
    </row>
    <row r="1852">
      <c r="A1852">
        <f>IFERROR(__xludf.DUMMYFUNCTION("""COMPUTED_VALUE"""),786550.0)</f>
        <v>786550</v>
      </c>
      <c r="B1852" t="str">
        <f>IFERROR(__xludf.DUMMYFUNCTION("""COMPUTED_VALUE"""),"Grapefruit And Orange Sections Raw")</f>
        <v>Grapefruit And Orange Sections Raw</v>
      </c>
      <c r="C1852" t="str">
        <f>IFERROR(__xludf.DUMMYFUNCTION("""COMPUTED_VALUE"""),"Fruits")</f>
        <v>Fruits</v>
      </c>
      <c r="D1852">
        <f>IFERROR(__xludf.DUMMYFUNCTION("""COMPUTED_VALUE"""),40.0)</f>
        <v>40</v>
      </c>
      <c r="E1852">
        <f>IFERROR(__xludf.DUMMYFUNCTION("""COMPUTED_VALUE"""),0.11)</f>
        <v>0.11</v>
      </c>
      <c r="F1852">
        <f>IFERROR(__xludf.DUMMYFUNCTION("""COMPUTED_VALUE"""),0.78)</f>
        <v>0.78</v>
      </c>
      <c r="G1852">
        <f>IFERROR(__xludf.DUMMYFUNCTION("""COMPUTED_VALUE"""),9.91)</f>
        <v>9.91</v>
      </c>
    </row>
    <row r="1853">
      <c r="A1853">
        <f>IFERROR(__xludf.DUMMYFUNCTION("""COMPUTED_VALUE"""),786551.0)</f>
        <v>786551</v>
      </c>
      <c r="B1853" t="str">
        <f>IFERROR(__xludf.DUMMYFUNCTION("""COMPUTED_VALUE"""),"Grapefruit And Orange Sections Cooked Canned Or Frozen Ns As To Added Sweetener")</f>
        <v>Grapefruit And Orange Sections Cooked Canned Or Frozen Ns As To Added Sweetener</v>
      </c>
      <c r="C1853" t="str">
        <f>IFERROR(__xludf.DUMMYFUNCTION("""COMPUTED_VALUE"""),"Fruits")</f>
        <v>Fruits</v>
      </c>
      <c r="D1853">
        <f>IFERROR(__xludf.DUMMYFUNCTION("""COMPUTED_VALUE"""),60.0)</f>
        <v>60</v>
      </c>
      <c r="E1853">
        <f>IFERROR(__xludf.DUMMYFUNCTION("""COMPUTED_VALUE"""),0.09)</f>
        <v>0.09</v>
      </c>
      <c r="F1853">
        <f>IFERROR(__xludf.DUMMYFUNCTION("""COMPUTED_VALUE"""),0.59)</f>
        <v>0.59</v>
      </c>
      <c r="G1853">
        <f>IFERROR(__xludf.DUMMYFUNCTION("""COMPUTED_VALUE"""),15.35)</f>
        <v>15.35</v>
      </c>
    </row>
    <row r="1854">
      <c r="A1854">
        <f>IFERROR(__xludf.DUMMYFUNCTION("""COMPUTED_VALUE"""),786552.0)</f>
        <v>786552</v>
      </c>
      <c r="B1854" t="str">
        <f>IFERROR(__xludf.DUMMYFUNCTION("""COMPUTED_VALUE"""),"Grapefruit And Orange Sections Cooked Canned Or Frozen Unsweetened Water Pack")</f>
        <v>Grapefruit And Orange Sections Cooked Canned Or Frozen Unsweetened Water Pack</v>
      </c>
      <c r="C1854" t="str">
        <f>IFERROR(__xludf.DUMMYFUNCTION("""COMPUTED_VALUE"""),"Fruits")</f>
        <v>Fruits</v>
      </c>
      <c r="D1854">
        <f>IFERROR(__xludf.DUMMYFUNCTION("""COMPUTED_VALUE"""),27.0)</f>
        <v>27</v>
      </c>
      <c r="E1854">
        <f>IFERROR(__xludf.DUMMYFUNCTION("""COMPUTED_VALUE"""),0.07)</f>
        <v>0.07</v>
      </c>
      <c r="F1854">
        <f>IFERROR(__xludf.DUMMYFUNCTION("""COMPUTED_VALUE"""),0.53)</f>
        <v>0.53</v>
      </c>
      <c r="G1854">
        <f>IFERROR(__xludf.DUMMYFUNCTION("""COMPUTED_VALUE"""),6.68)</f>
        <v>6.68</v>
      </c>
    </row>
    <row r="1855">
      <c r="A1855">
        <f>IFERROR(__xludf.DUMMYFUNCTION("""COMPUTED_VALUE"""),786553.0)</f>
        <v>786553</v>
      </c>
      <c r="B1855" t="str">
        <f>IFERROR(__xludf.DUMMYFUNCTION("""COMPUTED_VALUE"""),"Grapefruit And Orange Sections Cooked Canned Or Frozen In Light Syrup")</f>
        <v>Grapefruit And Orange Sections Cooked Canned Or Frozen In Light Syrup</v>
      </c>
      <c r="C1855" t="str">
        <f>IFERROR(__xludf.DUMMYFUNCTION("""COMPUTED_VALUE"""),"Fruits")</f>
        <v>Fruits</v>
      </c>
      <c r="D1855">
        <f>IFERROR(__xludf.DUMMYFUNCTION("""COMPUTED_VALUE"""),60.0)</f>
        <v>60</v>
      </c>
      <c r="E1855">
        <f>IFERROR(__xludf.DUMMYFUNCTION("""COMPUTED_VALUE"""),0.09)</f>
        <v>0.09</v>
      </c>
      <c r="F1855">
        <f>IFERROR(__xludf.DUMMYFUNCTION("""COMPUTED_VALUE"""),0.59)</f>
        <v>0.59</v>
      </c>
      <c r="G1855">
        <f>IFERROR(__xludf.DUMMYFUNCTION("""COMPUTED_VALUE"""),15.35)</f>
        <v>15.35</v>
      </c>
    </row>
    <row r="1856">
      <c r="A1856">
        <f>IFERROR(__xludf.DUMMYFUNCTION("""COMPUTED_VALUE"""),786555.0)</f>
        <v>786555</v>
      </c>
      <c r="B1856" t="str">
        <f>IFERROR(__xludf.DUMMYFUNCTION("""COMPUTED_VALUE"""),"Kumquat Cooked Or Canned In Syrup")</f>
        <v>Kumquat Cooked Or Canned In Syrup</v>
      </c>
      <c r="C1856" t="str">
        <f>IFERROR(__xludf.DUMMYFUNCTION("""COMPUTED_VALUE"""),"Fruits")</f>
        <v>Fruits</v>
      </c>
      <c r="D1856">
        <f>IFERROR(__xludf.DUMMYFUNCTION("""COMPUTED_VALUE"""),98.0)</f>
        <v>98</v>
      </c>
      <c r="E1856">
        <f>IFERROR(__xludf.DUMMYFUNCTION("""COMPUTED_VALUE"""),0.58)</f>
        <v>0.58</v>
      </c>
      <c r="F1856">
        <f>IFERROR(__xludf.DUMMYFUNCTION("""COMPUTED_VALUE"""),1.26)</f>
        <v>1.26</v>
      </c>
      <c r="G1856">
        <f>IFERROR(__xludf.DUMMYFUNCTION("""COMPUTED_VALUE"""),23.65)</f>
        <v>23.65</v>
      </c>
    </row>
    <row r="1857">
      <c r="A1857">
        <f>IFERROR(__xludf.DUMMYFUNCTION("""COMPUTED_VALUE"""),786560.0)</f>
        <v>786560</v>
      </c>
      <c r="B1857" t="str">
        <f>IFERROR(__xludf.DUMMYFUNCTION("""COMPUTED_VALUE"""),"Orange Sections Canned Juice Pack")</f>
        <v>Orange Sections Canned Juice Pack</v>
      </c>
      <c r="C1857" t="str">
        <f>IFERROR(__xludf.DUMMYFUNCTION("""COMPUTED_VALUE"""),"Fruits")</f>
        <v>Fruits</v>
      </c>
      <c r="D1857">
        <f>IFERROR(__xludf.DUMMYFUNCTION("""COMPUTED_VALUE"""),47.0)</f>
        <v>47</v>
      </c>
      <c r="E1857">
        <f>IFERROR(__xludf.DUMMYFUNCTION("""COMPUTED_VALUE"""),0.13)</f>
        <v>0.13</v>
      </c>
      <c r="F1857">
        <f>IFERROR(__xludf.DUMMYFUNCTION("""COMPUTED_VALUE"""),0.85)</f>
        <v>0.85</v>
      </c>
      <c r="G1857">
        <f>IFERROR(__xludf.DUMMYFUNCTION("""COMPUTED_VALUE"""),11.5)</f>
        <v>11.5</v>
      </c>
    </row>
    <row r="1858">
      <c r="A1858">
        <f>IFERROR(__xludf.DUMMYFUNCTION("""COMPUTED_VALUE"""),786568.0)</f>
        <v>786568</v>
      </c>
      <c r="B1858" t="str">
        <f>IFERROR(__xludf.DUMMYFUNCTION("""COMPUTED_VALUE"""),"Grapefruit Juice 100% Ns As To Form")</f>
        <v>Grapefruit Juice 100% Ns As To Form</v>
      </c>
      <c r="C1858" t="str">
        <f>IFERROR(__xludf.DUMMYFUNCTION("""COMPUTED_VALUE"""),"Fruits")</f>
        <v>Fruits</v>
      </c>
      <c r="D1858">
        <f>IFERROR(__xludf.DUMMYFUNCTION("""COMPUTED_VALUE"""),34.0)</f>
        <v>34</v>
      </c>
      <c r="E1858">
        <f>IFERROR(__xludf.DUMMYFUNCTION("""COMPUTED_VALUE"""),0.1)</f>
        <v>0.1</v>
      </c>
      <c r="F1858">
        <f>IFERROR(__xludf.DUMMYFUNCTION("""COMPUTED_VALUE"""),0.58)</f>
        <v>0.58</v>
      </c>
      <c r="G1858">
        <f>IFERROR(__xludf.DUMMYFUNCTION("""COMPUTED_VALUE"""),7.93)</f>
        <v>7.93</v>
      </c>
    </row>
    <row r="1859">
      <c r="A1859">
        <f>IFERROR(__xludf.DUMMYFUNCTION("""COMPUTED_VALUE"""),786569.0)</f>
        <v>786569</v>
      </c>
      <c r="B1859" t="str">
        <f>IFERROR(__xludf.DUMMYFUNCTION("""COMPUTED_VALUE"""),"Grapefruit Juice 100% Canned Bottled Or In A Carton")</f>
        <v>Grapefruit Juice 100% Canned Bottled Or In A Carton</v>
      </c>
      <c r="C1859" t="str">
        <f>IFERROR(__xludf.DUMMYFUNCTION("""COMPUTED_VALUE"""),"Fruits")</f>
        <v>Fruits</v>
      </c>
      <c r="D1859">
        <f>IFERROR(__xludf.DUMMYFUNCTION("""COMPUTED_VALUE"""),34.0)</f>
        <v>34</v>
      </c>
      <c r="E1859">
        <f>IFERROR(__xludf.DUMMYFUNCTION("""COMPUTED_VALUE"""),0.1)</f>
        <v>0.1</v>
      </c>
      <c r="F1859">
        <f>IFERROR(__xludf.DUMMYFUNCTION("""COMPUTED_VALUE"""),0.58)</f>
        <v>0.58</v>
      </c>
      <c r="G1859">
        <f>IFERROR(__xludf.DUMMYFUNCTION("""COMPUTED_VALUE"""),7.93)</f>
        <v>7.93</v>
      </c>
    </row>
    <row r="1860">
      <c r="A1860">
        <f>IFERROR(__xludf.DUMMYFUNCTION("""COMPUTED_VALUE"""),786570.0)</f>
        <v>786570</v>
      </c>
      <c r="B1860" t="str">
        <f>IFERROR(__xludf.DUMMYFUNCTION("""COMPUTED_VALUE"""),"Grapefruit Juice 100% With Calcium Added")</f>
        <v>Grapefruit Juice 100% With Calcium Added</v>
      </c>
      <c r="C1860" t="str">
        <f>IFERROR(__xludf.DUMMYFUNCTION("""COMPUTED_VALUE"""),"Fruits")</f>
        <v>Fruits</v>
      </c>
      <c r="D1860">
        <f>IFERROR(__xludf.DUMMYFUNCTION("""COMPUTED_VALUE"""),38.0)</f>
        <v>38</v>
      </c>
      <c r="E1860">
        <f>IFERROR(__xludf.DUMMYFUNCTION("""COMPUTED_VALUE"""),0.1)</f>
        <v>0.1</v>
      </c>
      <c r="F1860">
        <f>IFERROR(__xludf.DUMMYFUNCTION("""COMPUTED_VALUE"""),0.5)</f>
        <v>0.5</v>
      </c>
      <c r="G1860">
        <f>IFERROR(__xludf.DUMMYFUNCTION("""COMPUTED_VALUE"""),8.69)</f>
        <v>8.69</v>
      </c>
    </row>
    <row r="1861">
      <c r="A1861">
        <f>IFERROR(__xludf.DUMMYFUNCTION("""COMPUTED_VALUE"""),786571.0)</f>
        <v>786571</v>
      </c>
      <c r="B1861" t="str">
        <f>IFERROR(__xludf.DUMMYFUNCTION("""COMPUTED_VALUE"""),"Grapefruit Juice100% Frozen Reconstituted")</f>
        <v>Grapefruit Juice100% Frozen Reconstituted</v>
      </c>
      <c r="C1861" t="str">
        <f>IFERROR(__xludf.DUMMYFUNCTION("""COMPUTED_VALUE"""),"Fruits")</f>
        <v>Fruits</v>
      </c>
      <c r="D1861">
        <f>IFERROR(__xludf.DUMMYFUNCTION("""COMPUTED_VALUE"""),41.0)</f>
        <v>41</v>
      </c>
      <c r="E1861">
        <f>IFERROR(__xludf.DUMMYFUNCTION("""COMPUTED_VALUE"""),0.13)</f>
        <v>0.13</v>
      </c>
      <c r="F1861">
        <f>IFERROR(__xludf.DUMMYFUNCTION("""COMPUTED_VALUE"""),0.55)</f>
        <v>0.55</v>
      </c>
      <c r="G1861">
        <f>IFERROR(__xludf.DUMMYFUNCTION("""COMPUTED_VALUE"""),9.66)</f>
        <v>9.66</v>
      </c>
    </row>
    <row r="1862">
      <c r="A1862">
        <f>IFERROR(__xludf.DUMMYFUNCTION("""COMPUTED_VALUE"""),786578.0)</f>
        <v>786578</v>
      </c>
      <c r="B1862" t="str">
        <f>IFERROR(__xludf.DUMMYFUNCTION("""COMPUTED_VALUE"""),"Orange Juice 100% Nfs")</f>
        <v>Orange Juice 100% Nfs</v>
      </c>
      <c r="C1862" t="str">
        <f>IFERROR(__xludf.DUMMYFUNCTION("""COMPUTED_VALUE"""),"Fruits")</f>
        <v>Fruits</v>
      </c>
      <c r="D1862">
        <f>IFERROR(__xludf.DUMMYFUNCTION("""COMPUTED_VALUE"""),48.0)</f>
        <v>48</v>
      </c>
      <c r="E1862">
        <f>IFERROR(__xludf.DUMMYFUNCTION("""COMPUTED_VALUE"""),0.12)</f>
        <v>0.12</v>
      </c>
      <c r="F1862">
        <f>IFERROR(__xludf.DUMMYFUNCTION("""COMPUTED_VALUE"""),0.68)</f>
        <v>0.68</v>
      </c>
      <c r="G1862">
        <f>IFERROR(__xludf.DUMMYFUNCTION("""COMPUTED_VALUE"""),11.45)</f>
        <v>11.45</v>
      </c>
    </row>
    <row r="1863">
      <c r="A1863">
        <f>IFERROR(__xludf.DUMMYFUNCTION("""COMPUTED_VALUE"""),786582.0)</f>
        <v>786582</v>
      </c>
      <c r="B1863" t="str">
        <f>IFERROR(__xludf.DUMMYFUNCTION("""COMPUTED_VALUE"""),"Orange Juice 100% Frozen Reconstituted")</f>
        <v>Orange Juice 100% Frozen Reconstituted</v>
      </c>
      <c r="C1863" t="str">
        <f>IFERROR(__xludf.DUMMYFUNCTION("""COMPUTED_VALUE"""),"Fruits")</f>
        <v>Fruits</v>
      </c>
      <c r="D1863">
        <f>IFERROR(__xludf.DUMMYFUNCTION("""COMPUTED_VALUE"""),42.0)</f>
        <v>42</v>
      </c>
      <c r="E1863">
        <f>IFERROR(__xludf.DUMMYFUNCTION("""COMPUTED_VALUE"""),0.07)</f>
        <v>0.07</v>
      </c>
      <c r="F1863">
        <f>IFERROR(__xludf.DUMMYFUNCTION("""COMPUTED_VALUE"""),0.68)</f>
        <v>0.68</v>
      </c>
      <c r="G1863">
        <f>IFERROR(__xludf.DUMMYFUNCTION("""COMPUTED_VALUE"""),10.04)</f>
        <v>10.04</v>
      </c>
    </row>
    <row r="1864">
      <c r="A1864">
        <f>IFERROR(__xludf.DUMMYFUNCTION("""COMPUTED_VALUE"""),786584.0)</f>
        <v>786584</v>
      </c>
      <c r="B1864" t="str">
        <f>IFERROR(__xludf.DUMMYFUNCTION("""COMPUTED_VALUE"""),"Orange Juice 100% With Calcium Added Frozen Reconstituted")</f>
        <v>Orange Juice 100% With Calcium Added Frozen Reconstituted</v>
      </c>
      <c r="C1864" t="str">
        <f>IFERROR(__xludf.DUMMYFUNCTION("""COMPUTED_VALUE"""),"Fruits")</f>
        <v>Fruits</v>
      </c>
      <c r="D1864">
        <f>IFERROR(__xludf.DUMMYFUNCTION("""COMPUTED_VALUE"""),42.0)</f>
        <v>42</v>
      </c>
      <c r="E1864">
        <f>IFERROR(__xludf.DUMMYFUNCTION("""COMPUTED_VALUE"""),0.07)</f>
        <v>0.07</v>
      </c>
      <c r="F1864">
        <f>IFERROR(__xludf.DUMMYFUNCTION("""COMPUTED_VALUE"""),0.68)</f>
        <v>0.68</v>
      </c>
      <c r="G1864">
        <f>IFERROR(__xludf.DUMMYFUNCTION("""COMPUTED_VALUE"""),9.67)</f>
        <v>9.67</v>
      </c>
    </row>
    <row r="1865">
      <c r="A1865">
        <f>IFERROR(__xludf.DUMMYFUNCTION("""COMPUTED_VALUE"""),786591.0)</f>
        <v>786591</v>
      </c>
      <c r="B1865" t="str">
        <f>IFERROR(__xludf.DUMMYFUNCTION("""COMPUTED_VALUE"""),"Apple Dried Cooked Ns As To Sweetened Or Unsweetened; Sweetened Ns As To Type Of Sweetener")</f>
        <v>Apple Dried Cooked Ns As To Sweetened Or Unsweetened; Sweetened Ns As To Type Of Sweetener</v>
      </c>
      <c r="C1865" t="str">
        <f>IFERROR(__xludf.DUMMYFUNCTION("""COMPUTED_VALUE"""),"Fruits")</f>
        <v>Fruits</v>
      </c>
      <c r="D1865">
        <f>IFERROR(__xludf.DUMMYFUNCTION("""COMPUTED_VALUE"""),92.0)</f>
        <v>92</v>
      </c>
      <c r="E1865">
        <f>IFERROR(__xludf.DUMMYFUNCTION("""COMPUTED_VALUE"""),0.06)</f>
        <v>0.06</v>
      </c>
      <c r="F1865">
        <f>IFERROR(__xludf.DUMMYFUNCTION("""COMPUTED_VALUE"""),0.2)</f>
        <v>0.2</v>
      </c>
      <c r="G1865">
        <f>IFERROR(__xludf.DUMMYFUNCTION("""COMPUTED_VALUE"""),24.39)</f>
        <v>24.39</v>
      </c>
    </row>
    <row r="1866">
      <c r="A1866">
        <f>IFERROR(__xludf.DUMMYFUNCTION("""COMPUTED_VALUE"""),786593.0)</f>
        <v>786593</v>
      </c>
      <c r="B1866" t="str">
        <f>IFERROR(__xludf.DUMMYFUNCTION("""COMPUTED_VALUE"""),"Apple Dried Cooked With Sugar")</f>
        <v>Apple Dried Cooked With Sugar</v>
      </c>
      <c r="C1866" t="str">
        <f>IFERROR(__xludf.DUMMYFUNCTION("""COMPUTED_VALUE"""),"Fruits")</f>
        <v>Fruits</v>
      </c>
      <c r="D1866">
        <f>IFERROR(__xludf.DUMMYFUNCTION("""COMPUTED_VALUE"""),92.0)</f>
        <v>92</v>
      </c>
      <c r="E1866">
        <f>IFERROR(__xludf.DUMMYFUNCTION("""COMPUTED_VALUE"""),0.06)</f>
        <v>0.06</v>
      </c>
      <c r="F1866">
        <f>IFERROR(__xludf.DUMMYFUNCTION("""COMPUTED_VALUE"""),0.2)</f>
        <v>0.2</v>
      </c>
      <c r="G1866">
        <f>IFERROR(__xludf.DUMMYFUNCTION("""COMPUTED_VALUE"""),24.39)</f>
        <v>24.39</v>
      </c>
    </row>
    <row r="1867">
      <c r="A1867">
        <f>IFERROR(__xludf.DUMMYFUNCTION("""COMPUTED_VALUE"""),786594.0)</f>
        <v>786594</v>
      </c>
      <c r="B1867" t="str">
        <f>IFERROR(__xludf.DUMMYFUNCTION("""COMPUTED_VALUE"""),"Apple Chips")</f>
        <v>Apple Chips</v>
      </c>
      <c r="C1867" t="str">
        <f>IFERROR(__xludf.DUMMYFUNCTION("""COMPUTED_VALUE"""),"Fruits")</f>
        <v>Fruits</v>
      </c>
      <c r="D1867">
        <f>IFERROR(__xludf.DUMMYFUNCTION("""COMPUTED_VALUE"""),460.0)</f>
        <v>460</v>
      </c>
      <c r="E1867">
        <f>IFERROR(__xludf.DUMMYFUNCTION("""COMPUTED_VALUE"""),21.66)</f>
        <v>21.66</v>
      </c>
      <c r="F1867">
        <f>IFERROR(__xludf.DUMMYFUNCTION("""COMPUTED_VALUE"""),1.04)</f>
        <v>1.04</v>
      </c>
      <c r="G1867">
        <f>IFERROR(__xludf.DUMMYFUNCTION("""COMPUTED_VALUE"""),73.7)</f>
        <v>73.7</v>
      </c>
    </row>
    <row r="1868">
      <c r="A1868">
        <f>IFERROR(__xludf.DUMMYFUNCTION("""COMPUTED_VALUE"""),786596.0)</f>
        <v>786596</v>
      </c>
      <c r="B1868" t="str">
        <f>IFERROR(__xludf.DUMMYFUNCTION("""COMPUTED_VALUE"""),"Apricot Dried Cooked Ns As To Sweetened Or Unsweetened; Sweetened Ns As To Type Of Sweetener")</f>
        <v>Apricot Dried Cooked Ns As To Sweetened Or Unsweetened; Sweetened Ns As To Type Of Sweetener</v>
      </c>
      <c r="C1868" t="str">
        <f>IFERROR(__xludf.DUMMYFUNCTION("""COMPUTED_VALUE"""),"Fruits")</f>
        <v>Fruits</v>
      </c>
      <c r="D1868">
        <f>IFERROR(__xludf.DUMMYFUNCTION("""COMPUTED_VALUE"""),117.0)</f>
        <v>117</v>
      </c>
      <c r="E1868">
        <f>IFERROR(__xludf.DUMMYFUNCTION("""COMPUTED_VALUE"""),0.16)</f>
        <v>0.16</v>
      </c>
      <c r="F1868">
        <f>IFERROR(__xludf.DUMMYFUNCTION("""COMPUTED_VALUE"""),1.07)</f>
        <v>1.07</v>
      </c>
      <c r="G1868">
        <f>IFERROR(__xludf.DUMMYFUNCTION("""COMPUTED_VALUE"""),30.49)</f>
        <v>30.49</v>
      </c>
    </row>
    <row r="1869">
      <c r="A1869">
        <f>IFERROR(__xludf.DUMMYFUNCTION("""COMPUTED_VALUE"""),786598.0)</f>
        <v>786598</v>
      </c>
      <c r="B1869" t="str">
        <f>IFERROR(__xludf.DUMMYFUNCTION("""COMPUTED_VALUE"""),"Apricot Dried Cooked With Sugar")</f>
        <v>Apricot Dried Cooked With Sugar</v>
      </c>
      <c r="C1869" t="str">
        <f>IFERROR(__xludf.DUMMYFUNCTION("""COMPUTED_VALUE"""),"Fruits")</f>
        <v>Fruits</v>
      </c>
      <c r="D1869">
        <f>IFERROR(__xludf.DUMMYFUNCTION("""COMPUTED_VALUE"""),117.0)</f>
        <v>117</v>
      </c>
      <c r="E1869">
        <f>IFERROR(__xludf.DUMMYFUNCTION("""COMPUTED_VALUE"""),0.16)</f>
        <v>0.16</v>
      </c>
      <c r="F1869">
        <f>IFERROR(__xludf.DUMMYFUNCTION("""COMPUTED_VALUE"""),1.07)</f>
        <v>1.07</v>
      </c>
      <c r="G1869">
        <f>IFERROR(__xludf.DUMMYFUNCTION("""COMPUTED_VALUE"""),30.49)</f>
        <v>30.49</v>
      </c>
    </row>
    <row r="1870">
      <c r="A1870">
        <f>IFERROR(__xludf.DUMMYFUNCTION("""COMPUTED_VALUE"""),786607.0)</f>
        <v>786607</v>
      </c>
      <c r="B1870" t="str">
        <f>IFERROR(__xludf.DUMMYFUNCTION("""COMPUTED_VALUE"""),"Fig Dried Cooked Ns As To Sweetened Or Unsweetened; Sweetened Ns As To Type Of Sweetener")</f>
        <v>Fig Dried Cooked Ns As To Sweetened Or Unsweetened; Sweetened Ns As To Type Of Sweetener</v>
      </c>
      <c r="C1870" t="str">
        <f>IFERROR(__xludf.DUMMYFUNCTION("""COMPUTED_VALUE"""),"Fruits")</f>
        <v>Fruits</v>
      </c>
      <c r="D1870">
        <f>IFERROR(__xludf.DUMMYFUNCTION("""COMPUTED_VALUE"""),137.0)</f>
        <v>137</v>
      </c>
      <c r="E1870">
        <f>IFERROR(__xludf.DUMMYFUNCTION("""COMPUTED_VALUE"""),0.36)</f>
        <v>0.36</v>
      </c>
      <c r="F1870">
        <f>IFERROR(__xludf.DUMMYFUNCTION("""COMPUTED_VALUE"""),1.27)</f>
        <v>1.27</v>
      </c>
      <c r="G1870">
        <f>IFERROR(__xludf.DUMMYFUNCTION("""COMPUTED_VALUE"""),35.33)</f>
        <v>35.33</v>
      </c>
    </row>
    <row r="1871">
      <c r="A1871">
        <f>IFERROR(__xludf.DUMMYFUNCTION("""COMPUTED_VALUE"""),786609.0)</f>
        <v>786609</v>
      </c>
      <c r="B1871" t="str">
        <f>IFERROR(__xludf.DUMMYFUNCTION("""COMPUTED_VALUE"""),"Fig Dried Cooked With Sugar")</f>
        <v>Fig Dried Cooked With Sugar</v>
      </c>
      <c r="C1871" t="str">
        <f>IFERROR(__xludf.DUMMYFUNCTION("""COMPUTED_VALUE"""),"Fruits")</f>
        <v>Fruits</v>
      </c>
      <c r="D1871">
        <f>IFERROR(__xludf.DUMMYFUNCTION("""COMPUTED_VALUE"""),137.0)</f>
        <v>137</v>
      </c>
      <c r="E1871">
        <f>IFERROR(__xludf.DUMMYFUNCTION("""COMPUTED_VALUE"""),0.36)</f>
        <v>0.36</v>
      </c>
      <c r="F1871">
        <f>IFERROR(__xludf.DUMMYFUNCTION("""COMPUTED_VALUE"""),1.27)</f>
        <v>1.27</v>
      </c>
      <c r="G1871">
        <f>IFERROR(__xludf.DUMMYFUNCTION("""COMPUTED_VALUE"""),35.33)</f>
        <v>35.33</v>
      </c>
    </row>
    <row r="1872">
      <c r="A1872">
        <f>IFERROR(__xludf.DUMMYFUNCTION("""COMPUTED_VALUE"""),786612.0)</f>
        <v>786612</v>
      </c>
      <c r="B1872" t="str">
        <f>IFERROR(__xludf.DUMMYFUNCTION("""COMPUTED_VALUE"""),"Papaya Dried")</f>
        <v>Papaya Dried</v>
      </c>
      <c r="C1872" t="str">
        <f>IFERROR(__xludf.DUMMYFUNCTION("""COMPUTED_VALUE"""),"Fruits")</f>
        <v>Fruits</v>
      </c>
      <c r="D1872">
        <f>IFERROR(__xludf.DUMMYFUNCTION("""COMPUTED_VALUE"""),296.0)</f>
        <v>296</v>
      </c>
      <c r="E1872">
        <f>IFERROR(__xludf.DUMMYFUNCTION("""COMPUTED_VALUE"""),0.86)</f>
        <v>0.86</v>
      </c>
      <c r="F1872">
        <f>IFERROR(__xludf.DUMMYFUNCTION("""COMPUTED_VALUE"""),1.55)</f>
        <v>1.55</v>
      </c>
      <c r="G1872">
        <f>IFERROR(__xludf.DUMMYFUNCTION("""COMPUTED_VALUE"""),75.46)</f>
        <v>75.46</v>
      </c>
    </row>
    <row r="1873">
      <c r="A1873">
        <f>IFERROR(__xludf.DUMMYFUNCTION("""COMPUTED_VALUE"""),786614.0)</f>
        <v>786614</v>
      </c>
      <c r="B1873" t="str">
        <f>IFERROR(__xludf.DUMMYFUNCTION("""COMPUTED_VALUE"""),"Peach Dried Cooked Ns As To Sweetened Or Unsweetened; Sweetened Ns As To Type Of Sweetener")</f>
        <v>Peach Dried Cooked Ns As To Sweetened Or Unsweetened; Sweetened Ns As To Type Of Sweetener</v>
      </c>
      <c r="C1873" t="str">
        <f>IFERROR(__xludf.DUMMYFUNCTION("""COMPUTED_VALUE"""),"Fruits")</f>
        <v>Fruits</v>
      </c>
      <c r="D1873">
        <f>IFERROR(__xludf.DUMMYFUNCTION("""COMPUTED_VALUE"""),110.0)</f>
        <v>110</v>
      </c>
      <c r="E1873">
        <f>IFERROR(__xludf.DUMMYFUNCTION("""COMPUTED_VALUE"""),0.22)</f>
        <v>0.22</v>
      </c>
      <c r="F1873">
        <f>IFERROR(__xludf.DUMMYFUNCTION("""COMPUTED_VALUE"""),1.04)</f>
        <v>1.04</v>
      </c>
      <c r="G1873">
        <f>IFERROR(__xludf.DUMMYFUNCTION("""COMPUTED_VALUE"""),28.29)</f>
        <v>28.29</v>
      </c>
    </row>
    <row r="1874">
      <c r="A1874">
        <f>IFERROR(__xludf.DUMMYFUNCTION("""COMPUTED_VALUE"""),786616.0)</f>
        <v>786616</v>
      </c>
      <c r="B1874" t="str">
        <f>IFERROR(__xludf.DUMMYFUNCTION("""COMPUTED_VALUE"""),"Peach Dried Cooked With Sugar")</f>
        <v>Peach Dried Cooked With Sugar</v>
      </c>
      <c r="C1874" t="str">
        <f>IFERROR(__xludf.DUMMYFUNCTION("""COMPUTED_VALUE"""),"Fruits")</f>
        <v>Fruits</v>
      </c>
      <c r="D1874">
        <f>IFERROR(__xludf.DUMMYFUNCTION("""COMPUTED_VALUE"""),110.0)</f>
        <v>110</v>
      </c>
      <c r="E1874">
        <f>IFERROR(__xludf.DUMMYFUNCTION("""COMPUTED_VALUE"""),0.22)</f>
        <v>0.22</v>
      </c>
      <c r="F1874">
        <f>IFERROR(__xludf.DUMMYFUNCTION("""COMPUTED_VALUE"""),1.04)</f>
        <v>1.04</v>
      </c>
      <c r="G1874">
        <f>IFERROR(__xludf.DUMMYFUNCTION("""COMPUTED_VALUE"""),28.29)</f>
        <v>28.29</v>
      </c>
    </row>
    <row r="1875">
      <c r="A1875">
        <f>IFERROR(__xludf.DUMMYFUNCTION("""COMPUTED_VALUE"""),786618.0)</f>
        <v>786618</v>
      </c>
      <c r="B1875" t="str">
        <f>IFERROR(__xludf.DUMMYFUNCTION("""COMPUTED_VALUE"""),"Pear Dried Cooked Ns As To Sweetened Or Unsweetened; Sweetened Ns As To Type Of Sweetener")</f>
        <v>Pear Dried Cooked Ns As To Sweetened Or Unsweetened; Sweetened Ns As To Type Of Sweetener</v>
      </c>
      <c r="C1875" t="str">
        <f>IFERROR(__xludf.DUMMYFUNCTION("""COMPUTED_VALUE"""),"Fruits")</f>
        <v>Fruits</v>
      </c>
      <c r="D1875">
        <f>IFERROR(__xludf.DUMMYFUNCTION("""COMPUTED_VALUE"""),155.0)</f>
        <v>155</v>
      </c>
      <c r="E1875">
        <f>IFERROR(__xludf.DUMMYFUNCTION("""COMPUTED_VALUE"""),0.28)</f>
        <v>0.28</v>
      </c>
      <c r="F1875">
        <f>IFERROR(__xludf.DUMMYFUNCTION("""COMPUTED_VALUE"""),0.81)</f>
        <v>0.81</v>
      </c>
      <c r="G1875">
        <f>IFERROR(__xludf.DUMMYFUNCTION("""COMPUTED_VALUE"""),40.9)</f>
        <v>40.9</v>
      </c>
    </row>
    <row r="1876">
      <c r="A1876">
        <f>IFERROR(__xludf.DUMMYFUNCTION("""COMPUTED_VALUE"""),786620.0)</f>
        <v>786620</v>
      </c>
      <c r="B1876" t="str">
        <f>IFERROR(__xludf.DUMMYFUNCTION("""COMPUTED_VALUE"""),"Pear Dried Cooked With Sugar")</f>
        <v>Pear Dried Cooked With Sugar</v>
      </c>
      <c r="C1876" t="str">
        <f>IFERROR(__xludf.DUMMYFUNCTION("""COMPUTED_VALUE"""),"Fruits")</f>
        <v>Fruits</v>
      </c>
      <c r="D1876">
        <f>IFERROR(__xludf.DUMMYFUNCTION("""COMPUTED_VALUE"""),155.0)</f>
        <v>155</v>
      </c>
      <c r="E1876">
        <f>IFERROR(__xludf.DUMMYFUNCTION("""COMPUTED_VALUE"""),0.28)</f>
        <v>0.28</v>
      </c>
      <c r="F1876">
        <f>IFERROR(__xludf.DUMMYFUNCTION("""COMPUTED_VALUE"""),0.81)</f>
        <v>0.81</v>
      </c>
      <c r="G1876">
        <f>IFERROR(__xludf.DUMMYFUNCTION("""COMPUTED_VALUE"""),40.9)</f>
        <v>40.9</v>
      </c>
    </row>
    <row r="1877">
      <c r="A1877">
        <f>IFERROR(__xludf.DUMMYFUNCTION("""COMPUTED_VALUE"""),786621.0)</f>
        <v>786621</v>
      </c>
      <c r="B1877" t="str">
        <f>IFERROR(__xludf.DUMMYFUNCTION("""COMPUTED_VALUE"""),"Pineapple Dried")</f>
        <v>Pineapple Dried</v>
      </c>
      <c r="C1877" t="str">
        <f>IFERROR(__xludf.DUMMYFUNCTION("""COMPUTED_VALUE"""),"Fruits")</f>
        <v>Fruits</v>
      </c>
      <c r="D1877">
        <f>IFERROR(__xludf.DUMMYFUNCTION("""COMPUTED_VALUE"""),269.0)</f>
        <v>269</v>
      </c>
      <c r="E1877">
        <f>IFERROR(__xludf.DUMMYFUNCTION("""COMPUTED_VALUE"""),0.34)</f>
        <v>0.34</v>
      </c>
      <c r="F1877">
        <f>IFERROR(__xludf.DUMMYFUNCTION("""COMPUTED_VALUE"""),1.51)</f>
        <v>1.51</v>
      </c>
      <c r="G1877">
        <f>IFERROR(__xludf.DUMMYFUNCTION("""COMPUTED_VALUE"""),70.08)</f>
        <v>70.08</v>
      </c>
    </row>
    <row r="1878">
      <c r="A1878">
        <f>IFERROR(__xludf.DUMMYFUNCTION("""COMPUTED_VALUE"""),786624.0)</f>
        <v>786624</v>
      </c>
      <c r="B1878" t="str">
        <f>IFERROR(__xludf.DUMMYFUNCTION("""COMPUTED_VALUE"""),"Prune Dried Cooked Ns As To Sweetened Or Unsweetened; Sweetened Ns As To Type Of Sweetener")</f>
        <v>Prune Dried Cooked Ns As To Sweetened Or Unsweetened; Sweetened Ns As To Type Of Sweetener</v>
      </c>
      <c r="C1878" t="str">
        <f>IFERROR(__xludf.DUMMYFUNCTION("""COMPUTED_VALUE"""),"Fruits")</f>
        <v>Fruits</v>
      </c>
      <c r="D1878">
        <f>IFERROR(__xludf.DUMMYFUNCTION("""COMPUTED_VALUE"""),137.0)</f>
        <v>137</v>
      </c>
      <c r="E1878">
        <f>IFERROR(__xludf.DUMMYFUNCTION("""COMPUTED_VALUE"""),0.14)</f>
        <v>0.14</v>
      </c>
      <c r="F1878">
        <f>IFERROR(__xludf.DUMMYFUNCTION("""COMPUTED_VALUE"""),0.86)</f>
        <v>0.86</v>
      </c>
      <c r="G1878">
        <f>IFERROR(__xludf.DUMMYFUNCTION("""COMPUTED_VALUE"""),35.78)</f>
        <v>35.78</v>
      </c>
    </row>
    <row r="1879">
      <c r="A1879">
        <f>IFERROR(__xludf.DUMMYFUNCTION("""COMPUTED_VALUE"""),786626.0)</f>
        <v>786626</v>
      </c>
      <c r="B1879" t="str">
        <f>IFERROR(__xludf.DUMMYFUNCTION("""COMPUTED_VALUE"""),"Prune Dried Cooked With Sugar")</f>
        <v>Prune Dried Cooked With Sugar</v>
      </c>
      <c r="C1879" t="str">
        <f>IFERROR(__xludf.DUMMYFUNCTION("""COMPUTED_VALUE"""),"Fruits")</f>
        <v>Fruits</v>
      </c>
      <c r="D1879">
        <f>IFERROR(__xludf.DUMMYFUNCTION("""COMPUTED_VALUE"""),137.0)</f>
        <v>137</v>
      </c>
      <c r="E1879">
        <f>IFERROR(__xludf.DUMMYFUNCTION("""COMPUTED_VALUE"""),0.14)</f>
        <v>0.14</v>
      </c>
      <c r="F1879">
        <f>IFERROR(__xludf.DUMMYFUNCTION("""COMPUTED_VALUE"""),0.86)</f>
        <v>0.86</v>
      </c>
      <c r="G1879">
        <f>IFERROR(__xludf.DUMMYFUNCTION("""COMPUTED_VALUE"""),35.78)</f>
        <v>35.78</v>
      </c>
    </row>
    <row r="1880">
      <c r="A1880">
        <f>IFERROR(__xludf.DUMMYFUNCTION("""COMPUTED_VALUE"""),786628.0)</f>
        <v>786628</v>
      </c>
      <c r="B1880" t="str">
        <f>IFERROR(__xludf.DUMMYFUNCTION("""COMPUTED_VALUE"""),"Raisins Cooked")</f>
        <v>Raisins Cooked</v>
      </c>
      <c r="C1880" t="str">
        <f>IFERROR(__xludf.DUMMYFUNCTION("""COMPUTED_VALUE"""),"Fruits")</f>
        <v>Fruits</v>
      </c>
      <c r="D1880">
        <f>IFERROR(__xludf.DUMMYFUNCTION("""COMPUTED_VALUE"""),219.0)</f>
        <v>219</v>
      </c>
      <c r="E1880">
        <f>IFERROR(__xludf.DUMMYFUNCTION("""COMPUTED_VALUE"""),0.21)</f>
        <v>0.21</v>
      </c>
      <c r="F1880">
        <f>IFERROR(__xludf.DUMMYFUNCTION("""COMPUTED_VALUE"""),1.43)</f>
        <v>1.43</v>
      </c>
      <c r="G1880">
        <f>IFERROR(__xludf.DUMMYFUNCTION("""COMPUTED_VALUE"""),57.38)</f>
        <v>57.38</v>
      </c>
    </row>
    <row r="1881">
      <c r="A1881">
        <f>IFERROR(__xludf.DUMMYFUNCTION("""COMPUTED_VALUE"""),786630.0)</f>
        <v>786630</v>
      </c>
      <c r="B1881" t="str">
        <f>IFERROR(__xludf.DUMMYFUNCTION("""COMPUTED_VALUE"""),"Fruit Ns As To Type")</f>
        <v>Fruit Ns As To Type</v>
      </c>
      <c r="C1881" t="str">
        <f>IFERROR(__xludf.DUMMYFUNCTION("""COMPUTED_VALUE"""),"Fruits")</f>
        <v>Fruits</v>
      </c>
      <c r="D1881">
        <f>IFERROR(__xludf.DUMMYFUNCTION("""COMPUTED_VALUE"""),69.0)</f>
        <v>69</v>
      </c>
      <c r="E1881">
        <f>IFERROR(__xludf.DUMMYFUNCTION("""COMPUTED_VALUE"""),0.22)</f>
        <v>0.22</v>
      </c>
      <c r="F1881">
        <f>IFERROR(__xludf.DUMMYFUNCTION("""COMPUTED_VALUE"""),0.76)</f>
        <v>0.76</v>
      </c>
      <c r="G1881">
        <f>IFERROR(__xludf.DUMMYFUNCTION("""COMPUTED_VALUE"""),17.76)</f>
        <v>17.76</v>
      </c>
    </row>
    <row r="1882">
      <c r="A1882">
        <f>IFERROR(__xludf.DUMMYFUNCTION("""COMPUTED_VALUE"""),786638.0)</f>
        <v>786638</v>
      </c>
      <c r="B1882" t="str">
        <f>IFERROR(__xludf.DUMMYFUNCTION("""COMPUTED_VALUE"""),"Apple Baked Ns As To Added Sweetener")</f>
        <v>Apple Baked Ns As To Added Sweetener</v>
      </c>
      <c r="C1882" t="str">
        <f>IFERROR(__xludf.DUMMYFUNCTION("""COMPUTED_VALUE"""),"Fruits")</f>
        <v>Fruits</v>
      </c>
      <c r="D1882">
        <f>IFERROR(__xludf.DUMMYFUNCTION("""COMPUTED_VALUE"""),95.0)</f>
        <v>95</v>
      </c>
      <c r="E1882">
        <f>IFERROR(__xludf.DUMMYFUNCTION("""COMPUTED_VALUE"""),0.16)</f>
        <v>0.16</v>
      </c>
      <c r="F1882">
        <f>IFERROR(__xludf.DUMMYFUNCTION("""COMPUTED_VALUE"""),0.25)</f>
        <v>0.25</v>
      </c>
      <c r="G1882">
        <f>IFERROR(__xludf.DUMMYFUNCTION("""COMPUTED_VALUE"""),24.79)</f>
        <v>24.79</v>
      </c>
    </row>
    <row r="1883">
      <c r="A1883">
        <f>IFERROR(__xludf.DUMMYFUNCTION("""COMPUTED_VALUE"""),786639.0)</f>
        <v>786639</v>
      </c>
      <c r="B1883" t="str">
        <f>IFERROR(__xludf.DUMMYFUNCTION("""COMPUTED_VALUE"""),"Apple Baked Unsweetened")</f>
        <v>Apple Baked Unsweetened</v>
      </c>
      <c r="C1883" t="str">
        <f>IFERROR(__xludf.DUMMYFUNCTION("""COMPUTED_VALUE"""),"Fruits")</f>
        <v>Fruits</v>
      </c>
      <c r="D1883">
        <f>IFERROR(__xludf.DUMMYFUNCTION("""COMPUTED_VALUE"""),56.0)</f>
        <v>56</v>
      </c>
      <c r="E1883">
        <f>IFERROR(__xludf.DUMMYFUNCTION("""COMPUTED_VALUE"""),0.18)</f>
        <v>0.18</v>
      </c>
      <c r="F1883">
        <f>IFERROR(__xludf.DUMMYFUNCTION("""COMPUTED_VALUE"""),0.28)</f>
        <v>0.28</v>
      </c>
      <c r="G1883">
        <f>IFERROR(__xludf.DUMMYFUNCTION("""COMPUTED_VALUE"""),14.85)</f>
        <v>14.85</v>
      </c>
    </row>
    <row r="1884">
      <c r="A1884">
        <f>IFERROR(__xludf.DUMMYFUNCTION("""COMPUTED_VALUE"""),786640.0)</f>
        <v>786640</v>
      </c>
      <c r="B1884" t="str">
        <f>IFERROR(__xludf.DUMMYFUNCTION("""COMPUTED_VALUE"""),"Apple Baked With Sugar")</f>
        <v>Apple Baked With Sugar</v>
      </c>
      <c r="C1884" t="str">
        <f>IFERROR(__xludf.DUMMYFUNCTION("""COMPUTED_VALUE"""),"Fruits")</f>
        <v>Fruits</v>
      </c>
      <c r="D1884">
        <f>IFERROR(__xludf.DUMMYFUNCTION("""COMPUTED_VALUE"""),95.0)</f>
        <v>95</v>
      </c>
      <c r="E1884">
        <f>IFERROR(__xludf.DUMMYFUNCTION("""COMPUTED_VALUE"""),0.16)</f>
        <v>0.16</v>
      </c>
      <c r="F1884">
        <f>IFERROR(__xludf.DUMMYFUNCTION("""COMPUTED_VALUE"""),0.25)</f>
        <v>0.25</v>
      </c>
      <c r="G1884">
        <f>IFERROR(__xludf.DUMMYFUNCTION("""COMPUTED_VALUE"""),24.79)</f>
        <v>24.79</v>
      </c>
    </row>
    <row r="1885">
      <c r="A1885">
        <f>IFERROR(__xludf.DUMMYFUNCTION("""COMPUTED_VALUE"""),786641.0)</f>
        <v>786641</v>
      </c>
      <c r="B1885" t="str">
        <f>IFERROR(__xludf.DUMMYFUNCTION("""COMPUTED_VALUE"""),"Apple Rings Fried")</f>
        <v>Apple Rings Fried</v>
      </c>
      <c r="C1885" t="str">
        <f>IFERROR(__xludf.DUMMYFUNCTION("""COMPUTED_VALUE"""),"Fruits")</f>
        <v>Fruits</v>
      </c>
      <c r="D1885">
        <f>IFERROR(__xludf.DUMMYFUNCTION("""COMPUTED_VALUE"""),119.0)</f>
        <v>119</v>
      </c>
      <c r="E1885">
        <f>IFERROR(__xludf.DUMMYFUNCTION("""COMPUTED_VALUE"""),5.33)</f>
        <v>5.33</v>
      </c>
      <c r="F1885">
        <f>IFERROR(__xludf.DUMMYFUNCTION("""COMPUTED_VALUE"""),0.27)</f>
        <v>0.27</v>
      </c>
      <c r="G1885">
        <f>IFERROR(__xludf.DUMMYFUNCTION("""COMPUTED_VALUE"""),19.35)</f>
        <v>19.35</v>
      </c>
    </row>
    <row r="1886">
      <c r="A1886">
        <f>IFERROR(__xludf.DUMMYFUNCTION("""COMPUTED_VALUE"""),786642.0)</f>
        <v>786642</v>
      </c>
      <c r="B1886" t="str">
        <f>IFERROR(__xludf.DUMMYFUNCTION("""COMPUTED_VALUE"""),"Apple Pickled")</f>
        <v>Apple Pickled</v>
      </c>
      <c r="C1886" t="str">
        <f>IFERROR(__xludf.DUMMYFUNCTION("""COMPUTED_VALUE"""),"Fruits")</f>
        <v>Fruits</v>
      </c>
      <c r="D1886">
        <f>IFERROR(__xludf.DUMMYFUNCTION("""COMPUTED_VALUE"""),126.0)</f>
        <v>126</v>
      </c>
      <c r="E1886">
        <f>IFERROR(__xludf.DUMMYFUNCTION("""COMPUTED_VALUE"""),0.12)</f>
        <v>0.12</v>
      </c>
      <c r="F1886">
        <f>IFERROR(__xludf.DUMMYFUNCTION("""COMPUTED_VALUE"""),0.18)</f>
        <v>0.18</v>
      </c>
      <c r="G1886">
        <f>IFERROR(__xludf.DUMMYFUNCTION("""COMPUTED_VALUE"""),32.1)</f>
        <v>32.1</v>
      </c>
    </row>
    <row r="1887">
      <c r="A1887">
        <f>IFERROR(__xludf.DUMMYFUNCTION("""COMPUTED_VALUE"""),786643.0)</f>
        <v>786643</v>
      </c>
      <c r="B1887" t="str">
        <f>IFERROR(__xludf.DUMMYFUNCTION("""COMPUTED_VALUE"""),"Apple Fried")</f>
        <v>Apple Fried</v>
      </c>
      <c r="C1887" t="str">
        <f>IFERROR(__xludf.DUMMYFUNCTION("""COMPUTED_VALUE"""),"Fruits")</f>
        <v>Fruits</v>
      </c>
      <c r="D1887">
        <f>IFERROR(__xludf.DUMMYFUNCTION("""COMPUTED_VALUE"""),138.0)</f>
        <v>138</v>
      </c>
      <c r="E1887">
        <f>IFERROR(__xludf.DUMMYFUNCTION("""COMPUTED_VALUE"""),5.37)</f>
        <v>5.37</v>
      </c>
      <c r="F1887">
        <f>IFERROR(__xludf.DUMMYFUNCTION("""COMPUTED_VALUE"""),0.28)</f>
        <v>0.28</v>
      </c>
      <c r="G1887">
        <f>IFERROR(__xludf.DUMMYFUNCTION("""COMPUTED_VALUE"""),24.06)</f>
        <v>24.06</v>
      </c>
    </row>
    <row r="1888">
      <c r="A1888">
        <f>IFERROR(__xludf.DUMMYFUNCTION("""COMPUTED_VALUE"""),786656.0)</f>
        <v>786656</v>
      </c>
      <c r="B1888" t="str">
        <f>IFERROR(__xludf.DUMMYFUNCTION("""COMPUTED_VALUE"""),"Banana Red Fried")</f>
        <v>Banana Red Fried</v>
      </c>
      <c r="C1888" t="str">
        <f>IFERROR(__xludf.DUMMYFUNCTION("""COMPUTED_VALUE"""),"Fruits")</f>
        <v>Fruits</v>
      </c>
      <c r="D1888">
        <f>IFERROR(__xludf.DUMMYFUNCTION("""COMPUTED_VALUE"""),147.0)</f>
        <v>147</v>
      </c>
      <c r="E1888">
        <f>IFERROR(__xludf.DUMMYFUNCTION("""COMPUTED_VALUE"""),6.41)</f>
        <v>6.41</v>
      </c>
      <c r="F1888">
        <f>IFERROR(__xludf.DUMMYFUNCTION("""COMPUTED_VALUE"""),1.14)</f>
        <v>1.14</v>
      </c>
      <c r="G1888">
        <f>IFERROR(__xludf.DUMMYFUNCTION("""COMPUTED_VALUE"""),23.99)</f>
        <v>23.99</v>
      </c>
    </row>
    <row r="1889">
      <c r="A1889">
        <f>IFERROR(__xludf.DUMMYFUNCTION("""COMPUTED_VALUE"""),786657.0)</f>
        <v>786657</v>
      </c>
      <c r="B1889" t="str">
        <f>IFERROR(__xludf.DUMMYFUNCTION("""COMPUTED_VALUE"""),"Banana Baked")</f>
        <v>Banana Baked</v>
      </c>
      <c r="C1889" t="str">
        <f>IFERROR(__xludf.DUMMYFUNCTION("""COMPUTED_VALUE"""),"Fruits")</f>
        <v>Fruits</v>
      </c>
      <c r="D1889">
        <f>IFERROR(__xludf.DUMMYFUNCTION("""COMPUTED_VALUE"""),127.0)</f>
        <v>127</v>
      </c>
      <c r="E1889">
        <f>IFERROR(__xludf.DUMMYFUNCTION("""COMPUTED_VALUE"""),0.38)</f>
        <v>0.38</v>
      </c>
      <c r="F1889">
        <f>IFERROR(__xludf.DUMMYFUNCTION("""COMPUTED_VALUE"""),1.22)</f>
        <v>1.22</v>
      </c>
      <c r="G1889">
        <f>IFERROR(__xludf.DUMMYFUNCTION("""COMPUTED_VALUE"""),32.55)</f>
        <v>32.55</v>
      </c>
    </row>
    <row r="1890">
      <c r="A1890">
        <f>IFERROR(__xludf.DUMMYFUNCTION("""COMPUTED_VALUE"""),786658.0)</f>
        <v>786658</v>
      </c>
      <c r="B1890" t="str">
        <f>IFERROR(__xludf.DUMMYFUNCTION("""COMPUTED_VALUE"""),"Banana Ripe Fried")</f>
        <v>Banana Ripe Fried</v>
      </c>
      <c r="C1890" t="str">
        <f>IFERROR(__xludf.DUMMYFUNCTION("""COMPUTED_VALUE"""),"Fruits")</f>
        <v>Fruits</v>
      </c>
      <c r="D1890">
        <f>IFERROR(__xludf.DUMMYFUNCTION("""COMPUTED_VALUE"""),147.0)</f>
        <v>147</v>
      </c>
      <c r="E1890">
        <f>IFERROR(__xludf.DUMMYFUNCTION("""COMPUTED_VALUE"""),6.41)</f>
        <v>6.41</v>
      </c>
      <c r="F1890">
        <f>IFERROR(__xludf.DUMMYFUNCTION("""COMPUTED_VALUE"""),1.14)</f>
        <v>1.14</v>
      </c>
      <c r="G1890">
        <f>IFERROR(__xludf.DUMMYFUNCTION("""COMPUTED_VALUE"""),23.99)</f>
        <v>23.99</v>
      </c>
    </row>
    <row r="1891">
      <c r="A1891">
        <f>IFERROR(__xludf.DUMMYFUNCTION("""COMPUTED_VALUE"""),786660.0)</f>
        <v>786660</v>
      </c>
      <c r="B1891" t="str">
        <f>IFERROR(__xludf.DUMMYFUNCTION("""COMPUTED_VALUE"""),"Banana Batter-Dipped Fried")</f>
        <v>Banana Batter-Dipped Fried</v>
      </c>
      <c r="C1891" t="str">
        <f>IFERROR(__xludf.DUMMYFUNCTION("""COMPUTED_VALUE"""),"Fruits")</f>
        <v>Fruits</v>
      </c>
      <c r="D1891">
        <f>IFERROR(__xludf.DUMMYFUNCTION("""COMPUTED_VALUE"""),308.0)</f>
        <v>308</v>
      </c>
      <c r="E1891">
        <f>IFERROR(__xludf.DUMMYFUNCTION("""COMPUTED_VALUE"""),15.18)</f>
        <v>15.18</v>
      </c>
      <c r="F1891">
        <f>IFERROR(__xludf.DUMMYFUNCTION("""COMPUTED_VALUE"""),4.85)</f>
        <v>4.85</v>
      </c>
      <c r="G1891">
        <f>IFERROR(__xludf.DUMMYFUNCTION("""COMPUTED_VALUE"""),39.36)</f>
        <v>39.36</v>
      </c>
    </row>
    <row r="1892">
      <c r="A1892">
        <f>IFERROR(__xludf.DUMMYFUNCTION("""COMPUTED_VALUE"""),786664.0)</f>
        <v>786664</v>
      </c>
      <c r="B1892" t="str">
        <f>IFERROR(__xludf.DUMMYFUNCTION("""COMPUTED_VALUE"""),"Starfruit Cooked With Sugar")</f>
        <v>Starfruit Cooked With Sugar</v>
      </c>
      <c r="C1892" t="str">
        <f>IFERROR(__xludf.DUMMYFUNCTION("""COMPUTED_VALUE"""),"Fruits")</f>
        <v>Fruits</v>
      </c>
      <c r="D1892">
        <f>IFERROR(__xludf.DUMMYFUNCTION("""COMPUTED_VALUE"""),69.0)</f>
        <v>69</v>
      </c>
      <c r="E1892">
        <f>IFERROR(__xludf.DUMMYFUNCTION("""COMPUTED_VALUE"""),0.3)</f>
        <v>0.3</v>
      </c>
      <c r="F1892">
        <f>IFERROR(__xludf.DUMMYFUNCTION("""COMPUTED_VALUE"""),0.93)</f>
        <v>0.93</v>
      </c>
      <c r="G1892">
        <f>IFERROR(__xludf.DUMMYFUNCTION("""COMPUTED_VALUE"""),16.72)</f>
        <v>16.72</v>
      </c>
    </row>
    <row r="1893">
      <c r="A1893">
        <f>IFERROR(__xludf.DUMMYFUNCTION("""COMPUTED_VALUE"""),786691.0)</f>
        <v>786691</v>
      </c>
      <c r="B1893" t="str">
        <f>IFERROR(__xludf.DUMMYFUNCTION("""COMPUTED_VALUE"""),"Guava Shell Canned In Heavy Syrup")</f>
        <v>Guava Shell Canned In Heavy Syrup</v>
      </c>
      <c r="C1893" t="str">
        <f>IFERROR(__xludf.DUMMYFUNCTION("""COMPUTED_VALUE"""),"Fruits")</f>
        <v>Fruits</v>
      </c>
      <c r="D1893">
        <f>IFERROR(__xludf.DUMMYFUNCTION("""COMPUTED_VALUE"""),109.0)</f>
        <v>109</v>
      </c>
      <c r="E1893">
        <f>IFERROR(__xludf.DUMMYFUNCTION("""COMPUTED_VALUE"""),0.68)</f>
        <v>0.68</v>
      </c>
      <c r="F1893">
        <f>IFERROR(__xludf.DUMMYFUNCTION("""COMPUTED_VALUE"""),1.81)</f>
        <v>1.81</v>
      </c>
      <c r="G1893">
        <f>IFERROR(__xludf.DUMMYFUNCTION("""COMPUTED_VALUE"""),25.83)</f>
        <v>25.83</v>
      </c>
    </row>
    <row r="1894">
      <c r="A1894">
        <f>IFERROR(__xludf.DUMMYFUNCTION("""COMPUTED_VALUE"""),786695.0)</f>
        <v>786695</v>
      </c>
      <c r="B1894" t="str">
        <f>IFERROR(__xludf.DUMMYFUNCTION("""COMPUTED_VALUE"""),"Lychee Cooked Or Canned In Sugar Or Syrup")</f>
        <v>Lychee Cooked Or Canned In Sugar Or Syrup</v>
      </c>
      <c r="C1894" t="str">
        <f>IFERROR(__xludf.DUMMYFUNCTION("""COMPUTED_VALUE"""),"Fruits")</f>
        <v>Fruits</v>
      </c>
      <c r="D1894">
        <f>IFERROR(__xludf.DUMMYFUNCTION("""COMPUTED_VALUE"""),95.0)</f>
        <v>95</v>
      </c>
      <c r="E1894">
        <f>IFERROR(__xludf.DUMMYFUNCTION("""COMPUTED_VALUE"""),0.3)</f>
        <v>0.3</v>
      </c>
      <c r="F1894">
        <f>IFERROR(__xludf.DUMMYFUNCTION("""COMPUTED_VALUE"""),0.56)</f>
        <v>0.56</v>
      </c>
      <c r="G1894">
        <f>IFERROR(__xludf.DUMMYFUNCTION("""COMPUTED_VALUE"""),24.07)</f>
        <v>24.07</v>
      </c>
    </row>
    <row r="1895">
      <c r="A1895">
        <f>IFERROR(__xludf.DUMMYFUNCTION("""COMPUTED_VALUE"""),786700.0)</f>
        <v>786700</v>
      </c>
      <c r="B1895" t="str">
        <f>IFERROR(__xludf.DUMMYFUNCTION("""COMPUTED_VALUE"""),"Mango Pickled")</f>
        <v>Mango Pickled</v>
      </c>
      <c r="C1895" t="str">
        <f>IFERROR(__xludf.DUMMYFUNCTION("""COMPUTED_VALUE"""),"Fruits")</f>
        <v>Fruits</v>
      </c>
      <c r="D1895">
        <f>IFERROR(__xludf.DUMMYFUNCTION("""COMPUTED_VALUE"""),132.0)</f>
        <v>132</v>
      </c>
      <c r="E1895">
        <f>IFERROR(__xludf.DUMMYFUNCTION("""COMPUTED_VALUE"""),0.26)</f>
        <v>0.26</v>
      </c>
      <c r="F1895">
        <f>IFERROR(__xludf.DUMMYFUNCTION("""COMPUTED_VALUE"""),0.56)</f>
        <v>0.56</v>
      </c>
      <c r="G1895">
        <f>IFERROR(__xludf.DUMMYFUNCTION("""COMPUTED_VALUE"""),32.9)</f>
        <v>32.9</v>
      </c>
    </row>
    <row r="1896">
      <c r="A1896">
        <f>IFERROR(__xludf.DUMMYFUNCTION("""COMPUTED_VALUE"""),786701.0)</f>
        <v>786701</v>
      </c>
      <c r="B1896" t="str">
        <f>IFERROR(__xludf.DUMMYFUNCTION("""COMPUTED_VALUE"""),"Mango Cooked")</f>
        <v>Mango Cooked</v>
      </c>
      <c r="C1896" t="str">
        <f>IFERROR(__xludf.DUMMYFUNCTION("""COMPUTED_VALUE"""),"Fruits")</f>
        <v>Fruits</v>
      </c>
      <c r="D1896">
        <f>IFERROR(__xludf.DUMMYFUNCTION("""COMPUTED_VALUE"""),60.0)</f>
        <v>60</v>
      </c>
      <c r="E1896">
        <f>IFERROR(__xludf.DUMMYFUNCTION("""COMPUTED_VALUE"""),0.38)</f>
        <v>0.38</v>
      </c>
      <c r="F1896">
        <f>IFERROR(__xludf.DUMMYFUNCTION("""COMPUTED_VALUE"""),0.82)</f>
        <v>0.82</v>
      </c>
      <c r="G1896">
        <f>IFERROR(__xludf.DUMMYFUNCTION("""COMPUTED_VALUE"""),14.98)</f>
        <v>14.98</v>
      </c>
    </row>
    <row r="1897">
      <c r="A1897">
        <f>IFERROR(__xludf.DUMMYFUNCTION("""COMPUTED_VALUE"""),786703.0)</f>
        <v>786703</v>
      </c>
      <c r="B1897" t="str">
        <f>IFERROR(__xludf.DUMMYFUNCTION("""COMPUTED_VALUE"""),"Nectarine Cooked")</f>
        <v>Nectarine Cooked</v>
      </c>
      <c r="C1897" t="str">
        <f>IFERROR(__xludf.DUMMYFUNCTION("""COMPUTED_VALUE"""),"Fruits")</f>
        <v>Fruits</v>
      </c>
      <c r="D1897">
        <f>IFERROR(__xludf.DUMMYFUNCTION("""COMPUTED_VALUE"""),85.0)</f>
        <v>85</v>
      </c>
      <c r="E1897">
        <f>IFERROR(__xludf.DUMMYFUNCTION("""COMPUTED_VALUE"""),0.3)</f>
        <v>0.3</v>
      </c>
      <c r="F1897">
        <f>IFERROR(__xludf.DUMMYFUNCTION("""COMPUTED_VALUE"""),1.0)</f>
        <v>1</v>
      </c>
      <c r="G1897">
        <f>IFERROR(__xludf.DUMMYFUNCTION("""COMPUTED_VALUE"""),21.19)</f>
        <v>21.19</v>
      </c>
    </row>
    <row r="1898">
      <c r="A1898">
        <f>IFERROR(__xludf.DUMMYFUNCTION("""COMPUTED_VALUE"""),786705.0)</f>
        <v>786705</v>
      </c>
      <c r="B1898" t="str">
        <f>IFERROR(__xludf.DUMMYFUNCTION("""COMPUTED_VALUE"""),"Papaya Green Cooked")</f>
        <v>Papaya Green Cooked</v>
      </c>
      <c r="C1898" t="str">
        <f>IFERROR(__xludf.DUMMYFUNCTION("""COMPUTED_VALUE"""),"Fruits")</f>
        <v>Fruits</v>
      </c>
      <c r="D1898">
        <f>IFERROR(__xludf.DUMMYFUNCTION("""COMPUTED_VALUE"""),43.0)</f>
        <v>43</v>
      </c>
      <c r="E1898">
        <f>IFERROR(__xludf.DUMMYFUNCTION("""COMPUTED_VALUE"""),0.26)</f>
        <v>0.26</v>
      </c>
      <c r="F1898">
        <f>IFERROR(__xludf.DUMMYFUNCTION("""COMPUTED_VALUE"""),0.47)</f>
        <v>0.47</v>
      </c>
      <c r="G1898">
        <f>IFERROR(__xludf.DUMMYFUNCTION("""COMPUTED_VALUE"""),10.82)</f>
        <v>10.82</v>
      </c>
    </row>
    <row r="1899">
      <c r="A1899">
        <f>IFERROR(__xludf.DUMMYFUNCTION("""COMPUTED_VALUE"""),786706.0)</f>
        <v>786706</v>
      </c>
      <c r="B1899" t="str">
        <f>IFERROR(__xludf.DUMMYFUNCTION("""COMPUTED_VALUE"""),"Papaya Cooked Or Canned In Sugar Or Syrup")</f>
        <v>Papaya Cooked Or Canned In Sugar Or Syrup</v>
      </c>
      <c r="C1899" t="str">
        <f>IFERROR(__xludf.DUMMYFUNCTION("""COMPUTED_VALUE"""),"Fruits")</f>
        <v>Fruits</v>
      </c>
      <c r="D1899">
        <f>IFERROR(__xludf.DUMMYFUNCTION("""COMPUTED_VALUE"""),79.0)</f>
        <v>79</v>
      </c>
      <c r="E1899">
        <f>IFERROR(__xludf.DUMMYFUNCTION("""COMPUTED_VALUE"""),0.17)</f>
        <v>0.17</v>
      </c>
      <c r="F1899">
        <f>IFERROR(__xludf.DUMMYFUNCTION("""COMPUTED_VALUE"""),0.32)</f>
        <v>0.32</v>
      </c>
      <c r="G1899">
        <f>IFERROR(__xludf.DUMMYFUNCTION("""COMPUTED_VALUE"""),20.25)</f>
        <v>20.25</v>
      </c>
    </row>
    <row r="1900">
      <c r="A1900">
        <f>IFERROR(__xludf.DUMMYFUNCTION("""COMPUTED_VALUE"""),786718.0)</f>
        <v>786718</v>
      </c>
      <c r="B1900" t="str">
        <f>IFERROR(__xludf.DUMMYFUNCTION("""COMPUTED_VALUE"""),"Peach Pickled")</f>
        <v>Peach Pickled</v>
      </c>
      <c r="C1900" t="str">
        <f>IFERROR(__xludf.DUMMYFUNCTION("""COMPUTED_VALUE"""),"Fruits")</f>
        <v>Fruits</v>
      </c>
      <c r="D1900">
        <f>IFERROR(__xludf.DUMMYFUNCTION("""COMPUTED_VALUE"""),118.0)</f>
        <v>118</v>
      </c>
      <c r="E1900">
        <f>IFERROR(__xludf.DUMMYFUNCTION("""COMPUTED_VALUE"""),0.17)</f>
        <v>0.17</v>
      </c>
      <c r="F1900">
        <f>IFERROR(__xludf.DUMMYFUNCTION("""COMPUTED_VALUE"""),0.62)</f>
        <v>0.62</v>
      </c>
      <c r="G1900">
        <f>IFERROR(__xludf.DUMMYFUNCTION("""COMPUTED_VALUE"""),29.2)</f>
        <v>29.2</v>
      </c>
    </row>
    <row r="1901">
      <c r="A1901">
        <f>IFERROR(__xludf.DUMMYFUNCTION("""COMPUTED_VALUE"""),786743.0)</f>
        <v>786743</v>
      </c>
      <c r="B1901" t="str">
        <f>IFERROR(__xludf.DUMMYFUNCTION("""COMPUTED_VALUE"""),"Plum Pickled")</f>
        <v>Plum Pickled</v>
      </c>
      <c r="C1901" t="str">
        <f>IFERROR(__xludf.DUMMYFUNCTION("""COMPUTED_VALUE"""),"Fruits")</f>
        <v>Fruits</v>
      </c>
      <c r="D1901">
        <f>IFERROR(__xludf.DUMMYFUNCTION("""COMPUTED_VALUE"""),123.0)</f>
        <v>123</v>
      </c>
      <c r="E1901">
        <f>IFERROR(__xludf.DUMMYFUNCTION("""COMPUTED_VALUE"""),0.19)</f>
        <v>0.19</v>
      </c>
      <c r="F1901">
        <f>IFERROR(__xludf.DUMMYFUNCTION("""COMPUTED_VALUE"""),0.48)</f>
        <v>0.48</v>
      </c>
      <c r="G1901">
        <f>IFERROR(__xludf.DUMMYFUNCTION("""COMPUTED_VALUE"""),30.8)</f>
        <v>30.8</v>
      </c>
    </row>
    <row r="1902">
      <c r="A1902">
        <f>IFERROR(__xludf.DUMMYFUNCTION("""COMPUTED_VALUE"""),786747.0)</f>
        <v>786747</v>
      </c>
      <c r="B1902" t="str">
        <f>IFERROR(__xludf.DUMMYFUNCTION("""COMPUTED_VALUE"""),"Rhubarb Cooked Or Canned Unsweetened")</f>
        <v>Rhubarb Cooked Or Canned Unsweetened</v>
      </c>
      <c r="C1902" t="str">
        <f>IFERROR(__xludf.DUMMYFUNCTION("""COMPUTED_VALUE"""),"Fruits")</f>
        <v>Fruits</v>
      </c>
      <c r="D1902">
        <f>IFERROR(__xludf.DUMMYFUNCTION("""COMPUTED_VALUE"""),21.0)</f>
        <v>21</v>
      </c>
      <c r="E1902">
        <f>IFERROR(__xludf.DUMMYFUNCTION("""COMPUTED_VALUE"""),0.2)</f>
        <v>0.2</v>
      </c>
      <c r="F1902">
        <f>IFERROR(__xludf.DUMMYFUNCTION("""COMPUTED_VALUE"""),0.9)</f>
        <v>0.9</v>
      </c>
      <c r="G1902">
        <f>IFERROR(__xludf.DUMMYFUNCTION("""COMPUTED_VALUE"""),4.54)</f>
        <v>4.54</v>
      </c>
    </row>
    <row r="1903">
      <c r="A1903">
        <f>IFERROR(__xludf.DUMMYFUNCTION("""COMPUTED_VALUE"""),786749.0)</f>
        <v>786749</v>
      </c>
      <c r="B1903" t="str">
        <f>IFERROR(__xludf.DUMMYFUNCTION("""COMPUTED_VALUE"""),"Rhubarb Cooked Or Canned In Light Syrup")</f>
        <v>Rhubarb Cooked Or Canned In Light Syrup</v>
      </c>
      <c r="C1903" t="str">
        <f>IFERROR(__xludf.DUMMYFUNCTION("""COMPUTED_VALUE"""),"Fruits")</f>
        <v>Fruits</v>
      </c>
      <c r="D1903">
        <f>IFERROR(__xludf.DUMMYFUNCTION("""COMPUTED_VALUE"""),60.0)</f>
        <v>60</v>
      </c>
      <c r="E1903">
        <f>IFERROR(__xludf.DUMMYFUNCTION("""COMPUTED_VALUE"""),0.1)</f>
        <v>0.1</v>
      </c>
      <c r="F1903">
        <f>IFERROR(__xludf.DUMMYFUNCTION("""COMPUTED_VALUE"""),0.49)</f>
        <v>0.49</v>
      </c>
      <c r="G1903">
        <f>IFERROR(__xludf.DUMMYFUNCTION("""COMPUTED_VALUE"""),15.27)</f>
        <v>15.27</v>
      </c>
    </row>
    <row r="1904">
      <c r="A1904">
        <f>IFERROR(__xludf.DUMMYFUNCTION("""COMPUTED_VALUE"""),786750.0)</f>
        <v>786750</v>
      </c>
      <c r="B1904" t="str">
        <f>IFERROR(__xludf.DUMMYFUNCTION("""COMPUTED_VALUE"""),"Rhubarb Cooked Or Canned Drained Solids")</f>
        <v>Rhubarb Cooked Or Canned Drained Solids</v>
      </c>
      <c r="C1904" t="str">
        <f>IFERROR(__xludf.DUMMYFUNCTION("""COMPUTED_VALUE"""),"Fruits")</f>
        <v>Fruits</v>
      </c>
      <c r="D1904">
        <f>IFERROR(__xludf.DUMMYFUNCTION("""COMPUTED_VALUE"""),116.0)</f>
        <v>116</v>
      </c>
      <c r="E1904">
        <f>IFERROR(__xludf.DUMMYFUNCTION("""COMPUTED_VALUE"""),0.05)</f>
        <v>0.05</v>
      </c>
      <c r="F1904">
        <f>IFERROR(__xludf.DUMMYFUNCTION("""COMPUTED_VALUE"""),0.39)</f>
        <v>0.39</v>
      </c>
      <c r="G1904">
        <f>IFERROR(__xludf.DUMMYFUNCTION("""COMPUTED_VALUE"""),31.2)</f>
        <v>31.2</v>
      </c>
    </row>
    <row r="1905">
      <c r="A1905">
        <f>IFERROR(__xludf.DUMMYFUNCTION("""COMPUTED_VALUE"""),786761.0)</f>
        <v>786761</v>
      </c>
      <c r="B1905" t="str">
        <f>IFERROR(__xludf.DUMMYFUNCTION("""COMPUTED_VALUE"""),"Blackberries Frozen Sweetened Ns As To Type Of Sweetener")</f>
        <v>Blackberries Frozen Sweetened Ns As To Type Of Sweetener</v>
      </c>
      <c r="C1905" t="str">
        <f>IFERROR(__xludf.DUMMYFUNCTION("""COMPUTED_VALUE"""),"Fruits")</f>
        <v>Fruits</v>
      </c>
      <c r="D1905">
        <f>IFERROR(__xludf.DUMMYFUNCTION("""COMPUTED_VALUE"""),99.0)</f>
        <v>99</v>
      </c>
      <c r="E1905">
        <f>IFERROR(__xludf.DUMMYFUNCTION("""COMPUTED_VALUE"""),0.38)</f>
        <v>0.38</v>
      </c>
      <c r="F1905">
        <f>IFERROR(__xludf.DUMMYFUNCTION("""COMPUTED_VALUE"""),1.05)</f>
        <v>1.05</v>
      </c>
      <c r="G1905">
        <f>IFERROR(__xludf.DUMMYFUNCTION("""COMPUTED_VALUE"""),24.7)</f>
        <v>24.7</v>
      </c>
    </row>
    <row r="1906">
      <c r="A1906">
        <f>IFERROR(__xludf.DUMMYFUNCTION("""COMPUTED_VALUE"""),786764.0)</f>
        <v>786764</v>
      </c>
      <c r="B1906" t="str">
        <f>IFERROR(__xludf.DUMMYFUNCTION("""COMPUTED_VALUE"""),"Blueberries Cooked Or Canned Unsweetened Water Pack")</f>
        <v>Blueberries Cooked Or Canned Unsweetened Water Pack</v>
      </c>
      <c r="C1906" t="str">
        <f>IFERROR(__xludf.DUMMYFUNCTION("""COMPUTED_VALUE"""),"Fruits")</f>
        <v>Fruits</v>
      </c>
      <c r="D1906">
        <f>IFERROR(__xludf.DUMMYFUNCTION("""COMPUTED_VALUE"""),38.0)</f>
        <v>38</v>
      </c>
      <c r="E1906">
        <f>IFERROR(__xludf.DUMMYFUNCTION("""COMPUTED_VALUE"""),0.22)</f>
        <v>0.22</v>
      </c>
      <c r="F1906">
        <f>IFERROR(__xludf.DUMMYFUNCTION("""COMPUTED_VALUE"""),0.5)</f>
        <v>0.5</v>
      </c>
      <c r="G1906">
        <f>IFERROR(__xludf.DUMMYFUNCTION("""COMPUTED_VALUE"""),9.71)</f>
        <v>9.71</v>
      </c>
    </row>
    <row r="1907">
      <c r="A1907">
        <f>IFERROR(__xludf.DUMMYFUNCTION("""COMPUTED_VALUE"""),786785.0)</f>
        <v>786785</v>
      </c>
      <c r="B1907" t="str">
        <f>IFERROR(__xludf.DUMMYFUNCTION("""COMPUTED_VALUE"""),"Raspberries Cooked Or Canned Unsweetened Water Pack")</f>
        <v>Raspberries Cooked Or Canned Unsweetened Water Pack</v>
      </c>
      <c r="C1907" t="str">
        <f>IFERROR(__xludf.DUMMYFUNCTION("""COMPUTED_VALUE"""),"Fruits")</f>
        <v>Fruits</v>
      </c>
      <c r="D1907">
        <f>IFERROR(__xludf.DUMMYFUNCTION("""COMPUTED_VALUE"""),35.0)</f>
        <v>35</v>
      </c>
      <c r="E1907">
        <f>IFERROR(__xludf.DUMMYFUNCTION("""COMPUTED_VALUE"""),0.44)</f>
        <v>0.44</v>
      </c>
      <c r="F1907">
        <f>IFERROR(__xludf.DUMMYFUNCTION("""COMPUTED_VALUE"""),0.8)</f>
        <v>0.8</v>
      </c>
      <c r="G1907">
        <f>IFERROR(__xludf.DUMMYFUNCTION("""COMPUTED_VALUE"""),8.0)</f>
        <v>8</v>
      </c>
    </row>
    <row r="1908">
      <c r="A1908">
        <f>IFERROR(__xludf.DUMMYFUNCTION("""COMPUTED_VALUE"""),786788.0)</f>
        <v>786788</v>
      </c>
      <c r="B1908" t="str">
        <f>IFERROR(__xludf.DUMMYFUNCTION("""COMPUTED_VALUE"""),"Raspberries Frozen Unsweetened")</f>
        <v>Raspberries Frozen Unsweetened</v>
      </c>
      <c r="C1908" t="str">
        <f>IFERROR(__xludf.DUMMYFUNCTION("""COMPUTED_VALUE"""),"Fruits")</f>
        <v>Fruits</v>
      </c>
      <c r="D1908">
        <f>IFERROR(__xludf.DUMMYFUNCTION("""COMPUTED_VALUE"""),52.0)</f>
        <v>52</v>
      </c>
      <c r="E1908">
        <f>IFERROR(__xludf.DUMMYFUNCTION("""COMPUTED_VALUE"""),0.65)</f>
        <v>0.65</v>
      </c>
      <c r="F1908">
        <f>IFERROR(__xludf.DUMMYFUNCTION("""COMPUTED_VALUE"""),1.2)</f>
        <v>1.2</v>
      </c>
      <c r="G1908">
        <f>IFERROR(__xludf.DUMMYFUNCTION("""COMPUTED_VALUE"""),11.94)</f>
        <v>11.94</v>
      </c>
    </row>
    <row r="1909">
      <c r="A1909">
        <f>IFERROR(__xludf.DUMMYFUNCTION("""COMPUTED_VALUE"""),786791.0)</f>
        <v>786791</v>
      </c>
      <c r="B1909" t="str">
        <f>IFERROR(__xludf.DUMMYFUNCTION("""COMPUTED_VALUE"""),"Strawberries Raw With Sugar")</f>
        <v>Strawberries Raw With Sugar</v>
      </c>
      <c r="C1909" t="str">
        <f>IFERROR(__xludf.DUMMYFUNCTION("""COMPUTED_VALUE"""),"Fruits")</f>
        <v>Fruits</v>
      </c>
      <c r="D1909">
        <f>IFERROR(__xludf.DUMMYFUNCTION("""COMPUTED_VALUE"""),50.0)</f>
        <v>50</v>
      </c>
      <c r="E1909">
        <f>IFERROR(__xludf.DUMMYFUNCTION("""COMPUTED_VALUE"""),0.28)</f>
        <v>0.28</v>
      </c>
      <c r="F1909">
        <f>IFERROR(__xludf.DUMMYFUNCTION("""COMPUTED_VALUE"""),0.64)</f>
        <v>0.64</v>
      </c>
      <c r="G1909">
        <f>IFERROR(__xludf.DUMMYFUNCTION("""COMPUTED_VALUE"""),12.3)</f>
        <v>12.3</v>
      </c>
    </row>
    <row r="1910">
      <c r="A1910">
        <f>IFERROR(__xludf.DUMMYFUNCTION("""COMPUTED_VALUE"""),786793.0)</f>
        <v>786793</v>
      </c>
      <c r="B1910" t="str">
        <f>IFERROR(__xludf.DUMMYFUNCTION("""COMPUTED_VALUE"""),"Strawberries Cooked Or Canned Unsweetened Water Pack")</f>
        <v>Strawberries Cooked Or Canned Unsweetened Water Pack</v>
      </c>
      <c r="C1910" t="str">
        <f>IFERROR(__xludf.DUMMYFUNCTION("""COMPUTED_VALUE"""),"Fruits")</f>
        <v>Fruits</v>
      </c>
      <c r="D1910">
        <f>IFERROR(__xludf.DUMMYFUNCTION("""COMPUTED_VALUE"""),21.0)</f>
        <v>21</v>
      </c>
      <c r="E1910">
        <f>IFERROR(__xludf.DUMMYFUNCTION("""COMPUTED_VALUE"""),0.2)</f>
        <v>0.2</v>
      </c>
      <c r="F1910">
        <f>IFERROR(__xludf.DUMMYFUNCTION("""COMPUTED_VALUE"""),0.45)</f>
        <v>0.45</v>
      </c>
      <c r="G1910">
        <f>IFERROR(__xludf.DUMMYFUNCTION("""COMPUTED_VALUE"""),5.15)</f>
        <v>5.15</v>
      </c>
    </row>
    <row r="1911">
      <c r="A1911">
        <f>IFERROR(__xludf.DUMMYFUNCTION("""COMPUTED_VALUE"""),786799.0)</f>
        <v>786799</v>
      </c>
      <c r="B1911" t="str">
        <f>IFERROR(__xludf.DUMMYFUNCTION("""COMPUTED_VALUE"""),"Ambrosia")</f>
        <v>Ambrosia</v>
      </c>
      <c r="C1911" t="str">
        <f>IFERROR(__xludf.DUMMYFUNCTION("""COMPUTED_VALUE"""),"Fruits")</f>
        <v>Fruits</v>
      </c>
      <c r="D1911">
        <f>IFERROR(__xludf.DUMMYFUNCTION("""COMPUTED_VALUE"""),70.0)</f>
        <v>70</v>
      </c>
      <c r="E1911">
        <f>IFERROR(__xludf.DUMMYFUNCTION("""COMPUTED_VALUE"""),0.96)</f>
        <v>0.96</v>
      </c>
      <c r="F1911">
        <f>IFERROR(__xludf.DUMMYFUNCTION("""COMPUTED_VALUE"""),0.9)</f>
        <v>0.9</v>
      </c>
      <c r="G1911">
        <f>IFERROR(__xludf.DUMMYFUNCTION("""COMPUTED_VALUE"""),16.16)</f>
        <v>16.16</v>
      </c>
    </row>
    <row r="1912">
      <c r="A1912">
        <f>IFERROR(__xludf.DUMMYFUNCTION("""COMPUTED_VALUE"""),786800.0)</f>
        <v>786800</v>
      </c>
      <c r="B1912" t="str">
        <f>IFERROR(__xludf.DUMMYFUNCTION("""COMPUTED_VALUE"""),"Cranberry-Orange Relish Uncooked")</f>
        <v>Cranberry-Orange Relish Uncooked</v>
      </c>
      <c r="C1912" t="str">
        <f>IFERROR(__xludf.DUMMYFUNCTION("""COMPUTED_VALUE"""),"Fruits")</f>
        <v>Fruits</v>
      </c>
      <c r="D1912">
        <f>IFERROR(__xludf.DUMMYFUNCTION("""COMPUTED_VALUE"""),131.0)</f>
        <v>131</v>
      </c>
      <c r="E1912">
        <f>IFERROR(__xludf.DUMMYFUNCTION("""COMPUTED_VALUE"""),0.1)</f>
        <v>0.1</v>
      </c>
      <c r="F1912">
        <f>IFERROR(__xludf.DUMMYFUNCTION("""COMPUTED_VALUE"""),0.45)</f>
        <v>0.45</v>
      </c>
      <c r="G1912">
        <f>IFERROR(__xludf.DUMMYFUNCTION("""COMPUTED_VALUE"""),33.74)</f>
        <v>33.74</v>
      </c>
    </row>
    <row r="1913">
      <c r="A1913">
        <f>IFERROR(__xludf.DUMMYFUNCTION("""COMPUTED_VALUE"""),786801.0)</f>
        <v>786801</v>
      </c>
      <c r="B1913" t="str">
        <f>IFERROR(__xludf.DUMMYFUNCTION("""COMPUTED_VALUE"""),"Cranberry-Raspberry Sauce")</f>
        <v>Cranberry-Raspberry Sauce</v>
      </c>
      <c r="C1913" t="str">
        <f>IFERROR(__xludf.DUMMYFUNCTION("""COMPUTED_VALUE"""),"Fruits")</f>
        <v>Fruits</v>
      </c>
      <c r="D1913">
        <f>IFERROR(__xludf.DUMMYFUNCTION("""COMPUTED_VALUE"""),162.0)</f>
        <v>162</v>
      </c>
      <c r="E1913">
        <f>IFERROR(__xludf.DUMMYFUNCTION("""COMPUTED_VALUE"""),0.22)</f>
        <v>0.22</v>
      </c>
      <c r="F1913">
        <f>IFERROR(__xludf.DUMMYFUNCTION("""COMPUTED_VALUE"""),0.78)</f>
        <v>0.78</v>
      </c>
      <c r="G1913">
        <f>IFERROR(__xludf.DUMMYFUNCTION("""COMPUTED_VALUE"""),41.83)</f>
        <v>41.83</v>
      </c>
    </row>
    <row r="1914">
      <c r="A1914">
        <f>IFERROR(__xludf.DUMMYFUNCTION("""COMPUTED_VALUE"""),786802.0)</f>
        <v>786802</v>
      </c>
      <c r="B1914" t="str">
        <f>IFERROR(__xludf.DUMMYFUNCTION("""COMPUTED_VALUE"""),"Fruit Salad Fresh Or Raw  Excluding Citrus Fruits No Dressing")</f>
        <v>Fruit Salad Fresh Or Raw  Excluding Citrus Fruits No Dressing</v>
      </c>
      <c r="C1914" t="str">
        <f>IFERROR(__xludf.DUMMYFUNCTION("""COMPUTED_VALUE"""),"Fruits")</f>
        <v>Fruits</v>
      </c>
      <c r="D1914">
        <f>IFERROR(__xludf.DUMMYFUNCTION("""COMPUTED_VALUE"""),53.0)</f>
        <v>53</v>
      </c>
      <c r="E1914">
        <f>IFERROR(__xludf.DUMMYFUNCTION("""COMPUTED_VALUE"""),0.26)</f>
        <v>0.26</v>
      </c>
      <c r="F1914">
        <f>IFERROR(__xludf.DUMMYFUNCTION("""COMPUTED_VALUE"""),0.7)</f>
        <v>0.7</v>
      </c>
      <c r="G1914">
        <f>IFERROR(__xludf.DUMMYFUNCTION("""COMPUTED_VALUE"""),13.53)</f>
        <v>13.53</v>
      </c>
    </row>
    <row r="1915">
      <c r="A1915">
        <f>IFERROR(__xludf.DUMMYFUNCTION("""COMPUTED_VALUE"""),786803.0)</f>
        <v>786803</v>
      </c>
      <c r="B1915" t="str">
        <f>IFERROR(__xludf.DUMMYFUNCTION("""COMPUTED_VALUE"""),"Fruit Salad Fresh Or Raw Including Citrus Fruits No Dressing")</f>
        <v>Fruit Salad Fresh Or Raw Including Citrus Fruits No Dressing</v>
      </c>
      <c r="C1915" t="str">
        <f>IFERROR(__xludf.DUMMYFUNCTION("""COMPUTED_VALUE"""),"Fruits")</f>
        <v>Fruits</v>
      </c>
      <c r="D1915">
        <f>IFERROR(__xludf.DUMMYFUNCTION("""COMPUTED_VALUE"""),52.0)</f>
        <v>52</v>
      </c>
      <c r="E1915">
        <f>IFERROR(__xludf.DUMMYFUNCTION("""COMPUTED_VALUE"""),0.23)</f>
        <v>0.23</v>
      </c>
      <c r="F1915">
        <f>IFERROR(__xludf.DUMMYFUNCTION("""COMPUTED_VALUE"""),0.75)</f>
        <v>0.75</v>
      </c>
      <c r="G1915">
        <f>IFERROR(__xludf.DUMMYFUNCTION("""COMPUTED_VALUE"""),13.16)</f>
        <v>13.16</v>
      </c>
    </row>
    <row r="1916">
      <c r="A1916">
        <f>IFERROR(__xludf.DUMMYFUNCTION("""COMPUTED_VALUE"""),786804.0)</f>
        <v>786804</v>
      </c>
      <c r="B1916" t="str">
        <f>IFERROR(__xludf.DUMMYFUNCTION("""COMPUTED_VALUE"""),"Fruit Cocktail Or Mix Frozen")</f>
        <v>Fruit Cocktail Or Mix Frozen</v>
      </c>
      <c r="C1916" t="str">
        <f>IFERROR(__xludf.DUMMYFUNCTION("""COMPUTED_VALUE"""),"Fruits")</f>
        <v>Fruits</v>
      </c>
      <c r="D1916">
        <f>IFERROR(__xludf.DUMMYFUNCTION("""COMPUTED_VALUE"""),49.0)</f>
        <v>49</v>
      </c>
      <c r="E1916">
        <f>IFERROR(__xludf.DUMMYFUNCTION("""COMPUTED_VALUE"""),0.3)</f>
        <v>0.3</v>
      </c>
      <c r="F1916">
        <f>IFERROR(__xludf.DUMMYFUNCTION("""COMPUTED_VALUE"""),0.98)</f>
        <v>0.98</v>
      </c>
      <c r="G1916">
        <f>IFERROR(__xludf.DUMMYFUNCTION("""COMPUTED_VALUE"""),11.99)</f>
        <v>11.99</v>
      </c>
    </row>
    <row r="1917">
      <c r="A1917">
        <f>IFERROR(__xludf.DUMMYFUNCTION("""COMPUTED_VALUE"""),786812.0)</f>
        <v>786812</v>
      </c>
      <c r="B1917" t="str">
        <f>IFERROR(__xludf.DUMMYFUNCTION("""COMPUTED_VALUE"""),"Fruit Salad Puerto Rican Style")</f>
        <v>Fruit Salad Puerto Rican Style</v>
      </c>
      <c r="C1917" t="str">
        <f>IFERROR(__xludf.DUMMYFUNCTION("""COMPUTED_VALUE"""),"Fruits")</f>
        <v>Fruits</v>
      </c>
      <c r="D1917">
        <f>IFERROR(__xludf.DUMMYFUNCTION("""COMPUTED_VALUE"""),58.0)</f>
        <v>58</v>
      </c>
      <c r="E1917">
        <f>IFERROR(__xludf.DUMMYFUNCTION("""COMPUTED_VALUE"""),0.21)</f>
        <v>0.21</v>
      </c>
      <c r="F1917">
        <f>IFERROR(__xludf.DUMMYFUNCTION("""COMPUTED_VALUE"""),0.7)</f>
        <v>0.7</v>
      </c>
      <c r="G1917">
        <f>IFERROR(__xludf.DUMMYFUNCTION("""COMPUTED_VALUE"""),14.73)</f>
        <v>14.73</v>
      </c>
    </row>
    <row r="1918">
      <c r="A1918">
        <f>IFERROR(__xludf.DUMMYFUNCTION("""COMPUTED_VALUE"""),786813.0)</f>
        <v>786813</v>
      </c>
      <c r="B1918" t="str">
        <f>IFERROR(__xludf.DUMMYFUNCTION("""COMPUTED_VALUE"""),"Apple Salad With Dressing")</f>
        <v>Apple Salad With Dressing</v>
      </c>
      <c r="C1918" t="str">
        <f>IFERROR(__xludf.DUMMYFUNCTION("""COMPUTED_VALUE"""),"Fruits")</f>
        <v>Fruits</v>
      </c>
      <c r="D1918">
        <f>IFERROR(__xludf.DUMMYFUNCTION("""COMPUTED_VALUE"""),172.0)</f>
        <v>172</v>
      </c>
      <c r="E1918">
        <f>IFERROR(__xludf.DUMMYFUNCTION("""COMPUTED_VALUE"""),13.92)</f>
        <v>13.92</v>
      </c>
      <c r="F1918">
        <f>IFERROR(__xludf.DUMMYFUNCTION("""COMPUTED_VALUE"""),1.48)</f>
        <v>1.48</v>
      </c>
      <c r="G1918">
        <f>IFERROR(__xludf.DUMMYFUNCTION("""COMPUTED_VALUE"""),12.15)</f>
        <v>12.15</v>
      </c>
    </row>
    <row r="1919">
      <c r="A1919">
        <f>IFERROR(__xludf.DUMMYFUNCTION("""COMPUTED_VALUE"""),786814.0)</f>
        <v>786814</v>
      </c>
      <c r="B1919" t="str">
        <f>IFERROR(__xludf.DUMMYFUNCTION("""COMPUTED_VALUE"""),"Apple Candied")</f>
        <v>Apple Candied</v>
      </c>
      <c r="C1919" t="str">
        <f>IFERROR(__xludf.DUMMYFUNCTION("""COMPUTED_VALUE"""),"Fruits")</f>
        <v>Fruits</v>
      </c>
      <c r="D1919">
        <f>IFERROR(__xludf.DUMMYFUNCTION("""COMPUTED_VALUE"""),129.0)</f>
        <v>129</v>
      </c>
      <c r="E1919">
        <f>IFERROR(__xludf.DUMMYFUNCTION("""COMPUTED_VALUE"""),2.02)</f>
        <v>2.02</v>
      </c>
      <c r="F1919">
        <f>IFERROR(__xludf.DUMMYFUNCTION("""COMPUTED_VALUE"""),1.27)</f>
        <v>1.27</v>
      </c>
      <c r="G1919">
        <f>IFERROR(__xludf.DUMMYFUNCTION("""COMPUTED_VALUE"""),28.59)</f>
        <v>28.59</v>
      </c>
    </row>
    <row r="1920">
      <c r="A1920">
        <f>IFERROR(__xludf.DUMMYFUNCTION("""COMPUTED_VALUE"""),786817.0)</f>
        <v>786817</v>
      </c>
      <c r="B1920" t="str">
        <f>IFERROR(__xludf.DUMMYFUNCTION("""COMPUTED_VALUE"""),"Banana Whip")</f>
        <v>Banana Whip</v>
      </c>
      <c r="C1920" t="str">
        <f>IFERROR(__xludf.DUMMYFUNCTION("""COMPUTED_VALUE"""),"Fruits")</f>
        <v>Fruits</v>
      </c>
      <c r="D1920">
        <f>IFERROR(__xludf.DUMMYFUNCTION("""COMPUTED_VALUE"""),136.0)</f>
        <v>136</v>
      </c>
      <c r="E1920">
        <f>IFERROR(__xludf.DUMMYFUNCTION("""COMPUTED_VALUE"""),0.3)</f>
        <v>0.3</v>
      </c>
      <c r="F1920">
        <f>IFERROR(__xludf.DUMMYFUNCTION("""COMPUTED_VALUE"""),4.93)</f>
        <v>4.93</v>
      </c>
      <c r="G1920">
        <f>IFERROR(__xludf.DUMMYFUNCTION("""COMPUTED_VALUE"""),30.26)</f>
        <v>30.26</v>
      </c>
    </row>
    <row r="1921">
      <c r="A1921">
        <f>IFERROR(__xludf.DUMMYFUNCTION("""COMPUTED_VALUE"""),786818.0)</f>
        <v>786818</v>
      </c>
      <c r="B1921" t="str">
        <f>IFERROR(__xludf.DUMMYFUNCTION("""COMPUTED_VALUE"""),"Prune Whip")</f>
        <v>Prune Whip</v>
      </c>
      <c r="C1921" t="str">
        <f>IFERROR(__xludf.DUMMYFUNCTION("""COMPUTED_VALUE"""),"Fruits")</f>
        <v>Fruits</v>
      </c>
      <c r="D1921">
        <f>IFERROR(__xludf.DUMMYFUNCTION("""COMPUTED_VALUE"""),147.0)</f>
        <v>147</v>
      </c>
      <c r="E1921">
        <f>IFERROR(__xludf.DUMMYFUNCTION("""COMPUTED_VALUE"""),0.19)</f>
        <v>0.19</v>
      </c>
      <c r="F1921">
        <f>IFERROR(__xludf.DUMMYFUNCTION("""COMPUTED_VALUE"""),4.66)</f>
        <v>4.66</v>
      </c>
      <c r="G1921">
        <f>IFERROR(__xludf.DUMMYFUNCTION("""COMPUTED_VALUE"""),33.76)</f>
        <v>33.76</v>
      </c>
    </row>
    <row r="1922">
      <c r="A1922">
        <f>IFERROR(__xludf.DUMMYFUNCTION("""COMPUTED_VALUE"""),786819.0)</f>
        <v>786819</v>
      </c>
      <c r="B1922" t="str">
        <f>IFERROR(__xludf.DUMMYFUNCTION("""COMPUTED_VALUE"""),"Fried Dwarf Banana Puerto Rican Style")</f>
        <v>Fried Dwarf Banana Puerto Rican Style</v>
      </c>
      <c r="C1922" t="str">
        <f>IFERROR(__xludf.DUMMYFUNCTION("""COMPUTED_VALUE"""),"Fruits")</f>
        <v>Fruits</v>
      </c>
      <c r="D1922">
        <f>IFERROR(__xludf.DUMMYFUNCTION("""COMPUTED_VALUE"""),155.0)</f>
        <v>155</v>
      </c>
      <c r="E1922">
        <f>IFERROR(__xludf.DUMMYFUNCTION("""COMPUTED_VALUE"""),8.53)</f>
        <v>8.53</v>
      </c>
      <c r="F1922">
        <f>IFERROR(__xludf.DUMMYFUNCTION("""COMPUTED_VALUE"""),1.0)</f>
        <v>1</v>
      </c>
      <c r="G1922">
        <f>IFERROR(__xludf.DUMMYFUNCTION("""COMPUTED_VALUE"""),20.96)</f>
        <v>20.96</v>
      </c>
    </row>
    <row r="1923">
      <c r="A1923">
        <f>IFERROR(__xludf.DUMMYFUNCTION("""COMPUTED_VALUE"""),786820.0)</f>
        <v>786820</v>
      </c>
      <c r="B1923" t="str">
        <f>IFERROR(__xludf.DUMMYFUNCTION("""COMPUTED_VALUE"""),"Fried Dwarf Banana With Cheese Puerto Rican Style")</f>
        <v>Fried Dwarf Banana With Cheese Puerto Rican Style</v>
      </c>
      <c r="C1923" t="str">
        <f>IFERROR(__xludf.DUMMYFUNCTION("""COMPUTED_VALUE"""),"Fruits")</f>
        <v>Fruits</v>
      </c>
      <c r="D1923">
        <f>IFERROR(__xludf.DUMMYFUNCTION("""COMPUTED_VALUE"""),210.0)</f>
        <v>210</v>
      </c>
      <c r="E1923">
        <f>IFERROR(__xludf.DUMMYFUNCTION("""COMPUTED_VALUE"""),12.37)</f>
        <v>12.37</v>
      </c>
      <c r="F1923">
        <f>IFERROR(__xludf.DUMMYFUNCTION("""COMPUTED_VALUE"""),3.54)</f>
        <v>3.54</v>
      </c>
      <c r="G1923">
        <f>IFERROR(__xludf.DUMMYFUNCTION("""COMPUTED_VALUE"""),23.97)</f>
        <v>23.97</v>
      </c>
    </row>
    <row r="1924">
      <c r="A1924">
        <f>IFERROR(__xludf.DUMMYFUNCTION("""COMPUTED_VALUE"""),786821.0)</f>
        <v>786821</v>
      </c>
      <c r="B1924" t="str">
        <f>IFERROR(__xludf.DUMMYFUNCTION("""COMPUTED_VALUE"""),"Fruit Salad Excluding Citrus Fruits With Salad Dressing Or Mayonnaise")</f>
        <v>Fruit Salad Excluding Citrus Fruits With Salad Dressing Or Mayonnaise</v>
      </c>
      <c r="C1924" t="str">
        <f>IFERROR(__xludf.DUMMYFUNCTION("""COMPUTED_VALUE"""),"Fruits")</f>
        <v>Fruits</v>
      </c>
      <c r="D1924">
        <f>IFERROR(__xludf.DUMMYFUNCTION("""COMPUTED_VALUE"""),235.0)</f>
        <v>235</v>
      </c>
      <c r="E1924">
        <f>IFERROR(__xludf.DUMMYFUNCTION("""COMPUTED_VALUE"""),20.32)</f>
        <v>20.32</v>
      </c>
      <c r="F1924">
        <f>IFERROR(__xludf.DUMMYFUNCTION("""COMPUTED_VALUE"""),1.89)</f>
        <v>1.89</v>
      </c>
      <c r="G1924">
        <f>IFERROR(__xludf.DUMMYFUNCTION("""COMPUTED_VALUE"""),13.27)</f>
        <v>13.27</v>
      </c>
    </row>
    <row r="1925">
      <c r="A1925">
        <f>IFERROR(__xludf.DUMMYFUNCTION("""COMPUTED_VALUE"""),786822.0)</f>
        <v>786822</v>
      </c>
      <c r="B1925" t="str">
        <f>IFERROR(__xludf.DUMMYFUNCTION("""COMPUTED_VALUE"""),"Fruit Salad Excluding Citrus Fruits With Whipped Cream")</f>
        <v>Fruit Salad Excluding Citrus Fruits With Whipped Cream</v>
      </c>
      <c r="C1925" t="str">
        <f>IFERROR(__xludf.DUMMYFUNCTION("""COMPUTED_VALUE"""),"Fruits")</f>
        <v>Fruits</v>
      </c>
      <c r="D1925">
        <f>IFERROR(__xludf.DUMMYFUNCTION("""COMPUTED_VALUE"""),150.0)</f>
        <v>150</v>
      </c>
      <c r="E1925">
        <f>IFERROR(__xludf.DUMMYFUNCTION("""COMPUTED_VALUE"""),10.29)</f>
        <v>10.29</v>
      </c>
      <c r="F1925">
        <f>IFERROR(__xludf.DUMMYFUNCTION("""COMPUTED_VALUE"""),2.21)</f>
        <v>2.21</v>
      </c>
      <c r="G1925">
        <f>IFERROR(__xludf.DUMMYFUNCTION("""COMPUTED_VALUE"""),14.79)</f>
        <v>14.79</v>
      </c>
    </row>
    <row r="1926">
      <c r="A1926">
        <f>IFERROR(__xludf.DUMMYFUNCTION("""COMPUTED_VALUE"""),786823.0)</f>
        <v>786823</v>
      </c>
      <c r="B1926" t="str">
        <f>IFERROR(__xludf.DUMMYFUNCTION("""COMPUTED_VALUE"""),"Fruit Salad Excluding Citrus Fruits With Nondairy Whipped Topping")</f>
        <v>Fruit Salad Excluding Citrus Fruits With Nondairy Whipped Topping</v>
      </c>
      <c r="C1926" t="str">
        <f>IFERROR(__xludf.DUMMYFUNCTION("""COMPUTED_VALUE"""),"Fruits")</f>
        <v>Fruits</v>
      </c>
      <c r="D1926">
        <f>IFERROR(__xludf.DUMMYFUNCTION("""COMPUTED_VALUE"""),139.0)</f>
        <v>139</v>
      </c>
      <c r="E1926">
        <f>IFERROR(__xludf.DUMMYFUNCTION("""COMPUTED_VALUE"""),8.26)</f>
        <v>8.26</v>
      </c>
      <c r="F1926">
        <f>IFERROR(__xludf.DUMMYFUNCTION("""COMPUTED_VALUE"""),2.06)</f>
        <v>2.06</v>
      </c>
      <c r="G1926">
        <f>IFERROR(__xludf.DUMMYFUNCTION("""COMPUTED_VALUE"""),16.93)</f>
        <v>16.93</v>
      </c>
    </row>
    <row r="1927">
      <c r="A1927">
        <f>IFERROR(__xludf.DUMMYFUNCTION("""COMPUTED_VALUE"""),786824.0)</f>
        <v>786824</v>
      </c>
      <c r="B1927" t="str">
        <f>IFERROR(__xludf.DUMMYFUNCTION("""COMPUTED_VALUE"""),"Fruit Salad Excluding Citrus Fruits With Marshmallows")</f>
        <v>Fruit Salad Excluding Citrus Fruits With Marshmallows</v>
      </c>
      <c r="C1927" t="str">
        <f>IFERROR(__xludf.DUMMYFUNCTION("""COMPUTED_VALUE"""),"Fruits")</f>
        <v>Fruits</v>
      </c>
      <c r="D1927">
        <f>IFERROR(__xludf.DUMMYFUNCTION("""COMPUTED_VALUE"""),239.0)</f>
        <v>239</v>
      </c>
      <c r="E1927">
        <f>IFERROR(__xludf.DUMMYFUNCTION("""COMPUTED_VALUE"""),19.14)</f>
        <v>19.14</v>
      </c>
      <c r="F1927">
        <f>IFERROR(__xludf.DUMMYFUNCTION("""COMPUTED_VALUE"""),1.89)</f>
        <v>1.89</v>
      </c>
      <c r="G1927">
        <f>IFERROR(__xludf.DUMMYFUNCTION("""COMPUTED_VALUE"""),17.26)</f>
        <v>17.26</v>
      </c>
    </row>
    <row r="1928">
      <c r="A1928">
        <f>IFERROR(__xludf.DUMMYFUNCTION("""COMPUTED_VALUE"""),786825.0)</f>
        <v>786825</v>
      </c>
      <c r="B1928" t="str">
        <f>IFERROR(__xludf.DUMMYFUNCTION("""COMPUTED_VALUE"""),"Fruit Salad Including Citrus Fruits With Pudding")</f>
        <v>Fruit Salad Including Citrus Fruits With Pudding</v>
      </c>
      <c r="C1928" t="str">
        <f>IFERROR(__xludf.DUMMYFUNCTION("""COMPUTED_VALUE"""),"Fruits")</f>
        <v>Fruits</v>
      </c>
      <c r="D1928">
        <f>IFERROR(__xludf.DUMMYFUNCTION("""COMPUTED_VALUE"""),123.0)</f>
        <v>123</v>
      </c>
      <c r="E1928">
        <f>IFERROR(__xludf.DUMMYFUNCTION("""COMPUTED_VALUE"""),6.01)</f>
        <v>6.01</v>
      </c>
      <c r="F1928">
        <f>IFERROR(__xludf.DUMMYFUNCTION("""COMPUTED_VALUE"""),2.04)</f>
        <v>2.04</v>
      </c>
      <c r="G1928">
        <f>IFERROR(__xludf.DUMMYFUNCTION("""COMPUTED_VALUE"""),17.41)</f>
        <v>17.41</v>
      </c>
    </row>
    <row r="1929">
      <c r="A1929">
        <f>IFERROR(__xludf.DUMMYFUNCTION("""COMPUTED_VALUE"""),786826.0)</f>
        <v>786826</v>
      </c>
      <c r="B1929" t="str">
        <f>IFERROR(__xludf.DUMMYFUNCTION("""COMPUTED_VALUE"""),"Fruit Salad Excluding Citrus Fruits With Pudding")</f>
        <v>Fruit Salad Excluding Citrus Fruits With Pudding</v>
      </c>
      <c r="C1929" t="str">
        <f>IFERROR(__xludf.DUMMYFUNCTION("""COMPUTED_VALUE"""),"Fruits")</f>
        <v>Fruits</v>
      </c>
      <c r="D1929">
        <f>IFERROR(__xludf.DUMMYFUNCTION("""COMPUTED_VALUE"""),125.0)</f>
        <v>125</v>
      </c>
      <c r="E1929">
        <f>IFERROR(__xludf.DUMMYFUNCTION("""COMPUTED_VALUE"""),6.13)</f>
        <v>6.13</v>
      </c>
      <c r="F1929">
        <f>IFERROR(__xludf.DUMMYFUNCTION("""COMPUTED_VALUE"""),1.97)</f>
        <v>1.97</v>
      </c>
      <c r="G1929">
        <f>IFERROR(__xludf.DUMMYFUNCTION("""COMPUTED_VALUE"""),17.82)</f>
        <v>17.82</v>
      </c>
    </row>
    <row r="1930">
      <c r="A1930">
        <f>IFERROR(__xludf.DUMMYFUNCTION("""COMPUTED_VALUE"""),786827.0)</f>
        <v>786827</v>
      </c>
      <c r="B1930" t="str">
        <f>IFERROR(__xludf.DUMMYFUNCTION("""COMPUTED_VALUE"""),"Fruit Salad Including Citrus Fruits With Salad Dressing Or Mayonnaise")</f>
        <v>Fruit Salad Including Citrus Fruits With Salad Dressing Or Mayonnaise</v>
      </c>
      <c r="C1930" t="str">
        <f>IFERROR(__xludf.DUMMYFUNCTION("""COMPUTED_VALUE"""),"Fruits")</f>
        <v>Fruits</v>
      </c>
      <c r="D1930">
        <f>IFERROR(__xludf.DUMMYFUNCTION("""COMPUTED_VALUE"""),230.0)</f>
        <v>230</v>
      </c>
      <c r="E1930">
        <f>IFERROR(__xludf.DUMMYFUNCTION("""COMPUTED_VALUE"""),19.92)</f>
        <v>19.92</v>
      </c>
      <c r="F1930">
        <f>IFERROR(__xludf.DUMMYFUNCTION("""COMPUTED_VALUE"""),1.96)</f>
        <v>1.96</v>
      </c>
      <c r="G1930">
        <f>IFERROR(__xludf.DUMMYFUNCTION("""COMPUTED_VALUE"""),12.94)</f>
        <v>12.94</v>
      </c>
    </row>
    <row r="1931">
      <c r="A1931">
        <f>IFERROR(__xludf.DUMMYFUNCTION("""COMPUTED_VALUE"""),786828.0)</f>
        <v>786828</v>
      </c>
      <c r="B1931" t="str">
        <f>IFERROR(__xludf.DUMMYFUNCTION("""COMPUTED_VALUE"""),"Fruit Salad Including Citrus Fruit With Whipped Cream")</f>
        <v>Fruit Salad Including Citrus Fruit With Whipped Cream</v>
      </c>
      <c r="C1931" t="str">
        <f>IFERROR(__xludf.DUMMYFUNCTION("""COMPUTED_VALUE"""),"Fruits")</f>
        <v>Fruits</v>
      </c>
      <c r="D1931">
        <f>IFERROR(__xludf.DUMMYFUNCTION("""COMPUTED_VALUE"""),147.0)</f>
        <v>147</v>
      </c>
      <c r="E1931">
        <f>IFERROR(__xludf.DUMMYFUNCTION("""COMPUTED_VALUE"""),10.06)</f>
        <v>10.06</v>
      </c>
      <c r="F1931">
        <f>IFERROR(__xludf.DUMMYFUNCTION("""COMPUTED_VALUE"""),2.28)</f>
        <v>2.28</v>
      </c>
      <c r="G1931">
        <f>IFERROR(__xludf.DUMMYFUNCTION("""COMPUTED_VALUE"""),14.4)</f>
        <v>14.4</v>
      </c>
    </row>
    <row r="1932">
      <c r="A1932">
        <f>IFERROR(__xludf.DUMMYFUNCTION("""COMPUTED_VALUE"""),786829.0)</f>
        <v>786829</v>
      </c>
      <c r="B1932" t="str">
        <f>IFERROR(__xludf.DUMMYFUNCTION("""COMPUTED_VALUE"""),"Fruit Salad Including Citrus Fruits With Nondairy Whipped Topping")</f>
        <v>Fruit Salad Including Citrus Fruits With Nondairy Whipped Topping</v>
      </c>
      <c r="C1932" t="str">
        <f>IFERROR(__xludf.DUMMYFUNCTION("""COMPUTED_VALUE"""),"Fruits")</f>
        <v>Fruits</v>
      </c>
      <c r="D1932">
        <f>IFERROR(__xludf.DUMMYFUNCTION("""COMPUTED_VALUE"""),136.0)</f>
        <v>136</v>
      </c>
      <c r="E1932">
        <f>IFERROR(__xludf.DUMMYFUNCTION("""COMPUTED_VALUE"""),8.07)</f>
        <v>8.07</v>
      </c>
      <c r="F1932">
        <f>IFERROR(__xludf.DUMMYFUNCTION("""COMPUTED_VALUE"""),2.13)</f>
        <v>2.13</v>
      </c>
      <c r="G1932">
        <f>IFERROR(__xludf.DUMMYFUNCTION("""COMPUTED_VALUE"""),16.47)</f>
        <v>16.47</v>
      </c>
    </row>
    <row r="1933">
      <c r="A1933">
        <f>IFERROR(__xludf.DUMMYFUNCTION("""COMPUTED_VALUE"""),786830.0)</f>
        <v>786830</v>
      </c>
      <c r="B1933" t="str">
        <f>IFERROR(__xludf.DUMMYFUNCTION("""COMPUTED_VALUE"""),"Fruit Salad Including Citrus Fruits With Marshmallows")</f>
        <v>Fruit Salad Including Citrus Fruits With Marshmallows</v>
      </c>
      <c r="C1933" t="str">
        <f>IFERROR(__xludf.DUMMYFUNCTION("""COMPUTED_VALUE"""),"Fruits")</f>
        <v>Fruits</v>
      </c>
      <c r="D1933">
        <f>IFERROR(__xludf.DUMMYFUNCTION("""COMPUTED_VALUE"""),235.0)</f>
        <v>235</v>
      </c>
      <c r="E1933">
        <f>IFERROR(__xludf.DUMMYFUNCTION("""COMPUTED_VALUE"""),18.79)</f>
        <v>18.79</v>
      </c>
      <c r="F1933">
        <f>IFERROR(__xludf.DUMMYFUNCTION("""COMPUTED_VALUE"""),1.95)</f>
        <v>1.95</v>
      </c>
      <c r="G1933">
        <f>IFERROR(__xludf.DUMMYFUNCTION("""COMPUTED_VALUE"""),16.87)</f>
        <v>16.87</v>
      </c>
    </row>
    <row r="1934">
      <c r="A1934">
        <f>IFERROR(__xludf.DUMMYFUNCTION("""COMPUTED_VALUE"""),786831.0)</f>
        <v>786831</v>
      </c>
      <c r="B1934" t="str">
        <f>IFERROR(__xludf.DUMMYFUNCTION("""COMPUTED_VALUE"""),"Fruit Dessert With Cream And/or Pudding And Nuts")</f>
        <v>Fruit Dessert With Cream And/or Pudding And Nuts</v>
      </c>
      <c r="C1934" t="str">
        <f>IFERROR(__xludf.DUMMYFUNCTION("""COMPUTED_VALUE"""),"Fruits")</f>
        <v>Fruits</v>
      </c>
      <c r="D1934">
        <f>IFERROR(__xludf.DUMMYFUNCTION("""COMPUTED_VALUE"""),203.0)</f>
        <v>203</v>
      </c>
      <c r="E1934">
        <f>IFERROR(__xludf.DUMMYFUNCTION("""COMPUTED_VALUE"""),9.99)</f>
        <v>9.99</v>
      </c>
      <c r="F1934">
        <f>IFERROR(__xludf.DUMMYFUNCTION("""COMPUTED_VALUE"""),1.52)</f>
        <v>1.52</v>
      </c>
      <c r="G1934">
        <f>IFERROR(__xludf.DUMMYFUNCTION("""COMPUTED_VALUE"""),28.96)</f>
        <v>28.96</v>
      </c>
    </row>
    <row r="1935">
      <c r="A1935">
        <f>IFERROR(__xludf.DUMMYFUNCTION("""COMPUTED_VALUE"""),786836.0)</f>
        <v>786836</v>
      </c>
      <c r="B1935" t="str">
        <f>IFERROR(__xludf.DUMMYFUNCTION("""COMPUTED_VALUE"""),"Cranberry Salad Congealed")</f>
        <v>Cranberry Salad Congealed</v>
      </c>
      <c r="C1935" t="str">
        <f>IFERROR(__xludf.DUMMYFUNCTION("""COMPUTED_VALUE"""),"Fruits")</f>
        <v>Fruits</v>
      </c>
      <c r="D1935">
        <f>IFERROR(__xludf.DUMMYFUNCTION("""COMPUTED_VALUE"""),116.0)</f>
        <v>116</v>
      </c>
      <c r="E1935">
        <f>IFERROR(__xludf.DUMMYFUNCTION("""COMPUTED_VALUE"""),3.61)</f>
        <v>3.61</v>
      </c>
      <c r="F1935">
        <f>IFERROR(__xludf.DUMMYFUNCTION("""COMPUTED_VALUE"""),1.91)</f>
        <v>1.91</v>
      </c>
      <c r="G1935">
        <f>IFERROR(__xludf.DUMMYFUNCTION("""COMPUTED_VALUE"""),20.57)</f>
        <v>20.57</v>
      </c>
    </row>
    <row r="1936">
      <c r="A1936">
        <f>IFERROR(__xludf.DUMMYFUNCTION("""COMPUTED_VALUE"""),786837.0)</f>
        <v>786837</v>
      </c>
      <c r="B1936" t="str">
        <f>IFERROR(__xludf.DUMMYFUNCTION("""COMPUTED_VALUE"""),"Pineapple Salad With Dressing")</f>
        <v>Pineapple Salad With Dressing</v>
      </c>
      <c r="C1936" t="str">
        <f>IFERROR(__xludf.DUMMYFUNCTION("""COMPUTED_VALUE"""),"Fruits")</f>
        <v>Fruits</v>
      </c>
      <c r="D1936">
        <f>IFERROR(__xludf.DUMMYFUNCTION("""COMPUTED_VALUE"""),96.0)</f>
        <v>96</v>
      </c>
      <c r="E1936">
        <f>IFERROR(__xludf.DUMMYFUNCTION("""COMPUTED_VALUE"""),5.71)</f>
        <v>5.71</v>
      </c>
      <c r="F1936">
        <f>IFERROR(__xludf.DUMMYFUNCTION("""COMPUTED_VALUE"""),0.58)</f>
        <v>0.58</v>
      </c>
      <c r="G1936">
        <f>IFERROR(__xludf.DUMMYFUNCTION("""COMPUTED_VALUE"""),11.9)</f>
        <v>11.9</v>
      </c>
    </row>
    <row r="1937">
      <c r="A1937">
        <f>IFERROR(__xludf.DUMMYFUNCTION("""COMPUTED_VALUE"""),786980.0)</f>
        <v>786980</v>
      </c>
      <c r="B1937" t="str">
        <f>IFERROR(__xludf.DUMMYFUNCTION("""COMPUTED_VALUE"""),"Potato Nfs")</f>
        <v>Potato Nfs</v>
      </c>
      <c r="C1937" t="str">
        <f>IFERROR(__xludf.DUMMYFUNCTION("""COMPUTED_VALUE"""),"Vegetables")</f>
        <v>Vegetables</v>
      </c>
      <c r="D1937">
        <f>IFERROR(__xludf.DUMMYFUNCTION("""COMPUTED_VALUE"""),125.0)</f>
        <v>125</v>
      </c>
      <c r="E1937">
        <f>IFERROR(__xludf.DUMMYFUNCTION("""COMPUTED_VALUE"""),4.19)</f>
        <v>4.19</v>
      </c>
      <c r="F1937">
        <f>IFERROR(__xludf.DUMMYFUNCTION("""COMPUTED_VALUE"""),1.87)</f>
        <v>1.87</v>
      </c>
      <c r="G1937">
        <f>IFERROR(__xludf.DUMMYFUNCTION("""COMPUTED_VALUE"""),20.45)</f>
        <v>20.45</v>
      </c>
    </row>
    <row r="1938">
      <c r="A1938">
        <f>IFERROR(__xludf.DUMMYFUNCTION("""COMPUTED_VALUE"""),786981.0)</f>
        <v>786981</v>
      </c>
      <c r="B1938" t="str">
        <f>IFERROR(__xludf.DUMMYFUNCTION("""COMPUTED_VALUE"""),"Potato Baked Nfs")</f>
        <v>Potato Baked Nfs</v>
      </c>
      <c r="C1938" t="str">
        <f>IFERROR(__xludf.DUMMYFUNCTION("""COMPUTED_VALUE"""),"Vegetables")</f>
        <v>Vegetables</v>
      </c>
      <c r="D1938">
        <f>IFERROR(__xludf.DUMMYFUNCTION("""COMPUTED_VALUE"""),93.0)</f>
        <v>93</v>
      </c>
      <c r="E1938">
        <f>IFERROR(__xludf.DUMMYFUNCTION("""COMPUTED_VALUE"""),0.1)</f>
        <v>0.1</v>
      </c>
      <c r="F1938">
        <f>IFERROR(__xludf.DUMMYFUNCTION("""COMPUTED_VALUE"""),1.95)</f>
        <v>1.95</v>
      </c>
      <c r="G1938">
        <f>IFERROR(__xludf.DUMMYFUNCTION("""COMPUTED_VALUE"""),21.45)</f>
        <v>21.45</v>
      </c>
    </row>
    <row r="1939">
      <c r="A1939">
        <f>IFERROR(__xludf.DUMMYFUNCTION("""COMPUTED_VALUE"""),786982.0)</f>
        <v>786982</v>
      </c>
      <c r="B1939" t="str">
        <f>IFERROR(__xludf.DUMMYFUNCTION("""COMPUTED_VALUE"""),"Potato Baked Peel Not Eaten")</f>
        <v>Potato Baked Peel Not Eaten</v>
      </c>
      <c r="C1939" t="str">
        <f>IFERROR(__xludf.DUMMYFUNCTION("""COMPUTED_VALUE"""),"Vegetables")</f>
        <v>Vegetables</v>
      </c>
      <c r="D1939">
        <f>IFERROR(__xludf.DUMMYFUNCTION("""COMPUTED_VALUE"""),93.0)</f>
        <v>93</v>
      </c>
      <c r="E1939">
        <f>IFERROR(__xludf.DUMMYFUNCTION("""COMPUTED_VALUE"""),0.1)</f>
        <v>0.1</v>
      </c>
      <c r="F1939">
        <f>IFERROR(__xludf.DUMMYFUNCTION("""COMPUTED_VALUE"""),1.95)</f>
        <v>1.95</v>
      </c>
      <c r="G1939">
        <f>IFERROR(__xludf.DUMMYFUNCTION("""COMPUTED_VALUE"""),21.45)</f>
        <v>21.45</v>
      </c>
    </row>
    <row r="1940">
      <c r="A1940">
        <f>IFERROR(__xludf.DUMMYFUNCTION("""COMPUTED_VALUE"""),786983.0)</f>
        <v>786983</v>
      </c>
      <c r="B1940" t="str">
        <f>IFERROR(__xludf.DUMMYFUNCTION("""COMPUTED_VALUE"""),"Potato Boiled Nfs")</f>
        <v>Potato Boiled Nfs</v>
      </c>
      <c r="C1940" t="str">
        <f>IFERROR(__xludf.DUMMYFUNCTION("""COMPUTED_VALUE"""),"Vegetables")</f>
        <v>Vegetables</v>
      </c>
      <c r="D1940">
        <f>IFERROR(__xludf.DUMMYFUNCTION("""COMPUTED_VALUE"""),125.0)</f>
        <v>125</v>
      </c>
      <c r="E1940">
        <f>IFERROR(__xludf.DUMMYFUNCTION("""COMPUTED_VALUE"""),4.19)</f>
        <v>4.19</v>
      </c>
      <c r="F1940">
        <f>IFERROR(__xludf.DUMMYFUNCTION("""COMPUTED_VALUE"""),1.87)</f>
        <v>1.87</v>
      </c>
      <c r="G1940">
        <f>IFERROR(__xludf.DUMMYFUNCTION("""COMPUTED_VALUE"""),20.45)</f>
        <v>20.45</v>
      </c>
    </row>
    <row r="1941">
      <c r="A1941">
        <f>IFERROR(__xludf.DUMMYFUNCTION("""COMPUTED_VALUE"""),786984.0)</f>
        <v>786984</v>
      </c>
      <c r="B1941" t="str">
        <f>IFERROR(__xludf.DUMMYFUNCTION("""COMPUTED_VALUE"""),"Potato Boiled Ready-To-Heat")</f>
        <v>Potato Boiled Ready-To-Heat</v>
      </c>
      <c r="C1941" t="str">
        <f>IFERROR(__xludf.DUMMYFUNCTION("""COMPUTED_VALUE"""),"Vegetables")</f>
        <v>Vegetables</v>
      </c>
      <c r="D1941">
        <f>IFERROR(__xludf.DUMMYFUNCTION("""COMPUTED_VALUE"""),125.0)</f>
        <v>125</v>
      </c>
      <c r="E1941">
        <f>IFERROR(__xludf.DUMMYFUNCTION("""COMPUTED_VALUE"""),4.19)</f>
        <v>4.19</v>
      </c>
      <c r="F1941">
        <f>IFERROR(__xludf.DUMMYFUNCTION("""COMPUTED_VALUE"""),1.87)</f>
        <v>1.87</v>
      </c>
      <c r="G1941">
        <f>IFERROR(__xludf.DUMMYFUNCTION("""COMPUTED_VALUE"""),20.45)</f>
        <v>20.45</v>
      </c>
    </row>
    <row r="1942">
      <c r="A1942">
        <f>IFERROR(__xludf.DUMMYFUNCTION("""COMPUTED_VALUE"""),786985.0)</f>
        <v>786985</v>
      </c>
      <c r="B1942" t="str">
        <f>IFERROR(__xludf.DUMMYFUNCTION("""COMPUTED_VALUE"""),"Potato Boiled From Fresh Peel Not Eaten Ns As To Fat Added In Cooking")</f>
        <v>Potato Boiled From Fresh Peel Not Eaten Ns As To Fat Added In Cooking</v>
      </c>
      <c r="C1942" t="str">
        <f>IFERROR(__xludf.DUMMYFUNCTION("""COMPUTED_VALUE"""),"Vegetables")</f>
        <v>Vegetables</v>
      </c>
      <c r="D1942">
        <f>IFERROR(__xludf.DUMMYFUNCTION("""COMPUTED_VALUE"""),125.0)</f>
        <v>125</v>
      </c>
      <c r="E1942">
        <f>IFERROR(__xludf.DUMMYFUNCTION("""COMPUTED_VALUE"""),4.19)</f>
        <v>4.19</v>
      </c>
      <c r="F1942">
        <f>IFERROR(__xludf.DUMMYFUNCTION("""COMPUTED_VALUE"""),1.87)</f>
        <v>1.87</v>
      </c>
      <c r="G1942">
        <f>IFERROR(__xludf.DUMMYFUNCTION("""COMPUTED_VALUE"""),20.45)</f>
        <v>20.45</v>
      </c>
    </row>
    <row r="1943">
      <c r="A1943">
        <f>IFERROR(__xludf.DUMMYFUNCTION("""COMPUTED_VALUE"""),786986.0)</f>
        <v>786986</v>
      </c>
      <c r="B1943" t="str">
        <f>IFERROR(__xludf.DUMMYFUNCTION("""COMPUTED_VALUE"""),"Potato Boiled From Fresh Peel Not Eaten Fat Not Added In Cooking")</f>
        <v>Potato Boiled From Fresh Peel Not Eaten Fat Not Added In Cooking</v>
      </c>
      <c r="C1943" t="str">
        <f>IFERROR(__xludf.DUMMYFUNCTION("""COMPUTED_VALUE"""),"Vegetables")</f>
        <v>Vegetables</v>
      </c>
      <c r="D1943">
        <f>IFERROR(__xludf.DUMMYFUNCTION("""COMPUTED_VALUE"""),93.0)</f>
        <v>93</v>
      </c>
      <c r="E1943">
        <f>IFERROR(__xludf.DUMMYFUNCTION("""COMPUTED_VALUE"""),0.1)</f>
        <v>0.1</v>
      </c>
      <c r="F1943">
        <f>IFERROR(__xludf.DUMMYFUNCTION("""COMPUTED_VALUE"""),1.95)</f>
        <v>1.95</v>
      </c>
      <c r="G1943">
        <f>IFERROR(__xludf.DUMMYFUNCTION("""COMPUTED_VALUE"""),21.46)</f>
        <v>21.46</v>
      </c>
    </row>
    <row r="1944">
      <c r="A1944">
        <f>IFERROR(__xludf.DUMMYFUNCTION("""COMPUTED_VALUE"""),786987.0)</f>
        <v>786987</v>
      </c>
      <c r="B1944" t="str">
        <f>IFERROR(__xludf.DUMMYFUNCTION("""COMPUTED_VALUE"""),"Potato Boiled From Fresh Peel Not Eaten Fat Added In Cooking Ns As To Type Of Fat")</f>
        <v>Potato Boiled From Fresh Peel Not Eaten Fat Added In Cooking Ns As To Type Of Fat</v>
      </c>
      <c r="C1944" t="str">
        <f>IFERROR(__xludf.DUMMYFUNCTION("""COMPUTED_VALUE"""),"Vegetables")</f>
        <v>Vegetables</v>
      </c>
      <c r="D1944">
        <f>IFERROR(__xludf.DUMMYFUNCTION("""COMPUTED_VALUE"""),125.0)</f>
        <v>125</v>
      </c>
      <c r="E1944">
        <f>IFERROR(__xludf.DUMMYFUNCTION("""COMPUTED_VALUE"""),4.19)</f>
        <v>4.19</v>
      </c>
      <c r="F1944">
        <f>IFERROR(__xludf.DUMMYFUNCTION("""COMPUTED_VALUE"""),1.87)</f>
        <v>1.87</v>
      </c>
      <c r="G1944">
        <f>IFERROR(__xludf.DUMMYFUNCTION("""COMPUTED_VALUE"""),20.45)</f>
        <v>20.45</v>
      </c>
    </row>
    <row r="1945">
      <c r="A1945">
        <f>IFERROR(__xludf.DUMMYFUNCTION("""COMPUTED_VALUE"""),786988.0)</f>
        <v>786988</v>
      </c>
      <c r="B1945" t="str">
        <f>IFERROR(__xludf.DUMMYFUNCTION("""COMPUTED_VALUE"""),"Potato Boiled From Fresh Peel Not Eaten Made With Oil")</f>
        <v>Potato Boiled From Fresh Peel Not Eaten Made With Oil</v>
      </c>
      <c r="C1945" t="str">
        <f>IFERROR(__xludf.DUMMYFUNCTION("""COMPUTED_VALUE"""),"Vegetables")</f>
        <v>Vegetables</v>
      </c>
      <c r="D1945">
        <f>IFERROR(__xludf.DUMMYFUNCTION("""COMPUTED_VALUE"""),130.0)</f>
        <v>130</v>
      </c>
      <c r="E1945">
        <f>IFERROR(__xludf.DUMMYFUNCTION("""COMPUTED_VALUE"""),4.84)</f>
        <v>4.84</v>
      </c>
      <c r="F1945">
        <f>IFERROR(__xludf.DUMMYFUNCTION("""COMPUTED_VALUE"""),1.86)</f>
        <v>1.86</v>
      </c>
      <c r="G1945">
        <f>IFERROR(__xludf.DUMMYFUNCTION("""COMPUTED_VALUE"""),20.45)</f>
        <v>20.45</v>
      </c>
    </row>
    <row r="1946">
      <c r="A1946">
        <f>IFERROR(__xludf.DUMMYFUNCTION("""COMPUTED_VALUE"""),786989.0)</f>
        <v>786989</v>
      </c>
      <c r="B1946" t="str">
        <f>IFERROR(__xludf.DUMMYFUNCTION("""COMPUTED_VALUE"""),"Potato Boiled From Fresh Peel Not Eaten Made With Butter")</f>
        <v>Potato Boiled From Fresh Peel Not Eaten Made With Butter</v>
      </c>
      <c r="C1946" t="str">
        <f>IFERROR(__xludf.DUMMYFUNCTION("""COMPUTED_VALUE"""),"Vegetables")</f>
        <v>Vegetables</v>
      </c>
      <c r="D1946">
        <f>IFERROR(__xludf.DUMMYFUNCTION("""COMPUTED_VALUE"""),122.0)</f>
        <v>122</v>
      </c>
      <c r="E1946">
        <f>IFERROR(__xludf.DUMMYFUNCTION("""COMPUTED_VALUE"""),3.94)</f>
        <v>3.94</v>
      </c>
      <c r="F1946">
        <f>IFERROR(__xludf.DUMMYFUNCTION("""COMPUTED_VALUE"""),1.9)</f>
        <v>1.9</v>
      </c>
      <c r="G1946">
        <f>IFERROR(__xludf.DUMMYFUNCTION("""COMPUTED_VALUE"""),20.45)</f>
        <v>20.45</v>
      </c>
    </row>
    <row r="1947">
      <c r="A1947">
        <f>IFERROR(__xludf.DUMMYFUNCTION("""COMPUTED_VALUE"""),786990.0)</f>
        <v>786990</v>
      </c>
      <c r="B1947" t="str">
        <f>IFERROR(__xludf.DUMMYFUNCTION("""COMPUTED_VALUE"""),"Potato Boiled From Fresh Peel Not Eaten Made With Margarine")</f>
        <v>Potato Boiled From Fresh Peel Not Eaten Made With Margarine</v>
      </c>
      <c r="C1947" t="str">
        <f>IFERROR(__xludf.DUMMYFUNCTION("""COMPUTED_VALUE"""),"Vegetables")</f>
        <v>Vegetables</v>
      </c>
      <c r="D1947">
        <f>IFERROR(__xludf.DUMMYFUNCTION("""COMPUTED_VALUE"""),114.0)</f>
        <v>114</v>
      </c>
      <c r="E1947">
        <f>IFERROR(__xludf.DUMMYFUNCTION("""COMPUTED_VALUE"""),2.93)</f>
        <v>2.93</v>
      </c>
      <c r="F1947">
        <f>IFERROR(__xludf.DUMMYFUNCTION("""COMPUTED_VALUE"""),1.87)</f>
        <v>1.87</v>
      </c>
      <c r="G1947">
        <f>IFERROR(__xludf.DUMMYFUNCTION("""COMPUTED_VALUE"""),20.49)</f>
        <v>20.49</v>
      </c>
    </row>
    <row r="1948">
      <c r="A1948">
        <f>IFERROR(__xludf.DUMMYFUNCTION("""COMPUTED_VALUE"""),786991.0)</f>
        <v>786991</v>
      </c>
      <c r="B1948" t="str">
        <f>IFERROR(__xludf.DUMMYFUNCTION("""COMPUTED_VALUE"""),"Potato Boiled From Fresh Peel Eaten Ns As To Fat Added In Cooking")</f>
        <v>Potato Boiled From Fresh Peel Eaten Ns As To Fat Added In Cooking</v>
      </c>
      <c r="C1948" t="str">
        <f>IFERROR(__xludf.DUMMYFUNCTION("""COMPUTED_VALUE"""),"Vegetables")</f>
        <v>Vegetables</v>
      </c>
      <c r="D1948">
        <f>IFERROR(__xludf.DUMMYFUNCTION("""COMPUTED_VALUE"""),125.0)</f>
        <v>125</v>
      </c>
      <c r="E1948">
        <f>IFERROR(__xludf.DUMMYFUNCTION("""COMPUTED_VALUE"""),4.22)</f>
        <v>4.22</v>
      </c>
      <c r="F1948">
        <f>IFERROR(__xludf.DUMMYFUNCTION("""COMPUTED_VALUE"""),2.39)</f>
        <v>2.39</v>
      </c>
      <c r="G1948">
        <f>IFERROR(__xludf.DUMMYFUNCTION("""COMPUTED_VALUE"""),20.08)</f>
        <v>20.08</v>
      </c>
    </row>
    <row r="1949">
      <c r="A1949">
        <f>IFERROR(__xludf.DUMMYFUNCTION("""COMPUTED_VALUE"""),786992.0)</f>
        <v>786992</v>
      </c>
      <c r="B1949" t="str">
        <f>IFERROR(__xludf.DUMMYFUNCTION("""COMPUTED_VALUE"""),"Potato Boiled From Fresh Peel Eaten Fat Added In Cooking Ns As To Type Of Fat")</f>
        <v>Potato Boiled From Fresh Peel Eaten Fat Added In Cooking Ns As To Type Of Fat</v>
      </c>
      <c r="C1949" t="str">
        <f>IFERROR(__xludf.DUMMYFUNCTION("""COMPUTED_VALUE"""),"Vegetables")</f>
        <v>Vegetables</v>
      </c>
      <c r="D1949">
        <f>IFERROR(__xludf.DUMMYFUNCTION("""COMPUTED_VALUE"""),125.0)</f>
        <v>125</v>
      </c>
      <c r="E1949">
        <f>IFERROR(__xludf.DUMMYFUNCTION("""COMPUTED_VALUE"""),4.22)</f>
        <v>4.22</v>
      </c>
      <c r="F1949">
        <f>IFERROR(__xludf.DUMMYFUNCTION("""COMPUTED_VALUE"""),2.39)</f>
        <v>2.39</v>
      </c>
      <c r="G1949">
        <f>IFERROR(__xludf.DUMMYFUNCTION("""COMPUTED_VALUE"""),20.08)</f>
        <v>20.08</v>
      </c>
    </row>
    <row r="1950">
      <c r="A1950">
        <f>IFERROR(__xludf.DUMMYFUNCTION("""COMPUTED_VALUE"""),786993.0)</f>
        <v>786993</v>
      </c>
      <c r="B1950" t="str">
        <f>IFERROR(__xludf.DUMMYFUNCTION("""COMPUTED_VALUE"""),"Potato Boiled From Fresh  Peel Eaten Fat Not Added In Cooking")</f>
        <v>Potato Boiled From Fresh  Peel Eaten Fat Not Added In Cooking</v>
      </c>
      <c r="C1950" t="str">
        <f>IFERROR(__xludf.DUMMYFUNCTION("""COMPUTED_VALUE"""),"Vegetables")</f>
        <v>Vegetables</v>
      </c>
      <c r="D1950">
        <f>IFERROR(__xludf.DUMMYFUNCTION("""COMPUTED_VALUE"""),93.0)</f>
        <v>93</v>
      </c>
      <c r="E1950">
        <f>IFERROR(__xludf.DUMMYFUNCTION("""COMPUTED_VALUE"""),0.13)</f>
        <v>0.13</v>
      </c>
      <c r="F1950">
        <f>IFERROR(__xludf.DUMMYFUNCTION("""COMPUTED_VALUE"""),2.49)</f>
        <v>2.49</v>
      </c>
      <c r="G1950">
        <f>IFERROR(__xludf.DUMMYFUNCTION("""COMPUTED_VALUE"""),21.07)</f>
        <v>21.07</v>
      </c>
    </row>
    <row r="1951">
      <c r="A1951">
        <f>IFERROR(__xludf.DUMMYFUNCTION("""COMPUTED_VALUE"""),786994.0)</f>
        <v>786994</v>
      </c>
      <c r="B1951" t="str">
        <f>IFERROR(__xludf.DUMMYFUNCTION("""COMPUTED_VALUE"""),"Potato Boiled From Fresh Peel Eaten Made With Oil")</f>
        <v>Potato Boiled From Fresh Peel Eaten Made With Oil</v>
      </c>
      <c r="C1951" t="str">
        <f>IFERROR(__xludf.DUMMYFUNCTION("""COMPUTED_VALUE"""),"Vegetables")</f>
        <v>Vegetables</v>
      </c>
      <c r="D1951">
        <f>IFERROR(__xludf.DUMMYFUNCTION("""COMPUTED_VALUE"""),130.0)</f>
        <v>130</v>
      </c>
      <c r="E1951">
        <f>IFERROR(__xludf.DUMMYFUNCTION("""COMPUTED_VALUE"""),4.87)</f>
        <v>4.87</v>
      </c>
      <c r="F1951">
        <f>IFERROR(__xludf.DUMMYFUNCTION("""COMPUTED_VALUE"""),2.37)</f>
        <v>2.37</v>
      </c>
      <c r="G1951">
        <f>IFERROR(__xludf.DUMMYFUNCTION("""COMPUTED_VALUE"""),20.07)</f>
        <v>20.07</v>
      </c>
    </row>
    <row r="1952">
      <c r="A1952">
        <f>IFERROR(__xludf.DUMMYFUNCTION("""COMPUTED_VALUE"""),786995.0)</f>
        <v>786995</v>
      </c>
      <c r="B1952" t="str">
        <f>IFERROR(__xludf.DUMMYFUNCTION("""COMPUTED_VALUE"""),"Potato Boiled From Fresh Peel Eaten Made With Butter")</f>
        <v>Potato Boiled From Fresh Peel Eaten Made With Butter</v>
      </c>
      <c r="C1952" t="str">
        <f>IFERROR(__xludf.DUMMYFUNCTION("""COMPUTED_VALUE"""),"Vegetables")</f>
        <v>Vegetables</v>
      </c>
      <c r="D1952">
        <f>IFERROR(__xludf.DUMMYFUNCTION("""COMPUTED_VALUE"""),122.0)</f>
        <v>122</v>
      </c>
      <c r="E1952">
        <f>IFERROR(__xludf.DUMMYFUNCTION("""COMPUTED_VALUE"""),3.97)</f>
        <v>3.97</v>
      </c>
      <c r="F1952">
        <f>IFERROR(__xludf.DUMMYFUNCTION("""COMPUTED_VALUE"""),2.41)</f>
        <v>2.41</v>
      </c>
      <c r="G1952">
        <f>IFERROR(__xludf.DUMMYFUNCTION("""COMPUTED_VALUE"""),20.07)</f>
        <v>20.07</v>
      </c>
    </row>
    <row r="1953">
      <c r="A1953">
        <f>IFERROR(__xludf.DUMMYFUNCTION("""COMPUTED_VALUE"""),786996.0)</f>
        <v>786996</v>
      </c>
      <c r="B1953" t="str">
        <f>IFERROR(__xludf.DUMMYFUNCTION("""COMPUTED_VALUE"""),"Potato Boiled From Fresh Peel Eaten Made With Margarine")</f>
        <v>Potato Boiled From Fresh Peel Eaten Made With Margarine</v>
      </c>
      <c r="C1953" t="str">
        <f>IFERROR(__xludf.DUMMYFUNCTION("""COMPUTED_VALUE"""),"Vegetables")</f>
        <v>Vegetables</v>
      </c>
      <c r="D1953">
        <f>IFERROR(__xludf.DUMMYFUNCTION("""COMPUTED_VALUE"""),114.0)</f>
        <v>114</v>
      </c>
      <c r="E1953">
        <f>IFERROR(__xludf.DUMMYFUNCTION("""COMPUTED_VALUE"""),2.96)</f>
        <v>2.96</v>
      </c>
      <c r="F1953">
        <f>IFERROR(__xludf.DUMMYFUNCTION("""COMPUTED_VALUE"""),2.38)</f>
        <v>2.38</v>
      </c>
      <c r="G1953">
        <f>IFERROR(__xludf.DUMMYFUNCTION("""COMPUTED_VALUE"""),20.11)</f>
        <v>20.11</v>
      </c>
    </row>
    <row r="1954">
      <c r="A1954">
        <f>IFERROR(__xludf.DUMMYFUNCTION("""COMPUTED_VALUE"""),786997.0)</f>
        <v>786997</v>
      </c>
      <c r="B1954" t="str">
        <f>IFERROR(__xludf.DUMMYFUNCTION("""COMPUTED_VALUE"""),"Potato Canned Ns As To Fat Added In Cooking")</f>
        <v>Potato Canned Ns As To Fat Added In Cooking</v>
      </c>
      <c r="C1954" t="str">
        <f>IFERROR(__xludf.DUMMYFUNCTION("""COMPUTED_VALUE"""),"Vegetables")</f>
        <v>Vegetables</v>
      </c>
      <c r="D1954">
        <f>IFERROR(__xludf.DUMMYFUNCTION("""COMPUTED_VALUE"""),95.0)</f>
        <v>95</v>
      </c>
      <c r="E1954">
        <f>IFERROR(__xludf.DUMMYFUNCTION("""COMPUTED_VALUE"""),4.28)</f>
        <v>4.28</v>
      </c>
      <c r="F1954">
        <f>IFERROR(__xludf.DUMMYFUNCTION("""COMPUTED_VALUE"""),1.34)</f>
        <v>1.34</v>
      </c>
      <c r="G1954">
        <f>IFERROR(__xludf.DUMMYFUNCTION("""COMPUTED_VALUE"""),12.91)</f>
        <v>12.91</v>
      </c>
    </row>
    <row r="1955">
      <c r="A1955">
        <f>IFERROR(__xludf.DUMMYFUNCTION("""COMPUTED_VALUE"""),786998.0)</f>
        <v>786998</v>
      </c>
      <c r="B1955" t="str">
        <f>IFERROR(__xludf.DUMMYFUNCTION("""COMPUTED_VALUE"""),"Potato Canned Fat Added In Cooking Ns As To Type Of Fat")</f>
        <v>Potato Canned Fat Added In Cooking Ns As To Type Of Fat</v>
      </c>
      <c r="C1955" t="str">
        <f>IFERROR(__xludf.DUMMYFUNCTION("""COMPUTED_VALUE"""),"Vegetables")</f>
        <v>Vegetables</v>
      </c>
      <c r="D1955">
        <f>IFERROR(__xludf.DUMMYFUNCTION("""COMPUTED_VALUE"""),95.0)</f>
        <v>95</v>
      </c>
      <c r="E1955">
        <f>IFERROR(__xludf.DUMMYFUNCTION("""COMPUTED_VALUE"""),4.28)</f>
        <v>4.28</v>
      </c>
      <c r="F1955">
        <f>IFERROR(__xludf.DUMMYFUNCTION("""COMPUTED_VALUE"""),1.34)</f>
        <v>1.34</v>
      </c>
      <c r="G1955">
        <f>IFERROR(__xludf.DUMMYFUNCTION("""COMPUTED_VALUE"""),12.91)</f>
        <v>12.91</v>
      </c>
    </row>
    <row r="1956">
      <c r="A1956">
        <f>IFERROR(__xludf.DUMMYFUNCTION("""COMPUTED_VALUE"""),786999.0)</f>
        <v>786999</v>
      </c>
      <c r="B1956" t="str">
        <f>IFERROR(__xludf.DUMMYFUNCTION("""COMPUTED_VALUE"""),"Potato Canned Fat Not Added In Cooking")</f>
        <v>Potato Canned Fat Not Added In Cooking</v>
      </c>
      <c r="C1956" t="str">
        <f>IFERROR(__xludf.DUMMYFUNCTION("""COMPUTED_VALUE"""),"Vegetables")</f>
        <v>Vegetables</v>
      </c>
      <c r="D1956">
        <f>IFERROR(__xludf.DUMMYFUNCTION("""COMPUTED_VALUE"""),62.0)</f>
        <v>62</v>
      </c>
      <c r="E1956">
        <f>IFERROR(__xludf.DUMMYFUNCTION("""COMPUTED_VALUE"""),0.2)</f>
        <v>0.2</v>
      </c>
      <c r="F1956">
        <f>IFERROR(__xludf.DUMMYFUNCTION("""COMPUTED_VALUE"""),1.39)</f>
        <v>1.39</v>
      </c>
      <c r="G1956">
        <f>IFERROR(__xludf.DUMMYFUNCTION("""COMPUTED_VALUE"""),13.55)</f>
        <v>13.55</v>
      </c>
    </row>
    <row r="1957">
      <c r="A1957">
        <f>IFERROR(__xludf.DUMMYFUNCTION("""COMPUTED_VALUE"""),787000.0)</f>
        <v>787000</v>
      </c>
      <c r="B1957" t="str">
        <f>IFERROR(__xludf.DUMMYFUNCTION("""COMPUTED_VALUE"""),"Potato Roasted Nfs")</f>
        <v>Potato Roasted Nfs</v>
      </c>
      <c r="C1957" t="str">
        <f>IFERROR(__xludf.DUMMYFUNCTION("""COMPUTED_VALUE"""),"Vegetables")</f>
        <v>Vegetables</v>
      </c>
      <c r="D1957">
        <f>IFERROR(__xludf.DUMMYFUNCTION("""COMPUTED_VALUE"""),125.0)</f>
        <v>125</v>
      </c>
      <c r="E1957">
        <f>IFERROR(__xludf.DUMMYFUNCTION("""COMPUTED_VALUE"""),4.19)</f>
        <v>4.19</v>
      </c>
      <c r="F1957">
        <f>IFERROR(__xludf.DUMMYFUNCTION("""COMPUTED_VALUE"""),1.87)</f>
        <v>1.87</v>
      </c>
      <c r="G1957">
        <f>IFERROR(__xludf.DUMMYFUNCTION("""COMPUTED_VALUE"""),20.45)</f>
        <v>20.45</v>
      </c>
    </row>
    <row r="1958">
      <c r="A1958">
        <f>IFERROR(__xludf.DUMMYFUNCTION("""COMPUTED_VALUE"""),787001.0)</f>
        <v>787001</v>
      </c>
      <c r="B1958" t="str">
        <f>IFERROR(__xludf.DUMMYFUNCTION("""COMPUTED_VALUE"""),"Potato Roasted From Fresh Peel Eaten Ns As To Fat Added In Cooking")</f>
        <v>Potato Roasted From Fresh Peel Eaten Ns As To Fat Added In Cooking</v>
      </c>
      <c r="C1958" t="str">
        <f>IFERROR(__xludf.DUMMYFUNCTION("""COMPUTED_VALUE"""),"Vegetables")</f>
        <v>Vegetables</v>
      </c>
      <c r="D1958">
        <f>IFERROR(__xludf.DUMMYFUNCTION("""COMPUTED_VALUE"""),125.0)</f>
        <v>125</v>
      </c>
      <c r="E1958">
        <f>IFERROR(__xludf.DUMMYFUNCTION("""COMPUTED_VALUE"""),4.22)</f>
        <v>4.22</v>
      </c>
      <c r="F1958">
        <f>IFERROR(__xludf.DUMMYFUNCTION("""COMPUTED_VALUE"""),2.39)</f>
        <v>2.39</v>
      </c>
      <c r="G1958">
        <f>IFERROR(__xludf.DUMMYFUNCTION("""COMPUTED_VALUE"""),20.08)</f>
        <v>20.08</v>
      </c>
    </row>
    <row r="1959">
      <c r="A1959">
        <f>IFERROR(__xludf.DUMMYFUNCTION("""COMPUTED_VALUE"""),787002.0)</f>
        <v>787002</v>
      </c>
      <c r="B1959" t="str">
        <f>IFERROR(__xludf.DUMMYFUNCTION("""COMPUTED_VALUE"""),"Potato Roasted From Fresh Peel Eaten Fat Not Added In Cooking")</f>
        <v>Potato Roasted From Fresh Peel Eaten Fat Not Added In Cooking</v>
      </c>
      <c r="C1959" t="str">
        <f>IFERROR(__xludf.DUMMYFUNCTION("""COMPUTED_VALUE"""),"Vegetables")</f>
        <v>Vegetables</v>
      </c>
      <c r="D1959">
        <f>IFERROR(__xludf.DUMMYFUNCTION("""COMPUTED_VALUE"""),93.0)</f>
        <v>93</v>
      </c>
      <c r="E1959">
        <f>IFERROR(__xludf.DUMMYFUNCTION("""COMPUTED_VALUE"""),0.13)</f>
        <v>0.13</v>
      </c>
      <c r="F1959">
        <f>IFERROR(__xludf.DUMMYFUNCTION("""COMPUTED_VALUE"""),2.49)</f>
        <v>2.49</v>
      </c>
      <c r="G1959">
        <f>IFERROR(__xludf.DUMMYFUNCTION("""COMPUTED_VALUE"""),21.07)</f>
        <v>21.07</v>
      </c>
    </row>
    <row r="1960">
      <c r="A1960">
        <f>IFERROR(__xludf.DUMMYFUNCTION("""COMPUTED_VALUE"""),787003.0)</f>
        <v>787003</v>
      </c>
      <c r="B1960" t="str">
        <f>IFERROR(__xludf.DUMMYFUNCTION("""COMPUTED_VALUE"""),"Potato Roasted From Fresh Peel Eaten Fat Added In Cooking Ns As To Type Of Fat")</f>
        <v>Potato Roasted From Fresh Peel Eaten Fat Added In Cooking Ns As To Type Of Fat</v>
      </c>
      <c r="C1960" t="str">
        <f>IFERROR(__xludf.DUMMYFUNCTION("""COMPUTED_VALUE"""),"Vegetables")</f>
        <v>Vegetables</v>
      </c>
      <c r="D1960">
        <f>IFERROR(__xludf.DUMMYFUNCTION("""COMPUTED_VALUE"""),125.0)</f>
        <v>125</v>
      </c>
      <c r="E1960">
        <f>IFERROR(__xludf.DUMMYFUNCTION("""COMPUTED_VALUE"""),4.22)</f>
        <v>4.22</v>
      </c>
      <c r="F1960">
        <f>IFERROR(__xludf.DUMMYFUNCTION("""COMPUTED_VALUE"""),2.39)</f>
        <v>2.39</v>
      </c>
      <c r="G1960">
        <f>IFERROR(__xludf.DUMMYFUNCTION("""COMPUTED_VALUE"""),20.08)</f>
        <v>20.08</v>
      </c>
    </row>
    <row r="1961">
      <c r="A1961">
        <f>IFERROR(__xludf.DUMMYFUNCTION("""COMPUTED_VALUE"""),787004.0)</f>
        <v>787004</v>
      </c>
      <c r="B1961" t="str">
        <f>IFERROR(__xludf.DUMMYFUNCTION("""COMPUTED_VALUE"""),"Potato Roasted From Fresh Peel Eaten Made With Oil")</f>
        <v>Potato Roasted From Fresh Peel Eaten Made With Oil</v>
      </c>
      <c r="C1961" t="str">
        <f>IFERROR(__xludf.DUMMYFUNCTION("""COMPUTED_VALUE"""),"Vegetables")</f>
        <v>Vegetables</v>
      </c>
      <c r="D1961">
        <f>IFERROR(__xludf.DUMMYFUNCTION("""COMPUTED_VALUE"""),130.0)</f>
        <v>130</v>
      </c>
      <c r="E1961">
        <f>IFERROR(__xludf.DUMMYFUNCTION("""COMPUTED_VALUE"""),4.87)</f>
        <v>4.87</v>
      </c>
      <c r="F1961">
        <f>IFERROR(__xludf.DUMMYFUNCTION("""COMPUTED_VALUE"""),2.37)</f>
        <v>2.37</v>
      </c>
      <c r="G1961">
        <f>IFERROR(__xludf.DUMMYFUNCTION("""COMPUTED_VALUE"""),20.07)</f>
        <v>20.07</v>
      </c>
    </row>
    <row r="1962">
      <c r="A1962">
        <f>IFERROR(__xludf.DUMMYFUNCTION("""COMPUTED_VALUE"""),787005.0)</f>
        <v>787005</v>
      </c>
      <c r="B1962" t="str">
        <f>IFERROR(__xludf.DUMMYFUNCTION("""COMPUTED_VALUE"""),"Potato Roasted From Fresh Peel Eaten Made With Butter")</f>
        <v>Potato Roasted From Fresh Peel Eaten Made With Butter</v>
      </c>
      <c r="C1962" t="str">
        <f>IFERROR(__xludf.DUMMYFUNCTION("""COMPUTED_VALUE"""),"Vegetables")</f>
        <v>Vegetables</v>
      </c>
      <c r="D1962">
        <f>IFERROR(__xludf.DUMMYFUNCTION("""COMPUTED_VALUE"""),122.0)</f>
        <v>122</v>
      </c>
      <c r="E1962">
        <f>IFERROR(__xludf.DUMMYFUNCTION("""COMPUTED_VALUE"""),3.97)</f>
        <v>3.97</v>
      </c>
      <c r="F1962">
        <f>IFERROR(__xludf.DUMMYFUNCTION("""COMPUTED_VALUE"""),2.41)</f>
        <v>2.41</v>
      </c>
      <c r="G1962">
        <f>IFERROR(__xludf.DUMMYFUNCTION("""COMPUTED_VALUE"""),20.07)</f>
        <v>20.07</v>
      </c>
    </row>
    <row r="1963">
      <c r="A1963">
        <f>IFERROR(__xludf.DUMMYFUNCTION("""COMPUTED_VALUE"""),787006.0)</f>
        <v>787006</v>
      </c>
      <c r="B1963" t="str">
        <f>IFERROR(__xludf.DUMMYFUNCTION("""COMPUTED_VALUE"""),"Potato Roasted From Fresh Peel Eaten Made With Margarine")</f>
        <v>Potato Roasted From Fresh Peel Eaten Made With Margarine</v>
      </c>
      <c r="C1963" t="str">
        <f>IFERROR(__xludf.DUMMYFUNCTION("""COMPUTED_VALUE"""),"Vegetables")</f>
        <v>Vegetables</v>
      </c>
      <c r="D1963">
        <f>IFERROR(__xludf.DUMMYFUNCTION("""COMPUTED_VALUE"""),114.0)</f>
        <v>114</v>
      </c>
      <c r="E1963">
        <f>IFERROR(__xludf.DUMMYFUNCTION("""COMPUTED_VALUE"""),2.96)</f>
        <v>2.96</v>
      </c>
      <c r="F1963">
        <f>IFERROR(__xludf.DUMMYFUNCTION("""COMPUTED_VALUE"""),2.38)</f>
        <v>2.38</v>
      </c>
      <c r="G1963">
        <f>IFERROR(__xludf.DUMMYFUNCTION("""COMPUTED_VALUE"""),20.11)</f>
        <v>20.11</v>
      </c>
    </row>
    <row r="1964">
      <c r="A1964">
        <f>IFERROR(__xludf.DUMMYFUNCTION("""COMPUTED_VALUE"""),787007.0)</f>
        <v>787007</v>
      </c>
      <c r="B1964" t="str">
        <f>IFERROR(__xludf.DUMMYFUNCTION("""COMPUTED_VALUE"""),"Potato Roasted From Fresh Peel Not Eaten Ns As To Fat Added In Cooking")</f>
        <v>Potato Roasted From Fresh Peel Not Eaten Ns As To Fat Added In Cooking</v>
      </c>
      <c r="C1964" t="str">
        <f>IFERROR(__xludf.DUMMYFUNCTION("""COMPUTED_VALUE"""),"Vegetables")</f>
        <v>Vegetables</v>
      </c>
      <c r="D1964">
        <f>IFERROR(__xludf.DUMMYFUNCTION("""COMPUTED_VALUE"""),125.0)</f>
        <v>125</v>
      </c>
      <c r="E1964">
        <f>IFERROR(__xludf.DUMMYFUNCTION("""COMPUTED_VALUE"""),4.19)</f>
        <v>4.19</v>
      </c>
      <c r="F1964">
        <f>IFERROR(__xludf.DUMMYFUNCTION("""COMPUTED_VALUE"""),1.87)</f>
        <v>1.87</v>
      </c>
      <c r="G1964">
        <f>IFERROR(__xludf.DUMMYFUNCTION("""COMPUTED_VALUE"""),20.45)</f>
        <v>20.45</v>
      </c>
    </row>
    <row r="1965">
      <c r="A1965">
        <f>IFERROR(__xludf.DUMMYFUNCTION("""COMPUTED_VALUE"""),787008.0)</f>
        <v>787008</v>
      </c>
      <c r="B1965" t="str">
        <f>IFERROR(__xludf.DUMMYFUNCTION("""COMPUTED_VALUE"""),"Potato Roasted From Fresh Peel Not Eaten Fat Added In Cooking Ns As To Type Of Fat")</f>
        <v>Potato Roasted From Fresh Peel Not Eaten Fat Added In Cooking Ns As To Type Of Fat</v>
      </c>
      <c r="C1965" t="str">
        <f>IFERROR(__xludf.DUMMYFUNCTION("""COMPUTED_VALUE"""),"Vegetables")</f>
        <v>Vegetables</v>
      </c>
      <c r="D1965">
        <f>IFERROR(__xludf.DUMMYFUNCTION("""COMPUTED_VALUE"""),125.0)</f>
        <v>125</v>
      </c>
      <c r="E1965">
        <f>IFERROR(__xludf.DUMMYFUNCTION("""COMPUTED_VALUE"""),4.19)</f>
        <v>4.19</v>
      </c>
      <c r="F1965">
        <f>IFERROR(__xludf.DUMMYFUNCTION("""COMPUTED_VALUE"""),1.87)</f>
        <v>1.87</v>
      </c>
      <c r="G1965">
        <f>IFERROR(__xludf.DUMMYFUNCTION("""COMPUTED_VALUE"""),20.45)</f>
        <v>20.45</v>
      </c>
    </row>
    <row r="1966">
      <c r="A1966">
        <f>IFERROR(__xludf.DUMMYFUNCTION("""COMPUTED_VALUE"""),787009.0)</f>
        <v>787009</v>
      </c>
      <c r="B1966" t="str">
        <f>IFERROR(__xludf.DUMMYFUNCTION("""COMPUTED_VALUE"""),"Potato Roasted From Fresh Peel Not Eaten Fat Not Added In Cooking")</f>
        <v>Potato Roasted From Fresh Peel Not Eaten Fat Not Added In Cooking</v>
      </c>
      <c r="C1966" t="str">
        <f>IFERROR(__xludf.DUMMYFUNCTION("""COMPUTED_VALUE"""),"Vegetables")</f>
        <v>Vegetables</v>
      </c>
      <c r="D1966">
        <f>IFERROR(__xludf.DUMMYFUNCTION("""COMPUTED_VALUE"""),93.0)</f>
        <v>93</v>
      </c>
      <c r="E1966">
        <f>IFERROR(__xludf.DUMMYFUNCTION("""COMPUTED_VALUE"""),0.1)</f>
        <v>0.1</v>
      </c>
      <c r="F1966">
        <f>IFERROR(__xludf.DUMMYFUNCTION("""COMPUTED_VALUE"""),1.95)</f>
        <v>1.95</v>
      </c>
      <c r="G1966">
        <f>IFERROR(__xludf.DUMMYFUNCTION("""COMPUTED_VALUE"""),21.46)</f>
        <v>21.46</v>
      </c>
    </row>
    <row r="1967">
      <c r="A1967">
        <f>IFERROR(__xludf.DUMMYFUNCTION("""COMPUTED_VALUE"""),787010.0)</f>
        <v>787010</v>
      </c>
      <c r="B1967" t="str">
        <f>IFERROR(__xludf.DUMMYFUNCTION("""COMPUTED_VALUE"""),"Potato Roasted From Fresh Peel Not Eaten Made With Oil")</f>
        <v>Potato Roasted From Fresh Peel Not Eaten Made With Oil</v>
      </c>
      <c r="C1967" t="str">
        <f>IFERROR(__xludf.DUMMYFUNCTION("""COMPUTED_VALUE"""),"Vegetables")</f>
        <v>Vegetables</v>
      </c>
      <c r="D1967">
        <f>IFERROR(__xludf.DUMMYFUNCTION("""COMPUTED_VALUE"""),130.0)</f>
        <v>130</v>
      </c>
      <c r="E1967">
        <f>IFERROR(__xludf.DUMMYFUNCTION("""COMPUTED_VALUE"""),4.84)</f>
        <v>4.84</v>
      </c>
      <c r="F1967">
        <f>IFERROR(__xludf.DUMMYFUNCTION("""COMPUTED_VALUE"""),1.86)</f>
        <v>1.86</v>
      </c>
      <c r="G1967">
        <f>IFERROR(__xludf.DUMMYFUNCTION("""COMPUTED_VALUE"""),20.45)</f>
        <v>20.45</v>
      </c>
    </row>
    <row r="1968">
      <c r="A1968">
        <f>IFERROR(__xludf.DUMMYFUNCTION("""COMPUTED_VALUE"""),787011.0)</f>
        <v>787011</v>
      </c>
      <c r="B1968" t="str">
        <f>IFERROR(__xludf.DUMMYFUNCTION("""COMPUTED_VALUE"""),"Potato Roasted From Fresh Peel Not Eaten Made With Butter")</f>
        <v>Potato Roasted From Fresh Peel Not Eaten Made With Butter</v>
      </c>
      <c r="C1968" t="str">
        <f>IFERROR(__xludf.DUMMYFUNCTION("""COMPUTED_VALUE"""),"Vegetables")</f>
        <v>Vegetables</v>
      </c>
      <c r="D1968">
        <f>IFERROR(__xludf.DUMMYFUNCTION("""COMPUTED_VALUE"""),122.0)</f>
        <v>122</v>
      </c>
      <c r="E1968">
        <f>IFERROR(__xludf.DUMMYFUNCTION("""COMPUTED_VALUE"""),3.94)</f>
        <v>3.94</v>
      </c>
      <c r="F1968">
        <f>IFERROR(__xludf.DUMMYFUNCTION("""COMPUTED_VALUE"""),1.9)</f>
        <v>1.9</v>
      </c>
      <c r="G1968">
        <f>IFERROR(__xludf.DUMMYFUNCTION("""COMPUTED_VALUE"""),20.45)</f>
        <v>20.45</v>
      </c>
    </row>
    <row r="1969">
      <c r="A1969">
        <f>IFERROR(__xludf.DUMMYFUNCTION("""COMPUTED_VALUE"""),787012.0)</f>
        <v>787012</v>
      </c>
      <c r="B1969" t="str">
        <f>IFERROR(__xludf.DUMMYFUNCTION("""COMPUTED_VALUE"""),"Potato Roasted From Fresh Peel Not Eaten Made With Margarine")</f>
        <v>Potato Roasted From Fresh Peel Not Eaten Made With Margarine</v>
      </c>
      <c r="C1969" t="str">
        <f>IFERROR(__xludf.DUMMYFUNCTION("""COMPUTED_VALUE"""),"Vegetables")</f>
        <v>Vegetables</v>
      </c>
      <c r="D1969">
        <f>IFERROR(__xludf.DUMMYFUNCTION("""COMPUTED_VALUE"""),114.0)</f>
        <v>114</v>
      </c>
      <c r="E1969">
        <f>IFERROR(__xludf.DUMMYFUNCTION("""COMPUTED_VALUE"""),2.93)</f>
        <v>2.93</v>
      </c>
      <c r="F1969">
        <f>IFERROR(__xludf.DUMMYFUNCTION("""COMPUTED_VALUE"""),1.87)</f>
        <v>1.87</v>
      </c>
      <c r="G1969">
        <f>IFERROR(__xludf.DUMMYFUNCTION("""COMPUTED_VALUE"""),20.49)</f>
        <v>20.49</v>
      </c>
    </row>
    <row r="1970">
      <c r="A1970">
        <f>IFERROR(__xludf.DUMMYFUNCTION("""COMPUTED_VALUE"""),787013.0)</f>
        <v>787013</v>
      </c>
      <c r="B1970" t="str">
        <f>IFERROR(__xludf.DUMMYFUNCTION("""COMPUTED_VALUE"""),"Potato Roasted Ready-To-Heat")</f>
        <v>Potato Roasted Ready-To-Heat</v>
      </c>
      <c r="C1970" t="str">
        <f>IFERROR(__xludf.DUMMYFUNCTION("""COMPUTED_VALUE"""),"Vegetables")</f>
        <v>Vegetables</v>
      </c>
      <c r="D1970">
        <f>IFERROR(__xludf.DUMMYFUNCTION("""COMPUTED_VALUE"""),125.0)</f>
        <v>125</v>
      </c>
      <c r="E1970">
        <f>IFERROR(__xludf.DUMMYFUNCTION("""COMPUTED_VALUE"""),4.19)</f>
        <v>4.19</v>
      </c>
      <c r="F1970">
        <f>IFERROR(__xludf.DUMMYFUNCTION("""COMPUTED_VALUE"""),1.87)</f>
        <v>1.87</v>
      </c>
      <c r="G1970">
        <f>IFERROR(__xludf.DUMMYFUNCTION("""COMPUTED_VALUE"""),20.45)</f>
        <v>20.45</v>
      </c>
    </row>
    <row r="1971">
      <c r="A1971">
        <f>IFERROR(__xludf.DUMMYFUNCTION("""COMPUTED_VALUE"""),787015.0)</f>
        <v>787015</v>
      </c>
      <c r="B1971" t="str">
        <f>IFERROR(__xludf.DUMMYFUNCTION("""COMPUTED_VALUE"""),"Potato Only From Puerto Rican Mixed Dishes Gravy And Other Components Reported Separately")</f>
        <v>Potato Only From Puerto Rican Mixed Dishes Gravy And Other Components Reported Separately</v>
      </c>
      <c r="C1971" t="str">
        <f>IFERROR(__xludf.DUMMYFUNCTION("""COMPUTED_VALUE"""),"Vegetables")</f>
        <v>Vegetables</v>
      </c>
      <c r="D1971">
        <f>IFERROR(__xludf.DUMMYFUNCTION("""COMPUTED_VALUE"""),85.0)</f>
        <v>85</v>
      </c>
      <c r="E1971">
        <f>IFERROR(__xludf.DUMMYFUNCTION("""COMPUTED_VALUE"""),0.1)</f>
        <v>0.1</v>
      </c>
      <c r="F1971">
        <f>IFERROR(__xludf.DUMMYFUNCTION("""COMPUTED_VALUE"""),1.7)</f>
        <v>1.7</v>
      </c>
      <c r="G1971">
        <f>IFERROR(__xludf.DUMMYFUNCTION("""COMPUTED_VALUE"""),19.89)</f>
        <v>19.89</v>
      </c>
    </row>
    <row r="1972">
      <c r="A1972">
        <f>IFERROR(__xludf.DUMMYFUNCTION("""COMPUTED_VALUE"""),787119.0)</f>
        <v>787119</v>
      </c>
      <c r="B1972" t="str">
        <f>IFERROR(__xludf.DUMMYFUNCTION("""COMPUTED_VALUE"""),"Potato Baked Peel Not Eaten With Butter")</f>
        <v>Potato Baked Peel Not Eaten With Butter</v>
      </c>
      <c r="C1972" t="str">
        <f>IFERROR(__xludf.DUMMYFUNCTION("""COMPUTED_VALUE"""),"Vegetables")</f>
        <v>Vegetables</v>
      </c>
      <c r="D1972">
        <f>IFERROR(__xludf.DUMMYFUNCTION("""COMPUTED_VALUE"""),124.0)</f>
        <v>124</v>
      </c>
      <c r="E1972">
        <f>IFERROR(__xludf.DUMMYFUNCTION("""COMPUTED_VALUE"""),4.13)</f>
        <v>4.13</v>
      </c>
      <c r="F1972">
        <f>IFERROR(__xludf.DUMMYFUNCTION("""COMPUTED_VALUE"""),1.9)</f>
        <v>1.9</v>
      </c>
      <c r="G1972">
        <f>IFERROR(__xludf.DUMMYFUNCTION("""COMPUTED_VALUE"""),20.39)</f>
        <v>20.39</v>
      </c>
    </row>
    <row r="1973">
      <c r="A1973">
        <f>IFERROR(__xludf.DUMMYFUNCTION("""COMPUTED_VALUE"""),787120.0)</f>
        <v>787120</v>
      </c>
      <c r="B1973" t="str">
        <f>IFERROR(__xludf.DUMMYFUNCTION("""COMPUTED_VALUE"""),"Potato Baked Peel Not Eaten With Sour Cream")</f>
        <v>Potato Baked Peel Not Eaten With Sour Cream</v>
      </c>
      <c r="C1973" t="str">
        <f>IFERROR(__xludf.DUMMYFUNCTION("""COMPUTED_VALUE"""),"Vegetables")</f>
        <v>Vegetables</v>
      </c>
      <c r="D1973">
        <f>IFERROR(__xludf.DUMMYFUNCTION("""COMPUTED_VALUE"""),130.0)</f>
        <v>130</v>
      </c>
      <c r="E1973">
        <f>IFERROR(__xludf.DUMMYFUNCTION("""COMPUTED_VALUE"""),5.51)</f>
        <v>5.51</v>
      </c>
      <c r="F1973">
        <f>IFERROR(__xludf.DUMMYFUNCTION("""COMPUTED_VALUE"""),1.95)</f>
        <v>1.95</v>
      </c>
      <c r="G1973">
        <f>IFERROR(__xludf.DUMMYFUNCTION("""COMPUTED_VALUE"""),18.96)</f>
        <v>18.96</v>
      </c>
    </row>
    <row r="1974">
      <c r="A1974">
        <f>IFERROR(__xludf.DUMMYFUNCTION("""COMPUTED_VALUE"""),787121.0)</f>
        <v>787121</v>
      </c>
      <c r="B1974" t="str">
        <f>IFERROR(__xludf.DUMMYFUNCTION("""COMPUTED_VALUE"""),"Potato Baked Peel Not Eaten With Cheese")</f>
        <v>Potato Baked Peel Not Eaten With Cheese</v>
      </c>
      <c r="C1974" t="str">
        <f>IFERROR(__xludf.DUMMYFUNCTION("""COMPUTED_VALUE"""),"Vegetables")</f>
        <v>Vegetables</v>
      </c>
      <c r="D1974">
        <f>IFERROR(__xludf.DUMMYFUNCTION("""COMPUTED_VALUE"""),152.0)</f>
        <v>152</v>
      </c>
      <c r="E1974">
        <f>IFERROR(__xludf.DUMMYFUNCTION("""COMPUTED_VALUE"""),7.68)</f>
        <v>7.68</v>
      </c>
      <c r="F1974">
        <f>IFERROR(__xludf.DUMMYFUNCTION("""COMPUTED_VALUE"""),3.58)</f>
        <v>3.58</v>
      </c>
      <c r="G1974">
        <f>IFERROR(__xludf.DUMMYFUNCTION("""COMPUTED_VALUE"""),17.72)</f>
        <v>17.72</v>
      </c>
    </row>
    <row r="1975">
      <c r="A1975">
        <f>IFERROR(__xludf.DUMMYFUNCTION("""COMPUTED_VALUE"""),787122.0)</f>
        <v>787122</v>
      </c>
      <c r="B1975" t="str">
        <f>IFERROR(__xludf.DUMMYFUNCTION("""COMPUTED_VALUE"""),"Potato Baked Peel Not Eaten With Meat")</f>
        <v>Potato Baked Peel Not Eaten With Meat</v>
      </c>
      <c r="C1975" t="str">
        <f>IFERROR(__xludf.DUMMYFUNCTION("""COMPUTED_VALUE"""),"Vegetables")</f>
        <v>Vegetables</v>
      </c>
      <c r="D1975">
        <f>IFERROR(__xludf.DUMMYFUNCTION("""COMPUTED_VALUE"""),159.0)</f>
        <v>159</v>
      </c>
      <c r="E1975">
        <f>IFERROR(__xludf.DUMMYFUNCTION("""COMPUTED_VALUE"""),8.27)</f>
        <v>8.27</v>
      </c>
      <c r="F1975">
        <f>IFERROR(__xludf.DUMMYFUNCTION("""COMPUTED_VALUE"""),4.24)</f>
        <v>4.24</v>
      </c>
      <c r="G1975">
        <f>IFERROR(__xludf.DUMMYFUNCTION("""COMPUTED_VALUE"""),17.38)</f>
        <v>17.38</v>
      </c>
    </row>
    <row r="1976">
      <c r="A1976">
        <f>IFERROR(__xludf.DUMMYFUNCTION("""COMPUTED_VALUE"""),787123.0)</f>
        <v>787123</v>
      </c>
      <c r="B1976" t="str">
        <f>IFERROR(__xludf.DUMMYFUNCTION("""COMPUTED_VALUE"""),"Potato Baked Peel Not Eaten With Chili")</f>
        <v>Potato Baked Peel Not Eaten With Chili</v>
      </c>
      <c r="C1976" t="str">
        <f>IFERROR(__xludf.DUMMYFUNCTION("""COMPUTED_VALUE"""),"Vegetables")</f>
        <v>Vegetables</v>
      </c>
      <c r="D1976">
        <f>IFERROR(__xludf.DUMMYFUNCTION("""COMPUTED_VALUE"""),141.0)</f>
        <v>141</v>
      </c>
      <c r="E1976">
        <f>IFERROR(__xludf.DUMMYFUNCTION("""COMPUTED_VALUE"""),6.13)</f>
        <v>6.13</v>
      </c>
      <c r="F1976">
        <f>IFERROR(__xludf.DUMMYFUNCTION("""COMPUTED_VALUE"""),4.01)</f>
        <v>4.01</v>
      </c>
      <c r="G1976">
        <f>IFERROR(__xludf.DUMMYFUNCTION("""COMPUTED_VALUE"""),18.02)</f>
        <v>18.02</v>
      </c>
    </row>
    <row r="1977">
      <c r="A1977">
        <f>IFERROR(__xludf.DUMMYFUNCTION("""COMPUTED_VALUE"""),787124.0)</f>
        <v>787124</v>
      </c>
      <c r="B1977" t="str">
        <f>IFERROR(__xludf.DUMMYFUNCTION("""COMPUTED_VALUE"""),"Potato Baked Peel Not Eaten With Vegetables")</f>
        <v>Potato Baked Peel Not Eaten With Vegetables</v>
      </c>
      <c r="C1977" t="str">
        <f>IFERROR(__xludf.DUMMYFUNCTION("""COMPUTED_VALUE"""),"Vegetables")</f>
        <v>Vegetables</v>
      </c>
      <c r="D1977">
        <f>IFERROR(__xludf.DUMMYFUNCTION("""COMPUTED_VALUE"""),141.0)</f>
        <v>141</v>
      </c>
      <c r="E1977">
        <f>IFERROR(__xludf.DUMMYFUNCTION("""COMPUTED_VALUE"""),6.24)</f>
        <v>6.24</v>
      </c>
      <c r="F1977">
        <f>IFERROR(__xludf.DUMMYFUNCTION("""COMPUTED_VALUE"""),3.65)</f>
        <v>3.65</v>
      </c>
      <c r="G1977">
        <f>IFERROR(__xludf.DUMMYFUNCTION("""COMPUTED_VALUE"""),18.14)</f>
        <v>18.14</v>
      </c>
    </row>
    <row r="1978">
      <c r="A1978">
        <f>IFERROR(__xludf.DUMMYFUNCTION("""COMPUTED_VALUE"""),787125.0)</f>
        <v>787125</v>
      </c>
      <c r="B1978" t="str">
        <f>IFERROR(__xludf.DUMMYFUNCTION("""COMPUTED_VALUE"""),"Potato Baked Peel Eaten")</f>
        <v>Potato Baked Peel Eaten</v>
      </c>
      <c r="C1978" t="str">
        <f>IFERROR(__xludf.DUMMYFUNCTION("""COMPUTED_VALUE"""),"Vegetables")</f>
        <v>Vegetables</v>
      </c>
      <c r="D1978">
        <f>IFERROR(__xludf.DUMMYFUNCTION("""COMPUTED_VALUE"""),93.0)</f>
        <v>93</v>
      </c>
      <c r="E1978">
        <f>IFERROR(__xludf.DUMMYFUNCTION("""COMPUTED_VALUE"""),0.13)</f>
        <v>0.13</v>
      </c>
      <c r="F1978">
        <f>IFERROR(__xludf.DUMMYFUNCTION("""COMPUTED_VALUE"""),2.49)</f>
        <v>2.49</v>
      </c>
      <c r="G1978">
        <f>IFERROR(__xludf.DUMMYFUNCTION("""COMPUTED_VALUE"""),21.05)</f>
        <v>21.05</v>
      </c>
    </row>
    <row r="1979">
      <c r="A1979">
        <f>IFERROR(__xludf.DUMMYFUNCTION("""COMPUTED_VALUE"""),787126.0)</f>
        <v>787126</v>
      </c>
      <c r="B1979" t="str">
        <f>IFERROR(__xludf.DUMMYFUNCTION("""COMPUTED_VALUE"""),"Potato Baked Peel Eaten With Butter")</f>
        <v>Potato Baked Peel Eaten With Butter</v>
      </c>
      <c r="C1979" t="str">
        <f>IFERROR(__xludf.DUMMYFUNCTION("""COMPUTED_VALUE"""),"Vegetables")</f>
        <v>Vegetables</v>
      </c>
      <c r="D1979">
        <f>IFERROR(__xludf.DUMMYFUNCTION("""COMPUTED_VALUE"""),124.0)</f>
        <v>124</v>
      </c>
      <c r="E1979">
        <f>IFERROR(__xludf.DUMMYFUNCTION("""COMPUTED_VALUE"""),4.16)</f>
        <v>4.16</v>
      </c>
      <c r="F1979">
        <f>IFERROR(__xludf.DUMMYFUNCTION("""COMPUTED_VALUE"""),2.41)</f>
        <v>2.41</v>
      </c>
      <c r="G1979">
        <f>IFERROR(__xludf.DUMMYFUNCTION("""COMPUTED_VALUE"""),20.01)</f>
        <v>20.01</v>
      </c>
    </row>
    <row r="1980">
      <c r="A1980">
        <f>IFERROR(__xludf.DUMMYFUNCTION("""COMPUTED_VALUE"""),787127.0)</f>
        <v>787127</v>
      </c>
      <c r="B1980" t="str">
        <f>IFERROR(__xludf.DUMMYFUNCTION("""COMPUTED_VALUE"""),"Potato Baked Peel Eaten With Sour Cream")</f>
        <v>Potato Baked Peel Eaten With Sour Cream</v>
      </c>
      <c r="C1980" t="str">
        <f>IFERROR(__xludf.DUMMYFUNCTION("""COMPUTED_VALUE"""),"Vegetables")</f>
        <v>Vegetables</v>
      </c>
      <c r="D1980">
        <f>IFERROR(__xludf.DUMMYFUNCTION("""COMPUTED_VALUE"""),130.0)</f>
        <v>130</v>
      </c>
      <c r="E1980">
        <f>IFERROR(__xludf.DUMMYFUNCTION("""COMPUTED_VALUE"""),5.54)</f>
        <v>5.54</v>
      </c>
      <c r="F1980">
        <f>IFERROR(__xludf.DUMMYFUNCTION("""COMPUTED_VALUE"""),2.41)</f>
        <v>2.41</v>
      </c>
      <c r="G1980">
        <f>IFERROR(__xludf.DUMMYFUNCTION("""COMPUTED_VALUE"""),18.62)</f>
        <v>18.62</v>
      </c>
    </row>
    <row r="1981">
      <c r="A1981">
        <f>IFERROR(__xludf.DUMMYFUNCTION("""COMPUTED_VALUE"""),787128.0)</f>
        <v>787128</v>
      </c>
      <c r="B1981" t="str">
        <f>IFERROR(__xludf.DUMMYFUNCTION("""COMPUTED_VALUE"""),"Potato Baked Peel Eaten With Cheese")</f>
        <v>Potato Baked Peel Eaten With Cheese</v>
      </c>
      <c r="C1981" t="str">
        <f>IFERROR(__xludf.DUMMYFUNCTION("""COMPUTED_VALUE"""),"Vegetables")</f>
        <v>Vegetables</v>
      </c>
      <c r="D1981">
        <f>IFERROR(__xludf.DUMMYFUNCTION("""COMPUTED_VALUE"""),152.0)</f>
        <v>152</v>
      </c>
      <c r="E1981">
        <f>IFERROR(__xludf.DUMMYFUNCTION("""COMPUTED_VALUE"""),7.7)</f>
        <v>7.7</v>
      </c>
      <c r="F1981">
        <f>IFERROR(__xludf.DUMMYFUNCTION("""COMPUTED_VALUE"""),4.0)</f>
        <v>4</v>
      </c>
      <c r="G1981">
        <f>IFERROR(__xludf.DUMMYFUNCTION("""COMPUTED_VALUE"""),17.41)</f>
        <v>17.41</v>
      </c>
    </row>
    <row r="1982">
      <c r="A1982">
        <f>IFERROR(__xludf.DUMMYFUNCTION("""COMPUTED_VALUE"""),787129.0)</f>
        <v>787129</v>
      </c>
      <c r="B1982" t="str">
        <f>IFERROR(__xludf.DUMMYFUNCTION("""COMPUTED_VALUE"""),"Potato Baked Peel Eaten With Meat")</f>
        <v>Potato Baked Peel Eaten With Meat</v>
      </c>
      <c r="C1982" t="str">
        <f>IFERROR(__xludf.DUMMYFUNCTION("""COMPUTED_VALUE"""),"Vegetables")</f>
        <v>Vegetables</v>
      </c>
      <c r="D1982">
        <f>IFERROR(__xludf.DUMMYFUNCTION("""COMPUTED_VALUE"""),159.0)</f>
        <v>159</v>
      </c>
      <c r="E1982">
        <f>IFERROR(__xludf.DUMMYFUNCTION("""COMPUTED_VALUE"""),8.3)</f>
        <v>8.3</v>
      </c>
      <c r="F1982">
        <f>IFERROR(__xludf.DUMMYFUNCTION("""COMPUTED_VALUE"""),4.66)</f>
        <v>4.66</v>
      </c>
      <c r="G1982">
        <f>IFERROR(__xludf.DUMMYFUNCTION("""COMPUTED_VALUE"""),17.06)</f>
        <v>17.06</v>
      </c>
    </row>
    <row r="1983">
      <c r="A1983">
        <f>IFERROR(__xludf.DUMMYFUNCTION("""COMPUTED_VALUE"""),787130.0)</f>
        <v>787130</v>
      </c>
      <c r="B1983" t="str">
        <f>IFERROR(__xludf.DUMMYFUNCTION("""COMPUTED_VALUE"""),"Potato Baked Peel Eaten With Chili")</f>
        <v>Potato Baked Peel Eaten With Chili</v>
      </c>
      <c r="C1983" t="str">
        <f>IFERROR(__xludf.DUMMYFUNCTION("""COMPUTED_VALUE"""),"Vegetables")</f>
        <v>Vegetables</v>
      </c>
      <c r="D1983">
        <f>IFERROR(__xludf.DUMMYFUNCTION("""COMPUTED_VALUE"""),141.0)</f>
        <v>141</v>
      </c>
      <c r="E1983">
        <f>IFERROR(__xludf.DUMMYFUNCTION("""COMPUTED_VALUE"""),6.15)</f>
        <v>6.15</v>
      </c>
      <c r="F1983">
        <f>IFERROR(__xludf.DUMMYFUNCTION("""COMPUTED_VALUE"""),4.4)</f>
        <v>4.4</v>
      </c>
      <c r="G1983">
        <f>IFERROR(__xludf.DUMMYFUNCTION("""COMPUTED_VALUE"""),17.73)</f>
        <v>17.73</v>
      </c>
    </row>
    <row r="1984">
      <c r="A1984">
        <f>IFERROR(__xludf.DUMMYFUNCTION("""COMPUTED_VALUE"""),787131.0)</f>
        <v>787131</v>
      </c>
      <c r="B1984" t="str">
        <f>IFERROR(__xludf.DUMMYFUNCTION("""COMPUTED_VALUE"""),"Potato Baked Peel Eaten With Vegetables")</f>
        <v>Potato Baked Peel Eaten With Vegetables</v>
      </c>
      <c r="C1984" t="str">
        <f>IFERROR(__xludf.DUMMYFUNCTION("""COMPUTED_VALUE"""),"Vegetables")</f>
        <v>Vegetables</v>
      </c>
      <c r="D1984">
        <f>IFERROR(__xludf.DUMMYFUNCTION("""COMPUTED_VALUE"""),141.0)</f>
        <v>141</v>
      </c>
      <c r="E1984">
        <f>IFERROR(__xludf.DUMMYFUNCTION("""COMPUTED_VALUE"""),6.27)</f>
        <v>6.27</v>
      </c>
      <c r="F1984">
        <f>IFERROR(__xludf.DUMMYFUNCTION("""COMPUTED_VALUE"""),4.09)</f>
        <v>4.09</v>
      </c>
      <c r="G1984">
        <f>IFERROR(__xludf.DUMMYFUNCTION("""COMPUTED_VALUE"""),17.81)</f>
        <v>17.81</v>
      </c>
    </row>
    <row r="1985">
      <c r="A1985">
        <f>IFERROR(__xludf.DUMMYFUNCTION("""COMPUTED_VALUE"""),787164.0)</f>
        <v>787164</v>
      </c>
      <c r="B1985" t="str">
        <f>IFERROR(__xludf.DUMMYFUNCTION("""COMPUTED_VALUE"""),"Plantain Boiled Ns As To Green Or Ripe")</f>
        <v>Plantain Boiled Ns As To Green Or Ripe</v>
      </c>
      <c r="C1985" t="str">
        <f>IFERROR(__xludf.DUMMYFUNCTION("""COMPUTED_VALUE"""),"Vegetables")</f>
        <v>Vegetables</v>
      </c>
      <c r="D1985">
        <f>IFERROR(__xludf.DUMMYFUNCTION("""COMPUTED_VALUE"""),116.0)</f>
        <v>116</v>
      </c>
      <c r="E1985">
        <f>IFERROR(__xludf.DUMMYFUNCTION("""COMPUTED_VALUE"""),0.18)</f>
        <v>0.18</v>
      </c>
      <c r="F1985">
        <f>IFERROR(__xludf.DUMMYFUNCTION("""COMPUTED_VALUE"""),0.79)</f>
        <v>0.79</v>
      </c>
      <c r="G1985">
        <f>IFERROR(__xludf.DUMMYFUNCTION("""COMPUTED_VALUE"""),31.15)</f>
        <v>31.15</v>
      </c>
    </row>
    <row r="1986">
      <c r="A1986">
        <f>IFERROR(__xludf.DUMMYFUNCTION("""COMPUTED_VALUE"""),787165.0)</f>
        <v>787165</v>
      </c>
      <c r="B1986" t="str">
        <f>IFERROR(__xludf.DUMMYFUNCTION("""COMPUTED_VALUE"""),"Plantain Fried Ns As To Green Or Ripe")</f>
        <v>Plantain Fried Ns As To Green Or Ripe</v>
      </c>
      <c r="C1986" t="str">
        <f>IFERROR(__xludf.DUMMYFUNCTION("""COMPUTED_VALUE"""),"Vegetables")</f>
        <v>Vegetables</v>
      </c>
      <c r="D1986">
        <f>IFERROR(__xludf.DUMMYFUNCTION("""COMPUTED_VALUE"""),241.0)</f>
        <v>241</v>
      </c>
      <c r="E1986">
        <f>IFERROR(__xludf.DUMMYFUNCTION("""COMPUTED_VALUE"""),10.16)</f>
        <v>10.16</v>
      </c>
      <c r="F1986">
        <f>IFERROR(__xludf.DUMMYFUNCTION("""COMPUTED_VALUE"""),1.66)</f>
        <v>1.66</v>
      </c>
      <c r="G1986">
        <f>IFERROR(__xludf.DUMMYFUNCTION("""COMPUTED_VALUE"""),40.6)</f>
        <v>40.6</v>
      </c>
    </row>
    <row r="1987">
      <c r="A1987">
        <f>IFERROR(__xludf.DUMMYFUNCTION("""COMPUTED_VALUE"""),787166.0)</f>
        <v>787166</v>
      </c>
      <c r="B1987" t="str">
        <f>IFERROR(__xludf.DUMMYFUNCTION("""COMPUTED_VALUE"""),"Green Plantains Boiled")</f>
        <v>Green Plantains Boiled</v>
      </c>
      <c r="C1987" t="str">
        <f>IFERROR(__xludf.DUMMYFUNCTION("""COMPUTED_VALUE"""),"Vegetables")</f>
        <v>Vegetables</v>
      </c>
      <c r="D1987">
        <f>IFERROR(__xludf.DUMMYFUNCTION("""COMPUTED_VALUE"""),116.0)</f>
        <v>116</v>
      </c>
      <c r="E1987">
        <f>IFERROR(__xludf.DUMMYFUNCTION("""COMPUTED_VALUE"""),0.18)</f>
        <v>0.18</v>
      </c>
      <c r="F1987">
        <f>IFERROR(__xludf.DUMMYFUNCTION("""COMPUTED_VALUE"""),0.79)</f>
        <v>0.79</v>
      </c>
      <c r="G1987">
        <f>IFERROR(__xludf.DUMMYFUNCTION("""COMPUTED_VALUE"""),31.15)</f>
        <v>31.15</v>
      </c>
    </row>
    <row r="1988">
      <c r="A1988">
        <f>IFERROR(__xludf.DUMMYFUNCTION("""COMPUTED_VALUE"""),787167.0)</f>
        <v>787167</v>
      </c>
      <c r="B1988" t="str">
        <f>IFERROR(__xludf.DUMMYFUNCTION("""COMPUTED_VALUE"""),"Fried Green Plantain Puerto Rican Style")</f>
        <v>Fried Green Plantain Puerto Rican Style</v>
      </c>
      <c r="C1988" t="str">
        <f>IFERROR(__xludf.DUMMYFUNCTION("""COMPUTED_VALUE"""),"Vegetables")</f>
        <v>Vegetables</v>
      </c>
      <c r="D1988">
        <f>IFERROR(__xludf.DUMMYFUNCTION("""COMPUTED_VALUE"""),236.0)</f>
        <v>236</v>
      </c>
      <c r="E1988">
        <f>IFERROR(__xludf.DUMMYFUNCTION("""COMPUTED_VALUE"""),11.72)</f>
        <v>11.72</v>
      </c>
      <c r="F1988">
        <f>IFERROR(__xludf.DUMMYFUNCTION("""COMPUTED_VALUE"""),1.45)</f>
        <v>1.45</v>
      </c>
      <c r="G1988">
        <f>IFERROR(__xludf.DUMMYFUNCTION("""COMPUTED_VALUE"""),35.53)</f>
        <v>35.53</v>
      </c>
    </row>
    <row r="1989">
      <c r="A1989">
        <f>IFERROR(__xludf.DUMMYFUNCTION("""COMPUTED_VALUE"""),787170.0)</f>
        <v>787170</v>
      </c>
      <c r="B1989" t="str">
        <f>IFERROR(__xludf.DUMMYFUNCTION("""COMPUTED_VALUE"""),"Fried Ripe Plantain Puerto Rican Style")</f>
        <v>Fried Ripe Plantain Puerto Rican Style</v>
      </c>
      <c r="C1989" t="str">
        <f>IFERROR(__xludf.DUMMYFUNCTION("""COMPUTED_VALUE"""),"Vegetables")</f>
        <v>Vegetables</v>
      </c>
      <c r="D1989">
        <f>IFERROR(__xludf.DUMMYFUNCTION("""COMPUTED_VALUE"""),252.0)</f>
        <v>252</v>
      </c>
      <c r="E1989">
        <f>IFERROR(__xludf.DUMMYFUNCTION("""COMPUTED_VALUE"""),13.27)</f>
        <v>13.27</v>
      </c>
      <c r="F1989">
        <f>IFERROR(__xludf.DUMMYFUNCTION("""COMPUTED_VALUE"""),1.47)</f>
        <v>1.47</v>
      </c>
      <c r="G1989">
        <f>IFERROR(__xludf.DUMMYFUNCTION("""COMPUTED_VALUE"""),36.07)</f>
        <v>36.07</v>
      </c>
    </row>
    <row r="1990">
      <c r="A1990">
        <f>IFERROR(__xludf.DUMMYFUNCTION("""COMPUTED_VALUE"""),787171.0)</f>
        <v>787171</v>
      </c>
      <c r="B1990" t="str">
        <f>IFERROR(__xludf.DUMMYFUNCTION("""COMPUTED_VALUE"""),"Plantain Ripe Rolled In Flour Fried")</f>
        <v>Plantain Ripe Rolled In Flour Fried</v>
      </c>
      <c r="C1990" t="str">
        <f>IFERROR(__xludf.DUMMYFUNCTION("""COMPUTED_VALUE"""),"Vegetables")</f>
        <v>Vegetables</v>
      </c>
      <c r="D1990">
        <f>IFERROR(__xludf.DUMMYFUNCTION("""COMPUTED_VALUE"""),245.0)</f>
        <v>245</v>
      </c>
      <c r="E1990">
        <f>IFERROR(__xludf.DUMMYFUNCTION("""COMPUTED_VALUE"""),11.89)</f>
        <v>11.89</v>
      </c>
      <c r="F1990">
        <f>IFERROR(__xludf.DUMMYFUNCTION("""COMPUTED_VALUE"""),1.91)</f>
        <v>1.91</v>
      </c>
      <c r="G1990">
        <f>IFERROR(__xludf.DUMMYFUNCTION("""COMPUTED_VALUE"""),36.46)</f>
        <v>36.46</v>
      </c>
    </row>
    <row r="1991">
      <c r="A1991">
        <f>IFERROR(__xludf.DUMMYFUNCTION("""COMPUTED_VALUE"""),787172.0)</f>
        <v>787172</v>
      </c>
      <c r="B1991" t="str">
        <f>IFERROR(__xludf.DUMMYFUNCTION("""COMPUTED_VALUE"""),"Candied Ripe Plantain Puerto Rican Style")</f>
        <v>Candied Ripe Plantain Puerto Rican Style</v>
      </c>
      <c r="C1991" t="str">
        <f>IFERROR(__xludf.DUMMYFUNCTION("""COMPUTED_VALUE"""),"Vegetables")</f>
        <v>Vegetables</v>
      </c>
      <c r="D1991">
        <f>IFERROR(__xludf.DUMMYFUNCTION("""COMPUTED_VALUE"""),258.0)</f>
        <v>258</v>
      </c>
      <c r="E1991">
        <f>IFERROR(__xludf.DUMMYFUNCTION("""COMPUTED_VALUE"""),7.5)</f>
        <v>7.5</v>
      </c>
      <c r="F1991">
        <f>IFERROR(__xludf.DUMMYFUNCTION("""COMPUTED_VALUE"""),0.8)</f>
        <v>0.8</v>
      </c>
      <c r="G1991">
        <f>IFERROR(__xludf.DUMMYFUNCTION("""COMPUTED_VALUE"""),50.17)</f>
        <v>50.17</v>
      </c>
    </row>
    <row r="1992">
      <c r="A1992">
        <f>IFERROR(__xludf.DUMMYFUNCTION("""COMPUTED_VALUE"""),787174.0)</f>
        <v>787174</v>
      </c>
      <c r="B1992" t="str">
        <f>IFERROR(__xludf.DUMMYFUNCTION("""COMPUTED_VALUE"""),"Green Banana Cooked In Salt Water")</f>
        <v>Green Banana Cooked In Salt Water</v>
      </c>
      <c r="C1992" t="str">
        <f>IFERROR(__xludf.DUMMYFUNCTION("""COMPUTED_VALUE"""),"Vegetables")</f>
        <v>Vegetables</v>
      </c>
      <c r="D1992">
        <f>IFERROR(__xludf.DUMMYFUNCTION("""COMPUTED_VALUE"""),88.0)</f>
        <v>88</v>
      </c>
      <c r="E1992">
        <f>IFERROR(__xludf.DUMMYFUNCTION("""COMPUTED_VALUE"""),0.33)</f>
        <v>0.33</v>
      </c>
      <c r="F1992">
        <f>IFERROR(__xludf.DUMMYFUNCTION("""COMPUTED_VALUE"""),1.08)</f>
        <v>1.08</v>
      </c>
      <c r="G1992">
        <f>IFERROR(__xludf.DUMMYFUNCTION("""COMPUTED_VALUE"""),22.7)</f>
        <v>22.7</v>
      </c>
    </row>
    <row r="1993">
      <c r="A1993">
        <f>IFERROR(__xludf.DUMMYFUNCTION("""COMPUTED_VALUE"""),787175.0)</f>
        <v>787175</v>
      </c>
      <c r="B1993" t="str">
        <f>IFERROR(__xludf.DUMMYFUNCTION("""COMPUTED_VALUE"""),"Green Banana Fried")</f>
        <v>Green Banana Fried</v>
      </c>
      <c r="C1993" t="str">
        <f>IFERROR(__xludf.DUMMYFUNCTION("""COMPUTED_VALUE"""),"Vegetables")</f>
        <v>Vegetables</v>
      </c>
      <c r="D1993">
        <f>IFERROR(__xludf.DUMMYFUNCTION("""COMPUTED_VALUE"""),147.0)</f>
        <v>147</v>
      </c>
      <c r="E1993">
        <f>IFERROR(__xludf.DUMMYFUNCTION("""COMPUTED_VALUE"""),6.41)</f>
        <v>6.41</v>
      </c>
      <c r="F1993">
        <f>IFERROR(__xludf.DUMMYFUNCTION("""COMPUTED_VALUE"""),1.14)</f>
        <v>1.14</v>
      </c>
      <c r="G1993">
        <f>IFERROR(__xludf.DUMMYFUNCTION("""COMPUTED_VALUE"""),23.99)</f>
        <v>23.99</v>
      </c>
    </row>
    <row r="1994">
      <c r="A1994">
        <f>IFERROR(__xludf.DUMMYFUNCTION("""COMPUTED_VALUE"""),787176.0)</f>
        <v>787176</v>
      </c>
      <c r="B1994" t="str">
        <f>IFERROR(__xludf.DUMMYFUNCTION("""COMPUTED_VALUE"""),"Pickled Green Bananas Puerto Rican Style")</f>
        <v>Pickled Green Bananas Puerto Rican Style</v>
      </c>
      <c r="C1994" t="str">
        <f>IFERROR(__xludf.DUMMYFUNCTION("""COMPUTED_VALUE"""),"Fruits")</f>
        <v>Fruits</v>
      </c>
      <c r="D1994">
        <f>IFERROR(__xludf.DUMMYFUNCTION("""COMPUTED_VALUE"""),320.0)</f>
        <v>320</v>
      </c>
      <c r="E1994">
        <f>IFERROR(__xludf.DUMMYFUNCTION("""COMPUTED_VALUE"""),29.52)</f>
        <v>29.52</v>
      </c>
      <c r="F1994">
        <f>IFERROR(__xludf.DUMMYFUNCTION("""COMPUTED_VALUE"""),0.91)</f>
        <v>0.91</v>
      </c>
      <c r="G1994">
        <f>IFERROR(__xludf.DUMMYFUNCTION("""COMPUTED_VALUE"""),15.04)</f>
        <v>15.04</v>
      </c>
    </row>
    <row r="1995">
      <c r="A1995">
        <f>IFERROR(__xludf.DUMMYFUNCTION("""COMPUTED_VALUE"""),787177.0)</f>
        <v>787177</v>
      </c>
      <c r="B1995" t="str">
        <f>IFERROR(__xludf.DUMMYFUNCTION("""COMPUTED_VALUE"""),"Cassava Cooked Ns As To Fat Added In Cooking")</f>
        <v>Cassava Cooked Ns As To Fat Added In Cooking</v>
      </c>
      <c r="C1995" t="str">
        <f>IFERROR(__xludf.DUMMYFUNCTION("""COMPUTED_VALUE"""),"Vegetables")</f>
        <v>Vegetables</v>
      </c>
      <c r="D1995">
        <f>IFERROR(__xludf.DUMMYFUNCTION("""COMPUTED_VALUE"""),176.0)</f>
        <v>176</v>
      </c>
      <c r="E1995">
        <f>IFERROR(__xludf.DUMMYFUNCTION("""COMPUTED_VALUE"""),2.53)</f>
        <v>2.53</v>
      </c>
      <c r="F1995">
        <f>IFERROR(__xludf.DUMMYFUNCTION("""COMPUTED_VALUE"""),1.34)</f>
        <v>1.34</v>
      </c>
      <c r="G1995">
        <f>IFERROR(__xludf.DUMMYFUNCTION("""COMPUTED_VALUE"""),37.05)</f>
        <v>37.05</v>
      </c>
    </row>
    <row r="1996">
      <c r="A1996">
        <f>IFERROR(__xludf.DUMMYFUNCTION("""COMPUTED_VALUE"""),787178.0)</f>
        <v>787178</v>
      </c>
      <c r="B1996" t="str">
        <f>IFERROR(__xludf.DUMMYFUNCTION("""COMPUTED_VALUE"""),"Cassava Cooked Fat Not Added In Cooking")</f>
        <v>Cassava Cooked Fat Not Added In Cooking</v>
      </c>
      <c r="C1996" t="str">
        <f>IFERROR(__xludf.DUMMYFUNCTION("""COMPUTED_VALUE"""),"Vegetables")</f>
        <v>Vegetables</v>
      </c>
      <c r="D1996">
        <f>IFERROR(__xludf.DUMMYFUNCTION("""COMPUTED_VALUE"""),161.0)</f>
        <v>161</v>
      </c>
      <c r="E1996">
        <f>IFERROR(__xludf.DUMMYFUNCTION("""COMPUTED_VALUE"""),0.28)</f>
        <v>0.28</v>
      </c>
      <c r="F1996">
        <f>IFERROR(__xludf.DUMMYFUNCTION("""COMPUTED_VALUE"""),1.37)</f>
        <v>1.37</v>
      </c>
      <c r="G1996">
        <f>IFERROR(__xludf.DUMMYFUNCTION("""COMPUTED_VALUE"""),38.22)</f>
        <v>38.22</v>
      </c>
    </row>
    <row r="1997">
      <c r="A1997">
        <f>IFERROR(__xludf.DUMMYFUNCTION("""COMPUTED_VALUE"""),787179.0)</f>
        <v>787179</v>
      </c>
      <c r="B1997" t="str">
        <f>IFERROR(__xludf.DUMMYFUNCTION("""COMPUTED_VALUE"""),"Cassava Cooked Fat Added In Cooking Ns As To Type Of Fat")</f>
        <v>Cassava Cooked Fat Added In Cooking Ns As To Type Of Fat</v>
      </c>
      <c r="C1997" t="str">
        <f>IFERROR(__xludf.DUMMYFUNCTION("""COMPUTED_VALUE"""),"Vegetables")</f>
        <v>Vegetables</v>
      </c>
      <c r="D1997">
        <f>IFERROR(__xludf.DUMMYFUNCTION("""COMPUTED_VALUE"""),176.0)</f>
        <v>176</v>
      </c>
      <c r="E1997">
        <f>IFERROR(__xludf.DUMMYFUNCTION("""COMPUTED_VALUE"""),2.53)</f>
        <v>2.53</v>
      </c>
      <c r="F1997">
        <f>IFERROR(__xludf.DUMMYFUNCTION("""COMPUTED_VALUE"""),1.34)</f>
        <v>1.34</v>
      </c>
      <c r="G1997">
        <f>IFERROR(__xludf.DUMMYFUNCTION("""COMPUTED_VALUE"""),37.05)</f>
        <v>37.05</v>
      </c>
    </row>
    <row r="1998">
      <c r="A1998">
        <f>IFERROR(__xludf.DUMMYFUNCTION("""COMPUTED_VALUE"""),787180.0)</f>
        <v>787180</v>
      </c>
      <c r="B1998" t="str">
        <f>IFERROR(__xludf.DUMMYFUNCTION("""COMPUTED_VALUE"""),"Cassava Cooked Made With Oil")</f>
        <v>Cassava Cooked Made With Oil</v>
      </c>
      <c r="C1998" t="str">
        <f>IFERROR(__xludf.DUMMYFUNCTION("""COMPUTED_VALUE"""),"Vegetables")</f>
        <v>Vegetables</v>
      </c>
      <c r="D1998">
        <f>IFERROR(__xludf.DUMMYFUNCTION("""COMPUTED_VALUE"""),183.0)</f>
        <v>183</v>
      </c>
      <c r="E1998">
        <f>IFERROR(__xludf.DUMMYFUNCTION("""COMPUTED_VALUE"""),3.39)</f>
        <v>3.39</v>
      </c>
      <c r="F1998">
        <f>IFERROR(__xludf.DUMMYFUNCTION("""COMPUTED_VALUE"""),1.32)</f>
        <v>1.32</v>
      </c>
      <c r="G1998">
        <f>IFERROR(__xludf.DUMMYFUNCTION("""COMPUTED_VALUE"""),37.04)</f>
        <v>37.04</v>
      </c>
    </row>
    <row r="1999">
      <c r="A1999">
        <f>IFERROR(__xludf.DUMMYFUNCTION("""COMPUTED_VALUE"""),787181.0)</f>
        <v>787181</v>
      </c>
      <c r="B1999" t="str">
        <f>IFERROR(__xludf.DUMMYFUNCTION("""COMPUTED_VALUE"""),"Cassava Cooked Made With Butter")</f>
        <v>Cassava Cooked Made With Butter</v>
      </c>
      <c r="C1999" t="str">
        <f>IFERROR(__xludf.DUMMYFUNCTION("""COMPUTED_VALUE"""),"Vegetables")</f>
        <v>Vegetables</v>
      </c>
      <c r="D1999">
        <f>IFERROR(__xludf.DUMMYFUNCTION("""COMPUTED_VALUE"""),178.0)</f>
        <v>178</v>
      </c>
      <c r="E1999">
        <f>IFERROR(__xludf.DUMMYFUNCTION("""COMPUTED_VALUE"""),2.8)</f>
        <v>2.8</v>
      </c>
      <c r="F1999">
        <f>IFERROR(__xludf.DUMMYFUNCTION("""COMPUTED_VALUE"""),1.35)</f>
        <v>1.35</v>
      </c>
      <c r="G1999">
        <f>IFERROR(__xludf.DUMMYFUNCTION("""COMPUTED_VALUE"""),37.04)</f>
        <v>37.04</v>
      </c>
    </row>
    <row r="2000">
      <c r="A2000">
        <f>IFERROR(__xludf.DUMMYFUNCTION("""COMPUTED_VALUE"""),787182.0)</f>
        <v>787182</v>
      </c>
      <c r="B2000" t="str">
        <f>IFERROR(__xludf.DUMMYFUNCTION("""COMPUTED_VALUE"""),"Cassava Cooked Made With Margarine")</f>
        <v>Cassava Cooked Made With Margarine</v>
      </c>
      <c r="C2000" t="str">
        <f>IFERROR(__xludf.DUMMYFUNCTION("""COMPUTED_VALUE"""),"Vegetables")</f>
        <v>Vegetables</v>
      </c>
      <c r="D2000">
        <f>IFERROR(__xludf.DUMMYFUNCTION("""COMPUTED_VALUE"""),172.0)</f>
        <v>172</v>
      </c>
      <c r="E2000">
        <f>IFERROR(__xludf.DUMMYFUNCTION("""COMPUTED_VALUE"""),2.13)</f>
        <v>2.13</v>
      </c>
      <c r="F2000">
        <f>IFERROR(__xludf.DUMMYFUNCTION("""COMPUTED_VALUE"""),1.33)</f>
        <v>1.33</v>
      </c>
      <c r="G2000">
        <f>IFERROR(__xludf.DUMMYFUNCTION("""COMPUTED_VALUE"""),37.06)</f>
        <v>37.06</v>
      </c>
    </row>
    <row r="2001">
      <c r="A2001">
        <f>IFERROR(__xludf.DUMMYFUNCTION("""COMPUTED_VALUE"""),787183.0)</f>
        <v>787183</v>
      </c>
      <c r="B2001" t="str">
        <f>IFERROR(__xludf.DUMMYFUNCTION("""COMPUTED_VALUE"""),"Yuca Fries")</f>
        <v>Yuca Fries</v>
      </c>
      <c r="C2001" t="str">
        <f>IFERROR(__xludf.DUMMYFUNCTION("""COMPUTED_VALUE"""),"Vegetables")</f>
        <v>Vegetables</v>
      </c>
      <c r="D2001">
        <f>IFERROR(__xludf.DUMMYFUNCTION("""COMPUTED_VALUE"""),267.0)</f>
        <v>267</v>
      </c>
      <c r="E2001">
        <f>IFERROR(__xludf.DUMMYFUNCTION("""COMPUTED_VALUE"""),13.94)</f>
        <v>13.94</v>
      </c>
      <c r="F2001">
        <f>IFERROR(__xludf.DUMMYFUNCTION("""COMPUTED_VALUE"""),1.24)</f>
        <v>1.24</v>
      </c>
      <c r="G2001">
        <f>IFERROR(__xludf.DUMMYFUNCTION("""COMPUTED_VALUE"""),34.72)</f>
        <v>34.72</v>
      </c>
    </row>
    <row r="2002">
      <c r="A2002">
        <f>IFERROR(__xludf.DUMMYFUNCTION("""COMPUTED_VALUE"""),787185.0)</f>
        <v>787185</v>
      </c>
      <c r="B2002" t="str">
        <f>IFERROR(__xludf.DUMMYFUNCTION("""COMPUTED_VALUE"""),"Cassava With Creole Sauce Puerto Rican Style")</f>
        <v>Cassava With Creole Sauce Puerto Rican Style</v>
      </c>
      <c r="C2002" t="str">
        <f>IFERROR(__xludf.DUMMYFUNCTION("""COMPUTED_VALUE"""),"Vegetables")</f>
        <v>Vegetables</v>
      </c>
      <c r="D2002">
        <f>IFERROR(__xludf.DUMMYFUNCTION("""COMPUTED_VALUE"""),132.0)</f>
        <v>132</v>
      </c>
      <c r="E2002">
        <f>IFERROR(__xludf.DUMMYFUNCTION("""COMPUTED_VALUE"""),3.48)</f>
        <v>3.48</v>
      </c>
      <c r="F2002">
        <f>IFERROR(__xludf.DUMMYFUNCTION("""COMPUTED_VALUE"""),1.28)</f>
        <v>1.28</v>
      </c>
      <c r="G2002">
        <f>IFERROR(__xludf.DUMMYFUNCTION("""COMPUTED_VALUE"""),24.57)</f>
        <v>24.57</v>
      </c>
    </row>
    <row r="2003">
      <c r="A2003">
        <f>IFERROR(__xludf.DUMMYFUNCTION("""COMPUTED_VALUE"""),787186.0)</f>
        <v>787186</v>
      </c>
      <c r="B2003" t="str">
        <f>IFERROR(__xludf.DUMMYFUNCTION("""COMPUTED_VALUE"""),"Yam Cooked Puerto Rican")</f>
        <v>Yam Cooked Puerto Rican</v>
      </c>
      <c r="C2003" t="str">
        <f>IFERROR(__xludf.DUMMYFUNCTION("""COMPUTED_VALUE"""),"Vegetables")</f>
        <v>Vegetables</v>
      </c>
      <c r="D2003">
        <f>IFERROR(__xludf.DUMMYFUNCTION("""COMPUTED_VALUE"""),115.0)</f>
        <v>115</v>
      </c>
      <c r="E2003">
        <f>IFERROR(__xludf.DUMMYFUNCTION("""COMPUTED_VALUE"""),0.14)</f>
        <v>0.14</v>
      </c>
      <c r="F2003">
        <f>IFERROR(__xludf.DUMMYFUNCTION("""COMPUTED_VALUE"""),1.48)</f>
        <v>1.48</v>
      </c>
      <c r="G2003">
        <f>IFERROR(__xludf.DUMMYFUNCTION("""COMPUTED_VALUE"""),27.29)</f>
        <v>27.29</v>
      </c>
    </row>
    <row r="2004">
      <c r="A2004">
        <f>IFERROR(__xludf.DUMMYFUNCTION("""COMPUTED_VALUE"""),787188.0)</f>
        <v>787188</v>
      </c>
      <c r="B2004" t="str">
        <f>IFERROR(__xludf.DUMMYFUNCTION("""COMPUTED_VALUE"""),"Tannier Cooked")</f>
        <v>Tannier Cooked</v>
      </c>
      <c r="C2004" t="str">
        <f>IFERROR(__xludf.DUMMYFUNCTION("""COMPUTED_VALUE"""),"Vegetables")</f>
        <v>Vegetables</v>
      </c>
      <c r="D2004">
        <f>IFERROR(__xludf.DUMMYFUNCTION("""COMPUTED_VALUE"""),153.0)</f>
        <v>153</v>
      </c>
      <c r="E2004">
        <f>IFERROR(__xludf.DUMMYFUNCTION("""COMPUTED_VALUE"""),0.27)</f>
        <v>0.27</v>
      </c>
      <c r="F2004">
        <f>IFERROR(__xludf.DUMMYFUNCTION("""COMPUTED_VALUE"""),2.05)</f>
        <v>2.05</v>
      </c>
      <c r="G2004">
        <f>IFERROR(__xludf.DUMMYFUNCTION("""COMPUTED_VALUE"""),36.18)</f>
        <v>36.18</v>
      </c>
    </row>
    <row r="2005">
      <c r="A2005">
        <f>IFERROR(__xludf.DUMMYFUNCTION("""COMPUTED_VALUE"""),787189.0)</f>
        <v>787189</v>
      </c>
      <c r="B2005" t="str">
        <f>IFERROR(__xludf.DUMMYFUNCTION("""COMPUTED_VALUE"""),"Celeriac Cooked")</f>
        <v>Celeriac Cooked</v>
      </c>
      <c r="C2005" t="str">
        <f>IFERROR(__xludf.DUMMYFUNCTION("""COMPUTED_VALUE"""),"Vegetables")</f>
        <v>Vegetables</v>
      </c>
      <c r="D2005">
        <f>IFERROR(__xludf.DUMMYFUNCTION("""COMPUTED_VALUE"""),44.0)</f>
        <v>44</v>
      </c>
      <c r="E2005">
        <f>IFERROR(__xludf.DUMMYFUNCTION("""COMPUTED_VALUE"""),0.31)</f>
        <v>0.31</v>
      </c>
      <c r="F2005">
        <f>IFERROR(__xludf.DUMMYFUNCTION("""COMPUTED_VALUE"""),1.57)</f>
        <v>1.57</v>
      </c>
      <c r="G2005">
        <f>IFERROR(__xludf.DUMMYFUNCTION("""COMPUTED_VALUE"""),9.63)</f>
        <v>9.63</v>
      </c>
    </row>
    <row r="2006">
      <c r="A2006">
        <f>IFERROR(__xludf.DUMMYFUNCTION("""COMPUTED_VALUE"""),787190.0)</f>
        <v>787190</v>
      </c>
      <c r="B2006" t="str">
        <f>IFERROR(__xludf.DUMMYFUNCTION("""COMPUTED_VALUE"""),"Dasheen Boiled")</f>
        <v>Dasheen Boiled</v>
      </c>
      <c r="C2006" t="str">
        <f>IFERROR(__xludf.DUMMYFUNCTION("""COMPUTED_VALUE"""),"Vegetables")</f>
        <v>Vegetables</v>
      </c>
      <c r="D2006">
        <f>IFERROR(__xludf.DUMMYFUNCTION("""COMPUTED_VALUE"""),141.0)</f>
        <v>141</v>
      </c>
      <c r="E2006">
        <f>IFERROR(__xludf.DUMMYFUNCTION("""COMPUTED_VALUE"""),0.11)</f>
        <v>0.11</v>
      </c>
      <c r="F2006">
        <f>IFERROR(__xludf.DUMMYFUNCTION("""COMPUTED_VALUE"""),0.52)</f>
        <v>0.52</v>
      </c>
      <c r="G2006">
        <f>IFERROR(__xludf.DUMMYFUNCTION("""COMPUTED_VALUE"""),34.39)</f>
        <v>34.39</v>
      </c>
    </row>
    <row r="2007">
      <c r="A2007">
        <f>IFERROR(__xludf.DUMMYFUNCTION("""COMPUTED_VALUE"""),787191.0)</f>
        <v>787191</v>
      </c>
      <c r="B2007" t="str">
        <f>IFERROR(__xludf.DUMMYFUNCTION("""COMPUTED_VALUE"""),"Dasheen Fried")</f>
        <v>Dasheen Fried</v>
      </c>
      <c r="C2007" t="str">
        <f>IFERROR(__xludf.DUMMYFUNCTION("""COMPUTED_VALUE"""),"Vegetables")</f>
        <v>Vegetables</v>
      </c>
      <c r="D2007">
        <f>IFERROR(__xludf.DUMMYFUNCTION("""COMPUTED_VALUE"""),253.0)</f>
        <v>253</v>
      </c>
      <c r="E2007">
        <f>IFERROR(__xludf.DUMMYFUNCTION("""COMPUTED_VALUE"""),8.85)</f>
        <v>8.85</v>
      </c>
      <c r="F2007">
        <f>IFERROR(__xludf.DUMMYFUNCTION("""COMPUTED_VALUE"""),0.64)</f>
        <v>0.64</v>
      </c>
      <c r="G2007">
        <f>IFERROR(__xludf.DUMMYFUNCTION("""COMPUTED_VALUE"""),42.81)</f>
        <v>42.81</v>
      </c>
    </row>
    <row r="2008">
      <c r="A2008">
        <f>IFERROR(__xludf.DUMMYFUNCTION("""COMPUTED_VALUE"""),787192.0)</f>
        <v>787192</v>
      </c>
      <c r="B2008" t="str">
        <f>IFERROR(__xludf.DUMMYFUNCTION("""COMPUTED_VALUE"""),"Taro Baked")</f>
        <v>Taro Baked</v>
      </c>
      <c r="C2008" t="str">
        <f>IFERROR(__xludf.DUMMYFUNCTION("""COMPUTED_VALUE"""),"Vegetables")</f>
        <v>Vegetables</v>
      </c>
      <c r="D2008">
        <f>IFERROR(__xludf.DUMMYFUNCTION("""COMPUTED_VALUE"""),144.0)</f>
        <v>144</v>
      </c>
      <c r="E2008">
        <f>IFERROR(__xludf.DUMMYFUNCTION("""COMPUTED_VALUE"""),0.26)</f>
        <v>0.26</v>
      </c>
      <c r="F2008">
        <f>IFERROR(__xludf.DUMMYFUNCTION("""COMPUTED_VALUE"""),1.93)</f>
        <v>1.93</v>
      </c>
      <c r="G2008">
        <f>IFERROR(__xludf.DUMMYFUNCTION("""COMPUTED_VALUE"""),34.09)</f>
        <v>34.09</v>
      </c>
    </row>
    <row r="2009">
      <c r="A2009">
        <f>IFERROR(__xludf.DUMMYFUNCTION("""COMPUTED_VALUE"""),787193.0)</f>
        <v>787193</v>
      </c>
      <c r="B2009" t="str">
        <f>IFERROR(__xludf.DUMMYFUNCTION("""COMPUTED_VALUE"""),"Starchy Vegetables NFS Puerto Rican Style")</f>
        <v>Starchy Vegetables NFS Puerto Rican Style</v>
      </c>
      <c r="C2009" t="str">
        <f>IFERROR(__xludf.DUMMYFUNCTION("""COMPUTED_VALUE"""),"Vegetables")</f>
        <v>Vegetables</v>
      </c>
      <c r="D2009">
        <f>IFERROR(__xludf.DUMMYFUNCTION("""COMPUTED_VALUE"""),135.0)</f>
        <v>135</v>
      </c>
      <c r="E2009">
        <f>IFERROR(__xludf.DUMMYFUNCTION("""COMPUTED_VALUE"""),0.19)</f>
        <v>0.19</v>
      </c>
      <c r="F2009">
        <f>IFERROR(__xludf.DUMMYFUNCTION("""COMPUTED_VALUE"""),1.06)</f>
        <v>1.06</v>
      </c>
      <c r="G2009">
        <f>IFERROR(__xludf.DUMMYFUNCTION("""COMPUTED_VALUE"""),33.14)</f>
        <v>33.14</v>
      </c>
    </row>
    <row r="2010">
      <c r="A2010">
        <f>IFERROR(__xludf.DUMMYFUNCTION("""COMPUTED_VALUE"""),787194.0)</f>
        <v>787194</v>
      </c>
      <c r="B2010" t="str">
        <f>IFERROR(__xludf.DUMMYFUNCTION("""COMPUTED_VALUE"""),"Starchy Vegetables Including Tannier White Sweet Potato And Yam With Green Or Ripe Plantains Puerto Rican Style")</f>
        <v>Starchy Vegetables Including Tannier White Sweet Potato And Yam With Green Or Ripe Plantains Puerto Rican Style</v>
      </c>
      <c r="C2010" t="str">
        <f>IFERROR(__xludf.DUMMYFUNCTION("""COMPUTED_VALUE"""),"Vegetables")</f>
        <v>Vegetables</v>
      </c>
      <c r="D2010">
        <f>IFERROR(__xludf.DUMMYFUNCTION("""COMPUTED_VALUE"""),135.0)</f>
        <v>135</v>
      </c>
      <c r="E2010">
        <f>IFERROR(__xludf.DUMMYFUNCTION("""COMPUTED_VALUE"""),0.19)</f>
        <v>0.19</v>
      </c>
      <c r="F2010">
        <f>IFERROR(__xludf.DUMMYFUNCTION("""COMPUTED_VALUE"""),1.06)</f>
        <v>1.06</v>
      </c>
      <c r="G2010">
        <f>IFERROR(__xludf.DUMMYFUNCTION("""COMPUTED_VALUE"""),33.14)</f>
        <v>33.14</v>
      </c>
    </row>
    <row r="2011">
      <c r="A2011">
        <f>IFERROR(__xludf.DUMMYFUNCTION("""COMPUTED_VALUE"""),787195.0)</f>
        <v>787195</v>
      </c>
      <c r="B2011" t="str">
        <f>IFERROR(__xludf.DUMMYFUNCTION("""COMPUTED_VALUE"""),"Starchy Vegetables Including Tannier White Sweet Potato And Yam No Plantain Puerto Rican Style")</f>
        <v>Starchy Vegetables Including Tannier White Sweet Potato And Yam No Plantain Puerto Rican Style</v>
      </c>
      <c r="C2011" t="str">
        <f>IFERROR(__xludf.DUMMYFUNCTION("""COMPUTED_VALUE"""),"Vegetables")</f>
        <v>Vegetables</v>
      </c>
      <c r="D2011">
        <f>IFERROR(__xludf.DUMMYFUNCTION("""COMPUTED_VALUE"""),142.0)</f>
        <v>142</v>
      </c>
      <c r="E2011">
        <f>IFERROR(__xludf.DUMMYFUNCTION("""COMPUTED_VALUE"""),0.19)</f>
        <v>0.19</v>
      </c>
      <c r="F2011">
        <f>IFERROR(__xludf.DUMMYFUNCTION("""COMPUTED_VALUE"""),1.16)</f>
        <v>1.16</v>
      </c>
      <c r="G2011">
        <f>IFERROR(__xludf.DUMMYFUNCTION("""COMPUTED_VALUE"""),33.86)</f>
        <v>33.86</v>
      </c>
    </row>
    <row r="2012">
      <c r="A2012">
        <f>IFERROR(__xludf.DUMMYFUNCTION("""COMPUTED_VALUE"""),787196.0)</f>
        <v>787196</v>
      </c>
      <c r="B2012" t="str">
        <f>IFERROR(__xludf.DUMMYFUNCTION("""COMPUTED_VALUE"""),"Fufu")</f>
        <v>Fufu</v>
      </c>
      <c r="C2012" t="str">
        <f>IFERROR(__xludf.DUMMYFUNCTION("""COMPUTED_VALUE"""),"Vegetables")</f>
        <v>Vegetables</v>
      </c>
      <c r="D2012">
        <f>IFERROR(__xludf.DUMMYFUNCTION("""COMPUTED_VALUE"""),156.0)</f>
        <v>156</v>
      </c>
      <c r="E2012">
        <f>IFERROR(__xludf.DUMMYFUNCTION("""COMPUTED_VALUE"""),2.65)</f>
        <v>2.65</v>
      </c>
      <c r="F2012">
        <f>IFERROR(__xludf.DUMMYFUNCTION("""COMPUTED_VALUE"""),1.39)</f>
        <v>1.39</v>
      </c>
      <c r="G2012">
        <f>IFERROR(__xludf.DUMMYFUNCTION("""COMPUTED_VALUE"""),31.8)</f>
        <v>31.8</v>
      </c>
    </row>
    <row r="2013">
      <c r="A2013">
        <f>IFERROR(__xludf.DUMMYFUNCTION("""COMPUTED_VALUE"""),787200.0)</f>
        <v>787200</v>
      </c>
      <c r="B2013" t="str">
        <f>IFERROR(__xludf.DUMMYFUNCTION("""COMPUTED_VALUE"""),"Beet Greens Cooked Ns As To Fat Added In Cooking")</f>
        <v>Beet Greens Cooked Ns As To Fat Added In Cooking</v>
      </c>
      <c r="C2013" t="str">
        <f>IFERROR(__xludf.DUMMYFUNCTION("""COMPUTED_VALUE"""),"Vegetables")</f>
        <v>Vegetables</v>
      </c>
      <c r="D2013">
        <f>IFERROR(__xludf.DUMMYFUNCTION("""COMPUTED_VALUE"""),46.0)</f>
        <v>46</v>
      </c>
      <c r="E2013">
        <f>IFERROR(__xludf.DUMMYFUNCTION("""COMPUTED_VALUE"""),2.48)</f>
        <v>2.48</v>
      </c>
      <c r="F2013">
        <f>IFERROR(__xludf.DUMMYFUNCTION("""COMPUTED_VALUE"""),2.49)</f>
        <v>2.49</v>
      </c>
      <c r="G2013">
        <f>IFERROR(__xludf.DUMMYFUNCTION("""COMPUTED_VALUE"""),5.26)</f>
        <v>5.26</v>
      </c>
    </row>
    <row r="2014">
      <c r="A2014">
        <f>IFERROR(__xludf.DUMMYFUNCTION("""COMPUTED_VALUE"""),787201.0)</f>
        <v>787201</v>
      </c>
      <c r="B2014" t="str">
        <f>IFERROR(__xludf.DUMMYFUNCTION("""COMPUTED_VALUE"""),"Beet Greens Cooked Fat Not Added In Cooking")</f>
        <v>Beet Greens Cooked Fat Not Added In Cooking</v>
      </c>
      <c r="C2014" t="str">
        <f>IFERROR(__xludf.DUMMYFUNCTION("""COMPUTED_VALUE"""),"Vegetables")</f>
        <v>Vegetables</v>
      </c>
      <c r="D2014">
        <f>IFERROR(__xludf.DUMMYFUNCTION("""COMPUTED_VALUE"""),27.0)</f>
        <v>27</v>
      </c>
      <c r="E2014">
        <f>IFERROR(__xludf.DUMMYFUNCTION("""COMPUTED_VALUE"""),0.2)</f>
        <v>0.2</v>
      </c>
      <c r="F2014">
        <f>IFERROR(__xludf.DUMMYFUNCTION("""COMPUTED_VALUE"""),2.55)</f>
        <v>2.55</v>
      </c>
      <c r="G2014">
        <f>IFERROR(__xludf.DUMMYFUNCTION("""COMPUTED_VALUE"""),5.42)</f>
        <v>5.42</v>
      </c>
    </row>
    <row r="2015">
      <c r="A2015">
        <f>IFERROR(__xludf.DUMMYFUNCTION("""COMPUTED_VALUE"""),787202.0)</f>
        <v>787202</v>
      </c>
      <c r="B2015" t="str">
        <f>IFERROR(__xludf.DUMMYFUNCTION("""COMPUTED_VALUE"""),"Beet Greens Cooked Fat Added In Cooking Ns As To Type Of Fat")</f>
        <v>Beet Greens Cooked Fat Added In Cooking Ns As To Type Of Fat</v>
      </c>
      <c r="C2015" t="str">
        <f>IFERROR(__xludf.DUMMYFUNCTION("""COMPUTED_VALUE"""),"Vegetables")</f>
        <v>Vegetables</v>
      </c>
      <c r="D2015">
        <f>IFERROR(__xludf.DUMMYFUNCTION("""COMPUTED_VALUE"""),46.0)</f>
        <v>46</v>
      </c>
      <c r="E2015">
        <f>IFERROR(__xludf.DUMMYFUNCTION("""COMPUTED_VALUE"""),2.48)</f>
        <v>2.48</v>
      </c>
      <c r="F2015">
        <f>IFERROR(__xludf.DUMMYFUNCTION("""COMPUTED_VALUE"""),2.49)</f>
        <v>2.49</v>
      </c>
      <c r="G2015">
        <f>IFERROR(__xludf.DUMMYFUNCTION("""COMPUTED_VALUE"""),5.26)</f>
        <v>5.26</v>
      </c>
    </row>
    <row r="2016">
      <c r="A2016">
        <f>IFERROR(__xludf.DUMMYFUNCTION("""COMPUTED_VALUE"""),787203.0)</f>
        <v>787203</v>
      </c>
      <c r="B2016" t="str">
        <f>IFERROR(__xludf.DUMMYFUNCTION("""COMPUTED_VALUE"""),"Beet Greens Cooked Made With Oil")</f>
        <v>Beet Greens Cooked Made With Oil</v>
      </c>
      <c r="C2016" t="str">
        <f>IFERROR(__xludf.DUMMYFUNCTION("""COMPUTED_VALUE"""),"Vegetables")</f>
        <v>Vegetables</v>
      </c>
      <c r="D2016">
        <f>IFERROR(__xludf.DUMMYFUNCTION("""COMPUTED_VALUE"""),53.0)</f>
        <v>53</v>
      </c>
      <c r="E2016">
        <f>IFERROR(__xludf.DUMMYFUNCTION("""COMPUTED_VALUE"""),3.23)</f>
        <v>3.23</v>
      </c>
      <c r="F2016">
        <f>IFERROR(__xludf.DUMMYFUNCTION("""COMPUTED_VALUE"""),2.48)</f>
        <v>2.48</v>
      </c>
      <c r="G2016">
        <f>IFERROR(__xludf.DUMMYFUNCTION("""COMPUTED_VALUE"""),5.26)</f>
        <v>5.26</v>
      </c>
    </row>
    <row r="2017">
      <c r="A2017">
        <f>IFERROR(__xludf.DUMMYFUNCTION("""COMPUTED_VALUE"""),787204.0)</f>
        <v>787204</v>
      </c>
      <c r="B2017" t="str">
        <f>IFERROR(__xludf.DUMMYFUNCTION("""COMPUTED_VALUE"""),"Beet Greens Cooked Made With Butter")</f>
        <v>Beet Greens Cooked Made With Butter</v>
      </c>
      <c r="C2017" t="str">
        <f>IFERROR(__xludf.DUMMYFUNCTION("""COMPUTED_VALUE"""),"Vegetables")</f>
        <v>Vegetables</v>
      </c>
      <c r="D2017">
        <f>IFERROR(__xludf.DUMMYFUNCTION("""COMPUTED_VALUE"""),49.0)</f>
        <v>49</v>
      </c>
      <c r="E2017">
        <f>IFERROR(__xludf.DUMMYFUNCTION("""COMPUTED_VALUE"""),2.75)</f>
        <v>2.75</v>
      </c>
      <c r="F2017">
        <f>IFERROR(__xludf.DUMMYFUNCTION("""COMPUTED_VALUE"""),2.5)</f>
        <v>2.5</v>
      </c>
      <c r="G2017">
        <f>IFERROR(__xludf.DUMMYFUNCTION("""COMPUTED_VALUE"""),5.25)</f>
        <v>5.25</v>
      </c>
    </row>
    <row r="2018">
      <c r="A2018">
        <f>IFERROR(__xludf.DUMMYFUNCTION("""COMPUTED_VALUE"""),787205.0)</f>
        <v>787205</v>
      </c>
      <c r="B2018" t="str">
        <f>IFERROR(__xludf.DUMMYFUNCTION("""COMPUTED_VALUE"""),"Beet Greens Cooked Made With Margarine")</f>
        <v>Beet Greens Cooked Made With Margarine</v>
      </c>
      <c r="C2018" t="str">
        <f>IFERROR(__xludf.DUMMYFUNCTION("""COMPUTED_VALUE"""),"Vegetables")</f>
        <v>Vegetables</v>
      </c>
      <c r="D2018">
        <f>IFERROR(__xludf.DUMMYFUNCTION("""COMPUTED_VALUE"""),43.0)</f>
        <v>43</v>
      </c>
      <c r="E2018">
        <f>IFERROR(__xludf.DUMMYFUNCTION("""COMPUTED_VALUE"""),2.1)</f>
        <v>2.1</v>
      </c>
      <c r="F2018">
        <f>IFERROR(__xludf.DUMMYFUNCTION("""COMPUTED_VALUE"""),2.48)</f>
        <v>2.48</v>
      </c>
      <c r="G2018">
        <f>IFERROR(__xludf.DUMMYFUNCTION("""COMPUTED_VALUE"""),5.28)</f>
        <v>5.28</v>
      </c>
    </row>
    <row r="2019">
      <c r="A2019">
        <f>IFERROR(__xludf.DUMMYFUNCTION("""COMPUTED_VALUE"""),787207.0)</f>
        <v>787207</v>
      </c>
      <c r="B2019" t="str">
        <f>IFERROR(__xludf.DUMMYFUNCTION("""COMPUTED_VALUE"""),"Broccoli Raab Cooked Ns As To Fat Added In Cooking")</f>
        <v>Broccoli Raab Cooked Ns As To Fat Added In Cooking</v>
      </c>
      <c r="C2019" t="str">
        <f>IFERROR(__xludf.DUMMYFUNCTION("""COMPUTED_VALUE"""),"Vegetables")</f>
        <v>Vegetables</v>
      </c>
      <c r="D2019">
        <f>IFERROR(__xludf.DUMMYFUNCTION("""COMPUTED_VALUE"""),49.0)</f>
        <v>49</v>
      </c>
      <c r="E2019">
        <f>IFERROR(__xludf.DUMMYFUNCTION("""COMPUTED_VALUE"""),2.46)</f>
        <v>2.46</v>
      </c>
      <c r="F2019">
        <f>IFERROR(__xludf.DUMMYFUNCTION("""COMPUTED_VALUE"""),3.72)</f>
        <v>3.72</v>
      </c>
      <c r="G2019">
        <f>IFERROR(__xludf.DUMMYFUNCTION("""COMPUTED_VALUE"""),3.03)</f>
        <v>3.03</v>
      </c>
    </row>
    <row r="2020">
      <c r="A2020">
        <f>IFERROR(__xludf.DUMMYFUNCTION("""COMPUTED_VALUE"""),787208.0)</f>
        <v>787208</v>
      </c>
      <c r="B2020" t="str">
        <f>IFERROR(__xludf.DUMMYFUNCTION("""COMPUTED_VALUE"""),"Broccoli Raab Cooked Fat Not Added In Cooking")</f>
        <v>Broccoli Raab Cooked Fat Not Added In Cooking</v>
      </c>
      <c r="C2020" t="str">
        <f>IFERROR(__xludf.DUMMYFUNCTION("""COMPUTED_VALUE"""),"Vegetables")</f>
        <v>Vegetables</v>
      </c>
      <c r="D2020">
        <f>IFERROR(__xludf.DUMMYFUNCTION("""COMPUTED_VALUE"""),33.0)</f>
        <v>33</v>
      </c>
      <c r="E2020">
        <f>IFERROR(__xludf.DUMMYFUNCTION("""COMPUTED_VALUE"""),0.52)</f>
        <v>0.52</v>
      </c>
      <c r="F2020">
        <f>IFERROR(__xludf.DUMMYFUNCTION("""COMPUTED_VALUE"""),3.81)</f>
        <v>3.81</v>
      </c>
      <c r="G2020">
        <f>IFERROR(__xludf.DUMMYFUNCTION("""COMPUTED_VALUE"""),3.1)</f>
        <v>3.1</v>
      </c>
    </row>
    <row r="2021">
      <c r="A2021">
        <f>IFERROR(__xludf.DUMMYFUNCTION("""COMPUTED_VALUE"""),787209.0)</f>
        <v>787209</v>
      </c>
      <c r="B2021" t="str">
        <f>IFERROR(__xludf.DUMMYFUNCTION("""COMPUTED_VALUE"""),"Broccoli Raab Cooked Fat Added In Cooking Ns As To Type Of Fat")</f>
        <v>Broccoli Raab Cooked Fat Added In Cooking Ns As To Type Of Fat</v>
      </c>
      <c r="C2021" t="str">
        <f>IFERROR(__xludf.DUMMYFUNCTION("""COMPUTED_VALUE"""),"Vegetables")</f>
        <v>Vegetables</v>
      </c>
      <c r="D2021">
        <f>IFERROR(__xludf.DUMMYFUNCTION("""COMPUTED_VALUE"""),49.0)</f>
        <v>49</v>
      </c>
      <c r="E2021">
        <f>IFERROR(__xludf.DUMMYFUNCTION("""COMPUTED_VALUE"""),2.46)</f>
        <v>2.46</v>
      </c>
      <c r="F2021">
        <f>IFERROR(__xludf.DUMMYFUNCTION("""COMPUTED_VALUE"""),3.72)</f>
        <v>3.72</v>
      </c>
      <c r="G2021">
        <f>IFERROR(__xludf.DUMMYFUNCTION("""COMPUTED_VALUE"""),3.03)</f>
        <v>3.03</v>
      </c>
    </row>
    <row r="2022">
      <c r="A2022">
        <f>IFERROR(__xludf.DUMMYFUNCTION("""COMPUTED_VALUE"""),787210.0)</f>
        <v>787210</v>
      </c>
      <c r="B2022" t="str">
        <f>IFERROR(__xludf.DUMMYFUNCTION("""COMPUTED_VALUE"""),"Broccoli Raab Cooked Made With Oil")</f>
        <v>Broccoli Raab Cooked Made With Oil</v>
      </c>
      <c r="C2022" t="str">
        <f>IFERROR(__xludf.DUMMYFUNCTION("""COMPUTED_VALUE"""),"Vegetables")</f>
        <v>Vegetables</v>
      </c>
      <c r="D2022">
        <f>IFERROR(__xludf.DUMMYFUNCTION("""COMPUTED_VALUE"""),55.0)</f>
        <v>55</v>
      </c>
      <c r="E2022">
        <f>IFERROR(__xludf.DUMMYFUNCTION("""COMPUTED_VALUE"""),3.09)</f>
        <v>3.09</v>
      </c>
      <c r="F2022">
        <f>IFERROR(__xludf.DUMMYFUNCTION("""COMPUTED_VALUE"""),3.71)</f>
        <v>3.71</v>
      </c>
      <c r="G2022">
        <f>IFERROR(__xludf.DUMMYFUNCTION("""COMPUTED_VALUE"""),3.02)</f>
        <v>3.02</v>
      </c>
    </row>
    <row r="2023">
      <c r="A2023">
        <f>IFERROR(__xludf.DUMMYFUNCTION("""COMPUTED_VALUE"""),787211.0)</f>
        <v>787211</v>
      </c>
      <c r="B2023" t="str">
        <f>IFERROR(__xludf.DUMMYFUNCTION("""COMPUTED_VALUE"""),"Broccoli Raab Cooked Made With Butter")</f>
        <v>Broccoli Raab Cooked Made With Butter</v>
      </c>
      <c r="C2023" t="str">
        <f>IFERROR(__xludf.DUMMYFUNCTION("""COMPUTED_VALUE"""),"Vegetables")</f>
        <v>Vegetables</v>
      </c>
      <c r="D2023">
        <f>IFERROR(__xludf.DUMMYFUNCTION("""COMPUTED_VALUE"""),51.0)</f>
        <v>51</v>
      </c>
      <c r="E2023">
        <f>IFERROR(__xludf.DUMMYFUNCTION("""COMPUTED_VALUE"""),2.69)</f>
        <v>2.69</v>
      </c>
      <c r="F2023">
        <f>IFERROR(__xludf.DUMMYFUNCTION("""COMPUTED_VALUE"""),3.73)</f>
        <v>3.73</v>
      </c>
      <c r="G2023">
        <f>IFERROR(__xludf.DUMMYFUNCTION("""COMPUTED_VALUE"""),3.02)</f>
        <v>3.02</v>
      </c>
    </row>
    <row r="2024">
      <c r="A2024">
        <f>IFERROR(__xludf.DUMMYFUNCTION("""COMPUTED_VALUE"""),787212.0)</f>
        <v>787212</v>
      </c>
      <c r="B2024" t="str">
        <f>IFERROR(__xludf.DUMMYFUNCTION("""COMPUTED_VALUE"""),"Broccoli Raab Cooked Made With Margarine")</f>
        <v>Broccoli Raab Cooked Made With Margarine</v>
      </c>
      <c r="C2024" t="str">
        <f>IFERROR(__xludf.DUMMYFUNCTION("""COMPUTED_VALUE"""),"Vegetables")</f>
        <v>Vegetables</v>
      </c>
      <c r="D2024">
        <f>IFERROR(__xludf.DUMMYFUNCTION("""COMPUTED_VALUE"""),46.0)</f>
        <v>46</v>
      </c>
      <c r="E2024">
        <f>IFERROR(__xludf.DUMMYFUNCTION("""COMPUTED_VALUE"""),2.13)</f>
        <v>2.13</v>
      </c>
      <c r="F2024">
        <f>IFERROR(__xludf.DUMMYFUNCTION("""COMPUTED_VALUE"""),3.71)</f>
        <v>3.71</v>
      </c>
      <c r="G2024">
        <f>IFERROR(__xludf.DUMMYFUNCTION("""COMPUTED_VALUE"""),3.04)</f>
        <v>3.04</v>
      </c>
    </row>
    <row r="2025">
      <c r="A2025">
        <f>IFERROR(__xludf.DUMMYFUNCTION("""COMPUTED_VALUE"""),787214.0)</f>
        <v>787214</v>
      </c>
      <c r="B2025" t="str">
        <f>IFERROR(__xludf.DUMMYFUNCTION("""COMPUTED_VALUE"""),"Chard Cooked Ns As To Fat Added In Cooking")</f>
        <v>Chard Cooked Ns As To Fat Added In Cooking</v>
      </c>
      <c r="C2025" t="str">
        <f>IFERROR(__xludf.DUMMYFUNCTION("""COMPUTED_VALUE"""),"Vegetables")</f>
        <v>Vegetables</v>
      </c>
      <c r="D2025">
        <f>IFERROR(__xludf.DUMMYFUNCTION("""COMPUTED_VALUE"""),36.0)</f>
        <v>36</v>
      </c>
      <c r="E2025">
        <f>IFERROR(__xludf.DUMMYFUNCTION("""COMPUTED_VALUE"""),1.98)</f>
        <v>1.98</v>
      </c>
      <c r="F2025">
        <f>IFERROR(__xludf.DUMMYFUNCTION("""COMPUTED_VALUE"""),1.84)</f>
        <v>1.84</v>
      </c>
      <c r="G2025">
        <f>IFERROR(__xludf.DUMMYFUNCTION("""COMPUTED_VALUE"""),4.01)</f>
        <v>4.01</v>
      </c>
    </row>
    <row r="2026">
      <c r="A2026">
        <f>IFERROR(__xludf.DUMMYFUNCTION("""COMPUTED_VALUE"""),787215.0)</f>
        <v>787215</v>
      </c>
      <c r="B2026" t="str">
        <f>IFERROR(__xludf.DUMMYFUNCTION("""COMPUTED_VALUE"""),"Chard Cooked Fat Not Added In Cooking")</f>
        <v>Chard Cooked Fat Not Added In Cooking</v>
      </c>
      <c r="C2026" t="str">
        <f>IFERROR(__xludf.DUMMYFUNCTION("""COMPUTED_VALUE"""),"Vegetables")</f>
        <v>Vegetables</v>
      </c>
      <c r="D2026">
        <f>IFERROR(__xludf.DUMMYFUNCTION("""COMPUTED_VALUE"""),20.0)</f>
        <v>20</v>
      </c>
      <c r="E2026">
        <f>IFERROR(__xludf.DUMMYFUNCTION("""COMPUTED_VALUE"""),0.08)</f>
        <v>0.08</v>
      </c>
      <c r="F2026">
        <f>IFERROR(__xludf.DUMMYFUNCTION("""COMPUTED_VALUE"""),1.87)</f>
        <v>1.87</v>
      </c>
      <c r="G2026">
        <f>IFERROR(__xludf.DUMMYFUNCTION("""COMPUTED_VALUE"""),4.11)</f>
        <v>4.11</v>
      </c>
    </row>
    <row r="2027">
      <c r="A2027">
        <f>IFERROR(__xludf.DUMMYFUNCTION("""COMPUTED_VALUE"""),787216.0)</f>
        <v>787216</v>
      </c>
      <c r="B2027" t="str">
        <f>IFERROR(__xludf.DUMMYFUNCTION("""COMPUTED_VALUE"""),"Chard Cooked Fat Added In Cooking Ns As To Type Of Fat")</f>
        <v>Chard Cooked Fat Added In Cooking Ns As To Type Of Fat</v>
      </c>
      <c r="C2027" t="str">
        <f>IFERROR(__xludf.DUMMYFUNCTION("""COMPUTED_VALUE"""),"Vegetables")</f>
        <v>Vegetables</v>
      </c>
      <c r="D2027">
        <f>IFERROR(__xludf.DUMMYFUNCTION("""COMPUTED_VALUE"""),36.0)</f>
        <v>36</v>
      </c>
      <c r="E2027">
        <f>IFERROR(__xludf.DUMMYFUNCTION("""COMPUTED_VALUE"""),1.98)</f>
        <v>1.98</v>
      </c>
      <c r="F2027">
        <f>IFERROR(__xludf.DUMMYFUNCTION("""COMPUTED_VALUE"""),1.84)</f>
        <v>1.84</v>
      </c>
      <c r="G2027">
        <f>IFERROR(__xludf.DUMMYFUNCTION("""COMPUTED_VALUE"""),4.01)</f>
        <v>4.01</v>
      </c>
    </row>
    <row r="2028">
      <c r="A2028">
        <f>IFERROR(__xludf.DUMMYFUNCTION("""COMPUTED_VALUE"""),787217.0)</f>
        <v>787217</v>
      </c>
      <c r="B2028" t="str">
        <f>IFERROR(__xludf.DUMMYFUNCTION("""COMPUTED_VALUE"""),"Chard Cooked Made With Oil")</f>
        <v>Chard Cooked Made With Oil</v>
      </c>
      <c r="C2028" t="str">
        <f>IFERROR(__xludf.DUMMYFUNCTION("""COMPUTED_VALUE"""),"Vegetables")</f>
        <v>Vegetables</v>
      </c>
      <c r="D2028">
        <f>IFERROR(__xludf.DUMMYFUNCTION("""COMPUTED_VALUE"""),42.0)</f>
        <v>42</v>
      </c>
      <c r="E2028">
        <f>IFERROR(__xludf.DUMMYFUNCTION("""COMPUTED_VALUE"""),2.59)</f>
        <v>2.59</v>
      </c>
      <c r="F2028">
        <f>IFERROR(__xludf.DUMMYFUNCTION("""COMPUTED_VALUE"""),1.82)</f>
        <v>1.82</v>
      </c>
      <c r="G2028">
        <f>IFERROR(__xludf.DUMMYFUNCTION("""COMPUTED_VALUE"""),4.0)</f>
        <v>4</v>
      </c>
    </row>
    <row r="2029">
      <c r="A2029">
        <f>IFERROR(__xludf.DUMMYFUNCTION("""COMPUTED_VALUE"""),787218.0)</f>
        <v>787218</v>
      </c>
      <c r="B2029" t="str">
        <f>IFERROR(__xludf.DUMMYFUNCTION("""COMPUTED_VALUE"""),"Chard Cooked Made With Butter")</f>
        <v>Chard Cooked Made With Butter</v>
      </c>
      <c r="C2029" t="str">
        <f>IFERROR(__xludf.DUMMYFUNCTION("""COMPUTED_VALUE"""),"Vegetables")</f>
        <v>Vegetables</v>
      </c>
      <c r="D2029">
        <f>IFERROR(__xludf.DUMMYFUNCTION("""COMPUTED_VALUE"""),38.0)</f>
        <v>38</v>
      </c>
      <c r="E2029">
        <f>IFERROR(__xludf.DUMMYFUNCTION("""COMPUTED_VALUE"""),2.2)</f>
        <v>2.2</v>
      </c>
      <c r="F2029">
        <f>IFERROR(__xludf.DUMMYFUNCTION("""COMPUTED_VALUE"""),1.84)</f>
        <v>1.84</v>
      </c>
      <c r="G2029">
        <f>IFERROR(__xludf.DUMMYFUNCTION("""COMPUTED_VALUE"""),4.0)</f>
        <v>4</v>
      </c>
    </row>
    <row r="2030">
      <c r="A2030">
        <f>IFERROR(__xludf.DUMMYFUNCTION("""COMPUTED_VALUE"""),787219.0)</f>
        <v>787219</v>
      </c>
      <c r="B2030" t="str">
        <f>IFERROR(__xludf.DUMMYFUNCTION("""COMPUTED_VALUE"""),"Chard Cooked Made With Margarine")</f>
        <v>Chard Cooked Made With Margarine</v>
      </c>
      <c r="C2030" t="str">
        <f>IFERROR(__xludf.DUMMYFUNCTION("""COMPUTED_VALUE"""),"Vegetables")</f>
        <v>Vegetables</v>
      </c>
      <c r="D2030">
        <f>IFERROR(__xludf.DUMMYFUNCTION("""COMPUTED_VALUE"""),33.0)</f>
        <v>33</v>
      </c>
      <c r="E2030">
        <f>IFERROR(__xludf.DUMMYFUNCTION("""COMPUTED_VALUE"""),1.66)</f>
        <v>1.66</v>
      </c>
      <c r="F2030">
        <f>IFERROR(__xludf.DUMMYFUNCTION("""COMPUTED_VALUE"""),1.82)</f>
        <v>1.82</v>
      </c>
      <c r="G2030">
        <f>IFERROR(__xludf.DUMMYFUNCTION("""COMPUTED_VALUE"""),4.02)</f>
        <v>4.02</v>
      </c>
    </row>
    <row r="2031">
      <c r="A2031">
        <f>IFERROR(__xludf.DUMMYFUNCTION("""COMPUTED_VALUE"""),787221.0)</f>
        <v>787221</v>
      </c>
      <c r="B2031" t="str">
        <f>IFERROR(__xludf.DUMMYFUNCTION("""COMPUTED_VALUE"""),"Collards Cooked Ns As To Form Ns As To Fat Added In Cooking")</f>
        <v>Collards Cooked Ns As To Form Ns As To Fat Added In Cooking</v>
      </c>
      <c r="C2031" t="str">
        <f>IFERROR(__xludf.DUMMYFUNCTION("""COMPUTED_VALUE"""),"Vegetables")</f>
        <v>Vegetables</v>
      </c>
      <c r="D2031">
        <f>IFERROR(__xludf.DUMMYFUNCTION("""COMPUTED_VALUE"""),48.0)</f>
        <v>48</v>
      </c>
      <c r="E2031">
        <f>IFERROR(__xludf.DUMMYFUNCTION("""COMPUTED_VALUE"""),2.45)</f>
        <v>2.45</v>
      </c>
      <c r="F2031">
        <f>IFERROR(__xludf.DUMMYFUNCTION("""COMPUTED_VALUE"""),2.64)</f>
        <v>2.64</v>
      </c>
      <c r="G2031">
        <f>IFERROR(__xludf.DUMMYFUNCTION("""COMPUTED_VALUE"""),5.49)</f>
        <v>5.49</v>
      </c>
    </row>
    <row r="2032">
      <c r="A2032">
        <f>IFERROR(__xludf.DUMMYFUNCTION("""COMPUTED_VALUE"""),787222.0)</f>
        <v>787222</v>
      </c>
      <c r="B2032" t="str">
        <f>IFERROR(__xludf.DUMMYFUNCTION("""COMPUTED_VALUE"""),"Collards Cooked From Fresh Ns As To Fat Added In Cooking")</f>
        <v>Collards Cooked From Fresh Ns As To Fat Added In Cooking</v>
      </c>
      <c r="C2032" t="str">
        <f>IFERROR(__xludf.DUMMYFUNCTION("""COMPUTED_VALUE"""),"Vegetables")</f>
        <v>Vegetables</v>
      </c>
      <c r="D2032">
        <f>IFERROR(__xludf.DUMMYFUNCTION("""COMPUTED_VALUE"""),48.0)</f>
        <v>48</v>
      </c>
      <c r="E2032">
        <f>IFERROR(__xludf.DUMMYFUNCTION("""COMPUTED_VALUE"""),2.45)</f>
        <v>2.45</v>
      </c>
      <c r="F2032">
        <f>IFERROR(__xludf.DUMMYFUNCTION("""COMPUTED_VALUE"""),2.64)</f>
        <v>2.64</v>
      </c>
      <c r="G2032">
        <f>IFERROR(__xludf.DUMMYFUNCTION("""COMPUTED_VALUE"""),5.49)</f>
        <v>5.49</v>
      </c>
    </row>
    <row r="2033">
      <c r="A2033">
        <f>IFERROR(__xludf.DUMMYFUNCTION("""COMPUTED_VALUE"""),787223.0)</f>
        <v>787223</v>
      </c>
      <c r="B2033" t="str">
        <f>IFERROR(__xludf.DUMMYFUNCTION("""COMPUTED_VALUE"""),"Collards Cooked From Frozen Ns As To Fat Added In Cooking")</f>
        <v>Collards Cooked From Frozen Ns As To Fat Added In Cooking</v>
      </c>
      <c r="C2033" t="str">
        <f>IFERROR(__xludf.DUMMYFUNCTION("""COMPUTED_VALUE"""),"Vegetables")</f>
        <v>Vegetables</v>
      </c>
      <c r="D2033">
        <f>IFERROR(__xludf.DUMMYFUNCTION("""COMPUTED_VALUE"""),52.0)</f>
        <v>52</v>
      </c>
      <c r="E2033">
        <f>IFERROR(__xludf.DUMMYFUNCTION("""COMPUTED_VALUE"""),2.35)</f>
        <v>2.35</v>
      </c>
      <c r="F2033">
        <f>IFERROR(__xludf.DUMMYFUNCTION("""COMPUTED_VALUE"""),2.89)</f>
        <v>2.89</v>
      </c>
      <c r="G2033">
        <f>IFERROR(__xludf.DUMMYFUNCTION("""COMPUTED_VALUE"""),6.88)</f>
        <v>6.88</v>
      </c>
    </row>
    <row r="2034">
      <c r="A2034">
        <f>IFERROR(__xludf.DUMMYFUNCTION("""COMPUTED_VALUE"""),787224.0)</f>
        <v>787224</v>
      </c>
      <c r="B2034" t="str">
        <f>IFERROR(__xludf.DUMMYFUNCTION("""COMPUTED_VALUE"""),"Collards Cooked From Canned Ns As To Fat Added In Cooking")</f>
        <v>Collards Cooked From Canned Ns As To Fat Added In Cooking</v>
      </c>
      <c r="C2034" t="str">
        <f>IFERROR(__xludf.DUMMYFUNCTION("""COMPUTED_VALUE"""),"Vegetables")</f>
        <v>Vegetables</v>
      </c>
      <c r="D2034">
        <f>IFERROR(__xludf.DUMMYFUNCTION("""COMPUTED_VALUE"""),47.0)</f>
        <v>47</v>
      </c>
      <c r="E2034">
        <f>IFERROR(__xludf.DUMMYFUNCTION("""COMPUTED_VALUE"""),2.44)</f>
        <v>2.44</v>
      </c>
      <c r="F2034">
        <f>IFERROR(__xludf.DUMMYFUNCTION("""COMPUTED_VALUE"""),2.63)</f>
        <v>2.63</v>
      </c>
      <c r="G2034">
        <f>IFERROR(__xludf.DUMMYFUNCTION("""COMPUTED_VALUE"""),5.46)</f>
        <v>5.46</v>
      </c>
    </row>
    <row r="2035">
      <c r="A2035">
        <f>IFERROR(__xludf.DUMMYFUNCTION("""COMPUTED_VALUE"""),787225.0)</f>
        <v>787225</v>
      </c>
      <c r="B2035" t="str">
        <f>IFERROR(__xludf.DUMMYFUNCTION("""COMPUTED_VALUE"""),"Collards Cooked Ns As To Form Fat Not Added In Cooking")</f>
        <v>Collards Cooked Ns As To Form Fat Not Added In Cooking</v>
      </c>
      <c r="C2035" t="str">
        <f>IFERROR(__xludf.DUMMYFUNCTION("""COMPUTED_VALUE"""),"Vegetables")</f>
        <v>Vegetables</v>
      </c>
      <c r="D2035">
        <f>IFERROR(__xludf.DUMMYFUNCTION("""COMPUTED_VALUE"""),33.0)</f>
        <v>33</v>
      </c>
      <c r="E2035">
        <f>IFERROR(__xludf.DUMMYFUNCTION("""COMPUTED_VALUE"""),0.72)</f>
        <v>0.72</v>
      </c>
      <c r="F2035">
        <f>IFERROR(__xludf.DUMMYFUNCTION("""COMPUTED_VALUE"""),2.7)</f>
        <v>2.7</v>
      </c>
      <c r="G2035">
        <f>IFERROR(__xludf.DUMMYFUNCTION("""COMPUTED_VALUE"""),5.62)</f>
        <v>5.62</v>
      </c>
    </row>
    <row r="2036">
      <c r="A2036">
        <f>IFERROR(__xludf.DUMMYFUNCTION("""COMPUTED_VALUE"""),787226.0)</f>
        <v>787226</v>
      </c>
      <c r="B2036" t="str">
        <f>IFERROR(__xludf.DUMMYFUNCTION("""COMPUTED_VALUE"""),"Collards Cooked From Fresh Fat Not Added In Cooking")</f>
        <v>Collards Cooked From Fresh Fat Not Added In Cooking</v>
      </c>
      <c r="C2036" t="str">
        <f>IFERROR(__xludf.DUMMYFUNCTION("""COMPUTED_VALUE"""),"Vegetables")</f>
        <v>Vegetables</v>
      </c>
      <c r="D2036">
        <f>IFERROR(__xludf.DUMMYFUNCTION("""COMPUTED_VALUE"""),33.0)</f>
        <v>33</v>
      </c>
      <c r="E2036">
        <f>IFERROR(__xludf.DUMMYFUNCTION("""COMPUTED_VALUE"""),0.72)</f>
        <v>0.72</v>
      </c>
      <c r="F2036">
        <f>IFERROR(__xludf.DUMMYFUNCTION("""COMPUTED_VALUE"""),2.7)</f>
        <v>2.7</v>
      </c>
      <c r="G2036">
        <f>IFERROR(__xludf.DUMMYFUNCTION("""COMPUTED_VALUE"""),5.62)</f>
        <v>5.62</v>
      </c>
    </row>
    <row r="2037">
      <c r="A2037">
        <f>IFERROR(__xludf.DUMMYFUNCTION("""COMPUTED_VALUE"""),787227.0)</f>
        <v>787227</v>
      </c>
      <c r="B2037" t="str">
        <f>IFERROR(__xludf.DUMMYFUNCTION("""COMPUTED_VALUE"""),"Collards Cooked From Frozen Fat Not Added In Cooking")</f>
        <v>Collards Cooked From Frozen Fat Not Added In Cooking</v>
      </c>
      <c r="C2037" t="str">
        <f>IFERROR(__xludf.DUMMYFUNCTION("""COMPUTED_VALUE"""),"Vegetables")</f>
        <v>Vegetables</v>
      </c>
      <c r="D2037">
        <f>IFERROR(__xludf.DUMMYFUNCTION("""COMPUTED_VALUE"""),36.0)</f>
        <v>36</v>
      </c>
      <c r="E2037">
        <f>IFERROR(__xludf.DUMMYFUNCTION("""COMPUTED_VALUE"""),0.41)</f>
        <v>0.41</v>
      </c>
      <c r="F2037">
        <f>IFERROR(__xludf.DUMMYFUNCTION("""COMPUTED_VALUE"""),2.95)</f>
        <v>2.95</v>
      </c>
      <c r="G2037">
        <f>IFERROR(__xludf.DUMMYFUNCTION("""COMPUTED_VALUE"""),7.06)</f>
        <v>7.06</v>
      </c>
    </row>
    <row r="2038">
      <c r="A2038">
        <f>IFERROR(__xludf.DUMMYFUNCTION("""COMPUTED_VALUE"""),787228.0)</f>
        <v>787228</v>
      </c>
      <c r="B2038" t="str">
        <f>IFERROR(__xludf.DUMMYFUNCTION("""COMPUTED_VALUE"""),"Collards Cooked From Canned Fat Not Added In Cooking")</f>
        <v>Collards Cooked From Canned Fat Not Added In Cooking</v>
      </c>
      <c r="C2038" t="str">
        <f>IFERROR(__xludf.DUMMYFUNCTION("""COMPUTED_VALUE"""),"Vegetables")</f>
        <v>Vegetables</v>
      </c>
      <c r="D2038">
        <f>IFERROR(__xludf.DUMMYFUNCTION("""COMPUTED_VALUE"""),33.0)</f>
        <v>33</v>
      </c>
      <c r="E2038">
        <f>IFERROR(__xludf.DUMMYFUNCTION("""COMPUTED_VALUE"""),0.71)</f>
        <v>0.71</v>
      </c>
      <c r="F2038">
        <f>IFERROR(__xludf.DUMMYFUNCTION("""COMPUTED_VALUE"""),2.68)</f>
        <v>2.68</v>
      </c>
      <c r="G2038">
        <f>IFERROR(__xludf.DUMMYFUNCTION("""COMPUTED_VALUE"""),5.58)</f>
        <v>5.58</v>
      </c>
    </row>
    <row r="2039">
      <c r="A2039">
        <f>IFERROR(__xludf.DUMMYFUNCTION("""COMPUTED_VALUE"""),787229.0)</f>
        <v>787229</v>
      </c>
      <c r="B2039" t="str">
        <f>IFERROR(__xludf.DUMMYFUNCTION("""COMPUTED_VALUE"""),"Collards Cooked Ns As To Form Fat Added In Cooking Ns As To Type Of Fat")</f>
        <v>Collards Cooked Ns As To Form Fat Added In Cooking Ns As To Type Of Fat</v>
      </c>
      <c r="C2039" t="str">
        <f>IFERROR(__xludf.DUMMYFUNCTION("""COMPUTED_VALUE"""),"Vegetables")</f>
        <v>Vegetables</v>
      </c>
      <c r="D2039">
        <f>IFERROR(__xludf.DUMMYFUNCTION("""COMPUTED_VALUE"""),48.0)</f>
        <v>48</v>
      </c>
      <c r="E2039">
        <f>IFERROR(__xludf.DUMMYFUNCTION("""COMPUTED_VALUE"""),2.45)</f>
        <v>2.45</v>
      </c>
      <c r="F2039">
        <f>IFERROR(__xludf.DUMMYFUNCTION("""COMPUTED_VALUE"""),2.64)</f>
        <v>2.64</v>
      </c>
      <c r="G2039">
        <f>IFERROR(__xludf.DUMMYFUNCTION("""COMPUTED_VALUE"""),5.49)</f>
        <v>5.49</v>
      </c>
    </row>
    <row r="2040">
      <c r="A2040">
        <f>IFERROR(__xludf.DUMMYFUNCTION("""COMPUTED_VALUE"""),787230.0)</f>
        <v>787230</v>
      </c>
      <c r="B2040" t="str">
        <f>IFERROR(__xludf.DUMMYFUNCTION("""COMPUTED_VALUE"""),"Collards Cooked From Fresh Fat Added In Cooking Ns As To Type Of Fat")</f>
        <v>Collards Cooked From Fresh Fat Added In Cooking Ns As To Type Of Fat</v>
      </c>
      <c r="C2040" t="str">
        <f>IFERROR(__xludf.DUMMYFUNCTION("""COMPUTED_VALUE"""),"Vegetables")</f>
        <v>Vegetables</v>
      </c>
      <c r="D2040">
        <f>IFERROR(__xludf.DUMMYFUNCTION("""COMPUTED_VALUE"""),48.0)</f>
        <v>48</v>
      </c>
      <c r="E2040">
        <f>IFERROR(__xludf.DUMMYFUNCTION("""COMPUTED_VALUE"""),2.45)</f>
        <v>2.45</v>
      </c>
      <c r="F2040">
        <f>IFERROR(__xludf.DUMMYFUNCTION("""COMPUTED_VALUE"""),2.64)</f>
        <v>2.64</v>
      </c>
      <c r="G2040">
        <f>IFERROR(__xludf.DUMMYFUNCTION("""COMPUTED_VALUE"""),5.49)</f>
        <v>5.49</v>
      </c>
    </row>
    <row r="2041">
      <c r="A2041">
        <f>IFERROR(__xludf.DUMMYFUNCTION("""COMPUTED_VALUE"""),787231.0)</f>
        <v>787231</v>
      </c>
      <c r="B2041" t="str">
        <f>IFERROR(__xludf.DUMMYFUNCTION("""COMPUTED_VALUE"""),"Collards Cooked From Frozen Fat Added In Cooking Ns As To Type Of Fat")</f>
        <v>Collards Cooked From Frozen Fat Added In Cooking Ns As To Type Of Fat</v>
      </c>
      <c r="C2041" t="str">
        <f>IFERROR(__xludf.DUMMYFUNCTION("""COMPUTED_VALUE"""),"Vegetables")</f>
        <v>Vegetables</v>
      </c>
      <c r="D2041">
        <f>IFERROR(__xludf.DUMMYFUNCTION("""COMPUTED_VALUE"""),52.0)</f>
        <v>52</v>
      </c>
      <c r="E2041">
        <f>IFERROR(__xludf.DUMMYFUNCTION("""COMPUTED_VALUE"""),2.35)</f>
        <v>2.35</v>
      </c>
      <c r="F2041">
        <f>IFERROR(__xludf.DUMMYFUNCTION("""COMPUTED_VALUE"""),2.89)</f>
        <v>2.89</v>
      </c>
      <c r="G2041">
        <f>IFERROR(__xludf.DUMMYFUNCTION("""COMPUTED_VALUE"""),6.88)</f>
        <v>6.88</v>
      </c>
    </row>
    <row r="2042">
      <c r="A2042">
        <f>IFERROR(__xludf.DUMMYFUNCTION("""COMPUTED_VALUE"""),787232.0)</f>
        <v>787232</v>
      </c>
      <c r="B2042" t="str">
        <f>IFERROR(__xludf.DUMMYFUNCTION("""COMPUTED_VALUE"""),"Collards Cooked From Canned Fat Added In Cooking Ns As To Type Of Fat")</f>
        <v>Collards Cooked From Canned Fat Added In Cooking Ns As To Type Of Fat</v>
      </c>
      <c r="C2042" t="str">
        <f>IFERROR(__xludf.DUMMYFUNCTION("""COMPUTED_VALUE"""),"Vegetables")</f>
        <v>Vegetables</v>
      </c>
      <c r="D2042">
        <f>IFERROR(__xludf.DUMMYFUNCTION("""COMPUTED_VALUE"""),47.0)</f>
        <v>47</v>
      </c>
      <c r="E2042">
        <f>IFERROR(__xludf.DUMMYFUNCTION("""COMPUTED_VALUE"""),2.44)</f>
        <v>2.44</v>
      </c>
      <c r="F2042">
        <f>IFERROR(__xludf.DUMMYFUNCTION("""COMPUTED_VALUE"""),2.63)</f>
        <v>2.63</v>
      </c>
      <c r="G2042">
        <f>IFERROR(__xludf.DUMMYFUNCTION("""COMPUTED_VALUE"""),5.46)</f>
        <v>5.46</v>
      </c>
    </row>
    <row r="2043">
      <c r="A2043">
        <f>IFERROR(__xludf.DUMMYFUNCTION("""COMPUTED_VALUE"""),787233.0)</f>
        <v>787233</v>
      </c>
      <c r="B2043" t="str">
        <f>IFERROR(__xludf.DUMMYFUNCTION("""COMPUTED_VALUE"""),"Collards Cooked Ns As To Form Made With Oil")</f>
        <v>Collards Cooked Ns As To Form Made With Oil</v>
      </c>
      <c r="C2043" t="str">
        <f>IFERROR(__xludf.DUMMYFUNCTION("""COMPUTED_VALUE"""),"Vegetables")</f>
        <v>Vegetables</v>
      </c>
      <c r="D2043">
        <f>IFERROR(__xludf.DUMMYFUNCTION("""COMPUTED_VALUE"""),53.0)</f>
        <v>53</v>
      </c>
      <c r="E2043">
        <f>IFERROR(__xludf.DUMMYFUNCTION("""COMPUTED_VALUE"""),3.02)</f>
        <v>3.02</v>
      </c>
      <c r="F2043">
        <f>IFERROR(__xludf.DUMMYFUNCTION("""COMPUTED_VALUE"""),2.63)</f>
        <v>2.63</v>
      </c>
      <c r="G2043">
        <f>IFERROR(__xludf.DUMMYFUNCTION("""COMPUTED_VALUE"""),5.49)</f>
        <v>5.49</v>
      </c>
    </row>
    <row r="2044">
      <c r="A2044">
        <f>IFERROR(__xludf.DUMMYFUNCTION("""COMPUTED_VALUE"""),787234.0)</f>
        <v>787234</v>
      </c>
      <c r="B2044" t="str">
        <f>IFERROR(__xludf.DUMMYFUNCTION("""COMPUTED_VALUE"""),"Collards Cooked Ns As To Form Made With Butter")</f>
        <v>Collards Cooked Ns As To Form Made With Butter</v>
      </c>
      <c r="C2044" t="str">
        <f>IFERROR(__xludf.DUMMYFUNCTION("""COMPUTED_VALUE"""),"Vegetables")</f>
        <v>Vegetables</v>
      </c>
      <c r="D2044">
        <f>IFERROR(__xludf.DUMMYFUNCTION("""COMPUTED_VALUE"""),49.0)</f>
        <v>49</v>
      </c>
      <c r="E2044">
        <f>IFERROR(__xludf.DUMMYFUNCTION("""COMPUTED_VALUE"""),2.66)</f>
        <v>2.66</v>
      </c>
      <c r="F2044">
        <f>IFERROR(__xludf.DUMMYFUNCTION("""COMPUTED_VALUE"""),2.65)</f>
        <v>2.65</v>
      </c>
      <c r="G2044">
        <f>IFERROR(__xludf.DUMMYFUNCTION("""COMPUTED_VALUE"""),5.49)</f>
        <v>5.49</v>
      </c>
    </row>
    <row r="2045">
      <c r="A2045">
        <f>IFERROR(__xludf.DUMMYFUNCTION("""COMPUTED_VALUE"""),787235.0)</f>
        <v>787235</v>
      </c>
      <c r="B2045" t="str">
        <f>IFERROR(__xludf.DUMMYFUNCTION("""COMPUTED_VALUE"""),"Collards Cooked Ns As To Form Made With Margarine")</f>
        <v>Collards Cooked Ns As To Form Made With Margarine</v>
      </c>
      <c r="C2045" t="str">
        <f>IFERROR(__xludf.DUMMYFUNCTION("""COMPUTED_VALUE"""),"Vegetables")</f>
        <v>Vegetables</v>
      </c>
      <c r="D2045">
        <f>IFERROR(__xludf.DUMMYFUNCTION("""COMPUTED_VALUE"""),45.0)</f>
        <v>45</v>
      </c>
      <c r="E2045">
        <f>IFERROR(__xludf.DUMMYFUNCTION("""COMPUTED_VALUE"""),2.16)</f>
        <v>2.16</v>
      </c>
      <c r="F2045">
        <f>IFERROR(__xludf.DUMMYFUNCTION("""COMPUTED_VALUE"""),2.63)</f>
        <v>2.63</v>
      </c>
      <c r="G2045">
        <f>IFERROR(__xludf.DUMMYFUNCTION("""COMPUTED_VALUE"""),5.5)</f>
        <v>5.5</v>
      </c>
    </row>
    <row r="2046">
      <c r="A2046">
        <f>IFERROR(__xludf.DUMMYFUNCTION("""COMPUTED_VALUE"""),787236.0)</f>
        <v>787236</v>
      </c>
      <c r="B2046" t="str">
        <f>IFERROR(__xludf.DUMMYFUNCTION("""COMPUTED_VALUE"""),"Collards Cooked From Fresh Made With Oil")</f>
        <v>Collards Cooked From Fresh Made With Oil</v>
      </c>
      <c r="C2046" t="str">
        <f>IFERROR(__xludf.DUMMYFUNCTION("""COMPUTED_VALUE"""),"Vegetables")</f>
        <v>Vegetables</v>
      </c>
      <c r="D2046">
        <f>IFERROR(__xludf.DUMMYFUNCTION("""COMPUTED_VALUE"""),53.0)</f>
        <v>53</v>
      </c>
      <c r="E2046">
        <f>IFERROR(__xludf.DUMMYFUNCTION("""COMPUTED_VALUE"""),3.02)</f>
        <v>3.02</v>
      </c>
      <c r="F2046">
        <f>IFERROR(__xludf.DUMMYFUNCTION("""COMPUTED_VALUE"""),2.63)</f>
        <v>2.63</v>
      </c>
      <c r="G2046">
        <f>IFERROR(__xludf.DUMMYFUNCTION("""COMPUTED_VALUE"""),5.49)</f>
        <v>5.49</v>
      </c>
    </row>
    <row r="2047">
      <c r="A2047">
        <f>IFERROR(__xludf.DUMMYFUNCTION("""COMPUTED_VALUE"""),787237.0)</f>
        <v>787237</v>
      </c>
      <c r="B2047" t="str">
        <f>IFERROR(__xludf.DUMMYFUNCTION("""COMPUTED_VALUE"""),"Collards Cooked From Fresh Made With Butter")</f>
        <v>Collards Cooked From Fresh Made With Butter</v>
      </c>
      <c r="C2047" t="str">
        <f>IFERROR(__xludf.DUMMYFUNCTION("""COMPUTED_VALUE"""),"Vegetables")</f>
        <v>Vegetables</v>
      </c>
      <c r="D2047">
        <f>IFERROR(__xludf.DUMMYFUNCTION("""COMPUTED_VALUE"""),49.0)</f>
        <v>49</v>
      </c>
      <c r="E2047">
        <f>IFERROR(__xludf.DUMMYFUNCTION("""COMPUTED_VALUE"""),2.66)</f>
        <v>2.66</v>
      </c>
      <c r="F2047">
        <f>IFERROR(__xludf.DUMMYFUNCTION("""COMPUTED_VALUE"""),2.65)</f>
        <v>2.65</v>
      </c>
      <c r="G2047">
        <f>IFERROR(__xludf.DUMMYFUNCTION("""COMPUTED_VALUE"""),5.49)</f>
        <v>5.49</v>
      </c>
    </row>
    <row r="2048">
      <c r="A2048">
        <f>IFERROR(__xludf.DUMMYFUNCTION("""COMPUTED_VALUE"""),787238.0)</f>
        <v>787238</v>
      </c>
      <c r="B2048" t="str">
        <f>IFERROR(__xludf.DUMMYFUNCTION("""COMPUTED_VALUE"""),"Collards Cooked From Fresh Made With Margarine")</f>
        <v>Collards Cooked From Fresh Made With Margarine</v>
      </c>
      <c r="C2048" t="str">
        <f>IFERROR(__xludf.DUMMYFUNCTION("""COMPUTED_VALUE"""),"Vegetables")</f>
        <v>Vegetables</v>
      </c>
      <c r="D2048">
        <f>IFERROR(__xludf.DUMMYFUNCTION("""COMPUTED_VALUE"""),45.0)</f>
        <v>45</v>
      </c>
      <c r="E2048">
        <f>IFERROR(__xludf.DUMMYFUNCTION("""COMPUTED_VALUE"""),2.16)</f>
        <v>2.16</v>
      </c>
      <c r="F2048">
        <f>IFERROR(__xludf.DUMMYFUNCTION("""COMPUTED_VALUE"""),2.63)</f>
        <v>2.63</v>
      </c>
      <c r="G2048">
        <f>IFERROR(__xludf.DUMMYFUNCTION("""COMPUTED_VALUE"""),5.5)</f>
        <v>5.5</v>
      </c>
    </row>
    <row r="2049">
      <c r="A2049">
        <f>IFERROR(__xludf.DUMMYFUNCTION("""COMPUTED_VALUE"""),787239.0)</f>
        <v>787239</v>
      </c>
      <c r="B2049" t="str">
        <f>IFERROR(__xludf.DUMMYFUNCTION("""COMPUTED_VALUE"""),"Collards Cooked From Frozen Made With Oil")</f>
        <v>Collards Cooked From Frozen Made With Oil</v>
      </c>
      <c r="C2049" t="str">
        <f>IFERROR(__xludf.DUMMYFUNCTION("""COMPUTED_VALUE"""),"Vegetables")</f>
        <v>Vegetables</v>
      </c>
      <c r="D2049">
        <f>IFERROR(__xludf.DUMMYFUNCTION("""COMPUTED_VALUE"""),58.0)</f>
        <v>58</v>
      </c>
      <c r="E2049">
        <f>IFERROR(__xludf.DUMMYFUNCTION("""COMPUTED_VALUE"""),2.98)</f>
        <v>2.98</v>
      </c>
      <c r="F2049">
        <f>IFERROR(__xludf.DUMMYFUNCTION("""COMPUTED_VALUE"""),2.88)</f>
        <v>2.88</v>
      </c>
      <c r="G2049">
        <f>IFERROR(__xludf.DUMMYFUNCTION("""COMPUTED_VALUE"""),6.88)</f>
        <v>6.88</v>
      </c>
    </row>
    <row r="2050">
      <c r="A2050">
        <f>IFERROR(__xludf.DUMMYFUNCTION("""COMPUTED_VALUE"""),787240.0)</f>
        <v>787240</v>
      </c>
      <c r="B2050" t="str">
        <f>IFERROR(__xludf.DUMMYFUNCTION("""COMPUTED_VALUE"""),"Collards Cooked From Frozen Made With Butter")</f>
        <v>Collards Cooked From Frozen Made With Butter</v>
      </c>
      <c r="C2050" t="str">
        <f>IFERROR(__xludf.DUMMYFUNCTION("""COMPUTED_VALUE"""),"Vegetables")</f>
        <v>Vegetables</v>
      </c>
      <c r="D2050">
        <f>IFERROR(__xludf.DUMMYFUNCTION("""COMPUTED_VALUE"""),54.0)</f>
        <v>54</v>
      </c>
      <c r="E2050">
        <f>IFERROR(__xludf.DUMMYFUNCTION("""COMPUTED_VALUE"""),2.58)</f>
        <v>2.58</v>
      </c>
      <c r="F2050">
        <f>IFERROR(__xludf.DUMMYFUNCTION("""COMPUTED_VALUE"""),2.9)</f>
        <v>2.9</v>
      </c>
      <c r="G2050">
        <f>IFERROR(__xludf.DUMMYFUNCTION("""COMPUTED_VALUE"""),6.87)</f>
        <v>6.87</v>
      </c>
    </row>
    <row r="2051">
      <c r="A2051">
        <f>IFERROR(__xludf.DUMMYFUNCTION("""COMPUTED_VALUE"""),787241.0)</f>
        <v>787241</v>
      </c>
      <c r="B2051" t="str">
        <f>IFERROR(__xludf.DUMMYFUNCTION("""COMPUTED_VALUE"""),"Collards Cooked From Frozen Made With Margarine")</f>
        <v>Collards Cooked From Frozen Made With Margarine</v>
      </c>
      <c r="C2051" t="str">
        <f>IFERROR(__xludf.DUMMYFUNCTION("""COMPUTED_VALUE"""),"Vegetables")</f>
        <v>Vegetables</v>
      </c>
      <c r="D2051">
        <f>IFERROR(__xludf.DUMMYFUNCTION("""COMPUTED_VALUE"""),49.0)</f>
        <v>49</v>
      </c>
      <c r="E2051">
        <f>IFERROR(__xludf.DUMMYFUNCTION("""COMPUTED_VALUE"""),2.02)</f>
        <v>2.02</v>
      </c>
      <c r="F2051">
        <f>IFERROR(__xludf.DUMMYFUNCTION("""COMPUTED_VALUE"""),2.88)</f>
        <v>2.88</v>
      </c>
      <c r="G2051">
        <f>IFERROR(__xludf.DUMMYFUNCTION("""COMPUTED_VALUE"""),6.89)</f>
        <v>6.89</v>
      </c>
    </row>
    <row r="2052">
      <c r="A2052">
        <f>IFERROR(__xludf.DUMMYFUNCTION("""COMPUTED_VALUE"""),787242.0)</f>
        <v>787242</v>
      </c>
      <c r="B2052" t="str">
        <f>IFERROR(__xludf.DUMMYFUNCTION("""COMPUTED_VALUE"""),"Collards Cooked From Canned Made With Oil")</f>
        <v>Collards Cooked From Canned Made With Oil</v>
      </c>
      <c r="C2052" t="str">
        <f>IFERROR(__xludf.DUMMYFUNCTION("""COMPUTED_VALUE"""),"Vegetables")</f>
        <v>Vegetables</v>
      </c>
      <c r="D2052">
        <f>IFERROR(__xludf.DUMMYFUNCTION("""COMPUTED_VALUE"""),52.0)</f>
        <v>52</v>
      </c>
      <c r="E2052">
        <f>IFERROR(__xludf.DUMMYFUNCTION("""COMPUTED_VALUE"""),3.0)</f>
        <v>3</v>
      </c>
      <c r="F2052">
        <f>IFERROR(__xludf.DUMMYFUNCTION("""COMPUTED_VALUE"""),2.61)</f>
        <v>2.61</v>
      </c>
      <c r="G2052">
        <f>IFERROR(__xludf.DUMMYFUNCTION("""COMPUTED_VALUE"""),5.45)</f>
        <v>5.45</v>
      </c>
    </row>
    <row r="2053">
      <c r="A2053">
        <f>IFERROR(__xludf.DUMMYFUNCTION("""COMPUTED_VALUE"""),787243.0)</f>
        <v>787243</v>
      </c>
      <c r="B2053" t="str">
        <f>IFERROR(__xludf.DUMMYFUNCTION("""COMPUTED_VALUE"""),"Collards Cooked From Canned Made With Butter")</f>
        <v>Collards Cooked From Canned Made With Butter</v>
      </c>
      <c r="C2053" t="str">
        <f>IFERROR(__xludf.DUMMYFUNCTION("""COMPUTED_VALUE"""),"Vegetables")</f>
        <v>Vegetables</v>
      </c>
      <c r="D2053">
        <f>IFERROR(__xludf.DUMMYFUNCTION("""COMPUTED_VALUE"""),49.0)</f>
        <v>49</v>
      </c>
      <c r="E2053">
        <f>IFERROR(__xludf.DUMMYFUNCTION("""COMPUTED_VALUE"""),2.64)</f>
        <v>2.64</v>
      </c>
      <c r="F2053">
        <f>IFERROR(__xludf.DUMMYFUNCTION("""COMPUTED_VALUE"""),2.63)</f>
        <v>2.63</v>
      </c>
      <c r="G2053">
        <f>IFERROR(__xludf.DUMMYFUNCTION("""COMPUTED_VALUE"""),5.45)</f>
        <v>5.45</v>
      </c>
    </row>
    <row r="2054">
      <c r="A2054">
        <f>IFERROR(__xludf.DUMMYFUNCTION("""COMPUTED_VALUE"""),787244.0)</f>
        <v>787244</v>
      </c>
      <c r="B2054" t="str">
        <f>IFERROR(__xludf.DUMMYFUNCTION("""COMPUTED_VALUE"""),"Collards Cooked From Canned Made With Margarine")</f>
        <v>Collards Cooked From Canned Made With Margarine</v>
      </c>
      <c r="C2054" t="str">
        <f>IFERROR(__xludf.DUMMYFUNCTION("""COMPUTED_VALUE"""),"Vegetables")</f>
        <v>Vegetables</v>
      </c>
      <c r="D2054">
        <f>IFERROR(__xludf.DUMMYFUNCTION("""COMPUTED_VALUE"""),45.0)</f>
        <v>45</v>
      </c>
      <c r="E2054">
        <f>IFERROR(__xludf.DUMMYFUNCTION("""COMPUTED_VALUE"""),2.14)</f>
        <v>2.14</v>
      </c>
      <c r="F2054">
        <f>IFERROR(__xludf.DUMMYFUNCTION("""COMPUTED_VALUE"""),2.62)</f>
        <v>2.62</v>
      </c>
      <c r="G2054">
        <f>IFERROR(__xludf.DUMMYFUNCTION("""COMPUTED_VALUE"""),5.46)</f>
        <v>5.46</v>
      </c>
    </row>
    <row r="2055">
      <c r="A2055">
        <f>IFERROR(__xludf.DUMMYFUNCTION("""COMPUTED_VALUE"""),787246.0)</f>
        <v>787246</v>
      </c>
      <c r="B2055" t="str">
        <f>IFERROR(__xludf.DUMMYFUNCTION("""COMPUTED_VALUE"""),"Cress Cooked Ns As To Form Ns As To Fat Added In Cooking")</f>
        <v>Cress Cooked Ns As To Form Ns As To Fat Added In Cooking</v>
      </c>
      <c r="C2055" t="str">
        <f>IFERROR(__xludf.DUMMYFUNCTION("""COMPUTED_VALUE"""),"Vegetables")</f>
        <v>Vegetables</v>
      </c>
      <c r="D2055">
        <f>IFERROR(__xludf.DUMMYFUNCTION("""COMPUTED_VALUE"""),44.0)</f>
        <v>44</v>
      </c>
      <c r="E2055">
        <f>IFERROR(__xludf.DUMMYFUNCTION("""COMPUTED_VALUE"""),3.02)</f>
        <v>3.02</v>
      </c>
      <c r="F2055">
        <f>IFERROR(__xludf.DUMMYFUNCTION("""COMPUTED_VALUE"""),1.84)</f>
        <v>1.84</v>
      </c>
      <c r="G2055">
        <f>IFERROR(__xludf.DUMMYFUNCTION("""COMPUTED_VALUE"""),3.66)</f>
        <v>3.66</v>
      </c>
    </row>
    <row r="2056">
      <c r="A2056">
        <f>IFERROR(__xludf.DUMMYFUNCTION("""COMPUTED_VALUE"""),787247.0)</f>
        <v>787247</v>
      </c>
      <c r="B2056" t="str">
        <f>IFERROR(__xludf.DUMMYFUNCTION("""COMPUTED_VALUE"""),"Cress Cooked From Fresh Ns As To Fat Added In Cooking")</f>
        <v>Cress Cooked From Fresh Ns As To Fat Added In Cooking</v>
      </c>
      <c r="C2056" t="str">
        <f>IFERROR(__xludf.DUMMYFUNCTION("""COMPUTED_VALUE"""),"Vegetables")</f>
        <v>Vegetables</v>
      </c>
      <c r="D2056">
        <f>IFERROR(__xludf.DUMMYFUNCTION("""COMPUTED_VALUE"""),44.0)</f>
        <v>44</v>
      </c>
      <c r="E2056">
        <f>IFERROR(__xludf.DUMMYFUNCTION("""COMPUTED_VALUE"""),3.02)</f>
        <v>3.02</v>
      </c>
      <c r="F2056">
        <f>IFERROR(__xludf.DUMMYFUNCTION("""COMPUTED_VALUE"""),1.84)</f>
        <v>1.84</v>
      </c>
      <c r="G2056">
        <f>IFERROR(__xludf.DUMMYFUNCTION("""COMPUTED_VALUE"""),3.66)</f>
        <v>3.66</v>
      </c>
    </row>
    <row r="2057">
      <c r="A2057">
        <f>IFERROR(__xludf.DUMMYFUNCTION("""COMPUTED_VALUE"""),787248.0)</f>
        <v>787248</v>
      </c>
      <c r="B2057" t="str">
        <f>IFERROR(__xludf.DUMMYFUNCTION("""COMPUTED_VALUE"""),"Cress Cooked From Canned Ns As To Fat Added In Cooking")</f>
        <v>Cress Cooked From Canned Ns As To Fat Added In Cooking</v>
      </c>
      <c r="C2057" t="str">
        <f>IFERROR(__xludf.DUMMYFUNCTION("""COMPUTED_VALUE"""),"Vegetables")</f>
        <v>Vegetables</v>
      </c>
      <c r="D2057">
        <f>IFERROR(__xludf.DUMMYFUNCTION("""COMPUTED_VALUE"""),44.0)</f>
        <v>44</v>
      </c>
      <c r="E2057">
        <f>IFERROR(__xludf.DUMMYFUNCTION("""COMPUTED_VALUE"""),3.02)</f>
        <v>3.02</v>
      </c>
      <c r="F2057">
        <f>IFERROR(__xludf.DUMMYFUNCTION("""COMPUTED_VALUE"""),1.84)</f>
        <v>1.84</v>
      </c>
      <c r="G2057">
        <f>IFERROR(__xludf.DUMMYFUNCTION("""COMPUTED_VALUE"""),3.66)</f>
        <v>3.66</v>
      </c>
    </row>
    <row r="2058">
      <c r="A2058">
        <f>IFERROR(__xludf.DUMMYFUNCTION("""COMPUTED_VALUE"""),787249.0)</f>
        <v>787249</v>
      </c>
      <c r="B2058" t="str">
        <f>IFERROR(__xludf.DUMMYFUNCTION("""COMPUTED_VALUE"""),"Cress Cooked Ns As To Form Fat Not Added In Cooking")</f>
        <v>Cress Cooked Ns As To Form Fat Not Added In Cooking</v>
      </c>
      <c r="C2058" t="str">
        <f>IFERROR(__xludf.DUMMYFUNCTION("""COMPUTED_VALUE"""),"Vegetables")</f>
        <v>Vegetables</v>
      </c>
      <c r="D2058">
        <f>IFERROR(__xludf.DUMMYFUNCTION("""COMPUTED_VALUE"""),23.0)</f>
        <v>23</v>
      </c>
      <c r="E2058">
        <f>IFERROR(__xludf.DUMMYFUNCTION("""COMPUTED_VALUE"""),0.6)</f>
        <v>0.6</v>
      </c>
      <c r="F2058">
        <f>IFERROR(__xludf.DUMMYFUNCTION("""COMPUTED_VALUE"""),1.89)</f>
        <v>1.89</v>
      </c>
      <c r="G2058">
        <f>IFERROR(__xludf.DUMMYFUNCTION("""COMPUTED_VALUE"""),3.77)</f>
        <v>3.77</v>
      </c>
    </row>
    <row r="2059">
      <c r="A2059">
        <f>IFERROR(__xludf.DUMMYFUNCTION("""COMPUTED_VALUE"""),787250.0)</f>
        <v>787250</v>
      </c>
      <c r="B2059" t="str">
        <f>IFERROR(__xludf.DUMMYFUNCTION("""COMPUTED_VALUE"""),"Cress Cooked From Fresh Fat Not Added In Cooking")</f>
        <v>Cress Cooked From Fresh Fat Not Added In Cooking</v>
      </c>
      <c r="C2059" t="str">
        <f>IFERROR(__xludf.DUMMYFUNCTION("""COMPUTED_VALUE"""),"Vegetables")</f>
        <v>Vegetables</v>
      </c>
      <c r="D2059">
        <f>IFERROR(__xludf.DUMMYFUNCTION("""COMPUTED_VALUE"""),23.0)</f>
        <v>23</v>
      </c>
      <c r="E2059">
        <f>IFERROR(__xludf.DUMMYFUNCTION("""COMPUTED_VALUE"""),0.6)</f>
        <v>0.6</v>
      </c>
      <c r="F2059">
        <f>IFERROR(__xludf.DUMMYFUNCTION("""COMPUTED_VALUE"""),1.89)</f>
        <v>1.89</v>
      </c>
      <c r="G2059">
        <f>IFERROR(__xludf.DUMMYFUNCTION("""COMPUTED_VALUE"""),3.77)</f>
        <v>3.77</v>
      </c>
    </row>
    <row r="2060">
      <c r="A2060">
        <f>IFERROR(__xludf.DUMMYFUNCTION("""COMPUTED_VALUE"""),787251.0)</f>
        <v>787251</v>
      </c>
      <c r="B2060" t="str">
        <f>IFERROR(__xludf.DUMMYFUNCTION("""COMPUTED_VALUE"""),"Cress Cooked From Canned Fat Not Added In Cooking")</f>
        <v>Cress Cooked From Canned Fat Not Added In Cooking</v>
      </c>
      <c r="C2060" t="str">
        <f>IFERROR(__xludf.DUMMYFUNCTION("""COMPUTED_VALUE"""),"Vegetables")</f>
        <v>Vegetables</v>
      </c>
      <c r="D2060">
        <f>IFERROR(__xludf.DUMMYFUNCTION("""COMPUTED_VALUE"""),23.0)</f>
        <v>23</v>
      </c>
      <c r="E2060">
        <f>IFERROR(__xludf.DUMMYFUNCTION("""COMPUTED_VALUE"""),0.6)</f>
        <v>0.6</v>
      </c>
      <c r="F2060">
        <f>IFERROR(__xludf.DUMMYFUNCTION("""COMPUTED_VALUE"""),1.89)</f>
        <v>1.89</v>
      </c>
      <c r="G2060">
        <f>IFERROR(__xludf.DUMMYFUNCTION("""COMPUTED_VALUE"""),3.77)</f>
        <v>3.77</v>
      </c>
    </row>
    <row r="2061">
      <c r="A2061">
        <f>IFERROR(__xludf.DUMMYFUNCTION("""COMPUTED_VALUE"""),787252.0)</f>
        <v>787252</v>
      </c>
      <c r="B2061" t="str">
        <f>IFERROR(__xludf.DUMMYFUNCTION("""COMPUTED_VALUE"""),"Cress Cooked Ns As To Form Fat Added In Cooking Ns As To Type Of Fat")</f>
        <v>Cress Cooked Ns As To Form Fat Added In Cooking Ns As To Type Of Fat</v>
      </c>
      <c r="C2061" t="str">
        <f>IFERROR(__xludf.DUMMYFUNCTION("""COMPUTED_VALUE"""),"Vegetables")</f>
        <v>Vegetables</v>
      </c>
      <c r="D2061">
        <f>IFERROR(__xludf.DUMMYFUNCTION("""COMPUTED_VALUE"""),44.0)</f>
        <v>44</v>
      </c>
      <c r="E2061">
        <f>IFERROR(__xludf.DUMMYFUNCTION("""COMPUTED_VALUE"""),3.02)</f>
        <v>3.02</v>
      </c>
      <c r="F2061">
        <f>IFERROR(__xludf.DUMMYFUNCTION("""COMPUTED_VALUE"""),1.84)</f>
        <v>1.84</v>
      </c>
      <c r="G2061">
        <f>IFERROR(__xludf.DUMMYFUNCTION("""COMPUTED_VALUE"""),3.66)</f>
        <v>3.66</v>
      </c>
    </row>
    <row r="2062">
      <c r="A2062">
        <f>IFERROR(__xludf.DUMMYFUNCTION("""COMPUTED_VALUE"""),787253.0)</f>
        <v>787253</v>
      </c>
      <c r="B2062" t="str">
        <f>IFERROR(__xludf.DUMMYFUNCTION("""COMPUTED_VALUE"""),"Cress Cooked From Fresh Fat Added In Cooking Ns As To Type Of Fat")</f>
        <v>Cress Cooked From Fresh Fat Added In Cooking Ns As To Type Of Fat</v>
      </c>
      <c r="C2062" t="str">
        <f>IFERROR(__xludf.DUMMYFUNCTION("""COMPUTED_VALUE"""),"Vegetables")</f>
        <v>Vegetables</v>
      </c>
      <c r="D2062">
        <f>IFERROR(__xludf.DUMMYFUNCTION("""COMPUTED_VALUE"""),44.0)</f>
        <v>44</v>
      </c>
      <c r="E2062">
        <f>IFERROR(__xludf.DUMMYFUNCTION("""COMPUTED_VALUE"""),3.02)</f>
        <v>3.02</v>
      </c>
      <c r="F2062">
        <f>IFERROR(__xludf.DUMMYFUNCTION("""COMPUTED_VALUE"""),1.84)</f>
        <v>1.84</v>
      </c>
      <c r="G2062">
        <f>IFERROR(__xludf.DUMMYFUNCTION("""COMPUTED_VALUE"""),3.66)</f>
        <v>3.66</v>
      </c>
    </row>
    <row r="2063">
      <c r="A2063">
        <f>IFERROR(__xludf.DUMMYFUNCTION("""COMPUTED_VALUE"""),787254.0)</f>
        <v>787254</v>
      </c>
      <c r="B2063" t="str">
        <f>IFERROR(__xludf.DUMMYFUNCTION("""COMPUTED_VALUE"""),"Cress Cooked From Canned Fat Added In Cooking Ns As To Type Of Fat")</f>
        <v>Cress Cooked From Canned Fat Added In Cooking Ns As To Type Of Fat</v>
      </c>
      <c r="C2063" t="str">
        <f>IFERROR(__xludf.DUMMYFUNCTION("""COMPUTED_VALUE"""),"Vegetables")</f>
        <v>Vegetables</v>
      </c>
      <c r="D2063">
        <f>IFERROR(__xludf.DUMMYFUNCTION("""COMPUTED_VALUE"""),44.0)</f>
        <v>44</v>
      </c>
      <c r="E2063">
        <f>IFERROR(__xludf.DUMMYFUNCTION("""COMPUTED_VALUE"""),3.02)</f>
        <v>3.02</v>
      </c>
      <c r="F2063">
        <f>IFERROR(__xludf.DUMMYFUNCTION("""COMPUTED_VALUE"""),1.84)</f>
        <v>1.84</v>
      </c>
      <c r="G2063">
        <f>IFERROR(__xludf.DUMMYFUNCTION("""COMPUTED_VALUE"""),3.66)</f>
        <v>3.66</v>
      </c>
    </row>
    <row r="2064">
      <c r="A2064">
        <f>IFERROR(__xludf.DUMMYFUNCTION("""COMPUTED_VALUE"""),787255.0)</f>
        <v>787255</v>
      </c>
      <c r="B2064" t="str">
        <f>IFERROR(__xludf.DUMMYFUNCTION("""COMPUTED_VALUE"""),"Cress Cooked Ns As To Form Made With Oil")</f>
        <v>Cress Cooked Ns As To Form Made With Oil</v>
      </c>
      <c r="C2064" t="str">
        <f>IFERROR(__xludf.DUMMYFUNCTION("""COMPUTED_VALUE"""),"Vegetables")</f>
        <v>Vegetables</v>
      </c>
      <c r="D2064">
        <f>IFERROR(__xludf.DUMMYFUNCTION("""COMPUTED_VALUE"""),51.0)</f>
        <v>51</v>
      </c>
      <c r="E2064">
        <f>IFERROR(__xludf.DUMMYFUNCTION("""COMPUTED_VALUE"""),3.81)</f>
        <v>3.81</v>
      </c>
      <c r="F2064">
        <f>IFERROR(__xludf.DUMMYFUNCTION("""COMPUTED_VALUE"""),1.82)</f>
        <v>1.82</v>
      </c>
      <c r="G2064">
        <f>IFERROR(__xludf.DUMMYFUNCTION("""COMPUTED_VALUE"""),3.65)</f>
        <v>3.65</v>
      </c>
    </row>
    <row r="2065">
      <c r="A2065">
        <f>IFERROR(__xludf.DUMMYFUNCTION("""COMPUTED_VALUE"""),787256.0)</f>
        <v>787256</v>
      </c>
      <c r="B2065" t="str">
        <f>IFERROR(__xludf.DUMMYFUNCTION("""COMPUTED_VALUE"""),"Cress Cooked Ns As To Form Made With Butter")</f>
        <v>Cress Cooked Ns As To Form Made With Butter</v>
      </c>
      <c r="C2065" t="str">
        <f>IFERROR(__xludf.DUMMYFUNCTION("""COMPUTED_VALUE"""),"Vegetables")</f>
        <v>Vegetables</v>
      </c>
      <c r="D2065">
        <f>IFERROR(__xludf.DUMMYFUNCTION("""COMPUTED_VALUE"""),46.0)</f>
        <v>46</v>
      </c>
      <c r="E2065">
        <f>IFERROR(__xludf.DUMMYFUNCTION("""COMPUTED_VALUE"""),3.3)</f>
        <v>3.3</v>
      </c>
      <c r="F2065">
        <f>IFERROR(__xludf.DUMMYFUNCTION("""COMPUTED_VALUE"""),1.85)</f>
        <v>1.85</v>
      </c>
      <c r="G2065">
        <f>IFERROR(__xludf.DUMMYFUNCTION("""COMPUTED_VALUE"""),3.65)</f>
        <v>3.65</v>
      </c>
    </row>
    <row r="2066">
      <c r="A2066">
        <f>IFERROR(__xludf.DUMMYFUNCTION("""COMPUTED_VALUE"""),787257.0)</f>
        <v>787257</v>
      </c>
      <c r="B2066" t="str">
        <f>IFERROR(__xludf.DUMMYFUNCTION("""COMPUTED_VALUE"""),"Cress Cooked Ns As To Form Made With Margarine")</f>
        <v>Cress Cooked Ns As To Form Made With Margarine</v>
      </c>
      <c r="C2066" t="str">
        <f>IFERROR(__xludf.DUMMYFUNCTION("""COMPUTED_VALUE"""),"Vegetables")</f>
        <v>Vegetables</v>
      </c>
      <c r="D2066">
        <f>IFERROR(__xludf.DUMMYFUNCTION("""COMPUTED_VALUE"""),40.0)</f>
        <v>40</v>
      </c>
      <c r="E2066">
        <f>IFERROR(__xludf.DUMMYFUNCTION("""COMPUTED_VALUE"""),2.6)</f>
        <v>2.6</v>
      </c>
      <c r="F2066">
        <f>IFERROR(__xludf.DUMMYFUNCTION("""COMPUTED_VALUE"""),1.83)</f>
        <v>1.83</v>
      </c>
      <c r="G2066">
        <f>IFERROR(__xludf.DUMMYFUNCTION("""COMPUTED_VALUE"""),3.67)</f>
        <v>3.67</v>
      </c>
    </row>
    <row r="2067">
      <c r="A2067">
        <f>IFERROR(__xludf.DUMMYFUNCTION("""COMPUTED_VALUE"""),787258.0)</f>
        <v>787258</v>
      </c>
      <c r="B2067" t="str">
        <f>IFERROR(__xludf.DUMMYFUNCTION("""COMPUTED_VALUE"""),"Cress Cooked From Fresh Made With Oil")</f>
        <v>Cress Cooked From Fresh Made With Oil</v>
      </c>
      <c r="C2067" t="str">
        <f>IFERROR(__xludf.DUMMYFUNCTION("""COMPUTED_VALUE"""),"Vegetables")</f>
        <v>Vegetables</v>
      </c>
      <c r="D2067">
        <f>IFERROR(__xludf.DUMMYFUNCTION("""COMPUTED_VALUE"""),51.0)</f>
        <v>51</v>
      </c>
      <c r="E2067">
        <f>IFERROR(__xludf.DUMMYFUNCTION("""COMPUTED_VALUE"""),3.81)</f>
        <v>3.81</v>
      </c>
      <c r="F2067">
        <f>IFERROR(__xludf.DUMMYFUNCTION("""COMPUTED_VALUE"""),1.82)</f>
        <v>1.82</v>
      </c>
      <c r="G2067">
        <f>IFERROR(__xludf.DUMMYFUNCTION("""COMPUTED_VALUE"""),3.65)</f>
        <v>3.65</v>
      </c>
    </row>
    <row r="2068">
      <c r="A2068">
        <f>IFERROR(__xludf.DUMMYFUNCTION("""COMPUTED_VALUE"""),787259.0)</f>
        <v>787259</v>
      </c>
      <c r="B2068" t="str">
        <f>IFERROR(__xludf.DUMMYFUNCTION("""COMPUTED_VALUE"""),"Cress Cooked From Fresh Made With Butter")</f>
        <v>Cress Cooked From Fresh Made With Butter</v>
      </c>
      <c r="C2068" t="str">
        <f>IFERROR(__xludf.DUMMYFUNCTION("""COMPUTED_VALUE"""),"Vegetables")</f>
        <v>Vegetables</v>
      </c>
      <c r="D2068">
        <f>IFERROR(__xludf.DUMMYFUNCTION("""COMPUTED_VALUE"""),46.0)</f>
        <v>46</v>
      </c>
      <c r="E2068">
        <f>IFERROR(__xludf.DUMMYFUNCTION("""COMPUTED_VALUE"""),3.3)</f>
        <v>3.3</v>
      </c>
      <c r="F2068">
        <f>IFERROR(__xludf.DUMMYFUNCTION("""COMPUTED_VALUE"""),1.85)</f>
        <v>1.85</v>
      </c>
      <c r="G2068">
        <f>IFERROR(__xludf.DUMMYFUNCTION("""COMPUTED_VALUE"""),3.65)</f>
        <v>3.65</v>
      </c>
    </row>
    <row r="2069">
      <c r="A2069">
        <f>IFERROR(__xludf.DUMMYFUNCTION("""COMPUTED_VALUE"""),787260.0)</f>
        <v>787260</v>
      </c>
      <c r="B2069" t="str">
        <f>IFERROR(__xludf.DUMMYFUNCTION("""COMPUTED_VALUE"""),"Cress Cooked From Fresh Made With Margarine")</f>
        <v>Cress Cooked From Fresh Made With Margarine</v>
      </c>
      <c r="C2069" t="str">
        <f>IFERROR(__xludf.DUMMYFUNCTION("""COMPUTED_VALUE"""),"Vegetables")</f>
        <v>Vegetables</v>
      </c>
      <c r="D2069">
        <f>IFERROR(__xludf.DUMMYFUNCTION("""COMPUTED_VALUE"""),40.0)</f>
        <v>40</v>
      </c>
      <c r="E2069">
        <f>IFERROR(__xludf.DUMMYFUNCTION("""COMPUTED_VALUE"""),2.6)</f>
        <v>2.6</v>
      </c>
      <c r="F2069">
        <f>IFERROR(__xludf.DUMMYFUNCTION("""COMPUTED_VALUE"""),1.83)</f>
        <v>1.83</v>
      </c>
      <c r="G2069">
        <f>IFERROR(__xludf.DUMMYFUNCTION("""COMPUTED_VALUE"""),3.67)</f>
        <v>3.67</v>
      </c>
    </row>
    <row r="2070">
      <c r="A2070">
        <f>IFERROR(__xludf.DUMMYFUNCTION("""COMPUTED_VALUE"""),787261.0)</f>
        <v>787261</v>
      </c>
      <c r="B2070" t="str">
        <f>IFERROR(__xludf.DUMMYFUNCTION("""COMPUTED_VALUE"""),"Cress Cooked From Canned Made With Oil")</f>
        <v>Cress Cooked From Canned Made With Oil</v>
      </c>
      <c r="C2070" t="str">
        <f>IFERROR(__xludf.DUMMYFUNCTION("""COMPUTED_VALUE"""),"Vegetables")</f>
        <v>Vegetables</v>
      </c>
      <c r="D2070">
        <f>IFERROR(__xludf.DUMMYFUNCTION("""COMPUTED_VALUE"""),51.0)</f>
        <v>51</v>
      </c>
      <c r="E2070">
        <f>IFERROR(__xludf.DUMMYFUNCTION("""COMPUTED_VALUE"""),3.81)</f>
        <v>3.81</v>
      </c>
      <c r="F2070">
        <f>IFERROR(__xludf.DUMMYFUNCTION("""COMPUTED_VALUE"""),1.82)</f>
        <v>1.82</v>
      </c>
      <c r="G2070">
        <f>IFERROR(__xludf.DUMMYFUNCTION("""COMPUTED_VALUE"""),3.65)</f>
        <v>3.65</v>
      </c>
    </row>
    <row r="2071">
      <c r="A2071">
        <f>IFERROR(__xludf.DUMMYFUNCTION("""COMPUTED_VALUE"""),787262.0)</f>
        <v>787262</v>
      </c>
      <c r="B2071" t="str">
        <f>IFERROR(__xludf.DUMMYFUNCTION("""COMPUTED_VALUE"""),"Cress Cooked From Canned Made With Butter")</f>
        <v>Cress Cooked From Canned Made With Butter</v>
      </c>
      <c r="C2071" t="str">
        <f>IFERROR(__xludf.DUMMYFUNCTION("""COMPUTED_VALUE"""),"Vegetables")</f>
        <v>Vegetables</v>
      </c>
      <c r="D2071">
        <f>IFERROR(__xludf.DUMMYFUNCTION("""COMPUTED_VALUE"""),46.0)</f>
        <v>46</v>
      </c>
      <c r="E2071">
        <f>IFERROR(__xludf.DUMMYFUNCTION("""COMPUTED_VALUE"""),3.3)</f>
        <v>3.3</v>
      </c>
      <c r="F2071">
        <f>IFERROR(__xludf.DUMMYFUNCTION("""COMPUTED_VALUE"""),1.85)</f>
        <v>1.85</v>
      </c>
      <c r="G2071">
        <f>IFERROR(__xludf.DUMMYFUNCTION("""COMPUTED_VALUE"""),3.65)</f>
        <v>3.65</v>
      </c>
    </row>
    <row r="2072">
      <c r="A2072">
        <f>IFERROR(__xludf.DUMMYFUNCTION("""COMPUTED_VALUE"""),787263.0)</f>
        <v>787263</v>
      </c>
      <c r="B2072" t="str">
        <f>IFERROR(__xludf.DUMMYFUNCTION("""COMPUTED_VALUE"""),"Cress Cooked From Canned Made With Margarine")</f>
        <v>Cress Cooked From Canned Made With Margarine</v>
      </c>
      <c r="C2072" t="str">
        <f>IFERROR(__xludf.DUMMYFUNCTION("""COMPUTED_VALUE"""),"Vegetables")</f>
        <v>Vegetables</v>
      </c>
      <c r="D2072">
        <f>IFERROR(__xludf.DUMMYFUNCTION("""COMPUTED_VALUE"""),40.0)</f>
        <v>40</v>
      </c>
      <c r="E2072">
        <f>IFERROR(__xludf.DUMMYFUNCTION("""COMPUTED_VALUE"""),2.6)</f>
        <v>2.6</v>
      </c>
      <c r="F2072">
        <f>IFERROR(__xludf.DUMMYFUNCTION("""COMPUTED_VALUE"""),1.83)</f>
        <v>1.83</v>
      </c>
      <c r="G2072">
        <f>IFERROR(__xludf.DUMMYFUNCTION("""COMPUTED_VALUE"""),3.67)</f>
        <v>3.67</v>
      </c>
    </row>
    <row r="2073">
      <c r="A2073">
        <f>IFERROR(__xludf.DUMMYFUNCTION("""COMPUTED_VALUE"""),787265.0)</f>
        <v>787265</v>
      </c>
      <c r="B2073" t="str">
        <f>IFERROR(__xludf.DUMMYFUNCTION("""COMPUTED_VALUE"""),"Dandelion Greens Cooked Ns As To Fat Added In Cooking")</f>
        <v>Dandelion Greens Cooked Ns As To Fat Added In Cooking</v>
      </c>
      <c r="C2073" t="str">
        <f>IFERROR(__xludf.DUMMYFUNCTION("""COMPUTED_VALUE"""),"Vegetables")</f>
        <v>Vegetables</v>
      </c>
      <c r="D2073">
        <f>IFERROR(__xludf.DUMMYFUNCTION("""COMPUTED_VALUE"""),59.0)</f>
        <v>59</v>
      </c>
      <c r="E2073">
        <f>IFERROR(__xludf.DUMMYFUNCTION("""COMPUTED_VALUE"""),3.67)</f>
        <v>3.67</v>
      </c>
      <c r="F2073">
        <f>IFERROR(__xludf.DUMMYFUNCTION("""COMPUTED_VALUE"""),1.92)</f>
        <v>1.92</v>
      </c>
      <c r="G2073">
        <f>IFERROR(__xludf.DUMMYFUNCTION("""COMPUTED_VALUE"""),6.08)</f>
        <v>6.08</v>
      </c>
    </row>
    <row r="2074">
      <c r="A2074">
        <f>IFERROR(__xludf.DUMMYFUNCTION("""COMPUTED_VALUE"""),787266.0)</f>
        <v>787266</v>
      </c>
      <c r="B2074" t="str">
        <f>IFERROR(__xludf.DUMMYFUNCTION("""COMPUTED_VALUE"""),"Dandelion Greens Cooked Fat Not Added In Cooking")</f>
        <v>Dandelion Greens Cooked Fat Not Added In Cooking</v>
      </c>
      <c r="C2074" t="str">
        <f>IFERROR(__xludf.DUMMYFUNCTION("""COMPUTED_VALUE"""),"Vegetables")</f>
        <v>Vegetables</v>
      </c>
      <c r="D2074">
        <f>IFERROR(__xludf.DUMMYFUNCTION("""COMPUTED_VALUE"""),33.0)</f>
        <v>33</v>
      </c>
      <c r="E2074">
        <f>IFERROR(__xludf.DUMMYFUNCTION("""COMPUTED_VALUE"""),0.59)</f>
        <v>0.59</v>
      </c>
      <c r="F2074">
        <f>IFERROR(__xludf.DUMMYFUNCTION("""COMPUTED_VALUE"""),1.98)</f>
        <v>1.98</v>
      </c>
      <c r="G2074">
        <f>IFERROR(__xludf.DUMMYFUNCTION("""COMPUTED_VALUE"""),6.34)</f>
        <v>6.34</v>
      </c>
    </row>
    <row r="2075">
      <c r="A2075">
        <f>IFERROR(__xludf.DUMMYFUNCTION("""COMPUTED_VALUE"""),787267.0)</f>
        <v>787267</v>
      </c>
      <c r="B2075" t="str">
        <f>IFERROR(__xludf.DUMMYFUNCTION("""COMPUTED_VALUE"""),"Dandelion Greens Cooked Fat Added In Cooking Ns As To Type Of Fat")</f>
        <v>Dandelion Greens Cooked Fat Added In Cooking Ns As To Type Of Fat</v>
      </c>
      <c r="C2075" t="str">
        <f>IFERROR(__xludf.DUMMYFUNCTION("""COMPUTED_VALUE"""),"Vegetables")</f>
        <v>Vegetables</v>
      </c>
      <c r="D2075">
        <f>IFERROR(__xludf.DUMMYFUNCTION("""COMPUTED_VALUE"""),59.0)</f>
        <v>59</v>
      </c>
      <c r="E2075">
        <f>IFERROR(__xludf.DUMMYFUNCTION("""COMPUTED_VALUE"""),3.67)</f>
        <v>3.67</v>
      </c>
      <c r="F2075">
        <f>IFERROR(__xludf.DUMMYFUNCTION("""COMPUTED_VALUE"""),1.92)</f>
        <v>1.92</v>
      </c>
      <c r="G2075">
        <f>IFERROR(__xludf.DUMMYFUNCTION("""COMPUTED_VALUE"""),6.08)</f>
        <v>6.08</v>
      </c>
    </row>
    <row r="2076">
      <c r="A2076">
        <f>IFERROR(__xludf.DUMMYFUNCTION("""COMPUTED_VALUE"""),787268.0)</f>
        <v>787268</v>
      </c>
      <c r="B2076" t="str">
        <f>IFERROR(__xludf.DUMMYFUNCTION("""COMPUTED_VALUE"""),"Dandelion Greens Cooked Made With Oil")</f>
        <v>Dandelion Greens Cooked Made With Oil</v>
      </c>
      <c r="C2076" t="str">
        <f>IFERROR(__xludf.DUMMYFUNCTION("""COMPUTED_VALUE"""),"Vegetables")</f>
        <v>Vegetables</v>
      </c>
      <c r="D2076">
        <f>IFERROR(__xludf.DUMMYFUNCTION("""COMPUTED_VALUE"""),68.0)</f>
        <v>68</v>
      </c>
      <c r="E2076">
        <f>IFERROR(__xludf.DUMMYFUNCTION("""COMPUTED_VALUE"""),4.68)</f>
        <v>4.68</v>
      </c>
      <c r="F2076">
        <f>IFERROR(__xludf.DUMMYFUNCTION("""COMPUTED_VALUE"""),1.9)</f>
        <v>1.9</v>
      </c>
      <c r="G2076">
        <f>IFERROR(__xludf.DUMMYFUNCTION("""COMPUTED_VALUE"""),6.08)</f>
        <v>6.08</v>
      </c>
    </row>
    <row r="2077">
      <c r="A2077">
        <f>IFERROR(__xludf.DUMMYFUNCTION("""COMPUTED_VALUE"""),787269.0)</f>
        <v>787269</v>
      </c>
      <c r="B2077" t="str">
        <f>IFERROR(__xludf.DUMMYFUNCTION("""COMPUTED_VALUE"""),"Dandelion Greens Cooked Made With Butter")</f>
        <v>Dandelion Greens Cooked Made With Butter</v>
      </c>
      <c r="C2077" t="str">
        <f>IFERROR(__xludf.DUMMYFUNCTION("""COMPUTED_VALUE"""),"Vegetables")</f>
        <v>Vegetables</v>
      </c>
      <c r="D2077">
        <f>IFERROR(__xludf.DUMMYFUNCTION("""COMPUTED_VALUE"""),62.0)</f>
        <v>62</v>
      </c>
      <c r="E2077">
        <f>IFERROR(__xludf.DUMMYFUNCTION("""COMPUTED_VALUE"""),4.03)</f>
        <v>4.03</v>
      </c>
      <c r="F2077">
        <f>IFERROR(__xludf.DUMMYFUNCTION("""COMPUTED_VALUE"""),1.93)</f>
        <v>1.93</v>
      </c>
      <c r="G2077">
        <f>IFERROR(__xludf.DUMMYFUNCTION("""COMPUTED_VALUE"""),6.07)</f>
        <v>6.07</v>
      </c>
    </row>
    <row r="2078">
      <c r="A2078">
        <f>IFERROR(__xludf.DUMMYFUNCTION("""COMPUTED_VALUE"""),787270.0)</f>
        <v>787270</v>
      </c>
      <c r="B2078" t="str">
        <f>IFERROR(__xludf.DUMMYFUNCTION("""COMPUTED_VALUE"""),"Dandelion Greens Cooked Made With Margarine")</f>
        <v>Dandelion Greens Cooked Made With Margarine</v>
      </c>
      <c r="C2078" t="str">
        <f>IFERROR(__xludf.DUMMYFUNCTION("""COMPUTED_VALUE"""),"Vegetables")</f>
        <v>Vegetables</v>
      </c>
      <c r="D2078">
        <f>IFERROR(__xludf.DUMMYFUNCTION("""COMPUTED_VALUE"""),54.0)</f>
        <v>54</v>
      </c>
      <c r="E2078">
        <f>IFERROR(__xludf.DUMMYFUNCTION("""COMPUTED_VALUE"""),3.14)</f>
        <v>3.14</v>
      </c>
      <c r="F2078">
        <f>IFERROR(__xludf.DUMMYFUNCTION("""COMPUTED_VALUE"""),1.9)</f>
        <v>1.9</v>
      </c>
      <c r="G2078">
        <f>IFERROR(__xludf.DUMMYFUNCTION("""COMPUTED_VALUE"""),6.1)</f>
        <v>6.1</v>
      </c>
    </row>
    <row r="2079">
      <c r="A2079">
        <f>IFERROR(__xludf.DUMMYFUNCTION("""COMPUTED_VALUE"""),787271.0)</f>
        <v>787271</v>
      </c>
      <c r="B2079" t="str">
        <f>IFERROR(__xludf.DUMMYFUNCTION("""COMPUTED_VALUE"""),"Romaine Lettuce Raw")</f>
        <v>Romaine Lettuce Raw</v>
      </c>
      <c r="C2079" t="str">
        <f>IFERROR(__xludf.DUMMYFUNCTION("""COMPUTED_VALUE"""),"Vegetables")</f>
        <v>Vegetables</v>
      </c>
      <c r="D2079">
        <f>IFERROR(__xludf.DUMMYFUNCTION("""COMPUTED_VALUE"""),19.0)</f>
        <v>19</v>
      </c>
      <c r="E2079">
        <f>IFERROR(__xludf.DUMMYFUNCTION("""COMPUTED_VALUE"""),0.27)</f>
        <v>0.27</v>
      </c>
      <c r="F2079">
        <f>IFERROR(__xludf.DUMMYFUNCTION("""COMPUTED_VALUE"""),1.39)</f>
        <v>1.39</v>
      </c>
      <c r="G2079">
        <f>IFERROR(__xludf.DUMMYFUNCTION("""COMPUTED_VALUE"""),3.78)</f>
        <v>3.78</v>
      </c>
    </row>
    <row r="2080">
      <c r="A2080">
        <f>IFERROR(__xludf.DUMMYFUNCTION("""COMPUTED_VALUE"""),787272.0)</f>
        <v>787272</v>
      </c>
      <c r="B2080" t="str">
        <f>IFERROR(__xludf.DUMMYFUNCTION("""COMPUTED_VALUE"""),"Caesar Salad With Romaine No Dressing")</f>
        <v>Caesar Salad With Romaine No Dressing</v>
      </c>
      <c r="C2080" t="str">
        <f>IFERROR(__xludf.DUMMYFUNCTION("""COMPUTED_VALUE"""),"Vegetables")</f>
        <v>Vegetables</v>
      </c>
      <c r="D2080">
        <f>IFERROR(__xludf.DUMMYFUNCTION("""COMPUTED_VALUE"""),71.0)</f>
        <v>71</v>
      </c>
      <c r="E2080">
        <f>IFERROR(__xludf.DUMMYFUNCTION("""COMPUTED_VALUE"""),3.41)</f>
        <v>3.41</v>
      </c>
      <c r="F2080">
        <f>IFERROR(__xludf.DUMMYFUNCTION("""COMPUTED_VALUE"""),4.77)</f>
        <v>4.77</v>
      </c>
      <c r="G2080">
        <f>IFERROR(__xludf.DUMMYFUNCTION("""COMPUTED_VALUE"""),6.0)</f>
        <v>6</v>
      </c>
    </row>
    <row r="2081">
      <c r="A2081">
        <f>IFERROR(__xludf.DUMMYFUNCTION("""COMPUTED_VALUE"""),787273.0)</f>
        <v>787273</v>
      </c>
      <c r="B2081" t="str">
        <f>IFERROR(__xludf.DUMMYFUNCTION("""COMPUTED_VALUE"""),"Escarole Cooked Ns As To Fat Added In Cooking")</f>
        <v>Escarole Cooked Ns As To Fat Added In Cooking</v>
      </c>
      <c r="C2081" t="str">
        <f>IFERROR(__xludf.DUMMYFUNCTION("""COMPUTED_VALUE"""),"Vegetables")</f>
        <v>Vegetables</v>
      </c>
      <c r="D2081">
        <f>IFERROR(__xludf.DUMMYFUNCTION("""COMPUTED_VALUE"""),47.0)</f>
        <v>47</v>
      </c>
      <c r="E2081">
        <f>IFERROR(__xludf.DUMMYFUNCTION("""COMPUTED_VALUE"""),3.4)</f>
        <v>3.4</v>
      </c>
      <c r="F2081">
        <f>IFERROR(__xludf.DUMMYFUNCTION("""COMPUTED_VALUE"""),1.1)</f>
        <v>1.1</v>
      </c>
      <c r="G2081">
        <f>IFERROR(__xludf.DUMMYFUNCTION("""COMPUTED_VALUE"""),2.95)</f>
        <v>2.95</v>
      </c>
    </row>
    <row r="2082">
      <c r="A2082">
        <f>IFERROR(__xludf.DUMMYFUNCTION("""COMPUTED_VALUE"""),787274.0)</f>
        <v>787274</v>
      </c>
      <c r="B2082" t="str">
        <f>IFERROR(__xludf.DUMMYFUNCTION("""COMPUTED_VALUE"""),"Escarole Cooked Fat Not Added In Cooking")</f>
        <v>Escarole Cooked Fat Not Added In Cooking</v>
      </c>
      <c r="C2082" t="str">
        <f>IFERROR(__xludf.DUMMYFUNCTION("""COMPUTED_VALUE"""),"Vegetables")</f>
        <v>Vegetables</v>
      </c>
      <c r="D2082">
        <f>IFERROR(__xludf.DUMMYFUNCTION("""COMPUTED_VALUE"""),19.0)</f>
        <v>19</v>
      </c>
      <c r="E2082">
        <f>IFERROR(__xludf.DUMMYFUNCTION("""COMPUTED_VALUE"""),0.18)</f>
        <v>0.18</v>
      </c>
      <c r="F2082">
        <f>IFERROR(__xludf.DUMMYFUNCTION("""COMPUTED_VALUE"""),1.14)</f>
        <v>1.14</v>
      </c>
      <c r="G2082">
        <f>IFERROR(__xludf.DUMMYFUNCTION("""COMPUTED_VALUE"""),3.05)</f>
        <v>3.05</v>
      </c>
    </row>
    <row r="2083">
      <c r="A2083">
        <f>IFERROR(__xludf.DUMMYFUNCTION("""COMPUTED_VALUE"""),787275.0)</f>
        <v>787275</v>
      </c>
      <c r="B2083" t="str">
        <f>IFERROR(__xludf.DUMMYFUNCTION("""COMPUTED_VALUE"""),"Escarole Cooked Fat Added In Cooking Ns As To Type Of Fat")</f>
        <v>Escarole Cooked Fat Added In Cooking Ns As To Type Of Fat</v>
      </c>
      <c r="C2083" t="str">
        <f>IFERROR(__xludf.DUMMYFUNCTION("""COMPUTED_VALUE"""),"Vegetables")</f>
        <v>Vegetables</v>
      </c>
      <c r="D2083">
        <f>IFERROR(__xludf.DUMMYFUNCTION("""COMPUTED_VALUE"""),47.0)</f>
        <v>47</v>
      </c>
      <c r="E2083">
        <f>IFERROR(__xludf.DUMMYFUNCTION("""COMPUTED_VALUE"""),3.4)</f>
        <v>3.4</v>
      </c>
      <c r="F2083">
        <f>IFERROR(__xludf.DUMMYFUNCTION("""COMPUTED_VALUE"""),1.1)</f>
        <v>1.1</v>
      </c>
      <c r="G2083">
        <f>IFERROR(__xludf.DUMMYFUNCTION("""COMPUTED_VALUE"""),2.95)</f>
        <v>2.95</v>
      </c>
    </row>
    <row r="2084">
      <c r="A2084">
        <f>IFERROR(__xludf.DUMMYFUNCTION("""COMPUTED_VALUE"""),787276.0)</f>
        <v>787276</v>
      </c>
      <c r="B2084" t="str">
        <f>IFERROR(__xludf.DUMMYFUNCTION("""COMPUTED_VALUE"""),"Escarole Cooked Made With Oil")</f>
        <v>Escarole Cooked Made With Oil</v>
      </c>
      <c r="C2084" t="str">
        <f>IFERROR(__xludf.DUMMYFUNCTION("""COMPUTED_VALUE"""),"Vegetables")</f>
        <v>Vegetables</v>
      </c>
      <c r="D2084">
        <f>IFERROR(__xludf.DUMMYFUNCTION("""COMPUTED_VALUE"""),47.0)</f>
        <v>47</v>
      </c>
      <c r="E2084">
        <f>IFERROR(__xludf.DUMMYFUNCTION("""COMPUTED_VALUE"""),3.4)</f>
        <v>3.4</v>
      </c>
      <c r="F2084">
        <f>IFERROR(__xludf.DUMMYFUNCTION("""COMPUTED_VALUE"""),1.1)</f>
        <v>1.1</v>
      </c>
      <c r="G2084">
        <f>IFERROR(__xludf.DUMMYFUNCTION("""COMPUTED_VALUE"""),2.95)</f>
        <v>2.95</v>
      </c>
    </row>
    <row r="2085">
      <c r="A2085">
        <f>IFERROR(__xludf.DUMMYFUNCTION("""COMPUTED_VALUE"""),787277.0)</f>
        <v>787277</v>
      </c>
      <c r="B2085" t="str">
        <f>IFERROR(__xludf.DUMMYFUNCTION("""COMPUTED_VALUE"""),"Escarole Cooked Made With Butter")</f>
        <v>Escarole Cooked Made With Butter</v>
      </c>
      <c r="C2085" t="str">
        <f>IFERROR(__xludf.DUMMYFUNCTION("""COMPUTED_VALUE"""),"Vegetables")</f>
        <v>Vegetables</v>
      </c>
      <c r="D2085">
        <f>IFERROR(__xludf.DUMMYFUNCTION("""COMPUTED_VALUE"""),42.0)</f>
        <v>42</v>
      </c>
      <c r="E2085">
        <f>IFERROR(__xludf.DUMMYFUNCTION("""COMPUTED_VALUE"""),2.9)</f>
        <v>2.9</v>
      </c>
      <c r="F2085">
        <f>IFERROR(__xludf.DUMMYFUNCTION("""COMPUTED_VALUE"""),1.13)</f>
        <v>1.13</v>
      </c>
      <c r="G2085">
        <f>IFERROR(__xludf.DUMMYFUNCTION("""COMPUTED_VALUE"""),2.95)</f>
        <v>2.95</v>
      </c>
    </row>
    <row r="2086">
      <c r="A2086">
        <f>IFERROR(__xludf.DUMMYFUNCTION("""COMPUTED_VALUE"""),787278.0)</f>
        <v>787278</v>
      </c>
      <c r="B2086" t="str">
        <f>IFERROR(__xludf.DUMMYFUNCTION("""COMPUTED_VALUE"""),"Escarole Cooked Made With Margarine")</f>
        <v>Escarole Cooked Made With Margarine</v>
      </c>
      <c r="C2086" t="str">
        <f>IFERROR(__xludf.DUMMYFUNCTION("""COMPUTED_VALUE"""),"Vegetables")</f>
        <v>Vegetables</v>
      </c>
      <c r="D2086">
        <f>IFERROR(__xludf.DUMMYFUNCTION("""COMPUTED_VALUE"""),36.0)</f>
        <v>36</v>
      </c>
      <c r="E2086">
        <f>IFERROR(__xludf.DUMMYFUNCTION("""COMPUTED_VALUE"""),2.2)</f>
        <v>2.2</v>
      </c>
      <c r="F2086">
        <f>IFERROR(__xludf.DUMMYFUNCTION("""COMPUTED_VALUE"""),1.11)</f>
        <v>1.11</v>
      </c>
      <c r="G2086">
        <f>IFERROR(__xludf.DUMMYFUNCTION("""COMPUTED_VALUE"""),2.97)</f>
        <v>2.97</v>
      </c>
    </row>
    <row r="2087">
      <c r="A2087">
        <f>IFERROR(__xludf.DUMMYFUNCTION("""COMPUTED_VALUE"""),787279.0)</f>
        <v>787279</v>
      </c>
      <c r="B2087" t="str">
        <f>IFERROR(__xludf.DUMMYFUNCTION("""COMPUTED_VALUE"""),"Escarole Creamed")</f>
        <v>Escarole Creamed</v>
      </c>
      <c r="C2087" t="str">
        <f>IFERROR(__xludf.DUMMYFUNCTION("""COMPUTED_VALUE"""),"Vegetables")</f>
        <v>Vegetables</v>
      </c>
      <c r="D2087">
        <f>IFERROR(__xludf.DUMMYFUNCTION("""COMPUTED_VALUE"""),80.0)</f>
        <v>80</v>
      </c>
      <c r="E2087">
        <f>IFERROR(__xludf.DUMMYFUNCTION("""COMPUTED_VALUE"""),5.2)</f>
        <v>5.2</v>
      </c>
      <c r="F2087">
        <f>IFERROR(__xludf.DUMMYFUNCTION("""COMPUTED_VALUE"""),2.44)</f>
        <v>2.44</v>
      </c>
      <c r="G2087">
        <f>IFERROR(__xludf.DUMMYFUNCTION("""COMPUTED_VALUE"""),5.99)</f>
        <v>5.99</v>
      </c>
    </row>
    <row r="2088">
      <c r="A2088">
        <f>IFERROR(__xludf.DUMMYFUNCTION("""COMPUTED_VALUE"""),787280.0)</f>
        <v>787280</v>
      </c>
      <c r="B2088" t="str">
        <f>IFERROR(__xludf.DUMMYFUNCTION("""COMPUTED_VALUE"""),"Greens Cooked Ns As To Form Ns As To Fat Added In Cooking")</f>
        <v>Greens Cooked Ns As To Form Ns As To Fat Added In Cooking</v>
      </c>
      <c r="C2088" t="str">
        <f>IFERROR(__xludf.DUMMYFUNCTION("""COMPUTED_VALUE"""),"Vegetables")</f>
        <v>Vegetables</v>
      </c>
      <c r="D2088">
        <f>IFERROR(__xludf.DUMMYFUNCTION("""COMPUTED_VALUE"""),46.0)</f>
        <v>46</v>
      </c>
      <c r="E2088">
        <f>IFERROR(__xludf.DUMMYFUNCTION("""COMPUTED_VALUE"""),2.6)</f>
        <v>2.6</v>
      </c>
      <c r="F2088">
        <f>IFERROR(__xludf.DUMMYFUNCTION("""COMPUTED_VALUE"""),1.94)</f>
        <v>1.94</v>
      </c>
      <c r="G2088">
        <f>IFERROR(__xludf.DUMMYFUNCTION("""COMPUTED_VALUE"""),5.07)</f>
        <v>5.07</v>
      </c>
    </row>
    <row r="2089">
      <c r="A2089">
        <f>IFERROR(__xludf.DUMMYFUNCTION("""COMPUTED_VALUE"""),787281.0)</f>
        <v>787281</v>
      </c>
      <c r="B2089" t="str">
        <f>IFERROR(__xludf.DUMMYFUNCTION("""COMPUTED_VALUE"""),"Greens Cooked From Fresh Ns As To Fat Added In Cooking")</f>
        <v>Greens Cooked From Fresh Ns As To Fat Added In Cooking</v>
      </c>
      <c r="C2089" t="str">
        <f>IFERROR(__xludf.DUMMYFUNCTION("""COMPUTED_VALUE"""),"Vegetables")</f>
        <v>Vegetables</v>
      </c>
      <c r="D2089">
        <f>IFERROR(__xludf.DUMMYFUNCTION("""COMPUTED_VALUE"""),46.0)</f>
        <v>46</v>
      </c>
      <c r="E2089">
        <f>IFERROR(__xludf.DUMMYFUNCTION("""COMPUTED_VALUE"""),2.6)</f>
        <v>2.6</v>
      </c>
      <c r="F2089">
        <f>IFERROR(__xludf.DUMMYFUNCTION("""COMPUTED_VALUE"""),1.94)</f>
        <v>1.94</v>
      </c>
      <c r="G2089">
        <f>IFERROR(__xludf.DUMMYFUNCTION("""COMPUTED_VALUE"""),5.07)</f>
        <v>5.07</v>
      </c>
    </row>
    <row r="2090">
      <c r="A2090">
        <f>IFERROR(__xludf.DUMMYFUNCTION("""COMPUTED_VALUE"""),787282.0)</f>
        <v>787282</v>
      </c>
      <c r="B2090" t="str">
        <f>IFERROR(__xludf.DUMMYFUNCTION("""COMPUTED_VALUE"""),"Greens Cooked From Frozen Ns As To Fat Added In Cooking")</f>
        <v>Greens Cooked From Frozen Ns As To Fat Added In Cooking</v>
      </c>
      <c r="C2090" t="str">
        <f>IFERROR(__xludf.DUMMYFUNCTION("""COMPUTED_VALUE"""),"Vegetables")</f>
        <v>Vegetables</v>
      </c>
      <c r="D2090">
        <f>IFERROR(__xludf.DUMMYFUNCTION("""COMPUTED_VALUE"""),50.0)</f>
        <v>50</v>
      </c>
      <c r="E2090">
        <f>IFERROR(__xludf.DUMMYFUNCTION("""COMPUTED_VALUE"""),2.56)</f>
        <v>2.56</v>
      </c>
      <c r="F2090">
        <f>IFERROR(__xludf.DUMMYFUNCTION("""COMPUTED_VALUE"""),2.98)</f>
        <v>2.98</v>
      </c>
      <c r="G2090">
        <f>IFERROR(__xludf.DUMMYFUNCTION("""COMPUTED_VALUE"""),5.63)</f>
        <v>5.63</v>
      </c>
    </row>
    <row r="2091">
      <c r="A2091">
        <f>IFERROR(__xludf.DUMMYFUNCTION("""COMPUTED_VALUE"""),787283.0)</f>
        <v>787283</v>
      </c>
      <c r="B2091" t="str">
        <f>IFERROR(__xludf.DUMMYFUNCTION("""COMPUTED_VALUE"""),"Greens Cooked From Canned Ns As To Fat Added In Cooking")</f>
        <v>Greens Cooked From Canned Ns As To Fat Added In Cooking</v>
      </c>
      <c r="C2091" t="str">
        <f>IFERROR(__xludf.DUMMYFUNCTION("""COMPUTED_VALUE"""),"Vegetables")</f>
        <v>Vegetables</v>
      </c>
      <c r="D2091">
        <f>IFERROR(__xludf.DUMMYFUNCTION("""COMPUTED_VALUE"""),46.0)</f>
        <v>46</v>
      </c>
      <c r="E2091">
        <f>IFERROR(__xludf.DUMMYFUNCTION("""COMPUTED_VALUE"""),2.6)</f>
        <v>2.6</v>
      </c>
      <c r="F2091">
        <f>IFERROR(__xludf.DUMMYFUNCTION("""COMPUTED_VALUE"""),1.94)</f>
        <v>1.94</v>
      </c>
      <c r="G2091">
        <f>IFERROR(__xludf.DUMMYFUNCTION("""COMPUTED_VALUE"""),5.07)</f>
        <v>5.07</v>
      </c>
    </row>
    <row r="2092">
      <c r="A2092">
        <f>IFERROR(__xludf.DUMMYFUNCTION("""COMPUTED_VALUE"""),787284.0)</f>
        <v>787284</v>
      </c>
      <c r="B2092" t="str">
        <f>IFERROR(__xludf.DUMMYFUNCTION("""COMPUTED_VALUE"""),"Greens Cooked Ns As To Form Fat Not Added In Cooking")</f>
        <v>Greens Cooked Ns As To Form Fat Not Added In Cooking</v>
      </c>
      <c r="C2092" t="str">
        <f>IFERROR(__xludf.DUMMYFUNCTION("""COMPUTED_VALUE"""),"Vegetables")</f>
        <v>Vegetables</v>
      </c>
      <c r="D2092">
        <f>IFERROR(__xludf.DUMMYFUNCTION("""COMPUTED_VALUE"""),27.0)</f>
        <v>27</v>
      </c>
      <c r="E2092">
        <f>IFERROR(__xludf.DUMMYFUNCTION("""COMPUTED_VALUE"""),0.48)</f>
        <v>0.48</v>
      </c>
      <c r="F2092">
        <f>IFERROR(__xludf.DUMMYFUNCTION("""COMPUTED_VALUE"""),1.98)</f>
        <v>1.98</v>
      </c>
      <c r="G2092">
        <f>IFERROR(__xludf.DUMMYFUNCTION("""COMPUTED_VALUE"""),5.21)</f>
        <v>5.21</v>
      </c>
    </row>
    <row r="2093">
      <c r="A2093">
        <f>IFERROR(__xludf.DUMMYFUNCTION("""COMPUTED_VALUE"""),787285.0)</f>
        <v>787285</v>
      </c>
      <c r="B2093" t="str">
        <f>IFERROR(__xludf.DUMMYFUNCTION("""COMPUTED_VALUE"""),"Greens Cooked From Fresh Fat Not Added In Cooking")</f>
        <v>Greens Cooked From Fresh Fat Not Added In Cooking</v>
      </c>
      <c r="C2093" t="str">
        <f>IFERROR(__xludf.DUMMYFUNCTION("""COMPUTED_VALUE"""),"Vegetables")</f>
        <v>Vegetables</v>
      </c>
      <c r="D2093">
        <f>IFERROR(__xludf.DUMMYFUNCTION("""COMPUTED_VALUE"""),27.0)</f>
        <v>27</v>
      </c>
      <c r="E2093">
        <f>IFERROR(__xludf.DUMMYFUNCTION("""COMPUTED_VALUE"""),0.48)</f>
        <v>0.48</v>
      </c>
      <c r="F2093">
        <f>IFERROR(__xludf.DUMMYFUNCTION("""COMPUTED_VALUE"""),1.98)</f>
        <v>1.98</v>
      </c>
      <c r="G2093">
        <f>IFERROR(__xludf.DUMMYFUNCTION("""COMPUTED_VALUE"""),5.21)</f>
        <v>5.21</v>
      </c>
    </row>
    <row r="2094">
      <c r="A2094">
        <f>IFERROR(__xludf.DUMMYFUNCTION("""COMPUTED_VALUE"""),787286.0)</f>
        <v>787286</v>
      </c>
      <c r="B2094" t="str">
        <f>IFERROR(__xludf.DUMMYFUNCTION("""COMPUTED_VALUE"""),"Greens Cooked From Frozen Fat Not Added In Cooking")</f>
        <v>Greens Cooked From Frozen Fat Not Added In Cooking</v>
      </c>
      <c r="C2094" t="str">
        <f>IFERROR(__xludf.DUMMYFUNCTION("""COMPUTED_VALUE"""),"Vegetables")</f>
        <v>Vegetables</v>
      </c>
      <c r="D2094">
        <f>IFERROR(__xludf.DUMMYFUNCTION("""COMPUTED_VALUE"""),32.0)</f>
        <v>32</v>
      </c>
      <c r="E2094">
        <f>IFERROR(__xludf.DUMMYFUNCTION("""COMPUTED_VALUE"""),0.43)</f>
        <v>0.43</v>
      </c>
      <c r="F2094">
        <f>IFERROR(__xludf.DUMMYFUNCTION("""COMPUTED_VALUE"""),3.05)</f>
        <v>3.05</v>
      </c>
      <c r="G2094">
        <f>IFERROR(__xludf.DUMMYFUNCTION("""COMPUTED_VALUE"""),5.79)</f>
        <v>5.79</v>
      </c>
    </row>
    <row r="2095">
      <c r="A2095">
        <f>IFERROR(__xludf.DUMMYFUNCTION("""COMPUTED_VALUE"""),787287.0)</f>
        <v>787287</v>
      </c>
      <c r="B2095" t="str">
        <f>IFERROR(__xludf.DUMMYFUNCTION("""COMPUTED_VALUE"""),"Greens Cooked From Canned Fat Not Added In Cooking")</f>
        <v>Greens Cooked From Canned Fat Not Added In Cooking</v>
      </c>
      <c r="C2095" t="str">
        <f>IFERROR(__xludf.DUMMYFUNCTION("""COMPUTED_VALUE"""),"Vegetables")</f>
        <v>Vegetables</v>
      </c>
      <c r="D2095">
        <f>IFERROR(__xludf.DUMMYFUNCTION("""COMPUTED_VALUE"""),27.0)</f>
        <v>27</v>
      </c>
      <c r="E2095">
        <f>IFERROR(__xludf.DUMMYFUNCTION("""COMPUTED_VALUE"""),0.48)</f>
        <v>0.48</v>
      </c>
      <c r="F2095">
        <f>IFERROR(__xludf.DUMMYFUNCTION("""COMPUTED_VALUE"""),1.98)</f>
        <v>1.98</v>
      </c>
      <c r="G2095">
        <f>IFERROR(__xludf.DUMMYFUNCTION("""COMPUTED_VALUE"""),5.21)</f>
        <v>5.21</v>
      </c>
    </row>
    <row r="2096">
      <c r="A2096">
        <f>IFERROR(__xludf.DUMMYFUNCTION("""COMPUTED_VALUE"""),787288.0)</f>
        <v>787288</v>
      </c>
      <c r="B2096" t="str">
        <f>IFERROR(__xludf.DUMMYFUNCTION("""COMPUTED_VALUE"""),"Greens Cooked Ns As To Form Fat Added In Cooking Ns As To Type Of Fat")</f>
        <v>Greens Cooked Ns As To Form Fat Added In Cooking Ns As To Type Of Fat</v>
      </c>
      <c r="C2096" t="str">
        <f>IFERROR(__xludf.DUMMYFUNCTION("""COMPUTED_VALUE"""),"Vegetables")</f>
        <v>Vegetables</v>
      </c>
      <c r="D2096">
        <f>IFERROR(__xludf.DUMMYFUNCTION("""COMPUTED_VALUE"""),46.0)</f>
        <v>46</v>
      </c>
      <c r="E2096">
        <f>IFERROR(__xludf.DUMMYFUNCTION("""COMPUTED_VALUE"""),2.6)</f>
        <v>2.6</v>
      </c>
      <c r="F2096">
        <f>IFERROR(__xludf.DUMMYFUNCTION("""COMPUTED_VALUE"""),1.94)</f>
        <v>1.94</v>
      </c>
      <c r="G2096">
        <f>IFERROR(__xludf.DUMMYFUNCTION("""COMPUTED_VALUE"""),5.07)</f>
        <v>5.07</v>
      </c>
    </row>
    <row r="2097">
      <c r="A2097">
        <f>IFERROR(__xludf.DUMMYFUNCTION("""COMPUTED_VALUE"""),787289.0)</f>
        <v>787289</v>
      </c>
      <c r="B2097" t="str">
        <f>IFERROR(__xludf.DUMMYFUNCTION("""COMPUTED_VALUE"""),"Greens Cooked From Fresh Fat Added In Cooking Ns As To Type Of Fat")</f>
        <v>Greens Cooked From Fresh Fat Added In Cooking Ns As To Type Of Fat</v>
      </c>
      <c r="C2097" t="str">
        <f>IFERROR(__xludf.DUMMYFUNCTION("""COMPUTED_VALUE"""),"Vegetables")</f>
        <v>Vegetables</v>
      </c>
      <c r="D2097">
        <f>IFERROR(__xludf.DUMMYFUNCTION("""COMPUTED_VALUE"""),46.0)</f>
        <v>46</v>
      </c>
      <c r="E2097">
        <f>IFERROR(__xludf.DUMMYFUNCTION("""COMPUTED_VALUE"""),2.6)</f>
        <v>2.6</v>
      </c>
      <c r="F2097">
        <f>IFERROR(__xludf.DUMMYFUNCTION("""COMPUTED_VALUE"""),1.94)</f>
        <v>1.94</v>
      </c>
      <c r="G2097">
        <f>IFERROR(__xludf.DUMMYFUNCTION("""COMPUTED_VALUE"""),5.07)</f>
        <v>5.07</v>
      </c>
    </row>
    <row r="2098">
      <c r="A2098">
        <f>IFERROR(__xludf.DUMMYFUNCTION("""COMPUTED_VALUE"""),787290.0)</f>
        <v>787290</v>
      </c>
      <c r="B2098" t="str">
        <f>IFERROR(__xludf.DUMMYFUNCTION("""COMPUTED_VALUE"""),"Greens Cooked From Frozen Fat Added In Cooking Ns As To Type Of Fat")</f>
        <v>Greens Cooked From Frozen Fat Added In Cooking Ns As To Type Of Fat</v>
      </c>
      <c r="C2098" t="str">
        <f>IFERROR(__xludf.DUMMYFUNCTION("""COMPUTED_VALUE"""),"Vegetables")</f>
        <v>Vegetables</v>
      </c>
      <c r="D2098">
        <f>IFERROR(__xludf.DUMMYFUNCTION("""COMPUTED_VALUE"""),50.0)</f>
        <v>50</v>
      </c>
      <c r="E2098">
        <f>IFERROR(__xludf.DUMMYFUNCTION("""COMPUTED_VALUE"""),2.56)</f>
        <v>2.56</v>
      </c>
      <c r="F2098">
        <f>IFERROR(__xludf.DUMMYFUNCTION("""COMPUTED_VALUE"""),2.98)</f>
        <v>2.98</v>
      </c>
      <c r="G2098">
        <f>IFERROR(__xludf.DUMMYFUNCTION("""COMPUTED_VALUE"""),5.63)</f>
        <v>5.63</v>
      </c>
    </row>
    <row r="2099">
      <c r="A2099">
        <f>IFERROR(__xludf.DUMMYFUNCTION("""COMPUTED_VALUE"""),787291.0)</f>
        <v>787291</v>
      </c>
      <c r="B2099" t="str">
        <f>IFERROR(__xludf.DUMMYFUNCTION("""COMPUTED_VALUE"""),"Greens Cooked From Canned Fat Added In Cooking Ns As To Type Of Fat")</f>
        <v>Greens Cooked From Canned Fat Added In Cooking Ns As To Type Of Fat</v>
      </c>
      <c r="C2099" t="str">
        <f>IFERROR(__xludf.DUMMYFUNCTION("""COMPUTED_VALUE"""),"Vegetables")</f>
        <v>Vegetables</v>
      </c>
      <c r="D2099">
        <f>IFERROR(__xludf.DUMMYFUNCTION("""COMPUTED_VALUE"""),46.0)</f>
        <v>46</v>
      </c>
      <c r="E2099">
        <f>IFERROR(__xludf.DUMMYFUNCTION("""COMPUTED_VALUE"""),2.6)</f>
        <v>2.6</v>
      </c>
      <c r="F2099">
        <f>IFERROR(__xludf.DUMMYFUNCTION("""COMPUTED_VALUE"""),1.94)</f>
        <v>1.94</v>
      </c>
      <c r="G2099">
        <f>IFERROR(__xludf.DUMMYFUNCTION("""COMPUTED_VALUE"""),5.07)</f>
        <v>5.07</v>
      </c>
    </row>
    <row r="2100">
      <c r="A2100">
        <f>IFERROR(__xludf.DUMMYFUNCTION("""COMPUTED_VALUE"""),787292.0)</f>
        <v>787292</v>
      </c>
      <c r="B2100" t="str">
        <f>IFERROR(__xludf.DUMMYFUNCTION("""COMPUTED_VALUE"""),"Greens Cooked Ns As To Form Made With Oil")</f>
        <v>Greens Cooked Ns As To Form Made With Oil</v>
      </c>
      <c r="C2100" t="str">
        <f>IFERROR(__xludf.DUMMYFUNCTION("""COMPUTED_VALUE"""),"Vegetables")</f>
        <v>Vegetables</v>
      </c>
      <c r="D2100">
        <f>IFERROR(__xludf.DUMMYFUNCTION("""COMPUTED_VALUE"""),52.0)</f>
        <v>52</v>
      </c>
      <c r="E2100">
        <f>IFERROR(__xludf.DUMMYFUNCTION("""COMPUTED_VALUE"""),3.3)</f>
        <v>3.3</v>
      </c>
      <c r="F2100">
        <f>IFERROR(__xludf.DUMMYFUNCTION("""COMPUTED_VALUE"""),1.93)</f>
        <v>1.93</v>
      </c>
      <c r="G2100">
        <f>IFERROR(__xludf.DUMMYFUNCTION("""COMPUTED_VALUE"""),5.06)</f>
        <v>5.06</v>
      </c>
    </row>
    <row r="2101">
      <c r="A2101">
        <f>IFERROR(__xludf.DUMMYFUNCTION("""COMPUTED_VALUE"""),787293.0)</f>
        <v>787293</v>
      </c>
      <c r="B2101" t="str">
        <f>IFERROR(__xludf.DUMMYFUNCTION("""COMPUTED_VALUE"""),"Greens Cooked Ns As To Form Made With Butter")</f>
        <v>Greens Cooked Ns As To Form Made With Butter</v>
      </c>
      <c r="C2101" t="str">
        <f>IFERROR(__xludf.DUMMYFUNCTION("""COMPUTED_VALUE"""),"Vegetables")</f>
        <v>Vegetables</v>
      </c>
      <c r="D2101">
        <f>IFERROR(__xludf.DUMMYFUNCTION("""COMPUTED_VALUE"""),48.0)</f>
        <v>48</v>
      </c>
      <c r="E2101">
        <f>IFERROR(__xludf.DUMMYFUNCTION("""COMPUTED_VALUE"""),2.85)</f>
        <v>2.85</v>
      </c>
      <c r="F2101">
        <f>IFERROR(__xludf.DUMMYFUNCTION("""COMPUTED_VALUE"""),1.95)</f>
        <v>1.95</v>
      </c>
      <c r="G2101">
        <f>IFERROR(__xludf.DUMMYFUNCTION("""COMPUTED_VALUE"""),5.06)</f>
        <v>5.06</v>
      </c>
    </row>
    <row r="2102">
      <c r="A2102">
        <f>IFERROR(__xludf.DUMMYFUNCTION("""COMPUTED_VALUE"""),787294.0)</f>
        <v>787294</v>
      </c>
      <c r="B2102" t="str">
        <f>IFERROR(__xludf.DUMMYFUNCTION("""COMPUTED_VALUE"""),"Greens Cooked Ns As To Form Made With Margarine")</f>
        <v>Greens Cooked Ns As To Form Made With Margarine</v>
      </c>
      <c r="C2102" t="str">
        <f>IFERROR(__xludf.DUMMYFUNCTION("""COMPUTED_VALUE"""),"Vegetables")</f>
        <v>Vegetables</v>
      </c>
      <c r="D2102">
        <f>IFERROR(__xludf.DUMMYFUNCTION("""COMPUTED_VALUE"""),42.0)</f>
        <v>42</v>
      </c>
      <c r="E2102">
        <f>IFERROR(__xludf.DUMMYFUNCTION("""COMPUTED_VALUE"""),2.24)</f>
        <v>2.24</v>
      </c>
      <c r="F2102">
        <f>IFERROR(__xludf.DUMMYFUNCTION("""COMPUTED_VALUE"""),1.93)</f>
        <v>1.93</v>
      </c>
      <c r="G2102">
        <f>IFERROR(__xludf.DUMMYFUNCTION("""COMPUTED_VALUE"""),5.08)</f>
        <v>5.08</v>
      </c>
    </row>
    <row r="2103">
      <c r="A2103">
        <f>IFERROR(__xludf.DUMMYFUNCTION("""COMPUTED_VALUE"""),787295.0)</f>
        <v>787295</v>
      </c>
      <c r="B2103" t="str">
        <f>IFERROR(__xludf.DUMMYFUNCTION("""COMPUTED_VALUE"""),"Greens Cooked From Fresh Made With Oil")</f>
        <v>Greens Cooked From Fresh Made With Oil</v>
      </c>
      <c r="C2103" t="str">
        <f>IFERROR(__xludf.DUMMYFUNCTION("""COMPUTED_VALUE"""),"Vegetables")</f>
        <v>Vegetables</v>
      </c>
      <c r="D2103">
        <f>IFERROR(__xludf.DUMMYFUNCTION("""COMPUTED_VALUE"""),52.0)</f>
        <v>52</v>
      </c>
      <c r="E2103">
        <f>IFERROR(__xludf.DUMMYFUNCTION("""COMPUTED_VALUE"""),3.3)</f>
        <v>3.3</v>
      </c>
      <c r="F2103">
        <f>IFERROR(__xludf.DUMMYFUNCTION("""COMPUTED_VALUE"""),1.93)</f>
        <v>1.93</v>
      </c>
      <c r="G2103">
        <f>IFERROR(__xludf.DUMMYFUNCTION("""COMPUTED_VALUE"""),5.06)</f>
        <v>5.06</v>
      </c>
    </row>
    <row r="2104">
      <c r="A2104">
        <f>IFERROR(__xludf.DUMMYFUNCTION("""COMPUTED_VALUE"""),787296.0)</f>
        <v>787296</v>
      </c>
      <c r="B2104" t="str">
        <f>IFERROR(__xludf.DUMMYFUNCTION("""COMPUTED_VALUE"""),"Greens Cooked From Fresh Made With Butter")</f>
        <v>Greens Cooked From Fresh Made With Butter</v>
      </c>
      <c r="C2104" t="str">
        <f>IFERROR(__xludf.DUMMYFUNCTION("""COMPUTED_VALUE"""),"Vegetables")</f>
        <v>Vegetables</v>
      </c>
      <c r="D2104">
        <f>IFERROR(__xludf.DUMMYFUNCTION("""COMPUTED_VALUE"""),48.0)</f>
        <v>48</v>
      </c>
      <c r="E2104">
        <f>IFERROR(__xludf.DUMMYFUNCTION("""COMPUTED_VALUE"""),2.85)</f>
        <v>2.85</v>
      </c>
      <c r="F2104">
        <f>IFERROR(__xludf.DUMMYFUNCTION("""COMPUTED_VALUE"""),1.95)</f>
        <v>1.95</v>
      </c>
      <c r="G2104">
        <f>IFERROR(__xludf.DUMMYFUNCTION("""COMPUTED_VALUE"""),5.06)</f>
        <v>5.06</v>
      </c>
    </row>
    <row r="2105">
      <c r="A2105">
        <f>IFERROR(__xludf.DUMMYFUNCTION("""COMPUTED_VALUE"""),787297.0)</f>
        <v>787297</v>
      </c>
      <c r="B2105" t="str">
        <f>IFERROR(__xludf.DUMMYFUNCTION("""COMPUTED_VALUE"""),"Greens Cooked From Fresh Made With Margarine")</f>
        <v>Greens Cooked From Fresh Made With Margarine</v>
      </c>
      <c r="C2105" t="str">
        <f>IFERROR(__xludf.DUMMYFUNCTION("""COMPUTED_VALUE"""),"Vegetables")</f>
        <v>Vegetables</v>
      </c>
      <c r="D2105">
        <f>IFERROR(__xludf.DUMMYFUNCTION("""COMPUTED_VALUE"""),42.0)</f>
        <v>42</v>
      </c>
      <c r="E2105">
        <f>IFERROR(__xludf.DUMMYFUNCTION("""COMPUTED_VALUE"""),2.24)</f>
        <v>2.24</v>
      </c>
      <c r="F2105">
        <f>IFERROR(__xludf.DUMMYFUNCTION("""COMPUTED_VALUE"""),1.93)</f>
        <v>1.93</v>
      </c>
      <c r="G2105">
        <f>IFERROR(__xludf.DUMMYFUNCTION("""COMPUTED_VALUE"""),5.08)</f>
        <v>5.08</v>
      </c>
    </row>
    <row r="2106">
      <c r="A2106">
        <f>IFERROR(__xludf.DUMMYFUNCTION("""COMPUTED_VALUE"""),787298.0)</f>
        <v>787298</v>
      </c>
      <c r="B2106" t="str">
        <f>IFERROR(__xludf.DUMMYFUNCTION("""COMPUTED_VALUE"""),"Greens Cooked From Frozen Made With Oil")</f>
        <v>Greens Cooked From Frozen Made With Oil</v>
      </c>
      <c r="C2106" t="str">
        <f>IFERROR(__xludf.DUMMYFUNCTION("""COMPUTED_VALUE"""),"Vegetables")</f>
        <v>Vegetables</v>
      </c>
      <c r="D2106">
        <f>IFERROR(__xludf.DUMMYFUNCTION("""COMPUTED_VALUE"""),56.0)</f>
        <v>56</v>
      </c>
      <c r="E2106">
        <f>IFERROR(__xludf.DUMMYFUNCTION("""COMPUTED_VALUE"""),3.26)</f>
        <v>3.26</v>
      </c>
      <c r="F2106">
        <f>IFERROR(__xludf.DUMMYFUNCTION("""COMPUTED_VALUE"""),2.96)</f>
        <v>2.96</v>
      </c>
      <c r="G2106">
        <f>IFERROR(__xludf.DUMMYFUNCTION("""COMPUTED_VALUE"""),5.62)</f>
        <v>5.62</v>
      </c>
    </row>
    <row r="2107">
      <c r="A2107">
        <f>IFERROR(__xludf.DUMMYFUNCTION("""COMPUTED_VALUE"""),787299.0)</f>
        <v>787299</v>
      </c>
      <c r="B2107" t="str">
        <f>IFERROR(__xludf.DUMMYFUNCTION("""COMPUTED_VALUE"""),"Greens Cooked From Frozen Made With Butter")</f>
        <v>Greens Cooked From Frozen Made With Butter</v>
      </c>
      <c r="C2107" t="str">
        <f>IFERROR(__xludf.DUMMYFUNCTION("""COMPUTED_VALUE"""),"Vegetables")</f>
        <v>Vegetables</v>
      </c>
      <c r="D2107">
        <f>IFERROR(__xludf.DUMMYFUNCTION("""COMPUTED_VALUE"""),52.0)</f>
        <v>52</v>
      </c>
      <c r="E2107">
        <f>IFERROR(__xludf.DUMMYFUNCTION("""COMPUTED_VALUE"""),2.81)</f>
        <v>2.81</v>
      </c>
      <c r="F2107">
        <f>IFERROR(__xludf.DUMMYFUNCTION("""COMPUTED_VALUE"""),2.98)</f>
        <v>2.98</v>
      </c>
      <c r="G2107">
        <f>IFERROR(__xludf.DUMMYFUNCTION("""COMPUTED_VALUE"""),5.62)</f>
        <v>5.62</v>
      </c>
    </row>
    <row r="2108">
      <c r="A2108">
        <f>IFERROR(__xludf.DUMMYFUNCTION("""COMPUTED_VALUE"""),787300.0)</f>
        <v>787300</v>
      </c>
      <c r="B2108" t="str">
        <f>IFERROR(__xludf.DUMMYFUNCTION("""COMPUTED_VALUE"""),"Greens Cooked From Frozen Made With Margarine")</f>
        <v>Greens Cooked From Frozen Made With Margarine</v>
      </c>
      <c r="C2108" t="str">
        <f>IFERROR(__xludf.DUMMYFUNCTION("""COMPUTED_VALUE"""),"Vegetables")</f>
        <v>Vegetables</v>
      </c>
      <c r="D2108">
        <f>IFERROR(__xludf.DUMMYFUNCTION("""COMPUTED_VALUE"""),45.0)</f>
        <v>45</v>
      </c>
      <c r="E2108">
        <f>IFERROR(__xludf.DUMMYFUNCTION("""COMPUTED_VALUE"""),2.24)</f>
        <v>2.24</v>
      </c>
      <c r="F2108">
        <f>IFERROR(__xludf.DUMMYFUNCTION("""COMPUTED_VALUE"""),2.86)</f>
        <v>2.86</v>
      </c>
      <c r="G2108">
        <f>IFERROR(__xludf.DUMMYFUNCTION("""COMPUTED_VALUE"""),5.15)</f>
        <v>5.15</v>
      </c>
    </row>
    <row r="2109">
      <c r="A2109">
        <f>IFERROR(__xludf.DUMMYFUNCTION("""COMPUTED_VALUE"""),787301.0)</f>
        <v>787301</v>
      </c>
      <c r="B2109" t="str">
        <f>IFERROR(__xludf.DUMMYFUNCTION("""COMPUTED_VALUE"""),"Greens Cooked From Canned Made With Oil")</f>
        <v>Greens Cooked From Canned Made With Oil</v>
      </c>
      <c r="C2109" t="str">
        <f>IFERROR(__xludf.DUMMYFUNCTION("""COMPUTED_VALUE"""),"Vegetables")</f>
        <v>Vegetables</v>
      </c>
      <c r="D2109">
        <f>IFERROR(__xludf.DUMMYFUNCTION("""COMPUTED_VALUE"""),52.0)</f>
        <v>52</v>
      </c>
      <c r="E2109">
        <f>IFERROR(__xludf.DUMMYFUNCTION("""COMPUTED_VALUE"""),3.3)</f>
        <v>3.3</v>
      </c>
      <c r="F2109">
        <f>IFERROR(__xludf.DUMMYFUNCTION("""COMPUTED_VALUE"""),1.93)</f>
        <v>1.93</v>
      </c>
      <c r="G2109">
        <f>IFERROR(__xludf.DUMMYFUNCTION("""COMPUTED_VALUE"""),5.06)</f>
        <v>5.06</v>
      </c>
    </row>
    <row r="2110">
      <c r="A2110">
        <f>IFERROR(__xludf.DUMMYFUNCTION("""COMPUTED_VALUE"""),787302.0)</f>
        <v>787302</v>
      </c>
      <c r="B2110" t="str">
        <f>IFERROR(__xludf.DUMMYFUNCTION("""COMPUTED_VALUE"""),"Greens Cooked From Canned Made With Butter")</f>
        <v>Greens Cooked From Canned Made With Butter</v>
      </c>
      <c r="C2110" t="str">
        <f>IFERROR(__xludf.DUMMYFUNCTION("""COMPUTED_VALUE"""),"Vegetables")</f>
        <v>Vegetables</v>
      </c>
      <c r="D2110">
        <f>IFERROR(__xludf.DUMMYFUNCTION("""COMPUTED_VALUE"""),48.0)</f>
        <v>48</v>
      </c>
      <c r="E2110">
        <f>IFERROR(__xludf.DUMMYFUNCTION("""COMPUTED_VALUE"""),2.85)</f>
        <v>2.85</v>
      </c>
      <c r="F2110">
        <f>IFERROR(__xludf.DUMMYFUNCTION("""COMPUTED_VALUE"""),1.95)</f>
        <v>1.95</v>
      </c>
      <c r="G2110">
        <f>IFERROR(__xludf.DUMMYFUNCTION("""COMPUTED_VALUE"""),5.06)</f>
        <v>5.06</v>
      </c>
    </row>
    <row r="2111">
      <c r="A2111">
        <f>IFERROR(__xludf.DUMMYFUNCTION("""COMPUTED_VALUE"""),787303.0)</f>
        <v>787303</v>
      </c>
      <c r="B2111" t="str">
        <f>IFERROR(__xludf.DUMMYFUNCTION("""COMPUTED_VALUE"""),"Greens Cooked From Canned Made With Margarine")</f>
        <v>Greens Cooked From Canned Made With Margarine</v>
      </c>
      <c r="C2111" t="str">
        <f>IFERROR(__xludf.DUMMYFUNCTION("""COMPUTED_VALUE"""),"Vegetables")</f>
        <v>Vegetables</v>
      </c>
      <c r="D2111">
        <f>IFERROR(__xludf.DUMMYFUNCTION("""COMPUTED_VALUE"""),42.0)</f>
        <v>42</v>
      </c>
      <c r="E2111">
        <f>IFERROR(__xludf.DUMMYFUNCTION("""COMPUTED_VALUE"""),2.24)</f>
        <v>2.24</v>
      </c>
      <c r="F2111">
        <f>IFERROR(__xludf.DUMMYFUNCTION("""COMPUTED_VALUE"""),1.93)</f>
        <v>1.93</v>
      </c>
      <c r="G2111">
        <f>IFERROR(__xludf.DUMMYFUNCTION("""COMPUTED_VALUE"""),5.08)</f>
        <v>5.08</v>
      </c>
    </row>
    <row r="2112">
      <c r="A2112">
        <f>IFERROR(__xludf.DUMMYFUNCTION("""COMPUTED_VALUE"""),787304.0)</f>
        <v>787304</v>
      </c>
      <c r="B2112" t="str">
        <f>IFERROR(__xludf.DUMMYFUNCTION("""COMPUTED_VALUE"""),"Chamnamul Cooked Ns As To Fat Added In Cooking")</f>
        <v>Chamnamul Cooked Ns As To Fat Added In Cooking</v>
      </c>
      <c r="C2112" t="str">
        <f>IFERROR(__xludf.DUMMYFUNCTION("""COMPUTED_VALUE"""),"Vegetables")</f>
        <v>Vegetables</v>
      </c>
      <c r="D2112">
        <f>IFERROR(__xludf.DUMMYFUNCTION("""COMPUTED_VALUE"""),84.0)</f>
        <v>84</v>
      </c>
      <c r="E2112">
        <f>IFERROR(__xludf.DUMMYFUNCTION("""COMPUTED_VALUE"""),5.94)</f>
        <v>5.94</v>
      </c>
      <c r="F2112">
        <f>IFERROR(__xludf.DUMMYFUNCTION("""COMPUTED_VALUE"""),3.28)</f>
        <v>3.28</v>
      </c>
      <c r="G2112">
        <f>IFERROR(__xludf.DUMMYFUNCTION("""COMPUTED_VALUE"""),6.09)</f>
        <v>6.09</v>
      </c>
    </row>
    <row r="2113">
      <c r="A2113">
        <f>IFERROR(__xludf.DUMMYFUNCTION("""COMPUTED_VALUE"""),787305.0)</f>
        <v>787305</v>
      </c>
      <c r="B2113" t="str">
        <f>IFERROR(__xludf.DUMMYFUNCTION("""COMPUTED_VALUE"""),"Chamnamul Cooked Fat Not Added In Cooking")</f>
        <v>Chamnamul Cooked Fat Not Added In Cooking</v>
      </c>
      <c r="C2113" t="str">
        <f>IFERROR(__xludf.DUMMYFUNCTION("""COMPUTED_VALUE"""),"Vegetables")</f>
        <v>Vegetables</v>
      </c>
      <c r="D2113">
        <f>IFERROR(__xludf.DUMMYFUNCTION("""COMPUTED_VALUE"""),44.0)</f>
        <v>44</v>
      </c>
      <c r="E2113">
        <f>IFERROR(__xludf.DUMMYFUNCTION("""COMPUTED_VALUE"""),1.21)</f>
        <v>1.21</v>
      </c>
      <c r="F2113">
        <f>IFERROR(__xludf.DUMMYFUNCTION("""COMPUTED_VALUE"""),3.45)</f>
        <v>3.45</v>
      </c>
      <c r="G2113">
        <f>IFERROR(__xludf.DUMMYFUNCTION("""COMPUTED_VALUE"""),6.4)</f>
        <v>6.4</v>
      </c>
    </row>
    <row r="2114">
      <c r="A2114">
        <f>IFERROR(__xludf.DUMMYFUNCTION("""COMPUTED_VALUE"""),787306.0)</f>
        <v>787306</v>
      </c>
      <c r="B2114" t="str">
        <f>IFERROR(__xludf.DUMMYFUNCTION("""COMPUTED_VALUE"""),"Chamnamul Cooked Fat Added In Cooking")</f>
        <v>Chamnamul Cooked Fat Added In Cooking</v>
      </c>
      <c r="C2114" t="str">
        <f>IFERROR(__xludf.DUMMYFUNCTION("""COMPUTED_VALUE"""),"Vegetables")</f>
        <v>Vegetables</v>
      </c>
      <c r="D2114">
        <f>IFERROR(__xludf.DUMMYFUNCTION("""COMPUTED_VALUE"""),84.0)</f>
        <v>84</v>
      </c>
      <c r="E2114">
        <f>IFERROR(__xludf.DUMMYFUNCTION("""COMPUTED_VALUE"""),5.94)</f>
        <v>5.94</v>
      </c>
      <c r="F2114">
        <f>IFERROR(__xludf.DUMMYFUNCTION("""COMPUTED_VALUE"""),3.28)</f>
        <v>3.28</v>
      </c>
      <c r="G2114">
        <f>IFERROR(__xludf.DUMMYFUNCTION("""COMPUTED_VALUE"""),6.09)</f>
        <v>6.09</v>
      </c>
    </row>
    <row r="2115">
      <c r="A2115">
        <f>IFERROR(__xludf.DUMMYFUNCTION("""COMPUTED_VALUE"""),787308.0)</f>
        <v>787308</v>
      </c>
      <c r="B2115" t="str">
        <f>IFERROR(__xludf.DUMMYFUNCTION("""COMPUTED_VALUE"""),"Kale Cooked Ns As To Form Ns As To Fat Added In Cooking")</f>
        <v>Kale Cooked Ns As To Form Ns As To Fat Added In Cooking</v>
      </c>
      <c r="C2115" t="str">
        <f>IFERROR(__xludf.DUMMYFUNCTION("""COMPUTED_VALUE"""),"Vegetables")</f>
        <v>Vegetables</v>
      </c>
      <c r="D2115">
        <f>IFERROR(__xludf.DUMMYFUNCTION("""COMPUTED_VALUE"""),49.0)</f>
        <v>49</v>
      </c>
      <c r="E2115">
        <f>IFERROR(__xludf.DUMMYFUNCTION("""COMPUTED_VALUE"""),2.91)</f>
        <v>2.91</v>
      </c>
      <c r="F2115">
        <f>IFERROR(__xludf.DUMMYFUNCTION("""COMPUTED_VALUE"""),1.84)</f>
        <v>1.84</v>
      </c>
      <c r="G2115">
        <f>IFERROR(__xludf.DUMMYFUNCTION("""COMPUTED_VALUE"""),5.41)</f>
        <v>5.41</v>
      </c>
    </row>
    <row r="2116">
      <c r="A2116">
        <f>IFERROR(__xludf.DUMMYFUNCTION("""COMPUTED_VALUE"""),787309.0)</f>
        <v>787309</v>
      </c>
      <c r="B2116" t="str">
        <f>IFERROR(__xludf.DUMMYFUNCTION("""COMPUTED_VALUE"""),"Kale Cooked From Fresh Ns As To Fat Added In Cooking")</f>
        <v>Kale Cooked From Fresh Ns As To Fat Added In Cooking</v>
      </c>
      <c r="C2116" t="str">
        <f>IFERROR(__xludf.DUMMYFUNCTION("""COMPUTED_VALUE"""),"Vegetables")</f>
        <v>Vegetables</v>
      </c>
      <c r="D2116">
        <f>IFERROR(__xludf.DUMMYFUNCTION("""COMPUTED_VALUE"""),49.0)</f>
        <v>49</v>
      </c>
      <c r="E2116">
        <f>IFERROR(__xludf.DUMMYFUNCTION("""COMPUTED_VALUE"""),2.91)</f>
        <v>2.91</v>
      </c>
      <c r="F2116">
        <f>IFERROR(__xludf.DUMMYFUNCTION("""COMPUTED_VALUE"""),1.84)</f>
        <v>1.84</v>
      </c>
      <c r="G2116">
        <f>IFERROR(__xludf.DUMMYFUNCTION("""COMPUTED_VALUE"""),5.41)</f>
        <v>5.41</v>
      </c>
    </row>
    <row r="2117">
      <c r="A2117">
        <f>IFERROR(__xludf.DUMMYFUNCTION("""COMPUTED_VALUE"""),787310.0)</f>
        <v>787310</v>
      </c>
      <c r="B2117" t="str">
        <f>IFERROR(__xludf.DUMMYFUNCTION("""COMPUTED_VALUE"""),"Kale Cooked From Frozen Ns As To Fat Added In Cooking")</f>
        <v>Kale Cooked From Frozen Ns As To Fat Added In Cooking</v>
      </c>
      <c r="C2117" t="str">
        <f>IFERROR(__xludf.DUMMYFUNCTION("""COMPUTED_VALUE"""),"Vegetables")</f>
        <v>Vegetables</v>
      </c>
      <c r="D2117">
        <f>IFERROR(__xludf.DUMMYFUNCTION("""COMPUTED_VALUE"""),51.0)</f>
        <v>51</v>
      </c>
      <c r="E2117">
        <f>IFERROR(__xludf.DUMMYFUNCTION("""COMPUTED_VALUE"""),3.0)</f>
        <v>3</v>
      </c>
      <c r="F2117">
        <f>IFERROR(__xludf.DUMMYFUNCTION("""COMPUTED_VALUE"""),2.74)</f>
        <v>2.74</v>
      </c>
      <c r="G2117">
        <f>IFERROR(__xludf.DUMMYFUNCTION("""COMPUTED_VALUE"""),5.02)</f>
        <v>5.02</v>
      </c>
    </row>
    <row r="2118">
      <c r="A2118">
        <f>IFERROR(__xludf.DUMMYFUNCTION("""COMPUTED_VALUE"""),787311.0)</f>
        <v>787311</v>
      </c>
      <c r="B2118" t="str">
        <f>IFERROR(__xludf.DUMMYFUNCTION("""COMPUTED_VALUE"""),"Kale Cooked From Canned Ns As To Fat Added In Cooking")</f>
        <v>Kale Cooked From Canned Ns As To Fat Added In Cooking</v>
      </c>
      <c r="C2118" t="str">
        <f>IFERROR(__xludf.DUMMYFUNCTION("""COMPUTED_VALUE"""),"Vegetables")</f>
        <v>Vegetables</v>
      </c>
      <c r="D2118">
        <f>IFERROR(__xludf.DUMMYFUNCTION("""COMPUTED_VALUE"""),49.0)</f>
        <v>49</v>
      </c>
      <c r="E2118">
        <f>IFERROR(__xludf.DUMMYFUNCTION("""COMPUTED_VALUE"""),2.91)</f>
        <v>2.91</v>
      </c>
      <c r="F2118">
        <f>IFERROR(__xludf.DUMMYFUNCTION("""COMPUTED_VALUE"""),1.84)</f>
        <v>1.84</v>
      </c>
      <c r="G2118">
        <f>IFERROR(__xludf.DUMMYFUNCTION("""COMPUTED_VALUE"""),5.41)</f>
        <v>5.41</v>
      </c>
    </row>
    <row r="2119">
      <c r="A2119">
        <f>IFERROR(__xludf.DUMMYFUNCTION("""COMPUTED_VALUE"""),787312.0)</f>
        <v>787312</v>
      </c>
      <c r="B2119" t="str">
        <f>IFERROR(__xludf.DUMMYFUNCTION("""COMPUTED_VALUE"""),"Kale Cooked Ns As To Form Fat Not Added In Cooking")</f>
        <v>Kale Cooked Ns As To Form Fat Not Added In Cooking</v>
      </c>
      <c r="C2119" t="str">
        <f>IFERROR(__xludf.DUMMYFUNCTION("""COMPUTED_VALUE"""),"Vegetables")</f>
        <v>Vegetables</v>
      </c>
      <c r="D2119">
        <f>IFERROR(__xludf.DUMMYFUNCTION("""COMPUTED_VALUE"""),28.0)</f>
        <v>28</v>
      </c>
      <c r="E2119">
        <f>IFERROR(__xludf.DUMMYFUNCTION("""COMPUTED_VALUE"""),0.4)</f>
        <v>0.4</v>
      </c>
      <c r="F2119">
        <f>IFERROR(__xludf.DUMMYFUNCTION("""COMPUTED_VALUE"""),1.88)</f>
        <v>1.88</v>
      </c>
      <c r="G2119">
        <f>IFERROR(__xludf.DUMMYFUNCTION("""COMPUTED_VALUE"""),5.59)</f>
        <v>5.59</v>
      </c>
    </row>
    <row r="2120">
      <c r="A2120">
        <f>IFERROR(__xludf.DUMMYFUNCTION("""COMPUTED_VALUE"""),787313.0)</f>
        <v>787313</v>
      </c>
      <c r="B2120" t="str">
        <f>IFERROR(__xludf.DUMMYFUNCTION("""COMPUTED_VALUE"""),"Kale Cooked From Fresh Fat Not Added In Cooking")</f>
        <v>Kale Cooked From Fresh Fat Not Added In Cooking</v>
      </c>
      <c r="C2120" t="str">
        <f>IFERROR(__xludf.DUMMYFUNCTION("""COMPUTED_VALUE"""),"Vegetables")</f>
        <v>Vegetables</v>
      </c>
      <c r="D2120">
        <f>IFERROR(__xludf.DUMMYFUNCTION("""COMPUTED_VALUE"""),28.0)</f>
        <v>28</v>
      </c>
      <c r="E2120">
        <f>IFERROR(__xludf.DUMMYFUNCTION("""COMPUTED_VALUE"""),0.4)</f>
        <v>0.4</v>
      </c>
      <c r="F2120">
        <f>IFERROR(__xludf.DUMMYFUNCTION("""COMPUTED_VALUE"""),1.88)</f>
        <v>1.88</v>
      </c>
      <c r="G2120">
        <f>IFERROR(__xludf.DUMMYFUNCTION("""COMPUTED_VALUE"""),5.59)</f>
        <v>5.59</v>
      </c>
    </row>
    <row r="2121">
      <c r="A2121">
        <f>IFERROR(__xludf.DUMMYFUNCTION("""COMPUTED_VALUE"""),787314.0)</f>
        <v>787314</v>
      </c>
      <c r="B2121" t="str">
        <f>IFERROR(__xludf.DUMMYFUNCTION("""COMPUTED_VALUE"""),"Kale Cooked From Frozen Fat Not Added In Cooking")</f>
        <v>Kale Cooked From Frozen Fat Not Added In Cooking</v>
      </c>
      <c r="C2121" t="str">
        <f>IFERROR(__xludf.DUMMYFUNCTION("""COMPUTED_VALUE"""),"Vegetables")</f>
        <v>Vegetables</v>
      </c>
      <c r="D2121">
        <f>IFERROR(__xludf.DUMMYFUNCTION("""COMPUTED_VALUE"""),30.0)</f>
        <v>30</v>
      </c>
      <c r="E2121">
        <f>IFERROR(__xludf.DUMMYFUNCTION("""COMPUTED_VALUE"""),0.49)</f>
        <v>0.49</v>
      </c>
      <c r="F2121">
        <f>IFERROR(__xludf.DUMMYFUNCTION("""COMPUTED_VALUE"""),2.82)</f>
        <v>2.82</v>
      </c>
      <c r="G2121">
        <f>IFERROR(__xludf.DUMMYFUNCTION("""COMPUTED_VALUE"""),5.19)</f>
        <v>5.19</v>
      </c>
    </row>
    <row r="2122">
      <c r="A2122">
        <f>IFERROR(__xludf.DUMMYFUNCTION("""COMPUTED_VALUE"""),787315.0)</f>
        <v>787315</v>
      </c>
      <c r="B2122" t="str">
        <f>IFERROR(__xludf.DUMMYFUNCTION("""COMPUTED_VALUE"""),"Kale Cooked From Canned Fat Not Added In Cooking")</f>
        <v>Kale Cooked From Canned Fat Not Added In Cooking</v>
      </c>
      <c r="C2122" t="str">
        <f>IFERROR(__xludf.DUMMYFUNCTION("""COMPUTED_VALUE"""),"Vegetables")</f>
        <v>Vegetables</v>
      </c>
      <c r="D2122">
        <f>IFERROR(__xludf.DUMMYFUNCTION("""COMPUTED_VALUE"""),28.0)</f>
        <v>28</v>
      </c>
      <c r="E2122">
        <f>IFERROR(__xludf.DUMMYFUNCTION("""COMPUTED_VALUE"""),0.4)</f>
        <v>0.4</v>
      </c>
      <c r="F2122">
        <f>IFERROR(__xludf.DUMMYFUNCTION("""COMPUTED_VALUE"""),1.88)</f>
        <v>1.88</v>
      </c>
      <c r="G2122">
        <f>IFERROR(__xludf.DUMMYFUNCTION("""COMPUTED_VALUE"""),5.59)</f>
        <v>5.59</v>
      </c>
    </row>
    <row r="2123">
      <c r="A2123">
        <f>IFERROR(__xludf.DUMMYFUNCTION("""COMPUTED_VALUE"""),787316.0)</f>
        <v>787316</v>
      </c>
      <c r="B2123" t="str">
        <f>IFERROR(__xludf.DUMMYFUNCTION("""COMPUTED_VALUE"""),"Kale Cooked Ns As To Form Fat Added In Cooking Ns As To Type Of Fat")</f>
        <v>Kale Cooked Ns As To Form Fat Added In Cooking Ns As To Type Of Fat</v>
      </c>
      <c r="C2123" t="str">
        <f>IFERROR(__xludf.DUMMYFUNCTION("""COMPUTED_VALUE"""),"Vegetables")</f>
        <v>Vegetables</v>
      </c>
      <c r="D2123">
        <f>IFERROR(__xludf.DUMMYFUNCTION("""COMPUTED_VALUE"""),49.0)</f>
        <v>49</v>
      </c>
      <c r="E2123">
        <f>IFERROR(__xludf.DUMMYFUNCTION("""COMPUTED_VALUE"""),2.91)</f>
        <v>2.91</v>
      </c>
      <c r="F2123">
        <f>IFERROR(__xludf.DUMMYFUNCTION("""COMPUTED_VALUE"""),1.84)</f>
        <v>1.84</v>
      </c>
      <c r="G2123">
        <f>IFERROR(__xludf.DUMMYFUNCTION("""COMPUTED_VALUE"""),5.41)</f>
        <v>5.41</v>
      </c>
    </row>
    <row r="2124">
      <c r="A2124">
        <f>IFERROR(__xludf.DUMMYFUNCTION("""COMPUTED_VALUE"""),787317.0)</f>
        <v>787317</v>
      </c>
      <c r="B2124" t="str">
        <f>IFERROR(__xludf.DUMMYFUNCTION("""COMPUTED_VALUE"""),"Kale Cooked From Fresh Fat Added In Cooking Ns As To Type Of Fat")</f>
        <v>Kale Cooked From Fresh Fat Added In Cooking Ns As To Type Of Fat</v>
      </c>
      <c r="C2124" t="str">
        <f>IFERROR(__xludf.DUMMYFUNCTION("""COMPUTED_VALUE"""),"Vegetables")</f>
        <v>Vegetables</v>
      </c>
      <c r="D2124">
        <f>IFERROR(__xludf.DUMMYFUNCTION("""COMPUTED_VALUE"""),49.0)</f>
        <v>49</v>
      </c>
      <c r="E2124">
        <f>IFERROR(__xludf.DUMMYFUNCTION("""COMPUTED_VALUE"""),2.91)</f>
        <v>2.91</v>
      </c>
      <c r="F2124">
        <f>IFERROR(__xludf.DUMMYFUNCTION("""COMPUTED_VALUE"""),1.84)</f>
        <v>1.84</v>
      </c>
      <c r="G2124">
        <f>IFERROR(__xludf.DUMMYFUNCTION("""COMPUTED_VALUE"""),5.41)</f>
        <v>5.41</v>
      </c>
    </row>
    <row r="2125">
      <c r="A2125">
        <f>IFERROR(__xludf.DUMMYFUNCTION("""COMPUTED_VALUE"""),787318.0)</f>
        <v>787318</v>
      </c>
      <c r="B2125" t="str">
        <f>IFERROR(__xludf.DUMMYFUNCTION("""COMPUTED_VALUE"""),"Kale Cooked From Frozen Fat Added In Cooking Ns As To Type Of Fat")</f>
        <v>Kale Cooked From Frozen Fat Added In Cooking Ns As To Type Of Fat</v>
      </c>
      <c r="C2125" t="str">
        <f>IFERROR(__xludf.DUMMYFUNCTION("""COMPUTED_VALUE"""),"Vegetables")</f>
        <v>Vegetables</v>
      </c>
      <c r="D2125">
        <f>IFERROR(__xludf.DUMMYFUNCTION("""COMPUTED_VALUE"""),51.0)</f>
        <v>51</v>
      </c>
      <c r="E2125">
        <f>IFERROR(__xludf.DUMMYFUNCTION("""COMPUTED_VALUE"""),3.0)</f>
        <v>3</v>
      </c>
      <c r="F2125">
        <f>IFERROR(__xludf.DUMMYFUNCTION("""COMPUTED_VALUE"""),2.74)</f>
        <v>2.74</v>
      </c>
      <c r="G2125">
        <f>IFERROR(__xludf.DUMMYFUNCTION("""COMPUTED_VALUE"""),5.02)</f>
        <v>5.02</v>
      </c>
    </row>
    <row r="2126">
      <c r="A2126">
        <f>IFERROR(__xludf.DUMMYFUNCTION("""COMPUTED_VALUE"""),787319.0)</f>
        <v>787319</v>
      </c>
      <c r="B2126" t="str">
        <f>IFERROR(__xludf.DUMMYFUNCTION("""COMPUTED_VALUE"""),"Kale Cooked From Canned Fat Added In Cooking Ns As To Type Of Fat")</f>
        <v>Kale Cooked From Canned Fat Added In Cooking Ns As To Type Of Fat</v>
      </c>
      <c r="C2126" t="str">
        <f>IFERROR(__xludf.DUMMYFUNCTION("""COMPUTED_VALUE"""),"Vegetables")</f>
        <v>Vegetables</v>
      </c>
      <c r="D2126">
        <f>IFERROR(__xludf.DUMMYFUNCTION("""COMPUTED_VALUE"""),49.0)</f>
        <v>49</v>
      </c>
      <c r="E2126">
        <f>IFERROR(__xludf.DUMMYFUNCTION("""COMPUTED_VALUE"""),2.91)</f>
        <v>2.91</v>
      </c>
      <c r="F2126">
        <f>IFERROR(__xludf.DUMMYFUNCTION("""COMPUTED_VALUE"""),1.84)</f>
        <v>1.84</v>
      </c>
      <c r="G2126">
        <f>IFERROR(__xludf.DUMMYFUNCTION("""COMPUTED_VALUE"""),5.41)</f>
        <v>5.41</v>
      </c>
    </row>
    <row r="2127">
      <c r="A2127">
        <f>IFERROR(__xludf.DUMMYFUNCTION("""COMPUTED_VALUE"""),787320.0)</f>
        <v>787320</v>
      </c>
      <c r="B2127" t="str">
        <f>IFERROR(__xludf.DUMMYFUNCTION("""COMPUTED_VALUE"""),"Kale Cooked Ns As To Form Made With Oil")</f>
        <v>Kale Cooked Ns As To Form Made With Oil</v>
      </c>
      <c r="C2127" t="str">
        <f>IFERROR(__xludf.DUMMYFUNCTION("""COMPUTED_VALUE"""),"Vegetables")</f>
        <v>Vegetables</v>
      </c>
      <c r="D2127">
        <f>IFERROR(__xludf.DUMMYFUNCTION("""COMPUTED_VALUE"""),58.0)</f>
        <v>58</v>
      </c>
      <c r="E2127">
        <f>IFERROR(__xludf.DUMMYFUNCTION("""COMPUTED_VALUE"""),3.82)</f>
        <v>3.82</v>
      </c>
      <c r="F2127">
        <f>IFERROR(__xludf.DUMMYFUNCTION("""COMPUTED_VALUE"""),2.72)</f>
        <v>2.72</v>
      </c>
      <c r="G2127">
        <f>IFERROR(__xludf.DUMMYFUNCTION("""COMPUTED_VALUE"""),5.02)</f>
        <v>5.02</v>
      </c>
    </row>
    <row r="2128">
      <c r="A2128">
        <f>IFERROR(__xludf.DUMMYFUNCTION("""COMPUTED_VALUE"""),787321.0)</f>
        <v>787321</v>
      </c>
      <c r="B2128" t="str">
        <f>IFERROR(__xludf.DUMMYFUNCTION("""COMPUTED_VALUE"""),"Kale Cooked Ns As To Form Made With Butter")</f>
        <v>Kale Cooked Ns As To Form Made With Butter</v>
      </c>
      <c r="C2128" t="str">
        <f>IFERROR(__xludf.DUMMYFUNCTION("""COMPUTED_VALUE"""),"Vegetables")</f>
        <v>Vegetables</v>
      </c>
      <c r="D2128">
        <f>IFERROR(__xludf.DUMMYFUNCTION("""COMPUTED_VALUE"""),54.0)</f>
        <v>54</v>
      </c>
      <c r="E2128">
        <f>IFERROR(__xludf.DUMMYFUNCTION("""COMPUTED_VALUE"""),3.3)</f>
        <v>3.3</v>
      </c>
      <c r="F2128">
        <f>IFERROR(__xludf.DUMMYFUNCTION("""COMPUTED_VALUE"""),2.75)</f>
        <v>2.75</v>
      </c>
      <c r="G2128">
        <f>IFERROR(__xludf.DUMMYFUNCTION("""COMPUTED_VALUE"""),5.01)</f>
        <v>5.01</v>
      </c>
    </row>
    <row r="2129">
      <c r="A2129">
        <f>IFERROR(__xludf.DUMMYFUNCTION("""COMPUTED_VALUE"""),787322.0)</f>
        <v>787322</v>
      </c>
      <c r="B2129" t="str">
        <f>IFERROR(__xludf.DUMMYFUNCTION("""COMPUTED_VALUE"""),"Kale Cooked Ns As To Form Made With Margarine")</f>
        <v>Kale Cooked Ns As To Form Made With Margarine</v>
      </c>
      <c r="C2129" t="str">
        <f>IFERROR(__xludf.DUMMYFUNCTION("""COMPUTED_VALUE"""),"Vegetables")</f>
        <v>Vegetables</v>
      </c>
      <c r="D2129">
        <f>IFERROR(__xludf.DUMMYFUNCTION("""COMPUTED_VALUE"""),47.0)</f>
        <v>47</v>
      </c>
      <c r="E2129">
        <f>IFERROR(__xludf.DUMMYFUNCTION("""COMPUTED_VALUE"""),2.57)</f>
        <v>2.57</v>
      </c>
      <c r="F2129">
        <f>IFERROR(__xludf.DUMMYFUNCTION("""COMPUTED_VALUE"""),2.72)</f>
        <v>2.72</v>
      </c>
      <c r="G2129">
        <f>IFERROR(__xludf.DUMMYFUNCTION("""COMPUTED_VALUE"""),5.04)</f>
        <v>5.04</v>
      </c>
    </row>
    <row r="2130">
      <c r="A2130">
        <f>IFERROR(__xludf.DUMMYFUNCTION("""COMPUTED_VALUE"""),787323.0)</f>
        <v>787323</v>
      </c>
      <c r="B2130" t="str">
        <f>IFERROR(__xludf.DUMMYFUNCTION("""COMPUTED_VALUE"""),"Kale Cooked From Fresh Made With Oil")</f>
        <v>Kale Cooked From Fresh Made With Oil</v>
      </c>
      <c r="C2130" t="str">
        <f>IFERROR(__xludf.DUMMYFUNCTION("""COMPUTED_VALUE"""),"Vegetables")</f>
        <v>Vegetables</v>
      </c>
      <c r="D2130">
        <f>IFERROR(__xludf.DUMMYFUNCTION("""COMPUTED_VALUE"""),57.0)</f>
        <v>57</v>
      </c>
      <c r="E2130">
        <f>IFERROR(__xludf.DUMMYFUNCTION("""COMPUTED_VALUE"""),3.74)</f>
        <v>3.74</v>
      </c>
      <c r="F2130">
        <f>IFERROR(__xludf.DUMMYFUNCTION("""COMPUTED_VALUE"""),1.82)</f>
        <v>1.82</v>
      </c>
      <c r="G2130">
        <f>IFERROR(__xludf.DUMMYFUNCTION("""COMPUTED_VALUE"""),5.4)</f>
        <v>5.4</v>
      </c>
    </row>
    <row r="2131">
      <c r="A2131">
        <f>IFERROR(__xludf.DUMMYFUNCTION("""COMPUTED_VALUE"""),787324.0)</f>
        <v>787324</v>
      </c>
      <c r="B2131" t="str">
        <f>IFERROR(__xludf.DUMMYFUNCTION("""COMPUTED_VALUE"""),"Kale Cooked From Fresh Made With Butter")</f>
        <v>Kale Cooked From Fresh Made With Butter</v>
      </c>
      <c r="C2131" t="str">
        <f>IFERROR(__xludf.DUMMYFUNCTION("""COMPUTED_VALUE"""),"Vegetables")</f>
        <v>Vegetables</v>
      </c>
      <c r="D2131">
        <f>IFERROR(__xludf.DUMMYFUNCTION("""COMPUTED_VALUE"""),52.0)</f>
        <v>52</v>
      </c>
      <c r="E2131">
        <f>IFERROR(__xludf.DUMMYFUNCTION("""COMPUTED_VALUE"""),3.21)</f>
        <v>3.21</v>
      </c>
      <c r="F2131">
        <f>IFERROR(__xludf.DUMMYFUNCTION("""COMPUTED_VALUE"""),1.85)</f>
        <v>1.85</v>
      </c>
      <c r="G2131">
        <f>IFERROR(__xludf.DUMMYFUNCTION("""COMPUTED_VALUE"""),5.39)</f>
        <v>5.39</v>
      </c>
    </row>
    <row r="2132">
      <c r="A2132">
        <f>IFERROR(__xludf.DUMMYFUNCTION("""COMPUTED_VALUE"""),787325.0)</f>
        <v>787325</v>
      </c>
      <c r="B2132" t="str">
        <f>IFERROR(__xludf.DUMMYFUNCTION("""COMPUTED_VALUE"""),"Kale Cooked From Fresh Made With Margarine")</f>
        <v>Kale Cooked From Fresh Made With Margarine</v>
      </c>
      <c r="C2132" t="str">
        <f>IFERROR(__xludf.DUMMYFUNCTION("""COMPUTED_VALUE"""),"Vegetables")</f>
        <v>Vegetables</v>
      </c>
      <c r="D2132">
        <f>IFERROR(__xludf.DUMMYFUNCTION("""COMPUTED_VALUE"""),46.0)</f>
        <v>46</v>
      </c>
      <c r="E2132">
        <f>IFERROR(__xludf.DUMMYFUNCTION("""COMPUTED_VALUE"""),2.48)</f>
        <v>2.48</v>
      </c>
      <c r="F2132">
        <f>IFERROR(__xludf.DUMMYFUNCTION("""COMPUTED_VALUE"""),1.82)</f>
        <v>1.82</v>
      </c>
      <c r="G2132">
        <f>IFERROR(__xludf.DUMMYFUNCTION("""COMPUTED_VALUE"""),5.42)</f>
        <v>5.42</v>
      </c>
    </row>
    <row r="2133">
      <c r="A2133">
        <f>IFERROR(__xludf.DUMMYFUNCTION("""COMPUTED_VALUE"""),787326.0)</f>
        <v>787326</v>
      </c>
      <c r="B2133" t="str">
        <f>IFERROR(__xludf.DUMMYFUNCTION("""COMPUTED_VALUE"""),"Kale Cooked From Frozen Made With Oil")</f>
        <v>Kale Cooked From Frozen Made With Oil</v>
      </c>
      <c r="C2133" t="str">
        <f>IFERROR(__xludf.DUMMYFUNCTION("""COMPUTED_VALUE"""),"Vegetables")</f>
        <v>Vegetables</v>
      </c>
      <c r="D2133">
        <f>IFERROR(__xludf.DUMMYFUNCTION("""COMPUTED_VALUE"""),58.0)</f>
        <v>58</v>
      </c>
      <c r="E2133">
        <f>IFERROR(__xludf.DUMMYFUNCTION("""COMPUTED_VALUE"""),3.82)</f>
        <v>3.82</v>
      </c>
      <c r="F2133">
        <f>IFERROR(__xludf.DUMMYFUNCTION("""COMPUTED_VALUE"""),2.72)</f>
        <v>2.72</v>
      </c>
      <c r="G2133">
        <f>IFERROR(__xludf.DUMMYFUNCTION("""COMPUTED_VALUE"""),5.02)</f>
        <v>5.02</v>
      </c>
    </row>
    <row r="2134">
      <c r="A2134">
        <f>IFERROR(__xludf.DUMMYFUNCTION("""COMPUTED_VALUE"""),787327.0)</f>
        <v>787327</v>
      </c>
      <c r="B2134" t="str">
        <f>IFERROR(__xludf.DUMMYFUNCTION("""COMPUTED_VALUE"""),"Kale Cooked From Frozen Made With Butter")</f>
        <v>Kale Cooked From Frozen Made With Butter</v>
      </c>
      <c r="C2134" t="str">
        <f>IFERROR(__xludf.DUMMYFUNCTION("""COMPUTED_VALUE"""),"Vegetables")</f>
        <v>Vegetables</v>
      </c>
      <c r="D2134">
        <f>IFERROR(__xludf.DUMMYFUNCTION("""COMPUTED_VALUE"""),54.0)</f>
        <v>54</v>
      </c>
      <c r="E2134">
        <f>IFERROR(__xludf.DUMMYFUNCTION("""COMPUTED_VALUE"""),3.3)</f>
        <v>3.3</v>
      </c>
      <c r="F2134">
        <f>IFERROR(__xludf.DUMMYFUNCTION("""COMPUTED_VALUE"""),2.75)</f>
        <v>2.75</v>
      </c>
      <c r="G2134">
        <f>IFERROR(__xludf.DUMMYFUNCTION("""COMPUTED_VALUE"""),5.01)</f>
        <v>5.01</v>
      </c>
    </row>
    <row r="2135">
      <c r="A2135">
        <f>IFERROR(__xludf.DUMMYFUNCTION("""COMPUTED_VALUE"""),787328.0)</f>
        <v>787328</v>
      </c>
      <c r="B2135" t="str">
        <f>IFERROR(__xludf.DUMMYFUNCTION("""COMPUTED_VALUE"""),"Kale Cooked From Frozen Made With Margarine")</f>
        <v>Kale Cooked From Frozen Made With Margarine</v>
      </c>
      <c r="C2135" t="str">
        <f>IFERROR(__xludf.DUMMYFUNCTION("""COMPUTED_VALUE"""),"Vegetables")</f>
        <v>Vegetables</v>
      </c>
      <c r="D2135">
        <f>IFERROR(__xludf.DUMMYFUNCTION("""COMPUTED_VALUE"""),47.0)</f>
        <v>47</v>
      </c>
      <c r="E2135">
        <f>IFERROR(__xludf.DUMMYFUNCTION("""COMPUTED_VALUE"""),2.57)</f>
        <v>2.57</v>
      </c>
      <c r="F2135">
        <f>IFERROR(__xludf.DUMMYFUNCTION("""COMPUTED_VALUE"""),2.72)</f>
        <v>2.72</v>
      </c>
      <c r="G2135">
        <f>IFERROR(__xludf.DUMMYFUNCTION("""COMPUTED_VALUE"""),5.04)</f>
        <v>5.04</v>
      </c>
    </row>
    <row r="2136">
      <c r="A2136">
        <f>IFERROR(__xludf.DUMMYFUNCTION("""COMPUTED_VALUE"""),787329.0)</f>
        <v>787329</v>
      </c>
      <c r="B2136" t="str">
        <f>IFERROR(__xludf.DUMMYFUNCTION("""COMPUTED_VALUE"""),"Kale Cooked From Canned Made With Oil")</f>
        <v>Kale Cooked From Canned Made With Oil</v>
      </c>
      <c r="C2136" t="str">
        <f>IFERROR(__xludf.DUMMYFUNCTION("""COMPUTED_VALUE"""),"Vegetables")</f>
        <v>Vegetables</v>
      </c>
      <c r="D2136">
        <f>IFERROR(__xludf.DUMMYFUNCTION("""COMPUTED_VALUE"""),57.0)</f>
        <v>57</v>
      </c>
      <c r="E2136">
        <f>IFERROR(__xludf.DUMMYFUNCTION("""COMPUTED_VALUE"""),3.74)</f>
        <v>3.74</v>
      </c>
      <c r="F2136">
        <f>IFERROR(__xludf.DUMMYFUNCTION("""COMPUTED_VALUE"""),1.82)</f>
        <v>1.82</v>
      </c>
      <c r="G2136">
        <f>IFERROR(__xludf.DUMMYFUNCTION("""COMPUTED_VALUE"""),5.4)</f>
        <v>5.4</v>
      </c>
    </row>
    <row r="2137">
      <c r="A2137">
        <f>IFERROR(__xludf.DUMMYFUNCTION("""COMPUTED_VALUE"""),787330.0)</f>
        <v>787330</v>
      </c>
      <c r="B2137" t="str">
        <f>IFERROR(__xludf.DUMMYFUNCTION("""COMPUTED_VALUE"""),"Kale Cooked From Canned Made With Butter")</f>
        <v>Kale Cooked From Canned Made With Butter</v>
      </c>
      <c r="C2137" t="str">
        <f>IFERROR(__xludf.DUMMYFUNCTION("""COMPUTED_VALUE"""),"Vegetables")</f>
        <v>Vegetables</v>
      </c>
      <c r="D2137">
        <f>IFERROR(__xludf.DUMMYFUNCTION("""COMPUTED_VALUE"""),52.0)</f>
        <v>52</v>
      </c>
      <c r="E2137">
        <f>IFERROR(__xludf.DUMMYFUNCTION("""COMPUTED_VALUE"""),3.21)</f>
        <v>3.21</v>
      </c>
      <c r="F2137">
        <f>IFERROR(__xludf.DUMMYFUNCTION("""COMPUTED_VALUE"""),1.85)</f>
        <v>1.85</v>
      </c>
      <c r="G2137">
        <f>IFERROR(__xludf.DUMMYFUNCTION("""COMPUTED_VALUE"""),5.39)</f>
        <v>5.39</v>
      </c>
    </row>
    <row r="2138">
      <c r="A2138">
        <f>IFERROR(__xludf.DUMMYFUNCTION("""COMPUTED_VALUE"""),787331.0)</f>
        <v>787331</v>
      </c>
      <c r="B2138" t="str">
        <f>IFERROR(__xludf.DUMMYFUNCTION("""COMPUTED_VALUE"""),"Kale Cooked From Canned Made With Margarine")</f>
        <v>Kale Cooked From Canned Made With Margarine</v>
      </c>
      <c r="C2138" t="str">
        <f>IFERROR(__xludf.DUMMYFUNCTION("""COMPUTED_VALUE"""),"Vegetables")</f>
        <v>Vegetables</v>
      </c>
      <c r="D2138">
        <f>IFERROR(__xludf.DUMMYFUNCTION("""COMPUTED_VALUE"""),46.0)</f>
        <v>46</v>
      </c>
      <c r="E2138">
        <f>IFERROR(__xludf.DUMMYFUNCTION("""COMPUTED_VALUE"""),2.48)</f>
        <v>2.48</v>
      </c>
      <c r="F2138">
        <f>IFERROR(__xludf.DUMMYFUNCTION("""COMPUTED_VALUE"""),1.82)</f>
        <v>1.82</v>
      </c>
      <c r="G2138">
        <f>IFERROR(__xludf.DUMMYFUNCTION("""COMPUTED_VALUE"""),5.42)</f>
        <v>5.42</v>
      </c>
    </row>
    <row r="2139">
      <c r="A2139">
        <f>IFERROR(__xludf.DUMMYFUNCTION("""COMPUTED_VALUE"""),787332.0)</f>
        <v>787332</v>
      </c>
      <c r="B2139" t="str">
        <f>IFERROR(__xludf.DUMMYFUNCTION("""COMPUTED_VALUE"""),"Lambsquarter Cooked Ns As To Fat Added In Cooking")</f>
        <v>Lambsquarter Cooked Ns As To Fat Added In Cooking</v>
      </c>
      <c r="C2139" t="str">
        <f>IFERROR(__xludf.DUMMYFUNCTION("""COMPUTED_VALUE"""),"Vegetables")</f>
        <v>Vegetables</v>
      </c>
      <c r="D2139">
        <f>IFERROR(__xludf.DUMMYFUNCTION("""COMPUTED_VALUE"""),47.0)</f>
        <v>47</v>
      </c>
      <c r="E2139">
        <f>IFERROR(__xludf.DUMMYFUNCTION("""COMPUTED_VALUE"""),2.53)</f>
        <v>2.53</v>
      </c>
      <c r="F2139">
        <f>IFERROR(__xludf.DUMMYFUNCTION("""COMPUTED_VALUE"""),3.12)</f>
        <v>3.12</v>
      </c>
      <c r="G2139">
        <f>IFERROR(__xludf.DUMMYFUNCTION("""COMPUTED_VALUE"""),4.86)</f>
        <v>4.86</v>
      </c>
    </row>
    <row r="2140">
      <c r="A2140">
        <f>IFERROR(__xludf.DUMMYFUNCTION("""COMPUTED_VALUE"""),787333.0)</f>
        <v>787333</v>
      </c>
      <c r="B2140" t="str">
        <f>IFERROR(__xludf.DUMMYFUNCTION("""COMPUTED_VALUE"""),"Lambsquarter Cooked Fat Not Added In Cooking")</f>
        <v>Lambsquarter Cooked Fat Not Added In Cooking</v>
      </c>
      <c r="C2140" t="str">
        <f>IFERROR(__xludf.DUMMYFUNCTION("""COMPUTED_VALUE"""),"Vegetables")</f>
        <v>Vegetables</v>
      </c>
      <c r="D2140">
        <f>IFERROR(__xludf.DUMMYFUNCTION("""COMPUTED_VALUE"""),32.0)</f>
        <v>32</v>
      </c>
      <c r="E2140">
        <f>IFERROR(__xludf.DUMMYFUNCTION("""COMPUTED_VALUE"""),0.7)</f>
        <v>0.7</v>
      </c>
      <c r="F2140">
        <f>IFERROR(__xludf.DUMMYFUNCTION("""COMPUTED_VALUE"""),3.18)</f>
        <v>3.18</v>
      </c>
      <c r="G2140">
        <f>IFERROR(__xludf.DUMMYFUNCTION("""COMPUTED_VALUE"""),4.97)</f>
        <v>4.97</v>
      </c>
    </row>
    <row r="2141">
      <c r="A2141">
        <f>IFERROR(__xludf.DUMMYFUNCTION("""COMPUTED_VALUE"""),787334.0)</f>
        <v>787334</v>
      </c>
      <c r="B2141" t="str">
        <f>IFERROR(__xludf.DUMMYFUNCTION("""COMPUTED_VALUE"""),"Lambsquarter Cooked Fat Added In Cooking Ns As To Type Of Fat")</f>
        <v>Lambsquarter Cooked Fat Added In Cooking Ns As To Type Of Fat</v>
      </c>
      <c r="C2141" t="str">
        <f>IFERROR(__xludf.DUMMYFUNCTION("""COMPUTED_VALUE"""),"Vegetables")</f>
        <v>Vegetables</v>
      </c>
      <c r="D2141">
        <f>IFERROR(__xludf.DUMMYFUNCTION("""COMPUTED_VALUE"""),47.0)</f>
        <v>47</v>
      </c>
      <c r="E2141">
        <f>IFERROR(__xludf.DUMMYFUNCTION("""COMPUTED_VALUE"""),2.53)</f>
        <v>2.53</v>
      </c>
      <c r="F2141">
        <f>IFERROR(__xludf.DUMMYFUNCTION("""COMPUTED_VALUE"""),3.12)</f>
        <v>3.12</v>
      </c>
      <c r="G2141">
        <f>IFERROR(__xludf.DUMMYFUNCTION("""COMPUTED_VALUE"""),4.86)</f>
        <v>4.86</v>
      </c>
    </row>
    <row r="2142">
      <c r="A2142">
        <f>IFERROR(__xludf.DUMMYFUNCTION("""COMPUTED_VALUE"""),787335.0)</f>
        <v>787335</v>
      </c>
      <c r="B2142" t="str">
        <f>IFERROR(__xludf.DUMMYFUNCTION("""COMPUTED_VALUE"""),"Lambsquarter Cooked Made With Oil")</f>
        <v>Lambsquarter Cooked Made With Oil</v>
      </c>
      <c r="C2142" t="str">
        <f>IFERROR(__xludf.DUMMYFUNCTION("""COMPUTED_VALUE"""),"Vegetables")</f>
        <v>Vegetables</v>
      </c>
      <c r="D2142">
        <f>IFERROR(__xludf.DUMMYFUNCTION("""COMPUTED_VALUE"""),53.0)</f>
        <v>53</v>
      </c>
      <c r="E2142">
        <f>IFERROR(__xludf.DUMMYFUNCTION("""COMPUTED_VALUE"""),3.13)</f>
        <v>3.13</v>
      </c>
      <c r="F2142">
        <f>IFERROR(__xludf.DUMMYFUNCTION("""COMPUTED_VALUE"""),3.1)</f>
        <v>3.1</v>
      </c>
      <c r="G2142">
        <f>IFERROR(__xludf.DUMMYFUNCTION("""COMPUTED_VALUE"""),4.85)</f>
        <v>4.85</v>
      </c>
    </row>
    <row r="2143">
      <c r="A2143">
        <f>IFERROR(__xludf.DUMMYFUNCTION("""COMPUTED_VALUE"""),787336.0)</f>
        <v>787336</v>
      </c>
      <c r="B2143" t="str">
        <f>IFERROR(__xludf.DUMMYFUNCTION("""COMPUTED_VALUE"""),"Lambsquarter Cooked Made With Butter")</f>
        <v>Lambsquarter Cooked Made With Butter</v>
      </c>
      <c r="C2143" t="str">
        <f>IFERROR(__xludf.DUMMYFUNCTION("""COMPUTED_VALUE"""),"Vegetables")</f>
        <v>Vegetables</v>
      </c>
      <c r="D2143">
        <f>IFERROR(__xludf.DUMMYFUNCTION("""COMPUTED_VALUE"""),49.0)</f>
        <v>49</v>
      </c>
      <c r="E2143">
        <f>IFERROR(__xludf.DUMMYFUNCTION("""COMPUTED_VALUE"""),2.74)</f>
        <v>2.74</v>
      </c>
      <c r="F2143">
        <f>IFERROR(__xludf.DUMMYFUNCTION("""COMPUTED_VALUE"""),3.12)</f>
        <v>3.12</v>
      </c>
      <c r="G2143">
        <f>IFERROR(__xludf.DUMMYFUNCTION("""COMPUTED_VALUE"""),4.85)</f>
        <v>4.85</v>
      </c>
    </row>
    <row r="2144">
      <c r="A2144">
        <f>IFERROR(__xludf.DUMMYFUNCTION("""COMPUTED_VALUE"""),787337.0)</f>
        <v>787337</v>
      </c>
      <c r="B2144" t="str">
        <f>IFERROR(__xludf.DUMMYFUNCTION("""COMPUTED_VALUE"""),"Lambsquarter Cooked Made With Margarine")</f>
        <v>Lambsquarter Cooked Made With Margarine</v>
      </c>
      <c r="C2144" t="str">
        <f>IFERROR(__xludf.DUMMYFUNCTION("""COMPUTED_VALUE"""),"Vegetables")</f>
        <v>Vegetables</v>
      </c>
      <c r="D2144">
        <f>IFERROR(__xludf.DUMMYFUNCTION("""COMPUTED_VALUE"""),45.0)</f>
        <v>45</v>
      </c>
      <c r="E2144">
        <f>IFERROR(__xludf.DUMMYFUNCTION("""COMPUTED_VALUE"""),2.21)</f>
        <v>2.21</v>
      </c>
      <c r="F2144">
        <f>IFERROR(__xludf.DUMMYFUNCTION("""COMPUTED_VALUE"""),3.1)</f>
        <v>3.1</v>
      </c>
      <c r="G2144">
        <f>IFERROR(__xludf.DUMMYFUNCTION("""COMPUTED_VALUE"""),4.87)</f>
        <v>4.87</v>
      </c>
    </row>
    <row r="2145">
      <c r="A2145">
        <f>IFERROR(__xludf.DUMMYFUNCTION("""COMPUTED_VALUE"""),787338.0)</f>
        <v>787338</v>
      </c>
      <c r="B2145" t="str">
        <f>IFERROR(__xludf.DUMMYFUNCTION("""COMPUTED_VALUE"""),"Mustard Cabbage Cooked Ns As To Fat Added In Cooking")</f>
        <v>Mustard Cabbage Cooked Ns As To Fat Added In Cooking</v>
      </c>
      <c r="C2145" t="str">
        <f>IFERROR(__xludf.DUMMYFUNCTION("""COMPUTED_VALUE"""),"Vegetables")</f>
        <v>Vegetables</v>
      </c>
      <c r="D2145">
        <f>IFERROR(__xludf.DUMMYFUNCTION("""COMPUTED_VALUE"""),29.0)</f>
        <v>29</v>
      </c>
      <c r="E2145">
        <f>IFERROR(__xludf.DUMMYFUNCTION("""COMPUTED_VALUE"""),2.11)</f>
        <v>2.11</v>
      </c>
      <c r="F2145">
        <f>IFERROR(__xludf.DUMMYFUNCTION("""COMPUTED_VALUE"""),1.52)</f>
        <v>1.52</v>
      </c>
      <c r="G2145">
        <f>IFERROR(__xludf.DUMMYFUNCTION("""COMPUTED_VALUE"""),1.73)</f>
        <v>1.73</v>
      </c>
    </row>
    <row r="2146">
      <c r="A2146">
        <f>IFERROR(__xludf.DUMMYFUNCTION("""COMPUTED_VALUE"""),787339.0)</f>
        <v>787339</v>
      </c>
      <c r="B2146" t="str">
        <f>IFERROR(__xludf.DUMMYFUNCTION("""COMPUTED_VALUE"""),"Mustard Cabbage Cooked Fat Not Added In Cooking")</f>
        <v>Mustard Cabbage Cooked Fat Not Added In Cooking</v>
      </c>
      <c r="C2146" t="str">
        <f>IFERROR(__xludf.DUMMYFUNCTION("""COMPUTED_VALUE"""),"Vegetables")</f>
        <v>Vegetables</v>
      </c>
      <c r="D2146">
        <f>IFERROR(__xludf.DUMMYFUNCTION("""COMPUTED_VALUE"""),12.0)</f>
        <v>12</v>
      </c>
      <c r="E2146">
        <f>IFERROR(__xludf.DUMMYFUNCTION("""COMPUTED_VALUE"""),0.16)</f>
        <v>0.16</v>
      </c>
      <c r="F2146">
        <f>IFERROR(__xludf.DUMMYFUNCTION("""COMPUTED_VALUE"""),1.55)</f>
        <v>1.55</v>
      </c>
      <c r="G2146">
        <f>IFERROR(__xludf.DUMMYFUNCTION("""COMPUTED_VALUE"""),1.77)</f>
        <v>1.77</v>
      </c>
    </row>
    <row r="2147">
      <c r="A2147">
        <f>IFERROR(__xludf.DUMMYFUNCTION("""COMPUTED_VALUE"""),787340.0)</f>
        <v>787340</v>
      </c>
      <c r="B2147" t="str">
        <f>IFERROR(__xludf.DUMMYFUNCTION("""COMPUTED_VALUE"""),"Mustard Cabbage Cooked Fat Added In Cooking")</f>
        <v>Mustard Cabbage Cooked Fat Added In Cooking</v>
      </c>
      <c r="C2147" t="str">
        <f>IFERROR(__xludf.DUMMYFUNCTION("""COMPUTED_VALUE"""),"Vegetables")</f>
        <v>Vegetables</v>
      </c>
      <c r="D2147">
        <f>IFERROR(__xludf.DUMMYFUNCTION("""COMPUTED_VALUE"""),29.0)</f>
        <v>29</v>
      </c>
      <c r="E2147">
        <f>IFERROR(__xludf.DUMMYFUNCTION("""COMPUTED_VALUE"""),2.11)</f>
        <v>2.11</v>
      </c>
      <c r="F2147">
        <f>IFERROR(__xludf.DUMMYFUNCTION("""COMPUTED_VALUE"""),1.52)</f>
        <v>1.52</v>
      </c>
      <c r="G2147">
        <f>IFERROR(__xludf.DUMMYFUNCTION("""COMPUTED_VALUE"""),1.73)</f>
        <v>1.73</v>
      </c>
    </row>
    <row r="2148">
      <c r="A2148">
        <f>IFERROR(__xludf.DUMMYFUNCTION("""COMPUTED_VALUE"""),787342.0)</f>
        <v>787342</v>
      </c>
      <c r="B2148" t="str">
        <f>IFERROR(__xludf.DUMMYFUNCTION("""COMPUTED_VALUE"""),"Mustard Greens Cooked Ns As To Form Ns As To Fat Added In Cooking")</f>
        <v>Mustard Greens Cooked Ns As To Form Ns As To Fat Added In Cooking</v>
      </c>
      <c r="C2148" t="str">
        <f>IFERROR(__xludf.DUMMYFUNCTION("""COMPUTED_VALUE"""),"Vegetables")</f>
        <v>Vegetables</v>
      </c>
      <c r="D2148">
        <f>IFERROR(__xludf.DUMMYFUNCTION("""COMPUTED_VALUE"""),46.0)</f>
        <v>46</v>
      </c>
      <c r="E2148">
        <f>IFERROR(__xludf.DUMMYFUNCTION("""COMPUTED_VALUE"""),2.81)</f>
        <v>2.81</v>
      </c>
      <c r="F2148">
        <f>IFERROR(__xludf.DUMMYFUNCTION("""COMPUTED_VALUE"""),2.48)</f>
        <v>2.48</v>
      </c>
      <c r="G2148">
        <f>IFERROR(__xludf.DUMMYFUNCTION("""COMPUTED_VALUE"""),4.34)</f>
        <v>4.34</v>
      </c>
    </row>
    <row r="2149">
      <c r="A2149">
        <f>IFERROR(__xludf.DUMMYFUNCTION("""COMPUTED_VALUE"""),787343.0)</f>
        <v>787343</v>
      </c>
      <c r="B2149" t="str">
        <f>IFERROR(__xludf.DUMMYFUNCTION("""COMPUTED_VALUE"""),"Mustard Greens Cooked From Fresh Ns As To Fat Added In Cooking")</f>
        <v>Mustard Greens Cooked From Fresh Ns As To Fat Added In Cooking</v>
      </c>
      <c r="C2149" t="str">
        <f>IFERROR(__xludf.DUMMYFUNCTION("""COMPUTED_VALUE"""),"Vegetables")</f>
        <v>Vegetables</v>
      </c>
      <c r="D2149">
        <f>IFERROR(__xludf.DUMMYFUNCTION("""COMPUTED_VALUE"""),46.0)</f>
        <v>46</v>
      </c>
      <c r="E2149">
        <f>IFERROR(__xludf.DUMMYFUNCTION("""COMPUTED_VALUE"""),2.81)</f>
        <v>2.81</v>
      </c>
      <c r="F2149">
        <f>IFERROR(__xludf.DUMMYFUNCTION("""COMPUTED_VALUE"""),2.48)</f>
        <v>2.48</v>
      </c>
      <c r="G2149">
        <f>IFERROR(__xludf.DUMMYFUNCTION("""COMPUTED_VALUE"""),4.34)</f>
        <v>4.34</v>
      </c>
    </row>
    <row r="2150">
      <c r="A2150">
        <f>IFERROR(__xludf.DUMMYFUNCTION("""COMPUTED_VALUE"""),787344.0)</f>
        <v>787344</v>
      </c>
      <c r="B2150" t="str">
        <f>IFERROR(__xludf.DUMMYFUNCTION("""COMPUTED_VALUE"""),"Mustard Greens Cooked From Frozen Ns As To Fat Added In Cooking")</f>
        <v>Mustard Greens Cooked From Frozen Ns As To Fat Added In Cooking</v>
      </c>
      <c r="C2150" t="str">
        <f>IFERROR(__xludf.DUMMYFUNCTION("""COMPUTED_VALUE"""),"Vegetables")</f>
        <v>Vegetables</v>
      </c>
      <c r="D2150">
        <f>IFERROR(__xludf.DUMMYFUNCTION("""COMPUTED_VALUE"""),38.0)</f>
        <v>38</v>
      </c>
      <c r="E2150">
        <f>IFERROR(__xludf.DUMMYFUNCTION("""COMPUTED_VALUE"""),2.44)</f>
        <v>2.44</v>
      </c>
      <c r="F2150">
        <f>IFERROR(__xludf.DUMMYFUNCTION("""COMPUTED_VALUE"""),2.2)</f>
        <v>2.2</v>
      </c>
      <c r="G2150">
        <f>IFERROR(__xludf.DUMMYFUNCTION("""COMPUTED_VALUE"""),3.01)</f>
        <v>3.01</v>
      </c>
    </row>
    <row r="2151">
      <c r="A2151">
        <f>IFERROR(__xludf.DUMMYFUNCTION("""COMPUTED_VALUE"""),787345.0)</f>
        <v>787345</v>
      </c>
      <c r="B2151" t="str">
        <f>IFERROR(__xludf.DUMMYFUNCTION("""COMPUTED_VALUE"""),"Mustard Greens Cooked From Canned Ns As To Fat Added In Cooking")</f>
        <v>Mustard Greens Cooked From Canned Ns As To Fat Added In Cooking</v>
      </c>
      <c r="C2151" t="str">
        <f>IFERROR(__xludf.DUMMYFUNCTION("""COMPUTED_VALUE"""),"Vegetables")</f>
        <v>Vegetables</v>
      </c>
      <c r="D2151">
        <f>IFERROR(__xludf.DUMMYFUNCTION("""COMPUTED_VALUE"""),46.0)</f>
        <v>46</v>
      </c>
      <c r="E2151">
        <f>IFERROR(__xludf.DUMMYFUNCTION("""COMPUTED_VALUE"""),2.81)</f>
        <v>2.81</v>
      </c>
      <c r="F2151">
        <f>IFERROR(__xludf.DUMMYFUNCTION("""COMPUTED_VALUE"""),2.48)</f>
        <v>2.48</v>
      </c>
      <c r="G2151">
        <f>IFERROR(__xludf.DUMMYFUNCTION("""COMPUTED_VALUE"""),4.34)</f>
        <v>4.34</v>
      </c>
    </row>
    <row r="2152">
      <c r="A2152">
        <f>IFERROR(__xludf.DUMMYFUNCTION("""COMPUTED_VALUE"""),787346.0)</f>
        <v>787346</v>
      </c>
      <c r="B2152" t="str">
        <f>IFERROR(__xludf.DUMMYFUNCTION("""COMPUTED_VALUE"""),"Mustard Greens Cooked Ns As To Form Fat Not Added In Cooking")</f>
        <v>Mustard Greens Cooked Ns As To Form Fat Not Added In Cooking</v>
      </c>
      <c r="C2152" t="str">
        <f>IFERROR(__xludf.DUMMYFUNCTION("""COMPUTED_VALUE"""),"Vegetables")</f>
        <v>Vegetables</v>
      </c>
      <c r="D2152">
        <f>IFERROR(__xludf.DUMMYFUNCTION("""COMPUTED_VALUE"""),19.0)</f>
        <v>19</v>
      </c>
      <c r="E2152">
        <f>IFERROR(__xludf.DUMMYFUNCTION("""COMPUTED_VALUE"""),0.25)</f>
        <v>0.25</v>
      </c>
      <c r="F2152">
        <f>IFERROR(__xludf.DUMMYFUNCTION("""COMPUTED_VALUE"""),2.26)</f>
        <v>2.26</v>
      </c>
      <c r="G2152">
        <f>IFERROR(__xludf.DUMMYFUNCTION("""COMPUTED_VALUE"""),3.09)</f>
        <v>3.09</v>
      </c>
    </row>
    <row r="2153">
      <c r="A2153">
        <f>IFERROR(__xludf.DUMMYFUNCTION("""COMPUTED_VALUE"""),787347.0)</f>
        <v>787347</v>
      </c>
      <c r="B2153" t="str">
        <f>IFERROR(__xludf.DUMMYFUNCTION("""COMPUTED_VALUE"""),"Mustard Greens Cooked From Fresh Fat Not Added In Cooking")</f>
        <v>Mustard Greens Cooked From Fresh Fat Not Added In Cooking</v>
      </c>
      <c r="C2153" t="str">
        <f>IFERROR(__xludf.DUMMYFUNCTION("""COMPUTED_VALUE"""),"Vegetables")</f>
        <v>Vegetables</v>
      </c>
      <c r="D2153">
        <f>IFERROR(__xludf.DUMMYFUNCTION("""COMPUTED_VALUE"""),26.0)</f>
        <v>26</v>
      </c>
      <c r="E2153">
        <f>IFERROR(__xludf.DUMMYFUNCTION("""COMPUTED_VALUE"""),0.47)</f>
        <v>0.47</v>
      </c>
      <c r="F2153">
        <f>IFERROR(__xludf.DUMMYFUNCTION("""COMPUTED_VALUE"""),2.54)</f>
        <v>2.54</v>
      </c>
      <c r="G2153">
        <f>IFERROR(__xludf.DUMMYFUNCTION("""COMPUTED_VALUE"""),4.48)</f>
        <v>4.48</v>
      </c>
    </row>
    <row r="2154">
      <c r="A2154">
        <f>IFERROR(__xludf.DUMMYFUNCTION("""COMPUTED_VALUE"""),787348.0)</f>
        <v>787348</v>
      </c>
      <c r="B2154" t="str">
        <f>IFERROR(__xludf.DUMMYFUNCTION("""COMPUTED_VALUE"""),"Mustard Greens Cooked From Frozen Fat Not Added In Cooking")</f>
        <v>Mustard Greens Cooked From Frozen Fat Not Added In Cooking</v>
      </c>
      <c r="C2154" t="str">
        <f>IFERROR(__xludf.DUMMYFUNCTION("""COMPUTED_VALUE"""),"Vegetables")</f>
        <v>Vegetables</v>
      </c>
      <c r="D2154">
        <f>IFERROR(__xludf.DUMMYFUNCTION("""COMPUTED_VALUE"""),19.0)</f>
        <v>19</v>
      </c>
      <c r="E2154">
        <f>IFERROR(__xludf.DUMMYFUNCTION("""COMPUTED_VALUE"""),0.25)</f>
        <v>0.25</v>
      </c>
      <c r="F2154">
        <f>IFERROR(__xludf.DUMMYFUNCTION("""COMPUTED_VALUE"""),2.26)</f>
        <v>2.26</v>
      </c>
      <c r="G2154">
        <f>IFERROR(__xludf.DUMMYFUNCTION("""COMPUTED_VALUE"""),3.09)</f>
        <v>3.09</v>
      </c>
    </row>
    <row r="2155">
      <c r="A2155">
        <f>IFERROR(__xludf.DUMMYFUNCTION("""COMPUTED_VALUE"""),787349.0)</f>
        <v>787349</v>
      </c>
      <c r="B2155" t="str">
        <f>IFERROR(__xludf.DUMMYFUNCTION("""COMPUTED_VALUE"""),"Mustard Greens Cooked From Canned Fat Not Added In Cooking")</f>
        <v>Mustard Greens Cooked From Canned Fat Not Added In Cooking</v>
      </c>
      <c r="C2155" t="str">
        <f>IFERROR(__xludf.DUMMYFUNCTION("""COMPUTED_VALUE"""),"Vegetables")</f>
        <v>Vegetables</v>
      </c>
      <c r="D2155">
        <f>IFERROR(__xludf.DUMMYFUNCTION("""COMPUTED_VALUE"""),26.0)</f>
        <v>26</v>
      </c>
      <c r="E2155">
        <f>IFERROR(__xludf.DUMMYFUNCTION("""COMPUTED_VALUE"""),0.47)</f>
        <v>0.47</v>
      </c>
      <c r="F2155">
        <f>IFERROR(__xludf.DUMMYFUNCTION("""COMPUTED_VALUE"""),2.54)</f>
        <v>2.54</v>
      </c>
      <c r="G2155">
        <f>IFERROR(__xludf.DUMMYFUNCTION("""COMPUTED_VALUE"""),4.48)</f>
        <v>4.48</v>
      </c>
    </row>
    <row r="2156">
      <c r="A2156">
        <f>IFERROR(__xludf.DUMMYFUNCTION("""COMPUTED_VALUE"""),787350.0)</f>
        <v>787350</v>
      </c>
      <c r="B2156" t="str">
        <f>IFERROR(__xludf.DUMMYFUNCTION("""COMPUTED_VALUE"""),"Mustard Greens Cooked Ns As To Form Fat Added In Cooking Ns As To Type Of Fat")</f>
        <v>Mustard Greens Cooked Ns As To Form Fat Added In Cooking Ns As To Type Of Fat</v>
      </c>
      <c r="C2156" t="str">
        <f>IFERROR(__xludf.DUMMYFUNCTION("""COMPUTED_VALUE"""),"Vegetables")</f>
        <v>Vegetables</v>
      </c>
      <c r="D2156">
        <f>IFERROR(__xludf.DUMMYFUNCTION("""COMPUTED_VALUE"""),38.0)</f>
        <v>38</v>
      </c>
      <c r="E2156">
        <f>IFERROR(__xludf.DUMMYFUNCTION("""COMPUTED_VALUE"""),2.44)</f>
        <v>2.44</v>
      </c>
      <c r="F2156">
        <f>IFERROR(__xludf.DUMMYFUNCTION("""COMPUTED_VALUE"""),2.2)</f>
        <v>2.2</v>
      </c>
      <c r="G2156">
        <f>IFERROR(__xludf.DUMMYFUNCTION("""COMPUTED_VALUE"""),3.01)</f>
        <v>3.01</v>
      </c>
    </row>
    <row r="2157">
      <c r="A2157">
        <f>IFERROR(__xludf.DUMMYFUNCTION("""COMPUTED_VALUE"""),787351.0)</f>
        <v>787351</v>
      </c>
      <c r="B2157" t="str">
        <f>IFERROR(__xludf.DUMMYFUNCTION("""COMPUTED_VALUE"""),"Mustard Greens Cooked From Fresh Fat Added In Cooking Ns As To Type Of Fat")</f>
        <v>Mustard Greens Cooked From Fresh Fat Added In Cooking Ns As To Type Of Fat</v>
      </c>
      <c r="C2157" t="str">
        <f>IFERROR(__xludf.DUMMYFUNCTION("""COMPUTED_VALUE"""),"Vegetables")</f>
        <v>Vegetables</v>
      </c>
      <c r="D2157">
        <f>IFERROR(__xludf.DUMMYFUNCTION("""COMPUTED_VALUE"""),46.0)</f>
        <v>46</v>
      </c>
      <c r="E2157">
        <f>IFERROR(__xludf.DUMMYFUNCTION("""COMPUTED_VALUE"""),2.81)</f>
        <v>2.81</v>
      </c>
      <c r="F2157">
        <f>IFERROR(__xludf.DUMMYFUNCTION("""COMPUTED_VALUE"""),2.48)</f>
        <v>2.48</v>
      </c>
      <c r="G2157">
        <f>IFERROR(__xludf.DUMMYFUNCTION("""COMPUTED_VALUE"""),4.34)</f>
        <v>4.34</v>
      </c>
    </row>
    <row r="2158">
      <c r="A2158">
        <f>IFERROR(__xludf.DUMMYFUNCTION("""COMPUTED_VALUE"""),787352.0)</f>
        <v>787352</v>
      </c>
      <c r="B2158" t="str">
        <f>IFERROR(__xludf.DUMMYFUNCTION("""COMPUTED_VALUE"""),"Mustard Greens Cooked From Frozen Fat Added In Cooking Ns As To Type Of Fat")</f>
        <v>Mustard Greens Cooked From Frozen Fat Added In Cooking Ns As To Type Of Fat</v>
      </c>
      <c r="C2158" t="str">
        <f>IFERROR(__xludf.DUMMYFUNCTION("""COMPUTED_VALUE"""),"Vegetables")</f>
        <v>Vegetables</v>
      </c>
      <c r="D2158">
        <f>IFERROR(__xludf.DUMMYFUNCTION("""COMPUTED_VALUE"""),38.0)</f>
        <v>38</v>
      </c>
      <c r="E2158">
        <f>IFERROR(__xludf.DUMMYFUNCTION("""COMPUTED_VALUE"""),2.44)</f>
        <v>2.44</v>
      </c>
      <c r="F2158">
        <f>IFERROR(__xludf.DUMMYFUNCTION("""COMPUTED_VALUE"""),2.2)</f>
        <v>2.2</v>
      </c>
      <c r="G2158">
        <f>IFERROR(__xludf.DUMMYFUNCTION("""COMPUTED_VALUE"""),3.01)</f>
        <v>3.01</v>
      </c>
    </row>
    <row r="2159">
      <c r="A2159">
        <f>IFERROR(__xludf.DUMMYFUNCTION("""COMPUTED_VALUE"""),787353.0)</f>
        <v>787353</v>
      </c>
      <c r="B2159" t="str">
        <f>IFERROR(__xludf.DUMMYFUNCTION("""COMPUTED_VALUE"""),"Mustard Greens Cooked From Canned Fat Added In Cooking Ns As To Type Of Fat")</f>
        <v>Mustard Greens Cooked From Canned Fat Added In Cooking Ns As To Type Of Fat</v>
      </c>
      <c r="C2159" t="str">
        <f>IFERROR(__xludf.DUMMYFUNCTION("""COMPUTED_VALUE"""),"Vegetables")</f>
        <v>Vegetables</v>
      </c>
      <c r="D2159">
        <f>IFERROR(__xludf.DUMMYFUNCTION("""COMPUTED_VALUE"""),46.0)</f>
        <v>46</v>
      </c>
      <c r="E2159">
        <f>IFERROR(__xludf.DUMMYFUNCTION("""COMPUTED_VALUE"""),2.81)</f>
        <v>2.81</v>
      </c>
      <c r="F2159">
        <f>IFERROR(__xludf.DUMMYFUNCTION("""COMPUTED_VALUE"""),2.48)</f>
        <v>2.48</v>
      </c>
      <c r="G2159">
        <f>IFERROR(__xludf.DUMMYFUNCTION("""COMPUTED_VALUE"""),4.34)</f>
        <v>4.34</v>
      </c>
    </row>
    <row r="2160">
      <c r="A2160">
        <f>IFERROR(__xludf.DUMMYFUNCTION("""COMPUTED_VALUE"""),787354.0)</f>
        <v>787354</v>
      </c>
      <c r="B2160" t="str">
        <f>IFERROR(__xludf.DUMMYFUNCTION("""COMPUTED_VALUE"""),"Mustard Greens Cooked Ns As To Form Made With Oil")</f>
        <v>Mustard Greens Cooked Ns As To Form Made With Oil</v>
      </c>
      <c r="C2160" t="str">
        <f>IFERROR(__xludf.DUMMYFUNCTION("""COMPUTED_VALUE"""),"Vegetables")</f>
        <v>Vegetables</v>
      </c>
      <c r="D2160">
        <f>IFERROR(__xludf.DUMMYFUNCTION("""COMPUTED_VALUE"""),53.0)</f>
        <v>53</v>
      </c>
      <c r="E2160">
        <f>IFERROR(__xludf.DUMMYFUNCTION("""COMPUTED_VALUE"""),3.57)</f>
        <v>3.57</v>
      </c>
      <c r="F2160">
        <f>IFERROR(__xludf.DUMMYFUNCTION("""COMPUTED_VALUE"""),2.46)</f>
        <v>2.46</v>
      </c>
      <c r="G2160">
        <f>IFERROR(__xludf.DUMMYFUNCTION("""COMPUTED_VALUE"""),4.34)</f>
        <v>4.34</v>
      </c>
    </row>
    <row r="2161">
      <c r="A2161">
        <f>IFERROR(__xludf.DUMMYFUNCTION("""COMPUTED_VALUE"""),787355.0)</f>
        <v>787355</v>
      </c>
      <c r="B2161" t="str">
        <f>IFERROR(__xludf.DUMMYFUNCTION("""COMPUTED_VALUE"""),"Mustard Greens Cooked Ns As To Form Made With Butter")</f>
        <v>Mustard Greens Cooked Ns As To Form Made With Butter</v>
      </c>
      <c r="C2161" t="str">
        <f>IFERROR(__xludf.DUMMYFUNCTION("""COMPUTED_VALUE"""),"Vegetables")</f>
        <v>Vegetables</v>
      </c>
      <c r="D2161">
        <f>IFERROR(__xludf.DUMMYFUNCTION("""COMPUTED_VALUE"""),48.0)</f>
        <v>48</v>
      </c>
      <c r="E2161">
        <f>IFERROR(__xludf.DUMMYFUNCTION("""COMPUTED_VALUE"""),3.08)</f>
        <v>3.08</v>
      </c>
      <c r="F2161">
        <f>IFERROR(__xludf.DUMMYFUNCTION("""COMPUTED_VALUE"""),2.49)</f>
        <v>2.49</v>
      </c>
      <c r="G2161">
        <f>IFERROR(__xludf.DUMMYFUNCTION("""COMPUTED_VALUE"""),4.34)</f>
        <v>4.34</v>
      </c>
    </row>
    <row r="2162">
      <c r="A2162">
        <f>IFERROR(__xludf.DUMMYFUNCTION("""COMPUTED_VALUE"""),787356.0)</f>
        <v>787356</v>
      </c>
      <c r="B2162" t="str">
        <f>IFERROR(__xludf.DUMMYFUNCTION("""COMPUTED_VALUE"""),"Mustard Greens Cooked Ns As To Form Made With Margarine")</f>
        <v>Mustard Greens Cooked Ns As To Form Made With Margarine</v>
      </c>
      <c r="C2162" t="str">
        <f>IFERROR(__xludf.DUMMYFUNCTION("""COMPUTED_VALUE"""),"Vegetables")</f>
        <v>Vegetables</v>
      </c>
      <c r="D2162">
        <f>IFERROR(__xludf.DUMMYFUNCTION("""COMPUTED_VALUE"""),42.0)</f>
        <v>42</v>
      </c>
      <c r="E2162">
        <f>IFERROR(__xludf.DUMMYFUNCTION("""COMPUTED_VALUE"""),2.41)</f>
        <v>2.41</v>
      </c>
      <c r="F2162">
        <f>IFERROR(__xludf.DUMMYFUNCTION("""COMPUTED_VALUE"""),2.46)</f>
        <v>2.46</v>
      </c>
      <c r="G2162">
        <f>IFERROR(__xludf.DUMMYFUNCTION("""COMPUTED_VALUE"""),4.36)</f>
        <v>4.36</v>
      </c>
    </row>
    <row r="2163">
      <c r="A2163">
        <f>IFERROR(__xludf.DUMMYFUNCTION("""COMPUTED_VALUE"""),787357.0)</f>
        <v>787357</v>
      </c>
      <c r="B2163" t="str">
        <f>IFERROR(__xludf.DUMMYFUNCTION("""COMPUTED_VALUE"""),"Mustard Greens Cooked From Fresh Made With Oil")</f>
        <v>Mustard Greens Cooked From Fresh Made With Oil</v>
      </c>
      <c r="C2163" t="str">
        <f>IFERROR(__xludf.DUMMYFUNCTION("""COMPUTED_VALUE"""),"Vegetables")</f>
        <v>Vegetables</v>
      </c>
      <c r="D2163">
        <f>IFERROR(__xludf.DUMMYFUNCTION("""COMPUTED_VALUE"""),53.0)</f>
        <v>53</v>
      </c>
      <c r="E2163">
        <f>IFERROR(__xludf.DUMMYFUNCTION("""COMPUTED_VALUE"""),3.57)</f>
        <v>3.57</v>
      </c>
      <c r="F2163">
        <f>IFERROR(__xludf.DUMMYFUNCTION("""COMPUTED_VALUE"""),2.46)</f>
        <v>2.46</v>
      </c>
      <c r="G2163">
        <f>IFERROR(__xludf.DUMMYFUNCTION("""COMPUTED_VALUE"""),4.34)</f>
        <v>4.34</v>
      </c>
    </row>
    <row r="2164">
      <c r="A2164">
        <f>IFERROR(__xludf.DUMMYFUNCTION("""COMPUTED_VALUE"""),787358.0)</f>
        <v>787358</v>
      </c>
      <c r="B2164" t="str">
        <f>IFERROR(__xludf.DUMMYFUNCTION("""COMPUTED_VALUE"""),"Mustard Greens Cooked From Fresh Made With Butter")</f>
        <v>Mustard Greens Cooked From Fresh Made With Butter</v>
      </c>
      <c r="C2164" t="str">
        <f>IFERROR(__xludf.DUMMYFUNCTION("""COMPUTED_VALUE"""),"Vegetables")</f>
        <v>Vegetables</v>
      </c>
      <c r="D2164">
        <f>IFERROR(__xludf.DUMMYFUNCTION("""COMPUTED_VALUE"""),48.0)</f>
        <v>48</v>
      </c>
      <c r="E2164">
        <f>IFERROR(__xludf.DUMMYFUNCTION("""COMPUTED_VALUE"""),3.08)</f>
        <v>3.08</v>
      </c>
      <c r="F2164">
        <f>IFERROR(__xludf.DUMMYFUNCTION("""COMPUTED_VALUE"""),2.49)</f>
        <v>2.49</v>
      </c>
      <c r="G2164">
        <f>IFERROR(__xludf.DUMMYFUNCTION("""COMPUTED_VALUE"""),4.34)</f>
        <v>4.34</v>
      </c>
    </row>
    <row r="2165">
      <c r="A2165">
        <f>IFERROR(__xludf.DUMMYFUNCTION("""COMPUTED_VALUE"""),787359.0)</f>
        <v>787359</v>
      </c>
      <c r="B2165" t="str">
        <f>IFERROR(__xludf.DUMMYFUNCTION("""COMPUTED_VALUE"""),"Mustard Greens Cooked From Fresh Made With Margarine")</f>
        <v>Mustard Greens Cooked From Fresh Made With Margarine</v>
      </c>
      <c r="C2165" t="str">
        <f>IFERROR(__xludf.DUMMYFUNCTION("""COMPUTED_VALUE"""),"Vegetables")</f>
        <v>Vegetables</v>
      </c>
      <c r="D2165">
        <f>IFERROR(__xludf.DUMMYFUNCTION("""COMPUTED_VALUE"""),42.0)</f>
        <v>42</v>
      </c>
      <c r="E2165">
        <f>IFERROR(__xludf.DUMMYFUNCTION("""COMPUTED_VALUE"""),2.41)</f>
        <v>2.41</v>
      </c>
      <c r="F2165">
        <f>IFERROR(__xludf.DUMMYFUNCTION("""COMPUTED_VALUE"""),2.46)</f>
        <v>2.46</v>
      </c>
      <c r="G2165">
        <f>IFERROR(__xludf.DUMMYFUNCTION("""COMPUTED_VALUE"""),4.36)</f>
        <v>4.36</v>
      </c>
    </row>
    <row r="2166">
      <c r="A2166">
        <f>IFERROR(__xludf.DUMMYFUNCTION("""COMPUTED_VALUE"""),787360.0)</f>
        <v>787360</v>
      </c>
      <c r="B2166" t="str">
        <f>IFERROR(__xludf.DUMMYFUNCTION("""COMPUTED_VALUE"""),"Mustard Greens Cooked From Frozen Made With Oil")</f>
        <v>Mustard Greens Cooked From Frozen Made With Oil</v>
      </c>
      <c r="C2166" t="str">
        <f>IFERROR(__xludf.DUMMYFUNCTION("""COMPUTED_VALUE"""),"Vegetables")</f>
        <v>Vegetables</v>
      </c>
      <c r="D2166">
        <f>IFERROR(__xludf.DUMMYFUNCTION("""COMPUTED_VALUE"""),44.0)</f>
        <v>44</v>
      </c>
      <c r="E2166">
        <f>IFERROR(__xludf.DUMMYFUNCTION("""COMPUTED_VALUE"""),3.16)</f>
        <v>3.16</v>
      </c>
      <c r="F2166">
        <f>IFERROR(__xludf.DUMMYFUNCTION("""COMPUTED_VALUE"""),2.19)</f>
        <v>2.19</v>
      </c>
      <c r="G2166">
        <f>IFERROR(__xludf.DUMMYFUNCTION("""COMPUTED_VALUE"""),3.0)</f>
        <v>3</v>
      </c>
    </row>
    <row r="2167">
      <c r="A2167">
        <f>IFERROR(__xludf.DUMMYFUNCTION("""COMPUTED_VALUE"""),787361.0)</f>
        <v>787361</v>
      </c>
      <c r="B2167" t="str">
        <f>IFERROR(__xludf.DUMMYFUNCTION("""COMPUTED_VALUE"""),"Mustard Greens Cooked From Frozen Made With Butter")</f>
        <v>Mustard Greens Cooked From Frozen Made With Butter</v>
      </c>
      <c r="C2167" t="str">
        <f>IFERROR(__xludf.DUMMYFUNCTION("""COMPUTED_VALUE"""),"Vegetables")</f>
        <v>Vegetables</v>
      </c>
      <c r="D2167">
        <f>IFERROR(__xludf.DUMMYFUNCTION("""COMPUTED_VALUE"""),40.0)</f>
        <v>40</v>
      </c>
      <c r="E2167">
        <f>IFERROR(__xludf.DUMMYFUNCTION("""COMPUTED_VALUE"""),2.7)</f>
        <v>2.7</v>
      </c>
      <c r="F2167">
        <f>IFERROR(__xludf.DUMMYFUNCTION("""COMPUTED_VALUE"""),2.21)</f>
        <v>2.21</v>
      </c>
      <c r="G2167">
        <f>IFERROR(__xludf.DUMMYFUNCTION("""COMPUTED_VALUE"""),3.0)</f>
        <v>3</v>
      </c>
    </row>
    <row r="2168">
      <c r="A2168">
        <f>IFERROR(__xludf.DUMMYFUNCTION("""COMPUTED_VALUE"""),787362.0)</f>
        <v>787362</v>
      </c>
      <c r="B2168" t="str">
        <f>IFERROR(__xludf.DUMMYFUNCTION("""COMPUTED_VALUE"""),"Mustard Greens Cooked From Frozen Made With Margarine")</f>
        <v>Mustard Greens Cooked From Frozen Made With Margarine</v>
      </c>
      <c r="C2168" t="str">
        <f>IFERROR(__xludf.DUMMYFUNCTION("""COMPUTED_VALUE"""),"Vegetables")</f>
        <v>Vegetables</v>
      </c>
      <c r="D2168">
        <f>IFERROR(__xludf.DUMMYFUNCTION("""COMPUTED_VALUE"""),35.0)</f>
        <v>35</v>
      </c>
      <c r="E2168">
        <f>IFERROR(__xludf.DUMMYFUNCTION("""COMPUTED_VALUE"""),2.07)</f>
        <v>2.07</v>
      </c>
      <c r="F2168">
        <f>IFERROR(__xludf.DUMMYFUNCTION("""COMPUTED_VALUE"""),2.19)</f>
        <v>2.19</v>
      </c>
      <c r="G2168">
        <f>IFERROR(__xludf.DUMMYFUNCTION("""COMPUTED_VALUE"""),3.02)</f>
        <v>3.02</v>
      </c>
    </row>
    <row r="2169">
      <c r="A2169">
        <f>IFERROR(__xludf.DUMMYFUNCTION("""COMPUTED_VALUE"""),787363.0)</f>
        <v>787363</v>
      </c>
      <c r="B2169" t="str">
        <f>IFERROR(__xludf.DUMMYFUNCTION("""COMPUTED_VALUE"""),"Mustard Greens Cooked From Canned Made With Oil")</f>
        <v>Mustard Greens Cooked From Canned Made With Oil</v>
      </c>
      <c r="C2169" t="str">
        <f>IFERROR(__xludf.DUMMYFUNCTION("""COMPUTED_VALUE"""),"Vegetables")</f>
        <v>Vegetables</v>
      </c>
      <c r="D2169">
        <f>IFERROR(__xludf.DUMMYFUNCTION("""COMPUTED_VALUE"""),53.0)</f>
        <v>53</v>
      </c>
      <c r="E2169">
        <f>IFERROR(__xludf.DUMMYFUNCTION("""COMPUTED_VALUE"""),3.57)</f>
        <v>3.57</v>
      </c>
      <c r="F2169">
        <f>IFERROR(__xludf.DUMMYFUNCTION("""COMPUTED_VALUE"""),2.46)</f>
        <v>2.46</v>
      </c>
      <c r="G2169">
        <f>IFERROR(__xludf.DUMMYFUNCTION("""COMPUTED_VALUE"""),4.34)</f>
        <v>4.34</v>
      </c>
    </row>
    <row r="2170">
      <c r="A2170">
        <f>IFERROR(__xludf.DUMMYFUNCTION("""COMPUTED_VALUE"""),787364.0)</f>
        <v>787364</v>
      </c>
      <c r="B2170" t="str">
        <f>IFERROR(__xludf.DUMMYFUNCTION("""COMPUTED_VALUE"""),"Mustard Greens Cooked From Canned Made With Butter")</f>
        <v>Mustard Greens Cooked From Canned Made With Butter</v>
      </c>
      <c r="C2170" t="str">
        <f>IFERROR(__xludf.DUMMYFUNCTION("""COMPUTED_VALUE"""),"Vegetables")</f>
        <v>Vegetables</v>
      </c>
      <c r="D2170">
        <f>IFERROR(__xludf.DUMMYFUNCTION("""COMPUTED_VALUE"""),48.0)</f>
        <v>48</v>
      </c>
      <c r="E2170">
        <f>IFERROR(__xludf.DUMMYFUNCTION("""COMPUTED_VALUE"""),3.08)</f>
        <v>3.08</v>
      </c>
      <c r="F2170">
        <f>IFERROR(__xludf.DUMMYFUNCTION("""COMPUTED_VALUE"""),2.49)</f>
        <v>2.49</v>
      </c>
      <c r="G2170">
        <f>IFERROR(__xludf.DUMMYFUNCTION("""COMPUTED_VALUE"""),4.34)</f>
        <v>4.34</v>
      </c>
    </row>
    <row r="2171">
      <c r="A2171">
        <f>IFERROR(__xludf.DUMMYFUNCTION("""COMPUTED_VALUE"""),787365.0)</f>
        <v>787365</v>
      </c>
      <c r="B2171" t="str">
        <f>IFERROR(__xludf.DUMMYFUNCTION("""COMPUTED_VALUE"""),"Mustard Greens Cooked From Canned Made With Margarine")</f>
        <v>Mustard Greens Cooked From Canned Made With Margarine</v>
      </c>
      <c r="C2171" t="str">
        <f>IFERROR(__xludf.DUMMYFUNCTION("""COMPUTED_VALUE"""),"Vegetables")</f>
        <v>Vegetables</v>
      </c>
      <c r="D2171">
        <f>IFERROR(__xludf.DUMMYFUNCTION("""COMPUTED_VALUE"""),42.0)</f>
        <v>42</v>
      </c>
      <c r="E2171">
        <f>IFERROR(__xludf.DUMMYFUNCTION("""COMPUTED_VALUE"""),2.41)</f>
        <v>2.41</v>
      </c>
      <c r="F2171">
        <f>IFERROR(__xludf.DUMMYFUNCTION("""COMPUTED_VALUE"""),2.46)</f>
        <v>2.46</v>
      </c>
      <c r="G2171">
        <f>IFERROR(__xludf.DUMMYFUNCTION("""COMPUTED_VALUE"""),4.36)</f>
        <v>4.36</v>
      </c>
    </row>
    <row r="2172">
      <c r="A2172">
        <f>IFERROR(__xludf.DUMMYFUNCTION("""COMPUTED_VALUE"""),787366.0)</f>
        <v>787366</v>
      </c>
      <c r="B2172" t="str">
        <f>IFERROR(__xludf.DUMMYFUNCTION("""COMPUTED_VALUE"""),"Poke Greens Cooked Ns As To Fat Added In Cooking")</f>
        <v>Poke Greens Cooked Ns As To Fat Added In Cooking</v>
      </c>
      <c r="C2172" t="str">
        <f>IFERROR(__xludf.DUMMYFUNCTION("""COMPUTED_VALUE"""),"Vegetables")</f>
        <v>Vegetables</v>
      </c>
      <c r="D2172">
        <f>IFERROR(__xludf.DUMMYFUNCTION("""COMPUTED_VALUE"""),37.0)</f>
        <v>37</v>
      </c>
      <c r="E2172">
        <f>IFERROR(__xludf.DUMMYFUNCTION("""COMPUTED_VALUE"""),2.4)</f>
        <v>2.4</v>
      </c>
      <c r="F2172">
        <f>IFERROR(__xludf.DUMMYFUNCTION("""COMPUTED_VALUE"""),2.24)</f>
        <v>2.24</v>
      </c>
      <c r="G2172">
        <f>IFERROR(__xludf.DUMMYFUNCTION("""COMPUTED_VALUE"""),3.01)</f>
        <v>3.01</v>
      </c>
    </row>
    <row r="2173">
      <c r="A2173">
        <f>IFERROR(__xludf.DUMMYFUNCTION("""COMPUTED_VALUE"""),787367.0)</f>
        <v>787367</v>
      </c>
      <c r="B2173" t="str">
        <f>IFERROR(__xludf.DUMMYFUNCTION("""COMPUTED_VALUE"""),"Poke Greens Cooked Fat Not Added In Cooking")</f>
        <v>Poke Greens Cooked Fat Not Added In Cooking</v>
      </c>
      <c r="C2173" t="str">
        <f>IFERROR(__xludf.DUMMYFUNCTION("""COMPUTED_VALUE"""),"Vegetables")</f>
        <v>Vegetables</v>
      </c>
      <c r="D2173">
        <f>IFERROR(__xludf.DUMMYFUNCTION("""COMPUTED_VALUE"""),20.0)</f>
        <v>20</v>
      </c>
      <c r="E2173">
        <f>IFERROR(__xludf.DUMMYFUNCTION("""COMPUTED_VALUE"""),0.4)</f>
        <v>0.4</v>
      </c>
      <c r="F2173">
        <f>IFERROR(__xludf.DUMMYFUNCTION("""COMPUTED_VALUE"""),2.29)</f>
        <v>2.29</v>
      </c>
      <c r="G2173">
        <f>IFERROR(__xludf.DUMMYFUNCTION("""COMPUTED_VALUE"""),3.08)</f>
        <v>3.08</v>
      </c>
    </row>
    <row r="2174">
      <c r="A2174">
        <f>IFERROR(__xludf.DUMMYFUNCTION("""COMPUTED_VALUE"""),787368.0)</f>
        <v>787368</v>
      </c>
      <c r="B2174" t="str">
        <f>IFERROR(__xludf.DUMMYFUNCTION("""COMPUTED_VALUE"""),"Poke Greens Cooked Fat Added In Cooking Ns As To Type Of Fat")</f>
        <v>Poke Greens Cooked Fat Added In Cooking Ns As To Type Of Fat</v>
      </c>
      <c r="C2174" t="str">
        <f>IFERROR(__xludf.DUMMYFUNCTION("""COMPUTED_VALUE"""),"Vegetables")</f>
        <v>Vegetables</v>
      </c>
      <c r="D2174">
        <f>IFERROR(__xludf.DUMMYFUNCTION("""COMPUTED_VALUE"""),37.0)</f>
        <v>37</v>
      </c>
      <c r="E2174">
        <f>IFERROR(__xludf.DUMMYFUNCTION("""COMPUTED_VALUE"""),2.4)</f>
        <v>2.4</v>
      </c>
      <c r="F2174">
        <f>IFERROR(__xludf.DUMMYFUNCTION("""COMPUTED_VALUE"""),2.24)</f>
        <v>2.24</v>
      </c>
      <c r="G2174">
        <f>IFERROR(__xludf.DUMMYFUNCTION("""COMPUTED_VALUE"""),3.01)</f>
        <v>3.01</v>
      </c>
    </row>
    <row r="2175">
      <c r="A2175">
        <f>IFERROR(__xludf.DUMMYFUNCTION("""COMPUTED_VALUE"""),787369.0)</f>
        <v>787369</v>
      </c>
      <c r="B2175" t="str">
        <f>IFERROR(__xludf.DUMMYFUNCTION("""COMPUTED_VALUE"""),"Poke Greens Cooked Made With Oil")</f>
        <v>Poke Greens Cooked Made With Oil</v>
      </c>
      <c r="C2175" t="str">
        <f>IFERROR(__xludf.DUMMYFUNCTION("""COMPUTED_VALUE"""),"Vegetables")</f>
        <v>Vegetables</v>
      </c>
      <c r="D2175">
        <f>IFERROR(__xludf.DUMMYFUNCTION("""COMPUTED_VALUE"""),43.0)</f>
        <v>43</v>
      </c>
      <c r="E2175">
        <f>IFERROR(__xludf.DUMMYFUNCTION("""COMPUTED_VALUE"""),3.05)</f>
        <v>3.05</v>
      </c>
      <c r="F2175">
        <f>IFERROR(__xludf.DUMMYFUNCTION("""COMPUTED_VALUE"""),2.22)</f>
        <v>2.22</v>
      </c>
      <c r="G2175">
        <f>IFERROR(__xludf.DUMMYFUNCTION("""COMPUTED_VALUE"""),3.0)</f>
        <v>3</v>
      </c>
    </row>
    <row r="2176">
      <c r="A2176">
        <f>IFERROR(__xludf.DUMMYFUNCTION("""COMPUTED_VALUE"""),787370.0)</f>
        <v>787370</v>
      </c>
      <c r="B2176" t="str">
        <f>IFERROR(__xludf.DUMMYFUNCTION("""COMPUTED_VALUE"""),"Poke Greens Cooked Made With Butter")</f>
        <v>Poke Greens Cooked Made With Butter</v>
      </c>
      <c r="C2176" t="str">
        <f>IFERROR(__xludf.DUMMYFUNCTION("""COMPUTED_VALUE"""),"Vegetables")</f>
        <v>Vegetables</v>
      </c>
      <c r="D2176">
        <f>IFERROR(__xludf.DUMMYFUNCTION("""COMPUTED_VALUE"""),39.0)</f>
        <v>39</v>
      </c>
      <c r="E2176">
        <f>IFERROR(__xludf.DUMMYFUNCTION("""COMPUTED_VALUE"""),2.63)</f>
        <v>2.63</v>
      </c>
      <c r="F2176">
        <f>IFERROR(__xludf.DUMMYFUNCTION("""COMPUTED_VALUE"""),2.25)</f>
        <v>2.25</v>
      </c>
      <c r="G2176">
        <f>IFERROR(__xludf.DUMMYFUNCTION("""COMPUTED_VALUE"""),3.0)</f>
        <v>3</v>
      </c>
    </row>
    <row r="2177">
      <c r="A2177">
        <f>IFERROR(__xludf.DUMMYFUNCTION("""COMPUTED_VALUE"""),787371.0)</f>
        <v>787371</v>
      </c>
      <c r="B2177" t="str">
        <f>IFERROR(__xludf.DUMMYFUNCTION("""COMPUTED_VALUE"""),"Poke Greens Cooked Made With Margarine")</f>
        <v>Poke Greens Cooked Made With Margarine</v>
      </c>
      <c r="C2177" t="str">
        <f>IFERROR(__xludf.DUMMYFUNCTION("""COMPUTED_VALUE"""),"Vegetables")</f>
        <v>Vegetables</v>
      </c>
      <c r="D2177">
        <f>IFERROR(__xludf.DUMMYFUNCTION("""COMPUTED_VALUE"""),34.0)</f>
        <v>34</v>
      </c>
      <c r="E2177">
        <f>IFERROR(__xludf.DUMMYFUNCTION("""COMPUTED_VALUE"""),2.06)</f>
        <v>2.06</v>
      </c>
      <c r="F2177">
        <f>IFERROR(__xludf.DUMMYFUNCTION("""COMPUTED_VALUE"""),2.23)</f>
        <v>2.23</v>
      </c>
      <c r="G2177">
        <f>IFERROR(__xludf.DUMMYFUNCTION("""COMPUTED_VALUE"""),3.02)</f>
        <v>3.02</v>
      </c>
    </row>
    <row r="2178">
      <c r="A2178">
        <f>IFERROR(__xludf.DUMMYFUNCTION("""COMPUTED_VALUE"""),787374.0)</f>
        <v>787374</v>
      </c>
      <c r="B2178" t="str">
        <f>IFERROR(__xludf.DUMMYFUNCTION("""COMPUTED_VALUE"""),"Spinach Cooked Ns As To Form Ns As To Fat Added In Cooking")</f>
        <v>Spinach Cooked Ns As To Form Ns As To Fat Added In Cooking</v>
      </c>
      <c r="C2178" t="str">
        <f>IFERROR(__xludf.DUMMYFUNCTION("""COMPUTED_VALUE"""),"Vegetables")</f>
        <v>Vegetables</v>
      </c>
      <c r="D2178">
        <f>IFERROR(__xludf.DUMMYFUNCTION("""COMPUTED_VALUE"""),49.0)</f>
        <v>49</v>
      </c>
      <c r="E2178">
        <f>IFERROR(__xludf.DUMMYFUNCTION("""COMPUTED_VALUE"""),2.6)</f>
        <v>2.6</v>
      </c>
      <c r="F2178">
        <f>IFERROR(__xludf.DUMMYFUNCTION("""COMPUTED_VALUE"""),3.91)</f>
        <v>3.91</v>
      </c>
      <c r="G2178">
        <f>IFERROR(__xludf.DUMMYFUNCTION("""COMPUTED_VALUE"""),4.67)</f>
        <v>4.67</v>
      </c>
    </row>
    <row r="2179">
      <c r="A2179">
        <f>IFERROR(__xludf.DUMMYFUNCTION("""COMPUTED_VALUE"""),787375.0)</f>
        <v>787375</v>
      </c>
      <c r="B2179" t="str">
        <f>IFERROR(__xludf.DUMMYFUNCTION("""COMPUTED_VALUE"""),"Spinach Cooked From Fresh Ns As To Fat Added In Cooking")</f>
        <v>Spinach Cooked From Fresh Ns As To Fat Added In Cooking</v>
      </c>
      <c r="C2179" t="str">
        <f>IFERROR(__xludf.DUMMYFUNCTION("""COMPUTED_VALUE"""),"Vegetables")</f>
        <v>Vegetables</v>
      </c>
      <c r="D2179">
        <f>IFERROR(__xludf.DUMMYFUNCTION("""COMPUTED_VALUE"""),39.0)</f>
        <v>39</v>
      </c>
      <c r="E2179">
        <f>IFERROR(__xludf.DUMMYFUNCTION("""COMPUTED_VALUE"""),2.1)</f>
        <v>2.1</v>
      </c>
      <c r="F2179">
        <f>IFERROR(__xludf.DUMMYFUNCTION("""COMPUTED_VALUE"""),2.89)</f>
        <v>2.89</v>
      </c>
      <c r="G2179">
        <f>IFERROR(__xludf.DUMMYFUNCTION("""COMPUTED_VALUE"""),3.64)</f>
        <v>3.64</v>
      </c>
    </row>
    <row r="2180">
      <c r="A2180">
        <f>IFERROR(__xludf.DUMMYFUNCTION("""COMPUTED_VALUE"""),787376.0)</f>
        <v>787376</v>
      </c>
      <c r="B2180" t="str">
        <f>IFERROR(__xludf.DUMMYFUNCTION("""COMPUTED_VALUE"""),"Spinach Cooked From Frozen Ns As To Fat Added In Cooking")</f>
        <v>Spinach Cooked From Frozen Ns As To Fat Added In Cooking</v>
      </c>
      <c r="C2180" t="str">
        <f>IFERROR(__xludf.DUMMYFUNCTION("""COMPUTED_VALUE"""),"Vegetables")</f>
        <v>Vegetables</v>
      </c>
      <c r="D2180">
        <f>IFERROR(__xludf.DUMMYFUNCTION("""COMPUTED_VALUE"""),49.0)</f>
        <v>49</v>
      </c>
      <c r="E2180">
        <f>IFERROR(__xludf.DUMMYFUNCTION("""COMPUTED_VALUE"""),2.6)</f>
        <v>2.6</v>
      </c>
      <c r="F2180">
        <f>IFERROR(__xludf.DUMMYFUNCTION("""COMPUTED_VALUE"""),3.91)</f>
        <v>3.91</v>
      </c>
      <c r="G2180">
        <f>IFERROR(__xludf.DUMMYFUNCTION("""COMPUTED_VALUE"""),4.67)</f>
        <v>4.67</v>
      </c>
    </row>
    <row r="2181">
      <c r="A2181">
        <f>IFERROR(__xludf.DUMMYFUNCTION("""COMPUTED_VALUE"""),787377.0)</f>
        <v>787377</v>
      </c>
      <c r="B2181" t="str">
        <f>IFERROR(__xludf.DUMMYFUNCTION("""COMPUTED_VALUE"""),"Spinach Cooked From Canned Ns As To Fat Added In Cooking")</f>
        <v>Spinach Cooked From Canned Ns As To Fat Added In Cooking</v>
      </c>
      <c r="C2181" t="str">
        <f>IFERROR(__xludf.DUMMYFUNCTION("""COMPUTED_VALUE"""),"Vegetables")</f>
        <v>Vegetables</v>
      </c>
      <c r="D2181">
        <f>IFERROR(__xludf.DUMMYFUNCTION("""COMPUTED_VALUE"""),36.0)</f>
        <v>36</v>
      </c>
      <c r="E2181">
        <f>IFERROR(__xludf.DUMMYFUNCTION("""COMPUTED_VALUE"""),2.06)</f>
        <v>2.06</v>
      </c>
      <c r="F2181">
        <f>IFERROR(__xludf.DUMMYFUNCTION("""COMPUTED_VALUE"""),2.76)</f>
        <v>2.76</v>
      </c>
      <c r="G2181">
        <f>IFERROR(__xludf.DUMMYFUNCTION("""COMPUTED_VALUE"""),3.33)</f>
        <v>3.33</v>
      </c>
    </row>
    <row r="2182">
      <c r="A2182">
        <f>IFERROR(__xludf.DUMMYFUNCTION("""COMPUTED_VALUE"""),787378.0)</f>
        <v>787378</v>
      </c>
      <c r="B2182" t="str">
        <f>IFERROR(__xludf.DUMMYFUNCTION("""COMPUTED_VALUE"""),"Spinach Cooked Ns As To Form Fat Not Added In Cooking")</f>
        <v>Spinach Cooked Ns As To Form Fat Not Added In Cooking</v>
      </c>
      <c r="C2182" t="str">
        <f>IFERROR(__xludf.DUMMYFUNCTION("""COMPUTED_VALUE"""),"Vegetables")</f>
        <v>Vegetables</v>
      </c>
      <c r="D2182">
        <f>IFERROR(__xludf.DUMMYFUNCTION("""COMPUTED_VALUE"""),34.0)</f>
        <v>34</v>
      </c>
      <c r="E2182">
        <f>IFERROR(__xludf.DUMMYFUNCTION("""COMPUTED_VALUE"""),0.86)</f>
        <v>0.86</v>
      </c>
      <c r="F2182">
        <f>IFERROR(__xludf.DUMMYFUNCTION("""COMPUTED_VALUE"""),3.99)</f>
        <v>3.99</v>
      </c>
      <c r="G2182">
        <f>IFERROR(__xludf.DUMMYFUNCTION("""COMPUTED_VALUE"""),4.78)</f>
        <v>4.78</v>
      </c>
    </row>
    <row r="2183">
      <c r="A2183">
        <f>IFERROR(__xludf.DUMMYFUNCTION("""COMPUTED_VALUE"""),787379.0)</f>
        <v>787379</v>
      </c>
      <c r="B2183" t="str">
        <f>IFERROR(__xludf.DUMMYFUNCTION("""COMPUTED_VALUE"""),"Spinach Cooked From Fresh Fat Not Added In Cooking")</f>
        <v>Spinach Cooked From Fresh Fat Not Added In Cooking</v>
      </c>
      <c r="C2183" t="str">
        <f>IFERROR(__xludf.DUMMYFUNCTION("""COMPUTED_VALUE"""),"Vegetables")</f>
        <v>Vegetables</v>
      </c>
      <c r="D2183">
        <f>IFERROR(__xludf.DUMMYFUNCTION("""COMPUTED_VALUE"""),23.0)</f>
        <v>23</v>
      </c>
      <c r="E2183">
        <f>IFERROR(__xludf.DUMMYFUNCTION("""COMPUTED_VALUE"""),0.26)</f>
        <v>0.26</v>
      </c>
      <c r="F2183">
        <f>IFERROR(__xludf.DUMMYFUNCTION("""COMPUTED_VALUE"""),2.95)</f>
        <v>2.95</v>
      </c>
      <c r="G2183">
        <f>IFERROR(__xludf.DUMMYFUNCTION("""COMPUTED_VALUE"""),3.73)</f>
        <v>3.73</v>
      </c>
    </row>
    <row r="2184">
      <c r="A2184">
        <f>IFERROR(__xludf.DUMMYFUNCTION("""COMPUTED_VALUE"""),787380.0)</f>
        <v>787380</v>
      </c>
      <c r="B2184" t="str">
        <f>IFERROR(__xludf.DUMMYFUNCTION("""COMPUTED_VALUE"""),"Spinach Cooked From Frozen Fat Not Added In Cooking")</f>
        <v>Spinach Cooked From Frozen Fat Not Added In Cooking</v>
      </c>
      <c r="C2184" t="str">
        <f>IFERROR(__xludf.DUMMYFUNCTION("""COMPUTED_VALUE"""),"Vegetables")</f>
        <v>Vegetables</v>
      </c>
      <c r="D2184">
        <f>IFERROR(__xludf.DUMMYFUNCTION("""COMPUTED_VALUE"""),34.0)</f>
        <v>34</v>
      </c>
      <c r="E2184">
        <f>IFERROR(__xludf.DUMMYFUNCTION("""COMPUTED_VALUE"""),0.86)</f>
        <v>0.86</v>
      </c>
      <c r="F2184">
        <f>IFERROR(__xludf.DUMMYFUNCTION("""COMPUTED_VALUE"""),3.99)</f>
        <v>3.99</v>
      </c>
      <c r="G2184">
        <f>IFERROR(__xludf.DUMMYFUNCTION("""COMPUTED_VALUE"""),4.78)</f>
        <v>4.78</v>
      </c>
    </row>
    <row r="2185">
      <c r="A2185">
        <f>IFERROR(__xludf.DUMMYFUNCTION("""COMPUTED_VALUE"""),787381.0)</f>
        <v>787381</v>
      </c>
      <c r="B2185" t="str">
        <f>IFERROR(__xludf.DUMMYFUNCTION("""COMPUTED_VALUE"""),"Spinach Cooked From Canned Fat Not Added In Cooking")</f>
        <v>Spinach Cooked From Canned Fat Not Added In Cooking</v>
      </c>
      <c r="C2185" t="str">
        <f>IFERROR(__xludf.DUMMYFUNCTION("""COMPUTED_VALUE"""),"Vegetables")</f>
        <v>Vegetables</v>
      </c>
      <c r="D2185">
        <f>IFERROR(__xludf.DUMMYFUNCTION("""COMPUTED_VALUE"""),23.0)</f>
        <v>23</v>
      </c>
      <c r="E2185">
        <f>IFERROR(__xludf.DUMMYFUNCTION("""COMPUTED_VALUE"""),0.5)</f>
        <v>0.5</v>
      </c>
      <c r="F2185">
        <f>IFERROR(__xludf.DUMMYFUNCTION("""COMPUTED_VALUE"""),2.8)</f>
        <v>2.8</v>
      </c>
      <c r="G2185">
        <f>IFERROR(__xludf.DUMMYFUNCTION("""COMPUTED_VALUE"""),3.39)</f>
        <v>3.39</v>
      </c>
    </row>
    <row r="2186">
      <c r="A2186">
        <f>IFERROR(__xludf.DUMMYFUNCTION("""COMPUTED_VALUE"""),787382.0)</f>
        <v>787382</v>
      </c>
      <c r="B2186" t="str">
        <f>IFERROR(__xludf.DUMMYFUNCTION("""COMPUTED_VALUE"""),"Spinach Cooked Ns As To Form Made With Oil")</f>
        <v>Spinach Cooked Ns As To Form Made With Oil</v>
      </c>
      <c r="C2186" t="str">
        <f>IFERROR(__xludf.DUMMYFUNCTION("""COMPUTED_VALUE"""),"Vegetables")</f>
        <v>Vegetables</v>
      </c>
      <c r="D2186">
        <f>IFERROR(__xludf.DUMMYFUNCTION("""COMPUTED_VALUE"""),49.0)</f>
        <v>49</v>
      </c>
      <c r="E2186">
        <f>IFERROR(__xludf.DUMMYFUNCTION("""COMPUTED_VALUE"""),2.6)</f>
        <v>2.6</v>
      </c>
      <c r="F2186">
        <f>IFERROR(__xludf.DUMMYFUNCTION("""COMPUTED_VALUE"""),3.91)</f>
        <v>3.91</v>
      </c>
      <c r="G2186">
        <f>IFERROR(__xludf.DUMMYFUNCTION("""COMPUTED_VALUE"""),4.67)</f>
        <v>4.67</v>
      </c>
    </row>
    <row r="2187">
      <c r="A2187">
        <f>IFERROR(__xludf.DUMMYFUNCTION("""COMPUTED_VALUE"""),787383.0)</f>
        <v>787383</v>
      </c>
      <c r="B2187" t="str">
        <f>IFERROR(__xludf.DUMMYFUNCTION("""COMPUTED_VALUE"""),"Spinach Cooked Ns As To Form Made With Butter")</f>
        <v>Spinach Cooked Ns As To Form Made With Butter</v>
      </c>
      <c r="C2187" t="str">
        <f>IFERROR(__xludf.DUMMYFUNCTION("""COMPUTED_VALUE"""),"Vegetables")</f>
        <v>Vegetables</v>
      </c>
      <c r="D2187">
        <f>IFERROR(__xludf.DUMMYFUNCTION("""COMPUTED_VALUE"""),50.0)</f>
        <v>50</v>
      </c>
      <c r="E2187">
        <f>IFERROR(__xludf.DUMMYFUNCTION("""COMPUTED_VALUE"""),2.8)</f>
        <v>2.8</v>
      </c>
      <c r="F2187">
        <f>IFERROR(__xludf.DUMMYFUNCTION("""COMPUTED_VALUE"""),3.91)</f>
        <v>3.91</v>
      </c>
      <c r="G2187">
        <f>IFERROR(__xludf.DUMMYFUNCTION("""COMPUTED_VALUE"""),4.66)</f>
        <v>4.66</v>
      </c>
    </row>
    <row r="2188">
      <c r="A2188">
        <f>IFERROR(__xludf.DUMMYFUNCTION("""COMPUTED_VALUE"""),787384.0)</f>
        <v>787384</v>
      </c>
      <c r="B2188" t="str">
        <f>IFERROR(__xludf.DUMMYFUNCTION("""COMPUTED_VALUE"""),"Spinach Cooked Ns As To Form Made With Margarine")</f>
        <v>Spinach Cooked Ns As To Form Made With Margarine</v>
      </c>
      <c r="C2188" t="str">
        <f>IFERROR(__xludf.DUMMYFUNCTION("""COMPUTED_VALUE"""),"Vegetables")</f>
        <v>Vegetables</v>
      </c>
      <c r="D2188">
        <f>IFERROR(__xludf.DUMMYFUNCTION("""COMPUTED_VALUE"""),46.0)</f>
        <v>46</v>
      </c>
      <c r="E2188">
        <f>IFERROR(__xludf.DUMMYFUNCTION("""COMPUTED_VALUE"""),2.3)</f>
        <v>2.3</v>
      </c>
      <c r="F2188">
        <f>IFERROR(__xludf.DUMMYFUNCTION("""COMPUTED_VALUE"""),3.9)</f>
        <v>3.9</v>
      </c>
      <c r="G2188">
        <f>IFERROR(__xludf.DUMMYFUNCTION("""COMPUTED_VALUE"""),4.68)</f>
        <v>4.68</v>
      </c>
    </row>
    <row r="2189">
      <c r="A2189">
        <f>IFERROR(__xludf.DUMMYFUNCTION("""COMPUTED_VALUE"""),787385.0)</f>
        <v>787385</v>
      </c>
      <c r="B2189" t="str">
        <f>IFERROR(__xludf.DUMMYFUNCTION("""COMPUTED_VALUE"""),"Spinach Cooked From Fresh Made With Oil")</f>
        <v>Spinach Cooked From Fresh Made With Oil</v>
      </c>
      <c r="C2189" t="str">
        <f>IFERROR(__xludf.DUMMYFUNCTION("""COMPUTED_VALUE"""),"Vegetables")</f>
        <v>Vegetables</v>
      </c>
      <c r="D2189">
        <f>IFERROR(__xludf.DUMMYFUNCTION("""COMPUTED_VALUE"""),44.0)</f>
        <v>44</v>
      </c>
      <c r="E2189">
        <f>IFERROR(__xludf.DUMMYFUNCTION("""COMPUTED_VALUE"""),2.7)</f>
        <v>2.7</v>
      </c>
      <c r="F2189">
        <f>IFERROR(__xludf.DUMMYFUNCTION("""COMPUTED_VALUE"""),2.88)</f>
        <v>2.88</v>
      </c>
      <c r="G2189">
        <f>IFERROR(__xludf.DUMMYFUNCTION("""COMPUTED_VALUE"""),3.64)</f>
        <v>3.64</v>
      </c>
    </row>
    <row r="2190">
      <c r="A2190">
        <f>IFERROR(__xludf.DUMMYFUNCTION("""COMPUTED_VALUE"""),787386.0)</f>
        <v>787386</v>
      </c>
      <c r="B2190" t="str">
        <f>IFERROR(__xludf.DUMMYFUNCTION("""COMPUTED_VALUE"""),"Spinach Cooked From Fresh Made With Butter")</f>
        <v>Spinach Cooked From Fresh Made With Butter</v>
      </c>
      <c r="C2190" t="str">
        <f>IFERROR(__xludf.DUMMYFUNCTION("""COMPUTED_VALUE"""),"Vegetables")</f>
        <v>Vegetables</v>
      </c>
      <c r="D2190">
        <f>IFERROR(__xludf.DUMMYFUNCTION("""COMPUTED_VALUE"""),41.0)</f>
        <v>41</v>
      </c>
      <c r="E2190">
        <f>IFERROR(__xludf.DUMMYFUNCTION("""COMPUTED_VALUE"""),2.32)</f>
        <v>2.32</v>
      </c>
      <c r="F2190">
        <f>IFERROR(__xludf.DUMMYFUNCTION("""COMPUTED_VALUE"""),2.9)</f>
        <v>2.9</v>
      </c>
      <c r="G2190">
        <f>IFERROR(__xludf.DUMMYFUNCTION("""COMPUTED_VALUE"""),3.64)</f>
        <v>3.64</v>
      </c>
    </row>
    <row r="2191">
      <c r="A2191">
        <f>IFERROR(__xludf.DUMMYFUNCTION("""COMPUTED_VALUE"""),787387.0)</f>
        <v>787387</v>
      </c>
      <c r="B2191" t="str">
        <f>IFERROR(__xludf.DUMMYFUNCTION("""COMPUTED_VALUE"""),"Spinach Cooked From Fresh Made With Margarine")</f>
        <v>Spinach Cooked From Fresh Made With Margarine</v>
      </c>
      <c r="C2191" t="str">
        <f>IFERROR(__xludf.DUMMYFUNCTION("""COMPUTED_VALUE"""),"Vegetables")</f>
        <v>Vegetables</v>
      </c>
      <c r="D2191">
        <f>IFERROR(__xludf.DUMMYFUNCTION("""COMPUTED_VALUE"""),36.0)</f>
        <v>36</v>
      </c>
      <c r="E2191">
        <f>IFERROR(__xludf.DUMMYFUNCTION("""COMPUTED_VALUE"""),1.79)</f>
        <v>1.79</v>
      </c>
      <c r="F2191">
        <f>IFERROR(__xludf.DUMMYFUNCTION("""COMPUTED_VALUE"""),2.88)</f>
        <v>2.88</v>
      </c>
      <c r="G2191">
        <f>IFERROR(__xludf.DUMMYFUNCTION("""COMPUTED_VALUE"""),3.66)</f>
        <v>3.66</v>
      </c>
    </row>
    <row r="2192">
      <c r="A2192">
        <f>IFERROR(__xludf.DUMMYFUNCTION("""COMPUTED_VALUE"""),787388.0)</f>
        <v>787388</v>
      </c>
      <c r="B2192" t="str">
        <f>IFERROR(__xludf.DUMMYFUNCTION("""COMPUTED_VALUE"""),"Spinach Cooked Ns As To Form Fat Added In Cooking Ns As To Type Of Fat")</f>
        <v>Spinach Cooked Ns As To Form Fat Added In Cooking Ns As To Type Of Fat</v>
      </c>
      <c r="C2192" t="str">
        <f>IFERROR(__xludf.DUMMYFUNCTION("""COMPUTED_VALUE"""),"Vegetables")</f>
        <v>Vegetables</v>
      </c>
      <c r="D2192">
        <f>IFERROR(__xludf.DUMMYFUNCTION("""COMPUTED_VALUE"""),49.0)</f>
        <v>49</v>
      </c>
      <c r="E2192">
        <f>IFERROR(__xludf.DUMMYFUNCTION("""COMPUTED_VALUE"""),2.6)</f>
        <v>2.6</v>
      </c>
      <c r="F2192">
        <f>IFERROR(__xludf.DUMMYFUNCTION("""COMPUTED_VALUE"""),3.91)</f>
        <v>3.91</v>
      </c>
      <c r="G2192">
        <f>IFERROR(__xludf.DUMMYFUNCTION("""COMPUTED_VALUE"""),4.67)</f>
        <v>4.67</v>
      </c>
    </row>
    <row r="2193">
      <c r="A2193">
        <f>IFERROR(__xludf.DUMMYFUNCTION("""COMPUTED_VALUE"""),787389.0)</f>
        <v>787389</v>
      </c>
      <c r="B2193" t="str">
        <f>IFERROR(__xludf.DUMMYFUNCTION("""COMPUTED_VALUE"""),"Spinach Cooked From Fresh Fat Added In Cooking Ns As To Type Of Fat")</f>
        <v>Spinach Cooked From Fresh Fat Added In Cooking Ns As To Type Of Fat</v>
      </c>
      <c r="C2193" t="str">
        <f>IFERROR(__xludf.DUMMYFUNCTION("""COMPUTED_VALUE"""),"Vegetables")</f>
        <v>Vegetables</v>
      </c>
      <c r="D2193">
        <f>IFERROR(__xludf.DUMMYFUNCTION("""COMPUTED_VALUE"""),39.0)</f>
        <v>39</v>
      </c>
      <c r="E2193">
        <f>IFERROR(__xludf.DUMMYFUNCTION("""COMPUTED_VALUE"""),2.1)</f>
        <v>2.1</v>
      </c>
      <c r="F2193">
        <f>IFERROR(__xludf.DUMMYFUNCTION("""COMPUTED_VALUE"""),2.89)</f>
        <v>2.89</v>
      </c>
      <c r="G2193">
        <f>IFERROR(__xludf.DUMMYFUNCTION("""COMPUTED_VALUE"""),3.64)</f>
        <v>3.64</v>
      </c>
    </row>
    <row r="2194">
      <c r="A2194">
        <f>IFERROR(__xludf.DUMMYFUNCTION("""COMPUTED_VALUE"""),787390.0)</f>
        <v>787390</v>
      </c>
      <c r="B2194" t="str">
        <f>IFERROR(__xludf.DUMMYFUNCTION("""COMPUTED_VALUE"""),"Spinach Cooked From Frozen Fat Added In Cooking Ns As To Type Of Fat")</f>
        <v>Spinach Cooked From Frozen Fat Added In Cooking Ns As To Type Of Fat</v>
      </c>
      <c r="C2194" t="str">
        <f>IFERROR(__xludf.DUMMYFUNCTION("""COMPUTED_VALUE"""),"Vegetables")</f>
        <v>Vegetables</v>
      </c>
      <c r="D2194">
        <f>IFERROR(__xludf.DUMMYFUNCTION("""COMPUTED_VALUE"""),49.0)</f>
        <v>49</v>
      </c>
      <c r="E2194">
        <f>IFERROR(__xludf.DUMMYFUNCTION("""COMPUTED_VALUE"""),2.6)</f>
        <v>2.6</v>
      </c>
      <c r="F2194">
        <f>IFERROR(__xludf.DUMMYFUNCTION("""COMPUTED_VALUE"""),3.91)</f>
        <v>3.91</v>
      </c>
      <c r="G2194">
        <f>IFERROR(__xludf.DUMMYFUNCTION("""COMPUTED_VALUE"""),4.67)</f>
        <v>4.67</v>
      </c>
    </row>
    <row r="2195">
      <c r="A2195">
        <f>IFERROR(__xludf.DUMMYFUNCTION("""COMPUTED_VALUE"""),787391.0)</f>
        <v>787391</v>
      </c>
      <c r="B2195" t="str">
        <f>IFERROR(__xludf.DUMMYFUNCTION("""COMPUTED_VALUE"""),"Spinach Cooked From Canned Fat Added In Cooking Ns As To Type Of Fat")</f>
        <v>Spinach Cooked From Canned Fat Added In Cooking Ns As To Type Of Fat</v>
      </c>
      <c r="C2195" t="str">
        <f>IFERROR(__xludf.DUMMYFUNCTION("""COMPUTED_VALUE"""),"Vegetables")</f>
        <v>Vegetables</v>
      </c>
      <c r="D2195">
        <f>IFERROR(__xludf.DUMMYFUNCTION("""COMPUTED_VALUE"""),36.0)</f>
        <v>36</v>
      </c>
      <c r="E2195">
        <f>IFERROR(__xludf.DUMMYFUNCTION("""COMPUTED_VALUE"""),2.06)</f>
        <v>2.06</v>
      </c>
      <c r="F2195">
        <f>IFERROR(__xludf.DUMMYFUNCTION("""COMPUTED_VALUE"""),2.76)</f>
        <v>2.76</v>
      </c>
      <c r="G2195">
        <f>IFERROR(__xludf.DUMMYFUNCTION("""COMPUTED_VALUE"""),3.33)</f>
        <v>3.33</v>
      </c>
    </row>
    <row r="2196">
      <c r="A2196">
        <f>IFERROR(__xludf.DUMMYFUNCTION("""COMPUTED_VALUE"""),787392.0)</f>
        <v>787392</v>
      </c>
      <c r="B2196" t="str">
        <f>IFERROR(__xludf.DUMMYFUNCTION("""COMPUTED_VALUE"""),"Spinach Cooked From Frozen Made With Oil")</f>
        <v>Spinach Cooked From Frozen Made With Oil</v>
      </c>
      <c r="C2196" t="str">
        <f>IFERROR(__xludf.DUMMYFUNCTION("""COMPUTED_VALUE"""),"Vegetables")</f>
        <v>Vegetables</v>
      </c>
      <c r="D2196">
        <f>IFERROR(__xludf.DUMMYFUNCTION("""COMPUTED_VALUE"""),54.0)</f>
        <v>54</v>
      </c>
      <c r="E2196">
        <f>IFERROR(__xludf.DUMMYFUNCTION("""COMPUTED_VALUE"""),3.17)</f>
        <v>3.17</v>
      </c>
      <c r="F2196">
        <f>IFERROR(__xludf.DUMMYFUNCTION("""COMPUTED_VALUE"""),3.9)</f>
        <v>3.9</v>
      </c>
      <c r="G2196">
        <f>IFERROR(__xludf.DUMMYFUNCTION("""COMPUTED_VALUE"""),4.66)</f>
        <v>4.66</v>
      </c>
    </row>
    <row r="2197">
      <c r="A2197">
        <f>IFERROR(__xludf.DUMMYFUNCTION("""COMPUTED_VALUE"""),787393.0)</f>
        <v>787393</v>
      </c>
      <c r="B2197" t="str">
        <f>IFERROR(__xludf.DUMMYFUNCTION("""COMPUTED_VALUE"""),"Spinach Cooked From Frozen Made With Butter")</f>
        <v>Spinach Cooked From Frozen Made With Butter</v>
      </c>
      <c r="C2197" t="str">
        <f>IFERROR(__xludf.DUMMYFUNCTION("""COMPUTED_VALUE"""),"Vegetables")</f>
        <v>Vegetables</v>
      </c>
      <c r="D2197">
        <f>IFERROR(__xludf.DUMMYFUNCTION("""COMPUTED_VALUE"""),50.0)</f>
        <v>50</v>
      </c>
      <c r="E2197">
        <f>IFERROR(__xludf.DUMMYFUNCTION("""COMPUTED_VALUE"""),2.8)</f>
        <v>2.8</v>
      </c>
      <c r="F2197">
        <f>IFERROR(__xludf.DUMMYFUNCTION("""COMPUTED_VALUE"""),3.91)</f>
        <v>3.91</v>
      </c>
      <c r="G2197">
        <f>IFERROR(__xludf.DUMMYFUNCTION("""COMPUTED_VALUE"""),4.66)</f>
        <v>4.66</v>
      </c>
    </row>
    <row r="2198">
      <c r="A2198">
        <f>IFERROR(__xludf.DUMMYFUNCTION("""COMPUTED_VALUE"""),787394.0)</f>
        <v>787394</v>
      </c>
      <c r="B2198" t="str">
        <f>IFERROR(__xludf.DUMMYFUNCTION("""COMPUTED_VALUE"""),"Spinach Cooked From Frozen Made With Margarine")</f>
        <v>Spinach Cooked From Frozen Made With Margarine</v>
      </c>
      <c r="C2198" t="str">
        <f>IFERROR(__xludf.DUMMYFUNCTION("""COMPUTED_VALUE"""),"Vegetables")</f>
        <v>Vegetables</v>
      </c>
      <c r="D2198">
        <f>IFERROR(__xludf.DUMMYFUNCTION("""COMPUTED_VALUE"""),46.0)</f>
        <v>46</v>
      </c>
      <c r="E2198">
        <f>IFERROR(__xludf.DUMMYFUNCTION("""COMPUTED_VALUE"""),2.3)</f>
        <v>2.3</v>
      </c>
      <c r="F2198">
        <f>IFERROR(__xludf.DUMMYFUNCTION("""COMPUTED_VALUE"""),3.9)</f>
        <v>3.9</v>
      </c>
      <c r="G2198">
        <f>IFERROR(__xludf.DUMMYFUNCTION("""COMPUTED_VALUE"""),4.68)</f>
        <v>4.68</v>
      </c>
    </row>
    <row r="2199">
      <c r="A2199">
        <f>IFERROR(__xludf.DUMMYFUNCTION("""COMPUTED_VALUE"""),787395.0)</f>
        <v>787395</v>
      </c>
      <c r="B2199" t="str">
        <f>IFERROR(__xludf.DUMMYFUNCTION("""COMPUTED_VALUE"""),"Spinach Cooked From Canned Made With Oil")</f>
        <v>Spinach Cooked From Canned Made With Oil</v>
      </c>
      <c r="C2199" t="str">
        <f>IFERROR(__xludf.DUMMYFUNCTION("""COMPUTED_VALUE"""),"Vegetables")</f>
        <v>Vegetables</v>
      </c>
      <c r="D2199">
        <f>IFERROR(__xludf.DUMMYFUNCTION("""COMPUTED_VALUE"""),41.0)</f>
        <v>41</v>
      </c>
      <c r="E2199">
        <f>IFERROR(__xludf.DUMMYFUNCTION("""COMPUTED_VALUE"""),2.56)</f>
        <v>2.56</v>
      </c>
      <c r="F2199">
        <f>IFERROR(__xludf.DUMMYFUNCTION("""COMPUTED_VALUE"""),2.75)</f>
        <v>2.75</v>
      </c>
      <c r="G2199">
        <f>IFERROR(__xludf.DUMMYFUNCTION("""COMPUTED_VALUE"""),3.32)</f>
        <v>3.32</v>
      </c>
    </row>
    <row r="2200">
      <c r="A2200">
        <f>IFERROR(__xludf.DUMMYFUNCTION("""COMPUTED_VALUE"""),787396.0)</f>
        <v>787396</v>
      </c>
      <c r="B2200" t="str">
        <f>IFERROR(__xludf.DUMMYFUNCTION("""COMPUTED_VALUE"""),"Spinach Cooked From Canned Made With Butter")</f>
        <v>Spinach Cooked From Canned Made With Butter</v>
      </c>
      <c r="C2200" t="str">
        <f>IFERROR(__xludf.DUMMYFUNCTION("""COMPUTED_VALUE"""),"Vegetables")</f>
        <v>Vegetables</v>
      </c>
      <c r="D2200">
        <f>IFERROR(__xludf.DUMMYFUNCTION("""COMPUTED_VALUE"""),38.0)</f>
        <v>38</v>
      </c>
      <c r="E2200">
        <f>IFERROR(__xludf.DUMMYFUNCTION("""COMPUTED_VALUE"""),2.24)</f>
        <v>2.24</v>
      </c>
      <c r="F2200">
        <f>IFERROR(__xludf.DUMMYFUNCTION("""COMPUTED_VALUE"""),2.76)</f>
        <v>2.76</v>
      </c>
      <c r="G2200">
        <f>IFERROR(__xludf.DUMMYFUNCTION("""COMPUTED_VALUE"""),3.32)</f>
        <v>3.32</v>
      </c>
    </row>
    <row r="2201">
      <c r="A2201">
        <f>IFERROR(__xludf.DUMMYFUNCTION("""COMPUTED_VALUE"""),787397.0)</f>
        <v>787397</v>
      </c>
      <c r="B2201" t="str">
        <f>IFERROR(__xludf.DUMMYFUNCTION("""COMPUTED_VALUE"""),"Spinach Cooked From Canned Made With Margarine")</f>
        <v>Spinach Cooked From Canned Made With Margarine</v>
      </c>
      <c r="C2201" t="str">
        <f>IFERROR(__xludf.DUMMYFUNCTION("""COMPUTED_VALUE"""),"Vegetables")</f>
        <v>Vegetables</v>
      </c>
      <c r="D2201">
        <f>IFERROR(__xludf.DUMMYFUNCTION("""COMPUTED_VALUE"""),34.0)</f>
        <v>34</v>
      </c>
      <c r="E2201">
        <f>IFERROR(__xludf.DUMMYFUNCTION("""COMPUTED_VALUE"""),1.79)</f>
        <v>1.79</v>
      </c>
      <c r="F2201">
        <f>IFERROR(__xludf.DUMMYFUNCTION("""COMPUTED_VALUE"""),2.75)</f>
        <v>2.75</v>
      </c>
      <c r="G2201">
        <f>IFERROR(__xludf.DUMMYFUNCTION("""COMPUTED_VALUE"""),3.34)</f>
        <v>3.34</v>
      </c>
    </row>
    <row r="2202">
      <c r="A2202">
        <f>IFERROR(__xludf.DUMMYFUNCTION("""COMPUTED_VALUE"""),787398.0)</f>
        <v>787398</v>
      </c>
      <c r="B2202" t="str">
        <f>IFERROR(__xludf.DUMMYFUNCTION("""COMPUTED_VALUE"""),"Spinach Ns As To Form Creamed")</f>
        <v>Spinach Ns As To Form Creamed</v>
      </c>
      <c r="C2202" t="str">
        <f>IFERROR(__xludf.DUMMYFUNCTION("""COMPUTED_VALUE"""),"Vegetables")</f>
        <v>Vegetables</v>
      </c>
      <c r="D2202">
        <f>IFERROR(__xludf.DUMMYFUNCTION("""COMPUTED_VALUE"""),79.0)</f>
        <v>79</v>
      </c>
      <c r="E2202">
        <f>IFERROR(__xludf.DUMMYFUNCTION("""COMPUTED_VALUE"""),4.74)</f>
        <v>4.74</v>
      </c>
      <c r="F2202">
        <f>IFERROR(__xludf.DUMMYFUNCTION("""COMPUTED_VALUE"""),3.94)</f>
        <v>3.94</v>
      </c>
      <c r="G2202">
        <f>IFERROR(__xludf.DUMMYFUNCTION("""COMPUTED_VALUE"""),6.53)</f>
        <v>6.53</v>
      </c>
    </row>
    <row r="2203">
      <c r="A2203">
        <f>IFERROR(__xludf.DUMMYFUNCTION("""COMPUTED_VALUE"""),787399.0)</f>
        <v>787399</v>
      </c>
      <c r="B2203" t="str">
        <f>IFERROR(__xludf.DUMMYFUNCTION("""COMPUTED_VALUE"""),"Spinach From Fresh Creamed")</f>
        <v>Spinach From Fresh Creamed</v>
      </c>
      <c r="C2203" t="str">
        <f>IFERROR(__xludf.DUMMYFUNCTION("""COMPUTED_VALUE"""),"Vegetables")</f>
        <v>Vegetables</v>
      </c>
      <c r="D2203">
        <f>IFERROR(__xludf.DUMMYFUNCTION("""COMPUTED_VALUE"""),74.0)</f>
        <v>74</v>
      </c>
      <c r="E2203">
        <f>IFERROR(__xludf.DUMMYFUNCTION("""COMPUTED_VALUE"""),4.5)</f>
        <v>4.5</v>
      </c>
      <c r="F2203">
        <f>IFERROR(__xludf.DUMMYFUNCTION("""COMPUTED_VALUE"""),3.32)</f>
        <v>3.32</v>
      </c>
      <c r="G2203">
        <f>IFERROR(__xludf.DUMMYFUNCTION("""COMPUTED_VALUE"""),5.96)</f>
        <v>5.96</v>
      </c>
    </row>
    <row r="2204">
      <c r="A2204">
        <f>IFERROR(__xludf.DUMMYFUNCTION("""COMPUTED_VALUE"""),787400.0)</f>
        <v>787400</v>
      </c>
      <c r="B2204" t="str">
        <f>IFERROR(__xludf.DUMMYFUNCTION("""COMPUTED_VALUE"""),"Spinach From Frozen Creamed")</f>
        <v>Spinach From Frozen Creamed</v>
      </c>
      <c r="C2204" t="str">
        <f>IFERROR(__xludf.DUMMYFUNCTION("""COMPUTED_VALUE"""),"Vegetables")</f>
        <v>Vegetables</v>
      </c>
      <c r="D2204">
        <f>IFERROR(__xludf.DUMMYFUNCTION("""COMPUTED_VALUE"""),79.0)</f>
        <v>79</v>
      </c>
      <c r="E2204">
        <f>IFERROR(__xludf.DUMMYFUNCTION("""COMPUTED_VALUE"""),4.74)</f>
        <v>4.74</v>
      </c>
      <c r="F2204">
        <f>IFERROR(__xludf.DUMMYFUNCTION("""COMPUTED_VALUE"""),3.94)</f>
        <v>3.94</v>
      </c>
      <c r="G2204">
        <f>IFERROR(__xludf.DUMMYFUNCTION("""COMPUTED_VALUE"""),6.53)</f>
        <v>6.53</v>
      </c>
    </row>
    <row r="2205">
      <c r="A2205">
        <f>IFERROR(__xludf.DUMMYFUNCTION("""COMPUTED_VALUE"""),787401.0)</f>
        <v>787401</v>
      </c>
      <c r="B2205" t="str">
        <f>IFERROR(__xludf.DUMMYFUNCTION("""COMPUTED_VALUE"""),"Spinach From Canned Creamed")</f>
        <v>Spinach From Canned Creamed</v>
      </c>
      <c r="C2205" t="str">
        <f>IFERROR(__xludf.DUMMYFUNCTION("""COMPUTED_VALUE"""),"Vegetables")</f>
        <v>Vegetables</v>
      </c>
      <c r="D2205">
        <f>IFERROR(__xludf.DUMMYFUNCTION("""COMPUTED_VALUE"""),69.0)</f>
        <v>69</v>
      </c>
      <c r="E2205">
        <f>IFERROR(__xludf.DUMMYFUNCTION("""COMPUTED_VALUE"""),4.24)</f>
        <v>4.24</v>
      </c>
      <c r="F2205">
        <f>IFERROR(__xludf.DUMMYFUNCTION("""COMPUTED_VALUE"""),3.19)</f>
        <v>3.19</v>
      </c>
      <c r="G2205">
        <f>IFERROR(__xludf.DUMMYFUNCTION("""COMPUTED_VALUE"""),5.53)</f>
        <v>5.53</v>
      </c>
    </row>
    <row r="2206">
      <c r="A2206">
        <f>IFERROR(__xludf.DUMMYFUNCTION("""COMPUTED_VALUE"""),787403.0)</f>
        <v>787403</v>
      </c>
      <c r="B2206" t="str">
        <f>IFERROR(__xludf.DUMMYFUNCTION("""COMPUTED_VALUE"""),"Spinach Cooked Ns As To Form With Cheese Sauce")</f>
        <v>Spinach Cooked Ns As To Form With Cheese Sauce</v>
      </c>
      <c r="C2206" t="str">
        <f>IFERROR(__xludf.DUMMYFUNCTION("""COMPUTED_VALUE"""),"Vegetables")</f>
        <v>Vegetables</v>
      </c>
      <c r="D2206">
        <f>IFERROR(__xludf.DUMMYFUNCTION("""COMPUTED_VALUE"""),83.0)</f>
        <v>83</v>
      </c>
      <c r="E2206">
        <f>IFERROR(__xludf.DUMMYFUNCTION("""COMPUTED_VALUE"""),5.06)</f>
        <v>5.06</v>
      </c>
      <c r="F2206">
        <f>IFERROR(__xludf.DUMMYFUNCTION("""COMPUTED_VALUE"""),5.89)</f>
        <v>5.89</v>
      </c>
      <c r="G2206">
        <f>IFERROR(__xludf.DUMMYFUNCTION("""COMPUTED_VALUE"""),5.0)</f>
        <v>5</v>
      </c>
    </row>
    <row r="2207">
      <c r="A2207">
        <f>IFERROR(__xludf.DUMMYFUNCTION("""COMPUTED_VALUE"""),787404.0)</f>
        <v>787404</v>
      </c>
      <c r="B2207" t="str">
        <f>IFERROR(__xludf.DUMMYFUNCTION("""COMPUTED_VALUE"""),"Spinach Cooked From Fresh With Cheese Sauce")</f>
        <v>Spinach Cooked From Fresh With Cheese Sauce</v>
      </c>
      <c r="C2207" t="str">
        <f>IFERROR(__xludf.DUMMYFUNCTION("""COMPUTED_VALUE"""),"Vegetables")</f>
        <v>Vegetables</v>
      </c>
      <c r="D2207">
        <f>IFERROR(__xludf.DUMMYFUNCTION("""COMPUTED_VALUE"""),77.0)</f>
        <v>77</v>
      </c>
      <c r="E2207">
        <f>IFERROR(__xludf.DUMMYFUNCTION("""COMPUTED_VALUE"""),4.8)</f>
        <v>4.8</v>
      </c>
      <c r="F2207">
        <f>IFERROR(__xludf.DUMMYFUNCTION("""COMPUTED_VALUE"""),5.25)</f>
        <v>5.25</v>
      </c>
      <c r="G2207">
        <f>IFERROR(__xludf.DUMMYFUNCTION("""COMPUTED_VALUE"""),4.28)</f>
        <v>4.28</v>
      </c>
    </row>
    <row r="2208">
      <c r="A2208">
        <f>IFERROR(__xludf.DUMMYFUNCTION("""COMPUTED_VALUE"""),787405.0)</f>
        <v>787405</v>
      </c>
      <c r="B2208" t="str">
        <f>IFERROR(__xludf.DUMMYFUNCTION("""COMPUTED_VALUE"""),"Spinach Cooked From Frozen With Cheese Sauce")</f>
        <v>Spinach Cooked From Frozen With Cheese Sauce</v>
      </c>
      <c r="C2208" t="str">
        <f>IFERROR(__xludf.DUMMYFUNCTION("""COMPUTED_VALUE"""),"Vegetables")</f>
        <v>Vegetables</v>
      </c>
      <c r="D2208">
        <f>IFERROR(__xludf.DUMMYFUNCTION("""COMPUTED_VALUE"""),83.0)</f>
        <v>83</v>
      </c>
      <c r="E2208">
        <f>IFERROR(__xludf.DUMMYFUNCTION("""COMPUTED_VALUE"""),5.06)</f>
        <v>5.06</v>
      </c>
      <c r="F2208">
        <f>IFERROR(__xludf.DUMMYFUNCTION("""COMPUTED_VALUE"""),5.89)</f>
        <v>5.89</v>
      </c>
      <c r="G2208">
        <f>IFERROR(__xludf.DUMMYFUNCTION("""COMPUTED_VALUE"""),5.0)</f>
        <v>5</v>
      </c>
    </row>
    <row r="2209">
      <c r="A2209">
        <f>IFERROR(__xludf.DUMMYFUNCTION("""COMPUTED_VALUE"""),787406.0)</f>
        <v>787406</v>
      </c>
      <c r="B2209" t="str">
        <f>IFERROR(__xludf.DUMMYFUNCTION("""COMPUTED_VALUE"""),"Spinach Cooked From Canned With Cheese Sauce")</f>
        <v>Spinach Cooked From Canned With Cheese Sauce</v>
      </c>
      <c r="C2209" t="str">
        <f>IFERROR(__xludf.DUMMYFUNCTION("""COMPUTED_VALUE"""),"Vegetables")</f>
        <v>Vegetables</v>
      </c>
      <c r="D2209">
        <f>IFERROR(__xludf.DUMMYFUNCTION("""COMPUTED_VALUE"""),58.0)</f>
        <v>58</v>
      </c>
      <c r="E2209">
        <f>IFERROR(__xludf.DUMMYFUNCTION("""COMPUTED_VALUE"""),3.33)</f>
        <v>3.33</v>
      </c>
      <c r="F2209">
        <f>IFERROR(__xludf.DUMMYFUNCTION("""COMPUTED_VALUE"""),3.09)</f>
        <v>3.09</v>
      </c>
      <c r="G2209">
        <f>IFERROR(__xludf.DUMMYFUNCTION("""COMPUTED_VALUE"""),5.01)</f>
        <v>5.01</v>
      </c>
    </row>
    <row r="2210">
      <c r="A2210">
        <f>IFERROR(__xludf.DUMMYFUNCTION("""COMPUTED_VALUE"""),787407.0)</f>
        <v>787407</v>
      </c>
      <c r="B2210" t="str">
        <f>IFERROR(__xludf.DUMMYFUNCTION("""COMPUTED_VALUE"""),"Spinach And Cheese Casserole")</f>
        <v>Spinach And Cheese Casserole</v>
      </c>
      <c r="C2210" t="str">
        <f>IFERROR(__xludf.DUMMYFUNCTION("""COMPUTED_VALUE"""),"Vegetables")</f>
        <v>Vegetables</v>
      </c>
      <c r="D2210">
        <f>IFERROR(__xludf.DUMMYFUNCTION("""COMPUTED_VALUE"""),125.0)</f>
        <v>125</v>
      </c>
      <c r="E2210">
        <f>IFERROR(__xludf.DUMMYFUNCTION("""COMPUTED_VALUE"""),7.23)</f>
        <v>7.23</v>
      </c>
      <c r="F2210">
        <f>IFERROR(__xludf.DUMMYFUNCTION("""COMPUTED_VALUE"""),6.75)</f>
        <v>6.75</v>
      </c>
      <c r="G2210">
        <f>IFERROR(__xludf.DUMMYFUNCTION("""COMPUTED_VALUE"""),9.56)</f>
        <v>9.56</v>
      </c>
    </row>
    <row r="2211">
      <c r="A2211">
        <f>IFERROR(__xludf.DUMMYFUNCTION("""COMPUTED_VALUE"""),787408.0)</f>
        <v>787408</v>
      </c>
      <c r="B2211" t="str">
        <f>IFERROR(__xludf.DUMMYFUNCTION("""COMPUTED_VALUE"""),"Palak Paneer")</f>
        <v>Palak Paneer</v>
      </c>
      <c r="C2211" t="str">
        <f>IFERROR(__xludf.DUMMYFUNCTION("""COMPUTED_VALUE"""),"Vegetables")</f>
        <v>Vegetables</v>
      </c>
      <c r="D2211">
        <f>IFERROR(__xludf.DUMMYFUNCTION("""COMPUTED_VALUE"""),96.0)</f>
        <v>96</v>
      </c>
      <c r="E2211">
        <f>IFERROR(__xludf.DUMMYFUNCTION("""COMPUTED_VALUE"""),6.84)</f>
        <v>6.84</v>
      </c>
      <c r="F2211">
        <f>IFERROR(__xludf.DUMMYFUNCTION("""COMPUTED_VALUE"""),5.23)</f>
        <v>5.23</v>
      </c>
      <c r="G2211">
        <f>IFERROR(__xludf.DUMMYFUNCTION("""COMPUTED_VALUE"""),4.32)</f>
        <v>4.32</v>
      </c>
    </row>
    <row r="2212">
      <c r="A2212">
        <f>IFERROR(__xludf.DUMMYFUNCTION("""COMPUTED_VALUE"""),787409.0)</f>
        <v>787409</v>
      </c>
      <c r="B2212" t="str">
        <f>IFERROR(__xludf.DUMMYFUNCTION("""COMPUTED_VALUE"""),"Channa Saag")</f>
        <v>Channa Saag</v>
      </c>
      <c r="C2212" t="str">
        <f>IFERROR(__xludf.DUMMYFUNCTION("""COMPUTED_VALUE"""),"Vegetables")</f>
        <v>Vegetables</v>
      </c>
      <c r="D2212">
        <f>IFERROR(__xludf.DUMMYFUNCTION("""COMPUTED_VALUE"""),82.0)</f>
        <v>82</v>
      </c>
      <c r="E2212">
        <f>IFERROR(__xludf.DUMMYFUNCTION("""COMPUTED_VALUE"""),3.96)</f>
        <v>3.96</v>
      </c>
      <c r="F2212">
        <f>IFERROR(__xludf.DUMMYFUNCTION("""COMPUTED_VALUE"""),3.82)</f>
        <v>3.82</v>
      </c>
      <c r="G2212">
        <f>IFERROR(__xludf.DUMMYFUNCTION("""COMPUTED_VALUE"""),9.22)</f>
        <v>9.22</v>
      </c>
    </row>
    <row r="2213">
      <c r="A2213">
        <f>IFERROR(__xludf.DUMMYFUNCTION("""COMPUTED_VALUE"""),787413.0)</f>
        <v>787413</v>
      </c>
      <c r="B2213" t="str">
        <f>IFERROR(__xludf.DUMMYFUNCTION("""COMPUTED_VALUE"""),"Thistle Leaves Cooked Ns As To Fat Added In Cooking")</f>
        <v>Thistle Leaves Cooked Ns As To Fat Added In Cooking</v>
      </c>
      <c r="C2213" t="str">
        <f>IFERROR(__xludf.DUMMYFUNCTION("""COMPUTED_VALUE"""),"Vegetables")</f>
        <v>Vegetables</v>
      </c>
      <c r="D2213">
        <f>IFERROR(__xludf.DUMMYFUNCTION("""COMPUTED_VALUE"""),44.0)</f>
        <v>44</v>
      </c>
      <c r="E2213">
        <f>IFERROR(__xludf.DUMMYFUNCTION("""COMPUTED_VALUE"""),3.02)</f>
        <v>3.02</v>
      </c>
      <c r="F2213">
        <f>IFERROR(__xludf.DUMMYFUNCTION("""COMPUTED_VALUE"""),1.84)</f>
        <v>1.84</v>
      </c>
      <c r="G2213">
        <f>IFERROR(__xludf.DUMMYFUNCTION("""COMPUTED_VALUE"""),3.66)</f>
        <v>3.66</v>
      </c>
    </row>
    <row r="2214">
      <c r="A2214">
        <f>IFERROR(__xludf.DUMMYFUNCTION("""COMPUTED_VALUE"""),787414.0)</f>
        <v>787414</v>
      </c>
      <c r="B2214" t="str">
        <f>IFERROR(__xludf.DUMMYFUNCTION("""COMPUTED_VALUE"""),"Thistle Leaves Cooked Fat Not Added In Cooking")</f>
        <v>Thistle Leaves Cooked Fat Not Added In Cooking</v>
      </c>
      <c r="C2214" t="str">
        <f>IFERROR(__xludf.DUMMYFUNCTION("""COMPUTED_VALUE"""),"Vegetables")</f>
        <v>Vegetables</v>
      </c>
      <c r="D2214">
        <f>IFERROR(__xludf.DUMMYFUNCTION("""COMPUTED_VALUE"""),23.0)</f>
        <v>23</v>
      </c>
      <c r="E2214">
        <f>IFERROR(__xludf.DUMMYFUNCTION("""COMPUTED_VALUE"""),0.6)</f>
        <v>0.6</v>
      </c>
      <c r="F2214">
        <f>IFERROR(__xludf.DUMMYFUNCTION("""COMPUTED_VALUE"""),1.89)</f>
        <v>1.89</v>
      </c>
      <c r="G2214">
        <f>IFERROR(__xludf.DUMMYFUNCTION("""COMPUTED_VALUE"""),3.77)</f>
        <v>3.77</v>
      </c>
    </row>
    <row r="2215">
      <c r="A2215">
        <f>IFERROR(__xludf.DUMMYFUNCTION("""COMPUTED_VALUE"""),787415.0)</f>
        <v>787415</v>
      </c>
      <c r="B2215" t="str">
        <f>IFERROR(__xludf.DUMMYFUNCTION("""COMPUTED_VALUE"""),"Thistle Leaves Cooked Fat Added In Cooking")</f>
        <v>Thistle Leaves Cooked Fat Added In Cooking</v>
      </c>
      <c r="C2215" t="str">
        <f>IFERROR(__xludf.DUMMYFUNCTION("""COMPUTED_VALUE"""),"Vegetables")</f>
        <v>Vegetables</v>
      </c>
      <c r="D2215">
        <f>IFERROR(__xludf.DUMMYFUNCTION("""COMPUTED_VALUE"""),44.0)</f>
        <v>44</v>
      </c>
      <c r="E2215">
        <f>IFERROR(__xludf.DUMMYFUNCTION("""COMPUTED_VALUE"""),3.02)</f>
        <v>3.02</v>
      </c>
      <c r="F2215">
        <f>IFERROR(__xludf.DUMMYFUNCTION("""COMPUTED_VALUE"""),1.84)</f>
        <v>1.84</v>
      </c>
      <c r="G2215">
        <f>IFERROR(__xludf.DUMMYFUNCTION("""COMPUTED_VALUE"""),3.66)</f>
        <v>3.66</v>
      </c>
    </row>
    <row r="2216">
      <c r="A2216">
        <f>IFERROR(__xludf.DUMMYFUNCTION("""COMPUTED_VALUE"""),787416.0)</f>
        <v>787416</v>
      </c>
      <c r="B2216" t="str">
        <f>IFERROR(__xludf.DUMMYFUNCTION("""COMPUTED_VALUE"""),"Turnip Greens Cooked Ns As To Form Ns As To Fat Added In Cooking")</f>
        <v>Turnip Greens Cooked Ns As To Form Ns As To Fat Added In Cooking</v>
      </c>
      <c r="C2216" t="str">
        <f>IFERROR(__xludf.DUMMYFUNCTION("""COMPUTED_VALUE"""),"Vegetables")</f>
        <v>Vegetables</v>
      </c>
      <c r="D2216">
        <f>IFERROR(__xludf.DUMMYFUNCTION("""COMPUTED_VALUE"""),46.0)</f>
        <v>46</v>
      </c>
      <c r="E2216">
        <f>IFERROR(__xludf.DUMMYFUNCTION("""COMPUTED_VALUE"""),2.43)</f>
        <v>2.43</v>
      </c>
      <c r="F2216">
        <f>IFERROR(__xludf.DUMMYFUNCTION("""COMPUTED_VALUE"""),3.25)</f>
        <v>3.25</v>
      </c>
      <c r="G2216">
        <f>IFERROR(__xludf.DUMMYFUNCTION("""COMPUTED_VALUE"""),4.82)</f>
        <v>4.82</v>
      </c>
    </row>
    <row r="2217">
      <c r="A2217">
        <f>IFERROR(__xludf.DUMMYFUNCTION("""COMPUTED_VALUE"""),787417.0)</f>
        <v>787417</v>
      </c>
      <c r="B2217" t="str">
        <f>IFERROR(__xludf.DUMMYFUNCTION("""COMPUTED_VALUE"""),"Turnip Greens Cooked From Fresh Ns As To Fat Added In Cooking")</f>
        <v>Turnip Greens Cooked From Fresh Ns As To Fat Added In Cooking</v>
      </c>
      <c r="C2217" t="str">
        <f>IFERROR(__xludf.DUMMYFUNCTION("""COMPUTED_VALUE"""),"Vegetables")</f>
        <v>Vegetables</v>
      </c>
      <c r="D2217">
        <f>IFERROR(__xludf.DUMMYFUNCTION("""COMPUTED_VALUE"""),40.0)</f>
        <v>40</v>
      </c>
      <c r="E2217">
        <f>IFERROR(__xludf.DUMMYFUNCTION("""COMPUTED_VALUE"""),2.51)</f>
        <v>2.51</v>
      </c>
      <c r="F2217">
        <f>IFERROR(__xludf.DUMMYFUNCTION("""COMPUTED_VALUE"""),1.12)</f>
        <v>1.12</v>
      </c>
      <c r="G2217">
        <f>IFERROR(__xludf.DUMMYFUNCTION("""COMPUTED_VALUE"""),4.2)</f>
        <v>4.2</v>
      </c>
    </row>
    <row r="2218">
      <c r="A2218">
        <f>IFERROR(__xludf.DUMMYFUNCTION("""COMPUTED_VALUE"""),787418.0)</f>
        <v>787418</v>
      </c>
      <c r="B2218" t="str">
        <f>IFERROR(__xludf.DUMMYFUNCTION("""COMPUTED_VALUE"""),"Turnip Greens Cooked From Frozen Ns As To Fat Added In Cooking")</f>
        <v>Turnip Greens Cooked From Frozen Ns As To Fat Added In Cooking</v>
      </c>
      <c r="C2218" t="str">
        <f>IFERROR(__xludf.DUMMYFUNCTION("""COMPUTED_VALUE"""),"Vegetables")</f>
        <v>Vegetables</v>
      </c>
      <c r="D2218">
        <f>IFERROR(__xludf.DUMMYFUNCTION("""COMPUTED_VALUE"""),46.0)</f>
        <v>46</v>
      </c>
      <c r="E2218">
        <f>IFERROR(__xludf.DUMMYFUNCTION("""COMPUTED_VALUE"""),2.43)</f>
        <v>2.43</v>
      </c>
      <c r="F2218">
        <f>IFERROR(__xludf.DUMMYFUNCTION("""COMPUTED_VALUE"""),3.25)</f>
        <v>3.25</v>
      </c>
      <c r="G2218">
        <f>IFERROR(__xludf.DUMMYFUNCTION("""COMPUTED_VALUE"""),4.82)</f>
        <v>4.82</v>
      </c>
    </row>
    <row r="2219">
      <c r="A2219">
        <f>IFERROR(__xludf.DUMMYFUNCTION("""COMPUTED_VALUE"""),787419.0)</f>
        <v>787419</v>
      </c>
      <c r="B2219" t="str">
        <f>IFERROR(__xludf.DUMMYFUNCTION("""COMPUTED_VALUE"""),"Turnip Greens Cooked From Canned Ns As To Fat Added In Cooking")</f>
        <v>Turnip Greens Cooked From Canned Ns As To Fat Added In Cooking</v>
      </c>
      <c r="C2219" t="str">
        <f>IFERROR(__xludf.DUMMYFUNCTION("""COMPUTED_VALUE"""),"Vegetables")</f>
        <v>Vegetables</v>
      </c>
      <c r="D2219">
        <f>IFERROR(__xludf.DUMMYFUNCTION("""COMPUTED_VALUE"""),39.0)</f>
        <v>39</v>
      </c>
      <c r="E2219">
        <f>IFERROR(__xludf.DUMMYFUNCTION("""COMPUTED_VALUE"""),2.58)</f>
        <v>2.58</v>
      </c>
      <c r="F2219">
        <f>IFERROR(__xludf.DUMMYFUNCTION("""COMPUTED_VALUE"""),1.33)</f>
        <v>1.33</v>
      </c>
      <c r="G2219">
        <f>IFERROR(__xludf.DUMMYFUNCTION("""COMPUTED_VALUE"""),2.71)</f>
        <v>2.71</v>
      </c>
    </row>
    <row r="2220">
      <c r="A2220">
        <f>IFERROR(__xludf.DUMMYFUNCTION("""COMPUTED_VALUE"""),787420.0)</f>
        <v>787420</v>
      </c>
      <c r="B2220" t="str">
        <f>IFERROR(__xludf.DUMMYFUNCTION("""COMPUTED_VALUE"""),"Turnip Greens Cooked Ns As To Form Fat Not Added In Cooking")</f>
        <v>Turnip Greens Cooked Ns As To Form Fat Not Added In Cooking</v>
      </c>
      <c r="C2220" t="str">
        <f>IFERROR(__xludf.DUMMYFUNCTION("""COMPUTED_VALUE"""),"Vegetables")</f>
        <v>Vegetables</v>
      </c>
      <c r="D2220">
        <f>IFERROR(__xludf.DUMMYFUNCTION("""COMPUTED_VALUE"""),29.0)</f>
        <v>29</v>
      </c>
      <c r="E2220">
        <f>IFERROR(__xludf.DUMMYFUNCTION("""COMPUTED_VALUE"""),0.42)</f>
        <v>0.42</v>
      </c>
      <c r="F2220">
        <f>IFERROR(__xludf.DUMMYFUNCTION("""COMPUTED_VALUE"""),3.33)</f>
        <v>3.33</v>
      </c>
      <c r="G2220">
        <f>IFERROR(__xludf.DUMMYFUNCTION("""COMPUTED_VALUE"""),4.95)</f>
        <v>4.95</v>
      </c>
    </row>
    <row r="2221">
      <c r="A2221">
        <f>IFERROR(__xludf.DUMMYFUNCTION("""COMPUTED_VALUE"""),787421.0)</f>
        <v>787421</v>
      </c>
      <c r="B2221" t="str">
        <f>IFERROR(__xludf.DUMMYFUNCTION("""COMPUTED_VALUE"""),"Turnip Greens Cooked From Fresh Fat Not Added In Cooking")</f>
        <v>Turnip Greens Cooked From Fresh Fat Not Added In Cooking</v>
      </c>
      <c r="C2221" t="str">
        <f>IFERROR(__xludf.DUMMYFUNCTION("""COMPUTED_VALUE"""),"Vegetables")</f>
        <v>Vegetables</v>
      </c>
      <c r="D2221">
        <f>IFERROR(__xludf.DUMMYFUNCTION("""COMPUTED_VALUE"""),20.0)</f>
        <v>20</v>
      </c>
      <c r="E2221">
        <f>IFERROR(__xludf.DUMMYFUNCTION("""COMPUTED_VALUE"""),0.23)</f>
        <v>0.23</v>
      </c>
      <c r="F2221">
        <f>IFERROR(__xludf.DUMMYFUNCTION("""COMPUTED_VALUE"""),1.13)</f>
        <v>1.13</v>
      </c>
      <c r="G2221">
        <f>IFERROR(__xludf.DUMMYFUNCTION("""COMPUTED_VALUE"""),4.33)</f>
        <v>4.33</v>
      </c>
    </row>
    <row r="2222">
      <c r="A2222">
        <f>IFERROR(__xludf.DUMMYFUNCTION("""COMPUTED_VALUE"""),787422.0)</f>
        <v>787422</v>
      </c>
      <c r="B2222" t="str">
        <f>IFERROR(__xludf.DUMMYFUNCTION("""COMPUTED_VALUE"""),"Turnip Greens Cooked From Frozen Fat Not Added In Cooking")</f>
        <v>Turnip Greens Cooked From Frozen Fat Not Added In Cooking</v>
      </c>
      <c r="C2222" t="str">
        <f>IFERROR(__xludf.DUMMYFUNCTION("""COMPUTED_VALUE"""),"Vegetables")</f>
        <v>Vegetables</v>
      </c>
      <c r="D2222">
        <f>IFERROR(__xludf.DUMMYFUNCTION("""COMPUTED_VALUE"""),29.0)</f>
        <v>29</v>
      </c>
      <c r="E2222">
        <f>IFERROR(__xludf.DUMMYFUNCTION("""COMPUTED_VALUE"""),0.42)</f>
        <v>0.42</v>
      </c>
      <c r="F2222">
        <f>IFERROR(__xludf.DUMMYFUNCTION("""COMPUTED_VALUE"""),3.33)</f>
        <v>3.33</v>
      </c>
      <c r="G2222">
        <f>IFERROR(__xludf.DUMMYFUNCTION("""COMPUTED_VALUE"""),4.95)</f>
        <v>4.95</v>
      </c>
    </row>
    <row r="2223">
      <c r="A2223">
        <f>IFERROR(__xludf.DUMMYFUNCTION("""COMPUTED_VALUE"""),787423.0)</f>
        <v>787423</v>
      </c>
      <c r="B2223" t="str">
        <f>IFERROR(__xludf.DUMMYFUNCTION("""COMPUTED_VALUE"""),"Turnip Greens Cooked From Canned Fat Not Added In Cooking")</f>
        <v>Turnip Greens Cooked From Canned Fat Not Added In Cooking</v>
      </c>
      <c r="C2223" t="str">
        <f>IFERROR(__xludf.DUMMYFUNCTION("""COMPUTED_VALUE"""),"Vegetables")</f>
        <v>Vegetables</v>
      </c>
      <c r="D2223">
        <f>IFERROR(__xludf.DUMMYFUNCTION("""COMPUTED_VALUE"""),19.0)</f>
        <v>19</v>
      </c>
      <c r="E2223">
        <f>IFERROR(__xludf.DUMMYFUNCTION("""COMPUTED_VALUE"""),0.3)</f>
        <v>0.3</v>
      </c>
      <c r="F2223">
        <f>IFERROR(__xludf.DUMMYFUNCTION("""COMPUTED_VALUE"""),1.35)</f>
        <v>1.35</v>
      </c>
      <c r="G2223">
        <f>IFERROR(__xludf.DUMMYFUNCTION("""COMPUTED_VALUE"""),2.79)</f>
        <v>2.79</v>
      </c>
    </row>
    <row r="2224">
      <c r="A2224">
        <f>IFERROR(__xludf.DUMMYFUNCTION("""COMPUTED_VALUE"""),787424.0)</f>
        <v>787424</v>
      </c>
      <c r="B2224" t="str">
        <f>IFERROR(__xludf.DUMMYFUNCTION("""COMPUTED_VALUE"""),"Turnip Greens Cooked Ns As To Form Fat Added In Cooking Ns As To Type Of Fat")</f>
        <v>Turnip Greens Cooked Ns As To Form Fat Added In Cooking Ns As To Type Of Fat</v>
      </c>
      <c r="C2224" t="str">
        <f>IFERROR(__xludf.DUMMYFUNCTION("""COMPUTED_VALUE"""),"Vegetables")</f>
        <v>Vegetables</v>
      </c>
      <c r="D2224">
        <f>IFERROR(__xludf.DUMMYFUNCTION("""COMPUTED_VALUE"""),46.0)</f>
        <v>46</v>
      </c>
      <c r="E2224">
        <f>IFERROR(__xludf.DUMMYFUNCTION("""COMPUTED_VALUE"""),2.43)</f>
        <v>2.43</v>
      </c>
      <c r="F2224">
        <f>IFERROR(__xludf.DUMMYFUNCTION("""COMPUTED_VALUE"""),3.25)</f>
        <v>3.25</v>
      </c>
      <c r="G2224">
        <f>IFERROR(__xludf.DUMMYFUNCTION("""COMPUTED_VALUE"""),4.82)</f>
        <v>4.82</v>
      </c>
    </row>
    <row r="2225">
      <c r="A2225">
        <f>IFERROR(__xludf.DUMMYFUNCTION("""COMPUTED_VALUE"""),787425.0)</f>
        <v>787425</v>
      </c>
      <c r="B2225" t="str">
        <f>IFERROR(__xludf.DUMMYFUNCTION("""COMPUTED_VALUE"""),"Turnip Greens Cooked From Fresh Fat Added In Cooking Ns As To Type Of Fat")</f>
        <v>Turnip Greens Cooked From Fresh Fat Added In Cooking Ns As To Type Of Fat</v>
      </c>
      <c r="C2225" t="str">
        <f>IFERROR(__xludf.DUMMYFUNCTION("""COMPUTED_VALUE"""),"Vegetables")</f>
        <v>Vegetables</v>
      </c>
      <c r="D2225">
        <f>IFERROR(__xludf.DUMMYFUNCTION("""COMPUTED_VALUE"""),40.0)</f>
        <v>40</v>
      </c>
      <c r="E2225">
        <f>IFERROR(__xludf.DUMMYFUNCTION("""COMPUTED_VALUE"""),2.51)</f>
        <v>2.51</v>
      </c>
      <c r="F2225">
        <f>IFERROR(__xludf.DUMMYFUNCTION("""COMPUTED_VALUE"""),1.12)</f>
        <v>1.12</v>
      </c>
      <c r="G2225">
        <f>IFERROR(__xludf.DUMMYFUNCTION("""COMPUTED_VALUE"""),4.2)</f>
        <v>4.2</v>
      </c>
    </row>
    <row r="2226">
      <c r="A2226">
        <f>IFERROR(__xludf.DUMMYFUNCTION("""COMPUTED_VALUE"""),787426.0)</f>
        <v>787426</v>
      </c>
      <c r="B2226" t="str">
        <f>IFERROR(__xludf.DUMMYFUNCTION("""COMPUTED_VALUE"""),"Turnip Greens Cooked From Frozen Fat Added In Cooking Ns As To Type Of Fat")</f>
        <v>Turnip Greens Cooked From Frozen Fat Added In Cooking Ns As To Type Of Fat</v>
      </c>
      <c r="C2226" t="str">
        <f>IFERROR(__xludf.DUMMYFUNCTION("""COMPUTED_VALUE"""),"Vegetables")</f>
        <v>Vegetables</v>
      </c>
      <c r="D2226">
        <f>IFERROR(__xludf.DUMMYFUNCTION("""COMPUTED_VALUE"""),46.0)</f>
        <v>46</v>
      </c>
      <c r="E2226">
        <f>IFERROR(__xludf.DUMMYFUNCTION("""COMPUTED_VALUE"""),2.43)</f>
        <v>2.43</v>
      </c>
      <c r="F2226">
        <f>IFERROR(__xludf.DUMMYFUNCTION("""COMPUTED_VALUE"""),3.25)</f>
        <v>3.25</v>
      </c>
      <c r="G2226">
        <f>IFERROR(__xludf.DUMMYFUNCTION("""COMPUTED_VALUE"""),4.82)</f>
        <v>4.82</v>
      </c>
    </row>
    <row r="2227">
      <c r="A2227">
        <f>IFERROR(__xludf.DUMMYFUNCTION("""COMPUTED_VALUE"""),787427.0)</f>
        <v>787427</v>
      </c>
      <c r="B2227" t="str">
        <f>IFERROR(__xludf.DUMMYFUNCTION("""COMPUTED_VALUE"""),"Turnip Greens Cooked From Canned Fat Added In Cooking Ns As To Type Of Fat")</f>
        <v>Turnip Greens Cooked From Canned Fat Added In Cooking Ns As To Type Of Fat</v>
      </c>
      <c r="C2227" t="str">
        <f>IFERROR(__xludf.DUMMYFUNCTION("""COMPUTED_VALUE"""),"Vegetables")</f>
        <v>Vegetables</v>
      </c>
      <c r="D2227">
        <f>IFERROR(__xludf.DUMMYFUNCTION("""COMPUTED_VALUE"""),39.0)</f>
        <v>39</v>
      </c>
      <c r="E2227">
        <f>IFERROR(__xludf.DUMMYFUNCTION("""COMPUTED_VALUE"""),2.58)</f>
        <v>2.58</v>
      </c>
      <c r="F2227">
        <f>IFERROR(__xludf.DUMMYFUNCTION("""COMPUTED_VALUE"""),1.33)</f>
        <v>1.33</v>
      </c>
      <c r="G2227">
        <f>IFERROR(__xludf.DUMMYFUNCTION("""COMPUTED_VALUE"""),2.71)</f>
        <v>2.71</v>
      </c>
    </row>
    <row r="2228">
      <c r="A2228">
        <f>IFERROR(__xludf.DUMMYFUNCTION("""COMPUTED_VALUE"""),787428.0)</f>
        <v>787428</v>
      </c>
      <c r="B2228" t="str">
        <f>IFERROR(__xludf.DUMMYFUNCTION("""COMPUTED_VALUE"""),"Turnip Greens Cooked Ns As To Form Made With Oil")</f>
        <v>Turnip Greens Cooked Ns As To Form Made With Oil</v>
      </c>
      <c r="C2228" t="str">
        <f>IFERROR(__xludf.DUMMYFUNCTION("""COMPUTED_VALUE"""),"Vegetables")</f>
        <v>Vegetables</v>
      </c>
      <c r="D2228">
        <f>IFERROR(__xludf.DUMMYFUNCTION("""COMPUTED_VALUE"""),46.0)</f>
        <v>46</v>
      </c>
      <c r="E2228">
        <f>IFERROR(__xludf.DUMMYFUNCTION("""COMPUTED_VALUE"""),2.43)</f>
        <v>2.43</v>
      </c>
      <c r="F2228">
        <f>IFERROR(__xludf.DUMMYFUNCTION("""COMPUTED_VALUE"""),3.25)</f>
        <v>3.25</v>
      </c>
      <c r="G2228">
        <f>IFERROR(__xludf.DUMMYFUNCTION("""COMPUTED_VALUE"""),4.82)</f>
        <v>4.82</v>
      </c>
    </row>
    <row r="2229">
      <c r="A2229">
        <f>IFERROR(__xludf.DUMMYFUNCTION("""COMPUTED_VALUE"""),787429.0)</f>
        <v>787429</v>
      </c>
      <c r="B2229" t="str">
        <f>IFERROR(__xludf.DUMMYFUNCTION("""COMPUTED_VALUE"""),"Turnip Greens Cooked Ns As To Form Made With Butter")</f>
        <v>Turnip Greens Cooked Ns As To Form Made With Butter</v>
      </c>
      <c r="C2229" t="str">
        <f>IFERROR(__xludf.DUMMYFUNCTION("""COMPUTED_VALUE"""),"Vegetables")</f>
        <v>Vegetables</v>
      </c>
      <c r="D2229">
        <f>IFERROR(__xludf.DUMMYFUNCTION("""COMPUTED_VALUE"""),48.0)</f>
        <v>48</v>
      </c>
      <c r="E2229">
        <f>IFERROR(__xludf.DUMMYFUNCTION("""COMPUTED_VALUE"""),2.67)</f>
        <v>2.67</v>
      </c>
      <c r="F2229">
        <f>IFERROR(__xludf.DUMMYFUNCTION("""COMPUTED_VALUE"""),3.26)</f>
        <v>3.26</v>
      </c>
      <c r="G2229">
        <f>IFERROR(__xludf.DUMMYFUNCTION("""COMPUTED_VALUE"""),4.81)</f>
        <v>4.81</v>
      </c>
    </row>
    <row r="2230">
      <c r="A2230">
        <f>IFERROR(__xludf.DUMMYFUNCTION("""COMPUTED_VALUE"""),787430.0)</f>
        <v>787430</v>
      </c>
      <c r="B2230" t="str">
        <f>IFERROR(__xludf.DUMMYFUNCTION("""COMPUTED_VALUE"""),"Turnip Greens Cooked Ns As To Form Made With Margarine")</f>
        <v>Turnip Greens Cooked Ns As To Form Made With Margarine</v>
      </c>
      <c r="C2230" t="str">
        <f>IFERROR(__xludf.DUMMYFUNCTION("""COMPUTED_VALUE"""),"Vegetables")</f>
        <v>Vegetables</v>
      </c>
      <c r="D2230">
        <f>IFERROR(__xludf.DUMMYFUNCTION("""COMPUTED_VALUE"""),43.0)</f>
        <v>43</v>
      </c>
      <c r="E2230">
        <f>IFERROR(__xludf.DUMMYFUNCTION("""COMPUTED_VALUE"""),2.09)</f>
        <v>2.09</v>
      </c>
      <c r="F2230">
        <f>IFERROR(__xludf.DUMMYFUNCTION("""COMPUTED_VALUE"""),3.24)</f>
        <v>3.24</v>
      </c>
      <c r="G2230">
        <f>IFERROR(__xludf.DUMMYFUNCTION("""COMPUTED_VALUE"""),4.84)</f>
        <v>4.84</v>
      </c>
    </row>
    <row r="2231">
      <c r="A2231">
        <f>IFERROR(__xludf.DUMMYFUNCTION("""COMPUTED_VALUE"""),787431.0)</f>
        <v>787431</v>
      </c>
      <c r="B2231" t="str">
        <f>IFERROR(__xludf.DUMMYFUNCTION("""COMPUTED_VALUE"""),"Turnip Greens Cooked From Fresh Made With Oil")</f>
        <v>Turnip Greens Cooked From Fresh Made With Oil</v>
      </c>
      <c r="C2231" t="str">
        <f>IFERROR(__xludf.DUMMYFUNCTION("""COMPUTED_VALUE"""),"Vegetables")</f>
        <v>Vegetables</v>
      </c>
      <c r="D2231">
        <f>IFERROR(__xludf.DUMMYFUNCTION("""COMPUTED_VALUE"""),46.0)</f>
        <v>46</v>
      </c>
      <c r="E2231">
        <f>IFERROR(__xludf.DUMMYFUNCTION("""COMPUTED_VALUE"""),3.26)</f>
        <v>3.26</v>
      </c>
      <c r="F2231">
        <f>IFERROR(__xludf.DUMMYFUNCTION("""COMPUTED_VALUE"""),1.1)</f>
        <v>1.1</v>
      </c>
      <c r="G2231">
        <f>IFERROR(__xludf.DUMMYFUNCTION("""COMPUTED_VALUE"""),4.2)</f>
        <v>4.2</v>
      </c>
    </row>
    <row r="2232">
      <c r="A2232">
        <f>IFERROR(__xludf.DUMMYFUNCTION("""COMPUTED_VALUE"""),787432.0)</f>
        <v>787432</v>
      </c>
      <c r="B2232" t="str">
        <f>IFERROR(__xludf.DUMMYFUNCTION("""COMPUTED_VALUE"""),"Turnip Greens Cooked From Fresh Made With Butter")</f>
        <v>Turnip Greens Cooked From Fresh Made With Butter</v>
      </c>
      <c r="C2232" t="str">
        <f>IFERROR(__xludf.DUMMYFUNCTION("""COMPUTED_VALUE"""),"Vegetables")</f>
        <v>Vegetables</v>
      </c>
      <c r="D2232">
        <f>IFERROR(__xludf.DUMMYFUNCTION("""COMPUTED_VALUE"""),42.0)</f>
        <v>42</v>
      </c>
      <c r="E2232">
        <f>IFERROR(__xludf.DUMMYFUNCTION("""COMPUTED_VALUE"""),2.78)</f>
        <v>2.78</v>
      </c>
      <c r="F2232">
        <f>IFERROR(__xludf.DUMMYFUNCTION("""COMPUTED_VALUE"""),1.12)</f>
        <v>1.12</v>
      </c>
      <c r="G2232">
        <f>IFERROR(__xludf.DUMMYFUNCTION("""COMPUTED_VALUE"""),4.2)</f>
        <v>4.2</v>
      </c>
    </row>
    <row r="2233">
      <c r="A2233">
        <f>IFERROR(__xludf.DUMMYFUNCTION("""COMPUTED_VALUE"""),787433.0)</f>
        <v>787433</v>
      </c>
      <c r="B2233" t="str">
        <f>IFERROR(__xludf.DUMMYFUNCTION("""COMPUTED_VALUE"""),"Turnip Greens Cooked From Fresh Made With Margarine")</f>
        <v>Turnip Greens Cooked From Fresh Made With Margarine</v>
      </c>
      <c r="C2233" t="str">
        <f>IFERROR(__xludf.DUMMYFUNCTION("""COMPUTED_VALUE"""),"Vegetables")</f>
        <v>Vegetables</v>
      </c>
      <c r="D2233">
        <f>IFERROR(__xludf.DUMMYFUNCTION("""COMPUTED_VALUE"""),36.0)</f>
        <v>36</v>
      </c>
      <c r="E2233">
        <f>IFERROR(__xludf.DUMMYFUNCTION("""COMPUTED_VALUE"""),2.13)</f>
        <v>2.13</v>
      </c>
      <c r="F2233">
        <f>IFERROR(__xludf.DUMMYFUNCTION("""COMPUTED_VALUE"""),1.1)</f>
        <v>1.1</v>
      </c>
      <c r="G2233">
        <f>IFERROR(__xludf.DUMMYFUNCTION("""COMPUTED_VALUE"""),4.22)</f>
        <v>4.22</v>
      </c>
    </row>
    <row r="2234">
      <c r="A2234">
        <f>IFERROR(__xludf.DUMMYFUNCTION("""COMPUTED_VALUE"""),787434.0)</f>
        <v>787434</v>
      </c>
      <c r="B2234" t="str">
        <f>IFERROR(__xludf.DUMMYFUNCTION("""COMPUTED_VALUE"""),"Turnip Greens Cooked From Frozen Made With Oil")</f>
        <v>Turnip Greens Cooked From Frozen Made With Oil</v>
      </c>
      <c r="C2234" t="str">
        <f>IFERROR(__xludf.DUMMYFUNCTION("""COMPUTED_VALUE"""),"Vegetables")</f>
        <v>Vegetables</v>
      </c>
      <c r="D2234">
        <f>IFERROR(__xludf.DUMMYFUNCTION("""COMPUTED_VALUE"""),52.0)</f>
        <v>52</v>
      </c>
      <c r="E2234">
        <f>IFERROR(__xludf.DUMMYFUNCTION("""COMPUTED_VALUE"""),3.08)</f>
        <v>3.08</v>
      </c>
      <c r="F2234">
        <f>IFERROR(__xludf.DUMMYFUNCTION("""COMPUTED_VALUE"""),3.24)</f>
        <v>3.24</v>
      </c>
      <c r="G2234">
        <f>IFERROR(__xludf.DUMMYFUNCTION("""COMPUTED_VALUE"""),4.82)</f>
        <v>4.82</v>
      </c>
    </row>
    <row r="2235">
      <c r="A2235">
        <f>IFERROR(__xludf.DUMMYFUNCTION("""COMPUTED_VALUE"""),787435.0)</f>
        <v>787435</v>
      </c>
      <c r="B2235" t="str">
        <f>IFERROR(__xludf.DUMMYFUNCTION("""COMPUTED_VALUE"""),"Turnip Greens Cooked From Frozen Made With Butter")</f>
        <v>Turnip Greens Cooked From Frozen Made With Butter</v>
      </c>
      <c r="C2235" t="str">
        <f>IFERROR(__xludf.DUMMYFUNCTION("""COMPUTED_VALUE"""),"Vegetables")</f>
        <v>Vegetables</v>
      </c>
      <c r="D2235">
        <f>IFERROR(__xludf.DUMMYFUNCTION("""COMPUTED_VALUE"""),48.0)</f>
        <v>48</v>
      </c>
      <c r="E2235">
        <f>IFERROR(__xludf.DUMMYFUNCTION("""COMPUTED_VALUE"""),2.67)</f>
        <v>2.67</v>
      </c>
      <c r="F2235">
        <f>IFERROR(__xludf.DUMMYFUNCTION("""COMPUTED_VALUE"""),3.26)</f>
        <v>3.26</v>
      </c>
      <c r="G2235">
        <f>IFERROR(__xludf.DUMMYFUNCTION("""COMPUTED_VALUE"""),4.81)</f>
        <v>4.81</v>
      </c>
    </row>
    <row r="2236">
      <c r="A2236">
        <f>IFERROR(__xludf.DUMMYFUNCTION("""COMPUTED_VALUE"""),787436.0)</f>
        <v>787436</v>
      </c>
      <c r="B2236" t="str">
        <f>IFERROR(__xludf.DUMMYFUNCTION("""COMPUTED_VALUE"""),"Turnip Greens Cooked From Frozen Made With Margarine")</f>
        <v>Turnip Greens Cooked From Frozen Made With Margarine</v>
      </c>
      <c r="C2236" t="str">
        <f>IFERROR(__xludf.DUMMYFUNCTION("""COMPUTED_VALUE"""),"Vegetables")</f>
        <v>Vegetables</v>
      </c>
      <c r="D2236">
        <f>IFERROR(__xludf.DUMMYFUNCTION("""COMPUTED_VALUE"""),43.0)</f>
        <v>43</v>
      </c>
      <c r="E2236">
        <f>IFERROR(__xludf.DUMMYFUNCTION("""COMPUTED_VALUE"""),2.09)</f>
        <v>2.09</v>
      </c>
      <c r="F2236">
        <f>IFERROR(__xludf.DUMMYFUNCTION("""COMPUTED_VALUE"""),3.24)</f>
        <v>3.24</v>
      </c>
      <c r="G2236">
        <f>IFERROR(__xludf.DUMMYFUNCTION("""COMPUTED_VALUE"""),4.84)</f>
        <v>4.84</v>
      </c>
    </row>
    <row r="2237">
      <c r="A2237">
        <f>IFERROR(__xludf.DUMMYFUNCTION("""COMPUTED_VALUE"""),787437.0)</f>
        <v>787437</v>
      </c>
      <c r="B2237" t="str">
        <f>IFERROR(__xludf.DUMMYFUNCTION("""COMPUTED_VALUE"""),"Turnip Greens Cooked From Canned Made With Oil")</f>
        <v>Turnip Greens Cooked From Canned Made With Oil</v>
      </c>
      <c r="C2237" t="str">
        <f>IFERROR(__xludf.DUMMYFUNCTION("""COMPUTED_VALUE"""),"Vegetables")</f>
        <v>Vegetables</v>
      </c>
      <c r="D2237">
        <f>IFERROR(__xludf.DUMMYFUNCTION("""COMPUTED_VALUE"""),45.0)</f>
        <v>45</v>
      </c>
      <c r="E2237">
        <f>IFERROR(__xludf.DUMMYFUNCTION("""COMPUTED_VALUE"""),3.33)</f>
        <v>3.33</v>
      </c>
      <c r="F2237">
        <f>IFERROR(__xludf.DUMMYFUNCTION("""COMPUTED_VALUE"""),1.31)</f>
        <v>1.31</v>
      </c>
      <c r="G2237">
        <f>IFERROR(__xludf.DUMMYFUNCTION("""COMPUTED_VALUE"""),2.71)</f>
        <v>2.71</v>
      </c>
    </row>
    <row r="2238">
      <c r="A2238">
        <f>IFERROR(__xludf.DUMMYFUNCTION("""COMPUTED_VALUE"""),787438.0)</f>
        <v>787438</v>
      </c>
      <c r="B2238" t="str">
        <f>IFERROR(__xludf.DUMMYFUNCTION("""COMPUTED_VALUE"""),"Turnip Greens Cooked From Canned Made With Butter")</f>
        <v>Turnip Greens Cooked From Canned Made With Butter</v>
      </c>
      <c r="C2238" t="str">
        <f>IFERROR(__xludf.DUMMYFUNCTION("""COMPUTED_VALUE"""),"Vegetables")</f>
        <v>Vegetables</v>
      </c>
      <c r="D2238">
        <f>IFERROR(__xludf.DUMMYFUNCTION("""COMPUTED_VALUE"""),41.0)</f>
        <v>41</v>
      </c>
      <c r="E2238">
        <f>IFERROR(__xludf.DUMMYFUNCTION("""COMPUTED_VALUE"""),2.85)</f>
        <v>2.85</v>
      </c>
      <c r="F2238">
        <f>IFERROR(__xludf.DUMMYFUNCTION("""COMPUTED_VALUE"""),1.34)</f>
        <v>1.34</v>
      </c>
      <c r="G2238">
        <f>IFERROR(__xludf.DUMMYFUNCTION("""COMPUTED_VALUE"""),2.7)</f>
        <v>2.7</v>
      </c>
    </row>
    <row r="2239">
      <c r="A2239">
        <f>IFERROR(__xludf.DUMMYFUNCTION("""COMPUTED_VALUE"""),787439.0)</f>
        <v>787439</v>
      </c>
      <c r="B2239" t="str">
        <f>IFERROR(__xludf.DUMMYFUNCTION("""COMPUTED_VALUE"""),"Turnip Greens Cooked From Canned Made With Margarine")</f>
        <v>Turnip Greens Cooked From Canned Made With Margarine</v>
      </c>
      <c r="C2239" t="str">
        <f>IFERROR(__xludf.DUMMYFUNCTION("""COMPUTED_VALUE"""),"Vegetables")</f>
        <v>Vegetables</v>
      </c>
      <c r="D2239">
        <f>IFERROR(__xludf.DUMMYFUNCTION("""COMPUTED_VALUE"""),35.0)</f>
        <v>35</v>
      </c>
      <c r="E2239">
        <f>IFERROR(__xludf.DUMMYFUNCTION("""COMPUTED_VALUE"""),2.19)</f>
        <v>2.19</v>
      </c>
      <c r="F2239">
        <f>IFERROR(__xludf.DUMMYFUNCTION("""COMPUTED_VALUE"""),1.31)</f>
        <v>1.31</v>
      </c>
      <c r="G2239">
        <f>IFERROR(__xludf.DUMMYFUNCTION("""COMPUTED_VALUE"""),2.73)</f>
        <v>2.73</v>
      </c>
    </row>
    <row r="2240">
      <c r="A2240">
        <f>IFERROR(__xludf.DUMMYFUNCTION("""COMPUTED_VALUE"""),787440.0)</f>
        <v>787440</v>
      </c>
      <c r="B2240" t="str">
        <f>IFERROR(__xludf.DUMMYFUNCTION("""COMPUTED_VALUE"""),"Turnip Greens Canned Reduced Sodium Cooked Ns As To Fat Added In Cooking")</f>
        <v>Turnip Greens Canned Reduced Sodium Cooked Ns As To Fat Added In Cooking</v>
      </c>
      <c r="C2240" t="str">
        <f>IFERROR(__xludf.DUMMYFUNCTION("""COMPUTED_VALUE"""),"Vegetables")</f>
        <v>Vegetables</v>
      </c>
      <c r="D2240">
        <f>IFERROR(__xludf.DUMMYFUNCTION("""COMPUTED_VALUE"""),39.0)</f>
        <v>39</v>
      </c>
      <c r="E2240">
        <f>IFERROR(__xludf.DUMMYFUNCTION("""COMPUTED_VALUE"""),2.6)</f>
        <v>2.6</v>
      </c>
      <c r="F2240">
        <f>IFERROR(__xludf.DUMMYFUNCTION("""COMPUTED_VALUE"""),1.34)</f>
        <v>1.34</v>
      </c>
      <c r="G2240">
        <f>IFERROR(__xludf.DUMMYFUNCTION("""COMPUTED_VALUE"""),2.73)</f>
        <v>2.73</v>
      </c>
    </row>
    <row r="2241">
      <c r="A2241">
        <f>IFERROR(__xludf.DUMMYFUNCTION("""COMPUTED_VALUE"""),787442.0)</f>
        <v>787442</v>
      </c>
      <c r="B2241" t="str">
        <f>IFERROR(__xludf.DUMMYFUNCTION("""COMPUTED_VALUE"""),"Turnip Greens Canned Reduced Sodium Cooked Fat Added In Cooking Made With Any Type Of Fat")</f>
        <v>Turnip Greens Canned Reduced Sodium Cooked Fat Added In Cooking Made With Any Type Of Fat</v>
      </c>
      <c r="C2241" t="str">
        <f>IFERROR(__xludf.DUMMYFUNCTION("""COMPUTED_VALUE"""),"Vegetables")</f>
        <v>Vegetables</v>
      </c>
      <c r="D2241">
        <f>IFERROR(__xludf.DUMMYFUNCTION("""COMPUTED_VALUE"""),39.0)</f>
        <v>39</v>
      </c>
      <c r="E2241">
        <f>IFERROR(__xludf.DUMMYFUNCTION("""COMPUTED_VALUE"""),2.6)</f>
        <v>2.6</v>
      </c>
      <c r="F2241">
        <f>IFERROR(__xludf.DUMMYFUNCTION("""COMPUTED_VALUE"""),1.34)</f>
        <v>1.34</v>
      </c>
      <c r="G2241">
        <f>IFERROR(__xludf.DUMMYFUNCTION("""COMPUTED_VALUE"""),2.73)</f>
        <v>2.73</v>
      </c>
    </row>
    <row r="2242">
      <c r="A2242">
        <f>IFERROR(__xludf.DUMMYFUNCTION("""COMPUTED_VALUE"""),787443.0)</f>
        <v>787443</v>
      </c>
      <c r="B2242" t="str">
        <f>IFERROR(__xludf.DUMMYFUNCTION("""COMPUTED_VALUE"""),"Turnip Greens With Roots Cooked Ns As To Form Ns As To Fat Added In Cooking")</f>
        <v>Turnip Greens With Roots Cooked Ns As To Form Ns As To Fat Added In Cooking</v>
      </c>
      <c r="C2242" t="str">
        <f>IFERROR(__xludf.DUMMYFUNCTION("""COMPUTED_VALUE"""),"Vegetables")</f>
        <v>Vegetables</v>
      </c>
      <c r="D2242">
        <f>IFERROR(__xludf.DUMMYFUNCTION("""COMPUTED_VALUE"""),51.0)</f>
        <v>51</v>
      </c>
      <c r="E2242">
        <f>IFERROR(__xludf.DUMMYFUNCTION("""COMPUTED_VALUE"""),2.3)</f>
        <v>2.3</v>
      </c>
      <c r="F2242">
        <f>IFERROR(__xludf.DUMMYFUNCTION("""COMPUTED_VALUE"""),2.91)</f>
        <v>2.91</v>
      </c>
      <c r="G2242">
        <f>IFERROR(__xludf.DUMMYFUNCTION("""COMPUTED_VALUE"""),4.7)</f>
        <v>4.7</v>
      </c>
    </row>
    <row r="2243">
      <c r="A2243">
        <f>IFERROR(__xludf.DUMMYFUNCTION("""COMPUTED_VALUE"""),787444.0)</f>
        <v>787444</v>
      </c>
      <c r="B2243" t="str">
        <f>IFERROR(__xludf.DUMMYFUNCTION("""COMPUTED_VALUE"""),"Turnip Greens With Roots Cooked From Fresh Ns As To Fat Added In Cooking")</f>
        <v>Turnip Greens With Roots Cooked From Fresh Ns As To Fat Added In Cooking</v>
      </c>
      <c r="C2243" t="str">
        <f>IFERROR(__xludf.DUMMYFUNCTION("""COMPUTED_VALUE"""),"Vegetables")</f>
        <v>Vegetables</v>
      </c>
      <c r="D2243">
        <f>IFERROR(__xludf.DUMMYFUNCTION("""COMPUTED_VALUE"""),40.0)</f>
        <v>40</v>
      </c>
      <c r="E2243">
        <f>IFERROR(__xludf.DUMMYFUNCTION("""COMPUTED_VALUE"""),2.35)</f>
        <v>2.35</v>
      </c>
      <c r="F2243">
        <f>IFERROR(__xludf.DUMMYFUNCTION("""COMPUTED_VALUE"""),0.9)</f>
        <v>0.9</v>
      </c>
      <c r="G2243">
        <f>IFERROR(__xludf.DUMMYFUNCTION("""COMPUTED_VALUE"""),4.56)</f>
        <v>4.56</v>
      </c>
    </row>
    <row r="2244">
      <c r="A2244">
        <f>IFERROR(__xludf.DUMMYFUNCTION("""COMPUTED_VALUE"""),787445.0)</f>
        <v>787445</v>
      </c>
      <c r="B2244" t="str">
        <f>IFERROR(__xludf.DUMMYFUNCTION("""COMPUTED_VALUE"""),"Turnip Greens With Roots Cooked From Frozen Ns As To Fat Added In Cooking")</f>
        <v>Turnip Greens With Roots Cooked From Frozen Ns As To Fat Added In Cooking</v>
      </c>
      <c r="C2244" t="str">
        <f>IFERROR(__xludf.DUMMYFUNCTION("""COMPUTED_VALUE"""),"Vegetables")</f>
        <v>Vegetables</v>
      </c>
      <c r="D2244">
        <f>IFERROR(__xludf.DUMMYFUNCTION("""COMPUTED_VALUE"""),51.0)</f>
        <v>51</v>
      </c>
      <c r="E2244">
        <f>IFERROR(__xludf.DUMMYFUNCTION("""COMPUTED_VALUE"""),2.3)</f>
        <v>2.3</v>
      </c>
      <c r="F2244">
        <f>IFERROR(__xludf.DUMMYFUNCTION("""COMPUTED_VALUE"""),2.91)</f>
        <v>2.91</v>
      </c>
      <c r="G2244">
        <f>IFERROR(__xludf.DUMMYFUNCTION("""COMPUTED_VALUE"""),4.7)</f>
        <v>4.7</v>
      </c>
    </row>
    <row r="2245">
      <c r="A2245">
        <f>IFERROR(__xludf.DUMMYFUNCTION("""COMPUTED_VALUE"""),787446.0)</f>
        <v>787446</v>
      </c>
      <c r="B2245" t="str">
        <f>IFERROR(__xludf.DUMMYFUNCTION("""COMPUTED_VALUE"""),"Turnip Greens With Roots Cooked From Canned Ns As To Fat Added In Cooking")</f>
        <v>Turnip Greens With Roots Cooked From Canned Ns As To Fat Added In Cooking</v>
      </c>
      <c r="C2245" t="str">
        <f>IFERROR(__xludf.DUMMYFUNCTION("""COMPUTED_VALUE"""),"Vegetables")</f>
        <v>Vegetables</v>
      </c>
      <c r="D2245">
        <f>IFERROR(__xludf.DUMMYFUNCTION("""COMPUTED_VALUE"""),39.0)</f>
        <v>39</v>
      </c>
      <c r="E2245">
        <f>IFERROR(__xludf.DUMMYFUNCTION("""COMPUTED_VALUE"""),2.38)</f>
        <v>2.38</v>
      </c>
      <c r="F2245">
        <f>IFERROR(__xludf.DUMMYFUNCTION("""COMPUTED_VALUE"""),1.0)</f>
        <v>1</v>
      </c>
      <c r="G2245">
        <f>IFERROR(__xludf.DUMMYFUNCTION("""COMPUTED_VALUE"""),3.84)</f>
        <v>3.84</v>
      </c>
    </row>
    <row r="2246">
      <c r="A2246">
        <f>IFERROR(__xludf.DUMMYFUNCTION("""COMPUTED_VALUE"""),787447.0)</f>
        <v>787447</v>
      </c>
      <c r="B2246" t="str">
        <f>IFERROR(__xludf.DUMMYFUNCTION("""COMPUTED_VALUE"""),"Turnip Greens With Roots Cooked Ns As To Form Fat Not Added In Cooking")</f>
        <v>Turnip Greens With Roots Cooked Ns As To Form Fat Not Added In Cooking</v>
      </c>
      <c r="C2246" t="str">
        <f>IFERROR(__xludf.DUMMYFUNCTION("""COMPUTED_VALUE"""),"Vegetables")</f>
        <v>Vegetables</v>
      </c>
      <c r="D2246">
        <f>IFERROR(__xludf.DUMMYFUNCTION("""COMPUTED_VALUE"""),35.0)</f>
        <v>35</v>
      </c>
      <c r="E2246">
        <f>IFERROR(__xludf.DUMMYFUNCTION("""COMPUTED_VALUE"""),0.38)</f>
        <v>0.38</v>
      </c>
      <c r="F2246">
        <f>IFERROR(__xludf.DUMMYFUNCTION("""COMPUTED_VALUE"""),2.97)</f>
        <v>2.97</v>
      </c>
      <c r="G2246">
        <f>IFERROR(__xludf.DUMMYFUNCTION("""COMPUTED_VALUE"""),4.82)</f>
        <v>4.82</v>
      </c>
    </row>
    <row r="2247">
      <c r="A2247">
        <f>IFERROR(__xludf.DUMMYFUNCTION("""COMPUTED_VALUE"""),787448.0)</f>
        <v>787448</v>
      </c>
      <c r="B2247" t="str">
        <f>IFERROR(__xludf.DUMMYFUNCTION("""COMPUTED_VALUE"""),"Turnip Greens With Roots Cooked From Fresh Fat Not Added In Cooking")</f>
        <v>Turnip Greens With Roots Cooked From Fresh Fat Not Added In Cooking</v>
      </c>
      <c r="C2247" t="str">
        <f>IFERROR(__xludf.DUMMYFUNCTION("""COMPUTED_VALUE"""),"Vegetables")</f>
        <v>Vegetables</v>
      </c>
      <c r="D2247">
        <f>IFERROR(__xludf.DUMMYFUNCTION("""COMPUTED_VALUE"""),21.0)</f>
        <v>21</v>
      </c>
      <c r="E2247">
        <f>IFERROR(__xludf.DUMMYFUNCTION("""COMPUTED_VALUE"""),0.15)</f>
        <v>0.15</v>
      </c>
      <c r="F2247">
        <f>IFERROR(__xludf.DUMMYFUNCTION("""COMPUTED_VALUE"""),0.91)</f>
        <v>0.91</v>
      </c>
      <c r="G2247">
        <f>IFERROR(__xludf.DUMMYFUNCTION("""COMPUTED_VALUE"""),4.69)</f>
        <v>4.69</v>
      </c>
    </row>
    <row r="2248">
      <c r="A2248">
        <f>IFERROR(__xludf.DUMMYFUNCTION("""COMPUTED_VALUE"""),787449.0)</f>
        <v>787449</v>
      </c>
      <c r="B2248" t="str">
        <f>IFERROR(__xludf.DUMMYFUNCTION("""COMPUTED_VALUE"""),"Turnip Greens With Roots Cooked From Frozen Fat Not Added In Cooking")</f>
        <v>Turnip Greens With Roots Cooked From Frozen Fat Not Added In Cooking</v>
      </c>
      <c r="C2248" t="str">
        <f>IFERROR(__xludf.DUMMYFUNCTION("""COMPUTED_VALUE"""),"Vegetables")</f>
        <v>Vegetables</v>
      </c>
      <c r="D2248">
        <f>IFERROR(__xludf.DUMMYFUNCTION("""COMPUTED_VALUE"""),35.0)</f>
        <v>35</v>
      </c>
      <c r="E2248">
        <f>IFERROR(__xludf.DUMMYFUNCTION("""COMPUTED_VALUE"""),0.38)</f>
        <v>0.38</v>
      </c>
      <c r="F2248">
        <f>IFERROR(__xludf.DUMMYFUNCTION("""COMPUTED_VALUE"""),2.97)</f>
        <v>2.97</v>
      </c>
      <c r="G2248">
        <f>IFERROR(__xludf.DUMMYFUNCTION("""COMPUTED_VALUE"""),4.82)</f>
        <v>4.82</v>
      </c>
    </row>
    <row r="2249">
      <c r="A2249">
        <f>IFERROR(__xludf.DUMMYFUNCTION("""COMPUTED_VALUE"""),787450.0)</f>
        <v>787450</v>
      </c>
      <c r="B2249" t="str">
        <f>IFERROR(__xludf.DUMMYFUNCTION("""COMPUTED_VALUE"""),"Turnip Greens With Roots Cooked From Canned Fat Not Added In Cooking")</f>
        <v>Turnip Greens With Roots Cooked From Canned Fat Not Added In Cooking</v>
      </c>
      <c r="C2249" t="str">
        <f>IFERROR(__xludf.DUMMYFUNCTION("""COMPUTED_VALUE"""),"Vegetables")</f>
        <v>Vegetables</v>
      </c>
      <c r="D2249">
        <f>IFERROR(__xludf.DUMMYFUNCTION("""COMPUTED_VALUE"""),20.0)</f>
        <v>20</v>
      </c>
      <c r="E2249">
        <f>IFERROR(__xludf.DUMMYFUNCTION("""COMPUTED_VALUE"""),0.18)</f>
        <v>0.18</v>
      </c>
      <c r="F2249">
        <f>IFERROR(__xludf.DUMMYFUNCTION("""COMPUTED_VALUE"""),1.01)</f>
        <v>1.01</v>
      </c>
      <c r="G2249">
        <f>IFERROR(__xludf.DUMMYFUNCTION("""COMPUTED_VALUE"""),3.95)</f>
        <v>3.95</v>
      </c>
    </row>
    <row r="2250">
      <c r="A2250">
        <f>IFERROR(__xludf.DUMMYFUNCTION("""COMPUTED_VALUE"""),787451.0)</f>
        <v>787451</v>
      </c>
      <c r="B2250" t="str">
        <f>IFERROR(__xludf.DUMMYFUNCTION("""COMPUTED_VALUE"""),"Turnip Greens With Roots Cooked Ns As To Form Fat Added In Cooking")</f>
        <v>Turnip Greens With Roots Cooked Ns As To Form Fat Added In Cooking</v>
      </c>
      <c r="C2250" t="str">
        <f>IFERROR(__xludf.DUMMYFUNCTION("""COMPUTED_VALUE"""),"Vegetables")</f>
        <v>Vegetables</v>
      </c>
      <c r="D2250">
        <f>IFERROR(__xludf.DUMMYFUNCTION("""COMPUTED_VALUE"""),51.0)</f>
        <v>51</v>
      </c>
      <c r="E2250">
        <f>IFERROR(__xludf.DUMMYFUNCTION("""COMPUTED_VALUE"""),2.3)</f>
        <v>2.3</v>
      </c>
      <c r="F2250">
        <f>IFERROR(__xludf.DUMMYFUNCTION("""COMPUTED_VALUE"""),2.91)</f>
        <v>2.91</v>
      </c>
      <c r="G2250">
        <f>IFERROR(__xludf.DUMMYFUNCTION("""COMPUTED_VALUE"""),4.7)</f>
        <v>4.7</v>
      </c>
    </row>
    <row r="2251">
      <c r="A2251">
        <f>IFERROR(__xludf.DUMMYFUNCTION("""COMPUTED_VALUE"""),787452.0)</f>
        <v>787452</v>
      </c>
      <c r="B2251" t="str">
        <f>IFERROR(__xludf.DUMMYFUNCTION("""COMPUTED_VALUE"""),"Turnip Greens With Roots Cooked From Fresh Fat Added In Cooking")</f>
        <v>Turnip Greens With Roots Cooked From Fresh Fat Added In Cooking</v>
      </c>
      <c r="C2251" t="str">
        <f>IFERROR(__xludf.DUMMYFUNCTION("""COMPUTED_VALUE"""),"Vegetables")</f>
        <v>Vegetables</v>
      </c>
      <c r="D2251">
        <f>IFERROR(__xludf.DUMMYFUNCTION("""COMPUTED_VALUE"""),40.0)</f>
        <v>40</v>
      </c>
      <c r="E2251">
        <f>IFERROR(__xludf.DUMMYFUNCTION("""COMPUTED_VALUE"""),2.35)</f>
        <v>2.35</v>
      </c>
      <c r="F2251">
        <f>IFERROR(__xludf.DUMMYFUNCTION("""COMPUTED_VALUE"""),0.9)</f>
        <v>0.9</v>
      </c>
      <c r="G2251">
        <f>IFERROR(__xludf.DUMMYFUNCTION("""COMPUTED_VALUE"""),4.56)</f>
        <v>4.56</v>
      </c>
    </row>
    <row r="2252">
      <c r="A2252">
        <f>IFERROR(__xludf.DUMMYFUNCTION("""COMPUTED_VALUE"""),787453.0)</f>
        <v>787453</v>
      </c>
      <c r="B2252" t="str">
        <f>IFERROR(__xludf.DUMMYFUNCTION("""COMPUTED_VALUE"""),"Turnip Greens With Roots Cooked From Frozen Fat Added In Cooking")</f>
        <v>Turnip Greens With Roots Cooked From Frozen Fat Added In Cooking</v>
      </c>
      <c r="C2252" t="str">
        <f>IFERROR(__xludf.DUMMYFUNCTION("""COMPUTED_VALUE"""),"Vegetables")</f>
        <v>Vegetables</v>
      </c>
      <c r="D2252">
        <f>IFERROR(__xludf.DUMMYFUNCTION("""COMPUTED_VALUE"""),51.0)</f>
        <v>51</v>
      </c>
      <c r="E2252">
        <f>IFERROR(__xludf.DUMMYFUNCTION("""COMPUTED_VALUE"""),2.3)</f>
        <v>2.3</v>
      </c>
      <c r="F2252">
        <f>IFERROR(__xludf.DUMMYFUNCTION("""COMPUTED_VALUE"""),2.91)</f>
        <v>2.91</v>
      </c>
      <c r="G2252">
        <f>IFERROR(__xludf.DUMMYFUNCTION("""COMPUTED_VALUE"""),4.7)</f>
        <v>4.7</v>
      </c>
    </row>
    <row r="2253">
      <c r="A2253">
        <f>IFERROR(__xludf.DUMMYFUNCTION("""COMPUTED_VALUE"""),787454.0)</f>
        <v>787454</v>
      </c>
      <c r="B2253" t="str">
        <f>IFERROR(__xludf.DUMMYFUNCTION("""COMPUTED_VALUE"""),"Turnip Greens With Roots Cooked From Canned Fat Added In Cooking")</f>
        <v>Turnip Greens With Roots Cooked From Canned Fat Added In Cooking</v>
      </c>
      <c r="C2253" t="str">
        <f>IFERROR(__xludf.DUMMYFUNCTION("""COMPUTED_VALUE"""),"Vegetables")</f>
        <v>Vegetables</v>
      </c>
      <c r="D2253">
        <f>IFERROR(__xludf.DUMMYFUNCTION("""COMPUTED_VALUE"""),39.0)</f>
        <v>39</v>
      </c>
      <c r="E2253">
        <f>IFERROR(__xludf.DUMMYFUNCTION("""COMPUTED_VALUE"""),2.38)</f>
        <v>2.38</v>
      </c>
      <c r="F2253">
        <f>IFERROR(__xludf.DUMMYFUNCTION("""COMPUTED_VALUE"""),1.0)</f>
        <v>1</v>
      </c>
      <c r="G2253">
        <f>IFERROR(__xludf.DUMMYFUNCTION("""COMPUTED_VALUE"""),3.84)</f>
        <v>3.84</v>
      </c>
    </row>
    <row r="2254">
      <c r="A2254">
        <f>IFERROR(__xludf.DUMMYFUNCTION("""COMPUTED_VALUE"""),787456.0)</f>
        <v>787456</v>
      </c>
      <c r="B2254" t="str">
        <f>IFERROR(__xludf.DUMMYFUNCTION("""COMPUTED_VALUE"""),"Watercress Cooked Ns As To Fat Added In Cooking")</f>
        <v>Watercress Cooked Ns As To Fat Added In Cooking</v>
      </c>
      <c r="C2254" t="str">
        <f>IFERROR(__xludf.DUMMYFUNCTION("""COMPUTED_VALUE"""),"Vegetables")</f>
        <v>Vegetables</v>
      </c>
      <c r="D2254">
        <f>IFERROR(__xludf.DUMMYFUNCTION("""COMPUTED_VALUE"""),30.0)</f>
        <v>30</v>
      </c>
      <c r="E2254">
        <f>IFERROR(__xludf.DUMMYFUNCTION("""COMPUTED_VALUE"""),2.33)</f>
        <v>2.33</v>
      </c>
      <c r="F2254">
        <f>IFERROR(__xludf.DUMMYFUNCTION("""COMPUTED_VALUE"""),2.23)</f>
        <v>2.23</v>
      </c>
      <c r="G2254">
        <f>IFERROR(__xludf.DUMMYFUNCTION("""COMPUTED_VALUE"""),1.25)</f>
        <v>1.25</v>
      </c>
    </row>
    <row r="2255">
      <c r="A2255">
        <f>IFERROR(__xludf.DUMMYFUNCTION("""COMPUTED_VALUE"""),787457.0)</f>
        <v>787457</v>
      </c>
      <c r="B2255" t="str">
        <f>IFERROR(__xludf.DUMMYFUNCTION("""COMPUTED_VALUE"""),"Watercress Cooked Fat Not Added In Cooking")</f>
        <v>Watercress Cooked Fat Not Added In Cooking</v>
      </c>
      <c r="C2255" t="str">
        <f>IFERROR(__xludf.DUMMYFUNCTION("""COMPUTED_VALUE"""),"Vegetables")</f>
        <v>Vegetables</v>
      </c>
      <c r="D2255">
        <f>IFERROR(__xludf.DUMMYFUNCTION("""COMPUTED_VALUE"""),11.0)</f>
        <v>11</v>
      </c>
      <c r="E2255">
        <f>IFERROR(__xludf.DUMMYFUNCTION("""COMPUTED_VALUE"""),0.1)</f>
        <v>0.1</v>
      </c>
      <c r="F2255">
        <f>IFERROR(__xludf.DUMMYFUNCTION("""COMPUTED_VALUE"""),2.29)</f>
        <v>2.29</v>
      </c>
      <c r="G2255">
        <f>IFERROR(__xludf.DUMMYFUNCTION("""COMPUTED_VALUE"""),1.28)</f>
        <v>1.28</v>
      </c>
    </row>
    <row r="2256">
      <c r="A2256">
        <f>IFERROR(__xludf.DUMMYFUNCTION("""COMPUTED_VALUE"""),787458.0)</f>
        <v>787458</v>
      </c>
      <c r="B2256" t="str">
        <f>IFERROR(__xludf.DUMMYFUNCTION("""COMPUTED_VALUE"""),"Watercress Cooked Fat Added In Cooking")</f>
        <v>Watercress Cooked Fat Added In Cooking</v>
      </c>
      <c r="C2256" t="str">
        <f>IFERROR(__xludf.DUMMYFUNCTION("""COMPUTED_VALUE"""),"Vegetables")</f>
        <v>Vegetables</v>
      </c>
      <c r="D2256">
        <f>IFERROR(__xludf.DUMMYFUNCTION("""COMPUTED_VALUE"""),30.0)</f>
        <v>30</v>
      </c>
      <c r="E2256">
        <f>IFERROR(__xludf.DUMMYFUNCTION("""COMPUTED_VALUE"""),2.27)</f>
        <v>2.27</v>
      </c>
      <c r="F2256">
        <f>IFERROR(__xludf.DUMMYFUNCTION("""COMPUTED_VALUE"""),2.17)</f>
        <v>2.17</v>
      </c>
      <c r="G2256">
        <f>IFERROR(__xludf.DUMMYFUNCTION("""COMPUTED_VALUE"""),1.22)</f>
        <v>1.22</v>
      </c>
    </row>
    <row r="2257">
      <c r="A2257">
        <f>IFERROR(__xludf.DUMMYFUNCTION("""COMPUTED_VALUE"""),787459.0)</f>
        <v>787459</v>
      </c>
      <c r="B2257" t="str">
        <f>IFERROR(__xludf.DUMMYFUNCTION("""COMPUTED_VALUE"""),"Bitter Melon Leaves Horseradish Leaves Jute Leaves Or Radish Leaves Cooked Ns As To Fat Added In Cooking")</f>
        <v>Bitter Melon Leaves Horseradish Leaves Jute Leaves Or Radish Leaves Cooked Ns As To Fat Added In Cooking</v>
      </c>
      <c r="C2257" t="str">
        <f>IFERROR(__xludf.DUMMYFUNCTION("""COMPUTED_VALUE"""),"Vegetables")</f>
        <v>Vegetables</v>
      </c>
      <c r="D2257">
        <f>IFERROR(__xludf.DUMMYFUNCTION("""COMPUTED_VALUE"""),65.0)</f>
        <v>65</v>
      </c>
      <c r="E2257">
        <f>IFERROR(__xludf.DUMMYFUNCTION("""COMPUTED_VALUE"""),3.92)</f>
        <v>3.92</v>
      </c>
      <c r="F2257">
        <f>IFERROR(__xludf.DUMMYFUNCTION("""COMPUTED_VALUE"""),3.39)</f>
        <v>3.39</v>
      </c>
      <c r="G2257">
        <f>IFERROR(__xludf.DUMMYFUNCTION("""COMPUTED_VALUE"""),6.25)</f>
        <v>6.25</v>
      </c>
    </row>
    <row r="2258">
      <c r="A2258">
        <f>IFERROR(__xludf.DUMMYFUNCTION("""COMPUTED_VALUE"""),787461.0)</f>
        <v>787461</v>
      </c>
      <c r="B2258" t="str">
        <f>IFERROR(__xludf.DUMMYFUNCTION("""COMPUTED_VALUE"""),"Bitter Melon Leaves Horseradish Leaves Jute Leaves Or Radish Leaves Cooked Fat Added In Cooking")</f>
        <v>Bitter Melon Leaves Horseradish Leaves Jute Leaves Or Radish Leaves Cooked Fat Added In Cooking</v>
      </c>
      <c r="C2258" t="str">
        <f>IFERROR(__xludf.DUMMYFUNCTION("""COMPUTED_VALUE"""),"Vegetables")</f>
        <v>Vegetables</v>
      </c>
      <c r="D2258">
        <f>IFERROR(__xludf.DUMMYFUNCTION("""COMPUTED_VALUE"""),79.0)</f>
        <v>79</v>
      </c>
      <c r="E2258">
        <f>IFERROR(__xludf.DUMMYFUNCTION("""COMPUTED_VALUE"""),5.57)</f>
        <v>5.57</v>
      </c>
      <c r="F2258">
        <f>IFERROR(__xludf.DUMMYFUNCTION("""COMPUTED_VALUE"""),3.32)</f>
        <v>3.32</v>
      </c>
      <c r="G2258">
        <f>IFERROR(__xludf.DUMMYFUNCTION("""COMPUTED_VALUE"""),6.11)</f>
        <v>6.11</v>
      </c>
    </row>
    <row r="2259">
      <c r="A2259">
        <f>IFERROR(__xludf.DUMMYFUNCTION("""COMPUTED_VALUE"""),787462.0)</f>
        <v>787462</v>
      </c>
      <c r="B2259" t="str">
        <f>IFERROR(__xludf.DUMMYFUNCTION("""COMPUTED_VALUE"""),"Sweet Potato Leaves Squash Leaves Pumpkin Leaves Chrysanthemum Leaves Bean Leaves Or Swamp Cabbage Cooked Ns As To Fat Added In Cooking")</f>
        <v>Sweet Potato Leaves Squash Leaves Pumpkin Leaves Chrysanthemum Leaves Bean Leaves Or Swamp Cabbage Cooked Ns As To Fat Added In Cooking</v>
      </c>
      <c r="C2259" t="str">
        <f>IFERROR(__xludf.DUMMYFUNCTION("""COMPUTED_VALUE"""),"Vegetables")</f>
        <v>Vegetables</v>
      </c>
      <c r="D2259">
        <f>IFERROR(__xludf.DUMMYFUNCTION("""COMPUTED_VALUE"""),81.0)</f>
        <v>81</v>
      </c>
      <c r="E2259">
        <f>IFERROR(__xludf.DUMMYFUNCTION("""COMPUTED_VALUE"""),5.24)</f>
        <v>5.24</v>
      </c>
      <c r="F2259">
        <f>IFERROR(__xludf.DUMMYFUNCTION("""COMPUTED_VALUE"""),2.04)</f>
        <v>2.04</v>
      </c>
      <c r="G2259">
        <f>IFERROR(__xludf.DUMMYFUNCTION("""COMPUTED_VALUE"""),6.8)</f>
        <v>6.8</v>
      </c>
    </row>
    <row r="2260">
      <c r="A2260">
        <f>IFERROR(__xludf.DUMMYFUNCTION("""COMPUTED_VALUE"""),787463.0)</f>
        <v>787463</v>
      </c>
      <c r="B2260" t="str">
        <f>IFERROR(__xludf.DUMMYFUNCTION("""COMPUTED_VALUE"""),"Sweet Potato Leaves Squash Leaves Pumpkin Leaves Chrysanthemum Leaves Bean Leaves Or Swamp Cabbage Cooked Fat Not Added In Cooking")</f>
        <v>Sweet Potato Leaves Squash Leaves Pumpkin Leaves Chrysanthemum Leaves Bean Leaves Or Swamp Cabbage Cooked Fat Not Added In Cooking</v>
      </c>
      <c r="C2260" t="str">
        <f>IFERROR(__xludf.DUMMYFUNCTION("""COMPUTED_VALUE"""),"Vegetables")</f>
        <v>Vegetables</v>
      </c>
      <c r="D2260">
        <f>IFERROR(__xludf.DUMMYFUNCTION("""COMPUTED_VALUE"""),40.0)</f>
        <v>40</v>
      </c>
      <c r="E2260">
        <f>IFERROR(__xludf.DUMMYFUNCTION("""COMPUTED_VALUE"""),0.34)</f>
        <v>0.34</v>
      </c>
      <c r="F2260">
        <f>IFERROR(__xludf.DUMMYFUNCTION("""COMPUTED_VALUE"""),2.15)</f>
        <v>2.15</v>
      </c>
      <c r="G2260">
        <f>IFERROR(__xludf.DUMMYFUNCTION("""COMPUTED_VALUE"""),7.27)</f>
        <v>7.27</v>
      </c>
    </row>
    <row r="2261">
      <c r="A2261">
        <f>IFERROR(__xludf.DUMMYFUNCTION("""COMPUTED_VALUE"""),787464.0)</f>
        <v>787464</v>
      </c>
      <c r="B2261" t="str">
        <f>IFERROR(__xludf.DUMMYFUNCTION("""COMPUTED_VALUE"""),"Sweet Potato Leaves Squash Leaves Pumpkin Leaves Chrysanthemum Leaves Bean Leaves Or Swamp Cabbage Cooked Fat Added In Cooking")</f>
        <v>Sweet Potato Leaves Squash Leaves Pumpkin Leaves Chrysanthemum Leaves Bean Leaves Or Swamp Cabbage Cooked Fat Added In Cooking</v>
      </c>
      <c r="C2261" t="str">
        <f>IFERROR(__xludf.DUMMYFUNCTION("""COMPUTED_VALUE"""),"Vegetables")</f>
        <v>Vegetables</v>
      </c>
      <c r="D2261">
        <f>IFERROR(__xludf.DUMMYFUNCTION("""COMPUTED_VALUE"""),81.0)</f>
        <v>81</v>
      </c>
      <c r="E2261">
        <f>IFERROR(__xludf.DUMMYFUNCTION("""COMPUTED_VALUE"""),5.24)</f>
        <v>5.24</v>
      </c>
      <c r="F2261">
        <f>IFERROR(__xludf.DUMMYFUNCTION("""COMPUTED_VALUE"""),2.04)</f>
        <v>2.04</v>
      </c>
      <c r="G2261">
        <f>IFERROR(__xludf.DUMMYFUNCTION("""COMPUTED_VALUE"""),6.8)</f>
        <v>6.8</v>
      </c>
    </row>
    <row r="2262">
      <c r="A2262">
        <f>IFERROR(__xludf.DUMMYFUNCTION("""COMPUTED_VALUE"""),787466.0)</f>
        <v>787466</v>
      </c>
      <c r="B2262" t="str">
        <f>IFERROR(__xludf.DUMMYFUNCTION("""COMPUTED_VALUE"""),"Broccoli Cooked Ns As To Form Ns As To Fat Added In Cooking")</f>
        <v>Broccoli Cooked Ns As To Form Ns As To Fat Added In Cooking</v>
      </c>
      <c r="C2262" t="str">
        <f>IFERROR(__xludf.DUMMYFUNCTION("""COMPUTED_VALUE"""),"Vegetables")</f>
        <v>Vegetables</v>
      </c>
      <c r="D2262">
        <f>IFERROR(__xludf.DUMMYFUNCTION("""COMPUTED_VALUE"""),43.0)</f>
        <v>43</v>
      </c>
      <c r="E2262">
        <f>IFERROR(__xludf.DUMMYFUNCTION("""COMPUTED_VALUE"""),1.93)</f>
        <v>1.93</v>
      </c>
      <c r="F2262">
        <f>IFERROR(__xludf.DUMMYFUNCTION("""COMPUTED_VALUE"""),3.02)</f>
        <v>3.02</v>
      </c>
      <c r="G2262">
        <f>IFERROR(__xludf.DUMMYFUNCTION("""COMPUTED_VALUE"""),5.2)</f>
        <v>5.2</v>
      </c>
    </row>
    <row r="2263">
      <c r="A2263">
        <f>IFERROR(__xludf.DUMMYFUNCTION("""COMPUTED_VALUE"""),787467.0)</f>
        <v>787467</v>
      </c>
      <c r="B2263" t="str">
        <f>IFERROR(__xludf.DUMMYFUNCTION("""COMPUTED_VALUE"""),"Broccoli Cooked From Fresh Ns As To Fat Added In Cooking")</f>
        <v>Broccoli Cooked From Fresh Ns As To Fat Added In Cooking</v>
      </c>
      <c r="C2263" t="str">
        <f>IFERROR(__xludf.DUMMYFUNCTION("""COMPUTED_VALUE"""),"Vegetables")</f>
        <v>Vegetables</v>
      </c>
      <c r="D2263">
        <f>IFERROR(__xludf.DUMMYFUNCTION("""COMPUTED_VALUE"""),53.0)</f>
        <v>53</v>
      </c>
      <c r="E2263">
        <f>IFERROR(__xludf.DUMMYFUNCTION("""COMPUTED_VALUE"""),2.52)</f>
        <v>2.52</v>
      </c>
      <c r="F2263">
        <f>IFERROR(__xludf.DUMMYFUNCTION("""COMPUTED_VALUE"""),2.31)</f>
        <v>2.31</v>
      </c>
      <c r="G2263">
        <f>IFERROR(__xludf.DUMMYFUNCTION("""COMPUTED_VALUE"""),6.94)</f>
        <v>6.94</v>
      </c>
    </row>
    <row r="2264">
      <c r="A2264">
        <f>IFERROR(__xludf.DUMMYFUNCTION("""COMPUTED_VALUE"""),787468.0)</f>
        <v>787468</v>
      </c>
      <c r="B2264" t="str">
        <f>IFERROR(__xludf.DUMMYFUNCTION("""COMPUTED_VALUE"""),"Broccoli Cooked From Frozen Ns As To Fat Added In Cooking")</f>
        <v>Broccoli Cooked From Frozen Ns As To Fat Added In Cooking</v>
      </c>
      <c r="C2264" t="str">
        <f>IFERROR(__xludf.DUMMYFUNCTION("""COMPUTED_VALUE"""),"Vegetables")</f>
        <v>Vegetables</v>
      </c>
      <c r="D2264">
        <f>IFERROR(__xludf.DUMMYFUNCTION("""COMPUTED_VALUE"""),43.0)</f>
        <v>43</v>
      </c>
      <c r="E2264">
        <f>IFERROR(__xludf.DUMMYFUNCTION("""COMPUTED_VALUE"""),1.93)</f>
        <v>1.93</v>
      </c>
      <c r="F2264">
        <f>IFERROR(__xludf.DUMMYFUNCTION("""COMPUTED_VALUE"""),3.02)</f>
        <v>3.02</v>
      </c>
      <c r="G2264">
        <f>IFERROR(__xludf.DUMMYFUNCTION("""COMPUTED_VALUE"""),5.2)</f>
        <v>5.2</v>
      </c>
    </row>
    <row r="2265">
      <c r="A2265">
        <f>IFERROR(__xludf.DUMMYFUNCTION("""COMPUTED_VALUE"""),787469.0)</f>
        <v>787469</v>
      </c>
      <c r="B2265" t="str">
        <f>IFERROR(__xludf.DUMMYFUNCTION("""COMPUTED_VALUE"""),"Broccoli Cooked Ns As To Form Fat Not Added In Cooking")</f>
        <v>Broccoli Cooked Ns As To Form Fat Not Added In Cooking</v>
      </c>
      <c r="C2265" t="str">
        <f>IFERROR(__xludf.DUMMYFUNCTION("""COMPUTED_VALUE"""),"Vegetables")</f>
        <v>Vegetables</v>
      </c>
      <c r="D2265">
        <f>IFERROR(__xludf.DUMMYFUNCTION("""COMPUTED_VALUE"""),28.0)</f>
        <v>28</v>
      </c>
      <c r="E2265">
        <f>IFERROR(__xludf.DUMMYFUNCTION("""COMPUTED_VALUE"""),0.12)</f>
        <v>0.12</v>
      </c>
      <c r="F2265">
        <f>IFERROR(__xludf.DUMMYFUNCTION("""COMPUTED_VALUE"""),3.08)</f>
        <v>3.08</v>
      </c>
      <c r="G2265">
        <f>IFERROR(__xludf.DUMMYFUNCTION("""COMPUTED_VALUE"""),5.32)</f>
        <v>5.32</v>
      </c>
    </row>
    <row r="2266">
      <c r="A2266">
        <f>IFERROR(__xludf.DUMMYFUNCTION("""COMPUTED_VALUE"""),787470.0)</f>
        <v>787470</v>
      </c>
      <c r="B2266" t="str">
        <f>IFERROR(__xludf.DUMMYFUNCTION("""COMPUTED_VALUE"""),"Broccoli Cooked From Fresh Fat Not Added In Cooking")</f>
        <v>Broccoli Cooked From Fresh Fat Not Added In Cooking</v>
      </c>
      <c r="C2266" t="str">
        <f>IFERROR(__xludf.DUMMYFUNCTION("""COMPUTED_VALUE"""),"Vegetables")</f>
        <v>Vegetables</v>
      </c>
      <c r="D2266">
        <f>IFERROR(__xludf.DUMMYFUNCTION("""COMPUTED_VALUE"""),35.0)</f>
        <v>35</v>
      </c>
      <c r="E2266">
        <f>IFERROR(__xludf.DUMMYFUNCTION("""COMPUTED_VALUE"""),0.41)</f>
        <v>0.41</v>
      </c>
      <c r="F2266">
        <f>IFERROR(__xludf.DUMMYFUNCTION("""COMPUTED_VALUE"""),2.37)</f>
        <v>2.37</v>
      </c>
      <c r="G2266">
        <f>IFERROR(__xludf.DUMMYFUNCTION("""COMPUTED_VALUE"""),7.13)</f>
        <v>7.13</v>
      </c>
    </row>
    <row r="2267">
      <c r="A2267">
        <f>IFERROR(__xludf.DUMMYFUNCTION("""COMPUTED_VALUE"""),787471.0)</f>
        <v>787471</v>
      </c>
      <c r="B2267" t="str">
        <f>IFERROR(__xludf.DUMMYFUNCTION("""COMPUTED_VALUE"""),"Broccoli Cooked From Frozen Fat Not Added In Cooking")</f>
        <v>Broccoli Cooked From Frozen Fat Not Added In Cooking</v>
      </c>
      <c r="C2267" t="str">
        <f>IFERROR(__xludf.DUMMYFUNCTION("""COMPUTED_VALUE"""),"Vegetables")</f>
        <v>Vegetables</v>
      </c>
      <c r="D2267">
        <f>IFERROR(__xludf.DUMMYFUNCTION("""COMPUTED_VALUE"""),28.0)</f>
        <v>28</v>
      </c>
      <c r="E2267">
        <f>IFERROR(__xludf.DUMMYFUNCTION("""COMPUTED_VALUE"""),0.12)</f>
        <v>0.12</v>
      </c>
      <c r="F2267">
        <f>IFERROR(__xludf.DUMMYFUNCTION("""COMPUTED_VALUE"""),3.08)</f>
        <v>3.08</v>
      </c>
      <c r="G2267">
        <f>IFERROR(__xludf.DUMMYFUNCTION("""COMPUTED_VALUE"""),5.32)</f>
        <v>5.32</v>
      </c>
    </row>
    <row r="2268">
      <c r="A2268">
        <f>IFERROR(__xludf.DUMMYFUNCTION("""COMPUTED_VALUE"""),787472.0)</f>
        <v>787472</v>
      </c>
      <c r="B2268" t="str">
        <f>IFERROR(__xludf.DUMMYFUNCTION("""COMPUTED_VALUE"""),"Broccoli Cooked Ns As To Form Made With Oil")</f>
        <v>Broccoli Cooked Ns As To Form Made With Oil</v>
      </c>
      <c r="C2268" t="str">
        <f>IFERROR(__xludf.DUMMYFUNCTION("""COMPUTED_VALUE"""),"Vegetables")</f>
        <v>Vegetables</v>
      </c>
      <c r="D2268">
        <f>IFERROR(__xludf.DUMMYFUNCTION("""COMPUTED_VALUE"""),48.0)</f>
        <v>48</v>
      </c>
      <c r="E2268">
        <f>IFERROR(__xludf.DUMMYFUNCTION("""COMPUTED_VALUE"""),2.51)</f>
        <v>2.51</v>
      </c>
      <c r="F2268">
        <f>IFERROR(__xludf.DUMMYFUNCTION("""COMPUTED_VALUE"""),3.01)</f>
        <v>3.01</v>
      </c>
      <c r="G2268">
        <f>IFERROR(__xludf.DUMMYFUNCTION("""COMPUTED_VALUE"""),5.19)</f>
        <v>5.19</v>
      </c>
    </row>
    <row r="2269">
      <c r="A2269">
        <f>IFERROR(__xludf.DUMMYFUNCTION("""COMPUTED_VALUE"""),787473.0)</f>
        <v>787473</v>
      </c>
      <c r="B2269" t="str">
        <f>IFERROR(__xludf.DUMMYFUNCTION("""COMPUTED_VALUE"""),"Broccoli Cooked Ns As To Form Made With Butter")</f>
        <v>Broccoli Cooked Ns As To Form Made With Butter</v>
      </c>
      <c r="C2269" t="str">
        <f>IFERROR(__xludf.DUMMYFUNCTION("""COMPUTED_VALUE"""),"Vegetables")</f>
        <v>Vegetables</v>
      </c>
      <c r="D2269">
        <f>IFERROR(__xludf.DUMMYFUNCTION("""COMPUTED_VALUE"""),45.0)</f>
        <v>45</v>
      </c>
      <c r="E2269">
        <f>IFERROR(__xludf.DUMMYFUNCTION("""COMPUTED_VALUE"""),2.14)</f>
        <v>2.14</v>
      </c>
      <c r="F2269">
        <f>IFERROR(__xludf.DUMMYFUNCTION("""COMPUTED_VALUE"""),3.03)</f>
        <v>3.03</v>
      </c>
      <c r="G2269">
        <f>IFERROR(__xludf.DUMMYFUNCTION("""COMPUTED_VALUE"""),5.19)</f>
        <v>5.19</v>
      </c>
    </row>
    <row r="2270">
      <c r="A2270">
        <f>IFERROR(__xludf.DUMMYFUNCTION("""COMPUTED_VALUE"""),787474.0)</f>
        <v>787474</v>
      </c>
      <c r="B2270" t="str">
        <f>IFERROR(__xludf.DUMMYFUNCTION("""COMPUTED_VALUE"""),"Broccoli Cooked Ns As To Form Made With Margarine")</f>
        <v>Broccoli Cooked Ns As To Form Made With Margarine</v>
      </c>
      <c r="C2270" t="str">
        <f>IFERROR(__xludf.DUMMYFUNCTION("""COMPUTED_VALUE"""),"Vegetables")</f>
        <v>Vegetables</v>
      </c>
      <c r="D2270">
        <f>IFERROR(__xludf.DUMMYFUNCTION("""COMPUTED_VALUE"""),41.0)</f>
        <v>41</v>
      </c>
      <c r="E2270">
        <f>IFERROR(__xludf.DUMMYFUNCTION("""COMPUTED_VALUE"""),1.62)</f>
        <v>1.62</v>
      </c>
      <c r="F2270">
        <f>IFERROR(__xludf.DUMMYFUNCTION("""COMPUTED_VALUE"""),3.01)</f>
        <v>3.01</v>
      </c>
      <c r="G2270">
        <f>IFERROR(__xludf.DUMMYFUNCTION("""COMPUTED_VALUE"""),5.21)</f>
        <v>5.21</v>
      </c>
    </row>
    <row r="2271">
      <c r="A2271">
        <f>IFERROR(__xludf.DUMMYFUNCTION("""COMPUTED_VALUE"""),787475.0)</f>
        <v>787475</v>
      </c>
      <c r="B2271" t="str">
        <f>IFERROR(__xludf.DUMMYFUNCTION("""COMPUTED_VALUE"""),"Broccoli Cooked Ns As To Form Fat Added In Cooking Ns As To Type Of Fat")</f>
        <v>Broccoli Cooked Ns As To Form Fat Added In Cooking Ns As To Type Of Fat</v>
      </c>
      <c r="C2271" t="str">
        <f>IFERROR(__xludf.DUMMYFUNCTION("""COMPUTED_VALUE"""),"Vegetables")</f>
        <v>Vegetables</v>
      </c>
      <c r="D2271">
        <f>IFERROR(__xludf.DUMMYFUNCTION("""COMPUTED_VALUE"""),43.0)</f>
        <v>43</v>
      </c>
      <c r="E2271">
        <f>IFERROR(__xludf.DUMMYFUNCTION("""COMPUTED_VALUE"""),1.93)</f>
        <v>1.93</v>
      </c>
      <c r="F2271">
        <f>IFERROR(__xludf.DUMMYFUNCTION("""COMPUTED_VALUE"""),3.02)</f>
        <v>3.02</v>
      </c>
      <c r="G2271">
        <f>IFERROR(__xludf.DUMMYFUNCTION("""COMPUTED_VALUE"""),5.2)</f>
        <v>5.2</v>
      </c>
    </row>
    <row r="2272">
      <c r="A2272">
        <f>IFERROR(__xludf.DUMMYFUNCTION("""COMPUTED_VALUE"""),787476.0)</f>
        <v>787476</v>
      </c>
      <c r="B2272" t="str">
        <f>IFERROR(__xludf.DUMMYFUNCTION("""COMPUTED_VALUE"""),"Broccoli Cooked From Fresh Fat Added In Cooking Ns As To Type Of Fat")</f>
        <v>Broccoli Cooked From Fresh Fat Added In Cooking Ns As To Type Of Fat</v>
      </c>
      <c r="C2272" t="str">
        <f>IFERROR(__xludf.DUMMYFUNCTION("""COMPUTED_VALUE"""),"Vegetables")</f>
        <v>Vegetables</v>
      </c>
      <c r="D2272">
        <f>IFERROR(__xludf.DUMMYFUNCTION("""COMPUTED_VALUE"""),53.0)</f>
        <v>53</v>
      </c>
      <c r="E2272">
        <f>IFERROR(__xludf.DUMMYFUNCTION("""COMPUTED_VALUE"""),2.52)</f>
        <v>2.52</v>
      </c>
      <c r="F2272">
        <f>IFERROR(__xludf.DUMMYFUNCTION("""COMPUTED_VALUE"""),2.31)</f>
        <v>2.31</v>
      </c>
      <c r="G2272">
        <f>IFERROR(__xludf.DUMMYFUNCTION("""COMPUTED_VALUE"""),6.94)</f>
        <v>6.94</v>
      </c>
    </row>
    <row r="2273">
      <c r="A2273">
        <f>IFERROR(__xludf.DUMMYFUNCTION("""COMPUTED_VALUE"""),787477.0)</f>
        <v>787477</v>
      </c>
      <c r="B2273" t="str">
        <f>IFERROR(__xludf.DUMMYFUNCTION("""COMPUTED_VALUE"""),"Broccoli Cooked From Frozen Fat Added In Cooking Ns As To Type Of Fat")</f>
        <v>Broccoli Cooked From Frozen Fat Added In Cooking Ns As To Type Of Fat</v>
      </c>
      <c r="C2273" t="str">
        <f>IFERROR(__xludf.DUMMYFUNCTION("""COMPUTED_VALUE"""),"Vegetables")</f>
        <v>Vegetables</v>
      </c>
      <c r="D2273">
        <f>IFERROR(__xludf.DUMMYFUNCTION("""COMPUTED_VALUE"""),43.0)</f>
        <v>43</v>
      </c>
      <c r="E2273">
        <f>IFERROR(__xludf.DUMMYFUNCTION("""COMPUTED_VALUE"""),1.93)</f>
        <v>1.93</v>
      </c>
      <c r="F2273">
        <f>IFERROR(__xludf.DUMMYFUNCTION("""COMPUTED_VALUE"""),3.02)</f>
        <v>3.02</v>
      </c>
      <c r="G2273">
        <f>IFERROR(__xludf.DUMMYFUNCTION("""COMPUTED_VALUE"""),5.2)</f>
        <v>5.2</v>
      </c>
    </row>
    <row r="2274">
      <c r="A2274">
        <f>IFERROR(__xludf.DUMMYFUNCTION("""COMPUTED_VALUE"""),787478.0)</f>
        <v>787478</v>
      </c>
      <c r="B2274" t="str">
        <f>IFERROR(__xludf.DUMMYFUNCTION("""COMPUTED_VALUE"""),"Broccoli Cooked From Fresh Made With Oil")</f>
        <v>Broccoli Cooked From Fresh Made With Oil</v>
      </c>
      <c r="C2274" t="str">
        <f>IFERROR(__xludf.DUMMYFUNCTION("""COMPUTED_VALUE"""),"Vegetables")</f>
        <v>Vegetables</v>
      </c>
      <c r="D2274">
        <f>IFERROR(__xludf.DUMMYFUNCTION("""COMPUTED_VALUE"""),59.0)</f>
        <v>59</v>
      </c>
      <c r="E2274">
        <f>IFERROR(__xludf.DUMMYFUNCTION("""COMPUTED_VALUE"""),3.21)</f>
        <v>3.21</v>
      </c>
      <c r="F2274">
        <f>IFERROR(__xludf.DUMMYFUNCTION("""COMPUTED_VALUE"""),2.3)</f>
        <v>2.3</v>
      </c>
      <c r="G2274">
        <f>IFERROR(__xludf.DUMMYFUNCTION("""COMPUTED_VALUE"""),6.93)</f>
        <v>6.93</v>
      </c>
    </row>
    <row r="2275">
      <c r="A2275">
        <f>IFERROR(__xludf.DUMMYFUNCTION("""COMPUTED_VALUE"""),787479.0)</f>
        <v>787479</v>
      </c>
      <c r="B2275" t="str">
        <f>IFERROR(__xludf.DUMMYFUNCTION("""COMPUTED_VALUE"""),"Broccoli Cooked From Fresh Made With Butter")</f>
        <v>Broccoli Cooked From Fresh Made With Butter</v>
      </c>
      <c r="C2275" t="str">
        <f>IFERROR(__xludf.DUMMYFUNCTION("""COMPUTED_VALUE"""),"Vegetables")</f>
        <v>Vegetables</v>
      </c>
      <c r="D2275">
        <f>IFERROR(__xludf.DUMMYFUNCTION("""COMPUTED_VALUE"""),55.0)</f>
        <v>55</v>
      </c>
      <c r="E2275">
        <f>IFERROR(__xludf.DUMMYFUNCTION("""COMPUTED_VALUE"""),2.77)</f>
        <v>2.77</v>
      </c>
      <c r="F2275">
        <f>IFERROR(__xludf.DUMMYFUNCTION("""COMPUTED_VALUE"""),2.32)</f>
        <v>2.32</v>
      </c>
      <c r="G2275">
        <f>IFERROR(__xludf.DUMMYFUNCTION("""COMPUTED_VALUE"""),6.93)</f>
        <v>6.93</v>
      </c>
    </row>
    <row r="2276">
      <c r="A2276">
        <f>IFERROR(__xludf.DUMMYFUNCTION("""COMPUTED_VALUE"""),787480.0)</f>
        <v>787480</v>
      </c>
      <c r="B2276" t="str">
        <f>IFERROR(__xludf.DUMMYFUNCTION("""COMPUTED_VALUE"""),"Broccoli Cooked From Fresh Made With Margarine")</f>
        <v>Broccoli Cooked From Fresh Made With Margarine</v>
      </c>
      <c r="C2276" t="str">
        <f>IFERROR(__xludf.DUMMYFUNCTION("""COMPUTED_VALUE"""),"Vegetables")</f>
        <v>Vegetables</v>
      </c>
      <c r="D2276">
        <f>IFERROR(__xludf.DUMMYFUNCTION("""COMPUTED_VALUE"""),49.0)</f>
        <v>49</v>
      </c>
      <c r="E2276">
        <f>IFERROR(__xludf.DUMMYFUNCTION("""COMPUTED_VALUE"""),2.16)</f>
        <v>2.16</v>
      </c>
      <c r="F2276">
        <f>IFERROR(__xludf.DUMMYFUNCTION("""COMPUTED_VALUE"""),2.3)</f>
        <v>2.3</v>
      </c>
      <c r="G2276">
        <f>IFERROR(__xludf.DUMMYFUNCTION("""COMPUTED_VALUE"""),6.95)</f>
        <v>6.95</v>
      </c>
    </row>
    <row r="2277">
      <c r="A2277">
        <f>IFERROR(__xludf.DUMMYFUNCTION("""COMPUTED_VALUE"""),787481.0)</f>
        <v>787481</v>
      </c>
      <c r="B2277" t="str">
        <f>IFERROR(__xludf.DUMMYFUNCTION("""COMPUTED_VALUE"""),"Broccoli Cooked From Frozen Made With Oil")</f>
        <v>Broccoli Cooked From Frozen Made With Oil</v>
      </c>
      <c r="C2277" t="str">
        <f>IFERROR(__xludf.DUMMYFUNCTION("""COMPUTED_VALUE"""),"Vegetables")</f>
        <v>Vegetables</v>
      </c>
      <c r="D2277">
        <f>IFERROR(__xludf.DUMMYFUNCTION("""COMPUTED_VALUE"""),48.0)</f>
        <v>48</v>
      </c>
      <c r="E2277">
        <f>IFERROR(__xludf.DUMMYFUNCTION("""COMPUTED_VALUE"""),2.51)</f>
        <v>2.51</v>
      </c>
      <c r="F2277">
        <f>IFERROR(__xludf.DUMMYFUNCTION("""COMPUTED_VALUE"""),3.01)</f>
        <v>3.01</v>
      </c>
      <c r="G2277">
        <f>IFERROR(__xludf.DUMMYFUNCTION("""COMPUTED_VALUE"""),5.19)</f>
        <v>5.19</v>
      </c>
    </row>
    <row r="2278">
      <c r="A2278">
        <f>IFERROR(__xludf.DUMMYFUNCTION("""COMPUTED_VALUE"""),787482.0)</f>
        <v>787482</v>
      </c>
      <c r="B2278" t="str">
        <f>IFERROR(__xludf.DUMMYFUNCTION("""COMPUTED_VALUE"""),"Broccoli Cooked From Frozen Made With Butter")</f>
        <v>Broccoli Cooked From Frozen Made With Butter</v>
      </c>
      <c r="C2278" t="str">
        <f>IFERROR(__xludf.DUMMYFUNCTION("""COMPUTED_VALUE"""),"Vegetables")</f>
        <v>Vegetables</v>
      </c>
      <c r="D2278">
        <f>IFERROR(__xludf.DUMMYFUNCTION("""COMPUTED_VALUE"""),45.0)</f>
        <v>45</v>
      </c>
      <c r="E2278">
        <f>IFERROR(__xludf.DUMMYFUNCTION("""COMPUTED_VALUE"""),2.14)</f>
        <v>2.14</v>
      </c>
      <c r="F2278">
        <f>IFERROR(__xludf.DUMMYFUNCTION("""COMPUTED_VALUE"""),3.03)</f>
        <v>3.03</v>
      </c>
      <c r="G2278">
        <f>IFERROR(__xludf.DUMMYFUNCTION("""COMPUTED_VALUE"""),5.19)</f>
        <v>5.19</v>
      </c>
    </row>
    <row r="2279">
      <c r="A2279">
        <f>IFERROR(__xludf.DUMMYFUNCTION("""COMPUTED_VALUE"""),787483.0)</f>
        <v>787483</v>
      </c>
      <c r="B2279" t="str">
        <f>IFERROR(__xludf.DUMMYFUNCTION("""COMPUTED_VALUE"""),"Broccoli Cooked From Frozen Made With Margarine")</f>
        <v>Broccoli Cooked From Frozen Made With Margarine</v>
      </c>
      <c r="C2279" t="str">
        <f>IFERROR(__xludf.DUMMYFUNCTION("""COMPUTED_VALUE"""),"Vegetables")</f>
        <v>Vegetables</v>
      </c>
      <c r="D2279">
        <f>IFERROR(__xludf.DUMMYFUNCTION("""COMPUTED_VALUE"""),41.0)</f>
        <v>41</v>
      </c>
      <c r="E2279">
        <f>IFERROR(__xludf.DUMMYFUNCTION("""COMPUTED_VALUE"""),1.62)</f>
        <v>1.62</v>
      </c>
      <c r="F2279">
        <f>IFERROR(__xludf.DUMMYFUNCTION("""COMPUTED_VALUE"""),3.01)</f>
        <v>3.01</v>
      </c>
      <c r="G2279">
        <f>IFERROR(__xludf.DUMMYFUNCTION("""COMPUTED_VALUE"""),5.21)</f>
        <v>5.21</v>
      </c>
    </row>
    <row r="2280">
      <c r="A2280">
        <f>IFERROR(__xludf.DUMMYFUNCTION("""COMPUTED_VALUE"""),787484.0)</f>
        <v>787484</v>
      </c>
      <c r="B2280" t="str">
        <f>IFERROR(__xludf.DUMMYFUNCTION("""COMPUTED_VALUE"""),"Broccoli Cooked Ns As To Form With Cheese Sauce")</f>
        <v>Broccoli Cooked Ns As To Form With Cheese Sauce</v>
      </c>
      <c r="C2280" t="str">
        <f>IFERROR(__xludf.DUMMYFUNCTION("""COMPUTED_VALUE"""),"Vegetables")</f>
        <v>Vegetables</v>
      </c>
      <c r="D2280">
        <f>IFERROR(__xludf.DUMMYFUNCTION("""COMPUTED_VALUE"""),80.0)</f>
        <v>80</v>
      </c>
      <c r="E2280">
        <f>IFERROR(__xludf.DUMMYFUNCTION("""COMPUTED_VALUE"""),4.63)</f>
        <v>4.63</v>
      </c>
      <c r="F2280">
        <f>IFERROR(__xludf.DUMMYFUNCTION("""COMPUTED_VALUE"""),5.3)</f>
        <v>5.3</v>
      </c>
      <c r="G2280">
        <f>IFERROR(__xludf.DUMMYFUNCTION("""COMPUTED_VALUE"""),5.38)</f>
        <v>5.38</v>
      </c>
    </row>
    <row r="2281">
      <c r="A2281">
        <f>IFERROR(__xludf.DUMMYFUNCTION("""COMPUTED_VALUE"""),787485.0)</f>
        <v>787485</v>
      </c>
      <c r="B2281" t="str">
        <f>IFERROR(__xludf.DUMMYFUNCTION("""COMPUTED_VALUE"""),"Broccoli Cooked From Fresh With Cheese Sauce")</f>
        <v>Broccoli Cooked From Fresh With Cheese Sauce</v>
      </c>
      <c r="C2281" t="str">
        <f>IFERROR(__xludf.DUMMYFUNCTION("""COMPUTED_VALUE"""),"Vegetables")</f>
        <v>Vegetables</v>
      </c>
      <c r="D2281">
        <f>IFERROR(__xludf.DUMMYFUNCTION("""COMPUTED_VALUE"""),90.0)</f>
        <v>90</v>
      </c>
      <c r="E2281">
        <f>IFERROR(__xludf.DUMMYFUNCTION("""COMPUTED_VALUE"""),5.36)</f>
        <v>5.36</v>
      </c>
      <c r="F2281">
        <f>IFERROR(__xludf.DUMMYFUNCTION("""COMPUTED_VALUE"""),5.09)</f>
        <v>5.09</v>
      </c>
      <c r="G2281">
        <f>IFERROR(__xludf.DUMMYFUNCTION("""COMPUTED_VALUE"""),6.59)</f>
        <v>6.59</v>
      </c>
    </row>
    <row r="2282">
      <c r="A2282">
        <f>IFERROR(__xludf.DUMMYFUNCTION("""COMPUTED_VALUE"""),787486.0)</f>
        <v>787486</v>
      </c>
      <c r="B2282" t="str">
        <f>IFERROR(__xludf.DUMMYFUNCTION("""COMPUTED_VALUE"""),"Broccoli Cooked From Frozen With Cheese Sauce")</f>
        <v>Broccoli Cooked From Frozen With Cheese Sauce</v>
      </c>
      <c r="C2282" t="str">
        <f>IFERROR(__xludf.DUMMYFUNCTION("""COMPUTED_VALUE"""),"Vegetables")</f>
        <v>Vegetables</v>
      </c>
      <c r="D2282">
        <f>IFERROR(__xludf.DUMMYFUNCTION("""COMPUTED_VALUE"""),80.0)</f>
        <v>80</v>
      </c>
      <c r="E2282">
        <f>IFERROR(__xludf.DUMMYFUNCTION("""COMPUTED_VALUE"""),4.64)</f>
        <v>4.64</v>
      </c>
      <c r="F2282">
        <f>IFERROR(__xludf.DUMMYFUNCTION("""COMPUTED_VALUE"""),5.3)</f>
        <v>5.3</v>
      </c>
      <c r="G2282">
        <f>IFERROR(__xludf.DUMMYFUNCTION("""COMPUTED_VALUE"""),5.38)</f>
        <v>5.38</v>
      </c>
    </row>
    <row r="2283">
      <c r="A2283">
        <f>IFERROR(__xludf.DUMMYFUNCTION("""COMPUTED_VALUE"""),787487.0)</f>
        <v>787487</v>
      </c>
      <c r="B2283" t="str">
        <f>IFERROR(__xludf.DUMMYFUNCTION("""COMPUTED_VALUE"""),"Broccoli Cooked Ns As To Form With Mushroom Sauce")</f>
        <v>Broccoli Cooked Ns As To Form With Mushroom Sauce</v>
      </c>
      <c r="C2283" t="str">
        <f>IFERROR(__xludf.DUMMYFUNCTION("""COMPUTED_VALUE"""),"Vegetables")</f>
        <v>Vegetables</v>
      </c>
      <c r="D2283">
        <f>IFERROR(__xludf.DUMMYFUNCTION("""COMPUTED_VALUE"""),45.0)</f>
        <v>45</v>
      </c>
      <c r="E2283">
        <f>IFERROR(__xludf.DUMMYFUNCTION("""COMPUTED_VALUE"""),1.77)</f>
        <v>1.77</v>
      </c>
      <c r="F2283">
        <f>IFERROR(__xludf.DUMMYFUNCTION("""COMPUTED_VALUE"""),2.62)</f>
        <v>2.62</v>
      </c>
      <c r="G2283">
        <f>IFERROR(__xludf.DUMMYFUNCTION("""COMPUTED_VALUE"""),5.7)</f>
        <v>5.7</v>
      </c>
    </row>
    <row r="2284">
      <c r="A2284">
        <f>IFERROR(__xludf.DUMMYFUNCTION("""COMPUTED_VALUE"""),787488.0)</f>
        <v>787488</v>
      </c>
      <c r="B2284" t="str">
        <f>IFERROR(__xludf.DUMMYFUNCTION("""COMPUTED_VALUE"""),"Broccoli Cooked From Fresh With Mushroom Sauce")</f>
        <v>Broccoli Cooked From Fresh With Mushroom Sauce</v>
      </c>
      <c r="C2284" t="str">
        <f>IFERROR(__xludf.DUMMYFUNCTION("""COMPUTED_VALUE"""),"Vegetables")</f>
        <v>Vegetables</v>
      </c>
      <c r="D2284">
        <f>IFERROR(__xludf.DUMMYFUNCTION("""COMPUTED_VALUE"""),50.0)</f>
        <v>50</v>
      </c>
      <c r="E2284">
        <f>IFERROR(__xludf.DUMMYFUNCTION("""COMPUTED_VALUE"""),2.11)</f>
        <v>2.11</v>
      </c>
      <c r="F2284">
        <f>IFERROR(__xludf.DUMMYFUNCTION("""COMPUTED_VALUE"""),2.16)</f>
        <v>2.16</v>
      </c>
      <c r="G2284">
        <f>IFERROR(__xludf.DUMMYFUNCTION("""COMPUTED_VALUE"""),6.79)</f>
        <v>6.79</v>
      </c>
    </row>
    <row r="2285">
      <c r="A2285">
        <f>IFERROR(__xludf.DUMMYFUNCTION("""COMPUTED_VALUE"""),787489.0)</f>
        <v>787489</v>
      </c>
      <c r="B2285" t="str">
        <f>IFERROR(__xludf.DUMMYFUNCTION("""COMPUTED_VALUE"""),"Broccoli Cooked From Frozen With Mushroom Sauce")</f>
        <v>Broccoli Cooked From Frozen With Mushroom Sauce</v>
      </c>
      <c r="C2285" t="str">
        <f>IFERROR(__xludf.DUMMYFUNCTION("""COMPUTED_VALUE"""),"Vegetables")</f>
        <v>Vegetables</v>
      </c>
      <c r="D2285">
        <f>IFERROR(__xludf.DUMMYFUNCTION("""COMPUTED_VALUE"""),45.0)</f>
        <v>45</v>
      </c>
      <c r="E2285">
        <f>IFERROR(__xludf.DUMMYFUNCTION("""COMPUTED_VALUE"""),1.77)</f>
        <v>1.77</v>
      </c>
      <c r="F2285">
        <f>IFERROR(__xludf.DUMMYFUNCTION("""COMPUTED_VALUE"""),2.62)</f>
        <v>2.62</v>
      </c>
      <c r="G2285">
        <f>IFERROR(__xludf.DUMMYFUNCTION("""COMPUTED_VALUE"""),5.7)</f>
        <v>5.7</v>
      </c>
    </row>
    <row r="2286">
      <c r="A2286">
        <f>IFERROR(__xludf.DUMMYFUNCTION("""COMPUTED_VALUE"""),787490.0)</f>
        <v>787490</v>
      </c>
      <c r="B2286" t="str">
        <f>IFERROR(__xludf.DUMMYFUNCTION("""COMPUTED_VALUE"""),"Broccoli Cooked Ns As To Form With Cream Sauce")</f>
        <v>Broccoli Cooked Ns As To Form With Cream Sauce</v>
      </c>
      <c r="C2286" t="str">
        <f>IFERROR(__xludf.DUMMYFUNCTION("""COMPUTED_VALUE"""),"Vegetables")</f>
        <v>Vegetables</v>
      </c>
      <c r="D2286">
        <f>IFERROR(__xludf.DUMMYFUNCTION("""COMPUTED_VALUE"""),65.0)</f>
        <v>65</v>
      </c>
      <c r="E2286">
        <f>IFERROR(__xludf.DUMMYFUNCTION("""COMPUTED_VALUE"""),3.39)</f>
        <v>3.39</v>
      </c>
      <c r="F2286">
        <f>IFERROR(__xludf.DUMMYFUNCTION("""COMPUTED_VALUE"""),3.33)</f>
        <v>3.33</v>
      </c>
      <c r="G2286">
        <f>IFERROR(__xludf.DUMMYFUNCTION("""COMPUTED_VALUE"""),6.53)</f>
        <v>6.53</v>
      </c>
    </row>
    <row r="2287">
      <c r="A2287">
        <f>IFERROR(__xludf.DUMMYFUNCTION("""COMPUTED_VALUE"""),787491.0)</f>
        <v>787491</v>
      </c>
      <c r="B2287" t="str">
        <f>IFERROR(__xludf.DUMMYFUNCTION("""COMPUTED_VALUE"""),"Broccoli Cooked From Fresh With Cream Sauce")</f>
        <v>Broccoli Cooked From Fresh With Cream Sauce</v>
      </c>
      <c r="C2287" t="str">
        <f>IFERROR(__xludf.DUMMYFUNCTION("""COMPUTED_VALUE"""),"Vegetables")</f>
        <v>Vegetables</v>
      </c>
      <c r="D2287">
        <f>IFERROR(__xludf.DUMMYFUNCTION("""COMPUTED_VALUE"""),85.0)</f>
        <v>85</v>
      </c>
      <c r="E2287">
        <f>IFERROR(__xludf.DUMMYFUNCTION("""COMPUTED_VALUE"""),4.95)</f>
        <v>4.95</v>
      </c>
      <c r="F2287">
        <f>IFERROR(__xludf.DUMMYFUNCTION("""COMPUTED_VALUE"""),3.02)</f>
        <v>3.02</v>
      </c>
      <c r="G2287">
        <f>IFERROR(__xludf.DUMMYFUNCTION("""COMPUTED_VALUE"""),8.05)</f>
        <v>8.05</v>
      </c>
    </row>
    <row r="2288">
      <c r="A2288">
        <f>IFERROR(__xludf.DUMMYFUNCTION("""COMPUTED_VALUE"""),787492.0)</f>
        <v>787492</v>
      </c>
      <c r="B2288" t="str">
        <f>IFERROR(__xludf.DUMMYFUNCTION("""COMPUTED_VALUE"""),"Broccoli Cooked From Frozen With Cream Sauce")</f>
        <v>Broccoli Cooked From Frozen With Cream Sauce</v>
      </c>
      <c r="C2288" t="str">
        <f>IFERROR(__xludf.DUMMYFUNCTION("""COMPUTED_VALUE"""),"Vegetables")</f>
        <v>Vegetables</v>
      </c>
      <c r="D2288">
        <f>IFERROR(__xludf.DUMMYFUNCTION("""COMPUTED_VALUE"""),76.0)</f>
        <v>76</v>
      </c>
      <c r="E2288">
        <f>IFERROR(__xludf.DUMMYFUNCTION("""COMPUTED_VALUE"""),4.37)</f>
        <v>4.37</v>
      </c>
      <c r="F2288">
        <f>IFERROR(__xludf.DUMMYFUNCTION("""COMPUTED_VALUE"""),3.4)</f>
        <v>3.4</v>
      </c>
      <c r="G2288">
        <f>IFERROR(__xludf.DUMMYFUNCTION("""COMPUTED_VALUE"""),6.89)</f>
        <v>6.89</v>
      </c>
    </row>
    <row r="2289">
      <c r="A2289">
        <f>IFERROR(__xludf.DUMMYFUNCTION("""COMPUTED_VALUE"""),787493.0)</f>
        <v>787493</v>
      </c>
      <c r="B2289" t="str">
        <f>IFERROR(__xludf.DUMMYFUNCTION("""COMPUTED_VALUE"""),"Broccoli Casserole With Noodles")</f>
        <v>Broccoli Casserole With Noodles</v>
      </c>
      <c r="C2289" t="str">
        <f>IFERROR(__xludf.DUMMYFUNCTION("""COMPUTED_VALUE"""),"Vegetables")</f>
        <v>Vegetables</v>
      </c>
      <c r="D2289">
        <f>IFERROR(__xludf.DUMMYFUNCTION("""COMPUTED_VALUE"""),103.0)</f>
        <v>103</v>
      </c>
      <c r="E2289">
        <f>IFERROR(__xludf.DUMMYFUNCTION("""COMPUTED_VALUE"""),3.28)</f>
        <v>3.28</v>
      </c>
      <c r="F2289">
        <f>IFERROR(__xludf.DUMMYFUNCTION("""COMPUTED_VALUE"""),4.11)</f>
        <v>4.11</v>
      </c>
      <c r="G2289">
        <f>IFERROR(__xludf.DUMMYFUNCTION("""COMPUTED_VALUE"""),15.05)</f>
        <v>15.05</v>
      </c>
    </row>
    <row r="2290">
      <c r="A2290">
        <f>IFERROR(__xludf.DUMMYFUNCTION("""COMPUTED_VALUE"""),787494.0)</f>
        <v>787494</v>
      </c>
      <c r="B2290" t="str">
        <f>IFERROR(__xludf.DUMMYFUNCTION("""COMPUTED_VALUE"""),"Broccoli Casserole With Rice")</f>
        <v>Broccoli Casserole With Rice</v>
      </c>
      <c r="C2290" t="str">
        <f>IFERROR(__xludf.DUMMYFUNCTION("""COMPUTED_VALUE"""),"Vegetables")</f>
        <v>Vegetables</v>
      </c>
      <c r="D2290">
        <f>IFERROR(__xludf.DUMMYFUNCTION("""COMPUTED_VALUE"""),106.0)</f>
        <v>106</v>
      </c>
      <c r="E2290">
        <f>IFERROR(__xludf.DUMMYFUNCTION("""COMPUTED_VALUE"""),3.49)</f>
        <v>3.49</v>
      </c>
      <c r="F2290">
        <f>IFERROR(__xludf.DUMMYFUNCTION("""COMPUTED_VALUE"""),4.12)</f>
        <v>4.12</v>
      </c>
      <c r="G2290">
        <f>IFERROR(__xludf.DUMMYFUNCTION("""COMPUTED_VALUE"""),15.11)</f>
        <v>15.11</v>
      </c>
    </row>
    <row r="2291">
      <c r="A2291">
        <f>IFERROR(__xludf.DUMMYFUNCTION("""COMPUTED_VALUE"""),787495.0)</f>
        <v>787495</v>
      </c>
      <c r="B2291" t="str">
        <f>IFERROR(__xludf.DUMMYFUNCTION("""COMPUTED_VALUE"""),"Broccoli Batter-Dipped And Fried")</f>
        <v>Broccoli Batter-Dipped And Fried</v>
      </c>
      <c r="C2291" t="str">
        <f>IFERROR(__xludf.DUMMYFUNCTION("""COMPUTED_VALUE"""),"Vegetables")</f>
        <v>Vegetables</v>
      </c>
      <c r="D2291">
        <f>IFERROR(__xludf.DUMMYFUNCTION("""COMPUTED_VALUE"""),148.0)</f>
        <v>148</v>
      </c>
      <c r="E2291">
        <f>IFERROR(__xludf.DUMMYFUNCTION("""COMPUTED_VALUE"""),10.36)</f>
        <v>10.36</v>
      </c>
      <c r="F2291">
        <f>IFERROR(__xludf.DUMMYFUNCTION("""COMPUTED_VALUE"""),3.82)</f>
        <v>3.82</v>
      </c>
      <c r="G2291">
        <f>IFERROR(__xludf.DUMMYFUNCTION("""COMPUTED_VALUE"""),11.54)</f>
        <v>11.54</v>
      </c>
    </row>
    <row r="2292">
      <c r="A2292">
        <f>IFERROR(__xludf.DUMMYFUNCTION("""COMPUTED_VALUE"""),787497.0)</f>
        <v>787497</v>
      </c>
      <c r="B2292" t="str">
        <f>IFERROR(__xludf.DUMMYFUNCTION("""COMPUTED_VALUE"""),"Broccoli Chinese Cooked Ns As To Form Ns As To Fat Added In Cooking")</f>
        <v>Broccoli Chinese Cooked Ns As To Form Ns As To Fat Added In Cooking</v>
      </c>
      <c r="C2292" t="str">
        <f>IFERROR(__xludf.DUMMYFUNCTION("""COMPUTED_VALUE"""),"Vegetables")</f>
        <v>Vegetables</v>
      </c>
      <c r="D2292">
        <f>IFERROR(__xludf.DUMMYFUNCTION("""COMPUTED_VALUE"""),53.0)</f>
        <v>53</v>
      </c>
      <c r="E2292">
        <f>IFERROR(__xludf.DUMMYFUNCTION("""COMPUTED_VALUE"""),4.34)</f>
        <v>4.34</v>
      </c>
      <c r="F2292">
        <f>IFERROR(__xludf.DUMMYFUNCTION("""COMPUTED_VALUE"""),1.1)</f>
        <v>1.1</v>
      </c>
      <c r="G2292">
        <f>IFERROR(__xludf.DUMMYFUNCTION("""COMPUTED_VALUE"""),3.6)</f>
        <v>3.6</v>
      </c>
    </row>
    <row r="2293">
      <c r="A2293">
        <f>IFERROR(__xludf.DUMMYFUNCTION("""COMPUTED_VALUE"""),787498.0)</f>
        <v>787498</v>
      </c>
      <c r="B2293" t="str">
        <f>IFERROR(__xludf.DUMMYFUNCTION("""COMPUTED_VALUE"""),"Broccoli Chinese Cooked From Fresh Ns As To Fat Added In Cooking")</f>
        <v>Broccoli Chinese Cooked From Fresh Ns As To Fat Added In Cooking</v>
      </c>
      <c r="C2293" t="str">
        <f>IFERROR(__xludf.DUMMYFUNCTION("""COMPUTED_VALUE"""),"Vegetables")</f>
        <v>Vegetables</v>
      </c>
      <c r="D2293">
        <f>IFERROR(__xludf.DUMMYFUNCTION("""COMPUTED_VALUE"""),53.0)</f>
        <v>53</v>
      </c>
      <c r="E2293">
        <f>IFERROR(__xludf.DUMMYFUNCTION("""COMPUTED_VALUE"""),4.34)</f>
        <v>4.34</v>
      </c>
      <c r="F2293">
        <f>IFERROR(__xludf.DUMMYFUNCTION("""COMPUTED_VALUE"""),1.1)</f>
        <v>1.1</v>
      </c>
      <c r="G2293">
        <f>IFERROR(__xludf.DUMMYFUNCTION("""COMPUTED_VALUE"""),3.6)</f>
        <v>3.6</v>
      </c>
    </row>
    <row r="2294">
      <c r="A2294">
        <f>IFERROR(__xludf.DUMMYFUNCTION("""COMPUTED_VALUE"""),787499.0)</f>
        <v>787499</v>
      </c>
      <c r="B2294" t="str">
        <f>IFERROR(__xludf.DUMMYFUNCTION("""COMPUTED_VALUE"""),"Broccoli Chinese Cooked From Frozen Ns As To Fat Added In Cooking")</f>
        <v>Broccoli Chinese Cooked From Frozen Ns As To Fat Added In Cooking</v>
      </c>
      <c r="C2294" t="str">
        <f>IFERROR(__xludf.DUMMYFUNCTION("""COMPUTED_VALUE"""),"Vegetables")</f>
        <v>Vegetables</v>
      </c>
      <c r="D2294">
        <f>IFERROR(__xludf.DUMMYFUNCTION("""COMPUTED_VALUE"""),53.0)</f>
        <v>53</v>
      </c>
      <c r="E2294">
        <f>IFERROR(__xludf.DUMMYFUNCTION("""COMPUTED_VALUE"""),4.34)</f>
        <v>4.34</v>
      </c>
      <c r="F2294">
        <f>IFERROR(__xludf.DUMMYFUNCTION("""COMPUTED_VALUE"""),1.1)</f>
        <v>1.1</v>
      </c>
      <c r="G2294">
        <f>IFERROR(__xludf.DUMMYFUNCTION("""COMPUTED_VALUE"""),3.6)</f>
        <v>3.6</v>
      </c>
    </row>
    <row r="2295">
      <c r="A2295">
        <f>IFERROR(__xludf.DUMMYFUNCTION("""COMPUTED_VALUE"""),787500.0)</f>
        <v>787500</v>
      </c>
      <c r="B2295" t="str">
        <f>IFERROR(__xludf.DUMMYFUNCTION("""COMPUTED_VALUE"""),"Broccoli Chinese Cooked Ns As To Form Fat Not Added In Cooking")</f>
        <v>Broccoli Chinese Cooked Ns As To Form Fat Not Added In Cooking</v>
      </c>
      <c r="C2295" t="str">
        <f>IFERROR(__xludf.DUMMYFUNCTION("""COMPUTED_VALUE"""),"Vegetables")</f>
        <v>Vegetables</v>
      </c>
      <c r="D2295">
        <f>IFERROR(__xludf.DUMMYFUNCTION("""COMPUTED_VALUE"""),22.0)</f>
        <v>22</v>
      </c>
      <c r="E2295">
        <f>IFERROR(__xludf.DUMMYFUNCTION("""COMPUTED_VALUE"""),0.71)</f>
        <v>0.71</v>
      </c>
      <c r="F2295">
        <f>IFERROR(__xludf.DUMMYFUNCTION("""COMPUTED_VALUE"""),1.13)</f>
        <v>1.13</v>
      </c>
      <c r="G2295">
        <f>IFERROR(__xludf.DUMMYFUNCTION("""COMPUTED_VALUE"""),3.77)</f>
        <v>3.77</v>
      </c>
    </row>
    <row r="2296">
      <c r="A2296">
        <f>IFERROR(__xludf.DUMMYFUNCTION("""COMPUTED_VALUE"""),787501.0)</f>
        <v>787501</v>
      </c>
      <c r="B2296" t="str">
        <f>IFERROR(__xludf.DUMMYFUNCTION("""COMPUTED_VALUE"""),"Broccoli Chinese Cooked From Fresh Fat Not Added In Cooking")</f>
        <v>Broccoli Chinese Cooked From Fresh Fat Not Added In Cooking</v>
      </c>
      <c r="C2296" t="str">
        <f>IFERROR(__xludf.DUMMYFUNCTION("""COMPUTED_VALUE"""),"Vegetables")</f>
        <v>Vegetables</v>
      </c>
      <c r="D2296">
        <f>IFERROR(__xludf.DUMMYFUNCTION("""COMPUTED_VALUE"""),22.0)</f>
        <v>22</v>
      </c>
      <c r="E2296">
        <f>IFERROR(__xludf.DUMMYFUNCTION("""COMPUTED_VALUE"""),0.71)</f>
        <v>0.71</v>
      </c>
      <c r="F2296">
        <f>IFERROR(__xludf.DUMMYFUNCTION("""COMPUTED_VALUE"""),1.13)</f>
        <v>1.13</v>
      </c>
      <c r="G2296">
        <f>IFERROR(__xludf.DUMMYFUNCTION("""COMPUTED_VALUE"""),3.77)</f>
        <v>3.77</v>
      </c>
    </row>
    <row r="2297">
      <c r="A2297">
        <f>IFERROR(__xludf.DUMMYFUNCTION("""COMPUTED_VALUE"""),787502.0)</f>
        <v>787502</v>
      </c>
      <c r="B2297" t="str">
        <f>IFERROR(__xludf.DUMMYFUNCTION("""COMPUTED_VALUE"""),"Broccoli Chinese Cooked From Frozen Fat Not Added In Cooking")</f>
        <v>Broccoli Chinese Cooked From Frozen Fat Not Added In Cooking</v>
      </c>
      <c r="C2297" t="str">
        <f>IFERROR(__xludf.DUMMYFUNCTION("""COMPUTED_VALUE"""),"Vegetables")</f>
        <v>Vegetables</v>
      </c>
      <c r="D2297">
        <f>IFERROR(__xludf.DUMMYFUNCTION("""COMPUTED_VALUE"""),22.0)</f>
        <v>22</v>
      </c>
      <c r="E2297">
        <f>IFERROR(__xludf.DUMMYFUNCTION("""COMPUTED_VALUE"""),0.71)</f>
        <v>0.71</v>
      </c>
      <c r="F2297">
        <f>IFERROR(__xludf.DUMMYFUNCTION("""COMPUTED_VALUE"""),1.13)</f>
        <v>1.13</v>
      </c>
      <c r="G2297">
        <f>IFERROR(__xludf.DUMMYFUNCTION("""COMPUTED_VALUE"""),3.77)</f>
        <v>3.77</v>
      </c>
    </row>
    <row r="2298">
      <c r="A2298">
        <f>IFERROR(__xludf.DUMMYFUNCTION("""COMPUTED_VALUE"""),787503.0)</f>
        <v>787503</v>
      </c>
      <c r="B2298" t="str">
        <f>IFERROR(__xludf.DUMMYFUNCTION("""COMPUTED_VALUE"""),"Broccoli Chinese Cooked Ns As To Form Fat Added In Cooking Ns As To Type Of Fat")</f>
        <v>Broccoli Chinese Cooked Ns As To Form Fat Added In Cooking Ns As To Type Of Fat</v>
      </c>
      <c r="C2298" t="str">
        <f>IFERROR(__xludf.DUMMYFUNCTION("""COMPUTED_VALUE"""),"Vegetables")</f>
        <v>Vegetables</v>
      </c>
      <c r="D2298">
        <f>IFERROR(__xludf.DUMMYFUNCTION("""COMPUTED_VALUE"""),53.0)</f>
        <v>53</v>
      </c>
      <c r="E2298">
        <f>IFERROR(__xludf.DUMMYFUNCTION("""COMPUTED_VALUE"""),4.34)</f>
        <v>4.34</v>
      </c>
      <c r="F2298">
        <f>IFERROR(__xludf.DUMMYFUNCTION("""COMPUTED_VALUE"""),1.1)</f>
        <v>1.1</v>
      </c>
      <c r="G2298">
        <f>IFERROR(__xludf.DUMMYFUNCTION("""COMPUTED_VALUE"""),3.6)</f>
        <v>3.6</v>
      </c>
    </row>
    <row r="2299">
      <c r="A2299">
        <f>IFERROR(__xludf.DUMMYFUNCTION("""COMPUTED_VALUE"""),787504.0)</f>
        <v>787504</v>
      </c>
      <c r="B2299" t="str">
        <f>IFERROR(__xludf.DUMMYFUNCTION("""COMPUTED_VALUE"""),"Broccoli Chinese Cooked Ns As To Form Made With Oil")</f>
        <v>Broccoli Chinese Cooked Ns As To Form Made With Oil</v>
      </c>
      <c r="C2299" t="str">
        <f>IFERROR(__xludf.DUMMYFUNCTION("""COMPUTED_VALUE"""),"Vegetables")</f>
        <v>Vegetables</v>
      </c>
      <c r="D2299">
        <f>IFERROR(__xludf.DUMMYFUNCTION("""COMPUTED_VALUE"""),64.0)</f>
        <v>64</v>
      </c>
      <c r="E2299">
        <f>IFERROR(__xludf.DUMMYFUNCTION("""COMPUTED_VALUE"""),5.53)</f>
        <v>5.53</v>
      </c>
      <c r="F2299">
        <f>IFERROR(__xludf.DUMMYFUNCTION("""COMPUTED_VALUE"""),1.07)</f>
        <v>1.07</v>
      </c>
      <c r="G2299">
        <f>IFERROR(__xludf.DUMMYFUNCTION("""COMPUTED_VALUE"""),3.58)</f>
        <v>3.58</v>
      </c>
    </row>
    <row r="2300">
      <c r="A2300">
        <f>IFERROR(__xludf.DUMMYFUNCTION("""COMPUTED_VALUE"""),787505.0)</f>
        <v>787505</v>
      </c>
      <c r="B2300" t="str">
        <f>IFERROR(__xludf.DUMMYFUNCTION("""COMPUTED_VALUE"""),"Broccoli Chinese Cooked Ns As To Form Made With Butter")</f>
        <v>Broccoli Chinese Cooked Ns As To Form Made With Butter</v>
      </c>
      <c r="C2300" t="str">
        <f>IFERROR(__xludf.DUMMYFUNCTION("""COMPUTED_VALUE"""),"Vegetables")</f>
        <v>Vegetables</v>
      </c>
      <c r="D2300">
        <f>IFERROR(__xludf.DUMMYFUNCTION("""COMPUTED_VALUE"""),57.0)</f>
        <v>57</v>
      </c>
      <c r="E2300">
        <f>IFERROR(__xludf.DUMMYFUNCTION("""COMPUTED_VALUE"""),4.77)</f>
        <v>4.77</v>
      </c>
      <c r="F2300">
        <f>IFERROR(__xludf.DUMMYFUNCTION("""COMPUTED_VALUE"""),1.11)</f>
        <v>1.11</v>
      </c>
      <c r="G2300">
        <f>IFERROR(__xludf.DUMMYFUNCTION("""COMPUTED_VALUE"""),3.58)</f>
        <v>3.58</v>
      </c>
    </row>
    <row r="2301">
      <c r="A2301">
        <f>IFERROR(__xludf.DUMMYFUNCTION("""COMPUTED_VALUE"""),787506.0)</f>
        <v>787506</v>
      </c>
      <c r="B2301" t="str">
        <f>IFERROR(__xludf.DUMMYFUNCTION("""COMPUTED_VALUE"""),"Broccoli Chinese Cooked Ns As To Form Made With Margarine")</f>
        <v>Broccoli Chinese Cooked Ns As To Form Made With Margarine</v>
      </c>
      <c r="C2301" t="str">
        <f>IFERROR(__xludf.DUMMYFUNCTION("""COMPUTED_VALUE"""),"Vegetables")</f>
        <v>Vegetables</v>
      </c>
      <c r="D2301">
        <f>IFERROR(__xludf.DUMMYFUNCTION("""COMPUTED_VALUE"""),48.0)</f>
        <v>48</v>
      </c>
      <c r="E2301">
        <f>IFERROR(__xludf.DUMMYFUNCTION("""COMPUTED_VALUE"""),3.72)</f>
        <v>3.72</v>
      </c>
      <c r="F2301">
        <f>IFERROR(__xludf.DUMMYFUNCTION("""COMPUTED_VALUE"""),1.08)</f>
        <v>1.08</v>
      </c>
      <c r="G2301">
        <f>IFERROR(__xludf.DUMMYFUNCTION("""COMPUTED_VALUE"""),3.62)</f>
        <v>3.62</v>
      </c>
    </row>
    <row r="2302">
      <c r="A2302">
        <f>IFERROR(__xludf.DUMMYFUNCTION("""COMPUTED_VALUE"""),787507.0)</f>
        <v>787507</v>
      </c>
      <c r="B2302" t="str">
        <f>IFERROR(__xludf.DUMMYFUNCTION("""COMPUTED_VALUE"""),"Broccoli Chinese Cooked From Fresh Fat Added In Cooking Ns As To Type Of Fat")</f>
        <v>Broccoli Chinese Cooked From Fresh Fat Added In Cooking Ns As To Type Of Fat</v>
      </c>
      <c r="C2302" t="str">
        <f>IFERROR(__xludf.DUMMYFUNCTION("""COMPUTED_VALUE"""),"Vegetables")</f>
        <v>Vegetables</v>
      </c>
      <c r="D2302">
        <f>IFERROR(__xludf.DUMMYFUNCTION("""COMPUTED_VALUE"""),53.0)</f>
        <v>53</v>
      </c>
      <c r="E2302">
        <f>IFERROR(__xludf.DUMMYFUNCTION("""COMPUTED_VALUE"""),4.34)</f>
        <v>4.34</v>
      </c>
      <c r="F2302">
        <f>IFERROR(__xludf.DUMMYFUNCTION("""COMPUTED_VALUE"""),1.1)</f>
        <v>1.1</v>
      </c>
      <c r="G2302">
        <f>IFERROR(__xludf.DUMMYFUNCTION("""COMPUTED_VALUE"""),3.6)</f>
        <v>3.6</v>
      </c>
    </row>
    <row r="2303">
      <c r="A2303">
        <f>IFERROR(__xludf.DUMMYFUNCTION("""COMPUTED_VALUE"""),787508.0)</f>
        <v>787508</v>
      </c>
      <c r="B2303" t="str">
        <f>IFERROR(__xludf.DUMMYFUNCTION("""COMPUTED_VALUE"""),"Broccoli Chinese Cooked From Fresh Made With Oil")</f>
        <v>Broccoli Chinese Cooked From Fresh Made With Oil</v>
      </c>
      <c r="C2303" t="str">
        <f>IFERROR(__xludf.DUMMYFUNCTION("""COMPUTED_VALUE"""),"Vegetables")</f>
        <v>Vegetables</v>
      </c>
      <c r="D2303">
        <f>IFERROR(__xludf.DUMMYFUNCTION("""COMPUTED_VALUE"""),64.0)</f>
        <v>64</v>
      </c>
      <c r="E2303">
        <f>IFERROR(__xludf.DUMMYFUNCTION("""COMPUTED_VALUE"""),5.53)</f>
        <v>5.53</v>
      </c>
      <c r="F2303">
        <f>IFERROR(__xludf.DUMMYFUNCTION("""COMPUTED_VALUE"""),1.07)</f>
        <v>1.07</v>
      </c>
      <c r="G2303">
        <f>IFERROR(__xludf.DUMMYFUNCTION("""COMPUTED_VALUE"""),3.58)</f>
        <v>3.58</v>
      </c>
    </row>
    <row r="2304">
      <c r="A2304">
        <f>IFERROR(__xludf.DUMMYFUNCTION("""COMPUTED_VALUE"""),787509.0)</f>
        <v>787509</v>
      </c>
      <c r="B2304" t="str">
        <f>IFERROR(__xludf.DUMMYFUNCTION("""COMPUTED_VALUE"""),"Broccoli Chinese Cooked From Fresh Made With Butter")</f>
        <v>Broccoli Chinese Cooked From Fresh Made With Butter</v>
      </c>
      <c r="C2304" t="str">
        <f>IFERROR(__xludf.DUMMYFUNCTION("""COMPUTED_VALUE"""),"Vegetables")</f>
        <v>Vegetables</v>
      </c>
      <c r="D2304">
        <f>IFERROR(__xludf.DUMMYFUNCTION("""COMPUTED_VALUE"""),57.0)</f>
        <v>57</v>
      </c>
      <c r="E2304">
        <f>IFERROR(__xludf.DUMMYFUNCTION("""COMPUTED_VALUE"""),4.77)</f>
        <v>4.77</v>
      </c>
      <c r="F2304">
        <f>IFERROR(__xludf.DUMMYFUNCTION("""COMPUTED_VALUE"""),1.11)</f>
        <v>1.11</v>
      </c>
      <c r="G2304">
        <f>IFERROR(__xludf.DUMMYFUNCTION("""COMPUTED_VALUE"""),3.58)</f>
        <v>3.58</v>
      </c>
    </row>
    <row r="2305">
      <c r="A2305">
        <f>IFERROR(__xludf.DUMMYFUNCTION("""COMPUTED_VALUE"""),787510.0)</f>
        <v>787510</v>
      </c>
      <c r="B2305" t="str">
        <f>IFERROR(__xludf.DUMMYFUNCTION("""COMPUTED_VALUE"""),"Broccoli Chinese Cooked From Fresh Made With Margarine")</f>
        <v>Broccoli Chinese Cooked From Fresh Made With Margarine</v>
      </c>
      <c r="C2305" t="str">
        <f>IFERROR(__xludf.DUMMYFUNCTION("""COMPUTED_VALUE"""),"Vegetables")</f>
        <v>Vegetables</v>
      </c>
      <c r="D2305">
        <f>IFERROR(__xludf.DUMMYFUNCTION("""COMPUTED_VALUE"""),48.0)</f>
        <v>48</v>
      </c>
      <c r="E2305">
        <f>IFERROR(__xludf.DUMMYFUNCTION("""COMPUTED_VALUE"""),3.72)</f>
        <v>3.72</v>
      </c>
      <c r="F2305">
        <f>IFERROR(__xludf.DUMMYFUNCTION("""COMPUTED_VALUE"""),1.08)</f>
        <v>1.08</v>
      </c>
      <c r="G2305">
        <f>IFERROR(__xludf.DUMMYFUNCTION("""COMPUTED_VALUE"""),3.62)</f>
        <v>3.62</v>
      </c>
    </row>
    <row r="2306">
      <c r="A2306">
        <f>IFERROR(__xludf.DUMMYFUNCTION("""COMPUTED_VALUE"""),787511.0)</f>
        <v>787511</v>
      </c>
      <c r="B2306" t="str">
        <f>IFERROR(__xludf.DUMMYFUNCTION("""COMPUTED_VALUE"""),"Broccoli Chinese Cooked From Frozen Fat Added In Cooking Ns As To Type Of Fat")</f>
        <v>Broccoli Chinese Cooked From Frozen Fat Added In Cooking Ns As To Type Of Fat</v>
      </c>
      <c r="C2306" t="str">
        <f>IFERROR(__xludf.DUMMYFUNCTION("""COMPUTED_VALUE"""),"Vegetables")</f>
        <v>Vegetables</v>
      </c>
      <c r="D2306">
        <f>IFERROR(__xludf.DUMMYFUNCTION("""COMPUTED_VALUE"""),53.0)</f>
        <v>53</v>
      </c>
      <c r="E2306">
        <f>IFERROR(__xludf.DUMMYFUNCTION("""COMPUTED_VALUE"""),4.34)</f>
        <v>4.34</v>
      </c>
      <c r="F2306">
        <f>IFERROR(__xludf.DUMMYFUNCTION("""COMPUTED_VALUE"""),1.1)</f>
        <v>1.1</v>
      </c>
      <c r="G2306">
        <f>IFERROR(__xludf.DUMMYFUNCTION("""COMPUTED_VALUE"""),3.6)</f>
        <v>3.6</v>
      </c>
    </row>
    <row r="2307">
      <c r="A2307">
        <f>IFERROR(__xludf.DUMMYFUNCTION("""COMPUTED_VALUE"""),787512.0)</f>
        <v>787512</v>
      </c>
      <c r="B2307" t="str">
        <f>IFERROR(__xludf.DUMMYFUNCTION("""COMPUTED_VALUE"""),"Broccoli Chinese Cooked From Frozen Made With Oil")</f>
        <v>Broccoli Chinese Cooked From Frozen Made With Oil</v>
      </c>
      <c r="C2307" t="str">
        <f>IFERROR(__xludf.DUMMYFUNCTION("""COMPUTED_VALUE"""),"Vegetables")</f>
        <v>Vegetables</v>
      </c>
      <c r="D2307">
        <f>IFERROR(__xludf.DUMMYFUNCTION("""COMPUTED_VALUE"""),64.0)</f>
        <v>64</v>
      </c>
      <c r="E2307">
        <f>IFERROR(__xludf.DUMMYFUNCTION("""COMPUTED_VALUE"""),5.53)</f>
        <v>5.53</v>
      </c>
      <c r="F2307">
        <f>IFERROR(__xludf.DUMMYFUNCTION("""COMPUTED_VALUE"""),1.07)</f>
        <v>1.07</v>
      </c>
      <c r="G2307">
        <f>IFERROR(__xludf.DUMMYFUNCTION("""COMPUTED_VALUE"""),3.58)</f>
        <v>3.58</v>
      </c>
    </row>
    <row r="2308">
      <c r="A2308">
        <f>IFERROR(__xludf.DUMMYFUNCTION("""COMPUTED_VALUE"""),787513.0)</f>
        <v>787513</v>
      </c>
      <c r="B2308" t="str">
        <f>IFERROR(__xludf.DUMMYFUNCTION("""COMPUTED_VALUE"""),"Broccoli Chinese Cooked From Frozen Made With Butter")</f>
        <v>Broccoli Chinese Cooked From Frozen Made With Butter</v>
      </c>
      <c r="C2308" t="str">
        <f>IFERROR(__xludf.DUMMYFUNCTION("""COMPUTED_VALUE"""),"Vegetables")</f>
        <v>Vegetables</v>
      </c>
      <c r="D2308">
        <f>IFERROR(__xludf.DUMMYFUNCTION("""COMPUTED_VALUE"""),57.0)</f>
        <v>57</v>
      </c>
      <c r="E2308">
        <f>IFERROR(__xludf.DUMMYFUNCTION("""COMPUTED_VALUE"""),4.77)</f>
        <v>4.77</v>
      </c>
      <c r="F2308">
        <f>IFERROR(__xludf.DUMMYFUNCTION("""COMPUTED_VALUE"""),1.11)</f>
        <v>1.11</v>
      </c>
      <c r="G2308">
        <f>IFERROR(__xludf.DUMMYFUNCTION("""COMPUTED_VALUE"""),3.58)</f>
        <v>3.58</v>
      </c>
    </row>
    <row r="2309">
      <c r="A2309">
        <f>IFERROR(__xludf.DUMMYFUNCTION("""COMPUTED_VALUE"""),787514.0)</f>
        <v>787514</v>
      </c>
      <c r="B2309" t="str">
        <f>IFERROR(__xludf.DUMMYFUNCTION("""COMPUTED_VALUE"""),"Broccoli Chinese Cooked From Frozen Made With Margarine")</f>
        <v>Broccoli Chinese Cooked From Frozen Made With Margarine</v>
      </c>
      <c r="C2309" t="str">
        <f>IFERROR(__xludf.DUMMYFUNCTION("""COMPUTED_VALUE"""),"Vegetables")</f>
        <v>Vegetables</v>
      </c>
      <c r="D2309">
        <f>IFERROR(__xludf.DUMMYFUNCTION("""COMPUTED_VALUE"""),48.0)</f>
        <v>48</v>
      </c>
      <c r="E2309">
        <f>IFERROR(__xludf.DUMMYFUNCTION("""COMPUTED_VALUE"""),3.72)</f>
        <v>3.72</v>
      </c>
      <c r="F2309">
        <f>IFERROR(__xludf.DUMMYFUNCTION("""COMPUTED_VALUE"""),1.08)</f>
        <v>1.08</v>
      </c>
      <c r="G2309">
        <f>IFERROR(__xludf.DUMMYFUNCTION("""COMPUTED_VALUE"""),3.62)</f>
        <v>3.62</v>
      </c>
    </row>
    <row r="2310">
      <c r="A2310">
        <f>IFERROR(__xludf.DUMMYFUNCTION("""COMPUTED_VALUE"""),787523.0)</f>
        <v>787523</v>
      </c>
      <c r="B2310" t="str">
        <f>IFERROR(__xludf.DUMMYFUNCTION("""COMPUTED_VALUE"""),"Carrots Raw Salad")</f>
        <v>Carrots Raw Salad</v>
      </c>
      <c r="C2310" t="str">
        <f>IFERROR(__xludf.DUMMYFUNCTION("""COMPUTED_VALUE"""),"Vegetables")</f>
        <v>Vegetables</v>
      </c>
      <c r="D2310">
        <f>IFERROR(__xludf.DUMMYFUNCTION("""COMPUTED_VALUE"""),208.0)</f>
        <v>208</v>
      </c>
      <c r="E2310">
        <f>IFERROR(__xludf.DUMMYFUNCTION("""COMPUTED_VALUE"""),15.7)</f>
        <v>15.7</v>
      </c>
      <c r="F2310">
        <f>IFERROR(__xludf.DUMMYFUNCTION("""COMPUTED_VALUE"""),1.22)</f>
        <v>1.22</v>
      </c>
      <c r="G2310">
        <f>IFERROR(__xludf.DUMMYFUNCTION("""COMPUTED_VALUE"""),17.17)</f>
        <v>17.17</v>
      </c>
    </row>
    <row r="2311">
      <c r="A2311">
        <f>IFERROR(__xludf.DUMMYFUNCTION("""COMPUTED_VALUE"""),787524.0)</f>
        <v>787524</v>
      </c>
      <c r="B2311" t="str">
        <f>IFERROR(__xludf.DUMMYFUNCTION("""COMPUTED_VALUE"""),"Carrots Raw Salad With Apples")</f>
        <v>Carrots Raw Salad With Apples</v>
      </c>
      <c r="C2311" t="str">
        <f>IFERROR(__xludf.DUMMYFUNCTION("""COMPUTED_VALUE"""),"Vegetables")</f>
        <v>Vegetables</v>
      </c>
      <c r="D2311">
        <f>IFERROR(__xludf.DUMMYFUNCTION("""COMPUTED_VALUE"""),176.0)</f>
        <v>176</v>
      </c>
      <c r="E2311">
        <f>IFERROR(__xludf.DUMMYFUNCTION("""COMPUTED_VALUE"""),15.95)</f>
        <v>15.95</v>
      </c>
      <c r="F2311">
        <f>IFERROR(__xludf.DUMMYFUNCTION("""COMPUTED_VALUE"""),0.84)</f>
        <v>0.84</v>
      </c>
      <c r="G2311">
        <f>IFERROR(__xludf.DUMMYFUNCTION("""COMPUTED_VALUE"""),8.16)</f>
        <v>8.16</v>
      </c>
    </row>
    <row r="2312">
      <c r="A2312">
        <f>IFERROR(__xludf.DUMMYFUNCTION("""COMPUTED_VALUE"""),787525.0)</f>
        <v>787525</v>
      </c>
      <c r="B2312" t="str">
        <f>IFERROR(__xludf.DUMMYFUNCTION("""COMPUTED_VALUE"""),"Carrots Cooked Ns As To Form Ns As To Fat Added In Cooking")</f>
        <v>Carrots Cooked Ns As To Form Ns As To Fat Added In Cooking</v>
      </c>
      <c r="C2312" t="str">
        <f>IFERROR(__xludf.DUMMYFUNCTION("""COMPUTED_VALUE"""),"Vegetables")</f>
        <v>Vegetables</v>
      </c>
      <c r="D2312">
        <f>IFERROR(__xludf.DUMMYFUNCTION("""COMPUTED_VALUE"""),56.0)</f>
        <v>56</v>
      </c>
      <c r="E2312">
        <f>IFERROR(__xludf.DUMMYFUNCTION("""COMPUTED_VALUE"""),2.92)</f>
        <v>2.92</v>
      </c>
      <c r="F2312">
        <f>IFERROR(__xludf.DUMMYFUNCTION("""COMPUTED_VALUE"""),0.58)</f>
        <v>0.58</v>
      </c>
      <c r="G2312">
        <f>IFERROR(__xludf.DUMMYFUNCTION("""COMPUTED_VALUE"""),7.45)</f>
        <v>7.45</v>
      </c>
    </row>
    <row r="2313">
      <c r="A2313">
        <f>IFERROR(__xludf.DUMMYFUNCTION("""COMPUTED_VALUE"""),787526.0)</f>
        <v>787526</v>
      </c>
      <c r="B2313" t="str">
        <f>IFERROR(__xludf.DUMMYFUNCTION("""COMPUTED_VALUE"""),"Carrots Cooked From Fresh Ns As To Fat Added In Cooking")</f>
        <v>Carrots Cooked From Fresh Ns As To Fat Added In Cooking</v>
      </c>
      <c r="C2313" t="str">
        <f>IFERROR(__xludf.DUMMYFUNCTION("""COMPUTED_VALUE"""),"Vegetables")</f>
        <v>Vegetables</v>
      </c>
      <c r="D2313">
        <f>IFERROR(__xludf.DUMMYFUNCTION("""COMPUTED_VALUE"""),53.0)</f>
        <v>53</v>
      </c>
      <c r="E2313">
        <f>IFERROR(__xludf.DUMMYFUNCTION("""COMPUTED_VALUE"""),2.31)</f>
        <v>2.31</v>
      </c>
      <c r="F2313">
        <f>IFERROR(__xludf.DUMMYFUNCTION("""COMPUTED_VALUE"""),0.75)</f>
        <v>0.75</v>
      </c>
      <c r="G2313">
        <f>IFERROR(__xludf.DUMMYFUNCTION("""COMPUTED_VALUE"""),7.94)</f>
        <v>7.94</v>
      </c>
    </row>
    <row r="2314">
      <c r="A2314">
        <f>IFERROR(__xludf.DUMMYFUNCTION("""COMPUTED_VALUE"""),787527.0)</f>
        <v>787527</v>
      </c>
      <c r="B2314" t="str">
        <f>IFERROR(__xludf.DUMMYFUNCTION("""COMPUTED_VALUE"""),"Carrots Cooked From Frozen Ns As To Fat Added In Cooking")</f>
        <v>Carrots Cooked From Frozen Ns As To Fat Added In Cooking</v>
      </c>
      <c r="C2314" t="str">
        <f>IFERROR(__xludf.DUMMYFUNCTION("""COMPUTED_VALUE"""),"Vegetables")</f>
        <v>Vegetables</v>
      </c>
      <c r="D2314">
        <f>IFERROR(__xludf.DUMMYFUNCTION("""COMPUTED_VALUE"""),56.0)</f>
        <v>56</v>
      </c>
      <c r="E2314">
        <f>IFERROR(__xludf.DUMMYFUNCTION("""COMPUTED_VALUE"""),2.92)</f>
        <v>2.92</v>
      </c>
      <c r="F2314">
        <f>IFERROR(__xludf.DUMMYFUNCTION("""COMPUTED_VALUE"""),0.58)</f>
        <v>0.58</v>
      </c>
      <c r="G2314">
        <f>IFERROR(__xludf.DUMMYFUNCTION("""COMPUTED_VALUE"""),7.45)</f>
        <v>7.45</v>
      </c>
    </row>
    <row r="2315">
      <c r="A2315">
        <f>IFERROR(__xludf.DUMMYFUNCTION("""COMPUTED_VALUE"""),787528.0)</f>
        <v>787528</v>
      </c>
      <c r="B2315" t="str">
        <f>IFERROR(__xludf.DUMMYFUNCTION("""COMPUTED_VALUE"""),"Carrots Cooked From Canned Ns As To Fat Added In Cooking")</f>
        <v>Carrots Cooked From Canned Ns As To Fat Added In Cooking</v>
      </c>
      <c r="C2315" t="str">
        <f>IFERROR(__xludf.DUMMYFUNCTION("""COMPUTED_VALUE"""),"Vegetables")</f>
        <v>Vegetables</v>
      </c>
      <c r="D2315">
        <f>IFERROR(__xludf.DUMMYFUNCTION("""COMPUTED_VALUE"""),44.0)</f>
        <v>44</v>
      </c>
      <c r="E2315">
        <f>IFERROR(__xludf.DUMMYFUNCTION("""COMPUTED_VALUE"""),2.46)</f>
        <v>2.46</v>
      </c>
      <c r="F2315">
        <f>IFERROR(__xludf.DUMMYFUNCTION("""COMPUTED_VALUE"""),0.64)</f>
        <v>0.64</v>
      </c>
      <c r="G2315">
        <f>IFERROR(__xludf.DUMMYFUNCTION("""COMPUTED_VALUE"""),5.36)</f>
        <v>5.36</v>
      </c>
    </row>
    <row r="2316">
      <c r="A2316">
        <f>IFERROR(__xludf.DUMMYFUNCTION("""COMPUTED_VALUE"""),787529.0)</f>
        <v>787529</v>
      </c>
      <c r="B2316" t="str">
        <f>IFERROR(__xludf.DUMMYFUNCTION("""COMPUTED_VALUE"""),"Carrots Cooked Ns As To Form Fat Not Added In Cooking")</f>
        <v>Carrots Cooked Ns As To Form Fat Not Added In Cooking</v>
      </c>
      <c r="C2316" t="str">
        <f>IFERROR(__xludf.DUMMYFUNCTION("""COMPUTED_VALUE"""),"Vegetables")</f>
        <v>Vegetables</v>
      </c>
      <c r="D2316">
        <f>IFERROR(__xludf.DUMMYFUNCTION("""COMPUTED_VALUE"""),37.0)</f>
        <v>37</v>
      </c>
      <c r="E2316">
        <f>IFERROR(__xludf.DUMMYFUNCTION("""COMPUTED_VALUE"""),0.68)</f>
        <v>0.68</v>
      </c>
      <c r="F2316">
        <f>IFERROR(__xludf.DUMMYFUNCTION("""COMPUTED_VALUE"""),0.58)</f>
        <v>0.58</v>
      </c>
      <c r="G2316">
        <f>IFERROR(__xludf.DUMMYFUNCTION("""COMPUTED_VALUE"""),7.68)</f>
        <v>7.68</v>
      </c>
    </row>
    <row r="2317">
      <c r="A2317">
        <f>IFERROR(__xludf.DUMMYFUNCTION("""COMPUTED_VALUE"""),787530.0)</f>
        <v>787530</v>
      </c>
      <c r="B2317" t="str">
        <f>IFERROR(__xludf.DUMMYFUNCTION("""COMPUTED_VALUE"""),"Carrots Cooked From Fresh Fat Not Added In Cooking")</f>
        <v>Carrots Cooked From Fresh Fat Not Added In Cooking</v>
      </c>
      <c r="C2317" t="str">
        <f>IFERROR(__xludf.DUMMYFUNCTION("""COMPUTED_VALUE"""),"Vegetables")</f>
        <v>Vegetables</v>
      </c>
      <c r="D2317">
        <f>IFERROR(__xludf.DUMMYFUNCTION("""COMPUTED_VALUE"""),35.0)</f>
        <v>35</v>
      </c>
      <c r="E2317">
        <f>IFERROR(__xludf.DUMMYFUNCTION("""COMPUTED_VALUE"""),0.18)</f>
        <v>0.18</v>
      </c>
      <c r="F2317">
        <f>IFERROR(__xludf.DUMMYFUNCTION("""COMPUTED_VALUE"""),0.76)</f>
        <v>0.76</v>
      </c>
      <c r="G2317">
        <f>IFERROR(__xludf.DUMMYFUNCTION("""COMPUTED_VALUE"""),8.17)</f>
        <v>8.17</v>
      </c>
    </row>
    <row r="2318">
      <c r="A2318">
        <f>IFERROR(__xludf.DUMMYFUNCTION("""COMPUTED_VALUE"""),787531.0)</f>
        <v>787531</v>
      </c>
      <c r="B2318" t="str">
        <f>IFERROR(__xludf.DUMMYFUNCTION("""COMPUTED_VALUE"""),"Carrots Cooked From Frozen Fat Not Added In Cooking")</f>
        <v>Carrots Cooked From Frozen Fat Not Added In Cooking</v>
      </c>
      <c r="C2318" t="str">
        <f>IFERROR(__xludf.DUMMYFUNCTION("""COMPUTED_VALUE"""),"Vegetables")</f>
        <v>Vegetables</v>
      </c>
      <c r="D2318">
        <f>IFERROR(__xludf.DUMMYFUNCTION("""COMPUTED_VALUE"""),37.0)</f>
        <v>37</v>
      </c>
      <c r="E2318">
        <f>IFERROR(__xludf.DUMMYFUNCTION("""COMPUTED_VALUE"""),0.68)</f>
        <v>0.68</v>
      </c>
      <c r="F2318">
        <f>IFERROR(__xludf.DUMMYFUNCTION("""COMPUTED_VALUE"""),0.58)</f>
        <v>0.58</v>
      </c>
      <c r="G2318">
        <f>IFERROR(__xludf.DUMMYFUNCTION("""COMPUTED_VALUE"""),7.68)</f>
        <v>7.68</v>
      </c>
    </row>
    <row r="2319">
      <c r="A2319">
        <f>IFERROR(__xludf.DUMMYFUNCTION("""COMPUTED_VALUE"""),787532.0)</f>
        <v>787532</v>
      </c>
      <c r="B2319" t="str">
        <f>IFERROR(__xludf.DUMMYFUNCTION("""COMPUTED_VALUE"""),"Carrots Cooked From Canned Fat Not Added In Cooking")</f>
        <v>Carrots Cooked From Canned Fat Not Added In Cooking</v>
      </c>
      <c r="C2319" t="str">
        <f>IFERROR(__xludf.DUMMYFUNCTION("""COMPUTED_VALUE"""),"Vegetables")</f>
        <v>Vegetables</v>
      </c>
      <c r="D2319">
        <f>IFERROR(__xludf.DUMMYFUNCTION("""COMPUTED_VALUE"""),25.0)</f>
        <v>25</v>
      </c>
      <c r="E2319">
        <f>IFERROR(__xludf.DUMMYFUNCTION("""COMPUTED_VALUE"""),0.19)</f>
        <v>0.19</v>
      </c>
      <c r="F2319">
        <f>IFERROR(__xludf.DUMMYFUNCTION("""COMPUTED_VALUE"""),0.64)</f>
        <v>0.64</v>
      </c>
      <c r="G2319">
        <f>IFERROR(__xludf.DUMMYFUNCTION("""COMPUTED_VALUE"""),5.52)</f>
        <v>5.52</v>
      </c>
    </row>
    <row r="2320">
      <c r="A2320">
        <f>IFERROR(__xludf.DUMMYFUNCTION("""COMPUTED_VALUE"""),787533.0)</f>
        <v>787533</v>
      </c>
      <c r="B2320" t="str">
        <f>IFERROR(__xludf.DUMMYFUNCTION("""COMPUTED_VALUE"""),"Carrots Cooked Ns As To Form Made With Oil")</f>
        <v>Carrots Cooked Ns As To Form Made With Oil</v>
      </c>
      <c r="C2320" t="str">
        <f>IFERROR(__xludf.DUMMYFUNCTION("""COMPUTED_VALUE"""),"Vegetables")</f>
        <v>Vegetables</v>
      </c>
      <c r="D2320">
        <f>IFERROR(__xludf.DUMMYFUNCTION("""COMPUTED_VALUE"""),62.0)</f>
        <v>62</v>
      </c>
      <c r="E2320">
        <f>IFERROR(__xludf.DUMMYFUNCTION("""COMPUTED_VALUE"""),3.65)</f>
        <v>3.65</v>
      </c>
      <c r="F2320">
        <f>IFERROR(__xludf.DUMMYFUNCTION("""COMPUTED_VALUE"""),0.56)</f>
        <v>0.56</v>
      </c>
      <c r="G2320">
        <f>IFERROR(__xludf.DUMMYFUNCTION("""COMPUTED_VALUE"""),7.45)</f>
        <v>7.45</v>
      </c>
    </row>
    <row r="2321">
      <c r="A2321">
        <f>IFERROR(__xludf.DUMMYFUNCTION("""COMPUTED_VALUE"""),787534.0)</f>
        <v>787534</v>
      </c>
      <c r="B2321" t="str">
        <f>IFERROR(__xludf.DUMMYFUNCTION("""COMPUTED_VALUE"""),"Carrots Cooked Ns As To Form Made With Butter")</f>
        <v>Carrots Cooked Ns As To Form Made With Butter</v>
      </c>
      <c r="C2321" t="str">
        <f>IFERROR(__xludf.DUMMYFUNCTION("""COMPUTED_VALUE"""),"Vegetables")</f>
        <v>Vegetables</v>
      </c>
      <c r="D2321">
        <f>IFERROR(__xludf.DUMMYFUNCTION("""COMPUTED_VALUE"""),58.0)</f>
        <v>58</v>
      </c>
      <c r="E2321">
        <f>IFERROR(__xludf.DUMMYFUNCTION("""COMPUTED_VALUE"""),3.18)</f>
        <v>3.18</v>
      </c>
      <c r="F2321">
        <f>IFERROR(__xludf.DUMMYFUNCTION("""COMPUTED_VALUE"""),0.58)</f>
        <v>0.58</v>
      </c>
      <c r="G2321">
        <f>IFERROR(__xludf.DUMMYFUNCTION("""COMPUTED_VALUE"""),7.44)</f>
        <v>7.44</v>
      </c>
    </row>
    <row r="2322">
      <c r="A2322">
        <f>IFERROR(__xludf.DUMMYFUNCTION("""COMPUTED_VALUE"""),787535.0)</f>
        <v>787535</v>
      </c>
      <c r="B2322" t="str">
        <f>IFERROR(__xludf.DUMMYFUNCTION("""COMPUTED_VALUE"""),"Carrots Cooked Ns As To Form Made With Margarine")</f>
        <v>Carrots Cooked Ns As To Form Made With Margarine</v>
      </c>
      <c r="C2322" t="str">
        <f>IFERROR(__xludf.DUMMYFUNCTION("""COMPUTED_VALUE"""),"Vegetables")</f>
        <v>Vegetables</v>
      </c>
      <c r="D2322">
        <f>IFERROR(__xludf.DUMMYFUNCTION("""COMPUTED_VALUE"""),52.0)</f>
        <v>52</v>
      </c>
      <c r="E2322">
        <f>IFERROR(__xludf.DUMMYFUNCTION("""COMPUTED_VALUE"""),2.53)</f>
        <v>2.53</v>
      </c>
      <c r="F2322">
        <f>IFERROR(__xludf.DUMMYFUNCTION("""COMPUTED_VALUE"""),0.56)</f>
        <v>0.56</v>
      </c>
      <c r="G2322">
        <f>IFERROR(__xludf.DUMMYFUNCTION("""COMPUTED_VALUE"""),7.46)</f>
        <v>7.46</v>
      </c>
    </row>
    <row r="2323">
      <c r="A2323">
        <f>IFERROR(__xludf.DUMMYFUNCTION("""COMPUTED_VALUE"""),787536.0)</f>
        <v>787536</v>
      </c>
      <c r="B2323" t="str">
        <f>IFERROR(__xludf.DUMMYFUNCTION("""COMPUTED_VALUE"""),"Carrots Cooked From Fresh Made With Oil")</f>
        <v>Carrots Cooked From Fresh Made With Oil</v>
      </c>
      <c r="C2323" t="str">
        <f>IFERROR(__xludf.DUMMYFUNCTION("""COMPUTED_VALUE"""),"Vegetables")</f>
        <v>Vegetables</v>
      </c>
      <c r="D2323">
        <f>IFERROR(__xludf.DUMMYFUNCTION("""COMPUTED_VALUE"""),59.0)</f>
        <v>59</v>
      </c>
      <c r="E2323">
        <f>IFERROR(__xludf.DUMMYFUNCTION("""COMPUTED_VALUE"""),3.0)</f>
        <v>3</v>
      </c>
      <c r="F2323">
        <f>IFERROR(__xludf.DUMMYFUNCTION("""COMPUTED_VALUE"""),0.73)</f>
        <v>0.73</v>
      </c>
      <c r="G2323">
        <f>IFERROR(__xludf.DUMMYFUNCTION("""COMPUTED_VALUE"""),7.94)</f>
        <v>7.94</v>
      </c>
    </row>
    <row r="2324">
      <c r="A2324">
        <f>IFERROR(__xludf.DUMMYFUNCTION("""COMPUTED_VALUE"""),787537.0)</f>
        <v>787537</v>
      </c>
      <c r="B2324" t="str">
        <f>IFERROR(__xludf.DUMMYFUNCTION("""COMPUTED_VALUE"""),"Carrots Cooked From Fresh Made With Butter")</f>
        <v>Carrots Cooked From Fresh Made With Butter</v>
      </c>
      <c r="C2324" t="str">
        <f>IFERROR(__xludf.DUMMYFUNCTION("""COMPUTED_VALUE"""),"Vegetables")</f>
        <v>Vegetables</v>
      </c>
      <c r="D2324">
        <f>IFERROR(__xludf.DUMMYFUNCTION("""COMPUTED_VALUE"""),55.0)</f>
        <v>55</v>
      </c>
      <c r="E2324">
        <f>IFERROR(__xludf.DUMMYFUNCTION("""COMPUTED_VALUE"""),2.56)</f>
        <v>2.56</v>
      </c>
      <c r="F2324">
        <f>IFERROR(__xludf.DUMMYFUNCTION("""COMPUTED_VALUE"""),0.76)</f>
        <v>0.76</v>
      </c>
      <c r="G2324">
        <f>IFERROR(__xludf.DUMMYFUNCTION("""COMPUTED_VALUE"""),7.93)</f>
        <v>7.93</v>
      </c>
    </row>
    <row r="2325">
      <c r="A2325">
        <f>IFERROR(__xludf.DUMMYFUNCTION("""COMPUTED_VALUE"""),787538.0)</f>
        <v>787538</v>
      </c>
      <c r="B2325" t="str">
        <f>IFERROR(__xludf.DUMMYFUNCTION("""COMPUTED_VALUE"""),"Carrots Cooked From Fresh Made With Margarine")</f>
        <v>Carrots Cooked From Fresh Made With Margarine</v>
      </c>
      <c r="C2325" t="str">
        <f>IFERROR(__xludf.DUMMYFUNCTION("""COMPUTED_VALUE"""),"Vegetables")</f>
        <v>Vegetables</v>
      </c>
      <c r="D2325">
        <f>IFERROR(__xludf.DUMMYFUNCTION("""COMPUTED_VALUE"""),50.0)</f>
        <v>50</v>
      </c>
      <c r="E2325">
        <f>IFERROR(__xludf.DUMMYFUNCTION("""COMPUTED_VALUE"""),1.95)</f>
        <v>1.95</v>
      </c>
      <c r="F2325">
        <f>IFERROR(__xludf.DUMMYFUNCTION("""COMPUTED_VALUE"""),0.74)</f>
        <v>0.74</v>
      </c>
      <c r="G2325">
        <f>IFERROR(__xludf.DUMMYFUNCTION("""COMPUTED_VALUE"""),7.95)</f>
        <v>7.95</v>
      </c>
    </row>
    <row r="2326">
      <c r="A2326">
        <f>IFERROR(__xludf.DUMMYFUNCTION("""COMPUTED_VALUE"""),787539.0)</f>
        <v>787539</v>
      </c>
      <c r="B2326" t="str">
        <f>IFERROR(__xludf.DUMMYFUNCTION("""COMPUTED_VALUE"""),"Carrots Cooked Ns As To Form Fat Added In Cooking Ns As To Type Of Fat")</f>
        <v>Carrots Cooked Ns As To Form Fat Added In Cooking Ns As To Type Of Fat</v>
      </c>
      <c r="C2326" t="str">
        <f>IFERROR(__xludf.DUMMYFUNCTION("""COMPUTED_VALUE"""),"Vegetables")</f>
        <v>Vegetables</v>
      </c>
      <c r="D2326">
        <f>IFERROR(__xludf.DUMMYFUNCTION("""COMPUTED_VALUE"""),56.0)</f>
        <v>56</v>
      </c>
      <c r="E2326">
        <f>IFERROR(__xludf.DUMMYFUNCTION("""COMPUTED_VALUE"""),2.92)</f>
        <v>2.92</v>
      </c>
      <c r="F2326">
        <f>IFERROR(__xludf.DUMMYFUNCTION("""COMPUTED_VALUE"""),0.58)</f>
        <v>0.58</v>
      </c>
      <c r="G2326">
        <f>IFERROR(__xludf.DUMMYFUNCTION("""COMPUTED_VALUE"""),7.45)</f>
        <v>7.45</v>
      </c>
    </row>
    <row r="2327">
      <c r="A2327">
        <f>IFERROR(__xludf.DUMMYFUNCTION("""COMPUTED_VALUE"""),787540.0)</f>
        <v>787540</v>
      </c>
      <c r="B2327" t="str">
        <f>IFERROR(__xludf.DUMMYFUNCTION("""COMPUTED_VALUE"""),"Carrots Cooked From Fresh Fat Added In Cooking Ns As To Type Of Fat")</f>
        <v>Carrots Cooked From Fresh Fat Added In Cooking Ns As To Type Of Fat</v>
      </c>
      <c r="C2327" t="str">
        <f>IFERROR(__xludf.DUMMYFUNCTION("""COMPUTED_VALUE"""),"Vegetables")</f>
        <v>Vegetables</v>
      </c>
      <c r="D2327">
        <f>IFERROR(__xludf.DUMMYFUNCTION("""COMPUTED_VALUE"""),53.0)</f>
        <v>53</v>
      </c>
      <c r="E2327">
        <f>IFERROR(__xludf.DUMMYFUNCTION("""COMPUTED_VALUE"""),2.31)</f>
        <v>2.31</v>
      </c>
      <c r="F2327">
        <f>IFERROR(__xludf.DUMMYFUNCTION("""COMPUTED_VALUE"""),0.75)</f>
        <v>0.75</v>
      </c>
      <c r="G2327">
        <f>IFERROR(__xludf.DUMMYFUNCTION("""COMPUTED_VALUE"""),7.94)</f>
        <v>7.94</v>
      </c>
    </row>
    <row r="2328">
      <c r="A2328">
        <f>IFERROR(__xludf.DUMMYFUNCTION("""COMPUTED_VALUE"""),787541.0)</f>
        <v>787541</v>
      </c>
      <c r="B2328" t="str">
        <f>IFERROR(__xludf.DUMMYFUNCTION("""COMPUTED_VALUE"""),"Carrots Cooked From Frozen Fat Added In Cooking Ns As To Type Of Fat")</f>
        <v>Carrots Cooked From Frozen Fat Added In Cooking Ns As To Type Of Fat</v>
      </c>
      <c r="C2328" t="str">
        <f>IFERROR(__xludf.DUMMYFUNCTION("""COMPUTED_VALUE"""),"Vegetables")</f>
        <v>Vegetables</v>
      </c>
      <c r="D2328">
        <f>IFERROR(__xludf.DUMMYFUNCTION("""COMPUTED_VALUE"""),56.0)</f>
        <v>56</v>
      </c>
      <c r="E2328">
        <f>IFERROR(__xludf.DUMMYFUNCTION("""COMPUTED_VALUE"""),2.92)</f>
        <v>2.92</v>
      </c>
      <c r="F2328">
        <f>IFERROR(__xludf.DUMMYFUNCTION("""COMPUTED_VALUE"""),0.58)</f>
        <v>0.58</v>
      </c>
      <c r="G2328">
        <f>IFERROR(__xludf.DUMMYFUNCTION("""COMPUTED_VALUE"""),7.45)</f>
        <v>7.45</v>
      </c>
    </row>
    <row r="2329">
      <c r="A2329">
        <f>IFERROR(__xludf.DUMMYFUNCTION("""COMPUTED_VALUE"""),787542.0)</f>
        <v>787542</v>
      </c>
      <c r="B2329" t="str">
        <f>IFERROR(__xludf.DUMMYFUNCTION("""COMPUTED_VALUE"""),"Carrots Cooked From Canned Fat Added In Cooking Ns As To Type Of Fat")</f>
        <v>Carrots Cooked From Canned Fat Added In Cooking Ns As To Type Of Fat</v>
      </c>
      <c r="C2329" t="str">
        <f>IFERROR(__xludf.DUMMYFUNCTION("""COMPUTED_VALUE"""),"Vegetables")</f>
        <v>Vegetables</v>
      </c>
      <c r="D2329">
        <f>IFERROR(__xludf.DUMMYFUNCTION("""COMPUTED_VALUE"""),44.0)</f>
        <v>44</v>
      </c>
      <c r="E2329">
        <f>IFERROR(__xludf.DUMMYFUNCTION("""COMPUTED_VALUE"""),2.46)</f>
        <v>2.46</v>
      </c>
      <c r="F2329">
        <f>IFERROR(__xludf.DUMMYFUNCTION("""COMPUTED_VALUE"""),0.64)</f>
        <v>0.64</v>
      </c>
      <c r="G2329">
        <f>IFERROR(__xludf.DUMMYFUNCTION("""COMPUTED_VALUE"""),5.36)</f>
        <v>5.36</v>
      </c>
    </row>
    <row r="2330">
      <c r="A2330">
        <f>IFERROR(__xludf.DUMMYFUNCTION("""COMPUTED_VALUE"""),787543.0)</f>
        <v>787543</v>
      </c>
      <c r="B2330" t="str">
        <f>IFERROR(__xludf.DUMMYFUNCTION("""COMPUTED_VALUE"""),"Carrots Cooked From Frozen Made With Oil")</f>
        <v>Carrots Cooked From Frozen Made With Oil</v>
      </c>
      <c r="C2330" t="str">
        <f>IFERROR(__xludf.DUMMYFUNCTION("""COMPUTED_VALUE"""),"Vegetables")</f>
        <v>Vegetables</v>
      </c>
      <c r="D2330">
        <f>IFERROR(__xludf.DUMMYFUNCTION("""COMPUTED_VALUE"""),62.0)</f>
        <v>62</v>
      </c>
      <c r="E2330">
        <f>IFERROR(__xludf.DUMMYFUNCTION("""COMPUTED_VALUE"""),3.65)</f>
        <v>3.65</v>
      </c>
      <c r="F2330">
        <f>IFERROR(__xludf.DUMMYFUNCTION("""COMPUTED_VALUE"""),0.56)</f>
        <v>0.56</v>
      </c>
      <c r="G2330">
        <f>IFERROR(__xludf.DUMMYFUNCTION("""COMPUTED_VALUE"""),7.45)</f>
        <v>7.45</v>
      </c>
    </row>
    <row r="2331">
      <c r="A2331">
        <f>IFERROR(__xludf.DUMMYFUNCTION("""COMPUTED_VALUE"""),787544.0)</f>
        <v>787544</v>
      </c>
      <c r="B2331" t="str">
        <f>IFERROR(__xludf.DUMMYFUNCTION("""COMPUTED_VALUE"""),"Carrots Cooked From Frozen Made With Butter")</f>
        <v>Carrots Cooked From Frozen Made With Butter</v>
      </c>
      <c r="C2331" t="str">
        <f>IFERROR(__xludf.DUMMYFUNCTION("""COMPUTED_VALUE"""),"Vegetables")</f>
        <v>Vegetables</v>
      </c>
      <c r="D2331">
        <f>IFERROR(__xludf.DUMMYFUNCTION("""COMPUTED_VALUE"""),58.0)</f>
        <v>58</v>
      </c>
      <c r="E2331">
        <f>IFERROR(__xludf.DUMMYFUNCTION("""COMPUTED_VALUE"""),3.18)</f>
        <v>3.18</v>
      </c>
      <c r="F2331">
        <f>IFERROR(__xludf.DUMMYFUNCTION("""COMPUTED_VALUE"""),0.58)</f>
        <v>0.58</v>
      </c>
      <c r="G2331">
        <f>IFERROR(__xludf.DUMMYFUNCTION("""COMPUTED_VALUE"""),7.44)</f>
        <v>7.44</v>
      </c>
    </row>
    <row r="2332">
      <c r="A2332">
        <f>IFERROR(__xludf.DUMMYFUNCTION("""COMPUTED_VALUE"""),787545.0)</f>
        <v>787545</v>
      </c>
      <c r="B2332" t="str">
        <f>IFERROR(__xludf.DUMMYFUNCTION("""COMPUTED_VALUE"""),"Carrots Cooked From Frozen Made With Margarine")</f>
        <v>Carrots Cooked From Frozen Made With Margarine</v>
      </c>
      <c r="C2332" t="str">
        <f>IFERROR(__xludf.DUMMYFUNCTION("""COMPUTED_VALUE"""),"Vegetables")</f>
        <v>Vegetables</v>
      </c>
      <c r="D2332">
        <f>IFERROR(__xludf.DUMMYFUNCTION("""COMPUTED_VALUE"""),52.0)</f>
        <v>52</v>
      </c>
      <c r="E2332">
        <f>IFERROR(__xludf.DUMMYFUNCTION("""COMPUTED_VALUE"""),2.53)</f>
        <v>2.53</v>
      </c>
      <c r="F2332">
        <f>IFERROR(__xludf.DUMMYFUNCTION("""COMPUTED_VALUE"""),0.56)</f>
        <v>0.56</v>
      </c>
      <c r="G2332">
        <f>IFERROR(__xludf.DUMMYFUNCTION("""COMPUTED_VALUE"""),7.46)</f>
        <v>7.46</v>
      </c>
    </row>
    <row r="2333">
      <c r="A2333">
        <f>IFERROR(__xludf.DUMMYFUNCTION("""COMPUTED_VALUE"""),787546.0)</f>
        <v>787546</v>
      </c>
      <c r="B2333" t="str">
        <f>IFERROR(__xludf.DUMMYFUNCTION("""COMPUTED_VALUE"""),"Carrots Cooked From Canned Made With Oil")</f>
        <v>Carrots Cooked From Canned Made With Oil</v>
      </c>
      <c r="C2333" t="str">
        <f>IFERROR(__xludf.DUMMYFUNCTION("""COMPUTED_VALUE"""),"Vegetables")</f>
        <v>Vegetables</v>
      </c>
      <c r="D2333">
        <f>IFERROR(__xludf.DUMMYFUNCTION("""COMPUTED_VALUE"""),51.0)</f>
        <v>51</v>
      </c>
      <c r="E2333">
        <f>IFERROR(__xludf.DUMMYFUNCTION("""COMPUTED_VALUE"""),3.19)</f>
        <v>3.19</v>
      </c>
      <c r="F2333">
        <f>IFERROR(__xludf.DUMMYFUNCTION("""COMPUTED_VALUE"""),0.62)</f>
        <v>0.62</v>
      </c>
      <c r="G2333">
        <f>IFERROR(__xludf.DUMMYFUNCTION("""COMPUTED_VALUE"""),5.36)</f>
        <v>5.36</v>
      </c>
    </row>
    <row r="2334">
      <c r="A2334">
        <f>IFERROR(__xludf.DUMMYFUNCTION("""COMPUTED_VALUE"""),787547.0)</f>
        <v>787547</v>
      </c>
      <c r="B2334" t="str">
        <f>IFERROR(__xludf.DUMMYFUNCTION("""COMPUTED_VALUE"""),"Carrots Cooked From Canned Made With Butter")</f>
        <v>Carrots Cooked From Canned Made With Butter</v>
      </c>
      <c r="C2334" t="str">
        <f>IFERROR(__xludf.DUMMYFUNCTION("""COMPUTED_VALUE"""),"Vegetables")</f>
        <v>Vegetables</v>
      </c>
      <c r="D2334">
        <f>IFERROR(__xludf.DUMMYFUNCTION("""COMPUTED_VALUE"""),47.0)</f>
        <v>47</v>
      </c>
      <c r="E2334">
        <f>IFERROR(__xludf.DUMMYFUNCTION("""COMPUTED_VALUE"""),2.72)</f>
        <v>2.72</v>
      </c>
      <c r="F2334">
        <f>IFERROR(__xludf.DUMMYFUNCTION("""COMPUTED_VALUE"""),0.64)</f>
        <v>0.64</v>
      </c>
      <c r="G2334">
        <f>IFERROR(__xludf.DUMMYFUNCTION("""COMPUTED_VALUE"""),5.35)</f>
        <v>5.35</v>
      </c>
    </row>
    <row r="2335">
      <c r="A2335">
        <f>IFERROR(__xludf.DUMMYFUNCTION("""COMPUTED_VALUE"""),787548.0)</f>
        <v>787548</v>
      </c>
      <c r="B2335" t="str">
        <f>IFERROR(__xludf.DUMMYFUNCTION("""COMPUTED_VALUE"""),"Carrots Cooked From Canned Made With Margarine")</f>
        <v>Carrots Cooked From Canned Made With Margarine</v>
      </c>
      <c r="C2335" t="str">
        <f>IFERROR(__xludf.DUMMYFUNCTION("""COMPUTED_VALUE"""),"Vegetables")</f>
        <v>Vegetables</v>
      </c>
      <c r="D2335">
        <f>IFERROR(__xludf.DUMMYFUNCTION("""COMPUTED_VALUE"""),41.0)</f>
        <v>41</v>
      </c>
      <c r="E2335">
        <f>IFERROR(__xludf.DUMMYFUNCTION("""COMPUTED_VALUE"""),2.07)</f>
        <v>2.07</v>
      </c>
      <c r="F2335">
        <f>IFERROR(__xludf.DUMMYFUNCTION("""COMPUTED_VALUE"""),0.62)</f>
        <v>0.62</v>
      </c>
      <c r="G2335">
        <f>IFERROR(__xludf.DUMMYFUNCTION("""COMPUTED_VALUE"""),5.38)</f>
        <v>5.38</v>
      </c>
    </row>
    <row r="2336">
      <c r="A2336">
        <f>IFERROR(__xludf.DUMMYFUNCTION("""COMPUTED_VALUE"""),787549.0)</f>
        <v>787549</v>
      </c>
      <c r="B2336" t="str">
        <f>IFERROR(__xludf.DUMMYFUNCTION("""COMPUTED_VALUE"""),"Carrots Cooked Ns As To Form Creamed")</f>
        <v>Carrots Cooked Ns As To Form Creamed</v>
      </c>
      <c r="C2336" t="str">
        <f>IFERROR(__xludf.DUMMYFUNCTION("""COMPUTED_VALUE"""),"Vegetables")</f>
        <v>Vegetables</v>
      </c>
      <c r="D2336">
        <f>IFERROR(__xludf.DUMMYFUNCTION("""COMPUTED_VALUE"""),88.0)</f>
        <v>88</v>
      </c>
      <c r="E2336">
        <f>IFERROR(__xludf.DUMMYFUNCTION("""COMPUTED_VALUE"""),5.26)</f>
        <v>5.26</v>
      </c>
      <c r="F2336">
        <f>IFERROR(__xludf.DUMMYFUNCTION("""COMPUTED_VALUE"""),2.08)</f>
        <v>2.08</v>
      </c>
      <c r="G2336">
        <f>IFERROR(__xludf.DUMMYFUNCTION("""COMPUTED_VALUE"""),8.38)</f>
        <v>8.38</v>
      </c>
    </row>
    <row r="2337">
      <c r="A2337">
        <f>IFERROR(__xludf.DUMMYFUNCTION("""COMPUTED_VALUE"""),787550.0)</f>
        <v>787550</v>
      </c>
      <c r="B2337" t="str">
        <f>IFERROR(__xludf.DUMMYFUNCTION("""COMPUTED_VALUE"""),"Carrots Cooked From Fresh Creamed")</f>
        <v>Carrots Cooked From Fresh Creamed</v>
      </c>
      <c r="C2337" t="str">
        <f>IFERROR(__xludf.DUMMYFUNCTION("""COMPUTED_VALUE"""),"Vegetables")</f>
        <v>Vegetables</v>
      </c>
      <c r="D2337">
        <f>IFERROR(__xludf.DUMMYFUNCTION("""COMPUTED_VALUE"""),85.0)</f>
        <v>85</v>
      </c>
      <c r="E2337">
        <f>IFERROR(__xludf.DUMMYFUNCTION("""COMPUTED_VALUE"""),4.84)</f>
        <v>4.84</v>
      </c>
      <c r="F2337">
        <f>IFERROR(__xludf.DUMMYFUNCTION("""COMPUTED_VALUE"""),2.13)</f>
        <v>2.13</v>
      </c>
      <c r="G2337">
        <f>IFERROR(__xludf.DUMMYFUNCTION("""COMPUTED_VALUE"""),8.63)</f>
        <v>8.63</v>
      </c>
    </row>
    <row r="2338">
      <c r="A2338">
        <f>IFERROR(__xludf.DUMMYFUNCTION("""COMPUTED_VALUE"""),787551.0)</f>
        <v>787551</v>
      </c>
      <c r="B2338" t="str">
        <f>IFERROR(__xludf.DUMMYFUNCTION("""COMPUTED_VALUE"""),"Carrots Cooked From Frozen Creamed")</f>
        <v>Carrots Cooked From Frozen Creamed</v>
      </c>
      <c r="C2338" t="str">
        <f>IFERROR(__xludf.DUMMYFUNCTION("""COMPUTED_VALUE"""),"Vegetables")</f>
        <v>Vegetables</v>
      </c>
      <c r="D2338">
        <f>IFERROR(__xludf.DUMMYFUNCTION("""COMPUTED_VALUE"""),88.0)</f>
        <v>88</v>
      </c>
      <c r="E2338">
        <f>IFERROR(__xludf.DUMMYFUNCTION("""COMPUTED_VALUE"""),5.26)</f>
        <v>5.26</v>
      </c>
      <c r="F2338">
        <f>IFERROR(__xludf.DUMMYFUNCTION("""COMPUTED_VALUE"""),2.08)</f>
        <v>2.08</v>
      </c>
      <c r="G2338">
        <f>IFERROR(__xludf.DUMMYFUNCTION("""COMPUTED_VALUE"""),8.38)</f>
        <v>8.38</v>
      </c>
    </row>
    <row r="2339">
      <c r="A2339">
        <f>IFERROR(__xludf.DUMMYFUNCTION("""COMPUTED_VALUE"""),787552.0)</f>
        <v>787552</v>
      </c>
      <c r="B2339" t="str">
        <f>IFERROR(__xludf.DUMMYFUNCTION("""COMPUTED_VALUE"""),"Carrots Cooked From Canned Creamed")</f>
        <v>Carrots Cooked From Canned Creamed</v>
      </c>
      <c r="C2339" t="str">
        <f>IFERROR(__xludf.DUMMYFUNCTION("""COMPUTED_VALUE"""),"Vegetables")</f>
        <v>Vegetables</v>
      </c>
      <c r="D2339">
        <f>IFERROR(__xludf.DUMMYFUNCTION("""COMPUTED_VALUE"""),81.0)</f>
        <v>81</v>
      </c>
      <c r="E2339">
        <f>IFERROR(__xludf.DUMMYFUNCTION("""COMPUTED_VALUE"""),5.0)</f>
        <v>5</v>
      </c>
      <c r="F2339">
        <f>IFERROR(__xludf.DUMMYFUNCTION("""COMPUTED_VALUE"""),2.12)</f>
        <v>2.12</v>
      </c>
      <c r="G2339">
        <f>IFERROR(__xludf.DUMMYFUNCTION("""COMPUTED_VALUE"""),7.21)</f>
        <v>7.21</v>
      </c>
    </row>
    <row r="2340">
      <c r="A2340">
        <f>IFERROR(__xludf.DUMMYFUNCTION("""COMPUTED_VALUE"""),787553.0)</f>
        <v>787553</v>
      </c>
      <c r="B2340" t="str">
        <f>IFERROR(__xludf.DUMMYFUNCTION("""COMPUTED_VALUE"""),"Carrots Cooked Ns As To Form Glazed")</f>
        <v>Carrots Cooked Ns As To Form Glazed</v>
      </c>
      <c r="C2340" t="str">
        <f>IFERROR(__xludf.DUMMYFUNCTION("""COMPUTED_VALUE"""),"Vegetables")</f>
        <v>Vegetables</v>
      </c>
      <c r="D2340">
        <f>IFERROR(__xludf.DUMMYFUNCTION("""COMPUTED_VALUE"""),93.0)</f>
        <v>93</v>
      </c>
      <c r="E2340">
        <f>IFERROR(__xludf.DUMMYFUNCTION("""COMPUTED_VALUE"""),5.12)</f>
        <v>5.12</v>
      </c>
      <c r="F2340">
        <f>IFERROR(__xludf.DUMMYFUNCTION("""COMPUTED_VALUE"""),0.57)</f>
        <v>0.57</v>
      </c>
      <c r="G2340">
        <f>IFERROR(__xludf.DUMMYFUNCTION("""COMPUTED_VALUE"""),12.16)</f>
        <v>12.16</v>
      </c>
    </row>
    <row r="2341">
      <c r="A2341">
        <f>IFERROR(__xludf.DUMMYFUNCTION("""COMPUTED_VALUE"""),787554.0)</f>
        <v>787554</v>
      </c>
      <c r="B2341" t="str">
        <f>IFERROR(__xludf.DUMMYFUNCTION("""COMPUTED_VALUE"""),"Carrots Cooked From Fresh Glazed")</f>
        <v>Carrots Cooked From Fresh Glazed</v>
      </c>
      <c r="C2341" t="str">
        <f>IFERROR(__xludf.DUMMYFUNCTION("""COMPUTED_VALUE"""),"Vegetables")</f>
        <v>Vegetables</v>
      </c>
      <c r="D2341">
        <f>IFERROR(__xludf.DUMMYFUNCTION("""COMPUTED_VALUE"""),80.0)</f>
        <v>80</v>
      </c>
      <c r="E2341">
        <f>IFERROR(__xludf.DUMMYFUNCTION("""COMPUTED_VALUE"""),2.36)</f>
        <v>2.36</v>
      </c>
      <c r="F2341">
        <f>IFERROR(__xludf.DUMMYFUNCTION("""COMPUTED_VALUE"""),0.71)</f>
        <v>0.71</v>
      </c>
      <c r="G2341">
        <f>IFERROR(__xludf.DUMMYFUNCTION("""COMPUTED_VALUE"""),15.03)</f>
        <v>15.03</v>
      </c>
    </row>
    <row r="2342">
      <c r="A2342">
        <f>IFERROR(__xludf.DUMMYFUNCTION("""COMPUTED_VALUE"""),787555.0)</f>
        <v>787555</v>
      </c>
      <c r="B2342" t="str">
        <f>IFERROR(__xludf.DUMMYFUNCTION("""COMPUTED_VALUE"""),"Carrots Cooked From Frozen Glazed")</f>
        <v>Carrots Cooked From Frozen Glazed</v>
      </c>
      <c r="C2342" t="str">
        <f>IFERROR(__xludf.DUMMYFUNCTION("""COMPUTED_VALUE"""),"Vegetables")</f>
        <v>Vegetables</v>
      </c>
      <c r="D2342">
        <f>IFERROR(__xludf.DUMMYFUNCTION("""COMPUTED_VALUE"""),85.0)</f>
        <v>85</v>
      </c>
      <c r="E2342">
        <f>IFERROR(__xludf.DUMMYFUNCTION("""COMPUTED_VALUE"""),2.92)</f>
        <v>2.92</v>
      </c>
      <c r="F2342">
        <f>IFERROR(__xludf.DUMMYFUNCTION("""COMPUTED_VALUE"""),0.55)</f>
        <v>0.55</v>
      </c>
      <c r="G2342">
        <f>IFERROR(__xludf.DUMMYFUNCTION("""COMPUTED_VALUE"""),14.97)</f>
        <v>14.97</v>
      </c>
    </row>
    <row r="2343">
      <c r="A2343">
        <f>IFERROR(__xludf.DUMMYFUNCTION("""COMPUTED_VALUE"""),787556.0)</f>
        <v>787556</v>
      </c>
      <c r="B2343" t="str">
        <f>IFERROR(__xludf.DUMMYFUNCTION("""COMPUTED_VALUE"""),"Carrots Cooked From Canned Glazed")</f>
        <v>Carrots Cooked From Canned Glazed</v>
      </c>
      <c r="C2343" t="str">
        <f>IFERROR(__xludf.DUMMYFUNCTION("""COMPUTED_VALUE"""),"Vegetables")</f>
        <v>Vegetables</v>
      </c>
      <c r="D2343">
        <f>IFERROR(__xludf.DUMMYFUNCTION("""COMPUTED_VALUE"""),74.0)</f>
        <v>74</v>
      </c>
      <c r="E2343">
        <f>IFERROR(__xludf.DUMMYFUNCTION("""COMPUTED_VALUE"""),2.49)</f>
        <v>2.49</v>
      </c>
      <c r="F2343">
        <f>IFERROR(__xludf.DUMMYFUNCTION("""COMPUTED_VALUE"""),0.6)</f>
        <v>0.6</v>
      </c>
      <c r="G2343">
        <f>IFERROR(__xludf.DUMMYFUNCTION("""COMPUTED_VALUE"""),13.04)</f>
        <v>13.04</v>
      </c>
    </row>
    <row r="2344">
      <c r="A2344">
        <f>IFERROR(__xludf.DUMMYFUNCTION("""COMPUTED_VALUE"""),787557.0)</f>
        <v>787557</v>
      </c>
      <c r="B2344" t="str">
        <f>IFERROR(__xludf.DUMMYFUNCTION("""COMPUTED_VALUE"""),"Carrots Cooked Ns As To Form With Cheese Sauce")</f>
        <v>Carrots Cooked Ns As To Form With Cheese Sauce</v>
      </c>
      <c r="C2344" t="str">
        <f>IFERROR(__xludf.DUMMYFUNCTION("""COMPUTED_VALUE"""),"Vegetables")</f>
        <v>Vegetables</v>
      </c>
      <c r="D2344">
        <f>IFERROR(__xludf.DUMMYFUNCTION("""COMPUTED_VALUE"""),94.0)</f>
        <v>94</v>
      </c>
      <c r="E2344">
        <f>IFERROR(__xludf.DUMMYFUNCTION("""COMPUTED_VALUE"""),5.75)</f>
        <v>5.75</v>
      </c>
      <c r="F2344">
        <f>IFERROR(__xludf.DUMMYFUNCTION("""COMPUTED_VALUE"""),4.05)</f>
        <v>4.05</v>
      </c>
      <c r="G2344">
        <f>IFERROR(__xludf.DUMMYFUNCTION("""COMPUTED_VALUE"""),6.92)</f>
        <v>6.92</v>
      </c>
    </row>
    <row r="2345">
      <c r="A2345">
        <f>IFERROR(__xludf.DUMMYFUNCTION("""COMPUTED_VALUE"""),787558.0)</f>
        <v>787558</v>
      </c>
      <c r="B2345" t="str">
        <f>IFERROR(__xludf.DUMMYFUNCTION("""COMPUTED_VALUE"""),"Carrots Cooked From Fresh With Cheese Sauce")</f>
        <v>Carrots Cooked From Fresh With Cheese Sauce</v>
      </c>
      <c r="C2345" t="str">
        <f>IFERROR(__xludf.DUMMYFUNCTION("""COMPUTED_VALUE"""),"Vegetables")</f>
        <v>Vegetables</v>
      </c>
      <c r="D2345">
        <f>IFERROR(__xludf.DUMMYFUNCTION("""COMPUTED_VALUE"""),90.0)</f>
        <v>90</v>
      </c>
      <c r="E2345">
        <f>IFERROR(__xludf.DUMMYFUNCTION("""COMPUTED_VALUE"""),5.23)</f>
        <v>5.23</v>
      </c>
      <c r="F2345">
        <f>IFERROR(__xludf.DUMMYFUNCTION("""COMPUTED_VALUE"""),4.04)</f>
        <v>4.04</v>
      </c>
      <c r="G2345">
        <f>IFERROR(__xludf.DUMMYFUNCTION("""COMPUTED_VALUE"""),7.27)</f>
        <v>7.27</v>
      </c>
    </row>
    <row r="2346">
      <c r="A2346">
        <f>IFERROR(__xludf.DUMMYFUNCTION("""COMPUTED_VALUE"""),787559.0)</f>
        <v>787559</v>
      </c>
      <c r="B2346" t="str">
        <f>IFERROR(__xludf.DUMMYFUNCTION("""COMPUTED_VALUE"""),"Carrots Cooked From Frozen With Cheese Sauce")</f>
        <v>Carrots Cooked From Frozen With Cheese Sauce</v>
      </c>
      <c r="C2346" t="str">
        <f>IFERROR(__xludf.DUMMYFUNCTION("""COMPUTED_VALUE"""),"Vegetables")</f>
        <v>Vegetables</v>
      </c>
      <c r="D2346">
        <f>IFERROR(__xludf.DUMMYFUNCTION("""COMPUTED_VALUE"""),94.0)</f>
        <v>94</v>
      </c>
      <c r="E2346">
        <f>IFERROR(__xludf.DUMMYFUNCTION("""COMPUTED_VALUE"""),5.75)</f>
        <v>5.75</v>
      </c>
      <c r="F2346">
        <f>IFERROR(__xludf.DUMMYFUNCTION("""COMPUTED_VALUE"""),4.05)</f>
        <v>4.05</v>
      </c>
      <c r="G2346">
        <f>IFERROR(__xludf.DUMMYFUNCTION("""COMPUTED_VALUE"""),6.92)</f>
        <v>6.92</v>
      </c>
    </row>
    <row r="2347">
      <c r="A2347">
        <f>IFERROR(__xludf.DUMMYFUNCTION("""COMPUTED_VALUE"""),787560.0)</f>
        <v>787560</v>
      </c>
      <c r="B2347" t="str">
        <f>IFERROR(__xludf.DUMMYFUNCTION("""COMPUTED_VALUE"""),"Carrots Cooked From Canned With Cheese Sauce")</f>
        <v>Carrots Cooked From Canned With Cheese Sauce</v>
      </c>
      <c r="C2347" t="str">
        <f>IFERROR(__xludf.DUMMYFUNCTION("""COMPUTED_VALUE"""),"Vegetables")</f>
        <v>Vegetables</v>
      </c>
      <c r="D2347">
        <f>IFERROR(__xludf.DUMMYFUNCTION("""COMPUTED_VALUE"""),86.0)</f>
        <v>86</v>
      </c>
      <c r="E2347">
        <f>IFERROR(__xludf.DUMMYFUNCTION("""COMPUTED_VALUE"""),5.44)</f>
        <v>5.44</v>
      </c>
      <c r="F2347">
        <f>IFERROR(__xludf.DUMMYFUNCTION("""COMPUTED_VALUE"""),4.09)</f>
        <v>4.09</v>
      </c>
      <c r="G2347">
        <f>IFERROR(__xludf.DUMMYFUNCTION("""COMPUTED_VALUE"""),5.51)</f>
        <v>5.51</v>
      </c>
    </row>
    <row r="2348">
      <c r="A2348">
        <f>IFERROR(__xludf.DUMMYFUNCTION("""COMPUTED_VALUE"""),787561.0)</f>
        <v>787561</v>
      </c>
      <c r="B2348" t="str">
        <f>IFERROR(__xludf.DUMMYFUNCTION("""COMPUTED_VALUE"""),"Carrots Canned Low Sodium Ns As To Fat Added In Cooking")</f>
        <v>Carrots Canned Low Sodium Ns As To Fat Added In Cooking</v>
      </c>
      <c r="C2348" t="str">
        <f>IFERROR(__xludf.DUMMYFUNCTION("""COMPUTED_VALUE"""),"Vegetables")</f>
        <v>Vegetables</v>
      </c>
      <c r="D2348">
        <f>IFERROR(__xludf.DUMMYFUNCTION("""COMPUTED_VALUE"""),53.0)</f>
        <v>53</v>
      </c>
      <c r="E2348">
        <f>IFERROR(__xludf.DUMMYFUNCTION("""COMPUTED_VALUE"""),2.28)</f>
        <v>2.28</v>
      </c>
      <c r="F2348">
        <f>IFERROR(__xludf.DUMMYFUNCTION("""COMPUTED_VALUE"""),0.89)</f>
        <v>0.89</v>
      </c>
      <c r="G2348">
        <f>IFERROR(__xludf.DUMMYFUNCTION("""COMPUTED_VALUE"""),7.98)</f>
        <v>7.98</v>
      </c>
    </row>
    <row r="2349">
      <c r="A2349">
        <f>IFERROR(__xludf.DUMMYFUNCTION("""COMPUTED_VALUE"""),787563.0)</f>
        <v>787563</v>
      </c>
      <c r="B2349" t="str">
        <f>IFERROR(__xludf.DUMMYFUNCTION("""COMPUTED_VALUE"""),"Carrots Canned Low Sodium Fat Added In Cooking Ns As To Type Of Fat")</f>
        <v>Carrots Canned Low Sodium Fat Added In Cooking Ns As To Type Of Fat</v>
      </c>
      <c r="C2349" t="str">
        <f>IFERROR(__xludf.DUMMYFUNCTION("""COMPUTED_VALUE"""),"Vegetables")</f>
        <v>Vegetables</v>
      </c>
      <c r="D2349">
        <f>IFERROR(__xludf.DUMMYFUNCTION("""COMPUTED_VALUE"""),53.0)</f>
        <v>53</v>
      </c>
      <c r="E2349">
        <f>IFERROR(__xludf.DUMMYFUNCTION("""COMPUTED_VALUE"""),2.28)</f>
        <v>2.28</v>
      </c>
      <c r="F2349">
        <f>IFERROR(__xludf.DUMMYFUNCTION("""COMPUTED_VALUE"""),0.89)</f>
        <v>0.89</v>
      </c>
      <c r="G2349">
        <f>IFERROR(__xludf.DUMMYFUNCTION("""COMPUTED_VALUE"""),7.98)</f>
        <v>7.98</v>
      </c>
    </row>
    <row r="2350">
      <c r="A2350">
        <f>IFERROR(__xludf.DUMMYFUNCTION("""COMPUTED_VALUE"""),787564.0)</f>
        <v>787564</v>
      </c>
      <c r="B2350" t="str">
        <f>IFERROR(__xludf.DUMMYFUNCTION("""COMPUTED_VALUE"""),"Carrots Canned Low Sodium Made With Oil")</f>
        <v>Carrots Canned Low Sodium Made With Oil</v>
      </c>
      <c r="C2350" t="str">
        <f>IFERROR(__xludf.DUMMYFUNCTION("""COMPUTED_VALUE"""),"Vegetables")</f>
        <v>Vegetables</v>
      </c>
      <c r="D2350">
        <f>IFERROR(__xludf.DUMMYFUNCTION("""COMPUTED_VALUE"""),59.0)</f>
        <v>59</v>
      </c>
      <c r="E2350">
        <f>IFERROR(__xludf.DUMMYFUNCTION("""COMPUTED_VALUE"""),2.96)</f>
        <v>2.96</v>
      </c>
      <c r="F2350">
        <f>IFERROR(__xludf.DUMMYFUNCTION("""COMPUTED_VALUE"""),0.88)</f>
        <v>0.88</v>
      </c>
      <c r="G2350">
        <f>IFERROR(__xludf.DUMMYFUNCTION("""COMPUTED_VALUE"""),7.97)</f>
        <v>7.97</v>
      </c>
    </row>
    <row r="2351">
      <c r="A2351">
        <f>IFERROR(__xludf.DUMMYFUNCTION("""COMPUTED_VALUE"""),787565.0)</f>
        <v>787565</v>
      </c>
      <c r="B2351" t="str">
        <f>IFERROR(__xludf.DUMMYFUNCTION("""COMPUTED_VALUE"""),"Carrots Canned Low Sodium Made With Butter")</f>
        <v>Carrots Canned Low Sodium Made With Butter</v>
      </c>
      <c r="C2351" t="str">
        <f>IFERROR(__xludf.DUMMYFUNCTION("""COMPUTED_VALUE"""),"Vegetables")</f>
        <v>Vegetables</v>
      </c>
      <c r="D2351">
        <f>IFERROR(__xludf.DUMMYFUNCTION("""COMPUTED_VALUE"""),55.0)</f>
        <v>55</v>
      </c>
      <c r="E2351">
        <f>IFERROR(__xludf.DUMMYFUNCTION("""COMPUTED_VALUE"""),2.53)</f>
        <v>2.53</v>
      </c>
      <c r="F2351">
        <f>IFERROR(__xludf.DUMMYFUNCTION("""COMPUTED_VALUE"""),0.9)</f>
        <v>0.9</v>
      </c>
      <c r="G2351">
        <f>IFERROR(__xludf.DUMMYFUNCTION("""COMPUTED_VALUE"""),7.97)</f>
        <v>7.97</v>
      </c>
    </row>
    <row r="2352">
      <c r="A2352">
        <f>IFERROR(__xludf.DUMMYFUNCTION("""COMPUTED_VALUE"""),787566.0)</f>
        <v>787566</v>
      </c>
      <c r="B2352" t="str">
        <f>IFERROR(__xludf.DUMMYFUNCTION("""COMPUTED_VALUE"""),"Carrots Canned Low Sodium Made With Margarine")</f>
        <v>Carrots Canned Low Sodium Made With Margarine</v>
      </c>
      <c r="C2352" t="str">
        <f>IFERROR(__xludf.DUMMYFUNCTION("""COMPUTED_VALUE"""),"Vegetables")</f>
        <v>Vegetables</v>
      </c>
      <c r="D2352">
        <f>IFERROR(__xludf.DUMMYFUNCTION("""COMPUTED_VALUE"""),50.0)</f>
        <v>50</v>
      </c>
      <c r="E2352">
        <f>IFERROR(__xludf.DUMMYFUNCTION("""COMPUTED_VALUE"""),1.93)</f>
        <v>1.93</v>
      </c>
      <c r="F2352">
        <f>IFERROR(__xludf.DUMMYFUNCTION("""COMPUTED_VALUE"""),0.88)</f>
        <v>0.88</v>
      </c>
      <c r="G2352">
        <f>IFERROR(__xludf.DUMMYFUNCTION("""COMPUTED_VALUE"""),7.99)</f>
        <v>7.99</v>
      </c>
    </row>
    <row r="2353">
      <c r="A2353">
        <f>IFERROR(__xludf.DUMMYFUNCTION("""COMPUTED_VALUE"""),787568.0)</f>
        <v>787568</v>
      </c>
      <c r="B2353" t="str">
        <f>IFERROR(__xludf.DUMMYFUNCTION("""COMPUTED_VALUE"""),"Peas And Carrots Ns As To Form Creamed")</f>
        <v>Peas And Carrots Ns As To Form Creamed</v>
      </c>
      <c r="C2353" t="str">
        <f>IFERROR(__xludf.DUMMYFUNCTION("""COMPUTED_VALUE"""),"Vegetables")</f>
        <v>Vegetables</v>
      </c>
      <c r="D2353">
        <f>IFERROR(__xludf.DUMMYFUNCTION("""COMPUTED_VALUE"""),91.0)</f>
        <v>91</v>
      </c>
      <c r="E2353">
        <f>IFERROR(__xludf.DUMMYFUNCTION("""COMPUTED_VALUE"""),4.89)</f>
        <v>4.89</v>
      </c>
      <c r="F2353">
        <f>IFERROR(__xludf.DUMMYFUNCTION("""COMPUTED_VALUE"""),3.41)</f>
        <v>3.41</v>
      </c>
      <c r="G2353">
        <f>IFERROR(__xludf.DUMMYFUNCTION("""COMPUTED_VALUE"""),9.69)</f>
        <v>9.69</v>
      </c>
    </row>
    <row r="2354">
      <c r="A2354">
        <f>IFERROR(__xludf.DUMMYFUNCTION("""COMPUTED_VALUE"""),787569.0)</f>
        <v>787569</v>
      </c>
      <c r="B2354" t="str">
        <f>IFERROR(__xludf.DUMMYFUNCTION("""COMPUTED_VALUE"""),"Peas And Carrots From Fresh Creamed")</f>
        <v>Peas And Carrots From Fresh Creamed</v>
      </c>
      <c r="C2354" t="str">
        <f>IFERROR(__xludf.DUMMYFUNCTION("""COMPUTED_VALUE"""),"Vegetables")</f>
        <v>Vegetables</v>
      </c>
      <c r="D2354">
        <f>IFERROR(__xludf.DUMMYFUNCTION("""COMPUTED_VALUE"""),98.0)</f>
        <v>98</v>
      </c>
      <c r="E2354">
        <f>IFERROR(__xludf.DUMMYFUNCTION("""COMPUTED_VALUE"""),4.81)</f>
        <v>4.81</v>
      </c>
      <c r="F2354">
        <f>IFERROR(__xludf.DUMMYFUNCTION("""COMPUTED_VALUE"""),3.42)</f>
        <v>3.42</v>
      </c>
      <c r="G2354">
        <f>IFERROR(__xludf.DUMMYFUNCTION("""COMPUTED_VALUE"""),10.72)</f>
        <v>10.72</v>
      </c>
    </row>
    <row r="2355">
      <c r="A2355">
        <f>IFERROR(__xludf.DUMMYFUNCTION("""COMPUTED_VALUE"""),787570.0)</f>
        <v>787570</v>
      </c>
      <c r="B2355" t="str">
        <f>IFERROR(__xludf.DUMMYFUNCTION("""COMPUTED_VALUE"""),"Peas And Carrots From Frozen Creamed")</f>
        <v>Peas And Carrots From Frozen Creamed</v>
      </c>
      <c r="C2355" t="str">
        <f>IFERROR(__xludf.DUMMYFUNCTION("""COMPUTED_VALUE"""),"Vegetables")</f>
        <v>Vegetables</v>
      </c>
      <c r="D2355">
        <f>IFERROR(__xludf.DUMMYFUNCTION("""COMPUTED_VALUE"""),91.0)</f>
        <v>91</v>
      </c>
      <c r="E2355">
        <f>IFERROR(__xludf.DUMMYFUNCTION("""COMPUTED_VALUE"""),4.89)</f>
        <v>4.89</v>
      </c>
      <c r="F2355">
        <f>IFERROR(__xludf.DUMMYFUNCTION("""COMPUTED_VALUE"""),3.41)</f>
        <v>3.41</v>
      </c>
      <c r="G2355">
        <f>IFERROR(__xludf.DUMMYFUNCTION("""COMPUTED_VALUE"""),9.69)</f>
        <v>9.69</v>
      </c>
    </row>
    <row r="2356">
      <c r="A2356">
        <f>IFERROR(__xludf.DUMMYFUNCTION("""COMPUTED_VALUE"""),787571.0)</f>
        <v>787571</v>
      </c>
      <c r="B2356" t="str">
        <f>IFERROR(__xludf.DUMMYFUNCTION("""COMPUTED_VALUE"""),"Peas And Carrots From Canned Creamed")</f>
        <v>Peas And Carrots From Canned Creamed</v>
      </c>
      <c r="C2356" t="str">
        <f>IFERROR(__xludf.DUMMYFUNCTION("""COMPUTED_VALUE"""),"Vegetables")</f>
        <v>Vegetables</v>
      </c>
      <c r="D2356">
        <f>IFERROR(__xludf.DUMMYFUNCTION("""COMPUTED_VALUE"""),92.0)</f>
        <v>92</v>
      </c>
      <c r="E2356">
        <f>IFERROR(__xludf.DUMMYFUNCTION("""COMPUTED_VALUE"""),4.99)</f>
        <v>4.99</v>
      </c>
      <c r="F2356">
        <f>IFERROR(__xludf.DUMMYFUNCTION("""COMPUTED_VALUE"""),3.2)</f>
        <v>3.2</v>
      </c>
      <c r="G2356">
        <f>IFERROR(__xludf.DUMMYFUNCTION("""COMPUTED_VALUE"""),8.89)</f>
        <v>8.89</v>
      </c>
    </row>
    <row r="2357">
      <c r="A2357">
        <f>IFERROR(__xludf.DUMMYFUNCTION("""COMPUTED_VALUE"""),787572.0)</f>
        <v>787572</v>
      </c>
      <c r="B2357" t="str">
        <f>IFERROR(__xludf.DUMMYFUNCTION("""COMPUTED_VALUE"""),"Peas And Carrots Cooked Ns As To Form Ns As To Fat Added In Cooking")</f>
        <v>Peas And Carrots Cooked Ns As To Form Ns As To Fat Added In Cooking</v>
      </c>
      <c r="C2357" t="str">
        <f>IFERROR(__xludf.DUMMYFUNCTION("""COMPUTED_VALUE"""),"Vegetables")</f>
        <v>Vegetables</v>
      </c>
      <c r="D2357">
        <f>IFERROR(__xludf.DUMMYFUNCTION("""COMPUTED_VALUE"""),65.0)</f>
        <v>65</v>
      </c>
      <c r="E2357">
        <f>IFERROR(__xludf.DUMMYFUNCTION("""COMPUTED_VALUE"""),2.48)</f>
        <v>2.48</v>
      </c>
      <c r="F2357">
        <f>IFERROR(__xludf.DUMMYFUNCTION("""COMPUTED_VALUE"""),3.0)</f>
        <v>3</v>
      </c>
      <c r="G2357">
        <f>IFERROR(__xludf.DUMMYFUNCTION("""COMPUTED_VALUE"""),9.78)</f>
        <v>9.78</v>
      </c>
    </row>
    <row r="2358">
      <c r="A2358">
        <f>IFERROR(__xludf.DUMMYFUNCTION("""COMPUTED_VALUE"""),787573.0)</f>
        <v>787573</v>
      </c>
      <c r="B2358" t="str">
        <f>IFERROR(__xludf.DUMMYFUNCTION("""COMPUTED_VALUE"""),"Peas And Carrots Cooked From Fresh Ns As To Fat Added In Cooking")</f>
        <v>Peas And Carrots Cooked From Fresh Ns As To Fat Added In Cooking</v>
      </c>
      <c r="C2358" t="str">
        <f>IFERROR(__xludf.DUMMYFUNCTION("""COMPUTED_VALUE"""),"Vegetables")</f>
        <v>Vegetables</v>
      </c>
      <c r="D2358">
        <f>IFERROR(__xludf.DUMMYFUNCTION("""COMPUTED_VALUE"""),76.0)</f>
        <v>76</v>
      </c>
      <c r="E2358">
        <f>IFERROR(__xludf.DUMMYFUNCTION("""COMPUTED_VALUE"""),2.3)</f>
        <v>2.3</v>
      </c>
      <c r="F2358">
        <f>IFERROR(__xludf.DUMMYFUNCTION("""COMPUTED_VALUE"""),3.0)</f>
        <v>3</v>
      </c>
      <c r="G2358">
        <f>IFERROR(__xludf.DUMMYFUNCTION("""COMPUTED_VALUE"""),11.57)</f>
        <v>11.57</v>
      </c>
    </row>
    <row r="2359">
      <c r="A2359">
        <f>IFERROR(__xludf.DUMMYFUNCTION("""COMPUTED_VALUE"""),787574.0)</f>
        <v>787574</v>
      </c>
      <c r="B2359" t="str">
        <f>IFERROR(__xludf.DUMMYFUNCTION("""COMPUTED_VALUE"""),"Peas And Carrots Cooked From Frozen Ns As To Fat Added In Cooking")</f>
        <v>Peas And Carrots Cooked From Frozen Ns As To Fat Added In Cooking</v>
      </c>
      <c r="C2359" t="str">
        <f>IFERROR(__xludf.DUMMYFUNCTION("""COMPUTED_VALUE"""),"Vegetables")</f>
        <v>Vegetables</v>
      </c>
      <c r="D2359">
        <f>IFERROR(__xludf.DUMMYFUNCTION("""COMPUTED_VALUE"""),65.0)</f>
        <v>65</v>
      </c>
      <c r="E2359">
        <f>IFERROR(__xludf.DUMMYFUNCTION("""COMPUTED_VALUE"""),2.48)</f>
        <v>2.48</v>
      </c>
      <c r="F2359">
        <f>IFERROR(__xludf.DUMMYFUNCTION("""COMPUTED_VALUE"""),3.0)</f>
        <v>3</v>
      </c>
      <c r="G2359">
        <f>IFERROR(__xludf.DUMMYFUNCTION("""COMPUTED_VALUE"""),9.78)</f>
        <v>9.78</v>
      </c>
    </row>
    <row r="2360">
      <c r="A2360">
        <f>IFERROR(__xludf.DUMMYFUNCTION("""COMPUTED_VALUE"""),787575.0)</f>
        <v>787575</v>
      </c>
      <c r="B2360" t="str">
        <f>IFERROR(__xludf.DUMMYFUNCTION("""COMPUTED_VALUE"""),"Peas And Carrots Cooked From Canned Ns As To Fat Added In Cooking")</f>
        <v>Peas And Carrots Cooked From Canned Ns As To Fat Added In Cooking</v>
      </c>
      <c r="C2360" t="str">
        <f>IFERROR(__xludf.DUMMYFUNCTION("""COMPUTED_VALUE"""),"Vegetables")</f>
        <v>Vegetables</v>
      </c>
      <c r="D2360">
        <f>IFERROR(__xludf.DUMMYFUNCTION("""COMPUTED_VALUE"""),65.0)</f>
        <v>65</v>
      </c>
      <c r="E2360">
        <f>IFERROR(__xludf.DUMMYFUNCTION("""COMPUTED_VALUE"""),2.61)</f>
        <v>2.61</v>
      </c>
      <c r="F2360">
        <f>IFERROR(__xludf.DUMMYFUNCTION("""COMPUTED_VALUE"""),2.63)</f>
        <v>2.63</v>
      </c>
      <c r="G2360">
        <f>IFERROR(__xludf.DUMMYFUNCTION("""COMPUTED_VALUE"""),8.41)</f>
        <v>8.41</v>
      </c>
    </row>
    <row r="2361">
      <c r="A2361">
        <f>IFERROR(__xludf.DUMMYFUNCTION("""COMPUTED_VALUE"""),787576.0)</f>
        <v>787576</v>
      </c>
      <c r="B2361" t="str">
        <f>IFERROR(__xludf.DUMMYFUNCTION("""COMPUTED_VALUE"""),"Peas And Carrots Cooked Ns As To Form Fat Not Added In Cooking")</f>
        <v>Peas And Carrots Cooked Ns As To Form Fat Not Added In Cooking</v>
      </c>
      <c r="C2361" t="str">
        <f>IFERROR(__xludf.DUMMYFUNCTION("""COMPUTED_VALUE"""),"Vegetables")</f>
        <v>Vegetables</v>
      </c>
      <c r="D2361">
        <f>IFERROR(__xludf.DUMMYFUNCTION("""COMPUTED_VALUE"""),48.0)</f>
        <v>48</v>
      </c>
      <c r="E2361">
        <f>IFERROR(__xludf.DUMMYFUNCTION("""COMPUTED_VALUE"""),0.42)</f>
        <v>0.42</v>
      </c>
      <c r="F2361">
        <f>IFERROR(__xludf.DUMMYFUNCTION("""COMPUTED_VALUE"""),3.07)</f>
        <v>3.07</v>
      </c>
      <c r="G2361">
        <f>IFERROR(__xludf.DUMMYFUNCTION("""COMPUTED_VALUE"""),10.06)</f>
        <v>10.06</v>
      </c>
    </row>
    <row r="2362">
      <c r="A2362">
        <f>IFERROR(__xludf.DUMMYFUNCTION("""COMPUTED_VALUE"""),787577.0)</f>
        <v>787577</v>
      </c>
      <c r="B2362" t="str">
        <f>IFERROR(__xludf.DUMMYFUNCTION("""COMPUTED_VALUE"""),"Peas And Carrots Cooked From Fresh Fat Not Added In Cooking")</f>
        <v>Peas And Carrots Cooked From Fresh Fat Not Added In Cooking</v>
      </c>
      <c r="C2362" t="str">
        <f>IFERROR(__xludf.DUMMYFUNCTION("""COMPUTED_VALUE"""),"Vegetables")</f>
        <v>Vegetables</v>
      </c>
      <c r="D2362">
        <f>IFERROR(__xludf.DUMMYFUNCTION("""COMPUTED_VALUE"""),59.0)</f>
        <v>59</v>
      </c>
      <c r="E2362">
        <f>IFERROR(__xludf.DUMMYFUNCTION("""COMPUTED_VALUE"""),0.2)</f>
        <v>0.2</v>
      </c>
      <c r="F2362">
        <f>IFERROR(__xludf.DUMMYFUNCTION("""COMPUTED_VALUE"""),3.08)</f>
        <v>3.08</v>
      </c>
      <c r="G2362">
        <f>IFERROR(__xludf.DUMMYFUNCTION("""COMPUTED_VALUE"""),11.91)</f>
        <v>11.91</v>
      </c>
    </row>
    <row r="2363">
      <c r="A2363">
        <f>IFERROR(__xludf.DUMMYFUNCTION("""COMPUTED_VALUE"""),787578.0)</f>
        <v>787578</v>
      </c>
      <c r="B2363" t="str">
        <f>IFERROR(__xludf.DUMMYFUNCTION("""COMPUTED_VALUE"""),"Peas And Carrots Cooked From Frozen Fat Not Added In Cooking")</f>
        <v>Peas And Carrots Cooked From Frozen Fat Not Added In Cooking</v>
      </c>
      <c r="C2363" t="str">
        <f>IFERROR(__xludf.DUMMYFUNCTION("""COMPUTED_VALUE"""),"Vegetables")</f>
        <v>Vegetables</v>
      </c>
      <c r="D2363">
        <f>IFERROR(__xludf.DUMMYFUNCTION("""COMPUTED_VALUE"""),48.0)</f>
        <v>48</v>
      </c>
      <c r="E2363">
        <f>IFERROR(__xludf.DUMMYFUNCTION("""COMPUTED_VALUE"""),0.42)</f>
        <v>0.42</v>
      </c>
      <c r="F2363">
        <f>IFERROR(__xludf.DUMMYFUNCTION("""COMPUTED_VALUE"""),3.07)</f>
        <v>3.07</v>
      </c>
      <c r="G2363">
        <f>IFERROR(__xludf.DUMMYFUNCTION("""COMPUTED_VALUE"""),10.06)</f>
        <v>10.06</v>
      </c>
    </row>
    <row r="2364">
      <c r="A2364">
        <f>IFERROR(__xludf.DUMMYFUNCTION("""COMPUTED_VALUE"""),787579.0)</f>
        <v>787579</v>
      </c>
      <c r="B2364" t="str">
        <f>IFERROR(__xludf.DUMMYFUNCTION("""COMPUTED_VALUE"""),"Peas And Carrots Cooked From Canned Fat Not Added In Cooking")</f>
        <v>Peas And Carrots Cooked From Canned Fat Not Added In Cooking</v>
      </c>
      <c r="C2364" t="str">
        <f>IFERROR(__xludf.DUMMYFUNCTION("""COMPUTED_VALUE"""),"Vegetables")</f>
        <v>Vegetables</v>
      </c>
      <c r="D2364">
        <f>IFERROR(__xludf.DUMMYFUNCTION("""COMPUTED_VALUE"""),48.0)</f>
        <v>48</v>
      </c>
      <c r="E2364">
        <f>IFERROR(__xludf.DUMMYFUNCTION("""COMPUTED_VALUE"""),0.52)</f>
        <v>0.52</v>
      </c>
      <c r="F2364">
        <f>IFERROR(__xludf.DUMMYFUNCTION("""COMPUTED_VALUE"""),2.69)</f>
        <v>2.69</v>
      </c>
      <c r="G2364">
        <f>IFERROR(__xludf.DUMMYFUNCTION("""COMPUTED_VALUE"""),8.65)</f>
        <v>8.65</v>
      </c>
    </row>
    <row r="2365">
      <c r="A2365">
        <f>IFERROR(__xludf.DUMMYFUNCTION("""COMPUTED_VALUE"""),787580.0)</f>
        <v>787580</v>
      </c>
      <c r="B2365" t="str">
        <f>IFERROR(__xludf.DUMMYFUNCTION("""COMPUTED_VALUE"""),"Peas And Carrots Cooked Ns As To Form Fat Added In Cooking Ns As To Type Of Fat")</f>
        <v>Peas And Carrots Cooked Ns As To Form Fat Added In Cooking Ns As To Type Of Fat</v>
      </c>
      <c r="C2365" t="str">
        <f>IFERROR(__xludf.DUMMYFUNCTION("""COMPUTED_VALUE"""),"Vegetables")</f>
        <v>Vegetables</v>
      </c>
      <c r="D2365">
        <f>IFERROR(__xludf.DUMMYFUNCTION("""COMPUTED_VALUE"""),65.0)</f>
        <v>65</v>
      </c>
      <c r="E2365">
        <f>IFERROR(__xludf.DUMMYFUNCTION("""COMPUTED_VALUE"""),2.48)</f>
        <v>2.48</v>
      </c>
      <c r="F2365">
        <f>IFERROR(__xludf.DUMMYFUNCTION("""COMPUTED_VALUE"""),3.0)</f>
        <v>3</v>
      </c>
      <c r="G2365">
        <f>IFERROR(__xludf.DUMMYFUNCTION("""COMPUTED_VALUE"""),9.78)</f>
        <v>9.78</v>
      </c>
    </row>
    <row r="2366">
      <c r="A2366">
        <f>IFERROR(__xludf.DUMMYFUNCTION("""COMPUTED_VALUE"""),787581.0)</f>
        <v>787581</v>
      </c>
      <c r="B2366" t="str">
        <f>IFERROR(__xludf.DUMMYFUNCTION("""COMPUTED_VALUE"""),"Peas And Carrots Cooked From Fresh Fat Added In Cooking Ns As To Type Of Fat")</f>
        <v>Peas And Carrots Cooked From Fresh Fat Added In Cooking Ns As To Type Of Fat</v>
      </c>
      <c r="C2366" t="str">
        <f>IFERROR(__xludf.DUMMYFUNCTION("""COMPUTED_VALUE"""),"Vegetables")</f>
        <v>Vegetables</v>
      </c>
      <c r="D2366">
        <f>IFERROR(__xludf.DUMMYFUNCTION("""COMPUTED_VALUE"""),76.0)</f>
        <v>76</v>
      </c>
      <c r="E2366">
        <f>IFERROR(__xludf.DUMMYFUNCTION("""COMPUTED_VALUE"""),2.3)</f>
        <v>2.3</v>
      </c>
      <c r="F2366">
        <f>IFERROR(__xludf.DUMMYFUNCTION("""COMPUTED_VALUE"""),3.0)</f>
        <v>3</v>
      </c>
      <c r="G2366">
        <f>IFERROR(__xludf.DUMMYFUNCTION("""COMPUTED_VALUE"""),11.57)</f>
        <v>11.57</v>
      </c>
    </row>
    <row r="2367">
      <c r="A2367">
        <f>IFERROR(__xludf.DUMMYFUNCTION("""COMPUTED_VALUE"""),787582.0)</f>
        <v>787582</v>
      </c>
      <c r="B2367" t="str">
        <f>IFERROR(__xludf.DUMMYFUNCTION("""COMPUTED_VALUE"""),"Peas And Carrots Cooked From Frozen Fat Added In Cooking Ns As To Type Of Fat")</f>
        <v>Peas And Carrots Cooked From Frozen Fat Added In Cooking Ns As To Type Of Fat</v>
      </c>
      <c r="C2367" t="str">
        <f>IFERROR(__xludf.DUMMYFUNCTION("""COMPUTED_VALUE"""),"Vegetables")</f>
        <v>Vegetables</v>
      </c>
      <c r="D2367">
        <f>IFERROR(__xludf.DUMMYFUNCTION("""COMPUTED_VALUE"""),65.0)</f>
        <v>65</v>
      </c>
      <c r="E2367">
        <f>IFERROR(__xludf.DUMMYFUNCTION("""COMPUTED_VALUE"""),2.48)</f>
        <v>2.48</v>
      </c>
      <c r="F2367">
        <f>IFERROR(__xludf.DUMMYFUNCTION("""COMPUTED_VALUE"""),3.0)</f>
        <v>3</v>
      </c>
      <c r="G2367">
        <f>IFERROR(__xludf.DUMMYFUNCTION("""COMPUTED_VALUE"""),9.78)</f>
        <v>9.78</v>
      </c>
    </row>
    <row r="2368">
      <c r="A2368">
        <f>IFERROR(__xludf.DUMMYFUNCTION("""COMPUTED_VALUE"""),787583.0)</f>
        <v>787583</v>
      </c>
      <c r="B2368" t="str">
        <f>IFERROR(__xludf.DUMMYFUNCTION("""COMPUTED_VALUE"""),"Peas And Carrots Cooked From Canned Fat Added In Cooking Ns As To Type Of Fat")</f>
        <v>Peas And Carrots Cooked From Canned Fat Added In Cooking Ns As To Type Of Fat</v>
      </c>
      <c r="C2368" t="str">
        <f>IFERROR(__xludf.DUMMYFUNCTION("""COMPUTED_VALUE"""),"Vegetables")</f>
        <v>Vegetables</v>
      </c>
      <c r="D2368">
        <f>IFERROR(__xludf.DUMMYFUNCTION("""COMPUTED_VALUE"""),65.0)</f>
        <v>65</v>
      </c>
      <c r="E2368">
        <f>IFERROR(__xludf.DUMMYFUNCTION("""COMPUTED_VALUE"""),2.61)</f>
        <v>2.61</v>
      </c>
      <c r="F2368">
        <f>IFERROR(__xludf.DUMMYFUNCTION("""COMPUTED_VALUE"""),2.63)</f>
        <v>2.63</v>
      </c>
      <c r="G2368">
        <f>IFERROR(__xludf.DUMMYFUNCTION("""COMPUTED_VALUE"""),8.41)</f>
        <v>8.41</v>
      </c>
    </row>
    <row r="2369">
      <c r="A2369">
        <f>IFERROR(__xludf.DUMMYFUNCTION("""COMPUTED_VALUE"""),787584.0)</f>
        <v>787584</v>
      </c>
      <c r="B2369" t="str">
        <f>IFERROR(__xludf.DUMMYFUNCTION("""COMPUTED_VALUE"""),"Peas And Carrots Cooked Ns As To Form Made With Oil")</f>
        <v>Peas And Carrots Cooked Ns As To Form Made With Oil</v>
      </c>
      <c r="C2369" t="str">
        <f>IFERROR(__xludf.DUMMYFUNCTION("""COMPUTED_VALUE"""),"Vegetables")</f>
        <v>Vegetables</v>
      </c>
      <c r="D2369">
        <f>IFERROR(__xludf.DUMMYFUNCTION("""COMPUTED_VALUE"""),71.0)</f>
        <v>71</v>
      </c>
      <c r="E2369">
        <f>IFERROR(__xludf.DUMMYFUNCTION("""COMPUTED_VALUE"""),3.15)</f>
        <v>3.15</v>
      </c>
      <c r="F2369">
        <f>IFERROR(__xludf.DUMMYFUNCTION("""COMPUTED_VALUE"""),2.99)</f>
        <v>2.99</v>
      </c>
      <c r="G2369">
        <f>IFERROR(__xludf.DUMMYFUNCTION("""COMPUTED_VALUE"""),9.78)</f>
        <v>9.78</v>
      </c>
    </row>
    <row r="2370">
      <c r="A2370">
        <f>IFERROR(__xludf.DUMMYFUNCTION("""COMPUTED_VALUE"""),787585.0)</f>
        <v>787585</v>
      </c>
      <c r="B2370" t="str">
        <f>IFERROR(__xludf.DUMMYFUNCTION("""COMPUTED_VALUE"""),"Peas And Carrots Cooked Ns As To Form Made With Butter")</f>
        <v>Peas And Carrots Cooked Ns As To Form Made With Butter</v>
      </c>
      <c r="C2370" t="str">
        <f>IFERROR(__xludf.DUMMYFUNCTION("""COMPUTED_VALUE"""),"Vegetables")</f>
        <v>Vegetables</v>
      </c>
      <c r="D2370">
        <f>IFERROR(__xludf.DUMMYFUNCTION("""COMPUTED_VALUE"""),67.0)</f>
        <v>67</v>
      </c>
      <c r="E2370">
        <f>IFERROR(__xludf.DUMMYFUNCTION("""COMPUTED_VALUE"""),2.72)</f>
        <v>2.72</v>
      </c>
      <c r="F2370">
        <f>IFERROR(__xludf.DUMMYFUNCTION("""COMPUTED_VALUE"""),3.01)</f>
        <v>3.01</v>
      </c>
      <c r="G2370">
        <f>IFERROR(__xludf.DUMMYFUNCTION("""COMPUTED_VALUE"""),9.77)</f>
        <v>9.77</v>
      </c>
    </row>
    <row r="2371">
      <c r="A2371">
        <f>IFERROR(__xludf.DUMMYFUNCTION("""COMPUTED_VALUE"""),787586.0)</f>
        <v>787586</v>
      </c>
      <c r="B2371" t="str">
        <f>IFERROR(__xludf.DUMMYFUNCTION("""COMPUTED_VALUE"""),"Peas And Carrots Cooked Ns As To Form Made With Margarine")</f>
        <v>Peas And Carrots Cooked Ns As To Form Made With Margarine</v>
      </c>
      <c r="C2371" t="str">
        <f>IFERROR(__xludf.DUMMYFUNCTION("""COMPUTED_VALUE"""),"Vegetables")</f>
        <v>Vegetables</v>
      </c>
      <c r="D2371">
        <f>IFERROR(__xludf.DUMMYFUNCTION("""COMPUTED_VALUE"""),62.0)</f>
        <v>62</v>
      </c>
      <c r="E2371">
        <f>IFERROR(__xludf.DUMMYFUNCTION("""COMPUTED_VALUE"""),2.13)</f>
        <v>2.13</v>
      </c>
      <c r="F2371">
        <f>IFERROR(__xludf.DUMMYFUNCTION("""COMPUTED_VALUE"""),2.99)</f>
        <v>2.99</v>
      </c>
      <c r="G2371">
        <f>IFERROR(__xludf.DUMMYFUNCTION("""COMPUTED_VALUE"""),9.79)</f>
        <v>9.79</v>
      </c>
    </row>
    <row r="2372">
      <c r="A2372">
        <f>IFERROR(__xludf.DUMMYFUNCTION("""COMPUTED_VALUE"""),787587.0)</f>
        <v>787587</v>
      </c>
      <c r="B2372" t="str">
        <f>IFERROR(__xludf.DUMMYFUNCTION("""COMPUTED_VALUE"""),"Peas And Carrots Cooked From Fresh Made With Oil")</f>
        <v>Peas And Carrots Cooked From Fresh Made With Oil</v>
      </c>
      <c r="C2372" t="str">
        <f>IFERROR(__xludf.DUMMYFUNCTION("""COMPUTED_VALUE"""),"Vegetables")</f>
        <v>Vegetables</v>
      </c>
      <c r="D2372">
        <f>IFERROR(__xludf.DUMMYFUNCTION("""COMPUTED_VALUE"""),71.0)</f>
        <v>71</v>
      </c>
      <c r="E2372">
        <f>IFERROR(__xludf.DUMMYFUNCTION("""COMPUTED_VALUE"""),3.15)</f>
        <v>3.15</v>
      </c>
      <c r="F2372">
        <f>IFERROR(__xludf.DUMMYFUNCTION("""COMPUTED_VALUE"""),2.99)</f>
        <v>2.99</v>
      </c>
      <c r="G2372">
        <f>IFERROR(__xludf.DUMMYFUNCTION("""COMPUTED_VALUE"""),9.78)</f>
        <v>9.78</v>
      </c>
    </row>
    <row r="2373">
      <c r="A2373">
        <f>IFERROR(__xludf.DUMMYFUNCTION("""COMPUTED_VALUE"""),787588.0)</f>
        <v>787588</v>
      </c>
      <c r="B2373" t="str">
        <f>IFERROR(__xludf.DUMMYFUNCTION("""COMPUTED_VALUE"""),"Peas And Carrots Cooked From Fresh Made With Butter")</f>
        <v>Peas And Carrots Cooked From Fresh Made With Butter</v>
      </c>
      <c r="C2373" t="str">
        <f>IFERROR(__xludf.DUMMYFUNCTION("""COMPUTED_VALUE"""),"Vegetables")</f>
        <v>Vegetables</v>
      </c>
      <c r="D2373">
        <f>IFERROR(__xludf.DUMMYFUNCTION("""COMPUTED_VALUE"""),67.0)</f>
        <v>67</v>
      </c>
      <c r="E2373">
        <f>IFERROR(__xludf.DUMMYFUNCTION("""COMPUTED_VALUE"""),2.72)</f>
        <v>2.72</v>
      </c>
      <c r="F2373">
        <f>IFERROR(__xludf.DUMMYFUNCTION("""COMPUTED_VALUE"""),3.01)</f>
        <v>3.01</v>
      </c>
      <c r="G2373">
        <f>IFERROR(__xludf.DUMMYFUNCTION("""COMPUTED_VALUE"""),9.77)</f>
        <v>9.77</v>
      </c>
    </row>
    <row r="2374">
      <c r="A2374">
        <f>IFERROR(__xludf.DUMMYFUNCTION("""COMPUTED_VALUE"""),787589.0)</f>
        <v>787589</v>
      </c>
      <c r="B2374" t="str">
        <f>IFERROR(__xludf.DUMMYFUNCTION("""COMPUTED_VALUE"""),"Peas And Carrots Cooked From Fresh Made With Margarine")</f>
        <v>Peas And Carrots Cooked From Fresh Made With Margarine</v>
      </c>
      <c r="C2374" t="str">
        <f>IFERROR(__xludf.DUMMYFUNCTION("""COMPUTED_VALUE"""),"Vegetables")</f>
        <v>Vegetables</v>
      </c>
      <c r="D2374">
        <f>IFERROR(__xludf.DUMMYFUNCTION("""COMPUTED_VALUE"""),62.0)</f>
        <v>62</v>
      </c>
      <c r="E2374">
        <f>IFERROR(__xludf.DUMMYFUNCTION("""COMPUTED_VALUE"""),2.13)</f>
        <v>2.13</v>
      </c>
      <c r="F2374">
        <f>IFERROR(__xludf.DUMMYFUNCTION("""COMPUTED_VALUE"""),2.99)</f>
        <v>2.99</v>
      </c>
      <c r="G2374">
        <f>IFERROR(__xludf.DUMMYFUNCTION("""COMPUTED_VALUE"""),9.79)</f>
        <v>9.79</v>
      </c>
    </row>
    <row r="2375">
      <c r="A2375">
        <f>IFERROR(__xludf.DUMMYFUNCTION("""COMPUTED_VALUE"""),787590.0)</f>
        <v>787590</v>
      </c>
      <c r="B2375" t="str">
        <f>IFERROR(__xludf.DUMMYFUNCTION("""COMPUTED_VALUE"""),"Peas And Carrots Cooked From Frozen Made With Oil")</f>
        <v>Peas And Carrots Cooked From Frozen Made With Oil</v>
      </c>
      <c r="C2375" t="str">
        <f>IFERROR(__xludf.DUMMYFUNCTION("""COMPUTED_VALUE"""),"Vegetables")</f>
        <v>Vegetables</v>
      </c>
      <c r="D2375">
        <f>IFERROR(__xludf.DUMMYFUNCTION("""COMPUTED_VALUE"""),71.0)</f>
        <v>71</v>
      </c>
      <c r="E2375">
        <f>IFERROR(__xludf.DUMMYFUNCTION("""COMPUTED_VALUE"""),3.15)</f>
        <v>3.15</v>
      </c>
      <c r="F2375">
        <f>IFERROR(__xludf.DUMMYFUNCTION("""COMPUTED_VALUE"""),2.99)</f>
        <v>2.99</v>
      </c>
      <c r="G2375">
        <f>IFERROR(__xludf.DUMMYFUNCTION("""COMPUTED_VALUE"""),9.78)</f>
        <v>9.78</v>
      </c>
    </row>
    <row r="2376">
      <c r="A2376">
        <f>IFERROR(__xludf.DUMMYFUNCTION("""COMPUTED_VALUE"""),787591.0)</f>
        <v>787591</v>
      </c>
      <c r="B2376" t="str">
        <f>IFERROR(__xludf.DUMMYFUNCTION("""COMPUTED_VALUE"""),"Peas And Carrots Cooked From Frozen Made With Butter")</f>
        <v>Peas And Carrots Cooked From Frozen Made With Butter</v>
      </c>
      <c r="C2376" t="str">
        <f>IFERROR(__xludf.DUMMYFUNCTION("""COMPUTED_VALUE"""),"Vegetables")</f>
        <v>Vegetables</v>
      </c>
      <c r="D2376">
        <f>IFERROR(__xludf.DUMMYFUNCTION("""COMPUTED_VALUE"""),67.0)</f>
        <v>67</v>
      </c>
      <c r="E2376">
        <f>IFERROR(__xludf.DUMMYFUNCTION("""COMPUTED_VALUE"""),2.72)</f>
        <v>2.72</v>
      </c>
      <c r="F2376">
        <f>IFERROR(__xludf.DUMMYFUNCTION("""COMPUTED_VALUE"""),3.01)</f>
        <v>3.01</v>
      </c>
      <c r="G2376">
        <f>IFERROR(__xludf.DUMMYFUNCTION("""COMPUTED_VALUE"""),9.77)</f>
        <v>9.77</v>
      </c>
    </row>
    <row r="2377">
      <c r="A2377">
        <f>IFERROR(__xludf.DUMMYFUNCTION("""COMPUTED_VALUE"""),787592.0)</f>
        <v>787592</v>
      </c>
      <c r="B2377" t="str">
        <f>IFERROR(__xludf.DUMMYFUNCTION("""COMPUTED_VALUE"""),"Peas And Carrots Cooked From Frozen Made With Margarine")</f>
        <v>Peas And Carrots Cooked From Frozen Made With Margarine</v>
      </c>
      <c r="C2377" t="str">
        <f>IFERROR(__xludf.DUMMYFUNCTION("""COMPUTED_VALUE"""),"Vegetables")</f>
        <v>Vegetables</v>
      </c>
      <c r="D2377">
        <f>IFERROR(__xludf.DUMMYFUNCTION("""COMPUTED_VALUE"""),62.0)</f>
        <v>62</v>
      </c>
      <c r="E2377">
        <f>IFERROR(__xludf.DUMMYFUNCTION("""COMPUTED_VALUE"""),2.13)</f>
        <v>2.13</v>
      </c>
      <c r="F2377">
        <f>IFERROR(__xludf.DUMMYFUNCTION("""COMPUTED_VALUE"""),2.99)</f>
        <v>2.99</v>
      </c>
      <c r="G2377">
        <f>IFERROR(__xludf.DUMMYFUNCTION("""COMPUTED_VALUE"""),9.79)</f>
        <v>9.79</v>
      </c>
    </row>
    <row r="2378">
      <c r="A2378">
        <f>IFERROR(__xludf.DUMMYFUNCTION("""COMPUTED_VALUE"""),787593.0)</f>
        <v>787593</v>
      </c>
      <c r="B2378" t="str">
        <f>IFERROR(__xludf.DUMMYFUNCTION("""COMPUTED_VALUE"""),"Peas And Carrots Cooked From Canned Made With Oil")</f>
        <v>Peas And Carrots Cooked From Canned Made With Oil</v>
      </c>
      <c r="C2378" t="str">
        <f>IFERROR(__xludf.DUMMYFUNCTION("""COMPUTED_VALUE"""),"Vegetables")</f>
        <v>Vegetables</v>
      </c>
      <c r="D2378">
        <f>IFERROR(__xludf.DUMMYFUNCTION("""COMPUTED_VALUE"""),71.0)</f>
        <v>71</v>
      </c>
      <c r="E2378">
        <f>IFERROR(__xludf.DUMMYFUNCTION("""COMPUTED_VALUE"""),3.29)</f>
        <v>3.29</v>
      </c>
      <c r="F2378">
        <f>IFERROR(__xludf.DUMMYFUNCTION("""COMPUTED_VALUE"""),2.62)</f>
        <v>2.62</v>
      </c>
      <c r="G2378">
        <f>IFERROR(__xludf.DUMMYFUNCTION("""COMPUTED_VALUE"""),8.41)</f>
        <v>8.41</v>
      </c>
    </row>
    <row r="2379">
      <c r="A2379">
        <f>IFERROR(__xludf.DUMMYFUNCTION("""COMPUTED_VALUE"""),787594.0)</f>
        <v>787594</v>
      </c>
      <c r="B2379" t="str">
        <f>IFERROR(__xludf.DUMMYFUNCTION("""COMPUTED_VALUE"""),"Peas And Carrots Cooked From Canned Made With Butter")</f>
        <v>Peas And Carrots Cooked From Canned Made With Butter</v>
      </c>
      <c r="C2379" t="str">
        <f>IFERROR(__xludf.DUMMYFUNCTION("""COMPUTED_VALUE"""),"Vegetables")</f>
        <v>Vegetables</v>
      </c>
      <c r="D2379">
        <f>IFERROR(__xludf.DUMMYFUNCTION("""COMPUTED_VALUE"""),67.0)</f>
        <v>67</v>
      </c>
      <c r="E2379">
        <f>IFERROR(__xludf.DUMMYFUNCTION("""COMPUTED_VALUE"""),2.85)</f>
        <v>2.85</v>
      </c>
      <c r="F2379">
        <f>IFERROR(__xludf.DUMMYFUNCTION("""COMPUTED_VALUE"""),2.64)</f>
        <v>2.64</v>
      </c>
      <c r="G2379">
        <f>IFERROR(__xludf.DUMMYFUNCTION("""COMPUTED_VALUE"""),8.4)</f>
        <v>8.4</v>
      </c>
    </row>
    <row r="2380">
      <c r="A2380">
        <f>IFERROR(__xludf.DUMMYFUNCTION("""COMPUTED_VALUE"""),787595.0)</f>
        <v>787595</v>
      </c>
      <c r="B2380" t="str">
        <f>IFERROR(__xludf.DUMMYFUNCTION("""COMPUTED_VALUE"""),"Peas And Carrots Cooked From Canned Made With Margarine")</f>
        <v>Peas And Carrots Cooked From Canned Made With Margarine</v>
      </c>
      <c r="C2380" t="str">
        <f>IFERROR(__xludf.DUMMYFUNCTION("""COMPUTED_VALUE"""),"Vegetables")</f>
        <v>Vegetables</v>
      </c>
      <c r="D2380">
        <f>IFERROR(__xludf.DUMMYFUNCTION("""COMPUTED_VALUE"""),62.0)</f>
        <v>62</v>
      </c>
      <c r="E2380">
        <f>IFERROR(__xludf.DUMMYFUNCTION("""COMPUTED_VALUE"""),2.25)</f>
        <v>2.25</v>
      </c>
      <c r="F2380">
        <f>IFERROR(__xludf.DUMMYFUNCTION("""COMPUTED_VALUE"""),2.62)</f>
        <v>2.62</v>
      </c>
      <c r="G2380">
        <f>IFERROR(__xludf.DUMMYFUNCTION("""COMPUTED_VALUE"""),8.42)</f>
        <v>8.42</v>
      </c>
    </row>
    <row r="2381">
      <c r="A2381">
        <f>IFERROR(__xludf.DUMMYFUNCTION("""COMPUTED_VALUE"""),787596.0)</f>
        <v>787596</v>
      </c>
      <c r="B2381" t="str">
        <f>IFERROR(__xludf.DUMMYFUNCTION("""COMPUTED_VALUE"""),"Carrots In Tomato Sauce")</f>
        <v>Carrots In Tomato Sauce</v>
      </c>
      <c r="C2381" t="str">
        <f>IFERROR(__xludf.DUMMYFUNCTION("""COMPUTED_VALUE"""),"Vegetables")</f>
        <v>Vegetables</v>
      </c>
      <c r="D2381">
        <f>IFERROR(__xludf.DUMMYFUNCTION("""COMPUTED_VALUE"""),31.0)</f>
        <v>31</v>
      </c>
      <c r="E2381">
        <f>IFERROR(__xludf.DUMMYFUNCTION("""COMPUTED_VALUE"""),0.22)</f>
        <v>0.22</v>
      </c>
      <c r="F2381">
        <f>IFERROR(__xludf.DUMMYFUNCTION("""COMPUTED_VALUE"""),0.91)</f>
        <v>0.91</v>
      </c>
      <c r="G2381">
        <f>IFERROR(__xludf.DUMMYFUNCTION("""COMPUTED_VALUE"""),7.18)</f>
        <v>7.18</v>
      </c>
    </row>
    <row r="2382">
      <c r="A2382">
        <f>IFERROR(__xludf.DUMMYFUNCTION("""COMPUTED_VALUE"""),787597.0)</f>
        <v>787597</v>
      </c>
      <c r="B2382" t="str">
        <f>IFERROR(__xludf.DUMMYFUNCTION("""COMPUTED_VALUE"""),"Pumpkin Cooked Ns As To Form Ns As To Fat Added In Cooking")</f>
        <v>Pumpkin Cooked Ns As To Form Ns As To Fat Added In Cooking</v>
      </c>
      <c r="C2382" t="str">
        <f>IFERROR(__xludf.DUMMYFUNCTION("""COMPUTED_VALUE"""),"Vegetables")</f>
        <v>Vegetables</v>
      </c>
      <c r="D2382">
        <f>IFERROR(__xludf.DUMMYFUNCTION("""COMPUTED_VALUE"""),32.0)</f>
        <v>32</v>
      </c>
      <c r="E2382">
        <f>IFERROR(__xludf.DUMMYFUNCTION("""COMPUTED_VALUE"""),1.44)</f>
        <v>1.44</v>
      </c>
      <c r="F2382">
        <f>IFERROR(__xludf.DUMMYFUNCTION("""COMPUTED_VALUE"""),0.71)</f>
        <v>0.71</v>
      </c>
      <c r="G2382">
        <f>IFERROR(__xludf.DUMMYFUNCTION("""COMPUTED_VALUE"""),4.8)</f>
        <v>4.8</v>
      </c>
    </row>
    <row r="2383">
      <c r="A2383">
        <f>IFERROR(__xludf.DUMMYFUNCTION("""COMPUTED_VALUE"""),787598.0)</f>
        <v>787598</v>
      </c>
      <c r="B2383" t="str">
        <f>IFERROR(__xludf.DUMMYFUNCTION("""COMPUTED_VALUE"""),"Pumpkin Cooked From Fresh Ns As To Fat Added In Cooking")</f>
        <v>Pumpkin Cooked From Fresh Ns As To Fat Added In Cooking</v>
      </c>
      <c r="C2383" t="str">
        <f>IFERROR(__xludf.DUMMYFUNCTION("""COMPUTED_VALUE"""),"Vegetables")</f>
        <v>Vegetables</v>
      </c>
      <c r="D2383">
        <f>IFERROR(__xludf.DUMMYFUNCTION("""COMPUTED_VALUE"""),32.0)</f>
        <v>32</v>
      </c>
      <c r="E2383">
        <f>IFERROR(__xludf.DUMMYFUNCTION("""COMPUTED_VALUE"""),1.44)</f>
        <v>1.44</v>
      </c>
      <c r="F2383">
        <f>IFERROR(__xludf.DUMMYFUNCTION("""COMPUTED_VALUE"""),0.71)</f>
        <v>0.71</v>
      </c>
      <c r="G2383">
        <f>IFERROR(__xludf.DUMMYFUNCTION("""COMPUTED_VALUE"""),4.8)</f>
        <v>4.8</v>
      </c>
    </row>
    <row r="2384">
      <c r="A2384">
        <f>IFERROR(__xludf.DUMMYFUNCTION("""COMPUTED_VALUE"""),787599.0)</f>
        <v>787599</v>
      </c>
      <c r="B2384" t="str">
        <f>IFERROR(__xludf.DUMMYFUNCTION("""COMPUTED_VALUE"""),"Pumpkin Cooked From Frozen Ns As To Fat Added In Cooking")</f>
        <v>Pumpkin Cooked From Frozen Ns As To Fat Added In Cooking</v>
      </c>
      <c r="C2384" t="str">
        <f>IFERROR(__xludf.DUMMYFUNCTION("""COMPUTED_VALUE"""),"Vegetables")</f>
        <v>Vegetables</v>
      </c>
      <c r="D2384">
        <f>IFERROR(__xludf.DUMMYFUNCTION("""COMPUTED_VALUE"""),32.0)</f>
        <v>32</v>
      </c>
      <c r="E2384">
        <f>IFERROR(__xludf.DUMMYFUNCTION("""COMPUTED_VALUE"""),1.44)</f>
        <v>1.44</v>
      </c>
      <c r="F2384">
        <f>IFERROR(__xludf.DUMMYFUNCTION("""COMPUTED_VALUE"""),0.71)</f>
        <v>0.71</v>
      </c>
      <c r="G2384">
        <f>IFERROR(__xludf.DUMMYFUNCTION("""COMPUTED_VALUE"""),4.8)</f>
        <v>4.8</v>
      </c>
    </row>
    <row r="2385">
      <c r="A2385">
        <f>IFERROR(__xludf.DUMMYFUNCTION("""COMPUTED_VALUE"""),787600.0)</f>
        <v>787600</v>
      </c>
      <c r="B2385" t="str">
        <f>IFERROR(__xludf.DUMMYFUNCTION("""COMPUTED_VALUE"""),"Pumpkin Cooked From Canned Ns As To Fat Added In Cooking")</f>
        <v>Pumpkin Cooked From Canned Ns As To Fat Added In Cooking</v>
      </c>
      <c r="C2385" t="str">
        <f>IFERROR(__xludf.DUMMYFUNCTION("""COMPUTED_VALUE"""),"Vegetables")</f>
        <v>Vegetables</v>
      </c>
      <c r="D2385">
        <f>IFERROR(__xludf.DUMMYFUNCTION("""COMPUTED_VALUE"""),45.0)</f>
        <v>45</v>
      </c>
      <c r="E2385">
        <f>IFERROR(__xludf.DUMMYFUNCTION("""COMPUTED_VALUE"""),1.64)</f>
        <v>1.64</v>
      </c>
      <c r="F2385">
        <f>IFERROR(__xludf.DUMMYFUNCTION("""COMPUTED_VALUE"""),1.09)</f>
        <v>1.09</v>
      </c>
      <c r="G2385">
        <f>IFERROR(__xludf.DUMMYFUNCTION("""COMPUTED_VALUE"""),7.91)</f>
        <v>7.91</v>
      </c>
    </row>
    <row r="2386">
      <c r="A2386">
        <f>IFERROR(__xludf.DUMMYFUNCTION("""COMPUTED_VALUE"""),787601.0)</f>
        <v>787601</v>
      </c>
      <c r="B2386" t="str">
        <f>IFERROR(__xludf.DUMMYFUNCTION("""COMPUTED_VALUE"""),"Pumpkin Cooked Ns As To Form Fat Not Added In Cooking")</f>
        <v>Pumpkin Cooked Ns As To Form Fat Not Added In Cooking</v>
      </c>
      <c r="C2386" t="str">
        <f>IFERROR(__xludf.DUMMYFUNCTION("""COMPUTED_VALUE"""),"Vegetables")</f>
        <v>Vegetables</v>
      </c>
      <c r="D2386">
        <f>IFERROR(__xludf.DUMMYFUNCTION("""COMPUTED_VALUE"""),20.0)</f>
        <v>20</v>
      </c>
      <c r="E2386">
        <f>IFERROR(__xludf.DUMMYFUNCTION("""COMPUTED_VALUE"""),0.07)</f>
        <v>0.07</v>
      </c>
      <c r="F2386">
        <f>IFERROR(__xludf.DUMMYFUNCTION("""COMPUTED_VALUE"""),0.72)</f>
        <v>0.72</v>
      </c>
      <c r="G2386">
        <f>IFERROR(__xludf.DUMMYFUNCTION("""COMPUTED_VALUE"""),4.88)</f>
        <v>4.88</v>
      </c>
    </row>
    <row r="2387">
      <c r="A2387">
        <f>IFERROR(__xludf.DUMMYFUNCTION("""COMPUTED_VALUE"""),787602.0)</f>
        <v>787602</v>
      </c>
      <c r="B2387" t="str">
        <f>IFERROR(__xludf.DUMMYFUNCTION("""COMPUTED_VALUE"""),"Pumpkin Cooked From Fresh Fat Not Added In Cooking")</f>
        <v>Pumpkin Cooked From Fresh Fat Not Added In Cooking</v>
      </c>
      <c r="C2387" t="str">
        <f>IFERROR(__xludf.DUMMYFUNCTION("""COMPUTED_VALUE"""),"Vegetables")</f>
        <v>Vegetables</v>
      </c>
      <c r="D2387">
        <f>IFERROR(__xludf.DUMMYFUNCTION("""COMPUTED_VALUE"""),20.0)</f>
        <v>20</v>
      </c>
      <c r="E2387">
        <f>IFERROR(__xludf.DUMMYFUNCTION("""COMPUTED_VALUE"""),0.07)</f>
        <v>0.07</v>
      </c>
      <c r="F2387">
        <f>IFERROR(__xludf.DUMMYFUNCTION("""COMPUTED_VALUE"""),0.72)</f>
        <v>0.72</v>
      </c>
      <c r="G2387">
        <f>IFERROR(__xludf.DUMMYFUNCTION("""COMPUTED_VALUE"""),4.88)</f>
        <v>4.88</v>
      </c>
    </row>
    <row r="2388">
      <c r="A2388">
        <f>IFERROR(__xludf.DUMMYFUNCTION("""COMPUTED_VALUE"""),787603.0)</f>
        <v>787603</v>
      </c>
      <c r="B2388" t="str">
        <f>IFERROR(__xludf.DUMMYFUNCTION("""COMPUTED_VALUE"""),"Pumpkin Cooked From Frozen Fat Not Added In Cooking")</f>
        <v>Pumpkin Cooked From Frozen Fat Not Added In Cooking</v>
      </c>
      <c r="C2388" t="str">
        <f>IFERROR(__xludf.DUMMYFUNCTION("""COMPUTED_VALUE"""),"Vegetables")</f>
        <v>Vegetables</v>
      </c>
      <c r="D2388">
        <f>IFERROR(__xludf.DUMMYFUNCTION("""COMPUTED_VALUE"""),20.0)</f>
        <v>20</v>
      </c>
      <c r="E2388">
        <f>IFERROR(__xludf.DUMMYFUNCTION("""COMPUTED_VALUE"""),0.07)</f>
        <v>0.07</v>
      </c>
      <c r="F2388">
        <f>IFERROR(__xludf.DUMMYFUNCTION("""COMPUTED_VALUE"""),0.72)</f>
        <v>0.72</v>
      </c>
      <c r="G2388">
        <f>IFERROR(__xludf.DUMMYFUNCTION("""COMPUTED_VALUE"""),4.88)</f>
        <v>4.88</v>
      </c>
    </row>
    <row r="2389">
      <c r="A2389">
        <f>IFERROR(__xludf.DUMMYFUNCTION("""COMPUTED_VALUE"""),787604.0)</f>
        <v>787604</v>
      </c>
      <c r="B2389" t="str">
        <f>IFERROR(__xludf.DUMMYFUNCTION("""COMPUTED_VALUE"""),"Pumpkin Cooked From Canned Fat Not Added In Cooking")</f>
        <v>Pumpkin Cooked From Canned Fat Not Added In Cooking</v>
      </c>
      <c r="C2389" t="str">
        <f>IFERROR(__xludf.DUMMYFUNCTION("""COMPUTED_VALUE"""),"Vegetables")</f>
        <v>Vegetables</v>
      </c>
      <c r="D2389">
        <f>IFERROR(__xludf.DUMMYFUNCTION("""COMPUTED_VALUE"""),34.0)</f>
        <v>34</v>
      </c>
      <c r="E2389">
        <f>IFERROR(__xludf.DUMMYFUNCTION("""COMPUTED_VALUE"""),0.28)</f>
        <v>0.28</v>
      </c>
      <c r="F2389">
        <f>IFERROR(__xludf.DUMMYFUNCTION("""COMPUTED_VALUE"""),1.1)</f>
        <v>1.1</v>
      </c>
      <c r="G2389">
        <f>IFERROR(__xludf.DUMMYFUNCTION("""COMPUTED_VALUE"""),8.06)</f>
        <v>8.06</v>
      </c>
    </row>
    <row r="2390">
      <c r="A2390">
        <f>IFERROR(__xludf.DUMMYFUNCTION("""COMPUTED_VALUE"""),787605.0)</f>
        <v>787605</v>
      </c>
      <c r="B2390" t="str">
        <f>IFERROR(__xludf.DUMMYFUNCTION("""COMPUTED_VALUE"""),"Pumpkin Cooked Ns As To Form Fat Added In Cooking Ns As To Type Of Fat")</f>
        <v>Pumpkin Cooked Ns As To Form Fat Added In Cooking Ns As To Type Of Fat</v>
      </c>
      <c r="C2390" t="str">
        <f>IFERROR(__xludf.DUMMYFUNCTION("""COMPUTED_VALUE"""),"Vegetables")</f>
        <v>Vegetables</v>
      </c>
      <c r="D2390">
        <f>IFERROR(__xludf.DUMMYFUNCTION("""COMPUTED_VALUE"""),32.0)</f>
        <v>32</v>
      </c>
      <c r="E2390">
        <f>IFERROR(__xludf.DUMMYFUNCTION("""COMPUTED_VALUE"""),1.44)</f>
        <v>1.44</v>
      </c>
      <c r="F2390">
        <f>IFERROR(__xludf.DUMMYFUNCTION("""COMPUTED_VALUE"""),0.71)</f>
        <v>0.71</v>
      </c>
      <c r="G2390">
        <f>IFERROR(__xludf.DUMMYFUNCTION("""COMPUTED_VALUE"""),4.8)</f>
        <v>4.8</v>
      </c>
    </row>
    <row r="2391">
      <c r="A2391">
        <f>IFERROR(__xludf.DUMMYFUNCTION("""COMPUTED_VALUE"""),787606.0)</f>
        <v>787606</v>
      </c>
      <c r="B2391" t="str">
        <f>IFERROR(__xludf.DUMMYFUNCTION("""COMPUTED_VALUE"""),"Pumpkin Cooked From Fresh Fat Added In Cooking Ns As To Type Of Fat")</f>
        <v>Pumpkin Cooked From Fresh Fat Added In Cooking Ns As To Type Of Fat</v>
      </c>
      <c r="C2391" t="str">
        <f>IFERROR(__xludf.DUMMYFUNCTION("""COMPUTED_VALUE"""),"Vegetables")</f>
        <v>Vegetables</v>
      </c>
      <c r="D2391">
        <f>IFERROR(__xludf.DUMMYFUNCTION("""COMPUTED_VALUE"""),32.0)</f>
        <v>32</v>
      </c>
      <c r="E2391">
        <f>IFERROR(__xludf.DUMMYFUNCTION("""COMPUTED_VALUE"""),1.44)</f>
        <v>1.44</v>
      </c>
      <c r="F2391">
        <f>IFERROR(__xludf.DUMMYFUNCTION("""COMPUTED_VALUE"""),0.71)</f>
        <v>0.71</v>
      </c>
      <c r="G2391">
        <f>IFERROR(__xludf.DUMMYFUNCTION("""COMPUTED_VALUE"""),4.8)</f>
        <v>4.8</v>
      </c>
    </row>
    <row r="2392">
      <c r="A2392">
        <f>IFERROR(__xludf.DUMMYFUNCTION("""COMPUTED_VALUE"""),787607.0)</f>
        <v>787607</v>
      </c>
      <c r="B2392" t="str">
        <f>IFERROR(__xludf.DUMMYFUNCTION("""COMPUTED_VALUE"""),"Pumpkin Cooked From Frozen Fat Added In Cooking Ns As To Type Of Fat")</f>
        <v>Pumpkin Cooked From Frozen Fat Added In Cooking Ns As To Type Of Fat</v>
      </c>
      <c r="C2392" t="str">
        <f>IFERROR(__xludf.DUMMYFUNCTION("""COMPUTED_VALUE"""),"Vegetables")</f>
        <v>Vegetables</v>
      </c>
      <c r="D2392">
        <f>IFERROR(__xludf.DUMMYFUNCTION("""COMPUTED_VALUE"""),32.0)</f>
        <v>32</v>
      </c>
      <c r="E2392">
        <f>IFERROR(__xludf.DUMMYFUNCTION("""COMPUTED_VALUE"""),1.44)</f>
        <v>1.44</v>
      </c>
      <c r="F2392">
        <f>IFERROR(__xludf.DUMMYFUNCTION("""COMPUTED_VALUE"""),0.71)</f>
        <v>0.71</v>
      </c>
      <c r="G2392">
        <f>IFERROR(__xludf.DUMMYFUNCTION("""COMPUTED_VALUE"""),4.8)</f>
        <v>4.8</v>
      </c>
    </row>
    <row r="2393">
      <c r="A2393">
        <f>IFERROR(__xludf.DUMMYFUNCTION("""COMPUTED_VALUE"""),787608.0)</f>
        <v>787608</v>
      </c>
      <c r="B2393" t="str">
        <f>IFERROR(__xludf.DUMMYFUNCTION("""COMPUTED_VALUE"""),"Pumpkin Cooked From Canned Fat Added In Cooking Ns As To Type Of Fat")</f>
        <v>Pumpkin Cooked From Canned Fat Added In Cooking Ns As To Type Of Fat</v>
      </c>
      <c r="C2393" t="str">
        <f>IFERROR(__xludf.DUMMYFUNCTION("""COMPUTED_VALUE"""),"Vegetables")</f>
        <v>Vegetables</v>
      </c>
      <c r="D2393">
        <f>IFERROR(__xludf.DUMMYFUNCTION("""COMPUTED_VALUE"""),45.0)</f>
        <v>45</v>
      </c>
      <c r="E2393">
        <f>IFERROR(__xludf.DUMMYFUNCTION("""COMPUTED_VALUE"""),1.64)</f>
        <v>1.64</v>
      </c>
      <c r="F2393">
        <f>IFERROR(__xludf.DUMMYFUNCTION("""COMPUTED_VALUE"""),1.09)</f>
        <v>1.09</v>
      </c>
      <c r="G2393">
        <f>IFERROR(__xludf.DUMMYFUNCTION("""COMPUTED_VALUE"""),7.91)</f>
        <v>7.91</v>
      </c>
    </row>
    <row r="2394">
      <c r="A2394">
        <f>IFERROR(__xludf.DUMMYFUNCTION("""COMPUTED_VALUE"""),787609.0)</f>
        <v>787609</v>
      </c>
      <c r="B2394" t="str">
        <f>IFERROR(__xludf.DUMMYFUNCTION("""COMPUTED_VALUE"""),"Pumpkin Cooked Ns As To Form Made With Oil")</f>
        <v>Pumpkin Cooked Ns As To Form Made With Oil</v>
      </c>
      <c r="C2394" t="str">
        <f>IFERROR(__xludf.DUMMYFUNCTION("""COMPUTED_VALUE"""),"Vegetables")</f>
        <v>Vegetables</v>
      </c>
      <c r="D2394">
        <f>IFERROR(__xludf.DUMMYFUNCTION("""COMPUTED_VALUE"""),36.0)</f>
        <v>36</v>
      </c>
      <c r="E2394">
        <f>IFERROR(__xludf.DUMMYFUNCTION("""COMPUTED_VALUE"""),1.88)</f>
        <v>1.88</v>
      </c>
      <c r="F2394">
        <f>IFERROR(__xludf.DUMMYFUNCTION("""COMPUTED_VALUE"""),0.7)</f>
        <v>0.7</v>
      </c>
      <c r="G2394">
        <f>IFERROR(__xludf.DUMMYFUNCTION("""COMPUTED_VALUE"""),4.79)</f>
        <v>4.79</v>
      </c>
    </row>
    <row r="2395">
      <c r="A2395">
        <f>IFERROR(__xludf.DUMMYFUNCTION("""COMPUTED_VALUE"""),787610.0)</f>
        <v>787610</v>
      </c>
      <c r="B2395" t="str">
        <f>IFERROR(__xludf.DUMMYFUNCTION("""COMPUTED_VALUE"""),"Pumpkin Cooked Ns As To Form Made With Butter")</f>
        <v>Pumpkin Cooked Ns As To Form Made With Butter</v>
      </c>
      <c r="C2395" t="str">
        <f>IFERROR(__xludf.DUMMYFUNCTION("""COMPUTED_VALUE"""),"Vegetables")</f>
        <v>Vegetables</v>
      </c>
      <c r="D2395">
        <f>IFERROR(__xludf.DUMMYFUNCTION("""COMPUTED_VALUE"""),33.0)</f>
        <v>33</v>
      </c>
      <c r="E2395">
        <f>IFERROR(__xludf.DUMMYFUNCTION("""COMPUTED_VALUE"""),1.6)</f>
        <v>1.6</v>
      </c>
      <c r="F2395">
        <f>IFERROR(__xludf.DUMMYFUNCTION("""COMPUTED_VALUE"""),0.72)</f>
        <v>0.72</v>
      </c>
      <c r="G2395">
        <f>IFERROR(__xludf.DUMMYFUNCTION("""COMPUTED_VALUE"""),4.79)</f>
        <v>4.79</v>
      </c>
    </row>
    <row r="2396">
      <c r="A2396">
        <f>IFERROR(__xludf.DUMMYFUNCTION("""COMPUTED_VALUE"""),787611.0)</f>
        <v>787611</v>
      </c>
      <c r="B2396" t="str">
        <f>IFERROR(__xludf.DUMMYFUNCTION("""COMPUTED_VALUE"""),"Pumpkin Cooked Ns As To Form Made With Margarine")</f>
        <v>Pumpkin Cooked Ns As To Form Made With Margarine</v>
      </c>
      <c r="C2396" t="str">
        <f>IFERROR(__xludf.DUMMYFUNCTION("""COMPUTED_VALUE"""),"Vegetables")</f>
        <v>Vegetables</v>
      </c>
      <c r="D2396">
        <f>IFERROR(__xludf.DUMMYFUNCTION("""COMPUTED_VALUE"""),30.0)</f>
        <v>30</v>
      </c>
      <c r="E2396">
        <f>IFERROR(__xludf.DUMMYFUNCTION("""COMPUTED_VALUE"""),1.21)</f>
        <v>1.21</v>
      </c>
      <c r="F2396">
        <f>IFERROR(__xludf.DUMMYFUNCTION("""COMPUTED_VALUE"""),0.71)</f>
        <v>0.71</v>
      </c>
      <c r="G2396">
        <f>IFERROR(__xludf.DUMMYFUNCTION("""COMPUTED_VALUE"""),4.8)</f>
        <v>4.8</v>
      </c>
    </row>
    <row r="2397">
      <c r="A2397">
        <f>IFERROR(__xludf.DUMMYFUNCTION("""COMPUTED_VALUE"""),787612.0)</f>
        <v>787612</v>
      </c>
      <c r="B2397" t="str">
        <f>IFERROR(__xludf.DUMMYFUNCTION("""COMPUTED_VALUE"""),"Pumpkin Cooked From Fresh Made With Oil")</f>
        <v>Pumpkin Cooked From Fresh Made With Oil</v>
      </c>
      <c r="C2397" t="str">
        <f>IFERROR(__xludf.DUMMYFUNCTION("""COMPUTED_VALUE"""),"Vegetables")</f>
        <v>Vegetables</v>
      </c>
      <c r="D2397">
        <f>IFERROR(__xludf.DUMMYFUNCTION("""COMPUTED_VALUE"""),36.0)</f>
        <v>36</v>
      </c>
      <c r="E2397">
        <f>IFERROR(__xludf.DUMMYFUNCTION("""COMPUTED_VALUE"""),1.88)</f>
        <v>1.88</v>
      </c>
      <c r="F2397">
        <f>IFERROR(__xludf.DUMMYFUNCTION("""COMPUTED_VALUE"""),0.7)</f>
        <v>0.7</v>
      </c>
      <c r="G2397">
        <f>IFERROR(__xludf.DUMMYFUNCTION("""COMPUTED_VALUE"""),4.79)</f>
        <v>4.79</v>
      </c>
    </row>
    <row r="2398">
      <c r="A2398">
        <f>IFERROR(__xludf.DUMMYFUNCTION("""COMPUTED_VALUE"""),787613.0)</f>
        <v>787613</v>
      </c>
      <c r="B2398" t="str">
        <f>IFERROR(__xludf.DUMMYFUNCTION("""COMPUTED_VALUE"""),"Pumpkin Cooked From Fresh Made With Butter")</f>
        <v>Pumpkin Cooked From Fresh Made With Butter</v>
      </c>
      <c r="C2398" t="str">
        <f>IFERROR(__xludf.DUMMYFUNCTION("""COMPUTED_VALUE"""),"Vegetables")</f>
        <v>Vegetables</v>
      </c>
      <c r="D2398">
        <f>IFERROR(__xludf.DUMMYFUNCTION("""COMPUTED_VALUE"""),33.0)</f>
        <v>33</v>
      </c>
      <c r="E2398">
        <f>IFERROR(__xludf.DUMMYFUNCTION("""COMPUTED_VALUE"""),1.6)</f>
        <v>1.6</v>
      </c>
      <c r="F2398">
        <f>IFERROR(__xludf.DUMMYFUNCTION("""COMPUTED_VALUE"""),0.72)</f>
        <v>0.72</v>
      </c>
      <c r="G2398">
        <f>IFERROR(__xludf.DUMMYFUNCTION("""COMPUTED_VALUE"""),4.79)</f>
        <v>4.79</v>
      </c>
    </row>
    <row r="2399">
      <c r="A2399">
        <f>IFERROR(__xludf.DUMMYFUNCTION("""COMPUTED_VALUE"""),787614.0)</f>
        <v>787614</v>
      </c>
      <c r="B2399" t="str">
        <f>IFERROR(__xludf.DUMMYFUNCTION("""COMPUTED_VALUE"""),"Pumpkin Cooked From Fresh Made With Margarine")</f>
        <v>Pumpkin Cooked From Fresh Made With Margarine</v>
      </c>
      <c r="C2399" t="str">
        <f>IFERROR(__xludf.DUMMYFUNCTION("""COMPUTED_VALUE"""),"Vegetables")</f>
        <v>Vegetables</v>
      </c>
      <c r="D2399">
        <f>IFERROR(__xludf.DUMMYFUNCTION("""COMPUTED_VALUE"""),30.0)</f>
        <v>30</v>
      </c>
      <c r="E2399">
        <f>IFERROR(__xludf.DUMMYFUNCTION("""COMPUTED_VALUE"""),1.21)</f>
        <v>1.21</v>
      </c>
      <c r="F2399">
        <f>IFERROR(__xludf.DUMMYFUNCTION("""COMPUTED_VALUE"""),0.71)</f>
        <v>0.71</v>
      </c>
      <c r="G2399">
        <f>IFERROR(__xludf.DUMMYFUNCTION("""COMPUTED_VALUE"""),4.8)</f>
        <v>4.8</v>
      </c>
    </row>
    <row r="2400">
      <c r="A2400">
        <f>IFERROR(__xludf.DUMMYFUNCTION("""COMPUTED_VALUE"""),787615.0)</f>
        <v>787615</v>
      </c>
      <c r="B2400" t="str">
        <f>IFERROR(__xludf.DUMMYFUNCTION("""COMPUTED_VALUE"""),"Pumpkin Cooked From Frozen Made With Oil")</f>
        <v>Pumpkin Cooked From Frozen Made With Oil</v>
      </c>
      <c r="C2400" t="str">
        <f>IFERROR(__xludf.DUMMYFUNCTION("""COMPUTED_VALUE"""),"Vegetables")</f>
        <v>Vegetables</v>
      </c>
      <c r="D2400">
        <f>IFERROR(__xludf.DUMMYFUNCTION("""COMPUTED_VALUE"""),36.0)</f>
        <v>36</v>
      </c>
      <c r="E2400">
        <f>IFERROR(__xludf.DUMMYFUNCTION("""COMPUTED_VALUE"""),1.88)</f>
        <v>1.88</v>
      </c>
      <c r="F2400">
        <f>IFERROR(__xludf.DUMMYFUNCTION("""COMPUTED_VALUE"""),0.7)</f>
        <v>0.7</v>
      </c>
      <c r="G2400">
        <f>IFERROR(__xludf.DUMMYFUNCTION("""COMPUTED_VALUE"""),4.79)</f>
        <v>4.79</v>
      </c>
    </row>
    <row r="2401">
      <c r="A2401">
        <f>IFERROR(__xludf.DUMMYFUNCTION("""COMPUTED_VALUE"""),787616.0)</f>
        <v>787616</v>
      </c>
      <c r="B2401" t="str">
        <f>IFERROR(__xludf.DUMMYFUNCTION("""COMPUTED_VALUE"""),"Pumpkin Cooked From Frozen Made With Butter")</f>
        <v>Pumpkin Cooked From Frozen Made With Butter</v>
      </c>
      <c r="C2401" t="str">
        <f>IFERROR(__xludf.DUMMYFUNCTION("""COMPUTED_VALUE"""),"Vegetables")</f>
        <v>Vegetables</v>
      </c>
      <c r="D2401">
        <f>IFERROR(__xludf.DUMMYFUNCTION("""COMPUTED_VALUE"""),33.0)</f>
        <v>33</v>
      </c>
      <c r="E2401">
        <f>IFERROR(__xludf.DUMMYFUNCTION("""COMPUTED_VALUE"""),1.6)</f>
        <v>1.6</v>
      </c>
      <c r="F2401">
        <f>IFERROR(__xludf.DUMMYFUNCTION("""COMPUTED_VALUE"""),0.72)</f>
        <v>0.72</v>
      </c>
      <c r="G2401">
        <f>IFERROR(__xludf.DUMMYFUNCTION("""COMPUTED_VALUE"""),4.79)</f>
        <v>4.79</v>
      </c>
    </row>
    <row r="2402">
      <c r="A2402">
        <f>IFERROR(__xludf.DUMMYFUNCTION("""COMPUTED_VALUE"""),787617.0)</f>
        <v>787617</v>
      </c>
      <c r="B2402" t="str">
        <f>IFERROR(__xludf.DUMMYFUNCTION("""COMPUTED_VALUE"""),"Pumpkin Cooked From Frozen Made With Margarine")</f>
        <v>Pumpkin Cooked From Frozen Made With Margarine</v>
      </c>
      <c r="C2402" t="str">
        <f>IFERROR(__xludf.DUMMYFUNCTION("""COMPUTED_VALUE"""),"Vegetables")</f>
        <v>Vegetables</v>
      </c>
      <c r="D2402">
        <f>IFERROR(__xludf.DUMMYFUNCTION("""COMPUTED_VALUE"""),30.0)</f>
        <v>30</v>
      </c>
      <c r="E2402">
        <f>IFERROR(__xludf.DUMMYFUNCTION("""COMPUTED_VALUE"""),1.21)</f>
        <v>1.21</v>
      </c>
      <c r="F2402">
        <f>IFERROR(__xludf.DUMMYFUNCTION("""COMPUTED_VALUE"""),0.71)</f>
        <v>0.71</v>
      </c>
      <c r="G2402">
        <f>IFERROR(__xludf.DUMMYFUNCTION("""COMPUTED_VALUE"""),4.8)</f>
        <v>4.8</v>
      </c>
    </row>
    <row r="2403">
      <c r="A2403">
        <f>IFERROR(__xludf.DUMMYFUNCTION("""COMPUTED_VALUE"""),787618.0)</f>
        <v>787618</v>
      </c>
      <c r="B2403" t="str">
        <f>IFERROR(__xludf.DUMMYFUNCTION("""COMPUTED_VALUE"""),"Pumpkin Cooked From Canned Made With Oil")</f>
        <v>Pumpkin Cooked From Canned Made With Oil</v>
      </c>
      <c r="C2403" t="str">
        <f>IFERROR(__xludf.DUMMYFUNCTION("""COMPUTED_VALUE"""),"Vegetables")</f>
        <v>Vegetables</v>
      </c>
      <c r="D2403">
        <f>IFERROR(__xludf.DUMMYFUNCTION("""COMPUTED_VALUE"""),49.0)</f>
        <v>49</v>
      </c>
      <c r="E2403">
        <f>IFERROR(__xludf.DUMMYFUNCTION("""COMPUTED_VALUE"""),2.09)</f>
        <v>2.09</v>
      </c>
      <c r="F2403">
        <f>IFERROR(__xludf.DUMMYFUNCTION("""COMPUTED_VALUE"""),1.08)</f>
        <v>1.08</v>
      </c>
      <c r="G2403">
        <f>IFERROR(__xludf.DUMMYFUNCTION("""COMPUTED_VALUE"""),7.91)</f>
        <v>7.91</v>
      </c>
    </row>
    <row r="2404">
      <c r="A2404">
        <f>IFERROR(__xludf.DUMMYFUNCTION("""COMPUTED_VALUE"""),787619.0)</f>
        <v>787619</v>
      </c>
      <c r="B2404" t="str">
        <f>IFERROR(__xludf.DUMMYFUNCTION("""COMPUTED_VALUE"""),"Pumpkin Cooked From Canned Made With Butter")</f>
        <v>Pumpkin Cooked From Canned Made With Butter</v>
      </c>
      <c r="C2404" t="str">
        <f>IFERROR(__xludf.DUMMYFUNCTION("""COMPUTED_VALUE"""),"Vegetables")</f>
        <v>Vegetables</v>
      </c>
      <c r="D2404">
        <f>IFERROR(__xludf.DUMMYFUNCTION("""COMPUTED_VALUE"""),47.0)</f>
        <v>47</v>
      </c>
      <c r="E2404">
        <f>IFERROR(__xludf.DUMMYFUNCTION("""COMPUTED_VALUE"""),1.8)</f>
        <v>1.8</v>
      </c>
      <c r="F2404">
        <f>IFERROR(__xludf.DUMMYFUNCTION("""COMPUTED_VALUE"""),1.09)</f>
        <v>1.09</v>
      </c>
      <c r="G2404">
        <f>IFERROR(__xludf.DUMMYFUNCTION("""COMPUTED_VALUE"""),7.91)</f>
        <v>7.91</v>
      </c>
    </row>
    <row r="2405">
      <c r="A2405">
        <f>IFERROR(__xludf.DUMMYFUNCTION("""COMPUTED_VALUE"""),787620.0)</f>
        <v>787620</v>
      </c>
      <c r="B2405" t="str">
        <f>IFERROR(__xludf.DUMMYFUNCTION("""COMPUTED_VALUE"""),"Pumpkin Cooked From Canned Made With Margarine")</f>
        <v>Pumpkin Cooked From Canned Made With Margarine</v>
      </c>
      <c r="C2405" t="str">
        <f>IFERROR(__xludf.DUMMYFUNCTION("""COMPUTED_VALUE"""),"Vegetables")</f>
        <v>Vegetables</v>
      </c>
      <c r="D2405">
        <f>IFERROR(__xludf.DUMMYFUNCTION("""COMPUTED_VALUE"""),43.0)</f>
        <v>43</v>
      </c>
      <c r="E2405">
        <f>IFERROR(__xludf.DUMMYFUNCTION("""COMPUTED_VALUE"""),1.41)</f>
        <v>1.41</v>
      </c>
      <c r="F2405">
        <f>IFERROR(__xludf.DUMMYFUNCTION("""COMPUTED_VALUE"""),1.08)</f>
        <v>1.08</v>
      </c>
      <c r="G2405">
        <f>IFERROR(__xludf.DUMMYFUNCTION("""COMPUTED_VALUE"""),7.92)</f>
        <v>7.92</v>
      </c>
    </row>
    <row r="2406">
      <c r="A2406">
        <f>IFERROR(__xludf.DUMMYFUNCTION("""COMPUTED_VALUE"""),787621.0)</f>
        <v>787621</v>
      </c>
      <c r="B2406" t="str">
        <f>IFERROR(__xludf.DUMMYFUNCTION("""COMPUTED_VALUE"""),"Calabaza Cooked")</f>
        <v>Calabaza Cooked</v>
      </c>
      <c r="C2406" t="str">
        <f>IFERROR(__xludf.DUMMYFUNCTION("""COMPUTED_VALUE"""),"Vegetables")</f>
        <v>Vegetables</v>
      </c>
      <c r="D2406">
        <f>IFERROR(__xludf.DUMMYFUNCTION("""COMPUTED_VALUE"""),45.0)</f>
        <v>45</v>
      </c>
      <c r="E2406">
        <f>IFERROR(__xludf.DUMMYFUNCTION("""COMPUTED_VALUE"""),1.64)</f>
        <v>1.64</v>
      </c>
      <c r="F2406">
        <f>IFERROR(__xludf.DUMMYFUNCTION("""COMPUTED_VALUE"""),1.09)</f>
        <v>1.09</v>
      </c>
      <c r="G2406">
        <f>IFERROR(__xludf.DUMMYFUNCTION("""COMPUTED_VALUE"""),7.91)</f>
        <v>7.91</v>
      </c>
    </row>
    <row r="2407">
      <c r="A2407">
        <f>IFERROR(__xludf.DUMMYFUNCTION("""COMPUTED_VALUE"""),787622.0)</f>
        <v>787622</v>
      </c>
      <c r="B2407" t="str">
        <f>IFERROR(__xludf.DUMMYFUNCTION("""COMPUTED_VALUE"""),"Pumpkin Fritters Puerto Rican Style")</f>
        <v>Pumpkin Fritters Puerto Rican Style</v>
      </c>
      <c r="C2407" t="str">
        <f>IFERROR(__xludf.DUMMYFUNCTION("""COMPUTED_VALUE"""),"Vegetables")</f>
        <v>Vegetables</v>
      </c>
      <c r="D2407">
        <f>IFERROR(__xludf.DUMMYFUNCTION("""COMPUTED_VALUE"""),241.0)</f>
        <v>241</v>
      </c>
      <c r="E2407">
        <f>IFERROR(__xludf.DUMMYFUNCTION("""COMPUTED_VALUE"""),8.98)</f>
        <v>8.98</v>
      </c>
      <c r="F2407">
        <f>IFERROR(__xludf.DUMMYFUNCTION("""COMPUTED_VALUE"""),2.27)</f>
        <v>2.27</v>
      </c>
      <c r="G2407">
        <f>IFERROR(__xludf.DUMMYFUNCTION("""COMPUTED_VALUE"""),39.13)</f>
        <v>39.13</v>
      </c>
    </row>
    <row r="2408">
      <c r="A2408">
        <f>IFERROR(__xludf.DUMMYFUNCTION("""COMPUTED_VALUE"""),787623.0)</f>
        <v>787623</v>
      </c>
      <c r="B2408" t="str">
        <f>IFERROR(__xludf.DUMMYFUNCTION("""COMPUTED_VALUE"""),"Sweet Potato And Pumpkin Casserole Puerto Rican Style")</f>
        <v>Sweet Potato And Pumpkin Casserole Puerto Rican Style</v>
      </c>
      <c r="C2408" t="str">
        <f>IFERROR(__xludf.DUMMYFUNCTION("""COMPUTED_VALUE"""),"Vegetables")</f>
        <v>Vegetables</v>
      </c>
      <c r="D2408">
        <f>IFERROR(__xludf.DUMMYFUNCTION("""COMPUTED_VALUE"""),226.0)</f>
        <v>226</v>
      </c>
      <c r="E2408">
        <f>IFERROR(__xludf.DUMMYFUNCTION("""COMPUTED_VALUE"""),6.96)</f>
        <v>6.96</v>
      </c>
      <c r="F2408">
        <f>IFERROR(__xludf.DUMMYFUNCTION("""COMPUTED_VALUE"""),2.99)</f>
        <v>2.99</v>
      </c>
      <c r="G2408">
        <f>IFERROR(__xludf.DUMMYFUNCTION("""COMPUTED_VALUE"""),39.91)</f>
        <v>39.91</v>
      </c>
    </row>
    <row r="2409">
      <c r="A2409">
        <f>IFERROR(__xludf.DUMMYFUNCTION("""COMPUTED_VALUE"""),787624.0)</f>
        <v>787624</v>
      </c>
      <c r="B2409" t="str">
        <f>IFERROR(__xludf.DUMMYFUNCTION("""COMPUTED_VALUE"""),"Squash Winter Type Mashed Ns As To Fat Or Sugar Added In Cooking")</f>
        <v>Squash Winter Type Mashed Ns As To Fat Or Sugar Added In Cooking</v>
      </c>
      <c r="C2409" t="str">
        <f>IFERROR(__xludf.DUMMYFUNCTION("""COMPUTED_VALUE"""),"Vegetables")</f>
        <v>Vegetables</v>
      </c>
      <c r="D2409">
        <f>IFERROR(__xludf.DUMMYFUNCTION("""COMPUTED_VALUE"""),50.0)</f>
        <v>50</v>
      </c>
      <c r="E2409">
        <f>IFERROR(__xludf.DUMMYFUNCTION("""COMPUTED_VALUE"""),1.97)</f>
        <v>1.97</v>
      </c>
      <c r="F2409">
        <f>IFERROR(__xludf.DUMMYFUNCTION("""COMPUTED_VALUE"""),0.88)</f>
        <v>0.88</v>
      </c>
      <c r="G2409">
        <f>IFERROR(__xludf.DUMMYFUNCTION("""COMPUTED_VALUE"""),8.62)</f>
        <v>8.62</v>
      </c>
    </row>
    <row r="2410">
      <c r="A2410">
        <f>IFERROR(__xludf.DUMMYFUNCTION("""COMPUTED_VALUE"""),787625.0)</f>
        <v>787625</v>
      </c>
      <c r="B2410" t="str">
        <f>IFERROR(__xludf.DUMMYFUNCTION("""COMPUTED_VALUE"""),"Squash Winter Type Mashed No Fat Or Sugar Added In Cooking")</f>
        <v>Squash Winter Type Mashed No Fat Or Sugar Added In Cooking</v>
      </c>
      <c r="C2410" t="str">
        <f>IFERROR(__xludf.DUMMYFUNCTION("""COMPUTED_VALUE"""),"Vegetables")</f>
        <v>Vegetables</v>
      </c>
      <c r="D2410">
        <f>IFERROR(__xludf.DUMMYFUNCTION("""COMPUTED_VALUE"""),37.0)</f>
        <v>37</v>
      </c>
      <c r="E2410">
        <f>IFERROR(__xludf.DUMMYFUNCTION("""COMPUTED_VALUE"""),0.35)</f>
        <v>0.35</v>
      </c>
      <c r="F2410">
        <f>IFERROR(__xludf.DUMMYFUNCTION("""COMPUTED_VALUE"""),0.89)</f>
        <v>0.89</v>
      </c>
      <c r="G2410">
        <f>IFERROR(__xludf.DUMMYFUNCTION("""COMPUTED_VALUE"""),8.81)</f>
        <v>8.81</v>
      </c>
    </row>
    <row r="2411">
      <c r="A2411">
        <f>IFERROR(__xludf.DUMMYFUNCTION("""COMPUTED_VALUE"""),787626.0)</f>
        <v>787626</v>
      </c>
      <c r="B2411" t="str">
        <f>IFERROR(__xludf.DUMMYFUNCTION("""COMPUTED_VALUE"""),"Squash Winter Type Mashed Fat Added In Cooking No Sugar Added In Cooking")</f>
        <v>Squash Winter Type Mashed Fat Added In Cooking No Sugar Added In Cooking</v>
      </c>
      <c r="C2411" t="str">
        <f>IFERROR(__xludf.DUMMYFUNCTION("""COMPUTED_VALUE"""),"Vegetables")</f>
        <v>Vegetables</v>
      </c>
      <c r="D2411">
        <f>IFERROR(__xludf.DUMMYFUNCTION("""COMPUTED_VALUE"""),50.0)</f>
        <v>50</v>
      </c>
      <c r="E2411">
        <f>IFERROR(__xludf.DUMMYFUNCTION("""COMPUTED_VALUE"""),1.97)</f>
        <v>1.97</v>
      </c>
      <c r="F2411">
        <f>IFERROR(__xludf.DUMMYFUNCTION("""COMPUTED_VALUE"""),0.88)</f>
        <v>0.88</v>
      </c>
      <c r="G2411">
        <f>IFERROR(__xludf.DUMMYFUNCTION("""COMPUTED_VALUE"""),8.62)</f>
        <v>8.62</v>
      </c>
    </row>
    <row r="2412">
      <c r="A2412">
        <f>IFERROR(__xludf.DUMMYFUNCTION("""COMPUTED_VALUE"""),787627.0)</f>
        <v>787627</v>
      </c>
      <c r="B2412" t="str">
        <f>IFERROR(__xludf.DUMMYFUNCTION("""COMPUTED_VALUE"""),"Squash Winter Type Mashed Fat And Sugar Added In Cooking")</f>
        <v>Squash Winter Type Mashed Fat And Sugar Added In Cooking</v>
      </c>
      <c r="C2412" t="str">
        <f>IFERROR(__xludf.DUMMYFUNCTION("""COMPUTED_VALUE"""),"Vegetables")</f>
        <v>Vegetables</v>
      </c>
      <c r="D2412">
        <f>IFERROR(__xludf.DUMMYFUNCTION("""COMPUTED_VALUE"""),71.0)</f>
        <v>71</v>
      </c>
      <c r="E2412">
        <f>IFERROR(__xludf.DUMMYFUNCTION("""COMPUTED_VALUE"""),1.85)</f>
        <v>1.85</v>
      </c>
      <c r="F2412">
        <f>IFERROR(__xludf.DUMMYFUNCTION("""COMPUTED_VALUE"""),0.83)</f>
        <v>0.83</v>
      </c>
      <c r="G2412">
        <f>IFERROR(__xludf.DUMMYFUNCTION("""COMPUTED_VALUE"""),14.1)</f>
        <v>14.1</v>
      </c>
    </row>
    <row r="2413">
      <c r="A2413">
        <f>IFERROR(__xludf.DUMMYFUNCTION("""COMPUTED_VALUE"""),787629.0)</f>
        <v>787629</v>
      </c>
      <c r="B2413" t="str">
        <f>IFERROR(__xludf.DUMMYFUNCTION("""COMPUTED_VALUE"""),"Squash Winter Type Baked Ns As To Fat Or Sugar Added In Cooking")</f>
        <v>Squash Winter Type Baked Ns As To Fat Or Sugar Added In Cooking</v>
      </c>
      <c r="C2413" t="str">
        <f>IFERROR(__xludf.DUMMYFUNCTION("""COMPUTED_VALUE"""),"Vegetables")</f>
        <v>Vegetables</v>
      </c>
      <c r="D2413">
        <f>IFERROR(__xludf.DUMMYFUNCTION("""COMPUTED_VALUE"""),50.0)</f>
        <v>50</v>
      </c>
      <c r="E2413">
        <f>IFERROR(__xludf.DUMMYFUNCTION("""COMPUTED_VALUE"""),1.97)</f>
        <v>1.97</v>
      </c>
      <c r="F2413">
        <f>IFERROR(__xludf.DUMMYFUNCTION("""COMPUTED_VALUE"""),0.88)</f>
        <v>0.88</v>
      </c>
      <c r="G2413">
        <f>IFERROR(__xludf.DUMMYFUNCTION("""COMPUTED_VALUE"""),8.62)</f>
        <v>8.62</v>
      </c>
    </row>
    <row r="2414">
      <c r="A2414">
        <f>IFERROR(__xludf.DUMMYFUNCTION("""COMPUTED_VALUE"""),787630.0)</f>
        <v>787630</v>
      </c>
      <c r="B2414" t="str">
        <f>IFERROR(__xludf.DUMMYFUNCTION("""COMPUTED_VALUE"""),"Squash Winter Type Baked No Fat Or Sugar Added In Cooking")</f>
        <v>Squash Winter Type Baked No Fat Or Sugar Added In Cooking</v>
      </c>
      <c r="C2414" t="str">
        <f>IFERROR(__xludf.DUMMYFUNCTION("""COMPUTED_VALUE"""),"Vegetables")</f>
        <v>Vegetables</v>
      </c>
      <c r="D2414">
        <f>IFERROR(__xludf.DUMMYFUNCTION("""COMPUTED_VALUE"""),37.0)</f>
        <v>37</v>
      </c>
      <c r="E2414">
        <f>IFERROR(__xludf.DUMMYFUNCTION("""COMPUTED_VALUE"""),0.35)</f>
        <v>0.35</v>
      </c>
      <c r="F2414">
        <f>IFERROR(__xludf.DUMMYFUNCTION("""COMPUTED_VALUE"""),0.89)</f>
        <v>0.89</v>
      </c>
      <c r="G2414">
        <f>IFERROR(__xludf.DUMMYFUNCTION("""COMPUTED_VALUE"""),8.81)</f>
        <v>8.81</v>
      </c>
    </row>
    <row r="2415">
      <c r="A2415">
        <f>IFERROR(__xludf.DUMMYFUNCTION("""COMPUTED_VALUE"""),787631.0)</f>
        <v>787631</v>
      </c>
      <c r="B2415" t="str">
        <f>IFERROR(__xludf.DUMMYFUNCTION("""COMPUTED_VALUE"""),"Squash Winter Type Baked Fat Added In Cooking No Sugar Added In Cooking Ns As To Type Of Fat")</f>
        <v>Squash Winter Type Baked Fat Added In Cooking No Sugar Added In Cooking Ns As To Type Of Fat</v>
      </c>
      <c r="C2415" t="str">
        <f>IFERROR(__xludf.DUMMYFUNCTION("""COMPUTED_VALUE"""),"Vegetables")</f>
        <v>Vegetables</v>
      </c>
      <c r="D2415">
        <f>IFERROR(__xludf.DUMMYFUNCTION("""COMPUTED_VALUE"""),50.0)</f>
        <v>50</v>
      </c>
      <c r="E2415">
        <f>IFERROR(__xludf.DUMMYFUNCTION("""COMPUTED_VALUE"""),1.97)</f>
        <v>1.97</v>
      </c>
      <c r="F2415">
        <f>IFERROR(__xludf.DUMMYFUNCTION("""COMPUTED_VALUE"""),0.88)</f>
        <v>0.88</v>
      </c>
      <c r="G2415">
        <f>IFERROR(__xludf.DUMMYFUNCTION("""COMPUTED_VALUE"""),8.62)</f>
        <v>8.62</v>
      </c>
    </row>
    <row r="2416">
      <c r="A2416">
        <f>IFERROR(__xludf.DUMMYFUNCTION("""COMPUTED_VALUE"""),787632.0)</f>
        <v>787632</v>
      </c>
      <c r="B2416" t="str">
        <f>IFERROR(__xludf.DUMMYFUNCTION("""COMPUTED_VALUE"""),"Squash Winter Type Baked No Sugar Added In Cooking Made With Oil")</f>
        <v>Squash Winter Type Baked No Sugar Added In Cooking Made With Oil</v>
      </c>
      <c r="C2416" t="str">
        <f>IFERROR(__xludf.DUMMYFUNCTION("""COMPUTED_VALUE"""),"Vegetables")</f>
        <v>Vegetables</v>
      </c>
      <c r="D2416">
        <f>IFERROR(__xludf.DUMMYFUNCTION("""COMPUTED_VALUE"""),55.0)</f>
        <v>55</v>
      </c>
      <c r="E2416">
        <f>IFERROR(__xludf.DUMMYFUNCTION("""COMPUTED_VALUE"""),2.5)</f>
        <v>2.5</v>
      </c>
      <c r="F2416">
        <f>IFERROR(__xludf.DUMMYFUNCTION("""COMPUTED_VALUE"""),0.87)</f>
        <v>0.87</v>
      </c>
      <c r="G2416">
        <f>IFERROR(__xludf.DUMMYFUNCTION("""COMPUTED_VALUE"""),8.62)</f>
        <v>8.62</v>
      </c>
    </row>
    <row r="2417">
      <c r="A2417">
        <f>IFERROR(__xludf.DUMMYFUNCTION("""COMPUTED_VALUE"""),787633.0)</f>
        <v>787633</v>
      </c>
      <c r="B2417" t="str">
        <f>IFERROR(__xludf.DUMMYFUNCTION("""COMPUTED_VALUE"""),"Squash Winter Type Baked No Sugar Added In Cooking Made With Butter")</f>
        <v>Squash Winter Type Baked No Sugar Added In Cooking Made With Butter</v>
      </c>
      <c r="C2417" t="str">
        <f>IFERROR(__xludf.DUMMYFUNCTION("""COMPUTED_VALUE"""),"Vegetables")</f>
        <v>Vegetables</v>
      </c>
      <c r="D2417">
        <f>IFERROR(__xludf.DUMMYFUNCTION("""COMPUTED_VALUE"""),52.0)</f>
        <v>52</v>
      </c>
      <c r="E2417">
        <f>IFERROR(__xludf.DUMMYFUNCTION("""COMPUTED_VALUE"""),2.16)</f>
        <v>2.16</v>
      </c>
      <c r="F2417">
        <f>IFERROR(__xludf.DUMMYFUNCTION("""COMPUTED_VALUE"""),0.88)</f>
        <v>0.88</v>
      </c>
      <c r="G2417">
        <f>IFERROR(__xludf.DUMMYFUNCTION("""COMPUTED_VALUE"""),8.61)</f>
        <v>8.61</v>
      </c>
    </row>
    <row r="2418">
      <c r="A2418">
        <f>IFERROR(__xludf.DUMMYFUNCTION("""COMPUTED_VALUE"""),787634.0)</f>
        <v>787634</v>
      </c>
      <c r="B2418" t="str">
        <f>IFERROR(__xludf.DUMMYFUNCTION("""COMPUTED_VALUE"""),"Squash Winter Type Baked No Sugar Added In Cooking Made With Margarine")</f>
        <v>Squash Winter Type Baked No Sugar Added In Cooking Made With Margarine</v>
      </c>
      <c r="C2418" t="str">
        <f>IFERROR(__xludf.DUMMYFUNCTION("""COMPUTED_VALUE"""),"Vegetables")</f>
        <v>Vegetables</v>
      </c>
      <c r="D2418">
        <f>IFERROR(__xludf.DUMMYFUNCTION("""COMPUTED_VALUE"""),48.0)</f>
        <v>48</v>
      </c>
      <c r="E2418">
        <f>IFERROR(__xludf.DUMMYFUNCTION("""COMPUTED_VALUE"""),1.69)</f>
        <v>1.69</v>
      </c>
      <c r="F2418">
        <f>IFERROR(__xludf.DUMMYFUNCTION("""COMPUTED_VALUE"""),0.87)</f>
        <v>0.87</v>
      </c>
      <c r="G2418">
        <f>IFERROR(__xludf.DUMMYFUNCTION("""COMPUTED_VALUE"""),8.63)</f>
        <v>8.63</v>
      </c>
    </row>
    <row r="2419">
      <c r="A2419">
        <f>IFERROR(__xludf.DUMMYFUNCTION("""COMPUTED_VALUE"""),787635.0)</f>
        <v>787635</v>
      </c>
      <c r="B2419" t="str">
        <f>IFERROR(__xludf.DUMMYFUNCTION("""COMPUTED_VALUE"""),"Squash Winter Type Baked Fat And Sugar Added In Cooking")</f>
        <v>Squash Winter Type Baked Fat And Sugar Added In Cooking</v>
      </c>
      <c r="C2419" t="str">
        <f>IFERROR(__xludf.DUMMYFUNCTION("""COMPUTED_VALUE"""),"Vegetables")</f>
        <v>Vegetables</v>
      </c>
      <c r="D2419">
        <f>IFERROR(__xludf.DUMMYFUNCTION("""COMPUTED_VALUE"""),71.0)</f>
        <v>71</v>
      </c>
      <c r="E2419">
        <f>IFERROR(__xludf.DUMMYFUNCTION("""COMPUTED_VALUE"""),1.85)</f>
        <v>1.85</v>
      </c>
      <c r="F2419">
        <f>IFERROR(__xludf.DUMMYFUNCTION("""COMPUTED_VALUE"""),0.83)</f>
        <v>0.83</v>
      </c>
      <c r="G2419">
        <f>IFERROR(__xludf.DUMMYFUNCTION("""COMPUTED_VALUE"""),14.1)</f>
        <v>14.1</v>
      </c>
    </row>
    <row r="2420">
      <c r="A2420">
        <f>IFERROR(__xludf.DUMMYFUNCTION("""COMPUTED_VALUE"""),787636.0)</f>
        <v>787636</v>
      </c>
      <c r="B2420" t="str">
        <f>IFERROR(__xludf.DUMMYFUNCTION("""COMPUTED_VALUE"""),"Squash Winter Type Baked No Fat Added In Cooking Sugar Added In Cooking")</f>
        <v>Squash Winter Type Baked No Fat Added In Cooking Sugar Added In Cooking</v>
      </c>
      <c r="C2420" t="str">
        <f>IFERROR(__xludf.DUMMYFUNCTION("""COMPUTED_VALUE"""),"Vegetables")</f>
        <v>Vegetables</v>
      </c>
      <c r="D2420">
        <f>IFERROR(__xludf.DUMMYFUNCTION("""COMPUTED_VALUE"""),58.0)</f>
        <v>58</v>
      </c>
      <c r="E2420">
        <f>IFERROR(__xludf.DUMMYFUNCTION("""COMPUTED_VALUE"""),0.33)</f>
        <v>0.33</v>
      </c>
      <c r="F2420">
        <f>IFERROR(__xludf.DUMMYFUNCTION("""COMPUTED_VALUE"""),0.84)</f>
        <v>0.84</v>
      </c>
      <c r="G2420">
        <f>IFERROR(__xludf.DUMMYFUNCTION("""COMPUTED_VALUE"""),14.39)</f>
        <v>14.39</v>
      </c>
    </row>
    <row r="2421">
      <c r="A2421">
        <f>IFERROR(__xludf.DUMMYFUNCTION("""COMPUTED_VALUE"""),787637.0)</f>
        <v>787637</v>
      </c>
      <c r="B2421" t="str">
        <f>IFERROR(__xludf.DUMMYFUNCTION("""COMPUTED_VALUE"""),"Squash Fritter Or Cake")</f>
        <v>Squash Fritter Or Cake</v>
      </c>
      <c r="C2421" t="str">
        <f>IFERROR(__xludf.DUMMYFUNCTION("""COMPUTED_VALUE"""),"Vegetables")</f>
        <v>Vegetables</v>
      </c>
      <c r="D2421">
        <f>IFERROR(__xludf.DUMMYFUNCTION("""COMPUTED_VALUE"""),359.0)</f>
        <v>359</v>
      </c>
      <c r="E2421">
        <f>IFERROR(__xludf.DUMMYFUNCTION("""COMPUTED_VALUE"""),21.29)</f>
        <v>21.29</v>
      </c>
      <c r="F2421">
        <f>IFERROR(__xludf.DUMMYFUNCTION("""COMPUTED_VALUE"""),6.94)</f>
        <v>6.94</v>
      </c>
      <c r="G2421">
        <f>IFERROR(__xludf.DUMMYFUNCTION("""COMPUTED_VALUE"""),35.65)</f>
        <v>35.65</v>
      </c>
    </row>
    <row r="2422">
      <c r="A2422">
        <f>IFERROR(__xludf.DUMMYFUNCTION("""COMPUTED_VALUE"""),787638.0)</f>
        <v>787638</v>
      </c>
      <c r="B2422" t="str">
        <f>IFERROR(__xludf.DUMMYFUNCTION("""COMPUTED_VALUE"""),"Squash Winter Baked With Cheese")</f>
        <v>Squash Winter Baked With Cheese</v>
      </c>
      <c r="C2422" t="str">
        <f>IFERROR(__xludf.DUMMYFUNCTION("""COMPUTED_VALUE"""),"Vegetables")</f>
        <v>Vegetables</v>
      </c>
      <c r="D2422">
        <f>IFERROR(__xludf.DUMMYFUNCTION("""COMPUTED_VALUE"""),140.0)</f>
        <v>140</v>
      </c>
      <c r="E2422">
        <f>IFERROR(__xludf.DUMMYFUNCTION("""COMPUTED_VALUE"""),8.31)</f>
        <v>8.31</v>
      </c>
      <c r="F2422">
        <f>IFERROR(__xludf.DUMMYFUNCTION("""COMPUTED_VALUE"""),3.27)</f>
        <v>3.27</v>
      </c>
      <c r="G2422">
        <f>IFERROR(__xludf.DUMMYFUNCTION("""COMPUTED_VALUE"""),14.2)</f>
        <v>14.2</v>
      </c>
    </row>
    <row r="2423">
      <c r="A2423">
        <f>IFERROR(__xludf.DUMMYFUNCTION("""COMPUTED_VALUE"""),787640.0)</f>
        <v>787640</v>
      </c>
      <c r="B2423" t="str">
        <f>IFERROR(__xludf.DUMMYFUNCTION("""COMPUTED_VALUE"""),"Sweet Potato Nfs")</f>
        <v>Sweet Potato Nfs</v>
      </c>
      <c r="C2423" t="str">
        <f>IFERROR(__xludf.DUMMYFUNCTION("""COMPUTED_VALUE"""),"Vegetables")</f>
        <v>Vegetables</v>
      </c>
      <c r="D2423">
        <f>IFERROR(__xludf.DUMMYFUNCTION("""COMPUTED_VALUE"""),108.0)</f>
        <v>108</v>
      </c>
      <c r="E2423">
        <f>IFERROR(__xludf.DUMMYFUNCTION("""COMPUTED_VALUE"""),4.23)</f>
        <v>4.23</v>
      </c>
      <c r="F2423">
        <f>IFERROR(__xludf.DUMMYFUNCTION("""COMPUTED_VALUE"""),1.31)</f>
        <v>1.31</v>
      </c>
      <c r="G2423">
        <f>IFERROR(__xludf.DUMMYFUNCTION("""COMPUTED_VALUE"""),16.82)</f>
        <v>16.82</v>
      </c>
    </row>
    <row r="2424">
      <c r="A2424">
        <f>IFERROR(__xludf.DUMMYFUNCTION("""COMPUTED_VALUE"""),787641.0)</f>
        <v>787641</v>
      </c>
      <c r="B2424" t="str">
        <f>IFERROR(__xludf.DUMMYFUNCTION("""COMPUTED_VALUE"""),"Sweet Potato Baked Peel Eaten Ns As To Fat Added In Cooking")</f>
        <v>Sweet Potato Baked Peel Eaten Ns As To Fat Added In Cooking</v>
      </c>
      <c r="C2424" t="str">
        <f>IFERROR(__xludf.DUMMYFUNCTION("""COMPUTED_VALUE"""),"Vegetables")</f>
        <v>Vegetables</v>
      </c>
      <c r="D2424">
        <f>IFERROR(__xludf.DUMMYFUNCTION("""COMPUTED_VALUE"""),125.0)</f>
        <v>125</v>
      </c>
      <c r="E2424">
        <f>IFERROR(__xludf.DUMMYFUNCTION("""COMPUTED_VALUE"""),4.05)</f>
        <v>4.05</v>
      </c>
      <c r="F2424">
        <f>IFERROR(__xludf.DUMMYFUNCTION("""COMPUTED_VALUE"""),2.03)</f>
        <v>2.03</v>
      </c>
      <c r="G2424">
        <f>IFERROR(__xludf.DUMMYFUNCTION("""COMPUTED_VALUE"""),20.85)</f>
        <v>20.85</v>
      </c>
    </row>
    <row r="2425">
      <c r="A2425">
        <f>IFERROR(__xludf.DUMMYFUNCTION("""COMPUTED_VALUE"""),787642.0)</f>
        <v>787642</v>
      </c>
      <c r="B2425" t="str">
        <f>IFERROR(__xludf.DUMMYFUNCTION("""COMPUTED_VALUE"""),"Sweet Potato Baked Peel Eaten Fat Not Added In Cooking")</f>
        <v>Sweet Potato Baked Peel Eaten Fat Not Added In Cooking</v>
      </c>
      <c r="C2425" t="str">
        <f>IFERROR(__xludf.DUMMYFUNCTION("""COMPUTED_VALUE"""),"Vegetables")</f>
        <v>Vegetables</v>
      </c>
      <c r="D2425">
        <f>IFERROR(__xludf.DUMMYFUNCTION("""COMPUTED_VALUE"""),95.0)</f>
        <v>95</v>
      </c>
      <c r="E2425">
        <f>IFERROR(__xludf.DUMMYFUNCTION("""COMPUTED_VALUE"""),0.15)</f>
        <v>0.15</v>
      </c>
      <c r="F2425">
        <f>IFERROR(__xludf.DUMMYFUNCTION("""COMPUTED_VALUE"""),2.11)</f>
        <v>2.11</v>
      </c>
      <c r="G2425">
        <f>IFERROR(__xludf.DUMMYFUNCTION("""COMPUTED_VALUE"""),21.83)</f>
        <v>21.83</v>
      </c>
    </row>
    <row r="2426">
      <c r="A2426">
        <f>IFERROR(__xludf.DUMMYFUNCTION("""COMPUTED_VALUE"""),787643.0)</f>
        <v>787643</v>
      </c>
      <c r="B2426" t="str">
        <f>IFERROR(__xludf.DUMMYFUNCTION("""COMPUTED_VALUE"""),"Sweet Potato Baked Peel Eaten Fat Added In Cooking Ns As To Type Of Fat")</f>
        <v>Sweet Potato Baked Peel Eaten Fat Added In Cooking Ns As To Type Of Fat</v>
      </c>
      <c r="C2426" t="str">
        <f>IFERROR(__xludf.DUMMYFUNCTION("""COMPUTED_VALUE"""),"Vegetables")</f>
        <v>Vegetables</v>
      </c>
      <c r="D2426">
        <f>IFERROR(__xludf.DUMMYFUNCTION("""COMPUTED_VALUE"""),125.0)</f>
        <v>125</v>
      </c>
      <c r="E2426">
        <f>IFERROR(__xludf.DUMMYFUNCTION("""COMPUTED_VALUE"""),4.05)</f>
        <v>4.05</v>
      </c>
      <c r="F2426">
        <f>IFERROR(__xludf.DUMMYFUNCTION("""COMPUTED_VALUE"""),2.03)</f>
        <v>2.03</v>
      </c>
      <c r="G2426">
        <f>IFERROR(__xludf.DUMMYFUNCTION("""COMPUTED_VALUE"""),20.85)</f>
        <v>20.85</v>
      </c>
    </row>
    <row r="2427">
      <c r="A2427">
        <f>IFERROR(__xludf.DUMMYFUNCTION("""COMPUTED_VALUE"""),787644.0)</f>
        <v>787644</v>
      </c>
      <c r="B2427" t="str">
        <f>IFERROR(__xludf.DUMMYFUNCTION("""COMPUTED_VALUE"""),"Sweet Potato Baked Peel Eaten Made With Oil")</f>
        <v>Sweet Potato Baked Peel Eaten Made With Oil</v>
      </c>
      <c r="C2427" t="str">
        <f>IFERROR(__xludf.DUMMYFUNCTION("""COMPUTED_VALUE"""),"Vegetables")</f>
        <v>Vegetables</v>
      </c>
      <c r="D2427">
        <f>IFERROR(__xludf.DUMMYFUNCTION("""COMPUTED_VALUE"""),131.0)</f>
        <v>131</v>
      </c>
      <c r="E2427">
        <f>IFERROR(__xludf.DUMMYFUNCTION("""COMPUTED_VALUE"""),4.67)</f>
        <v>4.67</v>
      </c>
      <c r="F2427">
        <f>IFERROR(__xludf.DUMMYFUNCTION("""COMPUTED_VALUE"""),2.02)</f>
        <v>2.02</v>
      </c>
      <c r="G2427">
        <f>IFERROR(__xludf.DUMMYFUNCTION("""COMPUTED_VALUE"""),20.84)</f>
        <v>20.84</v>
      </c>
    </row>
    <row r="2428">
      <c r="A2428">
        <f>IFERROR(__xludf.DUMMYFUNCTION("""COMPUTED_VALUE"""),787645.0)</f>
        <v>787645</v>
      </c>
      <c r="B2428" t="str">
        <f>IFERROR(__xludf.DUMMYFUNCTION("""COMPUTED_VALUE"""),"Sweet Potato Baked Peel Eaten Made With Butter")</f>
        <v>Sweet Potato Baked Peel Eaten Made With Butter</v>
      </c>
      <c r="C2428" t="str">
        <f>IFERROR(__xludf.DUMMYFUNCTION("""COMPUTED_VALUE"""),"Vegetables")</f>
        <v>Vegetables</v>
      </c>
      <c r="D2428">
        <f>IFERROR(__xludf.DUMMYFUNCTION("""COMPUTED_VALUE"""),123.0)</f>
        <v>123</v>
      </c>
      <c r="E2428">
        <f>IFERROR(__xludf.DUMMYFUNCTION("""COMPUTED_VALUE"""),3.81)</f>
        <v>3.81</v>
      </c>
      <c r="F2428">
        <f>IFERROR(__xludf.DUMMYFUNCTION("""COMPUTED_VALUE"""),2.05)</f>
        <v>2.05</v>
      </c>
      <c r="G2428">
        <f>IFERROR(__xludf.DUMMYFUNCTION("""COMPUTED_VALUE"""),20.85)</f>
        <v>20.85</v>
      </c>
    </row>
    <row r="2429">
      <c r="A2429">
        <f>IFERROR(__xludf.DUMMYFUNCTION("""COMPUTED_VALUE"""),787646.0)</f>
        <v>787646</v>
      </c>
      <c r="B2429" t="str">
        <f>IFERROR(__xludf.DUMMYFUNCTION("""COMPUTED_VALUE"""),"Sweet Potato Baked Peel Eaten Made With Margarine")</f>
        <v>Sweet Potato Baked Peel Eaten Made With Margarine</v>
      </c>
      <c r="C2429" t="str">
        <f>IFERROR(__xludf.DUMMYFUNCTION("""COMPUTED_VALUE"""),"Vegetables")</f>
        <v>Vegetables</v>
      </c>
      <c r="D2429">
        <f>IFERROR(__xludf.DUMMYFUNCTION("""COMPUTED_VALUE"""),115.0)</f>
        <v>115</v>
      </c>
      <c r="E2429">
        <f>IFERROR(__xludf.DUMMYFUNCTION("""COMPUTED_VALUE"""),2.85)</f>
        <v>2.85</v>
      </c>
      <c r="F2429">
        <f>IFERROR(__xludf.DUMMYFUNCTION("""COMPUTED_VALUE"""),2.02)</f>
        <v>2.02</v>
      </c>
      <c r="G2429">
        <f>IFERROR(__xludf.DUMMYFUNCTION("""COMPUTED_VALUE"""),20.88)</f>
        <v>20.88</v>
      </c>
    </row>
    <row r="2430">
      <c r="A2430">
        <f>IFERROR(__xludf.DUMMYFUNCTION("""COMPUTED_VALUE"""),787647.0)</f>
        <v>787647</v>
      </c>
      <c r="B2430" t="str">
        <f>IFERROR(__xludf.DUMMYFUNCTION("""COMPUTED_VALUE"""),"Sweet Potato Baked Peel Not Eaten Ns As To Fat Added In Cooking")</f>
        <v>Sweet Potato Baked Peel Not Eaten Ns As To Fat Added In Cooking</v>
      </c>
      <c r="C2430" t="str">
        <f>IFERROR(__xludf.DUMMYFUNCTION("""COMPUTED_VALUE"""),"Vegetables")</f>
        <v>Vegetables</v>
      </c>
      <c r="D2430">
        <f>IFERROR(__xludf.DUMMYFUNCTION("""COMPUTED_VALUE"""),122.0)</f>
        <v>122</v>
      </c>
      <c r="E2430">
        <f>IFERROR(__xludf.DUMMYFUNCTION("""COMPUTED_VALUE"""),4.24)</f>
        <v>4.24</v>
      </c>
      <c r="F2430">
        <f>IFERROR(__xludf.DUMMYFUNCTION("""COMPUTED_VALUE"""),1.92)</f>
        <v>1.92</v>
      </c>
      <c r="G2430">
        <f>IFERROR(__xludf.DUMMYFUNCTION("""COMPUTED_VALUE"""),19.66)</f>
        <v>19.66</v>
      </c>
    </row>
    <row r="2431">
      <c r="A2431">
        <f>IFERROR(__xludf.DUMMYFUNCTION("""COMPUTED_VALUE"""),787648.0)</f>
        <v>787648</v>
      </c>
      <c r="B2431" t="str">
        <f>IFERROR(__xludf.DUMMYFUNCTION("""COMPUTED_VALUE"""),"Sweet Potato Baked Peel Not Eaten Fat Not Added In Cooking")</f>
        <v>Sweet Potato Baked Peel Not Eaten Fat Not Added In Cooking</v>
      </c>
      <c r="C2431" t="str">
        <f>IFERROR(__xludf.DUMMYFUNCTION("""COMPUTED_VALUE"""),"Vegetables")</f>
        <v>Vegetables</v>
      </c>
      <c r="D2431">
        <f>IFERROR(__xludf.DUMMYFUNCTION("""COMPUTED_VALUE"""),90.0)</f>
        <v>90</v>
      </c>
      <c r="E2431">
        <f>IFERROR(__xludf.DUMMYFUNCTION("""COMPUTED_VALUE"""),0.15)</f>
        <v>0.15</v>
      </c>
      <c r="F2431">
        <f>IFERROR(__xludf.DUMMYFUNCTION("""COMPUTED_VALUE"""),2.0)</f>
        <v>2</v>
      </c>
      <c r="G2431">
        <f>IFERROR(__xludf.DUMMYFUNCTION("""COMPUTED_VALUE"""),20.63)</f>
        <v>20.63</v>
      </c>
    </row>
    <row r="2432">
      <c r="A2432">
        <f>IFERROR(__xludf.DUMMYFUNCTION("""COMPUTED_VALUE"""),787649.0)</f>
        <v>787649</v>
      </c>
      <c r="B2432" t="str">
        <f>IFERROR(__xludf.DUMMYFUNCTION("""COMPUTED_VALUE"""),"Sweet Potato Baked Peel Not Eaten Fat Added In Cooking Ns As To Type Of Fat")</f>
        <v>Sweet Potato Baked Peel Not Eaten Fat Added In Cooking Ns As To Type Of Fat</v>
      </c>
      <c r="C2432" t="str">
        <f>IFERROR(__xludf.DUMMYFUNCTION("""COMPUTED_VALUE"""),"Vegetables")</f>
        <v>Vegetables</v>
      </c>
      <c r="D2432">
        <f>IFERROR(__xludf.DUMMYFUNCTION("""COMPUTED_VALUE"""),122.0)</f>
        <v>122</v>
      </c>
      <c r="E2432">
        <f>IFERROR(__xludf.DUMMYFUNCTION("""COMPUTED_VALUE"""),4.24)</f>
        <v>4.24</v>
      </c>
      <c r="F2432">
        <f>IFERROR(__xludf.DUMMYFUNCTION("""COMPUTED_VALUE"""),1.92)</f>
        <v>1.92</v>
      </c>
      <c r="G2432">
        <f>IFERROR(__xludf.DUMMYFUNCTION("""COMPUTED_VALUE"""),19.66)</f>
        <v>19.66</v>
      </c>
    </row>
    <row r="2433">
      <c r="A2433">
        <f>IFERROR(__xludf.DUMMYFUNCTION("""COMPUTED_VALUE"""),787650.0)</f>
        <v>787650</v>
      </c>
      <c r="B2433" t="str">
        <f>IFERROR(__xludf.DUMMYFUNCTION("""COMPUTED_VALUE"""),"Sweet Potato Baked Peel Not Eaten Made With Oil")</f>
        <v>Sweet Potato Baked Peel Not Eaten Made With Oil</v>
      </c>
      <c r="C2433" t="str">
        <f>IFERROR(__xludf.DUMMYFUNCTION("""COMPUTED_VALUE"""),"Vegetables")</f>
        <v>Vegetables</v>
      </c>
      <c r="D2433">
        <f>IFERROR(__xludf.DUMMYFUNCTION("""COMPUTED_VALUE"""),127.0)</f>
        <v>127</v>
      </c>
      <c r="E2433">
        <f>IFERROR(__xludf.DUMMYFUNCTION("""COMPUTED_VALUE"""),4.89)</f>
        <v>4.89</v>
      </c>
      <c r="F2433">
        <f>IFERROR(__xludf.DUMMYFUNCTION("""COMPUTED_VALUE"""),1.91)</f>
        <v>1.91</v>
      </c>
      <c r="G2433">
        <f>IFERROR(__xludf.DUMMYFUNCTION("""COMPUTED_VALUE"""),19.65)</f>
        <v>19.65</v>
      </c>
    </row>
    <row r="2434">
      <c r="A2434">
        <f>IFERROR(__xludf.DUMMYFUNCTION("""COMPUTED_VALUE"""),787651.0)</f>
        <v>787651</v>
      </c>
      <c r="B2434" t="str">
        <f>IFERROR(__xludf.DUMMYFUNCTION("""COMPUTED_VALUE"""),"Sweet Potato Baked Peel Not Eaten Made With Butter")</f>
        <v>Sweet Potato Baked Peel Not Eaten Made With Butter</v>
      </c>
      <c r="C2434" t="str">
        <f>IFERROR(__xludf.DUMMYFUNCTION("""COMPUTED_VALUE"""),"Vegetables")</f>
        <v>Vegetables</v>
      </c>
      <c r="D2434">
        <f>IFERROR(__xludf.DUMMYFUNCTION("""COMPUTED_VALUE"""),119.0)</f>
        <v>119</v>
      </c>
      <c r="E2434">
        <f>IFERROR(__xludf.DUMMYFUNCTION("""COMPUTED_VALUE"""),3.99)</f>
        <v>3.99</v>
      </c>
      <c r="F2434">
        <f>IFERROR(__xludf.DUMMYFUNCTION("""COMPUTED_VALUE"""),1.95)</f>
        <v>1.95</v>
      </c>
      <c r="G2434">
        <f>IFERROR(__xludf.DUMMYFUNCTION("""COMPUTED_VALUE"""),19.65)</f>
        <v>19.65</v>
      </c>
    </row>
    <row r="2435">
      <c r="A2435">
        <f>IFERROR(__xludf.DUMMYFUNCTION("""COMPUTED_VALUE"""),787652.0)</f>
        <v>787652</v>
      </c>
      <c r="B2435" t="str">
        <f>IFERROR(__xludf.DUMMYFUNCTION("""COMPUTED_VALUE"""),"Sweet Potato Baked Peel Not Eaten Made With Margarine")</f>
        <v>Sweet Potato Baked Peel Not Eaten Made With Margarine</v>
      </c>
      <c r="C2435" t="str">
        <f>IFERROR(__xludf.DUMMYFUNCTION("""COMPUTED_VALUE"""),"Vegetables")</f>
        <v>Vegetables</v>
      </c>
      <c r="D2435">
        <f>IFERROR(__xludf.DUMMYFUNCTION("""COMPUTED_VALUE"""),111.0)</f>
        <v>111</v>
      </c>
      <c r="E2435">
        <f>IFERROR(__xludf.DUMMYFUNCTION("""COMPUTED_VALUE"""),2.98)</f>
        <v>2.98</v>
      </c>
      <c r="F2435">
        <f>IFERROR(__xludf.DUMMYFUNCTION("""COMPUTED_VALUE"""),1.92)</f>
        <v>1.92</v>
      </c>
      <c r="G2435">
        <f>IFERROR(__xludf.DUMMYFUNCTION("""COMPUTED_VALUE"""),19.69)</f>
        <v>19.69</v>
      </c>
    </row>
    <row r="2436">
      <c r="A2436">
        <f>IFERROR(__xludf.DUMMYFUNCTION("""COMPUTED_VALUE"""),787653.0)</f>
        <v>787653</v>
      </c>
      <c r="B2436" t="str">
        <f>IFERROR(__xludf.DUMMYFUNCTION("""COMPUTED_VALUE"""),"Sweet Potato Boiled Ns As To Fat Added In Cooking")</f>
        <v>Sweet Potato Boiled Ns As To Fat Added In Cooking</v>
      </c>
      <c r="C2436" t="str">
        <f>IFERROR(__xludf.DUMMYFUNCTION("""COMPUTED_VALUE"""),"Vegetables")</f>
        <v>Vegetables</v>
      </c>
      <c r="D2436">
        <f>IFERROR(__xludf.DUMMYFUNCTION("""COMPUTED_VALUE"""),108.0)</f>
        <v>108</v>
      </c>
      <c r="E2436">
        <f>IFERROR(__xludf.DUMMYFUNCTION("""COMPUTED_VALUE"""),4.23)</f>
        <v>4.23</v>
      </c>
      <c r="F2436">
        <f>IFERROR(__xludf.DUMMYFUNCTION("""COMPUTED_VALUE"""),1.31)</f>
        <v>1.31</v>
      </c>
      <c r="G2436">
        <f>IFERROR(__xludf.DUMMYFUNCTION("""COMPUTED_VALUE"""),16.82)</f>
        <v>16.82</v>
      </c>
    </row>
    <row r="2437">
      <c r="A2437">
        <f>IFERROR(__xludf.DUMMYFUNCTION("""COMPUTED_VALUE"""),787654.0)</f>
        <v>787654</v>
      </c>
      <c r="B2437" t="str">
        <f>IFERROR(__xludf.DUMMYFUNCTION("""COMPUTED_VALUE"""),"Sweet Potato Boiled Fat Not Added In Cooking")</f>
        <v>Sweet Potato Boiled Fat Not Added In Cooking</v>
      </c>
      <c r="C2437" t="str">
        <f>IFERROR(__xludf.DUMMYFUNCTION("""COMPUTED_VALUE"""),"Vegetables")</f>
        <v>Vegetables</v>
      </c>
      <c r="D2437">
        <f>IFERROR(__xludf.DUMMYFUNCTION("""COMPUTED_VALUE"""),76.0)</f>
        <v>76</v>
      </c>
      <c r="E2437">
        <f>IFERROR(__xludf.DUMMYFUNCTION("""COMPUTED_VALUE"""),0.14)</f>
        <v>0.14</v>
      </c>
      <c r="F2437">
        <f>IFERROR(__xludf.DUMMYFUNCTION("""COMPUTED_VALUE"""),1.36)</f>
        <v>1.36</v>
      </c>
      <c r="G2437">
        <f>IFERROR(__xludf.DUMMYFUNCTION("""COMPUTED_VALUE"""),17.65)</f>
        <v>17.65</v>
      </c>
    </row>
    <row r="2438">
      <c r="A2438">
        <f>IFERROR(__xludf.DUMMYFUNCTION("""COMPUTED_VALUE"""),787655.0)</f>
        <v>787655</v>
      </c>
      <c r="B2438" t="str">
        <f>IFERROR(__xludf.DUMMYFUNCTION("""COMPUTED_VALUE"""),"Sweet Potato Boiled Fat Added In Cooking Ns As To Type Of Fat")</f>
        <v>Sweet Potato Boiled Fat Added In Cooking Ns As To Type Of Fat</v>
      </c>
      <c r="C2438" t="str">
        <f>IFERROR(__xludf.DUMMYFUNCTION("""COMPUTED_VALUE"""),"Vegetables")</f>
        <v>Vegetables</v>
      </c>
      <c r="D2438">
        <f>IFERROR(__xludf.DUMMYFUNCTION("""COMPUTED_VALUE"""),108.0)</f>
        <v>108</v>
      </c>
      <c r="E2438">
        <f>IFERROR(__xludf.DUMMYFUNCTION("""COMPUTED_VALUE"""),4.23)</f>
        <v>4.23</v>
      </c>
      <c r="F2438">
        <f>IFERROR(__xludf.DUMMYFUNCTION("""COMPUTED_VALUE"""),1.31)</f>
        <v>1.31</v>
      </c>
      <c r="G2438">
        <f>IFERROR(__xludf.DUMMYFUNCTION("""COMPUTED_VALUE"""),16.82)</f>
        <v>16.82</v>
      </c>
    </row>
    <row r="2439">
      <c r="A2439">
        <f>IFERROR(__xludf.DUMMYFUNCTION("""COMPUTED_VALUE"""),787656.0)</f>
        <v>787656</v>
      </c>
      <c r="B2439" t="str">
        <f>IFERROR(__xludf.DUMMYFUNCTION("""COMPUTED_VALUE"""),"Sweet Potato Boiled Made With Oil")</f>
        <v>Sweet Potato Boiled Made With Oil</v>
      </c>
      <c r="C2439" t="str">
        <f>IFERROR(__xludf.DUMMYFUNCTION("""COMPUTED_VALUE"""),"Vegetables")</f>
        <v>Vegetables</v>
      </c>
      <c r="D2439">
        <f>IFERROR(__xludf.DUMMYFUNCTION("""COMPUTED_VALUE"""),114.0)</f>
        <v>114</v>
      </c>
      <c r="E2439">
        <f>IFERROR(__xludf.DUMMYFUNCTION("""COMPUTED_VALUE"""),4.88)</f>
        <v>4.88</v>
      </c>
      <c r="F2439">
        <f>IFERROR(__xludf.DUMMYFUNCTION("""COMPUTED_VALUE"""),1.3)</f>
        <v>1.3</v>
      </c>
      <c r="G2439">
        <f>IFERROR(__xludf.DUMMYFUNCTION("""COMPUTED_VALUE"""),16.81)</f>
        <v>16.81</v>
      </c>
    </row>
    <row r="2440">
      <c r="A2440">
        <f>IFERROR(__xludf.DUMMYFUNCTION("""COMPUTED_VALUE"""),787657.0)</f>
        <v>787657</v>
      </c>
      <c r="B2440" t="str">
        <f>IFERROR(__xludf.DUMMYFUNCTION("""COMPUTED_VALUE"""),"Sweet Potato Boiled Made With Butter")</f>
        <v>Sweet Potato Boiled Made With Butter</v>
      </c>
      <c r="C2440" t="str">
        <f>IFERROR(__xludf.DUMMYFUNCTION("""COMPUTED_VALUE"""),"Vegetables")</f>
        <v>Vegetables</v>
      </c>
      <c r="D2440">
        <f>IFERROR(__xludf.DUMMYFUNCTION("""COMPUTED_VALUE"""),106.0)</f>
        <v>106</v>
      </c>
      <c r="E2440">
        <f>IFERROR(__xludf.DUMMYFUNCTION("""COMPUTED_VALUE"""),3.98)</f>
        <v>3.98</v>
      </c>
      <c r="F2440">
        <f>IFERROR(__xludf.DUMMYFUNCTION("""COMPUTED_VALUE"""),1.34)</f>
        <v>1.34</v>
      </c>
      <c r="G2440">
        <f>IFERROR(__xludf.DUMMYFUNCTION("""COMPUTED_VALUE"""),16.82)</f>
        <v>16.82</v>
      </c>
    </row>
    <row r="2441">
      <c r="A2441">
        <f>IFERROR(__xludf.DUMMYFUNCTION("""COMPUTED_VALUE"""),787658.0)</f>
        <v>787658</v>
      </c>
      <c r="B2441" t="str">
        <f>IFERROR(__xludf.DUMMYFUNCTION("""COMPUTED_VALUE"""),"Sweet Potato Boiled Made With Margarine")</f>
        <v>Sweet Potato Boiled Made With Margarine</v>
      </c>
      <c r="C2441" t="str">
        <f>IFERROR(__xludf.DUMMYFUNCTION("""COMPUTED_VALUE"""),"Vegetables")</f>
        <v>Vegetables</v>
      </c>
      <c r="D2441">
        <f>IFERROR(__xludf.DUMMYFUNCTION("""COMPUTED_VALUE"""),97.0)</f>
        <v>97</v>
      </c>
      <c r="E2441">
        <f>IFERROR(__xludf.DUMMYFUNCTION("""COMPUTED_VALUE"""),2.97)</f>
        <v>2.97</v>
      </c>
      <c r="F2441">
        <f>IFERROR(__xludf.DUMMYFUNCTION("""COMPUTED_VALUE"""),1.31)</f>
        <v>1.31</v>
      </c>
      <c r="G2441">
        <f>IFERROR(__xludf.DUMMYFUNCTION("""COMPUTED_VALUE"""),16.85)</f>
        <v>16.85</v>
      </c>
    </row>
    <row r="2442">
      <c r="A2442">
        <f>IFERROR(__xludf.DUMMYFUNCTION("""COMPUTED_VALUE"""),787659.0)</f>
        <v>787659</v>
      </c>
      <c r="B2442" t="str">
        <f>IFERROR(__xludf.DUMMYFUNCTION("""COMPUTED_VALUE"""),"Sweet Potato Candied")</f>
        <v>Sweet Potato Candied</v>
      </c>
      <c r="C2442" t="str">
        <f>IFERROR(__xludf.DUMMYFUNCTION("""COMPUTED_VALUE"""),"Vegetables")</f>
        <v>Vegetables</v>
      </c>
      <c r="D2442">
        <f>IFERROR(__xludf.DUMMYFUNCTION("""COMPUTED_VALUE"""),178.0)</f>
        <v>178</v>
      </c>
      <c r="E2442">
        <f>IFERROR(__xludf.DUMMYFUNCTION("""COMPUTED_VALUE"""),3.17)</f>
        <v>3.17</v>
      </c>
      <c r="F2442">
        <f>IFERROR(__xludf.DUMMYFUNCTION("""COMPUTED_VALUE"""),0.99)</f>
        <v>0.99</v>
      </c>
      <c r="G2442">
        <f>IFERROR(__xludf.DUMMYFUNCTION("""COMPUTED_VALUE"""),37.55)</f>
        <v>37.55</v>
      </c>
    </row>
    <row r="2443">
      <c r="A2443">
        <f>IFERROR(__xludf.DUMMYFUNCTION("""COMPUTED_VALUE"""),787660.0)</f>
        <v>787660</v>
      </c>
      <c r="B2443" t="str">
        <f>IFERROR(__xludf.DUMMYFUNCTION("""COMPUTED_VALUE"""),"Sweet Potato Canned Ns As To Fat Added In Cooking")</f>
        <v>Sweet Potato Canned Ns As To Fat Added In Cooking</v>
      </c>
      <c r="C2443" t="str">
        <f>IFERROR(__xludf.DUMMYFUNCTION("""COMPUTED_VALUE"""),"Vegetables")</f>
        <v>Vegetables</v>
      </c>
      <c r="D2443">
        <f>IFERROR(__xludf.DUMMYFUNCTION("""COMPUTED_VALUE"""),123.0)</f>
        <v>123</v>
      </c>
      <c r="E2443">
        <f>IFERROR(__xludf.DUMMYFUNCTION("""COMPUTED_VALUE"""),4.28)</f>
        <v>4.28</v>
      </c>
      <c r="F2443">
        <f>IFERROR(__xludf.DUMMYFUNCTION("""COMPUTED_VALUE"""),1.58)</f>
        <v>1.58</v>
      </c>
      <c r="G2443">
        <f>IFERROR(__xludf.DUMMYFUNCTION("""COMPUTED_VALUE"""),20.05)</f>
        <v>20.05</v>
      </c>
    </row>
    <row r="2444">
      <c r="A2444">
        <f>IFERROR(__xludf.DUMMYFUNCTION("""COMPUTED_VALUE"""),787661.0)</f>
        <v>787661</v>
      </c>
      <c r="B2444" t="str">
        <f>IFERROR(__xludf.DUMMYFUNCTION("""COMPUTED_VALUE"""),"Sweet Potato Canned Fat Not Added In Cooking")</f>
        <v>Sweet Potato Canned Fat Not Added In Cooking</v>
      </c>
      <c r="C2444" t="str">
        <f>IFERROR(__xludf.DUMMYFUNCTION("""COMPUTED_VALUE"""),"Vegetables")</f>
        <v>Vegetables</v>
      </c>
      <c r="D2444">
        <f>IFERROR(__xludf.DUMMYFUNCTION("""COMPUTED_VALUE"""),91.0)</f>
        <v>91</v>
      </c>
      <c r="E2444">
        <f>IFERROR(__xludf.DUMMYFUNCTION("""COMPUTED_VALUE"""),0.2)</f>
        <v>0.2</v>
      </c>
      <c r="F2444">
        <f>IFERROR(__xludf.DUMMYFUNCTION("""COMPUTED_VALUE"""),1.64)</f>
        <v>1.64</v>
      </c>
      <c r="G2444">
        <f>IFERROR(__xludf.DUMMYFUNCTION("""COMPUTED_VALUE"""),21.04)</f>
        <v>21.04</v>
      </c>
    </row>
    <row r="2445">
      <c r="A2445">
        <f>IFERROR(__xludf.DUMMYFUNCTION("""COMPUTED_VALUE"""),787662.0)</f>
        <v>787662</v>
      </c>
      <c r="B2445" t="str">
        <f>IFERROR(__xludf.DUMMYFUNCTION("""COMPUTED_VALUE"""),"Sweet Potato Canned Fat Added In Cooking")</f>
        <v>Sweet Potato Canned Fat Added In Cooking</v>
      </c>
      <c r="C2445" t="str">
        <f>IFERROR(__xludf.DUMMYFUNCTION("""COMPUTED_VALUE"""),"Vegetables")</f>
        <v>Vegetables</v>
      </c>
      <c r="D2445">
        <f>IFERROR(__xludf.DUMMYFUNCTION("""COMPUTED_VALUE"""),123.0)</f>
        <v>123</v>
      </c>
      <c r="E2445">
        <f>IFERROR(__xludf.DUMMYFUNCTION("""COMPUTED_VALUE"""),4.28)</f>
        <v>4.28</v>
      </c>
      <c r="F2445">
        <f>IFERROR(__xludf.DUMMYFUNCTION("""COMPUTED_VALUE"""),1.58)</f>
        <v>1.58</v>
      </c>
      <c r="G2445">
        <f>IFERROR(__xludf.DUMMYFUNCTION("""COMPUTED_VALUE"""),20.05)</f>
        <v>20.05</v>
      </c>
    </row>
    <row r="2446">
      <c r="A2446">
        <f>IFERROR(__xludf.DUMMYFUNCTION("""COMPUTED_VALUE"""),787663.0)</f>
        <v>787663</v>
      </c>
      <c r="B2446" t="str">
        <f>IFERROR(__xludf.DUMMYFUNCTION("""COMPUTED_VALUE"""),"Sweet Potato Casserole Or Mashed")</f>
        <v>Sweet Potato Casserole Or Mashed</v>
      </c>
      <c r="C2446" t="str">
        <f>IFERROR(__xludf.DUMMYFUNCTION("""COMPUTED_VALUE"""),"Vegetables")</f>
        <v>Vegetables</v>
      </c>
      <c r="D2446">
        <f>IFERROR(__xludf.DUMMYFUNCTION("""COMPUTED_VALUE"""),92.0)</f>
        <v>92</v>
      </c>
      <c r="E2446">
        <f>IFERROR(__xludf.DUMMYFUNCTION("""COMPUTED_VALUE"""),2.13)</f>
        <v>2.13</v>
      </c>
      <c r="F2446">
        <f>IFERROR(__xludf.DUMMYFUNCTION("""COMPUTED_VALUE"""),1.68)</f>
        <v>1.68</v>
      </c>
      <c r="G2446">
        <f>IFERROR(__xludf.DUMMYFUNCTION("""COMPUTED_VALUE"""),17.06)</f>
        <v>17.06</v>
      </c>
    </row>
    <row r="2447">
      <c r="A2447">
        <f>IFERROR(__xludf.DUMMYFUNCTION("""COMPUTED_VALUE"""),787669.0)</f>
        <v>787669</v>
      </c>
      <c r="B2447" t="str">
        <f>IFERROR(__xludf.DUMMYFUNCTION("""COMPUTED_VALUE"""),"Sweet Potato Fries From Fresh Fried")</f>
        <v>Sweet Potato Fries From Fresh Fried</v>
      </c>
      <c r="C2447" t="str">
        <f>IFERROR(__xludf.DUMMYFUNCTION("""COMPUTED_VALUE"""),"Vegetables")</f>
        <v>Vegetables</v>
      </c>
      <c r="D2447">
        <f>IFERROR(__xludf.DUMMYFUNCTION("""COMPUTED_VALUE"""),193.0)</f>
        <v>193</v>
      </c>
      <c r="E2447">
        <f>IFERROR(__xludf.DUMMYFUNCTION("""COMPUTED_VALUE"""),13.13)</f>
        <v>13.13</v>
      </c>
      <c r="F2447">
        <f>IFERROR(__xludf.DUMMYFUNCTION("""COMPUTED_VALUE"""),1.74)</f>
        <v>1.74</v>
      </c>
      <c r="G2447">
        <f>IFERROR(__xludf.DUMMYFUNCTION("""COMPUTED_VALUE"""),17.95)</f>
        <v>17.95</v>
      </c>
    </row>
    <row r="2448">
      <c r="A2448">
        <f>IFERROR(__xludf.DUMMYFUNCTION("""COMPUTED_VALUE"""),787670.0)</f>
        <v>787670</v>
      </c>
      <c r="B2448" t="str">
        <f>IFERROR(__xludf.DUMMYFUNCTION("""COMPUTED_VALUE"""),"Sweet Potato Fries From Fresh Baked")</f>
        <v>Sweet Potato Fries From Fresh Baked</v>
      </c>
      <c r="C2448" t="str">
        <f>IFERROR(__xludf.DUMMYFUNCTION("""COMPUTED_VALUE"""),"Vegetables")</f>
        <v>Vegetables</v>
      </c>
      <c r="D2448">
        <f>IFERROR(__xludf.DUMMYFUNCTION("""COMPUTED_VALUE"""),162.0)</f>
        <v>162</v>
      </c>
      <c r="E2448">
        <f>IFERROR(__xludf.DUMMYFUNCTION("""COMPUTED_VALUE"""),9.19)</f>
        <v>9.19</v>
      </c>
      <c r="F2448">
        <f>IFERROR(__xludf.DUMMYFUNCTION("""COMPUTED_VALUE"""),1.82)</f>
        <v>1.82</v>
      </c>
      <c r="G2448">
        <f>IFERROR(__xludf.DUMMYFUNCTION("""COMPUTED_VALUE"""),18.76)</f>
        <v>18.76</v>
      </c>
    </row>
    <row r="2449">
      <c r="A2449">
        <f>IFERROR(__xludf.DUMMYFUNCTION("""COMPUTED_VALUE"""),787679.0)</f>
        <v>787679</v>
      </c>
      <c r="B2449" t="str">
        <f>IFERROR(__xludf.DUMMYFUNCTION("""COMPUTED_VALUE"""),"Sweet Potato Yellow Puerto Rican Cooked")</f>
        <v>Sweet Potato Yellow Puerto Rican Cooked</v>
      </c>
      <c r="C2449" t="str">
        <f>IFERROR(__xludf.DUMMYFUNCTION("""COMPUTED_VALUE"""),"Vegetables")</f>
        <v>Vegetables</v>
      </c>
      <c r="D2449">
        <f>IFERROR(__xludf.DUMMYFUNCTION("""COMPUTED_VALUE"""),76.0)</f>
        <v>76</v>
      </c>
      <c r="E2449">
        <f>IFERROR(__xludf.DUMMYFUNCTION("""COMPUTED_VALUE"""),0.14)</f>
        <v>0.14</v>
      </c>
      <c r="F2449">
        <f>IFERROR(__xludf.DUMMYFUNCTION("""COMPUTED_VALUE"""),1.36)</f>
        <v>1.36</v>
      </c>
      <c r="G2449">
        <f>IFERROR(__xludf.DUMMYFUNCTION("""COMPUTED_VALUE"""),17.61)</f>
        <v>17.61</v>
      </c>
    </row>
    <row r="2450">
      <c r="A2450">
        <f>IFERROR(__xludf.DUMMYFUNCTION("""COMPUTED_VALUE"""),787685.0)</f>
        <v>787685</v>
      </c>
      <c r="B2450" t="str">
        <f>IFERROR(__xludf.DUMMYFUNCTION("""COMPUTED_VALUE"""),"Tomatoes Cooked Ns As To Form Ns As To Method")</f>
        <v>Tomatoes Cooked Ns As To Form Ns As To Method</v>
      </c>
      <c r="C2450" t="str">
        <f>IFERROR(__xludf.DUMMYFUNCTION("""COMPUTED_VALUE"""),"Vegetables")</f>
        <v>Vegetables</v>
      </c>
      <c r="D2450">
        <f>IFERROR(__xludf.DUMMYFUNCTION("""COMPUTED_VALUE"""),18.0)</f>
        <v>18</v>
      </c>
      <c r="E2450">
        <f>IFERROR(__xludf.DUMMYFUNCTION("""COMPUTED_VALUE"""),0.11)</f>
        <v>0.11</v>
      </c>
      <c r="F2450">
        <f>IFERROR(__xludf.DUMMYFUNCTION("""COMPUTED_VALUE"""),0.95)</f>
        <v>0.95</v>
      </c>
      <c r="G2450">
        <f>IFERROR(__xludf.DUMMYFUNCTION("""COMPUTED_VALUE"""),3.99)</f>
        <v>3.99</v>
      </c>
    </row>
    <row r="2451">
      <c r="A2451">
        <f>IFERROR(__xludf.DUMMYFUNCTION("""COMPUTED_VALUE"""),787686.0)</f>
        <v>787686</v>
      </c>
      <c r="B2451" t="str">
        <f>IFERROR(__xludf.DUMMYFUNCTION("""COMPUTED_VALUE"""),"Tomatoes Cooked From Fresh Ns As To Method")</f>
        <v>Tomatoes Cooked From Fresh Ns As To Method</v>
      </c>
      <c r="C2451" t="str">
        <f>IFERROR(__xludf.DUMMYFUNCTION("""COMPUTED_VALUE"""),"Vegetables")</f>
        <v>Vegetables</v>
      </c>
      <c r="D2451">
        <f>IFERROR(__xludf.DUMMYFUNCTION("""COMPUTED_VALUE"""),18.0)</f>
        <v>18</v>
      </c>
      <c r="E2451">
        <f>IFERROR(__xludf.DUMMYFUNCTION("""COMPUTED_VALUE"""),0.11)</f>
        <v>0.11</v>
      </c>
      <c r="F2451">
        <f>IFERROR(__xludf.DUMMYFUNCTION("""COMPUTED_VALUE"""),0.95)</f>
        <v>0.95</v>
      </c>
      <c r="G2451">
        <f>IFERROR(__xludf.DUMMYFUNCTION("""COMPUTED_VALUE"""),3.99)</f>
        <v>3.99</v>
      </c>
    </row>
    <row r="2452">
      <c r="A2452">
        <f>IFERROR(__xludf.DUMMYFUNCTION("""COMPUTED_VALUE"""),787688.0)</f>
        <v>787688</v>
      </c>
      <c r="B2452" t="str">
        <f>IFERROR(__xludf.DUMMYFUNCTION("""COMPUTED_VALUE"""),"Tomatoes Ns As To Form Broiled")</f>
        <v>Tomatoes Ns As To Form Broiled</v>
      </c>
      <c r="C2452" t="str">
        <f>IFERROR(__xludf.DUMMYFUNCTION("""COMPUTED_VALUE"""),"Vegetables")</f>
        <v>Vegetables</v>
      </c>
      <c r="D2452">
        <f>IFERROR(__xludf.DUMMYFUNCTION("""COMPUTED_VALUE"""),22.0)</f>
        <v>22</v>
      </c>
      <c r="E2452">
        <f>IFERROR(__xludf.DUMMYFUNCTION("""COMPUTED_VALUE"""),0.25)</f>
        <v>0.25</v>
      </c>
      <c r="F2452">
        <f>IFERROR(__xludf.DUMMYFUNCTION("""COMPUTED_VALUE"""),1.09)</f>
        <v>1.09</v>
      </c>
      <c r="G2452">
        <f>IFERROR(__xludf.DUMMYFUNCTION("""COMPUTED_VALUE"""),4.83)</f>
        <v>4.83</v>
      </c>
    </row>
    <row r="2453">
      <c r="A2453">
        <f>IFERROR(__xludf.DUMMYFUNCTION("""COMPUTED_VALUE"""),787689.0)</f>
        <v>787689</v>
      </c>
      <c r="B2453" t="str">
        <f>IFERROR(__xludf.DUMMYFUNCTION("""COMPUTED_VALUE"""),"Tomatoes From Fresh Broiled")</f>
        <v>Tomatoes From Fresh Broiled</v>
      </c>
      <c r="C2453" t="str">
        <f>IFERROR(__xludf.DUMMYFUNCTION("""COMPUTED_VALUE"""),"Vegetables")</f>
        <v>Vegetables</v>
      </c>
      <c r="D2453">
        <f>IFERROR(__xludf.DUMMYFUNCTION("""COMPUTED_VALUE"""),22.0)</f>
        <v>22</v>
      </c>
      <c r="E2453">
        <f>IFERROR(__xludf.DUMMYFUNCTION("""COMPUTED_VALUE"""),0.25)</f>
        <v>0.25</v>
      </c>
      <c r="F2453">
        <f>IFERROR(__xludf.DUMMYFUNCTION("""COMPUTED_VALUE"""),1.09)</f>
        <v>1.09</v>
      </c>
      <c r="G2453">
        <f>IFERROR(__xludf.DUMMYFUNCTION("""COMPUTED_VALUE"""),4.84)</f>
        <v>4.84</v>
      </c>
    </row>
    <row r="2454">
      <c r="A2454">
        <f>IFERROR(__xludf.DUMMYFUNCTION("""COMPUTED_VALUE"""),787690.0)</f>
        <v>787690</v>
      </c>
      <c r="B2454" t="str">
        <f>IFERROR(__xludf.DUMMYFUNCTION("""COMPUTED_VALUE"""),"Tomatoes Red Ns As To Form Fried")</f>
        <v>Tomatoes Red Ns As To Form Fried</v>
      </c>
      <c r="C2454" t="str">
        <f>IFERROR(__xludf.DUMMYFUNCTION("""COMPUTED_VALUE"""),"Vegetables")</f>
        <v>Vegetables</v>
      </c>
      <c r="D2454">
        <f>IFERROR(__xludf.DUMMYFUNCTION("""COMPUTED_VALUE"""),179.0)</f>
        <v>179</v>
      </c>
      <c r="E2454">
        <f>IFERROR(__xludf.DUMMYFUNCTION("""COMPUTED_VALUE"""),11.74)</f>
        <v>11.74</v>
      </c>
      <c r="F2454">
        <f>IFERROR(__xludf.DUMMYFUNCTION("""COMPUTED_VALUE"""),3.82)</f>
        <v>3.82</v>
      </c>
      <c r="G2454">
        <f>IFERROR(__xludf.DUMMYFUNCTION("""COMPUTED_VALUE"""),14.68)</f>
        <v>14.68</v>
      </c>
    </row>
    <row r="2455">
      <c r="A2455">
        <f>IFERROR(__xludf.DUMMYFUNCTION("""COMPUTED_VALUE"""),787691.0)</f>
        <v>787691</v>
      </c>
      <c r="B2455" t="str">
        <f>IFERROR(__xludf.DUMMYFUNCTION("""COMPUTED_VALUE"""),"Tomatoes Red From Fresh Fried")</f>
        <v>Tomatoes Red From Fresh Fried</v>
      </c>
      <c r="C2455" t="str">
        <f>IFERROR(__xludf.DUMMYFUNCTION("""COMPUTED_VALUE"""),"Vegetables")</f>
        <v>Vegetables</v>
      </c>
      <c r="D2455">
        <f>IFERROR(__xludf.DUMMYFUNCTION("""COMPUTED_VALUE"""),169.0)</f>
        <v>169</v>
      </c>
      <c r="E2455">
        <f>IFERROR(__xludf.DUMMYFUNCTION("""COMPUTED_VALUE"""),13.11)</f>
        <v>13.11</v>
      </c>
      <c r="F2455">
        <f>IFERROR(__xludf.DUMMYFUNCTION("""COMPUTED_VALUE"""),2.7)</f>
        <v>2.7</v>
      </c>
      <c r="G2455">
        <f>IFERROR(__xludf.DUMMYFUNCTION("""COMPUTED_VALUE"""),10.93)</f>
        <v>10.93</v>
      </c>
    </row>
    <row r="2456">
      <c r="A2456">
        <f>IFERROR(__xludf.DUMMYFUNCTION("""COMPUTED_VALUE"""),787692.0)</f>
        <v>787692</v>
      </c>
      <c r="B2456" t="str">
        <f>IFERROR(__xludf.DUMMYFUNCTION("""COMPUTED_VALUE"""),"Tomatoes Ns As To Form Scalloped")</f>
        <v>Tomatoes Ns As To Form Scalloped</v>
      </c>
      <c r="C2456" t="str">
        <f>IFERROR(__xludf.DUMMYFUNCTION("""COMPUTED_VALUE"""),"Vegetables")</f>
        <v>Vegetables</v>
      </c>
      <c r="D2456">
        <f>IFERROR(__xludf.DUMMYFUNCTION("""COMPUTED_VALUE"""),124.0)</f>
        <v>124</v>
      </c>
      <c r="E2456">
        <f>IFERROR(__xludf.DUMMYFUNCTION("""COMPUTED_VALUE"""),5.86)</f>
        <v>5.86</v>
      </c>
      <c r="F2456">
        <f>IFERROR(__xludf.DUMMYFUNCTION("""COMPUTED_VALUE"""),2.75)</f>
        <v>2.75</v>
      </c>
      <c r="G2456">
        <f>IFERROR(__xludf.DUMMYFUNCTION("""COMPUTED_VALUE"""),15.67)</f>
        <v>15.67</v>
      </c>
    </row>
    <row r="2457">
      <c r="A2457">
        <f>IFERROR(__xludf.DUMMYFUNCTION("""COMPUTED_VALUE"""),787693.0)</f>
        <v>787693</v>
      </c>
      <c r="B2457" t="str">
        <f>IFERROR(__xludf.DUMMYFUNCTION("""COMPUTED_VALUE"""),"Tomatoes From Fresh Scalloped")</f>
        <v>Tomatoes From Fresh Scalloped</v>
      </c>
      <c r="C2457" t="str">
        <f>IFERROR(__xludf.DUMMYFUNCTION("""COMPUTED_VALUE"""),"Vegetables")</f>
        <v>Vegetables</v>
      </c>
      <c r="D2457">
        <f>IFERROR(__xludf.DUMMYFUNCTION("""COMPUTED_VALUE"""),85.0)</f>
        <v>85</v>
      </c>
      <c r="E2457">
        <f>IFERROR(__xludf.DUMMYFUNCTION("""COMPUTED_VALUE"""),4.41)</f>
        <v>4.41</v>
      </c>
      <c r="F2457">
        <f>IFERROR(__xludf.DUMMYFUNCTION("""COMPUTED_VALUE"""),1.8)</f>
        <v>1.8</v>
      </c>
      <c r="G2457">
        <f>IFERROR(__xludf.DUMMYFUNCTION("""COMPUTED_VALUE"""),10.34)</f>
        <v>10.34</v>
      </c>
    </row>
    <row r="2458">
      <c r="A2458">
        <f>IFERROR(__xludf.DUMMYFUNCTION("""COMPUTED_VALUE"""),787695.0)</f>
        <v>787695</v>
      </c>
      <c r="B2458" t="str">
        <f>IFERROR(__xludf.DUMMYFUNCTION("""COMPUTED_VALUE"""),"Tomatoes From Fresh Stewed")</f>
        <v>Tomatoes From Fresh Stewed</v>
      </c>
      <c r="C2458" t="str">
        <f>IFERROR(__xludf.DUMMYFUNCTION("""COMPUTED_VALUE"""),"Vegetables")</f>
        <v>Vegetables</v>
      </c>
      <c r="D2458">
        <f>IFERROR(__xludf.DUMMYFUNCTION("""COMPUTED_VALUE"""),59.0)</f>
        <v>59</v>
      </c>
      <c r="E2458">
        <f>IFERROR(__xludf.DUMMYFUNCTION("""COMPUTED_VALUE"""),1.83)</f>
        <v>1.83</v>
      </c>
      <c r="F2458">
        <f>IFERROR(__xludf.DUMMYFUNCTION("""COMPUTED_VALUE"""),1.74)</f>
        <v>1.74</v>
      </c>
      <c r="G2458">
        <f>IFERROR(__xludf.DUMMYFUNCTION("""COMPUTED_VALUE"""),9.67)</f>
        <v>9.67</v>
      </c>
    </row>
    <row r="2459">
      <c r="A2459">
        <f>IFERROR(__xludf.DUMMYFUNCTION("""COMPUTED_VALUE"""),787698.0)</f>
        <v>787698</v>
      </c>
      <c r="B2459" t="str">
        <f>IFERROR(__xludf.DUMMYFUNCTION("""COMPUTED_VALUE"""),"Tomatoes Green Cooked Ns As To Form")</f>
        <v>Tomatoes Green Cooked Ns As To Form</v>
      </c>
      <c r="C2459" t="str">
        <f>IFERROR(__xludf.DUMMYFUNCTION("""COMPUTED_VALUE"""),"Vegetables")</f>
        <v>Vegetables</v>
      </c>
      <c r="D2459">
        <f>IFERROR(__xludf.DUMMYFUNCTION("""COMPUTED_VALUE"""),181.0)</f>
        <v>181</v>
      </c>
      <c r="E2459">
        <f>IFERROR(__xludf.DUMMYFUNCTION("""COMPUTED_VALUE"""),11.74)</f>
        <v>11.74</v>
      </c>
      <c r="F2459">
        <f>IFERROR(__xludf.DUMMYFUNCTION("""COMPUTED_VALUE"""),3.97)</f>
        <v>3.97</v>
      </c>
      <c r="G2459">
        <f>IFERROR(__xludf.DUMMYFUNCTION("""COMPUTED_VALUE"""),15.26)</f>
        <v>15.26</v>
      </c>
    </row>
    <row r="2460">
      <c r="A2460">
        <f>IFERROR(__xludf.DUMMYFUNCTION("""COMPUTED_VALUE"""),787699.0)</f>
        <v>787699</v>
      </c>
      <c r="B2460" t="str">
        <f>IFERROR(__xludf.DUMMYFUNCTION("""COMPUTED_VALUE"""),"Tomatoes Green Cooked From Fresh")</f>
        <v>Tomatoes Green Cooked From Fresh</v>
      </c>
      <c r="C2460" t="str">
        <f>IFERROR(__xludf.DUMMYFUNCTION("""COMPUTED_VALUE"""),"Vegetables")</f>
        <v>Vegetables</v>
      </c>
      <c r="D2460">
        <f>IFERROR(__xludf.DUMMYFUNCTION("""COMPUTED_VALUE"""),202.0)</f>
        <v>202</v>
      </c>
      <c r="E2460">
        <f>IFERROR(__xludf.DUMMYFUNCTION("""COMPUTED_VALUE"""),15.67)</f>
        <v>15.67</v>
      </c>
      <c r="F2460">
        <f>IFERROR(__xludf.DUMMYFUNCTION("""COMPUTED_VALUE"""),3.24)</f>
        <v>3.24</v>
      </c>
      <c r="G2460">
        <f>IFERROR(__xludf.DUMMYFUNCTION("""COMPUTED_VALUE"""),13.01)</f>
        <v>13.01</v>
      </c>
    </row>
    <row r="2461">
      <c r="A2461">
        <f>IFERROR(__xludf.DUMMYFUNCTION("""COMPUTED_VALUE"""),787700.0)</f>
        <v>787700</v>
      </c>
      <c r="B2461" t="str">
        <f>IFERROR(__xludf.DUMMYFUNCTION("""COMPUTED_VALUE"""),"Tomato Green Pickled")</f>
        <v>Tomato Green Pickled</v>
      </c>
      <c r="C2461" t="str">
        <f>IFERROR(__xludf.DUMMYFUNCTION("""COMPUTED_VALUE"""),"Fruits")</f>
        <v>Fruits</v>
      </c>
      <c r="D2461">
        <f>IFERROR(__xludf.DUMMYFUNCTION("""COMPUTED_VALUE"""),36.0)</f>
        <v>36</v>
      </c>
      <c r="E2461">
        <f>IFERROR(__xludf.DUMMYFUNCTION("""COMPUTED_VALUE"""),0.24)</f>
        <v>0.24</v>
      </c>
      <c r="F2461">
        <f>IFERROR(__xludf.DUMMYFUNCTION("""COMPUTED_VALUE"""),1.09)</f>
        <v>1.09</v>
      </c>
      <c r="G2461">
        <f>IFERROR(__xludf.DUMMYFUNCTION("""COMPUTED_VALUE"""),8.24)</f>
        <v>8.24</v>
      </c>
    </row>
    <row r="2462">
      <c r="A2462">
        <f>IFERROR(__xludf.DUMMYFUNCTION("""COMPUTED_VALUE"""),787729.0)</f>
        <v>787729</v>
      </c>
      <c r="B2462" t="str">
        <f>IFERROR(__xludf.DUMMYFUNCTION("""COMPUTED_VALUE"""),"Tomato Aspic")</f>
        <v>Tomato Aspic</v>
      </c>
      <c r="C2462" t="str">
        <f>IFERROR(__xludf.DUMMYFUNCTION("""COMPUTED_VALUE"""),"Vegetables")</f>
        <v>Vegetables</v>
      </c>
      <c r="D2462">
        <f>IFERROR(__xludf.DUMMYFUNCTION("""COMPUTED_VALUE"""),28.0)</f>
        <v>28</v>
      </c>
      <c r="E2462">
        <f>IFERROR(__xludf.DUMMYFUNCTION("""COMPUTED_VALUE"""),0.25)</f>
        <v>0.25</v>
      </c>
      <c r="F2462">
        <f>IFERROR(__xludf.DUMMYFUNCTION("""COMPUTED_VALUE"""),2.57)</f>
        <v>2.57</v>
      </c>
      <c r="G2462">
        <f>IFERROR(__xludf.DUMMYFUNCTION("""COMPUTED_VALUE"""),4.71)</f>
        <v>4.71</v>
      </c>
    </row>
    <row r="2463">
      <c r="A2463">
        <f>IFERROR(__xludf.DUMMYFUNCTION("""COMPUTED_VALUE"""),787730.0)</f>
        <v>787730</v>
      </c>
      <c r="B2463" t="str">
        <f>IFERROR(__xludf.DUMMYFUNCTION("""COMPUTED_VALUE"""),"Tomato And Corn Cooked Ns As To Fat Added In Cooking")</f>
        <v>Tomato And Corn Cooked Ns As To Fat Added In Cooking</v>
      </c>
      <c r="C2463" t="str">
        <f>IFERROR(__xludf.DUMMYFUNCTION("""COMPUTED_VALUE"""),"Vegetables")</f>
        <v>Vegetables</v>
      </c>
      <c r="D2463">
        <f>IFERROR(__xludf.DUMMYFUNCTION("""COMPUTED_VALUE"""),50.0)</f>
        <v>50</v>
      </c>
      <c r="E2463">
        <f>IFERROR(__xludf.DUMMYFUNCTION("""COMPUTED_VALUE"""),2.28)</f>
        <v>2.28</v>
      </c>
      <c r="F2463">
        <f>IFERROR(__xludf.DUMMYFUNCTION("""COMPUTED_VALUE"""),1.37)</f>
        <v>1.37</v>
      </c>
      <c r="G2463">
        <f>IFERROR(__xludf.DUMMYFUNCTION("""COMPUTED_VALUE"""),7.67)</f>
        <v>7.67</v>
      </c>
    </row>
    <row r="2464">
      <c r="A2464">
        <f>IFERROR(__xludf.DUMMYFUNCTION("""COMPUTED_VALUE"""),787731.0)</f>
        <v>787731</v>
      </c>
      <c r="B2464" t="str">
        <f>IFERROR(__xludf.DUMMYFUNCTION("""COMPUTED_VALUE"""),"Tomato And Corn Cooked Fat Not Added In Cooking")</f>
        <v>Tomato And Corn Cooked Fat Not Added In Cooking</v>
      </c>
      <c r="C2464" t="str">
        <f>IFERROR(__xludf.DUMMYFUNCTION("""COMPUTED_VALUE"""),"Vegetables")</f>
        <v>Vegetables</v>
      </c>
      <c r="D2464">
        <f>IFERROR(__xludf.DUMMYFUNCTION("""COMPUTED_VALUE"""),37.0)</f>
        <v>37</v>
      </c>
      <c r="E2464">
        <f>IFERROR(__xludf.DUMMYFUNCTION("""COMPUTED_VALUE"""),0.64)</f>
        <v>0.64</v>
      </c>
      <c r="F2464">
        <f>IFERROR(__xludf.DUMMYFUNCTION("""COMPUTED_VALUE"""),1.39)</f>
        <v>1.39</v>
      </c>
      <c r="G2464">
        <f>IFERROR(__xludf.DUMMYFUNCTION("""COMPUTED_VALUE"""),7.84)</f>
        <v>7.84</v>
      </c>
    </row>
    <row r="2465">
      <c r="A2465">
        <f>IFERROR(__xludf.DUMMYFUNCTION("""COMPUTED_VALUE"""),787732.0)</f>
        <v>787732</v>
      </c>
      <c r="B2465" t="str">
        <f>IFERROR(__xludf.DUMMYFUNCTION("""COMPUTED_VALUE"""),"Tomato And Corn Cooked Fat Added In Cooking")</f>
        <v>Tomato And Corn Cooked Fat Added In Cooking</v>
      </c>
      <c r="C2465" t="str">
        <f>IFERROR(__xludf.DUMMYFUNCTION("""COMPUTED_VALUE"""),"Vegetables")</f>
        <v>Vegetables</v>
      </c>
      <c r="D2465">
        <f>IFERROR(__xludf.DUMMYFUNCTION("""COMPUTED_VALUE"""),50.0)</f>
        <v>50</v>
      </c>
      <c r="E2465">
        <f>IFERROR(__xludf.DUMMYFUNCTION("""COMPUTED_VALUE"""),2.28)</f>
        <v>2.28</v>
      </c>
      <c r="F2465">
        <f>IFERROR(__xludf.DUMMYFUNCTION("""COMPUTED_VALUE"""),1.37)</f>
        <v>1.37</v>
      </c>
      <c r="G2465">
        <f>IFERROR(__xludf.DUMMYFUNCTION("""COMPUTED_VALUE"""),7.67)</f>
        <v>7.67</v>
      </c>
    </row>
    <row r="2466">
      <c r="A2466">
        <f>IFERROR(__xludf.DUMMYFUNCTION("""COMPUTED_VALUE"""),787733.0)</f>
        <v>787733</v>
      </c>
      <c r="B2466" t="str">
        <f>IFERROR(__xludf.DUMMYFUNCTION("""COMPUTED_VALUE"""),"Tomato And Okra Cooked Ns As To Fat Added In Cooking")</f>
        <v>Tomato And Okra Cooked Ns As To Fat Added In Cooking</v>
      </c>
      <c r="C2466" t="str">
        <f>IFERROR(__xludf.DUMMYFUNCTION("""COMPUTED_VALUE"""),"Vegetables")</f>
        <v>Vegetables</v>
      </c>
      <c r="D2466">
        <f>IFERROR(__xludf.DUMMYFUNCTION("""COMPUTED_VALUE"""),33.0)</f>
        <v>33</v>
      </c>
      <c r="E2466">
        <f>IFERROR(__xludf.DUMMYFUNCTION("""COMPUTED_VALUE"""),1.9)</f>
        <v>1.9</v>
      </c>
      <c r="F2466">
        <f>IFERROR(__xludf.DUMMYFUNCTION("""COMPUTED_VALUE"""),1.2)</f>
        <v>1.2</v>
      </c>
      <c r="G2466">
        <f>IFERROR(__xludf.DUMMYFUNCTION("""COMPUTED_VALUE"""),3.79)</f>
        <v>3.79</v>
      </c>
    </row>
    <row r="2467">
      <c r="A2467">
        <f>IFERROR(__xludf.DUMMYFUNCTION("""COMPUTED_VALUE"""),787734.0)</f>
        <v>787734</v>
      </c>
      <c r="B2467" t="str">
        <f>IFERROR(__xludf.DUMMYFUNCTION("""COMPUTED_VALUE"""),"Tomato And Okra Cooked Fat Not Added In Cooking")</f>
        <v>Tomato And Okra Cooked Fat Not Added In Cooking</v>
      </c>
      <c r="C2467" t="str">
        <f>IFERROR(__xludf.DUMMYFUNCTION("""COMPUTED_VALUE"""),"Vegetables")</f>
        <v>Vegetables</v>
      </c>
      <c r="D2467">
        <f>IFERROR(__xludf.DUMMYFUNCTION("""COMPUTED_VALUE"""),18.0)</f>
        <v>18</v>
      </c>
      <c r="E2467">
        <f>IFERROR(__xludf.DUMMYFUNCTION("""COMPUTED_VALUE"""),0.23)</f>
        <v>0.23</v>
      </c>
      <c r="F2467">
        <f>IFERROR(__xludf.DUMMYFUNCTION("""COMPUTED_VALUE"""),1.22)</f>
        <v>1.22</v>
      </c>
      <c r="G2467">
        <f>IFERROR(__xludf.DUMMYFUNCTION("""COMPUTED_VALUE"""),3.87)</f>
        <v>3.87</v>
      </c>
    </row>
    <row r="2468">
      <c r="A2468">
        <f>IFERROR(__xludf.DUMMYFUNCTION("""COMPUTED_VALUE"""),787735.0)</f>
        <v>787735</v>
      </c>
      <c r="B2468" t="str">
        <f>IFERROR(__xludf.DUMMYFUNCTION("""COMPUTED_VALUE"""),"Tomato And Okra Cooked Fat Added In Cooking Ns As To Type Of Fat")</f>
        <v>Tomato And Okra Cooked Fat Added In Cooking Ns As To Type Of Fat</v>
      </c>
      <c r="C2468" t="str">
        <f>IFERROR(__xludf.DUMMYFUNCTION("""COMPUTED_VALUE"""),"Vegetables")</f>
        <v>Vegetables</v>
      </c>
      <c r="D2468">
        <f>IFERROR(__xludf.DUMMYFUNCTION("""COMPUTED_VALUE"""),33.0)</f>
        <v>33</v>
      </c>
      <c r="E2468">
        <f>IFERROR(__xludf.DUMMYFUNCTION("""COMPUTED_VALUE"""),1.9)</f>
        <v>1.9</v>
      </c>
      <c r="F2468">
        <f>IFERROR(__xludf.DUMMYFUNCTION("""COMPUTED_VALUE"""),1.2)</f>
        <v>1.2</v>
      </c>
      <c r="G2468">
        <f>IFERROR(__xludf.DUMMYFUNCTION("""COMPUTED_VALUE"""),3.79)</f>
        <v>3.79</v>
      </c>
    </row>
    <row r="2469">
      <c r="A2469">
        <f>IFERROR(__xludf.DUMMYFUNCTION("""COMPUTED_VALUE"""),787736.0)</f>
        <v>787736</v>
      </c>
      <c r="B2469" t="str">
        <f>IFERROR(__xludf.DUMMYFUNCTION("""COMPUTED_VALUE"""),"Tomato And Okra Cooked Made With Oil")</f>
        <v>Tomato And Okra Cooked Made With Oil</v>
      </c>
      <c r="C2469" t="str">
        <f>IFERROR(__xludf.DUMMYFUNCTION("""COMPUTED_VALUE"""),"Vegetables")</f>
        <v>Vegetables</v>
      </c>
      <c r="D2469">
        <f>IFERROR(__xludf.DUMMYFUNCTION("""COMPUTED_VALUE"""),37.0)</f>
        <v>37</v>
      </c>
      <c r="E2469">
        <f>IFERROR(__xludf.DUMMYFUNCTION("""COMPUTED_VALUE"""),2.44)</f>
        <v>2.44</v>
      </c>
      <c r="F2469">
        <f>IFERROR(__xludf.DUMMYFUNCTION("""COMPUTED_VALUE"""),1.19)</f>
        <v>1.19</v>
      </c>
      <c r="G2469">
        <f>IFERROR(__xludf.DUMMYFUNCTION("""COMPUTED_VALUE"""),3.78)</f>
        <v>3.78</v>
      </c>
    </row>
    <row r="2470">
      <c r="A2470">
        <f>IFERROR(__xludf.DUMMYFUNCTION("""COMPUTED_VALUE"""),787737.0)</f>
        <v>787737</v>
      </c>
      <c r="B2470" t="str">
        <f>IFERROR(__xludf.DUMMYFUNCTION("""COMPUTED_VALUE"""),"Tomato And Okra Cooked Made With Butter")</f>
        <v>Tomato And Okra Cooked Made With Butter</v>
      </c>
      <c r="C2470" t="str">
        <f>IFERROR(__xludf.DUMMYFUNCTION("""COMPUTED_VALUE"""),"Vegetables")</f>
        <v>Vegetables</v>
      </c>
      <c r="D2470">
        <f>IFERROR(__xludf.DUMMYFUNCTION("""COMPUTED_VALUE"""),34.0)</f>
        <v>34</v>
      </c>
      <c r="E2470">
        <f>IFERROR(__xludf.DUMMYFUNCTION("""COMPUTED_VALUE"""),2.09)</f>
        <v>2.09</v>
      </c>
      <c r="F2470">
        <f>IFERROR(__xludf.DUMMYFUNCTION("""COMPUTED_VALUE"""),1.21)</f>
        <v>1.21</v>
      </c>
      <c r="G2470">
        <f>IFERROR(__xludf.DUMMYFUNCTION("""COMPUTED_VALUE"""),3.78)</f>
        <v>3.78</v>
      </c>
    </row>
    <row r="2471">
      <c r="A2471">
        <f>IFERROR(__xludf.DUMMYFUNCTION("""COMPUTED_VALUE"""),787738.0)</f>
        <v>787738</v>
      </c>
      <c r="B2471" t="str">
        <f>IFERROR(__xludf.DUMMYFUNCTION("""COMPUTED_VALUE"""),"Tomato And Okra Cooked Made With Margarine")</f>
        <v>Tomato And Okra Cooked Made With Margarine</v>
      </c>
      <c r="C2471" t="str">
        <f>IFERROR(__xludf.DUMMYFUNCTION("""COMPUTED_VALUE"""),"Vegetables")</f>
        <v>Vegetables</v>
      </c>
      <c r="D2471">
        <f>IFERROR(__xludf.DUMMYFUNCTION("""COMPUTED_VALUE"""),30.0)</f>
        <v>30</v>
      </c>
      <c r="E2471">
        <f>IFERROR(__xludf.DUMMYFUNCTION("""COMPUTED_VALUE"""),1.61)</f>
        <v>1.61</v>
      </c>
      <c r="F2471">
        <f>IFERROR(__xludf.DUMMYFUNCTION("""COMPUTED_VALUE"""),1.19)</f>
        <v>1.19</v>
      </c>
      <c r="G2471">
        <f>IFERROR(__xludf.DUMMYFUNCTION("""COMPUTED_VALUE"""),3.8)</f>
        <v>3.8</v>
      </c>
    </row>
    <row r="2472">
      <c r="A2472">
        <f>IFERROR(__xludf.DUMMYFUNCTION("""COMPUTED_VALUE"""),787739.0)</f>
        <v>787739</v>
      </c>
      <c r="B2472" t="str">
        <f>IFERROR(__xludf.DUMMYFUNCTION("""COMPUTED_VALUE"""),"Tomato And Onion Cooked Ns As To Fat Added In Cooking")</f>
        <v>Tomato And Onion Cooked Ns As To Fat Added In Cooking</v>
      </c>
      <c r="C2472" t="str">
        <f>IFERROR(__xludf.DUMMYFUNCTION("""COMPUTED_VALUE"""),"Vegetables")</f>
        <v>Vegetables</v>
      </c>
      <c r="D2472">
        <f>IFERROR(__xludf.DUMMYFUNCTION("""COMPUTED_VALUE"""),36.0)</f>
        <v>36</v>
      </c>
      <c r="E2472">
        <f>IFERROR(__xludf.DUMMYFUNCTION("""COMPUTED_VALUE"""),1.57)</f>
        <v>1.57</v>
      </c>
      <c r="F2472">
        <f>IFERROR(__xludf.DUMMYFUNCTION("""COMPUTED_VALUE"""),1.03)</f>
        <v>1.03</v>
      </c>
      <c r="G2472">
        <f>IFERROR(__xludf.DUMMYFUNCTION("""COMPUTED_VALUE"""),5.27)</f>
        <v>5.27</v>
      </c>
    </row>
    <row r="2473">
      <c r="A2473">
        <f>IFERROR(__xludf.DUMMYFUNCTION("""COMPUTED_VALUE"""),787740.0)</f>
        <v>787740</v>
      </c>
      <c r="B2473" t="str">
        <f>IFERROR(__xludf.DUMMYFUNCTION("""COMPUTED_VALUE"""),"Tomato And Onion Cooked Fat Not Added In Cooking")</f>
        <v>Tomato And Onion Cooked Fat Not Added In Cooking</v>
      </c>
      <c r="C2473" t="str">
        <f>IFERROR(__xludf.DUMMYFUNCTION("""COMPUTED_VALUE"""),"Vegetables")</f>
        <v>Vegetables</v>
      </c>
      <c r="D2473">
        <f>IFERROR(__xludf.DUMMYFUNCTION("""COMPUTED_VALUE"""),24.0)</f>
        <v>24</v>
      </c>
      <c r="E2473">
        <f>IFERROR(__xludf.DUMMYFUNCTION("""COMPUTED_VALUE"""),0.13)</f>
        <v>0.13</v>
      </c>
      <c r="F2473">
        <f>IFERROR(__xludf.DUMMYFUNCTION("""COMPUTED_VALUE"""),1.04)</f>
        <v>1.04</v>
      </c>
      <c r="G2473">
        <f>IFERROR(__xludf.DUMMYFUNCTION("""COMPUTED_VALUE"""),5.37)</f>
        <v>5.37</v>
      </c>
    </row>
    <row r="2474">
      <c r="A2474">
        <f>IFERROR(__xludf.DUMMYFUNCTION("""COMPUTED_VALUE"""),787741.0)</f>
        <v>787741</v>
      </c>
      <c r="B2474" t="str">
        <f>IFERROR(__xludf.DUMMYFUNCTION("""COMPUTED_VALUE"""),"Tomato And Onion Cooked Fat Added In Cooking Ns As To Type Of Fat")</f>
        <v>Tomato And Onion Cooked Fat Added In Cooking Ns As To Type Of Fat</v>
      </c>
      <c r="C2474" t="str">
        <f>IFERROR(__xludf.DUMMYFUNCTION("""COMPUTED_VALUE"""),"Vegetables")</f>
        <v>Vegetables</v>
      </c>
      <c r="D2474">
        <f>IFERROR(__xludf.DUMMYFUNCTION("""COMPUTED_VALUE"""),36.0)</f>
        <v>36</v>
      </c>
      <c r="E2474">
        <f>IFERROR(__xludf.DUMMYFUNCTION("""COMPUTED_VALUE"""),1.57)</f>
        <v>1.57</v>
      </c>
      <c r="F2474">
        <f>IFERROR(__xludf.DUMMYFUNCTION("""COMPUTED_VALUE"""),1.03)</f>
        <v>1.03</v>
      </c>
      <c r="G2474">
        <f>IFERROR(__xludf.DUMMYFUNCTION("""COMPUTED_VALUE"""),5.27)</f>
        <v>5.27</v>
      </c>
    </row>
    <row r="2475">
      <c r="A2475">
        <f>IFERROR(__xludf.DUMMYFUNCTION("""COMPUTED_VALUE"""),787742.0)</f>
        <v>787742</v>
      </c>
      <c r="B2475" t="str">
        <f>IFERROR(__xludf.DUMMYFUNCTION("""COMPUTED_VALUE"""),"Tomato And Onion Cooked Made With Oil")</f>
        <v>Tomato And Onion Cooked Made With Oil</v>
      </c>
      <c r="C2475" t="str">
        <f>IFERROR(__xludf.DUMMYFUNCTION("""COMPUTED_VALUE"""),"Vegetables")</f>
        <v>Vegetables</v>
      </c>
      <c r="D2475">
        <f>IFERROR(__xludf.DUMMYFUNCTION("""COMPUTED_VALUE"""),40.0)</f>
        <v>40</v>
      </c>
      <c r="E2475">
        <f>IFERROR(__xludf.DUMMYFUNCTION("""COMPUTED_VALUE"""),2.03)</f>
        <v>2.03</v>
      </c>
      <c r="F2475">
        <f>IFERROR(__xludf.DUMMYFUNCTION("""COMPUTED_VALUE"""),1.02)</f>
        <v>1.02</v>
      </c>
      <c r="G2475">
        <f>IFERROR(__xludf.DUMMYFUNCTION("""COMPUTED_VALUE"""),5.27)</f>
        <v>5.27</v>
      </c>
    </row>
    <row r="2476">
      <c r="A2476">
        <f>IFERROR(__xludf.DUMMYFUNCTION("""COMPUTED_VALUE"""),787743.0)</f>
        <v>787743</v>
      </c>
      <c r="B2476" t="str">
        <f>IFERROR(__xludf.DUMMYFUNCTION("""COMPUTED_VALUE"""),"Tomato And Onion Cooked Made With Butter")</f>
        <v>Tomato And Onion Cooked Made With Butter</v>
      </c>
      <c r="C2476" t="str">
        <f>IFERROR(__xludf.DUMMYFUNCTION("""COMPUTED_VALUE"""),"Vegetables")</f>
        <v>Vegetables</v>
      </c>
      <c r="D2476">
        <f>IFERROR(__xludf.DUMMYFUNCTION("""COMPUTED_VALUE"""),38.0)</f>
        <v>38</v>
      </c>
      <c r="E2476">
        <f>IFERROR(__xludf.DUMMYFUNCTION("""COMPUTED_VALUE"""),1.74)</f>
        <v>1.74</v>
      </c>
      <c r="F2476">
        <f>IFERROR(__xludf.DUMMYFUNCTION("""COMPUTED_VALUE"""),1.03)</f>
        <v>1.03</v>
      </c>
      <c r="G2476">
        <f>IFERROR(__xludf.DUMMYFUNCTION("""COMPUTED_VALUE"""),5.27)</f>
        <v>5.27</v>
      </c>
    </row>
    <row r="2477">
      <c r="A2477">
        <f>IFERROR(__xludf.DUMMYFUNCTION("""COMPUTED_VALUE"""),787744.0)</f>
        <v>787744</v>
      </c>
      <c r="B2477" t="str">
        <f>IFERROR(__xludf.DUMMYFUNCTION("""COMPUTED_VALUE"""),"Tomato And Onion Cooked Made With Margarine")</f>
        <v>Tomato And Onion Cooked Made With Margarine</v>
      </c>
      <c r="C2477" t="str">
        <f>IFERROR(__xludf.DUMMYFUNCTION("""COMPUTED_VALUE"""),"Vegetables")</f>
        <v>Vegetables</v>
      </c>
      <c r="D2477">
        <f>IFERROR(__xludf.DUMMYFUNCTION("""COMPUTED_VALUE"""),34.0)</f>
        <v>34</v>
      </c>
      <c r="E2477">
        <f>IFERROR(__xludf.DUMMYFUNCTION("""COMPUTED_VALUE"""),1.32)</f>
        <v>1.32</v>
      </c>
      <c r="F2477">
        <f>IFERROR(__xludf.DUMMYFUNCTION("""COMPUTED_VALUE"""),1.02)</f>
        <v>1.02</v>
      </c>
      <c r="G2477">
        <f>IFERROR(__xludf.DUMMYFUNCTION("""COMPUTED_VALUE"""),5.28)</f>
        <v>5.28</v>
      </c>
    </row>
    <row r="2478">
      <c r="A2478">
        <f>IFERROR(__xludf.DUMMYFUNCTION("""COMPUTED_VALUE"""),787745.0)</f>
        <v>787745</v>
      </c>
      <c r="B2478" t="str">
        <f>IFERROR(__xludf.DUMMYFUNCTION("""COMPUTED_VALUE"""),"Tomato And Celery Cooked Ns As To Fat Added In Cooking")</f>
        <v>Tomato And Celery Cooked Ns As To Fat Added In Cooking</v>
      </c>
      <c r="C2478" t="str">
        <f>IFERROR(__xludf.DUMMYFUNCTION("""COMPUTED_VALUE"""),"Vegetables")</f>
        <v>Vegetables</v>
      </c>
      <c r="D2478">
        <f>IFERROR(__xludf.DUMMYFUNCTION("""COMPUTED_VALUE"""),30.0)</f>
        <v>30</v>
      </c>
      <c r="E2478">
        <f>IFERROR(__xludf.DUMMYFUNCTION("""COMPUTED_VALUE"""),1.77)</f>
        <v>1.77</v>
      </c>
      <c r="F2478">
        <f>IFERROR(__xludf.DUMMYFUNCTION("""COMPUTED_VALUE"""),0.79)</f>
        <v>0.79</v>
      </c>
      <c r="G2478">
        <f>IFERROR(__xludf.DUMMYFUNCTION("""COMPUTED_VALUE"""),3.48)</f>
        <v>3.48</v>
      </c>
    </row>
    <row r="2479">
      <c r="A2479">
        <f>IFERROR(__xludf.DUMMYFUNCTION("""COMPUTED_VALUE"""),787746.0)</f>
        <v>787746</v>
      </c>
      <c r="B2479" t="str">
        <f>IFERROR(__xludf.DUMMYFUNCTION("""COMPUTED_VALUE"""),"Tomato And Celery Cooked Fat Added In Cooking")</f>
        <v>Tomato And Celery Cooked Fat Added In Cooking</v>
      </c>
      <c r="C2479" t="str">
        <f>IFERROR(__xludf.DUMMYFUNCTION("""COMPUTED_VALUE"""),"Vegetables")</f>
        <v>Vegetables</v>
      </c>
      <c r="D2479">
        <f>IFERROR(__xludf.DUMMYFUNCTION("""COMPUTED_VALUE"""),31.0)</f>
        <v>31</v>
      </c>
      <c r="E2479">
        <f>IFERROR(__xludf.DUMMYFUNCTION("""COMPUTED_VALUE"""),1.65)</f>
        <v>1.65</v>
      </c>
      <c r="F2479">
        <f>IFERROR(__xludf.DUMMYFUNCTION("""COMPUTED_VALUE"""),0.92)</f>
        <v>0.92</v>
      </c>
      <c r="G2479">
        <f>IFERROR(__xludf.DUMMYFUNCTION("""COMPUTED_VALUE"""),3.91)</f>
        <v>3.91</v>
      </c>
    </row>
    <row r="2480">
      <c r="A2480">
        <f>IFERROR(__xludf.DUMMYFUNCTION("""COMPUTED_VALUE"""),787747.0)</f>
        <v>787747</v>
      </c>
      <c r="B2480" t="str">
        <f>IFERROR(__xludf.DUMMYFUNCTION("""COMPUTED_VALUE"""),"Tomato And Celery Cooked Fat Not Added In Cooking")</f>
        <v>Tomato And Celery Cooked Fat Not Added In Cooking</v>
      </c>
      <c r="C2480" t="str">
        <f>IFERROR(__xludf.DUMMYFUNCTION("""COMPUTED_VALUE"""),"Vegetables")</f>
        <v>Vegetables</v>
      </c>
      <c r="D2480">
        <f>IFERROR(__xludf.DUMMYFUNCTION("""COMPUTED_VALUE"""),18.0)</f>
        <v>18</v>
      </c>
      <c r="E2480">
        <f>IFERROR(__xludf.DUMMYFUNCTION("""COMPUTED_VALUE"""),0.12)</f>
        <v>0.12</v>
      </c>
      <c r="F2480">
        <f>IFERROR(__xludf.DUMMYFUNCTION("""COMPUTED_VALUE"""),0.92)</f>
        <v>0.92</v>
      </c>
      <c r="G2480">
        <f>IFERROR(__xludf.DUMMYFUNCTION("""COMPUTED_VALUE"""),3.99)</f>
        <v>3.99</v>
      </c>
    </row>
    <row r="2481">
      <c r="A2481">
        <f>IFERROR(__xludf.DUMMYFUNCTION("""COMPUTED_VALUE"""),787748.0)</f>
        <v>787748</v>
      </c>
      <c r="B2481" t="str">
        <f>IFERROR(__xludf.DUMMYFUNCTION("""COMPUTED_VALUE"""),"Tomato With Corn And Okra Cooked Ns As To Fat Added In Cooking")</f>
        <v>Tomato With Corn And Okra Cooked Ns As To Fat Added In Cooking</v>
      </c>
      <c r="C2481" t="str">
        <f>IFERROR(__xludf.DUMMYFUNCTION("""COMPUTED_VALUE"""),"Vegetables")</f>
        <v>Vegetables</v>
      </c>
      <c r="D2481">
        <f>IFERROR(__xludf.DUMMYFUNCTION("""COMPUTED_VALUE"""),55.0)</f>
        <v>55</v>
      </c>
      <c r="E2481">
        <f>IFERROR(__xludf.DUMMYFUNCTION("""COMPUTED_VALUE"""),2.36)</f>
        <v>2.36</v>
      </c>
      <c r="F2481">
        <f>IFERROR(__xludf.DUMMYFUNCTION("""COMPUTED_VALUE"""),1.82)</f>
        <v>1.82</v>
      </c>
      <c r="G2481">
        <f>IFERROR(__xludf.DUMMYFUNCTION("""COMPUTED_VALUE"""),8.61)</f>
        <v>8.61</v>
      </c>
    </row>
    <row r="2482">
      <c r="A2482">
        <f>IFERROR(__xludf.DUMMYFUNCTION("""COMPUTED_VALUE"""),787749.0)</f>
        <v>787749</v>
      </c>
      <c r="B2482" t="str">
        <f>IFERROR(__xludf.DUMMYFUNCTION("""COMPUTED_VALUE"""),"Tomato With Corn And Okra Cooked Fat Not Added In Cooking")</f>
        <v>Tomato With Corn And Okra Cooked Fat Not Added In Cooking</v>
      </c>
      <c r="C2482" t="str">
        <f>IFERROR(__xludf.DUMMYFUNCTION("""COMPUTED_VALUE"""),"Vegetables")</f>
        <v>Vegetables</v>
      </c>
      <c r="D2482">
        <f>IFERROR(__xludf.DUMMYFUNCTION("""COMPUTED_VALUE"""),32.0)</f>
        <v>32</v>
      </c>
      <c r="E2482">
        <f>IFERROR(__xludf.DUMMYFUNCTION("""COMPUTED_VALUE"""),0.52)</f>
        <v>0.52</v>
      </c>
      <c r="F2482">
        <f>IFERROR(__xludf.DUMMYFUNCTION("""COMPUTED_VALUE"""),1.52)</f>
        <v>1.52</v>
      </c>
      <c r="G2482">
        <f>IFERROR(__xludf.DUMMYFUNCTION("""COMPUTED_VALUE"""),6.89)</f>
        <v>6.89</v>
      </c>
    </row>
    <row r="2483">
      <c r="A2483">
        <f>IFERROR(__xludf.DUMMYFUNCTION("""COMPUTED_VALUE"""),787750.0)</f>
        <v>787750</v>
      </c>
      <c r="B2483" t="str">
        <f>IFERROR(__xludf.DUMMYFUNCTION("""COMPUTED_VALUE"""),"Tomato With Corn And Okra Cooked Fat Added In Cooking Ns As To Type Of Fat")</f>
        <v>Tomato With Corn And Okra Cooked Fat Added In Cooking Ns As To Type Of Fat</v>
      </c>
      <c r="C2483" t="str">
        <f>IFERROR(__xludf.DUMMYFUNCTION("""COMPUTED_VALUE"""),"Vegetables")</f>
        <v>Vegetables</v>
      </c>
      <c r="D2483">
        <f>IFERROR(__xludf.DUMMYFUNCTION("""COMPUTED_VALUE"""),55.0)</f>
        <v>55</v>
      </c>
      <c r="E2483">
        <f>IFERROR(__xludf.DUMMYFUNCTION("""COMPUTED_VALUE"""),2.36)</f>
        <v>2.36</v>
      </c>
      <c r="F2483">
        <f>IFERROR(__xludf.DUMMYFUNCTION("""COMPUTED_VALUE"""),1.82)</f>
        <v>1.82</v>
      </c>
      <c r="G2483">
        <f>IFERROR(__xludf.DUMMYFUNCTION("""COMPUTED_VALUE"""),8.61)</f>
        <v>8.61</v>
      </c>
    </row>
    <row r="2484">
      <c r="A2484">
        <f>IFERROR(__xludf.DUMMYFUNCTION("""COMPUTED_VALUE"""),787751.0)</f>
        <v>787751</v>
      </c>
      <c r="B2484" t="str">
        <f>IFERROR(__xludf.DUMMYFUNCTION("""COMPUTED_VALUE"""),"Tomato With Corn And Okra Cooked Made With Oil")</f>
        <v>Tomato With Corn And Okra Cooked Made With Oil</v>
      </c>
      <c r="C2484" t="str">
        <f>IFERROR(__xludf.DUMMYFUNCTION("""COMPUTED_VALUE"""),"Vegetables")</f>
        <v>Vegetables</v>
      </c>
      <c r="D2484">
        <f>IFERROR(__xludf.DUMMYFUNCTION("""COMPUTED_VALUE"""),52.0)</f>
        <v>52</v>
      </c>
      <c r="E2484">
        <f>IFERROR(__xludf.DUMMYFUNCTION("""COMPUTED_VALUE"""),2.81)</f>
        <v>2.81</v>
      </c>
      <c r="F2484">
        <f>IFERROR(__xludf.DUMMYFUNCTION("""COMPUTED_VALUE"""),1.5)</f>
        <v>1.5</v>
      </c>
      <c r="G2484">
        <f>IFERROR(__xludf.DUMMYFUNCTION("""COMPUTED_VALUE"""),6.69)</f>
        <v>6.69</v>
      </c>
    </row>
    <row r="2485">
      <c r="A2485">
        <f>IFERROR(__xludf.DUMMYFUNCTION("""COMPUTED_VALUE"""),787752.0)</f>
        <v>787752</v>
      </c>
      <c r="B2485" t="str">
        <f>IFERROR(__xludf.DUMMYFUNCTION("""COMPUTED_VALUE"""),"Tomato With Corn And Okra Cooked Made With Butter")</f>
        <v>Tomato With Corn And Okra Cooked Made With Butter</v>
      </c>
      <c r="C2485" t="str">
        <f>IFERROR(__xludf.DUMMYFUNCTION("""COMPUTED_VALUE"""),"Vegetables")</f>
        <v>Vegetables</v>
      </c>
      <c r="D2485">
        <f>IFERROR(__xludf.DUMMYFUNCTION("""COMPUTED_VALUE"""),49.0)</f>
        <v>49</v>
      </c>
      <c r="E2485">
        <f>IFERROR(__xludf.DUMMYFUNCTION("""COMPUTED_VALUE"""),2.48)</f>
        <v>2.48</v>
      </c>
      <c r="F2485">
        <f>IFERROR(__xludf.DUMMYFUNCTION("""COMPUTED_VALUE"""),1.51)</f>
        <v>1.51</v>
      </c>
      <c r="G2485">
        <f>IFERROR(__xludf.DUMMYFUNCTION("""COMPUTED_VALUE"""),6.72)</f>
        <v>6.72</v>
      </c>
    </row>
    <row r="2486">
      <c r="A2486">
        <f>IFERROR(__xludf.DUMMYFUNCTION("""COMPUTED_VALUE"""),787753.0)</f>
        <v>787753</v>
      </c>
      <c r="B2486" t="str">
        <f>IFERROR(__xludf.DUMMYFUNCTION("""COMPUTED_VALUE"""),"Tomato With Corn And Okra Cooked Made With Margarine")</f>
        <v>Tomato With Corn And Okra Cooked Made With Margarine</v>
      </c>
      <c r="C2486" t="str">
        <f>IFERROR(__xludf.DUMMYFUNCTION("""COMPUTED_VALUE"""),"Vegetables")</f>
        <v>Vegetables</v>
      </c>
      <c r="D2486">
        <f>IFERROR(__xludf.DUMMYFUNCTION("""COMPUTED_VALUE"""),45.0)</f>
        <v>45</v>
      </c>
      <c r="E2486">
        <f>IFERROR(__xludf.DUMMYFUNCTION("""COMPUTED_VALUE"""),1.98)</f>
        <v>1.98</v>
      </c>
      <c r="F2486">
        <f>IFERROR(__xludf.DUMMYFUNCTION("""COMPUTED_VALUE"""),1.49)</f>
        <v>1.49</v>
      </c>
      <c r="G2486">
        <f>IFERROR(__xludf.DUMMYFUNCTION("""COMPUTED_VALUE"""),6.74)</f>
        <v>6.74</v>
      </c>
    </row>
    <row r="2487">
      <c r="A2487">
        <f>IFERROR(__xludf.DUMMYFUNCTION("""COMPUTED_VALUE"""),787754.0)</f>
        <v>787754</v>
      </c>
      <c r="B2487" t="str">
        <f>IFERROR(__xludf.DUMMYFUNCTION("""COMPUTED_VALUE"""),"Tomato And Cucumber Salad Made With Tomato Cucumber Oil And Vinegar")</f>
        <v>Tomato And Cucumber Salad Made With Tomato Cucumber Oil And Vinegar</v>
      </c>
      <c r="C2487" t="str">
        <f>IFERROR(__xludf.DUMMYFUNCTION("""COMPUTED_VALUE"""),"Vegetables")</f>
        <v>Vegetables</v>
      </c>
      <c r="D2487">
        <f>IFERROR(__xludf.DUMMYFUNCTION("""COMPUTED_VALUE"""),117.0)</f>
        <v>117</v>
      </c>
      <c r="E2487">
        <f>IFERROR(__xludf.DUMMYFUNCTION("""COMPUTED_VALUE"""),9.91)</f>
        <v>9.91</v>
      </c>
      <c r="F2487">
        <f>IFERROR(__xludf.DUMMYFUNCTION("""COMPUTED_VALUE"""),0.53)</f>
        <v>0.53</v>
      </c>
      <c r="G2487">
        <f>IFERROR(__xludf.DUMMYFUNCTION("""COMPUTED_VALUE"""),6.56)</f>
        <v>6.56</v>
      </c>
    </row>
    <row r="2488">
      <c r="A2488">
        <f>IFERROR(__xludf.DUMMYFUNCTION("""COMPUTED_VALUE"""),787791.0)</f>
        <v>787791</v>
      </c>
      <c r="B2488" t="str">
        <f>IFERROR(__xludf.DUMMYFUNCTION("""COMPUTED_VALUE"""),"Cucumber Raw")</f>
        <v>Cucumber Raw</v>
      </c>
      <c r="C2488" t="str">
        <f>IFERROR(__xludf.DUMMYFUNCTION("""COMPUTED_VALUE"""),"Vegetables")</f>
        <v>Vegetables</v>
      </c>
      <c r="D2488">
        <f>IFERROR(__xludf.DUMMYFUNCTION("""COMPUTED_VALUE"""),12.0)</f>
        <v>12</v>
      </c>
      <c r="E2488">
        <f>IFERROR(__xludf.DUMMYFUNCTION("""COMPUTED_VALUE"""),0.16)</f>
        <v>0.16</v>
      </c>
      <c r="F2488">
        <f>IFERROR(__xludf.DUMMYFUNCTION("""COMPUTED_VALUE"""),0.59)</f>
        <v>0.59</v>
      </c>
      <c r="G2488">
        <f>IFERROR(__xludf.DUMMYFUNCTION("""COMPUTED_VALUE"""),2.16)</f>
        <v>2.16</v>
      </c>
    </row>
    <row r="2489">
      <c r="A2489">
        <f>IFERROR(__xludf.DUMMYFUNCTION("""COMPUTED_VALUE"""),787801.0)</f>
        <v>787801</v>
      </c>
      <c r="B2489" t="str">
        <f>IFERROR(__xludf.DUMMYFUNCTION("""COMPUTED_VALUE"""),"Mixed Salad Greens Raw")</f>
        <v>Mixed Salad Greens Raw</v>
      </c>
      <c r="C2489" t="str">
        <f>IFERROR(__xludf.DUMMYFUNCTION("""COMPUTED_VALUE"""),"Vegetables")</f>
        <v>Vegetables</v>
      </c>
      <c r="D2489">
        <f>IFERROR(__xludf.DUMMYFUNCTION("""COMPUTED_VALUE"""),17.0)</f>
        <v>17</v>
      </c>
      <c r="E2489">
        <f>IFERROR(__xludf.DUMMYFUNCTION("""COMPUTED_VALUE"""),0.24)</f>
        <v>0.24</v>
      </c>
      <c r="F2489">
        <f>IFERROR(__xludf.DUMMYFUNCTION("""COMPUTED_VALUE"""),1.52)</f>
        <v>1.52</v>
      </c>
      <c r="G2489">
        <f>IFERROR(__xludf.DUMMYFUNCTION("""COMPUTED_VALUE"""),3.22)</f>
        <v>3.22</v>
      </c>
    </row>
    <row r="2490">
      <c r="A2490">
        <f>IFERROR(__xludf.DUMMYFUNCTION("""COMPUTED_VALUE"""),787810.0)</f>
        <v>787810</v>
      </c>
      <c r="B2490" t="str">
        <f>IFERROR(__xludf.DUMMYFUNCTION("""COMPUTED_VALUE"""),"Pepper Raw Nfs")</f>
        <v>Pepper Raw Nfs</v>
      </c>
      <c r="C2490" t="str">
        <f>IFERROR(__xludf.DUMMYFUNCTION("""COMPUTED_VALUE"""),"Vegetables")</f>
        <v>Vegetables</v>
      </c>
      <c r="D2490">
        <f>IFERROR(__xludf.DUMMYFUNCTION("""COMPUTED_VALUE"""),24.0)</f>
        <v>24</v>
      </c>
      <c r="E2490">
        <f>IFERROR(__xludf.DUMMYFUNCTION("""COMPUTED_VALUE"""),0.22)</f>
        <v>0.22</v>
      </c>
      <c r="F2490">
        <f>IFERROR(__xludf.DUMMYFUNCTION("""COMPUTED_VALUE"""),0.91)</f>
        <v>0.91</v>
      </c>
      <c r="G2490">
        <f>IFERROR(__xludf.DUMMYFUNCTION("""COMPUTED_VALUE"""),5.13)</f>
        <v>5.13</v>
      </c>
    </row>
    <row r="2491">
      <c r="A2491">
        <f>IFERROR(__xludf.DUMMYFUNCTION("""COMPUTED_VALUE"""),787812.0)</f>
        <v>787812</v>
      </c>
      <c r="B2491" t="str">
        <f>IFERROR(__xludf.DUMMYFUNCTION("""COMPUTED_VALUE"""),"Pepper Sweet Red Raw")</f>
        <v>Pepper Sweet Red Raw</v>
      </c>
      <c r="C2491" t="str">
        <f>IFERROR(__xludf.DUMMYFUNCTION("""COMPUTED_VALUE"""),"Vegetables")</f>
        <v>Vegetables</v>
      </c>
      <c r="D2491">
        <f>IFERROR(__xludf.DUMMYFUNCTION("""COMPUTED_VALUE"""),31.0)</f>
        <v>31</v>
      </c>
      <c r="E2491">
        <f>IFERROR(__xludf.DUMMYFUNCTION("""COMPUTED_VALUE"""),0.3)</f>
        <v>0.3</v>
      </c>
      <c r="F2491">
        <f>IFERROR(__xludf.DUMMYFUNCTION("""COMPUTED_VALUE"""),0.99)</f>
        <v>0.99</v>
      </c>
      <c r="G2491">
        <f>IFERROR(__xludf.DUMMYFUNCTION("""COMPUTED_VALUE"""),6.03)</f>
        <v>6.03</v>
      </c>
    </row>
    <row r="2492">
      <c r="A2492">
        <f>IFERROR(__xludf.DUMMYFUNCTION("""COMPUTED_VALUE"""),787816.0)</f>
        <v>787816</v>
      </c>
      <c r="B2492" t="str">
        <f>IFERROR(__xludf.DUMMYFUNCTION("""COMPUTED_VALUE"""),"Seaweed Raw")</f>
        <v>Seaweed Raw</v>
      </c>
      <c r="C2492" t="str">
        <f>IFERROR(__xludf.DUMMYFUNCTION("""COMPUTED_VALUE"""),"Vegetables")</f>
        <v>Vegetables</v>
      </c>
      <c r="D2492">
        <f>IFERROR(__xludf.DUMMYFUNCTION("""COMPUTED_VALUE"""),38.0)</f>
        <v>38</v>
      </c>
      <c r="E2492">
        <f>IFERROR(__xludf.DUMMYFUNCTION("""COMPUTED_VALUE"""),0.26)</f>
        <v>0.26</v>
      </c>
      <c r="F2492">
        <f>IFERROR(__xludf.DUMMYFUNCTION("""COMPUTED_VALUE"""),2.38)</f>
        <v>2.38</v>
      </c>
      <c r="G2492">
        <f>IFERROR(__xludf.DUMMYFUNCTION("""COMPUTED_VALUE"""),8.43)</f>
        <v>8.43</v>
      </c>
    </row>
    <row r="2493">
      <c r="A2493">
        <f>IFERROR(__xludf.DUMMYFUNCTION("""COMPUTED_VALUE"""),787823.0)</f>
        <v>787823</v>
      </c>
      <c r="B2493" t="str">
        <f>IFERROR(__xludf.DUMMYFUNCTION("""COMPUTED_VALUE"""),"Broccoli Salad With Cauliflower Cheese Bacon Bits And Dressing")</f>
        <v>Broccoli Salad With Cauliflower Cheese Bacon Bits And Dressing</v>
      </c>
      <c r="C2493" t="str">
        <f>IFERROR(__xludf.DUMMYFUNCTION("""COMPUTED_VALUE"""),"Vegetables")</f>
        <v>Vegetables</v>
      </c>
      <c r="D2493">
        <f>IFERROR(__xludf.DUMMYFUNCTION("""COMPUTED_VALUE"""),269.0)</f>
        <v>269</v>
      </c>
      <c r="E2493">
        <f>IFERROR(__xludf.DUMMYFUNCTION("""COMPUTED_VALUE"""),22.87)</f>
        <v>22.87</v>
      </c>
      <c r="F2493">
        <f>IFERROR(__xludf.DUMMYFUNCTION("""COMPUTED_VALUE"""),5.85)</f>
        <v>5.85</v>
      </c>
      <c r="G2493">
        <f>IFERROR(__xludf.DUMMYFUNCTION("""COMPUTED_VALUE"""),10.58)</f>
        <v>10.58</v>
      </c>
    </row>
    <row r="2494">
      <c r="A2494">
        <f>IFERROR(__xludf.DUMMYFUNCTION("""COMPUTED_VALUE"""),787824.0)</f>
        <v>787824</v>
      </c>
      <c r="B2494" t="str">
        <f>IFERROR(__xludf.DUMMYFUNCTION("""COMPUTED_VALUE"""),"Broccoli Slaw Salad")</f>
        <v>Broccoli Slaw Salad</v>
      </c>
      <c r="C2494" t="str">
        <f>IFERROR(__xludf.DUMMYFUNCTION("""COMPUTED_VALUE"""),"Vegetables")</f>
        <v>Vegetables</v>
      </c>
      <c r="D2494">
        <f>IFERROR(__xludf.DUMMYFUNCTION("""COMPUTED_VALUE"""),116.0)</f>
        <v>116</v>
      </c>
      <c r="E2494">
        <f>IFERROR(__xludf.DUMMYFUNCTION("""COMPUTED_VALUE"""),7.86)</f>
        <v>7.86</v>
      </c>
      <c r="F2494">
        <f>IFERROR(__xludf.DUMMYFUNCTION("""COMPUTED_VALUE"""),2.14)</f>
        <v>2.14</v>
      </c>
      <c r="G2494">
        <f>IFERROR(__xludf.DUMMYFUNCTION("""COMPUTED_VALUE"""),10.9)</f>
        <v>10.9</v>
      </c>
    </row>
    <row r="2495">
      <c r="A2495">
        <f>IFERROR(__xludf.DUMMYFUNCTION("""COMPUTED_VALUE"""),787826.0)</f>
        <v>787826</v>
      </c>
      <c r="B2495" t="str">
        <f>IFERROR(__xludf.DUMMYFUNCTION("""COMPUTED_VALUE"""),"Cabbage Salad Or Coleslaw Made With Coleslaw Dressing")</f>
        <v>Cabbage Salad Or Coleslaw Made With Coleslaw Dressing</v>
      </c>
      <c r="C2495" t="str">
        <f>IFERROR(__xludf.DUMMYFUNCTION("""COMPUTED_VALUE"""),"Vegetables")</f>
        <v>Vegetables</v>
      </c>
      <c r="D2495">
        <f>IFERROR(__xludf.DUMMYFUNCTION("""COMPUTED_VALUE"""),109.0)</f>
        <v>109</v>
      </c>
      <c r="E2495">
        <f>IFERROR(__xludf.DUMMYFUNCTION("""COMPUTED_VALUE"""),7.64)</f>
        <v>7.64</v>
      </c>
      <c r="F2495">
        <f>IFERROR(__xludf.DUMMYFUNCTION("""COMPUTED_VALUE"""),1.15)</f>
        <v>1.15</v>
      </c>
      <c r="G2495">
        <f>IFERROR(__xludf.DUMMYFUNCTION("""COMPUTED_VALUE"""),10.33)</f>
        <v>10.33</v>
      </c>
    </row>
    <row r="2496">
      <c r="A2496">
        <f>IFERROR(__xludf.DUMMYFUNCTION("""COMPUTED_VALUE"""),787827.0)</f>
        <v>787827</v>
      </c>
      <c r="B2496" t="str">
        <f>IFERROR(__xludf.DUMMYFUNCTION("""COMPUTED_VALUE"""),"Cabbage Salad Or Coleslaw Made With Light Coleslaw Dressing")</f>
        <v>Cabbage Salad Or Coleslaw Made With Light Coleslaw Dressing</v>
      </c>
      <c r="C2496" t="str">
        <f>IFERROR(__xludf.DUMMYFUNCTION("""COMPUTED_VALUE"""),"Vegetables")</f>
        <v>Vegetables</v>
      </c>
      <c r="D2496">
        <f>IFERROR(__xludf.DUMMYFUNCTION("""COMPUTED_VALUE"""),100.0)</f>
        <v>100</v>
      </c>
      <c r="E2496">
        <f>IFERROR(__xludf.DUMMYFUNCTION("""COMPUTED_VALUE"""),4.87)</f>
        <v>4.87</v>
      </c>
      <c r="F2496">
        <f>IFERROR(__xludf.DUMMYFUNCTION("""COMPUTED_VALUE"""),0.94)</f>
        <v>0.94</v>
      </c>
      <c r="G2496">
        <f>IFERROR(__xludf.DUMMYFUNCTION("""COMPUTED_VALUE"""),14.43)</f>
        <v>14.43</v>
      </c>
    </row>
    <row r="2497">
      <c r="A2497">
        <f>IFERROR(__xludf.DUMMYFUNCTION("""COMPUTED_VALUE"""),787828.0)</f>
        <v>787828</v>
      </c>
      <c r="B2497" t="str">
        <f>IFERROR(__xludf.DUMMYFUNCTION("""COMPUTED_VALUE"""),"Cabbage Salad Or Coleslaw Made With Italian Dressing")</f>
        <v>Cabbage Salad Or Coleslaw Made With Italian Dressing</v>
      </c>
      <c r="C2497" t="str">
        <f>IFERROR(__xludf.DUMMYFUNCTION("""COMPUTED_VALUE"""),"Vegetables")</f>
        <v>Vegetables</v>
      </c>
      <c r="D2497">
        <f>IFERROR(__xludf.DUMMYFUNCTION("""COMPUTED_VALUE"""),73.0)</f>
        <v>73</v>
      </c>
      <c r="E2497">
        <f>IFERROR(__xludf.DUMMYFUNCTION("""COMPUTED_VALUE"""),4.64)</f>
        <v>4.64</v>
      </c>
      <c r="F2497">
        <f>IFERROR(__xludf.DUMMYFUNCTION("""COMPUTED_VALUE"""),1.05)</f>
        <v>1.05</v>
      </c>
      <c r="G2497">
        <f>IFERROR(__xludf.DUMMYFUNCTION("""COMPUTED_VALUE"""),7.63)</f>
        <v>7.63</v>
      </c>
    </row>
    <row r="2498">
      <c r="A2498">
        <f>IFERROR(__xludf.DUMMYFUNCTION("""COMPUTED_VALUE"""),787829.0)</f>
        <v>787829</v>
      </c>
      <c r="B2498" t="str">
        <f>IFERROR(__xludf.DUMMYFUNCTION("""COMPUTED_VALUE"""),"Cabbage Salad Or Coleslaw Made With Light Italian Dressing")</f>
        <v>Cabbage Salad Or Coleslaw Made With Light Italian Dressing</v>
      </c>
      <c r="C2498" t="str">
        <f>IFERROR(__xludf.DUMMYFUNCTION("""COMPUTED_VALUE"""),"Vegetables")</f>
        <v>Vegetables</v>
      </c>
      <c r="D2498">
        <f>IFERROR(__xludf.DUMMYFUNCTION("""COMPUTED_VALUE"""),44.0)</f>
        <v>44</v>
      </c>
      <c r="E2498">
        <f>IFERROR(__xludf.DUMMYFUNCTION("""COMPUTED_VALUE"""),1.55)</f>
        <v>1.55</v>
      </c>
      <c r="F2498">
        <f>IFERROR(__xludf.DUMMYFUNCTION("""COMPUTED_VALUE"""),1.04)</f>
        <v>1.04</v>
      </c>
      <c r="G2498">
        <f>IFERROR(__xludf.DUMMYFUNCTION("""COMPUTED_VALUE"""),7.19)</f>
        <v>7.19</v>
      </c>
    </row>
    <row r="2499">
      <c r="A2499">
        <f>IFERROR(__xludf.DUMMYFUNCTION("""COMPUTED_VALUE"""),787830.0)</f>
        <v>787830</v>
      </c>
      <c r="B2499" t="str">
        <f>IFERROR(__xludf.DUMMYFUNCTION("""COMPUTED_VALUE"""),"Cabbage Salad Or Coleslaw Made With Creamy Dressing")</f>
        <v>Cabbage Salad Or Coleslaw Made With Creamy Dressing</v>
      </c>
      <c r="C2499" t="str">
        <f>IFERROR(__xludf.DUMMYFUNCTION("""COMPUTED_VALUE"""),"Vegetables")</f>
        <v>Vegetables</v>
      </c>
      <c r="D2499">
        <f>IFERROR(__xludf.DUMMYFUNCTION("""COMPUTED_VALUE"""),116.0)</f>
        <v>116</v>
      </c>
      <c r="E2499">
        <f>IFERROR(__xludf.DUMMYFUNCTION("""COMPUTED_VALUE"""),9.84)</f>
        <v>9.84</v>
      </c>
      <c r="F2499">
        <f>IFERROR(__xludf.DUMMYFUNCTION("""COMPUTED_VALUE"""),1.25)</f>
        <v>1.25</v>
      </c>
      <c r="G2499">
        <f>IFERROR(__xludf.DUMMYFUNCTION("""COMPUTED_VALUE"""),6.29)</f>
        <v>6.29</v>
      </c>
    </row>
    <row r="2500">
      <c r="A2500">
        <f>IFERROR(__xludf.DUMMYFUNCTION("""COMPUTED_VALUE"""),787831.0)</f>
        <v>787831</v>
      </c>
      <c r="B2500" t="str">
        <f>IFERROR(__xludf.DUMMYFUNCTION("""COMPUTED_VALUE"""),"Cabbage Salad Or Coleslaw Made With Light Creamy Dressing")</f>
        <v>Cabbage Salad Or Coleslaw Made With Light Creamy Dressing</v>
      </c>
      <c r="C2500" t="str">
        <f>IFERROR(__xludf.DUMMYFUNCTION("""COMPUTED_VALUE"""),"Vegetables")</f>
        <v>Vegetables</v>
      </c>
      <c r="D2500">
        <f>IFERROR(__xludf.DUMMYFUNCTION("""COMPUTED_VALUE"""),46.0)</f>
        <v>46</v>
      </c>
      <c r="E2500">
        <f>IFERROR(__xludf.DUMMYFUNCTION("""COMPUTED_VALUE"""),0.72)</f>
        <v>0.72</v>
      </c>
      <c r="F2500">
        <f>IFERROR(__xludf.DUMMYFUNCTION("""COMPUTED_VALUE"""),1.27)</f>
        <v>1.27</v>
      </c>
      <c r="G2500">
        <f>IFERROR(__xludf.DUMMYFUNCTION("""COMPUTED_VALUE"""),9.61)</f>
        <v>9.61</v>
      </c>
    </row>
    <row r="2501">
      <c r="A2501">
        <f>IFERROR(__xludf.DUMMYFUNCTION("""COMPUTED_VALUE"""),787832.0)</f>
        <v>787832</v>
      </c>
      <c r="B2501" t="str">
        <f>IFERROR(__xludf.DUMMYFUNCTION("""COMPUTED_VALUE"""),"Cabbage Salad Or Coleslaw Made With Any Type Of Fat Free Dressing")</f>
        <v>Cabbage Salad Or Coleslaw Made With Any Type Of Fat Free Dressing</v>
      </c>
      <c r="C2501" t="str">
        <f>IFERROR(__xludf.DUMMYFUNCTION("""COMPUTED_VALUE"""),"Vegetables")</f>
        <v>Vegetables</v>
      </c>
      <c r="D2501">
        <f>IFERROR(__xludf.DUMMYFUNCTION("""COMPUTED_VALUE"""),41.0)</f>
        <v>41</v>
      </c>
      <c r="E2501">
        <f>IFERROR(__xludf.DUMMYFUNCTION("""COMPUTED_VALUE"""),0.71)</f>
        <v>0.71</v>
      </c>
      <c r="F2501">
        <f>IFERROR(__xludf.DUMMYFUNCTION("""COMPUTED_VALUE"""),0.99)</f>
        <v>0.99</v>
      </c>
      <c r="G2501">
        <f>IFERROR(__xludf.DUMMYFUNCTION("""COMPUTED_VALUE"""),8.5)</f>
        <v>8.5</v>
      </c>
    </row>
    <row r="2502">
      <c r="A2502">
        <f>IFERROR(__xludf.DUMMYFUNCTION("""COMPUTED_VALUE"""),787833.0)</f>
        <v>787833</v>
      </c>
      <c r="B2502" t="str">
        <f>IFERROR(__xludf.DUMMYFUNCTION("""COMPUTED_VALUE"""),"Cabbage Salad Or Coleslaw With Apples And/or Raisins With Dressing")</f>
        <v>Cabbage Salad Or Coleslaw With Apples And/or Raisins With Dressing</v>
      </c>
      <c r="C2502" t="str">
        <f>IFERROR(__xludf.DUMMYFUNCTION("""COMPUTED_VALUE"""),"Vegetables")</f>
        <v>Vegetables</v>
      </c>
      <c r="D2502">
        <f>IFERROR(__xludf.DUMMYFUNCTION("""COMPUTED_VALUE"""),106.0)</f>
        <v>106</v>
      </c>
      <c r="E2502">
        <f>IFERROR(__xludf.DUMMYFUNCTION("""COMPUTED_VALUE"""),6.09)</f>
        <v>6.09</v>
      </c>
      <c r="F2502">
        <f>IFERROR(__xludf.DUMMYFUNCTION("""COMPUTED_VALUE"""),1.06)</f>
        <v>1.06</v>
      </c>
      <c r="G2502">
        <f>IFERROR(__xludf.DUMMYFUNCTION("""COMPUTED_VALUE"""),13.32)</f>
        <v>13.32</v>
      </c>
    </row>
    <row r="2503">
      <c r="A2503">
        <f>IFERROR(__xludf.DUMMYFUNCTION("""COMPUTED_VALUE"""),787834.0)</f>
        <v>787834</v>
      </c>
      <c r="B2503" t="str">
        <f>IFERROR(__xludf.DUMMYFUNCTION("""COMPUTED_VALUE"""),"Cabbage Salad Or Coleslaw With Pineapple With Dressing")</f>
        <v>Cabbage Salad Or Coleslaw With Pineapple With Dressing</v>
      </c>
      <c r="C2503" t="str">
        <f>IFERROR(__xludf.DUMMYFUNCTION("""COMPUTED_VALUE"""),"Vegetables")</f>
        <v>Vegetables</v>
      </c>
      <c r="D2503">
        <f>IFERROR(__xludf.DUMMYFUNCTION("""COMPUTED_VALUE"""),103.0)</f>
        <v>103</v>
      </c>
      <c r="E2503">
        <f>IFERROR(__xludf.DUMMYFUNCTION("""COMPUTED_VALUE"""),6.59)</f>
        <v>6.59</v>
      </c>
      <c r="F2503">
        <f>IFERROR(__xludf.DUMMYFUNCTION("""COMPUTED_VALUE"""),1.06)</f>
        <v>1.06</v>
      </c>
      <c r="G2503">
        <f>IFERROR(__xludf.DUMMYFUNCTION("""COMPUTED_VALUE"""),11.06)</f>
        <v>11.06</v>
      </c>
    </row>
    <row r="2504">
      <c r="A2504">
        <f>IFERROR(__xludf.DUMMYFUNCTION("""COMPUTED_VALUE"""),787835.0)</f>
        <v>787835</v>
      </c>
      <c r="B2504" t="str">
        <f>IFERROR(__xludf.DUMMYFUNCTION("""COMPUTED_VALUE"""),"Cabbage Chinese Salad With Dressing")</f>
        <v>Cabbage Chinese Salad With Dressing</v>
      </c>
      <c r="C2504" t="str">
        <f>IFERROR(__xludf.DUMMYFUNCTION("""COMPUTED_VALUE"""),"Vegetables")</f>
        <v>Vegetables</v>
      </c>
      <c r="D2504">
        <f>IFERROR(__xludf.DUMMYFUNCTION("""COMPUTED_VALUE"""),203.0)</f>
        <v>203</v>
      </c>
      <c r="E2504">
        <f>IFERROR(__xludf.DUMMYFUNCTION("""COMPUTED_VALUE"""),15.0)</f>
        <v>15</v>
      </c>
      <c r="F2504">
        <f>IFERROR(__xludf.DUMMYFUNCTION("""COMPUTED_VALUE"""),2.48)</f>
        <v>2.48</v>
      </c>
      <c r="G2504">
        <f>IFERROR(__xludf.DUMMYFUNCTION("""COMPUTED_VALUE"""),15.71)</f>
        <v>15.71</v>
      </c>
    </row>
    <row r="2505">
      <c r="A2505">
        <f>IFERROR(__xludf.DUMMYFUNCTION("""COMPUTED_VALUE"""),787836.0)</f>
        <v>787836</v>
      </c>
      <c r="B2505" t="str">
        <f>IFERROR(__xludf.DUMMYFUNCTION("""COMPUTED_VALUE"""),"Celery Stuffed With Cheese")</f>
        <v>Celery Stuffed With Cheese</v>
      </c>
      <c r="C2505" t="str">
        <f>IFERROR(__xludf.DUMMYFUNCTION("""COMPUTED_VALUE"""),"Vegetables")</f>
        <v>Vegetables</v>
      </c>
      <c r="D2505">
        <f>IFERROR(__xludf.DUMMYFUNCTION("""COMPUTED_VALUE"""),122.0)</f>
        <v>122</v>
      </c>
      <c r="E2505">
        <f>IFERROR(__xludf.DUMMYFUNCTION("""COMPUTED_VALUE"""),10.44)</f>
        <v>10.44</v>
      </c>
      <c r="F2505">
        <f>IFERROR(__xludf.DUMMYFUNCTION("""COMPUTED_VALUE"""),3.99)</f>
        <v>3.99</v>
      </c>
      <c r="G2505">
        <f>IFERROR(__xludf.DUMMYFUNCTION("""COMPUTED_VALUE"""),3.38)</f>
        <v>3.38</v>
      </c>
    </row>
    <row r="2506">
      <c r="A2506">
        <f>IFERROR(__xludf.DUMMYFUNCTION("""COMPUTED_VALUE"""),787837.0)</f>
        <v>787837</v>
      </c>
      <c r="B2506" t="str">
        <f>IFERROR(__xludf.DUMMYFUNCTION("""COMPUTED_VALUE"""),"Cucumber And Vegetable Namasu")</f>
        <v>Cucumber And Vegetable Namasu</v>
      </c>
      <c r="C2506" t="str">
        <f>IFERROR(__xludf.DUMMYFUNCTION("""COMPUTED_VALUE"""),"Vegetables")</f>
        <v>Vegetables</v>
      </c>
      <c r="D2506">
        <f>IFERROR(__xludf.DUMMYFUNCTION("""COMPUTED_VALUE"""),54.0)</f>
        <v>54</v>
      </c>
      <c r="E2506">
        <f>IFERROR(__xludf.DUMMYFUNCTION("""COMPUTED_VALUE"""),0.09)</f>
        <v>0.09</v>
      </c>
      <c r="F2506">
        <f>IFERROR(__xludf.DUMMYFUNCTION("""COMPUTED_VALUE"""),0.48)</f>
        <v>0.48</v>
      </c>
      <c r="G2506">
        <f>IFERROR(__xludf.DUMMYFUNCTION("""COMPUTED_VALUE"""),12.56)</f>
        <v>12.56</v>
      </c>
    </row>
    <row r="2507">
      <c r="A2507">
        <f>IFERROR(__xludf.DUMMYFUNCTION("""COMPUTED_VALUE"""),787838.0)</f>
        <v>787838</v>
      </c>
      <c r="B2507" t="str">
        <f>IFERROR(__xludf.DUMMYFUNCTION("""COMPUTED_VALUE"""),"Cucumber Salad Made With Sour Cream Dressing")</f>
        <v>Cucumber Salad Made With Sour Cream Dressing</v>
      </c>
      <c r="C2507" t="str">
        <f>IFERROR(__xludf.DUMMYFUNCTION("""COMPUTED_VALUE"""),"Vegetables")</f>
        <v>Vegetables</v>
      </c>
      <c r="D2507">
        <f>IFERROR(__xludf.DUMMYFUNCTION("""COMPUTED_VALUE"""),63.0)</f>
        <v>63</v>
      </c>
      <c r="E2507">
        <f>IFERROR(__xludf.DUMMYFUNCTION("""COMPUTED_VALUE"""),5.38)</f>
        <v>5.38</v>
      </c>
      <c r="F2507">
        <f>IFERROR(__xludf.DUMMYFUNCTION("""COMPUTED_VALUE"""),1.09)</f>
        <v>1.09</v>
      </c>
      <c r="G2507">
        <f>IFERROR(__xludf.DUMMYFUNCTION("""COMPUTED_VALUE"""),2.86)</f>
        <v>2.86</v>
      </c>
    </row>
    <row r="2508">
      <c r="A2508">
        <f>IFERROR(__xludf.DUMMYFUNCTION("""COMPUTED_VALUE"""),787839.0)</f>
        <v>787839</v>
      </c>
      <c r="B2508" t="str">
        <f>IFERROR(__xludf.DUMMYFUNCTION("""COMPUTED_VALUE"""),"Cucumber Salad Made With Italian Dressing")</f>
        <v>Cucumber Salad Made With Italian Dressing</v>
      </c>
      <c r="C2508" t="str">
        <f>IFERROR(__xludf.DUMMYFUNCTION("""COMPUTED_VALUE"""),"Vegetables")</f>
        <v>Vegetables</v>
      </c>
      <c r="D2508">
        <f>IFERROR(__xludf.DUMMYFUNCTION("""COMPUTED_VALUE"""),115.0)</f>
        <v>115</v>
      </c>
      <c r="E2508">
        <f>IFERROR(__xludf.DUMMYFUNCTION("""COMPUTED_VALUE"""),9.68)</f>
        <v>9.68</v>
      </c>
      <c r="F2508">
        <f>IFERROR(__xludf.DUMMYFUNCTION("""COMPUTED_VALUE"""),0.48)</f>
        <v>0.48</v>
      </c>
      <c r="G2508">
        <f>IFERROR(__xludf.DUMMYFUNCTION("""COMPUTED_VALUE"""),6.58)</f>
        <v>6.58</v>
      </c>
    </row>
    <row r="2509">
      <c r="A2509">
        <f>IFERROR(__xludf.DUMMYFUNCTION("""COMPUTED_VALUE"""),787840.0)</f>
        <v>787840</v>
      </c>
      <c r="B2509" t="str">
        <f>IFERROR(__xludf.DUMMYFUNCTION("""COMPUTED_VALUE"""),"Cucumber Salad Made With Cucumber And Vinegar")</f>
        <v>Cucumber Salad Made With Cucumber And Vinegar</v>
      </c>
      <c r="C2509" t="str">
        <f>IFERROR(__xludf.DUMMYFUNCTION("""COMPUTED_VALUE"""),"Vegetables")</f>
        <v>Vegetables</v>
      </c>
      <c r="D2509">
        <f>IFERROR(__xludf.DUMMYFUNCTION("""COMPUTED_VALUE"""),33.0)</f>
        <v>33</v>
      </c>
      <c r="E2509">
        <f>IFERROR(__xludf.DUMMYFUNCTION("""COMPUTED_VALUE"""),0.08)</f>
        <v>0.08</v>
      </c>
      <c r="F2509">
        <f>IFERROR(__xludf.DUMMYFUNCTION("""COMPUTED_VALUE"""),0.52)</f>
        <v>0.52</v>
      </c>
      <c r="G2509">
        <f>IFERROR(__xludf.DUMMYFUNCTION("""COMPUTED_VALUE"""),7.22)</f>
        <v>7.22</v>
      </c>
    </row>
    <row r="2510">
      <c r="A2510">
        <f>IFERROR(__xludf.DUMMYFUNCTION("""COMPUTED_VALUE"""),787841.0)</f>
        <v>787841</v>
      </c>
      <c r="B2510" t="str">
        <f>IFERROR(__xludf.DUMMYFUNCTION("""COMPUTED_VALUE"""),"Lettuce Salad With Assorted Vegetables Including Tomatoes And/or Carrots No Dressing")</f>
        <v>Lettuce Salad With Assorted Vegetables Including Tomatoes And/or Carrots No Dressing</v>
      </c>
      <c r="C2510" t="str">
        <f>IFERROR(__xludf.DUMMYFUNCTION("""COMPUTED_VALUE"""),"Vegetables")</f>
        <v>Vegetables</v>
      </c>
      <c r="D2510">
        <f>IFERROR(__xludf.DUMMYFUNCTION("""COMPUTED_VALUE"""),21.0)</f>
        <v>21</v>
      </c>
      <c r="E2510">
        <f>IFERROR(__xludf.DUMMYFUNCTION("""COMPUTED_VALUE"""),0.2)</f>
        <v>0.2</v>
      </c>
      <c r="F2510">
        <f>IFERROR(__xludf.DUMMYFUNCTION("""COMPUTED_VALUE"""),1.2)</f>
        <v>1.2</v>
      </c>
      <c r="G2510">
        <f>IFERROR(__xludf.DUMMYFUNCTION("""COMPUTED_VALUE"""),4.42)</f>
        <v>4.42</v>
      </c>
    </row>
    <row r="2511">
      <c r="A2511">
        <f>IFERROR(__xludf.DUMMYFUNCTION("""COMPUTED_VALUE"""),787842.0)</f>
        <v>787842</v>
      </c>
      <c r="B2511" t="str">
        <f>IFERROR(__xludf.DUMMYFUNCTION("""COMPUTED_VALUE"""),"Lettuce Salad With Assorted Vegetables Excluding Tomatoes And Carrots No Dressing")</f>
        <v>Lettuce Salad With Assorted Vegetables Excluding Tomatoes And Carrots No Dressing</v>
      </c>
      <c r="C2511" t="str">
        <f>IFERROR(__xludf.DUMMYFUNCTION("""COMPUTED_VALUE"""),"Vegetables")</f>
        <v>Vegetables</v>
      </c>
      <c r="D2511">
        <f>IFERROR(__xludf.DUMMYFUNCTION("""COMPUTED_VALUE"""),20.0)</f>
        <v>20</v>
      </c>
      <c r="E2511">
        <f>IFERROR(__xludf.DUMMYFUNCTION("""COMPUTED_VALUE"""),0.21)</f>
        <v>0.21</v>
      </c>
      <c r="F2511">
        <f>IFERROR(__xludf.DUMMYFUNCTION("""COMPUTED_VALUE"""),1.36)</f>
        <v>1.36</v>
      </c>
      <c r="G2511">
        <f>IFERROR(__xludf.DUMMYFUNCTION("""COMPUTED_VALUE"""),3.93)</f>
        <v>3.93</v>
      </c>
    </row>
    <row r="2512">
      <c r="A2512">
        <f>IFERROR(__xludf.DUMMYFUNCTION("""COMPUTED_VALUE"""),787843.0)</f>
        <v>787843</v>
      </c>
      <c r="B2512" t="str">
        <f>IFERROR(__xludf.DUMMYFUNCTION("""COMPUTED_VALUE"""),"Lettuce Salad With Avocado Tomato And/or Carrots With Or Without Other Vegetables No Dressing")</f>
        <v>Lettuce Salad With Avocado Tomato And/or Carrots With Or Without Other Vegetables No Dressing</v>
      </c>
      <c r="C2512" t="str">
        <f>IFERROR(__xludf.DUMMYFUNCTION("""COMPUTED_VALUE"""),"Vegetables")</f>
        <v>Vegetables</v>
      </c>
      <c r="D2512">
        <f>IFERROR(__xludf.DUMMYFUNCTION("""COMPUTED_VALUE"""),52.0)</f>
        <v>52</v>
      </c>
      <c r="E2512">
        <f>IFERROR(__xludf.DUMMYFUNCTION("""COMPUTED_VALUE"""),3.4)</f>
        <v>3.4</v>
      </c>
      <c r="F2512">
        <f>IFERROR(__xludf.DUMMYFUNCTION("""COMPUTED_VALUE"""),1.4)</f>
        <v>1.4</v>
      </c>
      <c r="G2512">
        <f>IFERROR(__xludf.DUMMYFUNCTION("""COMPUTED_VALUE"""),5.36)</f>
        <v>5.36</v>
      </c>
    </row>
    <row r="2513">
      <c r="A2513">
        <f>IFERROR(__xludf.DUMMYFUNCTION("""COMPUTED_VALUE"""),787844.0)</f>
        <v>787844</v>
      </c>
      <c r="B2513" t="str">
        <f>IFERROR(__xludf.DUMMYFUNCTION("""COMPUTED_VALUE"""),"Lettuce Salad With Cheese Tomato And/or Carrots With Or Without Other Vegetables No Dressing")</f>
        <v>Lettuce Salad With Cheese Tomato And/or Carrots With Or Without Other Vegetables No Dressing</v>
      </c>
      <c r="C2513" t="str">
        <f>IFERROR(__xludf.DUMMYFUNCTION("""COMPUTED_VALUE"""),"Vegetables")</f>
        <v>Vegetables</v>
      </c>
      <c r="D2513">
        <f>IFERROR(__xludf.DUMMYFUNCTION("""COMPUTED_VALUE"""),88.0)</f>
        <v>88</v>
      </c>
      <c r="E2513">
        <f>IFERROR(__xludf.DUMMYFUNCTION("""COMPUTED_VALUE"""),5.96)</f>
        <v>5.96</v>
      </c>
      <c r="F2513">
        <f>IFERROR(__xludf.DUMMYFUNCTION("""COMPUTED_VALUE"""),4.97)</f>
        <v>4.97</v>
      </c>
      <c r="G2513">
        <f>IFERROR(__xludf.DUMMYFUNCTION("""COMPUTED_VALUE"""),4.19)</f>
        <v>4.19</v>
      </c>
    </row>
    <row r="2514">
      <c r="A2514">
        <f>IFERROR(__xludf.DUMMYFUNCTION("""COMPUTED_VALUE"""),787845.0)</f>
        <v>787845</v>
      </c>
      <c r="B2514" t="str">
        <f>IFERROR(__xludf.DUMMYFUNCTION("""COMPUTED_VALUE"""),"Lettuce Salad With Egg Tomato And/or Carrots With Or Without Other Vegetables No Dressing")</f>
        <v>Lettuce Salad With Egg Tomato And/or Carrots With Or Without Other Vegetables No Dressing</v>
      </c>
      <c r="C2514" t="str">
        <f>IFERROR(__xludf.DUMMYFUNCTION("""COMPUTED_VALUE"""),"Vegetables")</f>
        <v>Vegetables</v>
      </c>
      <c r="D2514">
        <f>IFERROR(__xludf.DUMMYFUNCTION("""COMPUTED_VALUE"""),48.0)</f>
        <v>48</v>
      </c>
      <c r="E2514">
        <f>IFERROR(__xludf.DUMMYFUNCTION("""COMPUTED_VALUE"""),2.31)</f>
        <v>2.31</v>
      </c>
      <c r="F2514">
        <f>IFERROR(__xludf.DUMMYFUNCTION("""COMPUTED_VALUE"""),3.5)</f>
        <v>3.5</v>
      </c>
      <c r="G2514">
        <f>IFERROR(__xludf.DUMMYFUNCTION("""COMPUTED_VALUE"""),3.76)</f>
        <v>3.76</v>
      </c>
    </row>
    <row r="2515">
      <c r="A2515">
        <f>IFERROR(__xludf.DUMMYFUNCTION("""COMPUTED_VALUE"""),787846.0)</f>
        <v>787846</v>
      </c>
      <c r="B2515" t="str">
        <f>IFERROR(__xludf.DUMMYFUNCTION("""COMPUTED_VALUE"""),"Lettuce Salad With Egg Cheese Tomato And/or Carrots With Or Without Other Vegetables No Dressing")</f>
        <v>Lettuce Salad With Egg Cheese Tomato And/or Carrots With Or Without Other Vegetables No Dressing</v>
      </c>
      <c r="C2515" t="str">
        <f>IFERROR(__xludf.DUMMYFUNCTION("""COMPUTED_VALUE"""),"Vegetables")</f>
        <v>Vegetables</v>
      </c>
      <c r="D2515">
        <f>IFERROR(__xludf.DUMMYFUNCTION("""COMPUTED_VALUE"""),69.0)</f>
        <v>69</v>
      </c>
      <c r="E2515">
        <f>IFERROR(__xludf.DUMMYFUNCTION("""COMPUTED_VALUE"""),4.29)</f>
        <v>4.29</v>
      </c>
      <c r="F2515">
        <f>IFERROR(__xludf.DUMMYFUNCTION("""COMPUTED_VALUE"""),4.29)</f>
        <v>4.29</v>
      </c>
      <c r="G2515">
        <f>IFERROR(__xludf.DUMMYFUNCTION("""COMPUTED_VALUE"""),3.65)</f>
        <v>3.65</v>
      </c>
    </row>
    <row r="2516">
      <c r="A2516">
        <f>IFERROR(__xludf.DUMMYFUNCTION("""COMPUTED_VALUE"""),787847.0)</f>
        <v>787847</v>
      </c>
      <c r="B2516" t="str">
        <f>IFERROR(__xludf.DUMMYFUNCTION("""COMPUTED_VALUE"""),"Lettuce Wilted With Bacon Dressing")</f>
        <v>Lettuce Wilted With Bacon Dressing</v>
      </c>
      <c r="C2516" t="str">
        <f>IFERROR(__xludf.DUMMYFUNCTION("""COMPUTED_VALUE"""),"Vegetables")</f>
        <v>Vegetables</v>
      </c>
      <c r="D2516">
        <f>IFERROR(__xludf.DUMMYFUNCTION("""COMPUTED_VALUE"""),81.0)</f>
        <v>81</v>
      </c>
      <c r="E2516">
        <f>IFERROR(__xludf.DUMMYFUNCTION("""COMPUTED_VALUE"""),6.57)</f>
        <v>6.57</v>
      </c>
      <c r="F2516">
        <f>IFERROR(__xludf.DUMMYFUNCTION("""COMPUTED_VALUE"""),2.98)</f>
        <v>2.98</v>
      </c>
      <c r="G2516">
        <f>IFERROR(__xludf.DUMMYFUNCTION("""COMPUTED_VALUE"""),2.47)</f>
        <v>2.47</v>
      </c>
    </row>
    <row r="2517">
      <c r="A2517">
        <f>IFERROR(__xludf.DUMMYFUNCTION("""COMPUTED_VALUE"""),787848.0)</f>
        <v>787848</v>
      </c>
      <c r="B2517" t="str">
        <f>IFERROR(__xludf.DUMMYFUNCTION("""COMPUTED_VALUE"""),"Seven-Layer Salad Lettuce Salad Made With A Combination Of Onion Celery Green Pepper Peas Mayonnaise Cheese Eggs And/or Bacon")</f>
        <v>Seven-Layer Salad Lettuce Salad Made With A Combination Of Onion Celery Green Pepper Peas Mayonnaise Cheese Eggs And/or Bacon</v>
      </c>
      <c r="C2517" t="str">
        <f>IFERROR(__xludf.DUMMYFUNCTION("""COMPUTED_VALUE"""),"Vegetables")</f>
        <v>Vegetables</v>
      </c>
      <c r="D2517">
        <f>IFERROR(__xludf.DUMMYFUNCTION("""COMPUTED_VALUE"""),227.0)</f>
        <v>227</v>
      </c>
      <c r="E2517">
        <f>IFERROR(__xludf.DUMMYFUNCTION("""COMPUTED_VALUE"""),20.71)</f>
        <v>20.71</v>
      </c>
      <c r="F2517">
        <f>IFERROR(__xludf.DUMMYFUNCTION("""COMPUTED_VALUE"""),4.75)</f>
        <v>4.75</v>
      </c>
      <c r="G2517">
        <f>IFERROR(__xludf.DUMMYFUNCTION("""COMPUTED_VALUE"""),5.6)</f>
        <v>5.6</v>
      </c>
    </row>
    <row r="2518">
      <c r="A2518">
        <f>IFERROR(__xludf.DUMMYFUNCTION("""COMPUTED_VALUE"""),787849.0)</f>
        <v>787849</v>
      </c>
      <c r="B2518" t="str">
        <f>IFERROR(__xludf.DUMMYFUNCTION("""COMPUTED_VALUE"""),"Greek Salad No Dressing")</f>
        <v>Greek Salad No Dressing</v>
      </c>
      <c r="C2518" t="str">
        <f>IFERROR(__xludf.DUMMYFUNCTION("""COMPUTED_VALUE"""),"Vegetables")</f>
        <v>Vegetables</v>
      </c>
      <c r="D2518">
        <f>IFERROR(__xludf.DUMMYFUNCTION("""COMPUTED_VALUE"""),42.0)</f>
        <v>42</v>
      </c>
      <c r="E2518">
        <f>IFERROR(__xludf.DUMMYFUNCTION("""COMPUTED_VALUE"""),2.16)</f>
        <v>2.16</v>
      </c>
      <c r="F2518">
        <f>IFERROR(__xludf.DUMMYFUNCTION("""COMPUTED_VALUE"""),2.61)</f>
        <v>2.61</v>
      </c>
      <c r="G2518">
        <f>IFERROR(__xludf.DUMMYFUNCTION("""COMPUTED_VALUE"""),3.77)</f>
        <v>3.77</v>
      </c>
    </row>
    <row r="2519">
      <c r="A2519">
        <f>IFERROR(__xludf.DUMMYFUNCTION("""COMPUTED_VALUE"""),787850.0)</f>
        <v>787850</v>
      </c>
      <c r="B2519" t="str">
        <f>IFERROR(__xludf.DUMMYFUNCTION("""COMPUTED_VALUE"""),"Spinach Salad No Dressing")</f>
        <v>Spinach Salad No Dressing</v>
      </c>
      <c r="C2519" t="str">
        <f>IFERROR(__xludf.DUMMYFUNCTION("""COMPUTED_VALUE"""),"Vegetables")</f>
        <v>Vegetables</v>
      </c>
      <c r="D2519">
        <f>IFERROR(__xludf.DUMMYFUNCTION("""COMPUTED_VALUE"""),81.0)</f>
        <v>81</v>
      </c>
      <c r="E2519">
        <f>IFERROR(__xludf.DUMMYFUNCTION("""COMPUTED_VALUE"""),4.91)</f>
        <v>4.91</v>
      </c>
      <c r="F2519">
        <f>IFERROR(__xludf.DUMMYFUNCTION("""COMPUTED_VALUE"""),7.02)</f>
        <v>7.02</v>
      </c>
      <c r="G2519">
        <f>IFERROR(__xludf.DUMMYFUNCTION("""COMPUTED_VALUE"""),2.97)</f>
        <v>2.97</v>
      </c>
    </row>
    <row r="2520">
      <c r="A2520">
        <f>IFERROR(__xludf.DUMMYFUNCTION("""COMPUTED_VALUE"""),787851.0)</f>
        <v>787851</v>
      </c>
      <c r="B2520" t="str">
        <f>IFERROR(__xludf.DUMMYFUNCTION("""COMPUTED_VALUE"""),"Cobb Salad No Dressing")</f>
        <v>Cobb Salad No Dressing</v>
      </c>
      <c r="C2520" t="str">
        <f>IFERROR(__xludf.DUMMYFUNCTION("""COMPUTED_VALUE"""),"Vegetables")</f>
        <v>Vegetables</v>
      </c>
      <c r="D2520">
        <f>IFERROR(__xludf.DUMMYFUNCTION("""COMPUTED_VALUE"""),92.0)</f>
        <v>92</v>
      </c>
      <c r="E2520">
        <f>IFERROR(__xludf.DUMMYFUNCTION("""COMPUTED_VALUE"""),4.34)</f>
        <v>4.34</v>
      </c>
      <c r="F2520">
        <f>IFERROR(__xludf.DUMMYFUNCTION("""COMPUTED_VALUE"""),11.36)</f>
        <v>11.36</v>
      </c>
      <c r="G2520">
        <f>IFERROR(__xludf.DUMMYFUNCTION("""COMPUTED_VALUE"""),2.48)</f>
        <v>2.48</v>
      </c>
    </row>
    <row r="2521">
      <c r="A2521">
        <f>IFERROR(__xludf.DUMMYFUNCTION("""COMPUTED_VALUE"""),787852.0)</f>
        <v>787852</v>
      </c>
      <c r="B2521" t="str">
        <f>IFERROR(__xludf.DUMMYFUNCTION("""COMPUTED_VALUE"""),"Vegetables Ns As To Type Cooked Ns As To Fat Added In Cooking")</f>
        <v>Vegetables Ns As To Type Cooked Ns As To Fat Added In Cooking</v>
      </c>
      <c r="C2521" t="str">
        <f>IFERROR(__xludf.DUMMYFUNCTION("""COMPUTED_VALUE"""),"Vegetables")</f>
        <v>Vegetables</v>
      </c>
      <c r="D2521">
        <f>IFERROR(__xludf.DUMMYFUNCTION("""COMPUTED_VALUE"""),79.0)</f>
        <v>79</v>
      </c>
      <c r="E2521">
        <f>IFERROR(__xludf.DUMMYFUNCTION("""COMPUTED_VALUE"""),1.97)</f>
        <v>1.97</v>
      </c>
      <c r="F2521">
        <f>IFERROR(__xludf.DUMMYFUNCTION("""COMPUTED_VALUE"""),2.79)</f>
        <v>2.79</v>
      </c>
      <c r="G2521">
        <f>IFERROR(__xludf.DUMMYFUNCTION("""COMPUTED_VALUE"""),12.7)</f>
        <v>12.7</v>
      </c>
    </row>
    <row r="2522">
      <c r="A2522">
        <f>IFERROR(__xludf.DUMMYFUNCTION("""COMPUTED_VALUE"""),787853.0)</f>
        <v>787853</v>
      </c>
      <c r="B2522" t="str">
        <f>IFERROR(__xludf.DUMMYFUNCTION("""COMPUTED_VALUE"""),"Vegetables Ns As To Type Cooked Fat Not Added In Cooking")</f>
        <v>Vegetables Ns As To Type Cooked Fat Not Added In Cooking</v>
      </c>
      <c r="C2522" t="str">
        <f>IFERROR(__xludf.DUMMYFUNCTION("""COMPUTED_VALUE"""),"Vegetables")</f>
        <v>Vegetables</v>
      </c>
      <c r="D2522">
        <f>IFERROR(__xludf.DUMMYFUNCTION("""COMPUTED_VALUE"""),65.0)</f>
        <v>65</v>
      </c>
      <c r="E2522">
        <f>IFERROR(__xludf.DUMMYFUNCTION("""COMPUTED_VALUE"""),0.15)</f>
        <v>0.15</v>
      </c>
      <c r="F2522">
        <f>IFERROR(__xludf.DUMMYFUNCTION("""COMPUTED_VALUE"""),2.84)</f>
        <v>2.84</v>
      </c>
      <c r="G2522">
        <f>IFERROR(__xludf.DUMMYFUNCTION("""COMPUTED_VALUE"""),13.02)</f>
        <v>13.02</v>
      </c>
    </row>
    <row r="2523">
      <c r="A2523">
        <f>IFERROR(__xludf.DUMMYFUNCTION("""COMPUTED_VALUE"""),787854.0)</f>
        <v>787854</v>
      </c>
      <c r="B2523" t="str">
        <f>IFERROR(__xludf.DUMMYFUNCTION("""COMPUTED_VALUE"""),"Vegetables Ns As To Type Cooked Fat Added In Cooking Ns As To Type Of Fat")</f>
        <v>Vegetables Ns As To Type Cooked Fat Added In Cooking Ns As To Type Of Fat</v>
      </c>
      <c r="C2523" t="str">
        <f>IFERROR(__xludf.DUMMYFUNCTION("""COMPUTED_VALUE"""),"Vegetables")</f>
        <v>Vegetables</v>
      </c>
      <c r="D2523">
        <f>IFERROR(__xludf.DUMMYFUNCTION("""COMPUTED_VALUE"""),79.0)</f>
        <v>79</v>
      </c>
      <c r="E2523">
        <f>IFERROR(__xludf.DUMMYFUNCTION("""COMPUTED_VALUE"""),1.97)</f>
        <v>1.97</v>
      </c>
      <c r="F2523">
        <f>IFERROR(__xludf.DUMMYFUNCTION("""COMPUTED_VALUE"""),2.79)</f>
        <v>2.79</v>
      </c>
      <c r="G2523">
        <f>IFERROR(__xludf.DUMMYFUNCTION("""COMPUTED_VALUE"""),12.7)</f>
        <v>12.7</v>
      </c>
    </row>
    <row r="2524">
      <c r="A2524">
        <f>IFERROR(__xludf.DUMMYFUNCTION("""COMPUTED_VALUE"""),787855.0)</f>
        <v>787855</v>
      </c>
      <c r="B2524" t="str">
        <f>IFERROR(__xludf.DUMMYFUNCTION("""COMPUTED_VALUE"""),"Vegetables Ns As To Type Cooked Made With Oil")</f>
        <v>Vegetables Ns As To Type Cooked Made With Oil</v>
      </c>
      <c r="C2524" t="str">
        <f>IFERROR(__xludf.DUMMYFUNCTION("""COMPUTED_VALUE"""),"Vegetables")</f>
        <v>Vegetables</v>
      </c>
      <c r="D2524">
        <f>IFERROR(__xludf.DUMMYFUNCTION("""COMPUTED_VALUE"""),85.0)</f>
        <v>85</v>
      </c>
      <c r="E2524">
        <f>IFERROR(__xludf.DUMMYFUNCTION("""COMPUTED_VALUE"""),2.57)</f>
        <v>2.57</v>
      </c>
      <c r="F2524">
        <f>IFERROR(__xludf.DUMMYFUNCTION("""COMPUTED_VALUE"""),2.78)</f>
        <v>2.78</v>
      </c>
      <c r="G2524">
        <f>IFERROR(__xludf.DUMMYFUNCTION("""COMPUTED_VALUE"""),12.7)</f>
        <v>12.7</v>
      </c>
    </row>
    <row r="2525">
      <c r="A2525">
        <f>IFERROR(__xludf.DUMMYFUNCTION("""COMPUTED_VALUE"""),787856.0)</f>
        <v>787856</v>
      </c>
      <c r="B2525" t="str">
        <f>IFERROR(__xludf.DUMMYFUNCTION("""COMPUTED_VALUE"""),"Vegetables Ns As To Type Cooked Made With Butter")</f>
        <v>Vegetables Ns As To Type Cooked Made With Butter</v>
      </c>
      <c r="C2525" t="str">
        <f>IFERROR(__xludf.DUMMYFUNCTION("""COMPUTED_VALUE"""),"Vegetables")</f>
        <v>Vegetables</v>
      </c>
      <c r="D2525">
        <f>IFERROR(__xludf.DUMMYFUNCTION("""COMPUTED_VALUE"""),81.0)</f>
        <v>81</v>
      </c>
      <c r="E2525">
        <f>IFERROR(__xludf.DUMMYFUNCTION("""COMPUTED_VALUE"""),2.19)</f>
        <v>2.19</v>
      </c>
      <c r="F2525">
        <f>IFERROR(__xludf.DUMMYFUNCTION("""COMPUTED_VALUE"""),2.79)</f>
        <v>2.79</v>
      </c>
      <c r="G2525">
        <f>IFERROR(__xludf.DUMMYFUNCTION("""COMPUTED_VALUE"""),12.69)</f>
        <v>12.69</v>
      </c>
    </row>
    <row r="2526">
      <c r="A2526">
        <f>IFERROR(__xludf.DUMMYFUNCTION("""COMPUTED_VALUE"""),787857.0)</f>
        <v>787857</v>
      </c>
      <c r="B2526" t="str">
        <f>IFERROR(__xludf.DUMMYFUNCTION("""COMPUTED_VALUE"""),"Vegetables Ns As To Type Cooked Made With Margarine")</f>
        <v>Vegetables Ns As To Type Cooked Made With Margarine</v>
      </c>
      <c r="C2526" t="str">
        <f>IFERROR(__xludf.DUMMYFUNCTION("""COMPUTED_VALUE"""),"Vegetables")</f>
        <v>Vegetables</v>
      </c>
      <c r="D2526">
        <f>IFERROR(__xludf.DUMMYFUNCTION("""COMPUTED_VALUE"""),77.0)</f>
        <v>77</v>
      </c>
      <c r="E2526">
        <f>IFERROR(__xludf.DUMMYFUNCTION("""COMPUTED_VALUE"""),1.66)</f>
        <v>1.66</v>
      </c>
      <c r="F2526">
        <f>IFERROR(__xludf.DUMMYFUNCTION("""COMPUTED_VALUE"""),2.78)</f>
        <v>2.78</v>
      </c>
      <c r="G2526">
        <f>IFERROR(__xludf.DUMMYFUNCTION("""COMPUTED_VALUE"""),12.71)</f>
        <v>12.71</v>
      </c>
    </row>
    <row r="2527">
      <c r="A2527">
        <f>IFERROR(__xludf.DUMMYFUNCTION("""COMPUTED_VALUE"""),787859.0)</f>
        <v>787859</v>
      </c>
      <c r="B2527" t="str">
        <f>IFERROR(__xludf.DUMMYFUNCTION("""COMPUTED_VALUE"""),"Artichoke Cooked Ns As To Form Ns As To Fat Added In Cooking")</f>
        <v>Artichoke Cooked Ns As To Form Ns As To Fat Added In Cooking</v>
      </c>
      <c r="C2527" t="str">
        <f>IFERROR(__xludf.DUMMYFUNCTION("""COMPUTED_VALUE"""),"Vegetables")</f>
        <v>Vegetables</v>
      </c>
      <c r="D2527">
        <f>IFERROR(__xludf.DUMMYFUNCTION("""COMPUTED_VALUE"""),61.0)</f>
        <v>61</v>
      </c>
      <c r="E2527">
        <f>IFERROR(__xludf.DUMMYFUNCTION("""COMPUTED_VALUE"""),2.46)</f>
        <v>2.46</v>
      </c>
      <c r="F2527">
        <f>IFERROR(__xludf.DUMMYFUNCTION("""COMPUTED_VALUE"""),3.02)</f>
        <v>3.02</v>
      </c>
      <c r="G2527">
        <f>IFERROR(__xludf.DUMMYFUNCTION("""COMPUTED_VALUE"""),8.89)</f>
        <v>8.89</v>
      </c>
    </row>
    <row r="2528">
      <c r="A2528">
        <f>IFERROR(__xludf.DUMMYFUNCTION("""COMPUTED_VALUE"""),787860.0)</f>
        <v>787860</v>
      </c>
      <c r="B2528" t="str">
        <f>IFERROR(__xludf.DUMMYFUNCTION("""COMPUTED_VALUE"""),"Artichoke Cooked From Fresh Ns As To Fat Added In Cooking")</f>
        <v>Artichoke Cooked From Fresh Ns As To Fat Added In Cooking</v>
      </c>
      <c r="C2528" t="str">
        <f>IFERROR(__xludf.DUMMYFUNCTION("""COMPUTED_VALUE"""),"Vegetables")</f>
        <v>Vegetables</v>
      </c>
      <c r="D2528">
        <f>IFERROR(__xludf.DUMMYFUNCTION("""COMPUTED_VALUE"""),69.0)</f>
        <v>69</v>
      </c>
      <c r="E2528">
        <f>IFERROR(__xludf.DUMMYFUNCTION("""COMPUTED_VALUE"""),2.31)</f>
        <v>2.31</v>
      </c>
      <c r="F2528">
        <f>IFERROR(__xludf.DUMMYFUNCTION("""COMPUTED_VALUE"""),2.81)</f>
        <v>2.81</v>
      </c>
      <c r="G2528">
        <f>IFERROR(__xludf.DUMMYFUNCTION("""COMPUTED_VALUE"""),11.57)</f>
        <v>11.57</v>
      </c>
    </row>
    <row r="2529">
      <c r="A2529">
        <f>IFERROR(__xludf.DUMMYFUNCTION("""COMPUTED_VALUE"""),787861.0)</f>
        <v>787861</v>
      </c>
      <c r="B2529" t="str">
        <f>IFERROR(__xludf.DUMMYFUNCTION("""COMPUTED_VALUE"""),"Artichoke Cooked From Frozen Ns As To Fat Added In Cooking")</f>
        <v>Artichoke Cooked From Frozen Ns As To Fat Added In Cooking</v>
      </c>
      <c r="C2529" t="str">
        <f>IFERROR(__xludf.DUMMYFUNCTION("""COMPUTED_VALUE"""),"Vegetables")</f>
        <v>Vegetables</v>
      </c>
      <c r="D2529">
        <f>IFERROR(__xludf.DUMMYFUNCTION("""COMPUTED_VALUE"""),61.0)</f>
        <v>61</v>
      </c>
      <c r="E2529">
        <f>IFERROR(__xludf.DUMMYFUNCTION("""COMPUTED_VALUE"""),2.46)</f>
        <v>2.46</v>
      </c>
      <c r="F2529">
        <f>IFERROR(__xludf.DUMMYFUNCTION("""COMPUTED_VALUE"""),3.02)</f>
        <v>3.02</v>
      </c>
      <c r="G2529">
        <f>IFERROR(__xludf.DUMMYFUNCTION("""COMPUTED_VALUE"""),8.89)</f>
        <v>8.89</v>
      </c>
    </row>
    <row r="2530">
      <c r="A2530">
        <f>IFERROR(__xludf.DUMMYFUNCTION("""COMPUTED_VALUE"""),787862.0)</f>
        <v>787862</v>
      </c>
      <c r="B2530" t="str">
        <f>IFERROR(__xludf.DUMMYFUNCTION("""COMPUTED_VALUE"""),"Artichoke Cooked From Canned Ns As To Fat Added In Cooking")</f>
        <v>Artichoke Cooked From Canned Ns As To Fat Added In Cooking</v>
      </c>
      <c r="C2530" t="str">
        <f>IFERROR(__xludf.DUMMYFUNCTION("""COMPUTED_VALUE"""),"Vegetables")</f>
        <v>Vegetables</v>
      </c>
      <c r="D2530">
        <f>IFERROR(__xludf.DUMMYFUNCTION("""COMPUTED_VALUE"""),61.0)</f>
        <v>61</v>
      </c>
      <c r="E2530">
        <f>IFERROR(__xludf.DUMMYFUNCTION("""COMPUTED_VALUE"""),2.46)</f>
        <v>2.46</v>
      </c>
      <c r="F2530">
        <f>IFERROR(__xludf.DUMMYFUNCTION("""COMPUTED_VALUE"""),3.02)</f>
        <v>3.02</v>
      </c>
      <c r="G2530">
        <f>IFERROR(__xludf.DUMMYFUNCTION("""COMPUTED_VALUE"""),8.89)</f>
        <v>8.89</v>
      </c>
    </row>
    <row r="2531">
      <c r="A2531">
        <f>IFERROR(__xludf.DUMMYFUNCTION("""COMPUTED_VALUE"""),787863.0)</f>
        <v>787863</v>
      </c>
      <c r="B2531" t="str">
        <f>IFERROR(__xludf.DUMMYFUNCTION("""COMPUTED_VALUE"""),"Artichoke Cooked Ns As To Form Fat Not Added In Cooking")</f>
        <v>Artichoke Cooked Ns As To Form Fat Not Added In Cooking</v>
      </c>
      <c r="C2531" t="str">
        <f>IFERROR(__xludf.DUMMYFUNCTION("""COMPUTED_VALUE"""),"Vegetables")</f>
        <v>Vegetables</v>
      </c>
      <c r="D2531">
        <f>IFERROR(__xludf.DUMMYFUNCTION("""COMPUTED_VALUE"""),45.0)</f>
        <v>45</v>
      </c>
      <c r="E2531">
        <f>IFERROR(__xludf.DUMMYFUNCTION("""COMPUTED_VALUE"""),0.5)</f>
        <v>0.5</v>
      </c>
      <c r="F2531">
        <f>IFERROR(__xludf.DUMMYFUNCTION("""COMPUTED_VALUE"""),3.09)</f>
        <v>3.09</v>
      </c>
      <c r="G2531">
        <f>IFERROR(__xludf.DUMMYFUNCTION("""COMPUTED_VALUE"""),9.13)</f>
        <v>9.13</v>
      </c>
    </row>
    <row r="2532">
      <c r="A2532">
        <f>IFERROR(__xludf.DUMMYFUNCTION("""COMPUTED_VALUE"""),787864.0)</f>
        <v>787864</v>
      </c>
      <c r="B2532" t="str">
        <f>IFERROR(__xludf.DUMMYFUNCTION("""COMPUTED_VALUE"""),"Artichoke Cooked From Fresh Fat Not Added In Cooking")</f>
        <v>Artichoke Cooked From Fresh Fat Not Added In Cooking</v>
      </c>
      <c r="C2532" t="str">
        <f>IFERROR(__xludf.DUMMYFUNCTION("""COMPUTED_VALUE"""),"Vegetables")</f>
        <v>Vegetables</v>
      </c>
      <c r="D2532">
        <f>IFERROR(__xludf.DUMMYFUNCTION("""COMPUTED_VALUE"""),53.0)</f>
        <v>53</v>
      </c>
      <c r="E2532">
        <f>IFERROR(__xludf.DUMMYFUNCTION("""COMPUTED_VALUE"""),0.34)</f>
        <v>0.34</v>
      </c>
      <c r="F2532">
        <f>IFERROR(__xludf.DUMMYFUNCTION("""COMPUTED_VALUE"""),2.87)</f>
        <v>2.87</v>
      </c>
      <c r="G2532">
        <f>IFERROR(__xludf.DUMMYFUNCTION("""COMPUTED_VALUE"""),11.88)</f>
        <v>11.88</v>
      </c>
    </row>
    <row r="2533">
      <c r="A2533">
        <f>IFERROR(__xludf.DUMMYFUNCTION("""COMPUTED_VALUE"""),787865.0)</f>
        <v>787865</v>
      </c>
      <c r="B2533" t="str">
        <f>IFERROR(__xludf.DUMMYFUNCTION("""COMPUTED_VALUE"""),"Artichoke Cooked From Frozen Fat Not Added In Cooking")</f>
        <v>Artichoke Cooked From Frozen Fat Not Added In Cooking</v>
      </c>
      <c r="C2533" t="str">
        <f>IFERROR(__xludf.DUMMYFUNCTION("""COMPUTED_VALUE"""),"Vegetables")</f>
        <v>Vegetables</v>
      </c>
      <c r="D2533">
        <f>IFERROR(__xludf.DUMMYFUNCTION("""COMPUTED_VALUE"""),45.0)</f>
        <v>45</v>
      </c>
      <c r="E2533">
        <f>IFERROR(__xludf.DUMMYFUNCTION("""COMPUTED_VALUE"""),0.5)</f>
        <v>0.5</v>
      </c>
      <c r="F2533">
        <f>IFERROR(__xludf.DUMMYFUNCTION("""COMPUTED_VALUE"""),3.09)</f>
        <v>3.09</v>
      </c>
      <c r="G2533">
        <f>IFERROR(__xludf.DUMMYFUNCTION("""COMPUTED_VALUE"""),9.13)</f>
        <v>9.13</v>
      </c>
    </row>
    <row r="2534">
      <c r="A2534">
        <f>IFERROR(__xludf.DUMMYFUNCTION("""COMPUTED_VALUE"""),787866.0)</f>
        <v>787866</v>
      </c>
      <c r="B2534" t="str">
        <f>IFERROR(__xludf.DUMMYFUNCTION("""COMPUTED_VALUE"""),"Artichoke Cooked From Canned Fat Not Added In Cooking")</f>
        <v>Artichoke Cooked From Canned Fat Not Added In Cooking</v>
      </c>
      <c r="C2534" t="str">
        <f>IFERROR(__xludf.DUMMYFUNCTION("""COMPUTED_VALUE"""),"Vegetables")</f>
        <v>Vegetables</v>
      </c>
      <c r="D2534">
        <f>IFERROR(__xludf.DUMMYFUNCTION("""COMPUTED_VALUE"""),45.0)</f>
        <v>45</v>
      </c>
      <c r="E2534">
        <f>IFERROR(__xludf.DUMMYFUNCTION("""COMPUTED_VALUE"""),0.5)</f>
        <v>0.5</v>
      </c>
      <c r="F2534">
        <f>IFERROR(__xludf.DUMMYFUNCTION("""COMPUTED_VALUE"""),3.09)</f>
        <v>3.09</v>
      </c>
      <c r="G2534">
        <f>IFERROR(__xludf.DUMMYFUNCTION("""COMPUTED_VALUE"""),9.13)</f>
        <v>9.13</v>
      </c>
    </row>
    <row r="2535">
      <c r="A2535">
        <f>IFERROR(__xludf.DUMMYFUNCTION("""COMPUTED_VALUE"""),787867.0)</f>
        <v>787867</v>
      </c>
      <c r="B2535" t="str">
        <f>IFERROR(__xludf.DUMMYFUNCTION("""COMPUTED_VALUE"""),"Artichoke Cooked Ns As To Form Fat Added In Cooking Ns As To Type Of Fat")</f>
        <v>Artichoke Cooked Ns As To Form Fat Added In Cooking Ns As To Type Of Fat</v>
      </c>
      <c r="C2535" t="str">
        <f>IFERROR(__xludf.DUMMYFUNCTION("""COMPUTED_VALUE"""),"Vegetables")</f>
        <v>Vegetables</v>
      </c>
      <c r="D2535">
        <f>IFERROR(__xludf.DUMMYFUNCTION("""COMPUTED_VALUE"""),61.0)</f>
        <v>61</v>
      </c>
      <c r="E2535">
        <f>IFERROR(__xludf.DUMMYFUNCTION("""COMPUTED_VALUE"""),2.46)</f>
        <v>2.46</v>
      </c>
      <c r="F2535">
        <f>IFERROR(__xludf.DUMMYFUNCTION("""COMPUTED_VALUE"""),3.02)</f>
        <v>3.02</v>
      </c>
      <c r="G2535">
        <f>IFERROR(__xludf.DUMMYFUNCTION("""COMPUTED_VALUE"""),8.89)</f>
        <v>8.89</v>
      </c>
    </row>
    <row r="2536">
      <c r="A2536">
        <f>IFERROR(__xludf.DUMMYFUNCTION("""COMPUTED_VALUE"""),787868.0)</f>
        <v>787868</v>
      </c>
      <c r="B2536" t="str">
        <f>IFERROR(__xludf.DUMMYFUNCTION("""COMPUTED_VALUE"""),"Artichoke Cooked From Fresh Fat Added In Cooking Ns As To Type Of Fat")</f>
        <v>Artichoke Cooked From Fresh Fat Added In Cooking Ns As To Type Of Fat</v>
      </c>
      <c r="C2536" t="str">
        <f>IFERROR(__xludf.DUMMYFUNCTION("""COMPUTED_VALUE"""),"Vegetables")</f>
        <v>Vegetables</v>
      </c>
      <c r="D2536">
        <f>IFERROR(__xludf.DUMMYFUNCTION("""COMPUTED_VALUE"""),69.0)</f>
        <v>69</v>
      </c>
      <c r="E2536">
        <f>IFERROR(__xludf.DUMMYFUNCTION("""COMPUTED_VALUE"""),2.31)</f>
        <v>2.31</v>
      </c>
      <c r="F2536">
        <f>IFERROR(__xludf.DUMMYFUNCTION("""COMPUTED_VALUE"""),2.81)</f>
        <v>2.81</v>
      </c>
      <c r="G2536">
        <f>IFERROR(__xludf.DUMMYFUNCTION("""COMPUTED_VALUE"""),11.57)</f>
        <v>11.57</v>
      </c>
    </row>
    <row r="2537">
      <c r="A2537">
        <f>IFERROR(__xludf.DUMMYFUNCTION("""COMPUTED_VALUE"""),787869.0)</f>
        <v>787869</v>
      </c>
      <c r="B2537" t="str">
        <f>IFERROR(__xludf.DUMMYFUNCTION("""COMPUTED_VALUE"""),"Artichoke Cooked From Frozen Fat Added In Cooking Ns As To Type Of Fat")</f>
        <v>Artichoke Cooked From Frozen Fat Added In Cooking Ns As To Type Of Fat</v>
      </c>
      <c r="C2537" t="str">
        <f>IFERROR(__xludf.DUMMYFUNCTION("""COMPUTED_VALUE"""),"Vegetables")</f>
        <v>Vegetables</v>
      </c>
      <c r="D2537">
        <f>IFERROR(__xludf.DUMMYFUNCTION("""COMPUTED_VALUE"""),61.0)</f>
        <v>61</v>
      </c>
      <c r="E2537">
        <f>IFERROR(__xludf.DUMMYFUNCTION("""COMPUTED_VALUE"""),2.46)</f>
        <v>2.46</v>
      </c>
      <c r="F2537">
        <f>IFERROR(__xludf.DUMMYFUNCTION("""COMPUTED_VALUE"""),3.02)</f>
        <v>3.02</v>
      </c>
      <c r="G2537">
        <f>IFERROR(__xludf.DUMMYFUNCTION("""COMPUTED_VALUE"""),8.89)</f>
        <v>8.89</v>
      </c>
    </row>
    <row r="2538">
      <c r="A2538">
        <f>IFERROR(__xludf.DUMMYFUNCTION("""COMPUTED_VALUE"""),787870.0)</f>
        <v>787870</v>
      </c>
      <c r="B2538" t="str">
        <f>IFERROR(__xludf.DUMMYFUNCTION("""COMPUTED_VALUE"""),"Artichoke Cooked From Canned Fat Added In Cooking Ns As To Type Of Fat")</f>
        <v>Artichoke Cooked From Canned Fat Added In Cooking Ns As To Type Of Fat</v>
      </c>
      <c r="C2538" t="str">
        <f>IFERROR(__xludf.DUMMYFUNCTION("""COMPUTED_VALUE"""),"Vegetables")</f>
        <v>Vegetables</v>
      </c>
      <c r="D2538">
        <f>IFERROR(__xludf.DUMMYFUNCTION("""COMPUTED_VALUE"""),61.0)</f>
        <v>61</v>
      </c>
      <c r="E2538">
        <f>IFERROR(__xludf.DUMMYFUNCTION("""COMPUTED_VALUE"""),2.46)</f>
        <v>2.46</v>
      </c>
      <c r="F2538">
        <f>IFERROR(__xludf.DUMMYFUNCTION("""COMPUTED_VALUE"""),3.02)</f>
        <v>3.02</v>
      </c>
      <c r="G2538">
        <f>IFERROR(__xludf.DUMMYFUNCTION("""COMPUTED_VALUE"""),8.89)</f>
        <v>8.89</v>
      </c>
    </row>
    <row r="2539">
      <c r="A2539">
        <f>IFERROR(__xludf.DUMMYFUNCTION("""COMPUTED_VALUE"""),787871.0)</f>
        <v>787871</v>
      </c>
      <c r="B2539" t="str">
        <f>IFERROR(__xludf.DUMMYFUNCTION("""COMPUTED_VALUE"""),"Artichoke Salad In Oil")</f>
        <v>Artichoke Salad In Oil</v>
      </c>
      <c r="C2539" t="str">
        <f>IFERROR(__xludf.DUMMYFUNCTION("""COMPUTED_VALUE"""),"Vegetables")</f>
        <v>Vegetables</v>
      </c>
      <c r="D2539">
        <f>IFERROR(__xludf.DUMMYFUNCTION("""COMPUTED_VALUE"""),122.0)</f>
        <v>122</v>
      </c>
      <c r="E2539">
        <f>IFERROR(__xludf.DUMMYFUNCTION("""COMPUTED_VALUE"""),8.57)</f>
        <v>8.57</v>
      </c>
      <c r="F2539">
        <f>IFERROR(__xludf.DUMMYFUNCTION("""COMPUTED_VALUE"""),2.65)</f>
        <v>2.65</v>
      </c>
      <c r="G2539">
        <f>IFERROR(__xludf.DUMMYFUNCTION("""COMPUTED_VALUE"""),10.96)</f>
        <v>10.96</v>
      </c>
    </row>
    <row r="2540">
      <c r="A2540">
        <f>IFERROR(__xludf.DUMMYFUNCTION("""COMPUTED_VALUE"""),787872.0)</f>
        <v>787872</v>
      </c>
      <c r="B2540" t="str">
        <f>IFERROR(__xludf.DUMMYFUNCTION("""COMPUTED_VALUE"""),"Artichoke Cooked Ns As To Form Made With Oil")</f>
        <v>Artichoke Cooked Ns As To Form Made With Oil</v>
      </c>
      <c r="C2540" t="str">
        <f>IFERROR(__xludf.DUMMYFUNCTION("""COMPUTED_VALUE"""),"Vegetables")</f>
        <v>Vegetables</v>
      </c>
      <c r="D2540">
        <f>IFERROR(__xludf.DUMMYFUNCTION("""COMPUTED_VALUE"""),67.0)</f>
        <v>67</v>
      </c>
      <c r="E2540">
        <f>IFERROR(__xludf.DUMMYFUNCTION("""COMPUTED_VALUE"""),3.1)</f>
        <v>3.1</v>
      </c>
      <c r="F2540">
        <f>IFERROR(__xludf.DUMMYFUNCTION("""COMPUTED_VALUE"""),3.01)</f>
        <v>3.01</v>
      </c>
      <c r="G2540">
        <f>IFERROR(__xludf.DUMMYFUNCTION("""COMPUTED_VALUE"""),8.89)</f>
        <v>8.89</v>
      </c>
    </row>
    <row r="2541">
      <c r="A2541">
        <f>IFERROR(__xludf.DUMMYFUNCTION("""COMPUTED_VALUE"""),787873.0)</f>
        <v>787873</v>
      </c>
      <c r="B2541" t="str">
        <f>IFERROR(__xludf.DUMMYFUNCTION("""COMPUTED_VALUE"""),"Artichoke Cooked Ns As To Form Made With Butter")</f>
        <v>Artichoke Cooked Ns As To Form Made With Butter</v>
      </c>
      <c r="C2541" t="str">
        <f>IFERROR(__xludf.DUMMYFUNCTION("""COMPUTED_VALUE"""),"Vegetables")</f>
        <v>Vegetables</v>
      </c>
      <c r="D2541">
        <f>IFERROR(__xludf.DUMMYFUNCTION("""COMPUTED_VALUE"""),71.0)</f>
        <v>71</v>
      </c>
      <c r="E2541">
        <f>IFERROR(__xludf.DUMMYFUNCTION("""COMPUTED_VALUE"""),2.54)</f>
        <v>2.54</v>
      </c>
      <c r="F2541">
        <f>IFERROR(__xludf.DUMMYFUNCTION("""COMPUTED_VALUE"""),2.82)</f>
        <v>2.82</v>
      </c>
      <c r="G2541">
        <f>IFERROR(__xludf.DUMMYFUNCTION("""COMPUTED_VALUE"""),11.56)</f>
        <v>11.56</v>
      </c>
    </row>
    <row r="2542">
      <c r="A2542">
        <f>IFERROR(__xludf.DUMMYFUNCTION("""COMPUTED_VALUE"""),787874.0)</f>
        <v>787874</v>
      </c>
      <c r="B2542" t="str">
        <f>IFERROR(__xludf.DUMMYFUNCTION("""COMPUTED_VALUE"""),"Artichoke Cooked Ns As To Form Made With Margarine")</f>
        <v>Artichoke Cooked Ns As To Form Made With Margarine</v>
      </c>
      <c r="C2542" t="str">
        <f>IFERROR(__xludf.DUMMYFUNCTION("""COMPUTED_VALUE"""),"Vegetables")</f>
        <v>Vegetables</v>
      </c>
      <c r="D2542">
        <f>IFERROR(__xludf.DUMMYFUNCTION("""COMPUTED_VALUE"""),58.0)</f>
        <v>58</v>
      </c>
      <c r="E2542">
        <f>IFERROR(__xludf.DUMMYFUNCTION("""COMPUTED_VALUE"""),2.13)</f>
        <v>2.13</v>
      </c>
      <c r="F2542">
        <f>IFERROR(__xludf.DUMMYFUNCTION("""COMPUTED_VALUE"""),3.01)</f>
        <v>3.01</v>
      </c>
      <c r="G2542">
        <f>IFERROR(__xludf.DUMMYFUNCTION("""COMPUTED_VALUE"""),8.9)</f>
        <v>8.9</v>
      </c>
    </row>
    <row r="2543">
      <c r="A2543">
        <f>IFERROR(__xludf.DUMMYFUNCTION("""COMPUTED_VALUE"""),787875.0)</f>
        <v>787875</v>
      </c>
      <c r="B2543" t="str">
        <f>IFERROR(__xludf.DUMMYFUNCTION("""COMPUTED_VALUE"""),"Artichoke Cooked From Fresh Made With Oil")</f>
        <v>Artichoke Cooked From Fresh Made With Oil</v>
      </c>
      <c r="C2543" t="str">
        <f>IFERROR(__xludf.DUMMYFUNCTION("""COMPUTED_VALUE"""),"Vegetables")</f>
        <v>Vegetables</v>
      </c>
      <c r="D2543">
        <f>IFERROR(__xludf.DUMMYFUNCTION("""COMPUTED_VALUE"""),74.0)</f>
        <v>74</v>
      </c>
      <c r="E2543">
        <f>IFERROR(__xludf.DUMMYFUNCTION("""COMPUTED_VALUE"""),2.95)</f>
        <v>2.95</v>
      </c>
      <c r="F2543">
        <f>IFERROR(__xludf.DUMMYFUNCTION("""COMPUTED_VALUE"""),2.8)</f>
        <v>2.8</v>
      </c>
      <c r="G2543">
        <f>IFERROR(__xludf.DUMMYFUNCTION("""COMPUTED_VALUE"""),11.57)</f>
        <v>11.57</v>
      </c>
    </row>
    <row r="2544">
      <c r="A2544">
        <f>IFERROR(__xludf.DUMMYFUNCTION("""COMPUTED_VALUE"""),787876.0)</f>
        <v>787876</v>
      </c>
      <c r="B2544" t="str">
        <f>IFERROR(__xludf.DUMMYFUNCTION("""COMPUTED_VALUE"""),"Artichoke Cooked From Fresh Made With Butter")</f>
        <v>Artichoke Cooked From Fresh Made With Butter</v>
      </c>
      <c r="C2544" t="str">
        <f>IFERROR(__xludf.DUMMYFUNCTION("""COMPUTED_VALUE"""),"Vegetables")</f>
        <v>Vegetables</v>
      </c>
      <c r="D2544">
        <f>IFERROR(__xludf.DUMMYFUNCTION("""COMPUTED_VALUE"""),71.0)</f>
        <v>71</v>
      </c>
      <c r="E2544">
        <f>IFERROR(__xludf.DUMMYFUNCTION("""COMPUTED_VALUE"""),2.54)</f>
        <v>2.54</v>
      </c>
      <c r="F2544">
        <f>IFERROR(__xludf.DUMMYFUNCTION("""COMPUTED_VALUE"""),2.82)</f>
        <v>2.82</v>
      </c>
      <c r="G2544">
        <f>IFERROR(__xludf.DUMMYFUNCTION("""COMPUTED_VALUE"""),11.56)</f>
        <v>11.56</v>
      </c>
    </row>
    <row r="2545">
      <c r="A2545">
        <f>IFERROR(__xludf.DUMMYFUNCTION("""COMPUTED_VALUE"""),787877.0)</f>
        <v>787877</v>
      </c>
      <c r="B2545" t="str">
        <f>IFERROR(__xludf.DUMMYFUNCTION("""COMPUTED_VALUE"""),"Artichoke Cooked From Fresh Made With Margarine")</f>
        <v>Artichoke Cooked From Fresh Made With Margarine</v>
      </c>
      <c r="C2545" t="str">
        <f>IFERROR(__xludf.DUMMYFUNCTION("""COMPUTED_VALUE"""),"Vegetables")</f>
        <v>Vegetables</v>
      </c>
      <c r="D2545">
        <f>IFERROR(__xludf.DUMMYFUNCTION("""COMPUTED_VALUE"""),66.0)</f>
        <v>66</v>
      </c>
      <c r="E2545">
        <f>IFERROR(__xludf.DUMMYFUNCTION("""COMPUTED_VALUE"""),1.97)</f>
        <v>1.97</v>
      </c>
      <c r="F2545">
        <f>IFERROR(__xludf.DUMMYFUNCTION("""COMPUTED_VALUE"""),2.8)</f>
        <v>2.8</v>
      </c>
      <c r="G2545">
        <f>IFERROR(__xludf.DUMMYFUNCTION("""COMPUTED_VALUE"""),11.58)</f>
        <v>11.58</v>
      </c>
    </row>
    <row r="2546">
      <c r="A2546">
        <f>IFERROR(__xludf.DUMMYFUNCTION("""COMPUTED_VALUE"""),787878.0)</f>
        <v>787878</v>
      </c>
      <c r="B2546" t="str">
        <f>IFERROR(__xludf.DUMMYFUNCTION("""COMPUTED_VALUE"""),"Artichoke Cooked From Canned Made With Oil")</f>
        <v>Artichoke Cooked From Canned Made With Oil</v>
      </c>
      <c r="C2546" t="str">
        <f>IFERROR(__xludf.DUMMYFUNCTION("""COMPUTED_VALUE"""),"Vegetables")</f>
        <v>Vegetables</v>
      </c>
      <c r="D2546">
        <f>IFERROR(__xludf.DUMMYFUNCTION("""COMPUTED_VALUE"""),67.0)</f>
        <v>67</v>
      </c>
      <c r="E2546">
        <f>IFERROR(__xludf.DUMMYFUNCTION("""COMPUTED_VALUE"""),3.1)</f>
        <v>3.1</v>
      </c>
      <c r="F2546">
        <f>IFERROR(__xludf.DUMMYFUNCTION("""COMPUTED_VALUE"""),3.01)</f>
        <v>3.01</v>
      </c>
      <c r="G2546">
        <f>IFERROR(__xludf.DUMMYFUNCTION("""COMPUTED_VALUE"""),8.89)</f>
        <v>8.89</v>
      </c>
    </row>
    <row r="2547">
      <c r="A2547">
        <f>IFERROR(__xludf.DUMMYFUNCTION("""COMPUTED_VALUE"""),787879.0)</f>
        <v>787879</v>
      </c>
      <c r="B2547" t="str">
        <f>IFERROR(__xludf.DUMMYFUNCTION("""COMPUTED_VALUE"""),"Artichoke Cooked From Canned Made With Butter")</f>
        <v>Artichoke Cooked From Canned Made With Butter</v>
      </c>
      <c r="C2547" t="str">
        <f>IFERROR(__xludf.DUMMYFUNCTION("""COMPUTED_VALUE"""),"Vegetables")</f>
        <v>Vegetables</v>
      </c>
      <c r="D2547">
        <f>IFERROR(__xludf.DUMMYFUNCTION("""COMPUTED_VALUE"""),63.0)</f>
        <v>63</v>
      </c>
      <c r="E2547">
        <f>IFERROR(__xludf.DUMMYFUNCTION("""COMPUTED_VALUE"""),2.69)</f>
        <v>2.69</v>
      </c>
      <c r="F2547">
        <f>IFERROR(__xludf.DUMMYFUNCTION("""COMPUTED_VALUE"""),3.03)</f>
        <v>3.03</v>
      </c>
      <c r="G2547">
        <f>IFERROR(__xludf.DUMMYFUNCTION("""COMPUTED_VALUE"""),8.88)</f>
        <v>8.88</v>
      </c>
    </row>
    <row r="2548">
      <c r="A2548">
        <f>IFERROR(__xludf.DUMMYFUNCTION("""COMPUTED_VALUE"""),787880.0)</f>
        <v>787880</v>
      </c>
      <c r="B2548" t="str">
        <f>IFERROR(__xludf.DUMMYFUNCTION("""COMPUTED_VALUE"""),"Artichoke Cooked From Canned Made With Margarine")</f>
        <v>Artichoke Cooked From Canned Made With Margarine</v>
      </c>
      <c r="C2548" t="str">
        <f>IFERROR(__xludf.DUMMYFUNCTION("""COMPUTED_VALUE"""),"Vegetables")</f>
        <v>Vegetables</v>
      </c>
      <c r="D2548">
        <f>IFERROR(__xludf.DUMMYFUNCTION("""COMPUTED_VALUE"""),58.0)</f>
        <v>58</v>
      </c>
      <c r="E2548">
        <f>IFERROR(__xludf.DUMMYFUNCTION("""COMPUTED_VALUE"""),2.13)</f>
        <v>2.13</v>
      </c>
      <c r="F2548">
        <f>IFERROR(__xludf.DUMMYFUNCTION("""COMPUTED_VALUE"""),3.01)</f>
        <v>3.01</v>
      </c>
      <c r="G2548">
        <f>IFERROR(__xludf.DUMMYFUNCTION("""COMPUTED_VALUE"""),8.9)</f>
        <v>8.9</v>
      </c>
    </row>
    <row r="2549">
      <c r="A2549">
        <f>IFERROR(__xludf.DUMMYFUNCTION("""COMPUTED_VALUE"""),787881.0)</f>
        <v>787881</v>
      </c>
      <c r="B2549" t="str">
        <f>IFERROR(__xludf.DUMMYFUNCTION("""COMPUTED_VALUE"""),"Artichoke Cooked From Frozen Made With Oil")</f>
        <v>Artichoke Cooked From Frozen Made With Oil</v>
      </c>
      <c r="C2549" t="str">
        <f>IFERROR(__xludf.DUMMYFUNCTION("""COMPUTED_VALUE"""),"Vegetables")</f>
        <v>Vegetables</v>
      </c>
      <c r="D2549">
        <f>IFERROR(__xludf.DUMMYFUNCTION("""COMPUTED_VALUE"""),67.0)</f>
        <v>67</v>
      </c>
      <c r="E2549">
        <f>IFERROR(__xludf.DUMMYFUNCTION("""COMPUTED_VALUE"""),3.1)</f>
        <v>3.1</v>
      </c>
      <c r="F2549">
        <f>IFERROR(__xludf.DUMMYFUNCTION("""COMPUTED_VALUE"""),3.01)</f>
        <v>3.01</v>
      </c>
      <c r="G2549">
        <f>IFERROR(__xludf.DUMMYFUNCTION("""COMPUTED_VALUE"""),8.89)</f>
        <v>8.89</v>
      </c>
    </row>
    <row r="2550">
      <c r="A2550">
        <f>IFERROR(__xludf.DUMMYFUNCTION("""COMPUTED_VALUE"""),787882.0)</f>
        <v>787882</v>
      </c>
      <c r="B2550" t="str">
        <f>IFERROR(__xludf.DUMMYFUNCTION("""COMPUTED_VALUE"""),"Artichoke Cooked From Frozen Made With Butter")</f>
        <v>Artichoke Cooked From Frozen Made With Butter</v>
      </c>
      <c r="C2550" t="str">
        <f>IFERROR(__xludf.DUMMYFUNCTION("""COMPUTED_VALUE"""),"Vegetables")</f>
        <v>Vegetables</v>
      </c>
      <c r="D2550">
        <f>IFERROR(__xludf.DUMMYFUNCTION("""COMPUTED_VALUE"""),63.0)</f>
        <v>63</v>
      </c>
      <c r="E2550">
        <f>IFERROR(__xludf.DUMMYFUNCTION("""COMPUTED_VALUE"""),2.69)</f>
        <v>2.69</v>
      </c>
      <c r="F2550">
        <f>IFERROR(__xludf.DUMMYFUNCTION("""COMPUTED_VALUE"""),3.03)</f>
        <v>3.03</v>
      </c>
      <c r="G2550">
        <f>IFERROR(__xludf.DUMMYFUNCTION("""COMPUTED_VALUE"""),8.88)</f>
        <v>8.88</v>
      </c>
    </row>
    <row r="2551">
      <c r="A2551">
        <f>IFERROR(__xludf.DUMMYFUNCTION("""COMPUTED_VALUE"""),787883.0)</f>
        <v>787883</v>
      </c>
      <c r="B2551" t="str">
        <f>IFERROR(__xludf.DUMMYFUNCTION("""COMPUTED_VALUE"""),"Artichoke Cooked From Frozen Made With Margarine")</f>
        <v>Artichoke Cooked From Frozen Made With Margarine</v>
      </c>
      <c r="C2551" t="str">
        <f>IFERROR(__xludf.DUMMYFUNCTION("""COMPUTED_VALUE"""),"Vegetables")</f>
        <v>Vegetables</v>
      </c>
      <c r="D2551">
        <f>IFERROR(__xludf.DUMMYFUNCTION("""COMPUTED_VALUE"""),58.0)</f>
        <v>58</v>
      </c>
      <c r="E2551">
        <f>IFERROR(__xludf.DUMMYFUNCTION("""COMPUTED_VALUE"""),2.13)</f>
        <v>2.13</v>
      </c>
      <c r="F2551">
        <f>IFERROR(__xludf.DUMMYFUNCTION("""COMPUTED_VALUE"""),3.01)</f>
        <v>3.01</v>
      </c>
      <c r="G2551">
        <f>IFERROR(__xludf.DUMMYFUNCTION("""COMPUTED_VALUE"""),8.9)</f>
        <v>8.9</v>
      </c>
    </row>
    <row r="2552">
      <c r="A2552">
        <f>IFERROR(__xludf.DUMMYFUNCTION("""COMPUTED_VALUE"""),787884.0)</f>
        <v>787884</v>
      </c>
      <c r="B2552" t="str">
        <f>IFERROR(__xludf.DUMMYFUNCTION("""COMPUTED_VALUE"""),"Asparagus Cooked Ns As To Form Ns As To Fat Added In Cooking")</f>
        <v>Asparagus Cooked Ns As To Form Ns As To Fat Added In Cooking</v>
      </c>
      <c r="C2552" t="str">
        <f>IFERROR(__xludf.DUMMYFUNCTION("""COMPUTED_VALUE"""),"Vegetables")</f>
        <v>Vegetables</v>
      </c>
      <c r="D2552">
        <f>IFERROR(__xludf.DUMMYFUNCTION("""COMPUTED_VALUE"""),34.0)</f>
        <v>34</v>
      </c>
      <c r="E2552">
        <f>IFERROR(__xludf.DUMMYFUNCTION("""COMPUTED_VALUE"""),2.26)</f>
        <v>2.26</v>
      </c>
      <c r="F2552">
        <f>IFERROR(__xludf.DUMMYFUNCTION("""COMPUTED_VALUE"""),2.87)</f>
        <v>2.87</v>
      </c>
      <c r="G2552">
        <f>IFERROR(__xludf.DUMMYFUNCTION("""COMPUTED_VALUE"""),1.87)</f>
        <v>1.87</v>
      </c>
    </row>
    <row r="2553">
      <c r="A2553">
        <f>IFERROR(__xludf.DUMMYFUNCTION("""COMPUTED_VALUE"""),787885.0)</f>
        <v>787885</v>
      </c>
      <c r="B2553" t="str">
        <f>IFERROR(__xludf.DUMMYFUNCTION("""COMPUTED_VALUE"""),"Asparagus Cooked From Fresh Ns As To Fat Added In Cooking")</f>
        <v>Asparagus Cooked From Fresh Ns As To Fat Added In Cooking</v>
      </c>
      <c r="C2553" t="str">
        <f>IFERROR(__xludf.DUMMYFUNCTION("""COMPUTED_VALUE"""),"Vegetables")</f>
        <v>Vegetables</v>
      </c>
      <c r="D2553">
        <f>IFERROR(__xludf.DUMMYFUNCTION("""COMPUTED_VALUE"""),38.0)</f>
        <v>38</v>
      </c>
      <c r="E2553">
        <f>IFERROR(__xludf.DUMMYFUNCTION("""COMPUTED_VALUE"""),2.06)</f>
        <v>2.06</v>
      </c>
      <c r="F2553">
        <f>IFERROR(__xludf.DUMMYFUNCTION("""COMPUTED_VALUE"""),2.34)</f>
        <v>2.34</v>
      </c>
      <c r="G2553">
        <f>IFERROR(__xludf.DUMMYFUNCTION("""COMPUTED_VALUE"""),3.99)</f>
        <v>3.99</v>
      </c>
    </row>
    <row r="2554">
      <c r="A2554">
        <f>IFERROR(__xludf.DUMMYFUNCTION("""COMPUTED_VALUE"""),787886.0)</f>
        <v>787886</v>
      </c>
      <c r="B2554" t="str">
        <f>IFERROR(__xludf.DUMMYFUNCTION("""COMPUTED_VALUE"""),"Asparagus Cooked From Frozen Ns As To Fat Added In Cooking")</f>
        <v>Asparagus Cooked From Frozen Ns As To Fat Added In Cooking</v>
      </c>
      <c r="C2554" t="str">
        <f>IFERROR(__xludf.DUMMYFUNCTION("""COMPUTED_VALUE"""),"Vegetables")</f>
        <v>Vegetables</v>
      </c>
      <c r="D2554">
        <f>IFERROR(__xludf.DUMMYFUNCTION("""COMPUTED_VALUE"""),41.0)</f>
        <v>41</v>
      </c>
      <c r="E2554">
        <f>IFERROR(__xludf.DUMMYFUNCTION("""COMPUTED_VALUE"""),3.13)</f>
        <v>3.13</v>
      </c>
      <c r="F2554">
        <f>IFERROR(__xludf.DUMMYFUNCTION("""COMPUTED_VALUE"""),2.84)</f>
        <v>2.84</v>
      </c>
      <c r="G2554">
        <f>IFERROR(__xludf.DUMMYFUNCTION("""COMPUTED_VALUE"""),1.85)</f>
        <v>1.85</v>
      </c>
    </row>
    <row r="2555">
      <c r="A2555">
        <f>IFERROR(__xludf.DUMMYFUNCTION("""COMPUTED_VALUE"""),787887.0)</f>
        <v>787887</v>
      </c>
      <c r="B2555" t="str">
        <f>IFERROR(__xludf.DUMMYFUNCTION("""COMPUTED_VALUE"""),"Asparagus Cooked From Canned Ns As To Fat Added In Cooking")</f>
        <v>Asparagus Cooked From Canned Ns As To Fat Added In Cooking</v>
      </c>
      <c r="C2555" t="str">
        <f>IFERROR(__xludf.DUMMYFUNCTION("""COMPUTED_VALUE"""),"Vegetables")</f>
        <v>Vegetables</v>
      </c>
      <c r="D2555">
        <f>IFERROR(__xludf.DUMMYFUNCTION("""COMPUTED_VALUE"""),31.0)</f>
        <v>31</v>
      </c>
      <c r="E2555">
        <f>IFERROR(__xludf.DUMMYFUNCTION("""COMPUTED_VALUE"""),2.02)</f>
        <v>2.02</v>
      </c>
      <c r="F2555">
        <f>IFERROR(__xludf.DUMMYFUNCTION("""COMPUTED_VALUE"""),2.1)</f>
        <v>2.1</v>
      </c>
      <c r="G2555">
        <f>IFERROR(__xludf.DUMMYFUNCTION("""COMPUTED_VALUE"""),2.41)</f>
        <v>2.41</v>
      </c>
    </row>
    <row r="2556">
      <c r="A2556">
        <f>IFERROR(__xludf.DUMMYFUNCTION("""COMPUTED_VALUE"""),787888.0)</f>
        <v>787888</v>
      </c>
      <c r="B2556" t="str">
        <f>IFERROR(__xludf.DUMMYFUNCTION("""COMPUTED_VALUE"""),"Asparagus Cooked Ns As To Form Fat Not Added In Cooking")</f>
        <v>Asparagus Cooked Ns As To Form Fat Not Added In Cooking</v>
      </c>
      <c r="C2556" t="str">
        <f>IFERROR(__xludf.DUMMYFUNCTION("""COMPUTED_VALUE"""),"Vegetables")</f>
        <v>Vegetables</v>
      </c>
      <c r="D2556">
        <f>IFERROR(__xludf.DUMMYFUNCTION("""COMPUTED_VALUE"""),18.0)</f>
        <v>18</v>
      </c>
      <c r="E2556">
        <f>IFERROR(__xludf.DUMMYFUNCTION("""COMPUTED_VALUE"""),0.42)</f>
        <v>0.42</v>
      </c>
      <c r="F2556">
        <f>IFERROR(__xludf.DUMMYFUNCTION("""COMPUTED_VALUE"""),2.93)</f>
        <v>2.93</v>
      </c>
      <c r="G2556">
        <f>IFERROR(__xludf.DUMMYFUNCTION("""COMPUTED_VALUE"""),1.91)</f>
        <v>1.91</v>
      </c>
    </row>
    <row r="2557">
      <c r="A2557">
        <f>IFERROR(__xludf.DUMMYFUNCTION("""COMPUTED_VALUE"""),787889.0)</f>
        <v>787889</v>
      </c>
      <c r="B2557" t="str">
        <f>IFERROR(__xludf.DUMMYFUNCTION("""COMPUTED_VALUE"""),"Asparagus Cooked From Fresh Fat Not Added In Cooking")</f>
        <v>Asparagus Cooked From Fresh Fat Not Added In Cooking</v>
      </c>
      <c r="C2557" t="str">
        <f>IFERROR(__xludf.DUMMYFUNCTION("""COMPUTED_VALUE"""),"Vegetables")</f>
        <v>Vegetables</v>
      </c>
      <c r="D2557">
        <f>IFERROR(__xludf.DUMMYFUNCTION("""COMPUTED_VALUE"""),22.0)</f>
        <v>22</v>
      </c>
      <c r="E2557">
        <f>IFERROR(__xludf.DUMMYFUNCTION("""COMPUTED_VALUE"""),0.22)</f>
        <v>0.22</v>
      </c>
      <c r="F2557">
        <f>IFERROR(__xludf.DUMMYFUNCTION("""COMPUTED_VALUE"""),2.39)</f>
        <v>2.39</v>
      </c>
      <c r="G2557">
        <f>IFERROR(__xludf.DUMMYFUNCTION("""COMPUTED_VALUE"""),4.09)</f>
        <v>4.09</v>
      </c>
    </row>
    <row r="2558">
      <c r="A2558">
        <f>IFERROR(__xludf.DUMMYFUNCTION("""COMPUTED_VALUE"""),787890.0)</f>
        <v>787890</v>
      </c>
      <c r="B2558" t="str">
        <f>IFERROR(__xludf.DUMMYFUNCTION("""COMPUTED_VALUE"""),"Asparagus Cooked From Frozen Fat Not Added In Cooking")</f>
        <v>Asparagus Cooked From Frozen Fat Not Added In Cooking</v>
      </c>
      <c r="C2558" t="str">
        <f>IFERROR(__xludf.DUMMYFUNCTION("""COMPUTED_VALUE"""),"Vegetables")</f>
        <v>Vegetables</v>
      </c>
      <c r="D2558">
        <f>IFERROR(__xludf.DUMMYFUNCTION("""COMPUTED_VALUE"""),18.0)</f>
        <v>18</v>
      </c>
      <c r="E2558">
        <f>IFERROR(__xludf.DUMMYFUNCTION("""COMPUTED_VALUE"""),0.42)</f>
        <v>0.42</v>
      </c>
      <c r="F2558">
        <f>IFERROR(__xludf.DUMMYFUNCTION("""COMPUTED_VALUE"""),2.93)</f>
        <v>2.93</v>
      </c>
      <c r="G2558">
        <f>IFERROR(__xludf.DUMMYFUNCTION("""COMPUTED_VALUE"""),1.91)</f>
        <v>1.91</v>
      </c>
    </row>
    <row r="2559">
      <c r="A2559">
        <f>IFERROR(__xludf.DUMMYFUNCTION("""COMPUTED_VALUE"""),787891.0)</f>
        <v>787891</v>
      </c>
      <c r="B2559" t="str">
        <f>IFERROR(__xludf.DUMMYFUNCTION("""COMPUTED_VALUE"""),"Asparagus Cooked From Canned Fat Not Added In Cooking")</f>
        <v>Asparagus Cooked From Canned Fat Not Added In Cooking</v>
      </c>
      <c r="C2559" t="str">
        <f>IFERROR(__xludf.DUMMYFUNCTION("""COMPUTED_VALUE"""),"Vegetables")</f>
        <v>Vegetables</v>
      </c>
      <c r="D2559">
        <f>IFERROR(__xludf.DUMMYFUNCTION("""COMPUTED_VALUE"""),19.0)</f>
        <v>19</v>
      </c>
      <c r="E2559">
        <f>IFERROR(__xludf.DUMMYFUNCTION("""COMPUTED_VALUE"""),0.65)</f>
        <v>0.65</v>
      </c>
      <c r="F2559">
        <f>IFERROR(__xludf.DUMMYFUNCTION("""COMPUTED_VALUE"""),2.13)</f>
        <v>2.13</v>
      </c>
      <c r="G2559">
        <f>IFERROR(__xludf.DUMMYFUNCTION("""COMPUTED_VALUE"""),2.45)</f>
        <v>2.45</v>
      </c>
    </row>
    <row r="2560">
      <c r="A2560">
        <f>IFERROR(__xludf.DUMMYFUNCTION("""COMPUTED_VALUE"""),787892.0)</f>
        <v>787892</v>
      </c>
      <c r="B2560" t="str">
        <f>IFERROR(__xludf.DUMMYFUNCTION("""COMPUTED_VALUE"""),"Asparagus Cooked Ns As To Form Fat Added In Cooking Ns As To Type Of Fat")</f>
        <v>Asparagus Cooked Ns As To Form Fat Added In Cooking Ns As To Type Of Fat</v>
      </c>
      <c r="C2560" t="str">
        <f>IFERROR(__xludf.DUMMYFUNCTION("""COMPUTED_VALUE"""),"Vegetables")</f>
        <v>Vegetables</v>
      </c>
      <c r="D2560">
        <f>IFERROR(__xludf.DUMMYFUNCTION("""COMPUTED_VALUE"""),34.0)</f>
        <v>34</v>
      </c>
      <c r="E2560">
        <f>IFERROR(__xludf.DUMMYFUNCTION("""COMPUTED_VALUE"""),2.26)</f>
        <v>2.26</v>
      </c>
      <c r="F2560">
        <f>IFERROR(__xludf.DUMMYFUNCTION("""COMPUTED_VALUE"""),2.87)</f>
        <v>2.87</v>
      </c>
      <c r="G2560">
        <f>IFERROR(__xludf.DUMMYFUNCTION("""COMPUTED_VALUE"""),1.87)</f>
        <v>1.87</v>
      </c>
    </row>
    <row r="2561">
      <c r="A2561">
        <f>IFERROR(__xludf.DUMMYFUNCTION("""COMPUTED_VALUE"""),787893.0)</f>
        <v>787893</v>
      </c>
      <c r="B2561" t="str">
        <f>IFERROR(__xludf.DUMMYFUNCTION("""COMPUTED_VALUE"""),"Asparagus Cooked From Fresh Fat Added In Cooking Ns As To Type Of Fat")</f>
        <v>Asparagus Cooked From Fresh Fat Added In Cooking Ns As To Type Of Fat</v>
      </c>
      <c r="C2561" t="str">
        <f>IFERROR(__xludf.DUMMYFUNCTION("""COMPUTED_VALUE"""),"Vegetables")</f>
        <v>Vegetables</v>
      </c>
      <c r="D2561">
        <f>IFERROR(__xludf.DUMMYFUNCTION("""COMPUTED_VALUE"""),38.0)</f>
        <v>38</v>
      </c>
      <c r="E2561">
        <f>IFERROR(__xludf.DUMMYFUNCTION("""COMPUTED_VALUE"""),2.06)</f>
        <v>2.06</v>
      </c>
      <c r="F2561">
        <f>IFERROR(__xludf.DUMMYFUNCTION("""COMPUTED_VALUE"""),2.34)</f>
        <v>2.34</v>
      </c>
      <c r="G2561">
        <f>IFERROR(__xludf.DUMMYFUNCTION("""COMPUTED_VALUE"""),3.99)</f>
        <v>3.99</v>
      </c>
    </row>
    <row r="2562">
      <c r="A2562">
        <f>IFERROR(__xludf.DUMMYFUNCTION("""COMPUTED_VALUE"""),787894.0)</f>
        <v>787894</v>
      </c>
      <c r="B2562" t="str">
        <f>IFERROR(__xludf.DUMMYFUNCTION("""COMPUTED_VALUE"""),"Asparagus Cooked From Frozen Fat Added In Cooking Ns As To Type Of Fat")</f>
        <v>Asparagus Cooked From Frozen Fat Added In Cooking Ns As To Type Of Fat</v>
      </c>
      <c r="C2562" t="str">
        <f>IFERROR(__xludf.DUMMYFUNCTION("""COMPUTED_VALUE"""),"Vegetables")</f>
        <v>Vegetables</v>
      </c>
      <c r="D2562">
        <f>IFERROR(__xludf.DUMMYFUNCTION("""COMPUTED_VALUE"""),34.0)</f>
        <v>34</v>
      </c>
      <c r="E2562">
        <f>IFERROR(__xludf.DUMMYFUNCTION("""COMPUTED_VALUE"""),2.26)</f>
        <v>2.26</v>
      </c>
      <c r="F2562">
        <f>IFERROR(__xludf.DUMMYFUNCTION("""COMPUTED_VALUE"""),2.87)</f>
        <v>2.87</v>
      </c>
      <c r="G2562">
        <f>IFERROR(__xludf.DUMMYFUNCTION("""COMPUTED_VALUE"""),1.87)</f>
        <v>1.87</v>
      </c>
    </row>
    <row r="2563">
      <c r="A2563">
        <f>IFERROR(__xludf.DUMMYFUNCTION("""COMPUTED_VALUE"""),787895.0)</f>
        <v>787895</v>
      </c>
      <c r="B2563" t="str">
        <f>IFERROR(__xludf.DUMMYFUNCTION("""COMPUTED_VALUE"""),"Asparagus Cooked From Canned Fat Added In Cooking Ns As To Type Of Fat")</f>
        <v>Asparagus Cooked From Canned Fat Added In Cooking Ns As To Type Of Fat</v>
      </c>
      <c r="C2563" t="str">
        <f>IFERROR(__xludf.DUMMYFUNCTION("""COMPUTED_VALUE"""),"Vegetables")</f>
        <v>Vegetables</v>
      </c>
      <c r="D2563">
        <f>IFERROR(__xludf.DUMMYFUNCTION("""COMPUTED_VALUE"""),31.0)</f>
        <v>31</v>
      </c>
      <c r="E2563">
        <f>IFERROR(__xludf.DUMMYFUNCTION("""COMPUTED_VALUE"""),2.02)</f>
        <v>2.02</v>
      </c>
      <c r="F2563">
        <f>IFERROR(__xludf.DUMMYFUNCTION("""COMPUTED_VALUE"""),2.1)</f>
        <v>2.1</v>
      </c>
      <c r="G2563">
        <f>IFERROR(__xludf.DUMMYFUNCTION("""COMPUTED_VALUE"""),2.41)</f>
        <v>2.41</v>
      </c>
    </row>
    <row r="2564">
      <c r="A2564">
        <f>IFERROR(__xludf.DUMMYFUNCTION("""COMPUTED_VALUE"""),787896.0)</f>
        <v>787896</v>
      </c>
      <c r="B2564" t="str">
        <f>IFERROR(__xludf.DUMMYFUNCTION("""COMPUTED_VALUE"""),"Asparagus Cooked Ns As To Form Made With Oil")</f>
        <v>Asparagus Cooked Ns As To Form Made With Oil</v>
      </c>
      <c r="C2564" t="str">
        <f>IFERROR(__xludf.DUMMYFUNCTION("""COMPUTED_VALUE"""),"Vegetables")</f>
        <v>Vegetables</v>
      </c>
      <c r="D2564">
        <f>IFERROR(__xludf.DUMMYFUNCTION("""COMPUTED_VALUE"""),39.0)</f>
        <v>39</v>
      </c>
      <c r="E2564">
        <f>IFERROR(__xludf.DUMMYFUNCTION("""COMPUTED_VALUE"""),2.86)</f>
        <v>2.86</v>
      </c>
      <c r="F2564">
        <f>IFERROR(__xludf.DUMMYFUNCTION("""COMPUTED_VALUE"""),2.86)</f>
        <v>2.86</v>
      </c>
      <c r="G2564">
        <f>IFERROR(__xludf.DUMMYFUNCTION("""COMPUTED_VALUE"""),1.86)</f>
        <v>1.86</v>
      </c>
    </row>
    <row r="2565">
      <c r="A2565">
        <f>IFERROR(__xludf.DUMMYFUNCTION("""COMPUTED_VALUE"""),787897.0)</f>
        <v>787897</v>
      </c>
      <c r="B2565" t="str">
        <f>IFERROR(__xludf.DUMMYFUNCTION("""COMPUTED_VALUE"""),"Asparagus Cooked Ns As To Form Made With Butter")</f>
        <v>Asparagus Cooked Ns As To Form Made With Butter</v>
      </c>
      <c r="C2565" t="str">
        <f>IFERROR(__xludf.DUMMYFUNCTION("""COMPUTED_VALUE"""),"Vegetables")</f>
        <v>Vegetables</v>
      </c>
      <c r="D2565">
        <f>IFERROR(__xludf.DUMMYFUNCTION("""COMPUTED_VALUE"""),36.0)</f>
        <v>36</v>
      </c>
      <c r="E2565">
        <f>IFERROR(__xludf.DUMMYFUNCTION("""COMPUTED_VALUE"""),2.47)</f>
        <v>2.47</v>
      </c>
      <c r="F2565">
        <f>IFERROR(__xludf.DUMMYFUNCTION("""COMPUTED_VALUE"""),2.88)</f>
        <v>2.88</v>
      </c>
      <c r="G2565">
        <f>IFERROR(__xludf.DUMMYFUNCTION("""COMPUTED_VALUE"""),1.86)</f>
        <v>1.86</v>
      </c>
    </row>
    <row r="2566">
      <c r="A2566">
        <f>IFERROR(__xludf.DUMMYFUNCTION("""COMPUTED_VALUE"""),787898.0)</f>
        <v>787898</v>
      </c>
      <c r="B2566" t="str">
        <f>IFERROR(__xludf.DUMMYFUNCTION("""COMPUTED_VALUE"""),"Asparagus Cooked Ns As To Form Made With Margarine")</f>
        <v>Asparagus Cooked Ns As To Form Made With Margarine</v>
      </c>
      <c r="C2566" t="str">
        <f>IFERROR(__xludf.DUMMYFUNCTION("""COMPUTED_VALUE"""),"Vegetables")</f>
        <v>Vegetables</v>
      </c>
      <c r="D2566">
        <f>IFERROR(__xludf.DUMMYFUNCTION("""COMPUTED_VALUE"""),31.0)</f>
        <v>31</v>
      </c>
      <c r="E2566">
        <f>IFERROR(__xludf.DUMMYFUNCTION("""COMPUTED_VALUE"""),1.94)</f>
        <v>1.94</v>
      </c>
      <c r="F2566">
        <f>IFERROR(__xludf.DUMMYFUNCTION("""COMPUTED_VALUE"""),2.86)</f>
        <v>2.86</v>
      </c>
      <c r="G2566">
        <f>IFERROR(__xludf.DUMMYFUNCTION("""COMPUTED_VALUE"""),1.88)</f>
        <v>1.88</v>
      </c>
    </row>
    <row r="2567">
      <c r="A2567">
        <f>IFERROR(__xludf.DUMMYFUNCTION("""COMPUTED_VALUE"""),787899.0)</f>
        <v>787899</v>
      </c>
      <c r="B2567" t="str">
        <f>IFERROR(__xludf.DUMMYFUNCTION("""COMPUTED_VALUE"""),"Asparagus Cooked From Fresh Made With Oil")</f>
        <v>Asparagus Cooked From Fresh Made With Oil</v>
      </c>
      <c r="C2567" t="str">
        <f>IFERROR(__xludf.DUMMYFUNCTION("""COMPUTED_VALUE"""),"Vegetables")</f>
        <v>Vegetables</v>
      </c>
      <c r="D2567">
        <f>IFERROR(__xludf.DUMMYFUNCTION("""COMPUTED_VALUE"""),43.0)</f>
        <v>43</v>
      </c>
      <c r="E2567">
        <f>IFERROR(__xludf.DUMMYFUNCTION("""COMPUTED_VALUE"""),2.66)</f>
        <v>2.66</v>
      </c>
      <c r="F2567">
        <f>IFERROR(__xludf.DUMMYFUNCTION("""COMPUTED_VALUE"""),2.33)</f>
        <v>2.33</v>
      </c>
      <c r="G2567">
        <f>IFERROR(__xludf.DUMMYFUNCTION("""COMPUTED_VALUE"""),3.99)</f>
        <v>3.99</v>
      </c>
    </row>
    <row r="2568">
      <c r="A2568">
        <f>IFERROR(__xludf.DUMMYFUNCTION("""COMPUTED_VALUE"""),787900.0)</f>
        <v>787900</v>
      </c>
      <c r="B2568" t="str">
        <f>IFERROR(__xludf.DUMMYFUNCTION("""COMPUTED_VALUE"""),"Asparagus Cooked From Fresh Made With Butter")</f>
        <v>Asparagus Cooked From Fresh Made With Butter</v>
      </c>
      <c r="C2568" t="str">
        <f>IFERROR(__xludf.DUMMYFUNCTION("""COMPUTED_VALUE"""),"Vegetables")</f>
        <v>Vegetables</v>
      </c>
      <c r="D2568">
        <f>IFERROR(__xludf.DUMMYFUNCTION("""COMPUTED_VALUE"""),40.0)</f>
        <v>40</v>
      </c>
      <c r="E2568">
        <f>IFERROR(__xludf.DUMMYFUNCTION("""COMPUTED_VALUE"""),2.28)</f>
        <v>2.28</v>
      </c>
      <c r="F2568">
        <f>IFERROR(__xludf.DUMMYFUNCTION("""COMPUTED_VALUE"""),2.35)</f>
        <v>2.35</v>
      </c>
      <c r="G2568">
        <f>IFERROR(__xludf.DUMMYFUNCTION("""COMPUTED_VALUE"""),3.98)</f>
        <v>3.98</v>
      </c>
    </row>
    <row r="2569">
      <c r="A2569">
        <f>IFERROR(__xludf.DUMMYFUNCTION("""COMPUTED_VALUE"""),787901.0)</f>
        <v>787901</v>
      </c>
      <c r="B2569" t="str">
        <f>IFERROR(__xludf.DUMMYFUNCTION("""COMPUTED_VALUE"""),"Asparagus Cooked From Fresh Made With Margarine")</f>
        <v>Asparagus Cooked From Fresh Made With Margarine</v>
      </c>
      <c r="C2569" t="str">
        <f>IFERROR(__xludf.DUMMYFUNCTION("""COMPUTED_VALUE"""),"Vegetables")</f>
        <v>Vegetables</v>
      </c>
      <c r="D2569">
        <f>IFERROR(__xludf.DUMMYFUNCTION("""COMPUTED_VALUE"""),35.0)</f>
        <v>35</v>
      </c>
      <c r="E2569">
        <f>IFERROR(__xludf.DUMMYFUNCTION("""COMPUTED_VALUE"""),1.75)</f>
        <v>1.75</v>
      </c>
      <c r="F2569">
        <f>IFERROR(__xludf.DUMMYFUNCTION("""COMPUTED_VALUE"""),2.33)</f>
        <v>2.33</v>
      </c>
      <c r="G2569">
        <f>IFERROR(__xludf.DUMMYFUNCTION("""COMPUTED_VALUE"""),4.0)</f>
        <v>4</v>
      </c>
    </row>
    <row r="2570">
      <c r="A2570">
        <f>IFERROR(__xludf.DUMMYFUNCTION("""COMPUTED_VALUE"""),787902.0)</f>
        <v>787902</v>
      </c>
      <c r="B2570" t="str">
        <f>IFERROR(__xludf.DUMMYFUNCTION("""COMPUTED_VALUE"""),"Asparagus Cooked From Frozen Made With Oil")</f>
        <v>Asparagus Cooked From Frozen Made With Oil</v>
      </c>
      <c r="C2570" t="str">
        <f>IFERROR(__xludf.DUMMYFUNCTION("""COMPUTED_VALUE"""),"Vegetables")</f>
        <v>Vegetables</v>
      </c>
      <c r="D2570">
        <f>IFERROR(__xludf.DUMMYFUNCTION("""COMPUTED_VALUE"""),39.0)</f>
        <v>39</v>
      </c>
      <c r="E2570">
        <f>IFERROR(__xludf.DUMMYFUNCTION("""COMPUTED_VALUE"""),2.86)</f>
        <v>2.86</v>
      </c>
      <c r="F2570">
        <f>IFERROR(__xludf.DUMMYFUNCTION("""COMPUTED_VALUE"""),2.86)</f>
        <v>2.86</v>
      </c>
      <c r="G2570">
        <f>IFERROR(__xludf.DUMMYFUNCTION("""COMPUTED_VALUE"""),1.86)</f>
        <v>1.86</v>
      </c>
    </row>
    <row r="2571">
      <c r="A2571">
        <f>IFERROR(__xludf.DUMMYFUNCTION("""COMPUTED_VALUE"""),787903.0)</f>
        <v>787903</v>
      </c>
      <c r="B2571" t="str">
        <f>IFERROR(__xludf.DUMMYFUNCTION("""COMPUTED_VALUE"""),"Asparagus Cooked From Frozen Made With Butter")</f>
        <v>Asparagus Cooked From Frozen Made With Butter</v>
      </c>
      <c r="C2571" t="str">
        <f>IFERROR(__xludf.DUMMYFUNCTION("""COMPUTED_VALUE"""),"Vegetables")</f>
        <v>Vegetables</v>
      </c>
      <c r="D2571">
        <f>IFERROR(__xludf.DUMMYFUNCTION("""COMPUTED_VALUE"""),36.0)</f>
        <v>36</v>
      </c>
      <c r="E2571">
        <f>IFERROR(__xludf.DUMMYFUNCTION("""COMPUTED_VALUE"""),2.47)</f>
        <v>2.47</v>
      </c>
      <c r="F2571">
        <f>IFERROR(__xludf.DUMMYFUNCTION("""COMPUTED_VALUE"""),2.88)</f>
        <v>2.88</v>
      </c>
      <c r="G2571">
        <f>IFERROR(__xludf.DUMMYFUNCTION("""COMPUTED_VALUE"""),1.86)</f>
        <v>1.86</v>
      </c>
    </row>
    <row r="2572">
      <c r="A2572">
        <f>IFERROR(__xludf.DUMMYFUNCTION("""COMPUTED_VALUE"""),787904.0)</f>
        <v>787904</v>
      </c>
      <c r="B2572" t="str">
        <f>IFERROR(__xludf.DUMMYFUNCTION("""COMPUTED_VALUE"""),"Asparagus Cooked From Frozen Made With Margarine")</f>
        <v>Asparagus Cooked From Frozen Made With Margarine</v>
      </c>
      <c r="C2572" t="str">
        <f>IFERROR(__xludf.DUMMYFUNCTION("""COMPUTED_VALUE"""),"Vegetables")</f>
        <v>Vegetables</v>
      </c>
      <c r="D2572">
        <f>IFERROR(__xludf.DUMMYFUNCTION("""COMPUTED_VALUE"""),31.0)</f>
        <v>31</v>
      </c>
      <c r="E2572">
        <f>IFERROR(__xludf.DUMMYFUNCTION("""COMPUTED_VALUE"""),1.94)</f>
        <v>1.94</v>
      </c>
      <c r="F2572">
        <f>IFERROR(__xludf.DUMMYFUNCTION("""COMPUTED_VALUE"""),2.86)</f>
        <v>2.86</v>
      </c>
      <c r="G2572">
        <f>IFERROR(__xludf.DUMMYFUNCTION("""COMPUTED_VALUE"""),1.88)</f>
        <v>1.88</v>
      </c>
    </row>
    <row r="2573">
      <c r="A2573">
        <f>IFERROR(__xludf.DUMMYFUNCTION("""COMPUTED_VALUE"""),787905.0)</f>
        <v>787905</v>
      </c>
      <c r="B2573" t="str">
        <f>IFERROR(__xludf.DUMMYFUNCTION("""COMPUTED_VALUE"""),"Asparagus Cooked From Canned Made With Oil")</f>
        <v>Asparagus Cooked From Canned Made With Oil</v>
      </c>
      <c r="C2573" t="str">
        <f>IFERROR(__xludf.DUMMYFUNCTION("""COMPUTED_VALUE"""),"Vegetables")</f>
        <v>Vegetables</v>
      </c>
      <c r="D2573">
        <f>IFERROR(__xludf.DUMMYFUNCTION("""COMPUTED_VALUE"""),35.0)</f>
        <v>35</v>
      </c>
      <c r="E2573">
        <f>IFERROR(__xludf.DUMMYFUNCTION("""COMPUTED_VALUE"""),2.47)</f>
        <v>2.47</v>
      </c>
      <c r="F2573">
        <f>IFERROR(__xludf.DUMMYFUNCTION("""COMPUTED_VALUE"""),2.09)</f>
        <v>2.09</v>
      </c>
      <c r="G2573">
        <f>IFERROR(__xludf.DUMMYFUNCTION("""COMPUTED_VALUE"""),2.4)</f>
        <v>2.4</v>
      </c>
    </row>
    <row r="2574">
      <c r="A2574">
        <f>IFERROR(__xludf.DUMMYFUNCTION("""COMPUTED_VALUE"""),787906.0)</f>
        <v>787906</v>
      </c>
      <c r="B2574" t="str">
        <f>IFERROR(__xludf.DUMMYFUNCTION("""COMPUTED_VALUE"""),"Asparagus Cooked From Canned Made With Butter")</f>
        <v>Asparagus Cooked From Canned Made With Butter</v>
      </c>
      <c r="C2574" t="str">
        <f>IFERROR(__xludf.DUMMYFUNCTION("""COMPUTED_VALUE"""),"Vegetables")</f>
        <v>Vegetables</v>
      </c>
      <c r="D2574">
        <f>IFERROR(__xludf.DUMMYFUNCTION("""COMPUTED_VALUE"""),32.0)</f>
        <v>32</v>
      </c>
      <c r="E2574">
        <f>IFERROR(__xludf.DUMMYFUNCTION("""COMPUTED_VALUE"""),2.18)</f>
        <v>2.18</v>
      </c>
      <c r="F2574">
        <f>IFERROR(__xludf.DUMMYFUNCTION("""COMPUTED_VALUE"""),2.11)</f>
        <v>2.11</v>
      </c>
      <c r="G2574">
        <f>IFERROR(__xludf.DUMMYFUNCTION("""COMPUTED_VALUE"""),2.4)</f>
        <v>2.4</v>
      </c>
    </row>
    <row r="2575">
      <c r="A2575">
        <f>IFERROR(__xludf.DUMMYFUNCTION("""COMPUTED_VALUE"""),787907.0)</f>
        <v>787907</v>
      </c>
      <c r="B2575" t="str">
        <f>IFERROR(__xludf.DUMMYFUNCTION("""COMPUTED_VALUE"""),"Asparagus Cooked From Canned Made With Margarine")</f>
        <v>Asparagus Cooked From Canned Made With Margarine</v>
      </c>
      <c r="C2575" t="str">
        <f>IFERROR(__xludf.DUMMYFUNCTION("""COMPUTED_VALUE"""),"Vegetables")</f>
        <v>Vegetables</v>
      </c>
      <c r="D2575">
        <f>IFERROR(__xludf.DUMMYFUNCTION("""COMPUTED_VALUE"""),29.0)</f>
        <v>29</v>
      </c>
      <c r="E2575">
        <f>IFERROR(__xludf.DUMMYFUNCTION("""COMPUTED_VALUE"""),1.79)</f>
        <v>1.79</v>
      </c>
      <c r="F2575">
        <f>IFERROR(__xludf.DUMMYFUNCTION("""COMPUTED_VALUE"""),2.09)</f>
        <v>2.09</v>
      </c>
      <c r="G2575">
        <f>IFERROR(__xludf.DUMMYFUNCTION("""COMPUTED_VALUE"""),2.42)</f>
        <v>2.42</v>
      </c>
    </row>
    <row r="2576">
      <c r="A2576">
        <f>IFERROR(__xludf.DUMMYFUNCTION("""COMPUTED_VALUE"""),787908.0)</f>
        <v>787908</v>
      </c>
      <c r="B2576" t="str">
        <f>IFERROR(__xludf.DUMMYFUNCTION("""COMPUTED_VALUE"""),"Bamboo Shoots Cooked Fat Not Added In Cooking")</f>
        <v>Bamboo Shoots Cooked Fat Not Added In Cooking</v>
      </c>
      <c r="C2576" t="str">
        <f>IFERROR(__xludf.DUMMYFUNCTION("""COMPUTED_VALUE"""),"Vegetables")</f>
        <v>Vegetables</v>
      </c>
      <c r="D2576">
        <f>IFERROR(__xludf.DUMMYFUNCTION("""COMPUTED_VALUE"""),36.0)</f>
        <v>36</v>
      </c>
      <c r="E2576">
        <f>IFERROR(__xludf.DUMMYFUNCTION("""COMPUTED_VALUE"""),0.4)</f>
        <v>0.4</v>
      </c>
      <c r="F2576">
        <f>IFERROR(__xludf.DUMMYFUNCTION("""COMPUTED_VALUE"""),3.45)</f>
        <v>3.45</v>
      </c>
      <c r="G2576">
        <f>IFERROR(__xludf.DUMMYFUNCTION("""COMPUTED_VALUE"""),6.89)</f>
        <v>6.89</v>
      </c>
    </row>
    <row r="2577">
      <c r="A2577">
        <f>IFERROR(__xludf.DUMMYFUNCTION("""COMPUTED_VALUE"""),787909.0)</f>
        <v>787909</v>
      </c>
      <c r="B2577" t="str">
        <f>IFERROR(__xludf.DUMMYFUNCTION("""COMPUTED_VALUE"""),"Bamboo Shoots Cooked Fat Added In Cooking")</f>
        <v>Bamboo Shoots Cooked Fat Added In Cooking</v>
      </c>
      <c r="C2577" t="str">
        <f>IFERROR(__xludf.DUMMYFUNCTION("""COMPUTED_VALUE"""),"Vegetables")</f>
        <v>Vegetables</v>
      </c>
      <c r="D2577">
        <f>IFERROR(__xludf.DUMMYFUNCTION("""COMPUTED_VALUE"""),71.0)</f>
        <v>71</v>
      </c>
      <c r="E2577">
        <f>IFERROR(__xludf.DUMMYFUNCTION("""COMPUTED_VALUE"""),4.5)</f>
        <v>4.5</v>
      </c>
      <c r="F2577">
        <f>IFERROR(__xludf.DUMMYFUNCTION("""COMPUTED_VALUE"""),3.34)</f>
        <v>3.34</v>
      </c>
      <c r="G2577">
        <f>IFERROR(__xludf.DUMMYFUNCTION("""COMPUTED_VALUE"""),6.68)</f>
        <v>6.68</v>
      </c>
    </row>
    <row r="2578">
      <c r="A2578">
        <f>IFERROR(__xludf.DUMMYFUNCTION("""COMPUTED_VALUE"""),787910.0)</f>
        <v>787910</v>
      </c>
      <c r="B2578" t="str">
        <f>IFERROR(__xludf.DUMMYFUNCTION("""COMPUTED_VALUE"""),"Bamboo Shoots Cooked Ns As To Fat Added In Cooking")</f>
        <v>Bamboo Shoots Cooked Ns As To Fat Added In Cooking</v>
      </c>
      <c r="C2578" t="str">
        <f>IFERROR(__xludf.DUMMYFUNCTION("""COMPUTED_VALUE"""),"Vegetables")</f>
        <v>Vegetables</v>
      </c>
      <c r="D2578">
        <f>IFERROR(__xludf.DUMMYFUNCTION("""COMPUTED_VALUE"""),71.0)</f>
        <v>71</v>
      </c>
      <c r="E2578">
        <f>IFERROR(__xludf.DUMMYFUNCTION("""COMPUTED_VALUE"""),4.5)</f>
        <v>4.5</v>
      </c>
      <c r="F2578">
        <f>IFERROR(__xludf.DUMMYFUNCTION("""COMPUTED_VALUE"""),3.34)</f>
        <v>3.34</v>
      </c>
      <c r="G2578">
        <f>IFERROR(__xludf.DUMMYFUNCTION("""COMPUTED_VALUE"""),6.68)</f>
        <v>6.68</v>
      </c>
    </row>
    <row r="2579">
      <c r="A2579">
        <f>IFERROR(__xludf.DUMMYFUNCTION("""COMPUTED_VALUE"""),787911.0)</f>
        <v>787911</v>
      </c>
      <c r="B2579" t="str">
        <f>IFERROR(__xludf.DUMMYFUNCTION("""COMPUTED_VALUE"""),"Beans Lima Immature Cooked Ns As To Form Ns As To Fat Added In Cooking")</f>
        <v>Beans Lima Immature Cooked Ns As To Form Ns As To Fat Added In Cooking</v>
      </c>
      <c r="C2579" t="str">
        <f>IFERROR(__xludf.DUMMYFUNCTION("""COMPUTED_VALUE"""),"Vegetables")</f>
        <v>Vegetables</v>
      </c>
      <c r="D2579">
        <f>IFERROR(__xludf.DUMMYFUNCTION("""COMPUTED_VALUE"""),117.0)</f>
        <v>117</v>
      </c>
      <c r="E2579">
        <f>IFERROR(__xludf.DUMMYFUNCTION("""COMPUTED_VALUE"""),2.28)</f>
        <v>2.28</v>
      </c>
      <c r="F2579">
        <f>IFERROR(__xludf.DUMMYFUNCTION("""COMPUTED_VALUE"""),5.89)</f>
        <v>5.89</v>
      </c>
      <c r="G2579">
        <f>IFERROR(__xludf.DUMMYFUNCTION("""COMPUTED_VALUE"""),18.7)</f>
        <v>18.7</v>
      </c>
    </row>
    <row r="2580">
      <c r="A2580">
        <f>IFERROR(__xludf.DUMMYFUNCTION("""COMPUTED_VALUE"""),787912.0)</f>
        <v>787912</v>
      </c>
      <c r="B2580" t="str">
        <f>IFERROR(__xludf.DUMMYFUNCTION("""COMPUTED_VALUE"""),"Beans Lima Immature Cooked From Fresh Ns As To Fat Added In Cooking")</f>
        <v>Beans Lima Immature Cooked From Fresh Ns As To Fat Added In Cooking</v>
      </c>
      <c r="C2580" t="str">
        <f>IFERROR(__xludf.DUMMYFUNCTION("""COMPUTED_VALUE"""),"Vegetables")</f>
        <v>Vegetables</v>
      </c>
      <c r="D2580">
        <f>IFERROR(__xludf.DUMMYFUNCTION("""COMPUTED_VALUE"""),136.0)</f>
        <v>136</v>
      </c>
      <c r="E2580">
        <f>IFERROR(__xludf.DUMMYFUNCTION("""COMPUTED_VALUE"""),2.26)</f>
        <v>2.26</v>
      </c>
      <c r="F2580">
        <f>IFERROR(__xludf.DUMMYFUNCTION("""COMPUTED_VALUE"""),6.6)</f>
        <v>6.6</v>
      </c>
      <c r="G2580">
        <f>IFERROR(__xludf.DUMMYFUNCTION("""COMPUTED_VALUE"""),22.88)</f>
        <v>22.88</v>
      </c>
    </row>
    <row r="2581">
      <c r="A2581">
        <f>IFERROR(__xludf.DUMMYFUNCTION("""COMPUTED_VALUE"""),787913.0)</f>
        <v>787913</v>
      </c>
      <c r="B2581" t="str">
        <f>IFERROR(__xludf.DUMMYFUNCTION("""COMPUTED_VALUE"""),"Beans Lima Immature Cooked From Frozen Ns As To Fat Added In Cooking")</f>
        <v>Beans Lima Immature Cooked From Frozen Ns As To Fat Added In Cooking</v>
      </c>
      <c r="C2581" t="str">
        <f>IFERROR(__xludf.DUMMYFUNCTION("""COMPUTED_VALUE"""),"Vegetables")</f>
        <v>Vegetables</v>
      </c>
      <c r="D2581">
        <f>IFERROR(__xludf.DUMMYFUNCTION("""COMPUTED_VALUE"""),117.0)</f>
        <v>117</v>
      </c>
      <c r="E2581">
        <f>IFERROR(__xludf.DUMMYFUNCTION("""COMPUTED_VALUE"""),2.28)</f>
        <v>2.28</v>
      </c>
      <c r="F2581">
        <f>IFERROR(__xludf.DUMMYFUNCTION("""COMPUTED_VALUE"""),5.89)</f>
        <v>5.89</v>
      </c>
      <c r="G2581">
        <f>IFERROR(__xludf.DUMMYFUNCTION("""COMPUTED_VALUE"""),18.7)</f>
        <v>18.7</v>
      </c>
    </row>
    <row r="2582">
      <c r="A2582">
        <f>IFERROR(__xludf.DUMMYFUNCTION("""COMPUTED_VALUE"""),787914.0)</f>
        <v>787914</v>
      </c>
      <c r="B2582" t="str">
        <f>IFERROR(__xludf.DUMMYFUNCTION("""COMPUTED_VALUE"""),"Beans Lima Immature Cooked From Canned Ns As To Fat Added In Cooking")</f>
        <v>Beans Lima Immature Cooked From Canned Ns As To Fat Added In Cooking</v>
      </c>
      <c r="C2582" t="str">
        <f>IFERROR(__xludf.DUMMYFUNCTION("""COMPUTED_VALUE"""),"Vegetables")</f>
        <v>Vegetables</v>
      </c>
      <c r="D2582">
        <f>IFERROR(__xludf.DUMMYFUNCTION("""COMPUTED_VALUE"""),117.0)</f>
        <v>117</v>
      </c>
      <c r="E2582">
        <f>IFERROR(__xludf.DUMMYFUNCTION("""COMPUTED_VALUE"""),2.28)</f>
        <v>2.28</v>
      </c>
      <c r="F2582">
        <f>IFERROR(__xludf.DUMMYFUNCTION("""COMPUTED_VALUE"""),5.89)</f>
        <v>5.89</v>
      </c>
      <c r="G2582">
        <f>IFERROR(__xludf.DUMMYFUNCTION("""COMPUTED_VALUE"""),18.7)</f>
        <v>18.7</v>
      </c>
    </row>
    <row r="2583">
      <c r="A2583">
        <f>IFERROR(__xludf.DUMMYFUNCTION("""COMPUTED_VALUE"""),787915.0)</f>
        <v>787915</v>
      </c>
      <c r="B2583" t="str">
        <f>IFERROR(__xludf.DUMMYFUNCTION("""COMPUTED_VALUE"""),"Beans Lima Immature Cooked Ns As To Form Fat Not Added In Cooking")</f>
        <v>Beans Lima Immature Cooked Ns As To Form Fat Not Added In Cooking</v>
      </c>
      <c r="C2583" t="str">
        <f>IFERROR(__xludf.DUMMYFUNCTION("""COMPUTED_VALUE"""),"Vegetables")</f>
        <v>Vegetables</v>
      </c>
      <c r="D2583">
        <f>IFERROR(__xludf.DUMMYFUNCTION("""COMPUTED_VALUE"""),102.0)</f>
        <v>102</v>
      </c>
      <c r="E2583">
        <f>IFERROR(__xludf.DUMMYFUNCTION("""COMPUTED_VALUE"""),0.34)</f>
        <v>0.34</v>
      </c>
      <c r="F2583">
        <f>IFERROR(__xludf.DUMMYFUNCTION("""COMPUTED_VALUE"""),6.04)</f>
        <v>6.04</v>
      </c>
      <c r="G2583">
        <f>IFERROR(__xludf.DUMMYFUNCTION("""COMPUTED_VALUE"""),19.21)</f>
        <v>19.21</v>
      </c>
    </row>
    <row r="2584">
      <c r="A2584">
        <f>IFERROR(__xludf.DUMMYFUNCTION("""COMPUTED_VALUE"""),787916.0)</f>
        <v>787916</v>
      </c>
      <c r="B2584" t="str">
        <f>IFERROR(__xludf.DUMMYFUNCTION("""COMPUTED_VALUE"""),"Beans Lima Immature Cooked From Fresh Fat Not Added In Cooking")</f>
        <v>Beans Lima Immature Cooked From Fresh Fat Not Added In Cooking</v>
      </c>
      <c r="C2584" t="str">
        <f>IFERROR(__xludf.DUMMYFUNCTION("""COMPUTED_VALUE"""),"Vegetables")</f>
        <v>Vegetables</v>
      </c>
      <c r="D2584">
        <f>IFERROR(__xludf.DUMMYFUNCTION("""COMPUTED_VALUE"""),122.0)</f>
        <v>122</v>
      </c>
      <c r="E2584">
        <f>IFERROR(__xludf.DUMMYFUNCTION("""COMPUTED_VALUE"""),0.32)</f>
        <v>0.32</v>
      </c>
      <c r="F2584">
        <f>IFERROR(__xludf.DUMMYFUNCTION("""COMPUTED_VALUE"""),6.77)</f>
        <v>6.77</v>
      </c>
      <c r="G2584">
        <f>IFERROR(__xludf.DUMMYFUNCTION("""COMPUTED_VALUE"""),23.5)</f>
        <v>23.5</v>
      </c>
    </row>
    <row r="2585">
      <c r="A2585">
        <f>IFERROR(__xludf.DUMMYFUNCTION("""COMPUTED_VALUE"""),787917.0)</f>
        <v>787917</v>
      </c>
      <c r="B2585" t="str">
        <f>IFERROR(__xludf.DUMMYFUNCTION("""COMPUTED_VALUE"""),"Beans Lima Immature Cooked From Frozen Fat Not Added In Cooking")</f>
        <v>Beans Lima Immature Cooked From Frozen Fat Not Added In Cooking</v>
      </c>
      <c r="C2585" t="str">
        <f>IFERROR(__xludf.DUMMYFUNCTION("""COMPUTED_VALUE"""),"Vegetables")</f>
        <v>Vegetables</v>
      </c>
      <c r="D2585">
        <f>IFERROR(__xludf.DUMMYFUNCTION("""COMPUTED_VALUE"""),102.0)</f>
        <v>102</v>
      </c>
      <c r="E2585">
        <f>IFERROR(__xludf.DUMMYFUNCTION("""COMPUTED_VALUE"""),0.34)</f>
        <v>0.34</v>
      </c>
      <c r="F2585">
        <f>IFERROR(__xludf.DUMMYFUNCTION("""COMPUTED_VALUE"""),6.04)</f>
        <v>6.04</v>
      </c>
      <c r="G2585">
        <f>IFERROR(__xludf.DUMMYFUNCTION("""COMPUTED_VALUE"""),19.21)</f>
        <v>19.21</v>
      </c>
    </row>
    <row r="2586">
      <c r="A2586">
        <f>IFERROR(__xludf.DUMMYFUNCTION("""COMPUTED_VALUE"""),787918.0)</f>
        <v>787918</v>
      </c>
      <c r="B2586" t="str">
        <f>IFERROR(__xludf.DUMMYFUNCTION("""COMPUTED_VALUE"""),"Beans Lima Immature Cooked From Canned Fat Not Added In Cooking")</f>
        <v>Beans Lima Immature Cooked From Canned Fat Not Added In Cooking</v>
      </c>
      <c r="C2586" t="str">
        <f>IFERROR(__xludf.DUMMYFUNCTION("""COMPUTED_VALUE"""),"Vegetables")</f>
        <v>Vegetables</v>
      </c>
      <c r="D2586">
        <f>IFERROR(__xludf.DUMMYFUNCTION("""COMPUTED_VALUE"""),102.0)</f>
        <v>102</v>
      </c>
      <c r="E2586">
        <f>IFERROR(__xludf.DUMMYFUNCTION("""COMPUTED_VALUE"""),0.34)</f>
        <v>0.34</v>
      </c>
      <c r="F2586">
        <f>IFERROR(__xludf.DUMMYFUNCTION("""COMPUTED_VALUE"""),6.04)</f>
        <v>6.04</v>
      </c>
      <c r="G2586">
        <f>IFERROR(__xludf.DUMMYFUNCTION("""COMPUTED_VALUE"""),19.21)</f>
        <v>19.21</v>
      </c>
    </row>
    <row r="2587">
      <c r="A2587">
        <f>IFERROR(__xludf.DUMMYFUNCTION("""COMPUTED_VALUE"""),787919.0)</f>
        <v>787919</v>
      </c>
      <c r="B2587" t="str">
        <f>IFERROR(__xludf.DUMMYFUNCTION("""COMPUTED_VALUE"""),"Beans Lima Immature Cooked Ns As To Form Fat Added In Cooking Ns As To Type Of Fat")</f>
        <v>Beans Lima Immature Cooked Ns As To Form Fat Added In Cooking Ns As To Type Of Fat</v>
      </c>
      <c r="C2587" t="str">
        <f>IFERROR(__xludf.DUMMYFUNCTION("""COMPUTED_VALUE"""),"Vegetables")</f>
        <v>Vegetables</v>
      </c>
      <c r="D2587">
        <f>IFERROR(__xludf.DUMMYFUNCTION("""COMPUTED_VALUE"""),117.0)</f>
        <v>117</v>
      </c>
      <c r="E2587">
        <f>IFERROR(__xludf.DUMMYFUNCTION("""COMPUTED_VALUE"""),2.28)</f>
        <v>2.28</v>
      </c>
      <c r="F2587">
        <f>IFERROR(__xludf.DUMMYFUNCTION("""COMPUTED_VALUE"""),5.89)</f>
        <v>5.89</v>
      </c>
      <c r="G2587">
        <f>IFERROR(__xludf.DUMMYFUNCTION("""COMPUTED_VALUE"""),18.7)</f>
        <v>18.7</v>
      </c>
    </row>
    <row r="2588">
      <c r="A2588">
        <f>IFERROR(__xludf.DUMMYFUNCTION("""COMPUTED_VALUE"""),787920.0)</f>
        <v>787920</v>
      </c>
      <c r="B2588" t="str">
        <f>IFERROR(__xludf.DUMMYFUNCTION("""COMPUTED_VALUE"""),"Beans Lima Immature Cooked From Fresh Fat Added In Cooking Ns As To Type Of Fat")</f>
        <v>Beans Lima Immature Cooked From Fresh Fat Added In Cooking Ns As To Type Of Fat</v>
      </c>
      <c r="C2588" t="str">
        <f>IFERROR(__xludf.DUMMYFUNCTION("""COMPUTED_VALUE"""),"Vegetables")</f>
        <v>Vegetables</v>
      </c>
      <c r="D2588">
        <f>IFERROR(__xludf.DUMMYFUNCTION("""COMPUTED_VALUE"""),136.0)</f>
        <v>136</v>
      </c>
      <c r="E2588">
        <f>IFERROR(__xludf.DUMMYFUNCTION("""COMPUTED_VALUE"""),2.26)</f>
        <v>2.26</v>
      </c>
      <c r="F2588">
        <f>IFERROR(__xludf.DUMMYFUNCTION("""COMPUTED_VALUE"""),6.6)</f>
        <v>6.6</v>
      </c>
      <c r="G2588">
        <f>IFERROR(__xludf.DUMMYFUNCTION("""COMPUTED_VALUE"""),22.88)</f>
        <v>22.88</v>
      </c>
    </row>
    <row r="2589">
      <c r="A2589">
        <f>IFERROR(__xludf.DUMMYFUNCTION("""COMPUTED_VALUE"""),787921.0)</f>
        <v>787921</v>
      </c>
      <c r="B2589" t="str">
        <f>IFERROR(__xludf.DUMMYFUNCTION("""COMPUTED_VALUE"""),"Beans Lima Immature Cooked From Frozen Fat Added In Cooking Ns As To Type Of Fat")</f>
        <v>Beans Lima Immature Cooked From Frozen Fat Added In Cooking Ns As To Type Of Fat</v>
      </c>
      <c r="C2589" t="str">
        <f>IFERROR(__xludf.DUMMYFUNCTION("""COMPUTED_VALUE"""),"Vegetables")</f>
        <v>Vegetables</v>
      </c>
      <c r="D2589">
        <f>IFERROR(__xludf.DUMMYFUNCTION("""COMPUTED_VALUE"""),117.0)</f>
        <v>117</v>
      </c>
      <c r="E2589">
        <f>IFERROR(__xludf.DUMMYFUNCTION("""COMPUTED_VALUE"""),2.28)</f>
        <v>2.28</v>
      </c>
      <c r="F2589">
        <f>IFERROR(__xludf.DUMMYFUNCTION("""COMPUTED_VALUE"""),5.89)</f>
        <v>5.89</v>
      </c>
      <c r="G2589">
        <f>IFERROR(__xludf.DUMMYFUNCTION("""COMPUTED_VALUE"""),18.7)</f>
        <v>18.7</v>
      </c>
    </row>
    <row r="2590">
      <c r="A2590">
        <f>IFERROR(__xludf.DUMMYFUNCTION("""COMPUTED_VALUE"""),787922.0)</f>
        <v>787922</v>
      </c>
      <c r="B2590" t="str">
        <f>IFERROR(__xludf.DUMMYFUNCTION("""COMPUTED_VALUE"""),"Beans Lima Immature Cooked From Canned Fat Added In Cooking Ns As To Type Of Fat")</f>
        <v>Beans Lima Immature Cooked From Canned Fat Added In Cooking Ns As To Type Of Fat</v>
      </c>
      <c r="C2590" t="str">
        <f>IFERROR(__xludf.DUMMYFUNCTION("""COMPUTED_VALUE"""),"Vegetables")</f>
        <v>Vegetables</v>
      </c>
      <c r="D2590">
        <f>IFERROR(__xludf.DUMMYFUNCTION("""COMPUTED_VALUE"""),136.0)</f>
        <v>136</v>
      </c>
      <c r="E2590">
        <f>IFERROR(__xludf.DUMMYFUNCTION("""COMPUTED_VALUE"""),2.26)</f>
        <v>2.26</v>
      </c>
      <c r="F2590">
        <f>IFERROR(__xludf.DUMMYFUNCTION("""COMPUTED_VALUE"""),6.6)</f>
        <v>6.6</v>
      </c>
      <c r="G2590">
        <f>IFERROR(__xludf.DUMMYFUNCTION("""COMPUTED_VALUE"""),22.88)</f>
        <v>22.88</v>
      </c>
    </row>
    <row r="2591">
      <c r="A2591">
        <f>IFERROR(__xludf.DUMMYFUNCTION("""COMPUTED_VALUE"""),787923.0)</f>
        <v>787923</v>
      </c>
      <c r="B2591" t="str">
        <f>IFERROR(__xludf.DUMMYFUNCTION("""COMPUTED_VALUE"""),"Beans Lima Immature Cooked Ns As To Form Made With Oil")</f>
        <v>Beans Lima Immature Cooked Ns As To Form Made With Oil</v>
      </c>
      <c r="C2591" t="str">
        <f>IFERROR(__xludf.DUMMYFUNCTION("""COMPUTED_VALUE"""),"Vegetables")</f>
        <v>Vegetables</v>
      </c>
      <c r="D2591">
        <f>IFERROR(__xludf.DUMMYFUNCTION("""COMPUTED_VALUE"""),123.0)</f>
        <v>123</v>
      </c>
      <c r="E2591">
        <f>IFERROR(__xludf.DUMMYFUNCTION("""COMPUTED_VALUE"""),2.92)</f>
        <v>2.92</v>
      </c>
      <c r="F2591">
        <f>IFERROR(__xludf.DUMMYFUNCTION("""COMPUTED_VALUE"""),5.88)</f>
        <v>5.88</v>
      </c>
      <c r="G2591">
        <f>IFERROR(__xludf.DUMMYFUNCTION("""COMPUTED_VALUE"""),18.71)</f>
        <v>18.71</v>
      </c>
    </row>
    <row r="2592">
      <c r="A2592">
        <f>IFERROR(__xludf.DUMMYFUNCTION("""COMPUTED_VALUE"""),787924.0)</f>
        <v>787924</v>
      </c>
      <c r="B2592" t="str">
        <f>IFERROR(__xludf.DUMMYFUNCTION("""COMPUTED_VALUE"""),"Beans Lima Immature Cooked Ns As To Form Made With Butter")</f>
        <v>Beans Lima Immature Cooked Ns As To Form Made With Butter</v>
      </c>
      <c r="C2592" t="str">
        <f>IFERROR(__xludf.DUMMYFUNCTION("""COMPUTED_VALUE"""),"Vegetables")</f>
        <v>Vegetables</v>
      </c>
      <c r="D2592">
        <f>IFERROR(__xludf.DUMMYFUNCTION("""COMPUTED_VALUE"""),119.0)</f>
        <v>119</v>
      </c>
      <c r="E2592">
        <f>IFERROR(__xludf.DUMMYFUNCTION("""COMPUTED_VALUE"""),2.51)</f>
        <v>2.51</v>
      </c>
      <c r="F2592">
        <f>IFERROR(__xludf.DUMMYFUNCTION("""COMPUTED_VALUE"""),5.9)</f>
        <v>5.9</v>
      </c>
      <c r="G2592">
        <f>IFERROR(__xludf.DUMMYFUNCTION("""COMPUTED_VALUE"""),18.69)</f>
        <v>18.69</v>
      </c>
    </row>
    <row r="2593">
      <c r="A2593">
        <f>IFERROR(__xludf.DUMMYFUNCTION("""COMPUTED_VALUE"""),787925.0)</f>
        <v>787925</v>
      </c>
      <c r="B2593" t="str">
        <f>IFERROR(__xludf.DUMMYFUNCTION("""COMPUTED_VALUE"""),"Beans Lima Immature Cooked Ns As To Form Made With Margarine")</f>
        <v>Beans Lima Immature Cooked Ns As To Form Made With Margarine</v>
      </c>
      <c r="C2593" t="str">
        <f>IFERROR(__xludf.DUMMYFUNCTION("""COMPUTED_VALUE"""),"Vegetables")</f>
        <v>Vegetables</v>
      </c>
      <c r="D2593">
        <f>IFERROR(__xludf.DUMMYFUNCTION("""COMPUTED_VALUE"""),114.0)</f>
        <v>114</v>
      </c>
      <c r="E2593">
        <f>IFERROR(__xludf.DUMMYFUNCTION("""COMPUTED_VALUE"""),1.95)</f>
        <v>1.95</v>
      </c>
      <c r="F2593">
        <f>IFERROR(__xludf.DUMMYFUNCTION("""COMPUTED_VALUE"""),5.88)</f>
        <v>5.88</v>
      </c>
      <c r="G2593">
        <f>IFERROR(__xludf.DUMMYFUNCTION("""COMPUTED_VALUE"""),18.71)</f>
        <v>18.71</v>
      </c>
    </row>
    <row r="2594">
      <c r="A2594">
        <f>IFERROR(__xludf.DUMMYFUNCTION("""COMPUTED_VALUE"""),787926.0)</f>
        <v>787926</v>
      </c>
      <c r="B2594" t="str">
        <f>IFERROR(__xludf.DUMMYFUNCTION("""COMPUTED_VALUE"""),"Beans Lima Immature Cooked From Fresh Made With Oil")</f>
        <v>Beans Lima Immature Cooked From Fresh Made With Oil</v>
      </c>
      <c r="C2594" t="str">
        <f>IFERROR(__xludf.DUMMYFUNCTION("""COMPUTED_VALUE"""),"Vegetables")</f>
        <v>Vegetables</v>
      </c>
      <c r="D2594">
        <f>IFERROR(__xludf.DUMMYFUNCTION("""COMPUTED_VALUE"""),142.0)</f>
        <v>142</v>
      </c>
      <c r="E2594">
        <f>IFERROR(__xludf.DUMMYFUNCTION("""COMPUTED_VALUE"""),2.9)</f>
        <v>2.9</v>
      </c>
      <c r="F2594">
        <f>IFERROR(__xludf.DUMMYFUNCTION("""COMPUTED_VALUE"""),6.6)</f>
        <v>6.6</v>
      </c>
      <c r="G2594">
        <f>IFERROR(__xludf.DUMMYFUNCTION("""COMPUTED_VALUE"""),22.89)</f>
        <v>22.89</v>
      </c>
    </row>
    <row r="2595">
      <c r="A2595">
        <f>IFERROR(__xludf.DUMMYFUNCTION("""COMPUTED_VALUE"""),787927.0)</f>
        <v>787927</v>
      </c>
      <c r="B2595" t="str">
        <f>IFERROR(__xludf.DUMMYFUNCTION("""COMPUTED_VALUE"""),"Beans Lima Immature Cooked From Fresh Made With Butter")</f>
        <v>Beans Lima Immature Cooked From Fresh Made With Butter</v>
      </c>
      <c r="C2595" t="str">
        <f>IFERROR(__xludf.DUMMYFUNCTION("""COMPUTED_VALUE"""),"Vegetables")</f>
        <v>Vegetables</v>
      </c>
      <c r="D2595">
        <f>IFERROR(__xludf.DUMMYFUNCTION("""COMPUTED_VALUE"""),138.0)</f>
        <v>138</v>
      </c>
      <c r="E2595">
        <f>IFERROR(__xludf.DUMMYFUNCTION("""COMPUTED_VALUE"""),2.49)</f>
        <v>2.49</v>
      </c>
      <c r="F2595">
        <f>IFERROR(__xludf.DUMMYFUNCTION("""COMPUTED_VALUE"""),6.61)</f>
        <v>6.61</v>
      </c>
      <c r="G2595">
        <f>IFERROR(__xludf.DUMMYFUNCTION("""COMPUTED_VALUE"""),22.87)</f>
        <v>22.87</v>
      </c>
    </row>
    <row r="2596">
      <c r="A2596">
        <f>IFERROR(__xludf.DUMMYFUNCTION("""COMPUTED_VALUE"""),787928.0)</f>
        <v>787928</v>
      </c>
      <c r="B2596" t="str">
        <f>IFERROR(__xludf.DUMMYFUNCTION("""COMPUTED_VALUE"""),"Beans Lima Immature Cooked From Fresh Made With Margarine")</f>
        <v>Beans Lima Immature Cooked From Fresh Made With Margarine</v>
      </c>
      <c r="C2596" t="str">
        <f>IFERROR(__xludf.DUMMYFUNCTION("""COMPUTED_VALUE"""),"Vegetables")</f>
        <v>Vegetables</v>
      </c>
      <c r="D2596">
        <f>IFERROR(__xludf.DUMMYFUNCTION("""COMPUTED_VALUE"""),133.0)</f>
        <v>133</v>
      </c>
      <c r="E2596">
        <f>IFERROR(__xludf.DUMMYFUNCTION("""COMPUTED_VALUE"""),1.93)</f>
        <v>1.93</v>
      </c>
      <c r="F2596">
        <f>IFERROR(__xludf.DUMMYFUNCTION("""COMPUTED_VALUE"""),6.59)</f>
        <v>6.59</v>
      </c>
      <c r="G2596">
        <f>IFERROR(__xludf.DUMMYFUNCTION("""COMPUTED_VALUE"""),22.89)</f>
        <v>22.89</v>
      </c>
    </row>
    <row r="2597">
      <c r="A2597">
        <f>IFERROR(__xludf.DUMMYFUNCTION("""COMPUTED_VALUE"""),787929.0)</f>
        <v>787929</v>
      </c>
      <c r="B2597" t="str">
        <f>IFERROR(__xludf.DUMMYFUNCTION("""COMPUTED_VALUE"""),"Beans Lima Immature Cooked From Frozen Made With Oil")</f>
        <v>Beans Lima Immature Cooked From Frozen Made With Oil</v>
      </c>
      <c r="C2597" t="str">
        <f>IFERROR(__xludf.DUMMYFUNCTION("""COMPUTED_VALUE"""),"Vegetables")</f>
        <v>Vegetables</v>
      </c>
      <c r="D2597">
        <f>IFERROR(__xludf.DUMMYFUNCTION("""COMPUTED_VALUE"""),123.0)</f>
        <v>123</v>
      </c>
      <c r="E2597">
        <f>IFERROR(__xludf.DUMMYFUNCTION("""COMPUTED_VALUE"""),2.92)</f>
        <v>2.92</v>
      </c>
      <c r="F2597">
        <f>IFERROR(__xludf.DUMMYFUNCTION("""COMPUTED_VALUE"""),5.88)</f>
        <v>5.88</v>
      </c>
      <c r="G2597">
        <f>IFERROR(__xludf.DUMMYFUNCTION("""COMPUTED_VALUE"""),18.71)</f>
        <v>18.71</v>
      </c>
    </row>
    <row r="2598">
      <c r="A2598">
        <f>IFERROR(__xludf.DUMMYFUNCTION("""COMPUTED_VALUE"""),787930.0)</f>
        <v>787930</v>
      </c>
      <c r="B2598" t="str">
        <f>IFERROR(__xludf.DUMMYFUNCTION("""COMPUTED_VALUE"""),"Beans Lima Immature Cooked From Frozen Made With Butter")</f>
        <v>Beans Lima Immature Cooked From Frozen Made With Butter</v>
      </c>
      <c r="C2598" t="str">
        <f>IFERROR(__xludf.DUMMYFUNCTION("""COMPUTED_VALUE"""),"Vegetables")</f>
        <v>Vegetables</v>
      </c>
      <c r="D2598">
        <f>IFERROR(__xludf.DUMMYFUNCTION("""COMPUTED_VALUE"""),119.0)</f>
        <v>119</v>
      </c>
      <c r="E2598">
        <f>IFERROR(__xludf.DUMMYFUNCTION("""COMPUTED_VALUE"""),2.51)</f>
        <v>2.51</v>
      </c>
      <c r="F2598">
        <f>IFERROR(__xludf.DUMMYFUNCTION("""COMPUTED_VALUE"""),5.9)</f>
        <v>5.9</v>
      </c>
      <c r="G2598">
        <f>IFERROR(__xludf.DUMMYFUNCTION("""COMPUTED_VALUE"""),18.69)</f>
        <v>18.69</v>
      </c>
    </row>
    <row r="2599">
      <c r="A2599">
        <f>IFERROR(__xludf.DUMMYFUNCTION("""COMPUTED_VALUE"""),787931.0)</f>
        <v>787931</v>
      </c>
      <c r="B2599" t="str">
        <f>IFERROR(__xludf.DUMMYFUNCTION("""COMPUTED_VALUE"""),"Beans Lima Immature Cooked From Frozen Made With Margarine")</f>
        <v>Beans Lima Immature Cooked From Frozen Made With Margarine</v>
      </c>
      <c r="C2599" t="str">
        <f>IFERROR(__xludf.DUMMYFUNCTION("""COMPUTED_VALUE"""),"Vegetables")</f>
        <v>Vegetables</v>
      </c>
      <c r="D2599">
        <f>IFERROR(__xludf.DUMMYFUNCTION("""COMPUTED_VALUE"""),114.0)</f>
        <v>114</v>
      </c>
      <c r="E2599">
        <f>IFERROR(__xludf.DUMMYFUNCTION("""COMPUTED_VALUE"""),1.95)</f>
        <v>1.95</v>
      </c>
      <c r="F2599">
        <f>IFERROR(__xludf.DUMMYFUNCTION("""COMPUTED_VALUE"""),5.88)</f>
        <v>5.88</v>
      </c>
      <c r="G2599">
        <f>IFERROR(__xludf.DUMMYFUNCTION("""COMPUTED_VALUE"""),18.71)</f>
        <v>18.71</v>
      </c>
    </row>
    <row r="2600">
      <c r="A2600">
        <f>IFERROR(__xludf.DUMMYFUNCTION("""COMPUTED_VALUE"""),787932.0)</f>
        <v>787932</v>
      </c>
      <c r="B2600" t="str">
        <f>IFERROR(__xludf.DUMMYFUNCTION("""COMPUTED_VALUE"""),"Beans Lima Immature Cooked From Canned Made With Oil")</f>
        <v>Beans Lima Immature Cooked From Canned Made With Oil</v>
      </c>
      <c r="C2600" t="str">
        <f>IFERROR(__xludf.DUMMYFUNCTION("""COMPUTED_VALUE"""),"Vegetables")</f>
        <v>Vegetables</v>
      </c>
      <c r="D2600">
        <f>IFERROR(__xludf.DUMMYFUNCTION("""COMPUTED_VALUE"""),123.0)</f>
        <v>123</v>
      </c>
      <c r="E2600">
        <f>IFERROR(__xludf.DUMMYFUNCTION("""COMPUTED_VALUE"""),2.92)</f>
        <v>2.92</v>
      </c>
      <c r="F2600">
        <f>IFERROR(__xludf.DUMMYFUNCTION("""COMPUTED_VALUE"""),5.88)</f>
        <v>5.88</v>
      </c>
      <c r="G2600">
        <f>IFERROR(__xludf.DUMMYFUNCTION("""COMPUTED_VALUE"""),18.71)</f>
        <v>18.71</v>
      </c>
    </row>
    <row r="2601">
      <c r="A2601">
        <f>IFERROR(__xludf.DUMMYFUNCTION("""COMPUTED_VALUE"""),787933.0)</f>
        <v>787933</v>
      </c>
      <c r="B2601" t="str">
        <f>IFERROR(__xludf.DUMMYFUNCTION("""COMPUTED_VALUE"""),"Beans Lima Immature Cooked From Canned Made With Butter")</f>
        <v>Beans Lima Immature Cooked From Canned Made With Butter</v>
      </c>
      <c r="C2601" t="str">
        <f>IFERROR(__xludf.DUMMYFUNCTION("""COMPUTED_VALUE"""),"Vegetables")</f>
        <v>Vegetables</v>
      </c>
      <c r="D2601">
        <f>IFERROR(__xludf.DUMMYFUNCTION("""COMPUTED_VALUE"""),119.0)</f>
        <v>119</v>
      </c>
      <c r="E2601">
        <f>IFERROR(__xludf.DUMMYFUNCTION("""COMPUTED_VALUE"""),2.51)</f>
        <v>2.51</v>
      </c>
      <c r="F2601">
        <f>IFERROR(__xludf.DUMMYFUNCTION("""COMPUTED_VALUE"""),5.9)</f>
        <v>5.9</v>
      </c>
      <c r="G2601">
        <f>IFERROR(__xludf.DUMMYFUNCTION("""COMPUTED_VALUE"""),18.69)</f>
        <v>18.69</v>
      </c>
    </row>
    <row r="2602">
      <c r="A2602">
        <f>IFERROR(__xludf.DUMMYFUNCTION("""COMPUTED_VALUE"""),787934.0)</f>
        <v>787934</v>
      </c>
      <c r="B2602" t="str">
        <f>IFERROR(__xludf.DUMMYFUNCTION("""COMPUTED_VALUE"""),"Beans Lima Immature Cooked From Canned Made With Margarine")</f>
        <v>Beans Lima Immature Cooked From Canned Made With Margarine</v>
      </c>
      <c r="C2602" t="str">
        <f>IFERROR(__xludf.DUMMYFUNCTION("""COMPUTED_VALUE"""),"Vegetables")</f>
        <v>Vegetables</v>
      </c>
      <c r="D2602">
        <f>IFERROR(__xludf.DUMMYFUNCTION("""COMPUTED_VALUE"""),114.0)</f>
        <v>114</v>
      </c>
      <c r="E2602">
        <f>IFERROR(__xludf.DUMMYFUNCTION("""COMPUTED_VALUE"""),1.95)</f>
        <v>1.95</v>
      </c>
      <c r="F2602">
        <f>IFERROR(__xludf.DUMMYFUNCTION("""COMPUTED_VALUE"""),5.88)</f>
        <v>5.88</v>
      </c>
      <c r="G2602">
        <f>IFERROR(__xludf.DUMMYFUNCTION("""COMPUTED_VALUE"""),18.71)</f>
        <v>18.71</v>
      </c>
    </row>
    <row r="2603">
      <c r="A2603">
        <f>IFERROR(__xludf.DUMMYFUNCTION("""COMPUTED_VALUE"""),787935.0)</f>
        <v>787935</v>
      </c>
      <c r="B2603" t="str">
        <f>IFERROR(__xludf.DUMMYFUNCTION("""COMPUTED_VALUE"""),"Beans String Cooked Ns As To Form Ns As To Color Made With Oil")</f>
        <v>Beans String Cooked Ns As To Form Ns As To Color Made With Oil</v>
      </c>
      <c r="C2603" t="str">
        <f>IFERROR(__xludf.DUMMYFUNCTION("""COMPUTED_VALUE"""),"Vegetables")</f>
        <v>Vegetables</v>
      </c>
      <c r="D2603">
        <f>IFERROR(__xludf.DUMMYFUNCTION("""COMPUTED_VALUE"""),56.0)</f>
        <v>56</v>
      </c>
      <c r="E2603">
        <f>IFERROR(__xludf.DUMMYFUNCTION("""COMPUTED_VALUE"""),3.4)</f>
        <v>3.4</v>
      </c>
      <c r="F2603">
        <f>IFERROR(__xludf.DUMMYFUNCTION("""COMPUTED_VALUE"""),1.43)</f>
        <v>1.43</v>
      </c>
      <c r="G2603">
        <f>IFERROR(__xludf.DUMMYFUNCTION("""COMPUTED_VALUE"""),6.2)</f>
        <v>6.2</v>
      </c>
    </row>
    <row r="2604">
      <c r="A2604">
        <f>IFERROR(__xludf.DUMMYFUNCTION("""COMPUTED_VALUE"""),787936.0)</f>
        <v>787936</v>
      </c>
      <c r="B2604" t="str">
        <f>IFERROR(__xludf.DUMMYFUNCTION("""COMPUTED_VALUE"""),"Beans String Cooked Ns As To Form Ns As To Color Made With Butter")</f>
        <v>Beans String Cooked Ns As To Form Ns As To Color Made With Butter</v>
      </c>
      <c r="C2604" t="str">
        <f>IFERROR(__xludf.DUMMYFUNCTION("""COMPUTED_VALUE"""),"Vegetables")</f>
        <v>Vegetables</v>
      </c>
      <c r="D2604">
        <f>IFERROR(__xludf.DUMMYFUNCTION("""COMPUTED_VALUE"""),51.0)</f>
        <v>51</v>
      </c>
      <c r="E2604">
        <f>IFERROR(__xludf.DUMMYFUNCTION("""COMPUTED_VALUE"""),2.89)</f>
        <v>2.89</v>
      </c>
      <c r="F2604">
        <f>IFERROR(__xludf.DUMMYFUNCTION("""COMPUTED_VALUE"""),1.46)</f>
        <v>1.46</v>
      </c>
      <c r="G2604">
        <f>IFERROR(__xludf.DUMMYFUNCTION("""COMPUTED_VALUE"""),6.19)</f>
        <v>6.19</v>
      </c>
    </row>
    <row r="2605">
      <c r="A2605">
        <f>IFERROR(__xludf.DUMMYFUNCTION("""COMPUTED_VALUE"""),787937.0)</f>
        <v>787937</v>
      </c>
      <c r="B2605" t="str">
        <f>IFERROR(__xludf.DUMMYFUNCTION("""COMPUTED_VALUE"""),"Beans String Cooked Ns As To Form Ns As To Color Made With Margarine")</f>
        <v>Beans String Cooked Ns As To Form Ns As To Color Made With Margarine</v>
      </c>
      <c r="C2605" t="str">
        <f>IFERROR(__xludf.DUMMYFUNCTION("""COMPUTED_VALUE"""),"Vegetables")</f>
        <v>Vegetables</v>
      </c>
      <c r="D2605">
        <f>IFERROR(__xludf.DUMMYFUNCTION("""COMPUTED_VALUE"""),45.0)</f>
        <v>45</v>
      </c>
      <c r="E2605">
        <f>IFERROR(__xludf.DUMMYFUNCTION("""COMPUTED_VALUE"""),2.19)</f>
        <v>2.19</v>
      </c>
      <c r="F2605">
        <f>IFERROR(__xludf.DUMMYFUNCTION("""COMPUTED_VALUE"""),1.44)</f>
        <v>1.44</v>
      </c>
      <c r="G2605">
        <f>IFERROR(__xludf.DUMMYFUNCTION("""COMPUTED_VALUE"""),6.22)</f>
        <v>6.22</v>
      </c>
    </row>
    <row r="2606">
      <c r="A2606">
        <f>IFERROR(__xludf.DUMMYFUNCTION("""COMPUTED_VALUE"""),787938.0)</f>
        <v>787938</v>
      </c>
      <c r="B2606" t="str">
        <f>IFERROR(__xludf.DUMMYFUNCTION("""COMPUTED_VALUE"""),"Beans String Cooked From Fresh Ns As To Color Made With Oil")</f>
        <v>Beans String Cooked From Fresh Ns As To Color Made With Oil</v>
      </c>
      <c r="C2606" t="str">
        <f>IFERROR(__xludf.DUMMYFUNCTION("""COMPUTED_VALUE"""),"Vegetables")</f>
        <v>Vegetables</v>
      </c>
      <c r="D2606">
        <f>IFERROR(__xludf.DUMMYFUNCTION("""COMPUTED_VALUE"""),64.0)</f>
        <v>64</v>
      </c>
      <c r="E2606">
        <f>IFERROR(__xludf.DUMMYFUNCTION("""COMPUTED_VALUE"""),3.75)</f>
        <v>3.75</v>
      </c>
      <c r="F2606">
        <f>IFERROR(__xludf.DUMMYFUNCTION("""COMPUTED_VALUE"""),1.81)</f>
        <v>1.81</v>
      </c>
      <c r="G2606">
        <f>IFERROR(__xludf.DUMMYFUNCTION("""COMPUTED_VALUE"""),7.54)</f>
        <v>7.54</v>
      </c>
    </row>
    <row r="2607">
      <c r="A2607">
        <f>IFERROR(__xludf.DUMMYFUNCTION("""COMPUTED_VALUE"""),787939.0)</f>
        <v>787939</v>
      </c>
      <c r="B2607" t="str">
        <f>IFERROR(__xludf.DUMMYFUNCTION("""COMPUTED_VALUE"""),"Beans String Cooked From Fresh Ns As To Color Made With Butter")</f>
        <v>Beans String Cooked From Fresh Ns As To Color Made With Butter</v>
      </c>
      <c r="C2607" t="str">
        <f>IFERROR(__xludf.DUMMYFUNCTION("""COMPUTED_VALUE"""),"Vegetables")</f>
        <v>Vegetables</v>
      </c>
      <c r="D2607">
        <f>IFERROR(__xludf.DUMMYFUNCTION("""COMPUTED_VALUE"""),59.0)</f>
        <v>59</v>
      </c>
      <c r="E2607">
        <f>IFERROR(__xludf.DUMMYFUNCTION("""COMPUTED_VALUE"""),3.2)</f>
        <v>3.2</v>
      </c>
      <c r="F2607">
        <f>IFERROR(__xludf.DUMMYFUNCTION("""COMPUTED_VALUE"""),1.84)</f>
        <v>1.84</v>
      </c>
      <c r="G2607">
        <f>IFERROR(__xludf.DUMMYFUNCTION("""COMPUTED_VALUE"""),7.54)</f>
        <v>7.54</v>
      </c>
    </row>
    <row r="2608">
      <c r="A2608">
        <f>IFERROR(__xludf.DUMMYFUNCTION("""COMPUTED_VALUE"""),787940.0)</f>
        <v>787940</v>
      </c>
      <c r="B2608" t="str">
        <f>IFERROR(__xludf.DUMMYFUNCTION("""COMPUTED_VALUE"""),"Beans String Cooked From Fresh Ns As To Color Made With Margarine")</f>
        <v>Beans String Cooked From Fresh Ns As To Color Made With Margarine</v>
      </c>
      <c r="C2608" t="str">
        <f>IFERROR(__xludf.DUMMYFUNCTION("""COMPUTED_VALUE"""),"Vegetables")</f>
        <v>Vegetables</v>
      </c>
      <c r="D2608">
        <f>IFERROR(__xludf.DUMMYFUNCTION("""COMPUTED_VALUE"""),53.0)</f>
        <v>53</v>
      </c>
      <c r="E2608">
        <f>IFERROR(__xludf.DUMMYFUNCTION("""COMPUTED_VALUE"""),2.45)</f>
        <v>2.45</v>
      </c>
      <c r="F2608">
        <f>IFERROR(__xludf.DUMMYFUNCTION("""COMPUTED_VALUE"""),1.81)</f>
        <v>1.81</v>
      </c>
      <c r="G2608">
        <f>IFERROR(__xludf.DUMMYFUNCTION("""COMPUTED_VALUE"""),7.56)</f>
        <v>7.56</v>
      </c>
    </row>
    <row r="2609">
      <c r="A2609">
        <f>IFERROR(__xludf.DUMMYFUNCTION("""COMPUTED_VALUE"""),787941.0)</f>
        <v>787941</v>
      </c>
      <c r="B2609" t="str">
        <f>IFERROR(__xludf.DUMMYFUNCTION("""COMPUTED_VALUE"""),"Beans String Cooked From Frozen Ns As To Color Made With Oil")</f>
        <v>Beans String Cooked From Frozen Ns As To Color Made With Oil</v>
      </c>
      <c r="C2609" t="str">
        <f>IFERROR(__xludf.DUMMYFUNCTION("""COMPUTED_VALUE"""),"Vegetables")</f>
        <v>Vegetables</v>
      </c>
      <c r="D2609">
        <f>IFERROR(__xludf.DUMMYFUNCTION("""COMPUTED_VALUE"""),56.0)</f>
        <v>56</v>
      </c>
      <c r="E2609">
        <f>IFERROR(__xludf.DUMMYFUNCTION("""COMPUTED_VALUE"""),3.4)</f>
        <v>3.4</v>
      </c>
      <c r="F2609">
        <f>IFERROR(__xludf.DUMMYFUNCTION("""COMPUTED_VALUE"""),1.43)</f>
        <v>1.43</v>
      </c>
      <c r="G2609">
        <f>IFERROR(__xludf.DUMMYFUNCTION("""COMPUTED_VALUE"""),6.2)</f>
        <v>6.2</v>
      </c>
    </row>
    <row r="2610">
      <c r="A2610">
        <f>IFERROR(__xludf.DUMMYFUNCTION("""COMPUTED_VALUE"""),787942.0)</f>
        <v>787942</v>
      </c>
      <c r="B2610" t="str">
        <f>IFERROR(__xludf.DUMMYFUNCTION("""COMPUTED_VALUE"""),"Beans String Cooked From Frozen Ns As To Color Made With Butter")</f>
        <v>Beans String Cooked From Frozen Ns As To Color Made With Butter</v>
      </c>
      <c r="C2610" t="str">
        <f>IFERROR(__xludf.DUMMYFUNCTION("""COMPUTED_VALUE"""),"Vegetables")</f>
        <v>Vegetables</v>
      </c>
      <c r="D2610">
        <f>IFERROR(__xludf.DUMMYFUNCTION("""COMPUTED_VALUE"""),51.0)</f>
        <v>51</v>
      </c>
      <c r="E2610">
        <f>IFERROR(__xludf.DUMMYFUNCTION("""COMPUTED_VALUE"""),2.89)</f>
        <v>2.89</v>
      </c>
      <c r="F2610">
        <f>IFERROR(__xludf.DUMMYFUNCTION("""COMPUTED_VALUE"""),1.46)</f>
        <v>1.46</v>
      </c>
      <c r="G2610">
        <f>IFERROR(__xludf.DUMMYFUNCTION("""COMPUTED_VALUE"""),6.19)</f>
        <v>6.19</v>
      </c>
    </row>
    <row r="2611">
      <c r="A2611">
        <f>IFERROR(__xludf.DUMMYFUNCTION("""COMPUTED_VALUE"""),787943.0)</f>
        <v>787943</v>
      </c>
      <c r="B2611" t="str">
        <f>IFERROR(__xludf.DUMMYFUNCTION("""COMPUTED_VALUE"""),"Beans String Cooked From Frozen Ns As To Color Made With Margarine")</f>
        <v>Beans String Cooked From Frozen Ns As To Color Made With Margarine</v>
      </c>
      <c r="C2611" t="str">
        <f>IFERROR(__xludf.DUMMYFUNCTION("""COMPUTED_VALUE"""),"Vegetables")</f>
        <v>Vegetables</v>
      </c>
      <c r="D2611">
        <f>IFERROR(__xludf.DUMMYFUNCTION("""COMPUTED_VALUE"""),45.0)</f>
        <v>45</v>
      </c>
      <c r="E2611">
        <f>IFERROR(__xludf.DUMMYFUNCTION("""COMPUTED_VALUE"""),2.19)</f>
        <v>2.19</v>
      </c>
      <c r="F2611">
        <f>IFERROR(__xludf.DUMMYFUNCTION("""COMPUTED_VALUE"""),1.44)</f>
        <v>1.44</v>
      </c>
      <c r="G2611">
        <f>IFERROR(__xludf.DUMMYFUNCTION("""COMPUTED_VALUE"""),6.22)</f>
        <v>6.22</v>
      </c>
    </row>
    <row r="2612">
      <c r="A2612">
        <f>IFERROR(__xludf.DUMMYFUNCTION("""COMPUTED_VALUE"""),787944.0)</f>
        <v>787944</v>
      </c>
      <c r="B2612" t="str">
        <f>IFERROR(__xludf.DUMMYFUNCTION("""COMPUTED_VALUE"""),"Beans String Cooked From Canned Ns As To Color Made With Oil")</f>
        <v>Beans String Cooked From Canned Ns As To Color Made With Oil</v>
      </c>
      <c r="C2612" t="str">
        <f>IFERROR(__xludf.DUMMYFUNCTION("""COMPUTED_VALUE"""),"Vegetables")</f>
        <v>Vegetables</v>
      </c>
      <c r="D2612">
        <f>IFERROR(__xludf.DUMMYFUNCTION("""COMPUTED_VALUE"""),46.0)</f>
        <v>46</v>
      </c>
      <c r="E2612">
        <f>IFERROR(__xludf.DUMMYFUNCTION("""COMPUTED_VALUE"""),3.27)</f>
        <v>3.27</v>
      </c>
      <c r="F2612">
        <f>IFERROR(__xludf.DUMMYFUNCTION("""COMPUTED_VALUE"""),1.02)</f>
        <v>1.02</v>
      </c>
      <c r="G2612">
        <f>IFERROR(__xludf.DUMMYFUNCTION("""COMPUTED_VALUE"""),4.06)</f>
        <v>4.06</v>
      </c>
    </row>
    <row r="2613">
      <c r="A2613">
        <f>IFERROR(__xludf.DUMMYFUNCTION("""COMPUTED_VALUE"""),787945.0)</f>
        <v>787945</v>
      </c>
      <c r="B2613" t="str">
        <f>IFERROR(__xludf.DUMMYFUNCTION("""COMPUTED_VALUE"""),"Beans String Cooked From Canned Ns As To Color Made With Butter")</f>
        <v>Beans String Cooked From Canned Ns As To Color Made With Butter</v>
      </c>
      <c r="C2613" t="str">
        <f>IFERROR(__xludf.DUMMYFUNCTION("""COMPUTED_VALUE"""),"Vegetables")</f>
        <v>Vegetables</v>
      </c>
      <c r="D2613">
        <f>IFERROR(__xludf.DUMMYFUNCTION("""COMPUTED_VALUE"""),42.0)</f>
        <v>42</v>
      </c>
      <c r="E2613">
        <f>IFERROR(__xludf.DUMMYFUNCTION("""COMPUTED_VALUE"""),2.82)</f>
        <v>2.82</v>
      </c>
      <c r="F2613">
        <f>IFERROR(__xludf.DUMMYFUNCTION("""COMPUTED_VALUE"""),1.04)</f>
        <v>1.04</v>
      </c>
      <c r="G2613">
        <f>IFERROR(__xludf.DUMMYFUNCTION("""COMPUTED_VALUE"""),4.06)</f>
        <v>4.06</v>
      </c>
    </row>
    <row r="2614">
      <c r="A2614">
        <f>IFERROR(__xludf.DUMMYFUNCTION("""COMPUTED_VALUE"""),787946.0)</f>
        <v>787946</v>
      </c>
      <c r="B2614" t="str">
        <f>IFERROR(__xludf.DUMMYFUNCTION("""COMPUTED_VALUE"""),"Beans String Cooked From Canned Ns As To Color Made With Margarine")</f>
        <v>Beans String Cooked From Canned Ns As To Color Made With Margarine</v>
      </c>
      <c r="C2614" t="str">
        <f>IFERROR(__xludf.DUMMYFUNCTION("""COMPUTED_VALUE"""),"Vegetables")</f>
        <v>Vegetables</v>
      </c>
      <c r="D2614">
        <f>IFERROR(__xludf.DUMMYFUNCTION("""COMPUTED_VALUE"""),36.0)</f>
        <v>36</v>
      </c>
      <c r="E2614">
        <f>IFERROR(__xludf.DUMMYFUNCTION("""COMPUTED_VALUE"""),2.2)</f>
        <v>2.2</v>
      </c>
      <c r="F2614">
        <f>IFERROR(__xludf.DUMMYFUNCTION("""COMPUTED_VALUE"""),1.02)</f>
        <v>1.02</v>
      </c>
      <c r="G2614">
        <f>IFERROR(__xludf.DUMMYFUNCTION("""COMPUTED_VALUE"""),4.08)</f>
        <v>4.08</v>
      </c>
    </row>
    <row r="2615">
      <c r="A2615">
        <f>IFERROR(__xludf.DUMMYFUNCTION("""COMPUTED_VALUE"""),787947.0)</f>
        <v>787947</v>
      </c>
      <c r="B2615" t="str">
        <f>IFERROR(__xludf.DUMMYFUNCTION("""COMPUTED_VALUE"""),"Beans String Cooked Ns As To Form Ns As To Color Fat Added In Cooking Ns As To Type Of Fat")</f>
        <v>Beans String Cooked Ns As To Form Ns As To Color Fat Added In Cooking Ns As To Type Of Fat</v>
      </c>
      <c r="C2615" t="str">
        <f>IFERROR(__xludf.DUMMYFUNCTION("""COMPUTED_VALUE"""),"Vegetables")</f>
        <v>Vegetables</v>
      </c>
      <c r="D2615">
        <f>IFERROR(__xludf.DUMMYFUNCTION("""COMPUTED_VALUE"""),48.0)</f>
        <v>48</v>
      </c>
      <c r="E2615">
        <f>IFERROR(__xludf.DUMMYFUNCTION("""COMPUTED_VALUE"""),2.6)</f>
        <v>2.6</v>
      </c>
      <c r="F2615">
        <f>IFERROR(__xludf.DUMMYFUNCTION("""COMPUTED_VALUE"""),1.45)</f>
        <v>1.45</v>
      </c>
      <c r="G2615">
        <f>IFERROR(__xludf.DUMMYFUNCTION("""COMPUTED_VALUE"""),6.2)</f>
        <v>6.2</v>
      </c>
    </row>
    <row r="2616">
      <c r="A2616">
        <f>IFERROR(__xludf.DUMMYFUNCTION("""COMPUTED_VALUE"""),787948.0)</f>
        <v>787948</v>
      </c>
      <c r="B2616" t="str">
        <f>IFERROR(__xludf.DUMMYFUNCTION("""COMPUTED_VALUE"""),"Beans String Cooked From Fresh Ns As To Color Fat Added In Cooking Ns As To Type Of Fat")</f>
        <v>Beans String Cooked From Fresh Ns As To Color Fat Added In Cooking Ns As To Type Of Fat</v>
      </c>
      <c r="C2616" t="str">
        <f>IFERROR(__xludf.DUMMYFUNCTION("""COMPUTED_VALUE"""),"Vegetables")</f>
        <v>Vegetables</v>
      </c>
      <c r="D2616">
        <f>IFERROR(__xludf.DUMMYFUNCTION("""COMPUTED_VALUE"""),57.0)</f>
        <v>57</v>
      </c>
      <c r="E2616">
        <f>IFERROR(__xludf.DUMMYFUNCTION("""COMPUTED_VALUE"""),2.89)</f>
        <v>2.89</v>
      </c>
      <c r="F2616">
        <f>IFERROR(__xludf.DUMMYFUNCTION("""COMPUTED_VALUE"""),1.83)</f>
        <v>1.83</v>
      </c>
      <c r="G2616">
        <f>IFERROR(__xludf.DUMMYFUNCTION("""COMPUTED_VALUE"""),7.55)</f>
        <v>7.55</v>
      </c>
    </row>
    <row r="2617">
      <c r="A2617">
        <f>IFERROR(__xludf.DUMMYFUNCTION("""COMPUTED_VALUE"""),787949.0)</f>
        <v>787949</v>
      </c>
      <c r="B2617" t="str">
        <f>IFERROR(__xludf.DUMMYFUNCTION("""COMPUTED_VALUE"""),"Beans String Cooked From Frozen Ns As To Color Fat Added In Cooking Ns As To Type Of Fat")</f>
        <v>Beans String Cooked From Frozen Ns As To Color Fat Added In Cooking Ns As To Type Of Fat</v>
      </c>
      <c r="C2617" t="str">
        <f>IFERROR(__xludf.DUMMYFUNCTION("""COMPUTED_VALUE"""),"Vegetables")</f>
        <v>Vegetables</v>
      </c>
      <c r="D2617">
        <f>IFERROR(__xludf.DUMMYFUNCTION("""COMPUTED_VALUE"""),48.0)</f>
        <v>48</v>
      </c>
      <c r="E2617">
        <f>IFERROR(__xludf.DUMMYFUNCTION("""COMPUTED_VALUE"""),2.6)</f>
        <v>2.6</v>
      </c>
      <c r="F2617">
        <f>IFERROR(__xludf.DUMMYFUNCTION("""COMPUTED_VALUE"""),1.45)</f>
        <v>1.45</v>
      </c>
      <c r="G2617">
        <f>IFERROR(__xludf.DUMMYFUNCTION("""COMPUTED_VALUE"""),6.2)</f>
        <v>6.2</v>
      </c>
    </row>
    <row r="2618">
      <c r="A2618">
        <f>IFERROR(__xludf.DUMMYFUNCTION("""COMPUTED_VALUE"""),787950.0)</f>
        <v>787950</v>
      </c>
      <c r="B2618" t="str">
        <f>IFERROR(__xludf.DUMMYFUNCTION("""COMPUTED_VALUE"""),"Beans String Cooked From Canned Ns As To Color Fat Added In Cooking Ns As To Type Of Fat")</f>
        <v>Beans String Cooked From Canned Ns As To Color Fat Added In Cooking Ns As To Type Of Fat</v>
      </c>
      <c r="C2618" t="str">
        <f>IFERROR(__xludf.DUMMYFUNCTION("""COMPUTED_VALUE"""),"Vegetables")</f>
        <v>Vegetables</v>
      </c>
      <c r="D2618">
        <f>IFERROR(__xludf.DUMMYFUNCTION("""COMPUTED_VALUE"""),40.0)</f>
        <v>40</v>
      </c>
      <c r="E2618">
        <f>IFERROR(__xludf.DUMMYFUNCTION("""COMPUTED_VALUE"""),2.57)</f>
        <v>2.57</v>
      </c>
      <c r="F2618">
        <f>IFERROR(__xludf.DUMMYFUNCTION("""COMPUTED_VALUE"""),1.03)</f>
        <v>1.03</v>
      </c>
      <c r="G2618">
        <f>IFERROR(__xludf.DUMMYFUNCTION("""COMPUTED_VALUE"""),4.07)</f>
        <v>4.07</v>
      </c>
    </row>
    <row r="2619">
      <c r="A2619">
        <f>IFERROR(__xludf.DUMMYFUNCTION("""COMPUTED_VALUE"""),787951.0)</f>
        <v>787951</v>
      </c>
      <c r="B2619" t="str">
        <f>IFERROR(__xludf.DUMMYFUNCTION("""COMPUTED_VALUE"""),"Beans String Cooked Ns As To Form Ns As To Color Fat Not Added In Cooking")</f>
        <v>Beans String Cooked Ns As To Form Ns As To Color Fat Not Added In Cooking</v>
      </c>
      <c r="C2619" t="str">
        <f>IFERROR(__xludf.DUMMYFUNCTION("""COMPUTED_VALUE"""),"Vegetables")</f>
        <v>Vegetables</v>
      </c>
      <c r="D2619">
        <f>IFERROR(__xludf.DUMMYFUNCTION("""COMPUTED_VALUE"""),28.0)</f>
        <v>28</v>
      </c>
      <c r="E2619">
        <f>IFERROR(__xludf.DUMMYFUNCTION("""COMPUTED_VALUE"""),0.17)</f>
        <v>0.17</v>
      </c>
      <c r="F2619">
        <f>IFERROR(__xludf.DUMMYFUNCTION("""COMPUTED_VALUE"""),1.48)</f>
        <v>1.48</v>
      </c>
      <c r="G2619">
        <f>IFERROR(__xludf.DUMMYFUNCTION("""COMPUTED_VALUE"""),6.4)</f>
        <v>6.4</v>
      </c>
    </row>
    <row r="2620">
      <c r="A2620">
        <f>IFERROR(__xludf.DUMMYFUNCTION("""COMPUTED_VALUE"""),787952.0)</f>
        <v>787952</v>
      </c>
      <c r="B2620" t="str">
        <f>IFERROR(__xludf.DUMMYFUNCTION("""COMPUTED_VALUE"""),"Beans String Cooked From Fresh Ns As To Color Fat Not Added In Cooking")</f>
        <v>Beans String Cooked From Fresh Ns As To Color Fat Not Added In Cooking</v>
      </c>
      <c r="C2620" t="str">
        <f>IFERROR(__xludf.DUMMYFUNCTION("""COMPUTED_VALUE"""),"Vegetables")</f>
        <v>Vegetables</v>
      </c>
      <c r="D2620">
        <f>IFERROR(__xludf.DUMMYFUNCTION("""COMPUTED_VALUE"""),35.0)</f>
        <v>35</v>
      </c>
      <c r="E2620">
        <f>IFERROR(__xludf.DUMMYFUNCTION("""COMPUTED_VALUE"""),0.28)</f>
        <v>0.28</v>
      </c>
      <c r="F2620">
        <f>IFERROR(__xludf.DUMMYFUNCTION("""COMPUTED_VALUE"""),1.88)</f>
        <v>1.88</v>
      </c>
      <c r="G2620">
        <f>IFERROR(__xludf.DUMMYFUNCTION("""COMPUTED_VALUE"""),7.82)</f>
        <v>7.82</v>
      </c>
    </row>
    <row r="2621">
      <c r="A2621">
        <f>IFERROR(__xludf.DUMMYFUNCTION("""COMPUTED_VALUE"""),787953.0)</f>
        <v>787953</v>
      </c>
      <c r="B2621" t="str">
        <f>IFERROR(__xludf.DUMMYFUNCTION("""COMPUTED_VALUE"""),"Beans String Cooked From Frozen Ns As To Color Fat Not Added In Cooking")</f>
        <v>Beans String Cooked From Frozen Ns As To Color Fat Not Added In Cooking</v>
      </c>
      <c r="C2621" t="str">
        <f>IFERROR(__xludf.DUMMYFUNCTION("""COMPUTED_VALUE"""),"Vegetables")</f>
        <v>Vegetables</v>
      </c>
      <c r="D2621">
        <f>IFERROR(__xludf.DUMMYFUNCTION("""COMPUTED_VALUE"""),28.0)</f>
        <v>28</v>
      </c>
      <c r="E2621">
        <f>IFERROR(__xludf.DUMMYFUNCTION("""COMPUTED_VALUE"""),0.17)</f>
        <v>0.17</v>
      </c>
      <c r="F2621">
        <f>IFERROR(__xludf.DUMMYFUNCTION("""COMPUTED_VALUE"""),1.48)</f>
        <v>1.48</v>
      </c>
      <c r="G2621">
        <f>IFERROR(__xludf.DUMMYFUNCTION("""COMPUTED_VALUE"""),6.4)</f>
        <v>6.4</v>
      </c>
    </row>
    <row r="2622">
      <c r="A2622">
        <f>IFERROR(__xludf.DUMMYFUNCTION("""COMPUTED_VALUE"""),787954.0)</f>
        <v>787954</v>
      </c>
      <c r="B2622" t="str">
        <f>IFERROR(__xludf.DUMMYFUNCTION("""COMPUTED_VALUE"""),"Beans String Cooked From Canned Ns As To Color Fat Not Added In Cooking")</f>
        <v>Beans String Cooked From Canned Ns As To Color Fat Not Added In Cooking</v>
      </c>
      <c r="C2622" t="str">
        <f>IFERROR(__xludf.DUMMYFUNCTION("""COMPUTED_VALUE"""),"Vegetables")</f>
        <v>Vegetables</v>
      </c>
      <c r="D2622">
        <f>IFERROR(__xludf.DUMMYFUNCTION("""COMPUTED_VALUE"""),21.0)</f>
        <v>21</v>
      </c>
      <c r="E2622">
        <f>IFERROR(__xludf.DUMMYFUNCTION("""COMPUTED_VALUE"""),0.41)</f>
        <v>0.41</v>
      </c>
      <c r="F2622">
        <f>IFERROR(__xludf.DUMMYFUNCTION("""COMPUTED_VALUE"""),1.05)</f>
        <v>1.05</v>
      </c>
      <c r="G2622">
        <f>IFERROR(__xludf.DUMMYFUNCTION("""COMPUTED_VALUE"""),4.18)</f>
        <v>4.18</v>
      </c>
    </row>
    <row r="2623">
      <c r="A2623">
        <f>IFERROR(__xludf.DUMMYFUNCTION("""COMPUTED_VALUE"""),787955.0)</f>
        <v>787955</v>
      </c>
      <c r="B2623" t="str">
        <f>IFERROR(__xludf.DUMMYFUNCTION("""COMPUTED_VALUE"""),"Beans String Cooked Ns As To Form Ns As To Color Ns As To Fat Added In Cooking")</f>
        <v>Beans String Cooked Ns As To Form Ns As To Color Ns As To Fat Added In Cooking</v>
      </c>
      <c r="C2623" t="str">
        <f>IFERROR(__xludf.DUMMYFUNCTION("""COMPUTED_VALUE"""),"Vegetables")</f>
        <v>Vegetables</v>
      </c>
      <c r="D2623">
        <f>IFERROR(__xludf.DUMMYFUNCTION("""COMPUTED_VALUE"""),48.0)</f>
        <v>48</v>
      </c>
      <c r="E2623">
        <f>IFERROR(__xludf.DUMMYFUNCTION("""COMPUTED_VALUE"""),2.6)</f>
        <v>2.6</v>
      </c>
      <c r="F2623">
        <f>IFERROR(__xludf.DUMMYFUNCTION("""COMPUTED_VALUE"""),1.45)</f>
        <v>1.45</v>
      </c>
      <c r="G2623">
        <f>IFERROR(__xludf.DUMMYFUNCTION("""COMPUTED_VALUE"""),6.2)</f>
        <v>6.2</v>
      </c>
    </row>
    <row r="2624">
      <c r="A2624">
        <f>IFERROR(__xludf.DUMMYFUNCTION("""COMPUTED_VALUE"""),787956.0)</f>
        <v>787956</v>
      </c>
      <c r="B2624" t="str">
        <f>IFERROR(__xludf.DUMMYFUNCTION("""COMPUTED_VALUE"""),"Beans String Cooked From Fresh Ns As To Color Ns As To Fat Added In Cooking")</f>
        <v>Beans String Cooked From Fresh Ns As To Color Ns As To Fat Added In Cooking</v>
      </c>
      <c r="C2624" t="str">
        <f>IFERROR(__xludf.DUMMYFUNCTION("""COMPUTED_VALUE"""),"Vegetables")</f>
        <v>Vegetables</v>
      </c>
      <c r="D2624">
        <f>IFERROR(__xludf.DUMMYFUNCTION("""COMPUTED_VALUE"""),57.0)</f>
        <v>57</v>
      </c>
      <c r="E2624">
        <f>IFERROR(__xludf.DUMMYFUNCTION("""COMPUTED_VALUE"""),2.89)</f>
        <v>2.89</v>
      </c>
      <c r="F2624">
        <f>IFERROR(__xludf.DUMMYFUNCTION("""COMPUTED_VALUE"""),1.83)</f>
        <v>1.83</v>
      </c>
      <c r="G2624">
        <f>IFERROR(__xludf.DUMMYFUNCTION("""COMPUTED_VALUE"""),7.55)</f>
        <v>7.55</v>
      </c>
    </row>
    <row r="2625">
      <c r="A2625">
        <f>IFERROR(__xludf.DUMMYFUNCTION("""COMPUTED_VALUE"""),787957.0)</f>
        <v>787957</v>
      </c>
      <c r="B2625" t="str">
        <f>IFERROR(__xludf.DUMMYFUNCTION("""COMPUTED_VALUE"""),"Beans String Cooked From Frozen Ns As To Color Ns As To Fat Added In Cooking")</f>
        <v>Beans String Cooked From Frozen Ns As To Color Ns As To Fat Added In Cooking</v>
      </c>
      <c r="C2625" t="str">
        <f>IFERROR(__xludf.DUMMYFUNCTION("""COMPUTED_VALUE"""),"Vegetables")</f>
        <v>Vegetables</v>
      </c>
      <c r="D2625">
        <f>IFERROR(__xludf.DUMMYFUNCTION("""COMPUTED_VALUE"""),48.0)</f>
        <v>48</v>
      </c>
      <c r="E2625">
        <f>IFERROR(__xludf.DUMMYFUNCTION("""COMPUTED_VALUE"""),2.6)</f>
        <v>2.6</v>
      </c>
      <c r="F2625">
        <f>IFERROR(__xludf.DUMMYFUNCTION("""COMPUTED_VALUE"""),1.45)</f>
        <v>1.45</v>
      </c>
      <c r="G2625">
        <f>IFERROR(__xludf.DUMMYFUNCTION("""COMPUTED_VALUE"""),6.2)</f>
        <v>6.2</v>
      </c>
    </row>
    <row r="2626">
      <c r="A2626">
        <f>IFERROR(__xludf.DUMMYFUNCTION("""COMPUTED_VALUE"""),787958.0)</f>
        <v>787958</v>
      </c>
      <c r="B2626" t="str">
        <f>IFERROR(__xludf.DUMMYFUNCTION("""COMPUTED_VALUE"""),"Beans String Cooked From Canned Ns As To Color Ns As To Fat Added In Cooking")</f>
        <v>Beans String Cooked From Canned Ns As To Color Ns As To Fat Added In Cooking</v>
      </c>
      <c r="C2626" t="str">
        <f>IFERROR(__xludf.DUMMYFUNCTION("""COMPUTED_VALUE"""),"Vegetables")</f>
        <v>Vegetables</v>
      </c>
      <c r="D2626">
        <f>IFERROR(__xludf.DUMMYFUNCTION("""COMPUTED_VALUE"""),40.0)</f>
        <v>40</v>
      </c>
      <c r="E2626">
        <f>IFERROR(__xludf.DUMMYFUNCTION("""COMPUTED_VALUE"""),2.57)</f>
        <v>2.57</v>
      </c>
      <c r="F2626">
        <f>IFERROR(__xludf.DUMMYFUNCTION("""COMPUTED_VALUE"""),1.03)</f>
        <v>1.03</v>
      </c>
      <c r="G2626">
        <f>IFERROR(__xludf.DUMMYFUNCTION("""COMPUTED_VALUE"""),4.07)</f>
        <v>4.07</v>
      </c>
    </row>
    <row r="2627">
      <c r="A2627">
        <f>IFERROR(__xludf.DUMMYFUNCTION("""COMPUTED_VALUE"""),787959.0)</f>
        <v>787959</v>
      </c>
      <c r="B2627" t="str">
        <f>IFERROR(__xludf.DUMMYFUNCTION("""COMPUTED_VALUE"""),"Beans String Green Cooked Ns As To Form Ns As To Fat Added In Cooking")</f>
        <v>Beans String Green Cooked Ns As To Form Ns As To Fat Added In Cooking</v>
      </c>
      <c r="C2627" t="str">
        <f>IFERROR(__xludf.DUMMYFUNCTION("""COMPUTED_VALUE"""),"Vegetables")</f>
        <v>Vegetables</v>
      </c>
      <c r="D2627">
        <f>IFERROR(__xludf.DUMMYFUNCTION("""COMPUTED_VALUE"""),48.0)</f>
        <v>48</v>
      </c>
      <c r="E2627">
        <f>IFERROR(__xludf.DUMMYFUNCTION("""COMPUTED_VALUE"""),2.6)</f>
        <v>2.6</v>
      </c>
      <c r="F2627">
        <f>IFERROR(__xludf.DUMMYFUNCTION("""COMPUTED_VALUE"""),1.45)</f>
        <v>1.45</v>
      </c>
      <c r="G2627">
        <f>IFERROR(__xludf.DUMMYFUNCTION("""COMPUTED_VALUE"""),6.2)</f>
        <v>6.2</v>
      </c>
    </row>
    <row r="2628">
      <c r="A2628">
        <f>IFERROR(__xludf.DUMMYFUNCTION("""COMPUTED_VALUE"""),787960.0)</f>
        <v>787960</v>
      </c>
      <c r="B2628" t="str">
        <f>IFERROR(__xludf.DUMMYFUNCTION("""COMPUTED_VALUE"""),"Beans String Green Cooked From Fresh Ns As To Fat Added In Cooking")</f>
        <v>Beans String Green Cooked From Fresh Ns As To Fat Added In Cooking</v>
      </c>
      <c r="C2628" t="str">
        <f>IFERROR(__xludf.DUMMYFUNCTION("""COMPUTED_VALUE"""),"Vegetables")</f>
        <v>Vegetables</v>
      </c>
      <c r="D2628">
        <f>IFERROR(__xludf.DUMMYFUNCTION("""COMPUTED_VALUE"""),57.0)</f>
        <v>57</v>
      </c>
      <c r="E2628">
        <f>IFERROR(__xludf.DUMMYFUNCTION("""COMPUTED_VALUE"""),2.89)</f>
        <v>2.89</v>
      </c>
      <c r="F2628">
        <f>IFERROR(__xludf.DUMMYFUNCTION("""COMPUTED_VALUE"""),1.83)</f>
        <v>1.83</v>
      </c>
      <c r="G2628">
        <f>IFERROR(__xludf.DUMMYFUNCTION("""COMPUTED_VALUE"""),7.55)</f>
        <v>7.55</v>
      </c>
    </row>
    <row r="2629">
      <c r="A2629">
        <f>IFERROR(__xludf.DUMMYFUNCTION("""COMPUTED_VALUE"""),787961.0)</f>
        <v>787961</v>
      </c>
      <c r="B2629" t="str">
        <f>IFERROR(__xludf.DUMMYFUNCTION("""COMPUTED_VALUE"""),"Beans String Green Cooked From Frozen Ns As To Fat Added In Cooking")</f>
        <v>Beans String Green Cooked From Frozen Ns As To Fat Added In Cooking</v>
      </c>
      <c r="C2629" t="str">
        <f>IFERROR(__xludf.DUMMYFUNCTION("""COMPUTED_VALUE"""),"Vegetables")</f>
        <v>Vegetables</v>
      </c>
      <c r="D2629">
        <f>IFERROR(__xludf.DUMMYFUNCTION("""COMPUTED_VALUE"""),48.0)</f>
        <v>48</v>
      </c>
      <c r="E2629">
        <f>IFERROR(__xludf.DUMMYFUNCTION("""COMPUTED_VALUE"""),2.6)</f>
        <v>2.6</v>
      </c>
      <c r="F2629">
        <f>IFERROR(__xludf.DUMMYFUNCTION("""COMPUTED_VALUE"""),1.45)</f>
        <v>1.45</v>
      </c>
      <c r="G2629">
        <f>IFERROR(__xludf.DUMMYFUNCTION("""COMPUTED_VALUE"""),6.2)</f>
        <v>6.2</v>
      </c>
    </row>
    <row r="2630">
      <c r="A2630">
        <f>IFERROR(__xludf.DUMMYFUNCTION("""COMPUTED_VALUE"""),787962.0)</f>
        <v>787962</v>
      </c>
      <c r="B2630" t="str">
        <f>IFERROR(__xludf.DUMMYFUNCTION("""COMPUTED_VALUE"""),"Beans String Green Cooked From Canned Ns As To Fat Added In Cooking")</f>
        <v>Beans String Green Cooked From Canned Ns As To Fat Added In Cooking</v>
      </c>
      <c r="C2630" t="str">
        <f>IFERROR(__xludf.DUMMYFUNCTION("""COMPUTED_VALUE"""),"Vegetables")</f>
        <v>Vegetables</v>
      </c>
      <c r="D2630">
        <f>IFERROR(__xludf.DUMMYFUNCTION("""COMPUTED_VALUE"""),40.0)</f>
        <v>40</v>
      </c>
      <c r="E2630">
        <f>IFERROR(__xludf.DUMMYFUNCTION("""COMPUTED_VALUE"""),2.57)</f>
        <v>2.57</v>
      </c>
      <c r="F2630">
        <f>IFERROR(__xludf.DUMMYFUNCTION("""COMPUTED_VALUE"""),1.03)</f>
        <v>1.03</v>
      </c>
      <c r="G2630">
        <f>IFERROR(__xludf.DUMMYFUNCTION("""COMPUTED_VALUE"""),4.07)</f>
        <v>4.07</v>
      </c>
    </row>
    <row r="2631">
      <c r="A2631">
        <f>IFERROR(__xludf.DUMMYFUNCTION("""COMPUTED_VALUE"""),787963.0)</f>
        <v>787963</v>
      </c>
      <c r="B2631" t="str">
        <f>IFERROR(__xludf.DUMMYFUNCTION("""COMPUTED_VALUE"""),"Beans String Green Cooked Ns As To Form Fat Not Added In Cooking")</f>
        <v>Beans String Green Cooked Ns As To Form Fat Not Added In Cooking</v>
      </c>
      <c r="C2631" t="str">
        <f>IFERROR(__xludf.DUMMYFUNCTION("""COMPUTED_VALUE"""),"Vegetables")</f>
        <v>Vegetables</v>
      </c>
      <c r="D2631">
        <f>IFERROR(__xludf.DUMMYFUNCTION("""COMPUTED_VALUE"""),28.0)</f>
        <v>28</v>
      </c>
      <c r="E2631">
        <f>IFERROR(__xludf.DUMMYFUNCTION("""COMPUTED_VALUE"""),0.17)</f>
        <v>0.17</v>
      </c>
      <c r="F2631">
        <f>IFERROR(__xludf.DUMMYFUNCTION("""COMPUTED_VALUE"""),1.48)</f>
        <v>1.48</v>
      </c>
      <c r="G2631">
        <f>IFERROR(__xludf.DUMMYFUNCTION("""COMPUTED_VALUE"""),6.4)</f>
        <v>6.4</v>
      </c>
    </row>
    <row r="2632">
      <c r="A2632">
        <f>IFERROR(__xludf.DUMMYFUNCTION("""COMPUTED_VALUE"""),787964.0)</f>
        <v>787964</v>
      </c>
      <c r="B2632" t="str">
        <f>IFERROR(__xludf.DUMMYFUNCTION("""COMPUTED_VALUE"""),"Beans String Green Cooked From Fresh Fat Not Added In Cooking")</f>
        <v>Beans String Green Cooked From Fresh Fat Not Added In Cooking</v>
      </c>
      <c r="C2632" t="str">
        <f>IFERROR(__xludf.DUMMYFUNCTION("""COMPUTED_VALUE"""),"Vegetables")</f>
        <v>Vegetables</v>
      </c>
      <c r="D2632">
        <f>IFERROR(__xludf.DUMMYFUNCTION("""COMPUTED_VALUE"""),35.0)</f>
        <v>35</v>
      </c>
      <c r="E2632">
        <f>IFERROR(__xludf.DUMMYFUNCTION("""COMPUTED_VALUE"""),0.28)</f>
        <v>0.28</v>
      </c>
      <c r="F2632">
        <f>IFERROR(__xludf.DUMMYFUNCTION("""COMPUTED_VALUE"""),1.88)</f>
        <v>1.88</v>
      </c>
      <c r="G2632">
        <f>IFERROR(__xludf.DUMMYFUNCTION("""COMPUTED_VALUE"""),7.82)</f>
        <v>7.82</v>
      </c>
    </row>
    <row r="2633">
      <c r="A2633">
        <f>IFERROR(__xludf.DUMMYFUNCTION("""COMPUTED_VALUE"""),787965.0)</f>
        <v>787965</v>
      </c>
      <c r="B2633" t="str">
        <f>IFERROR(__xludf.DUMMYFUNCTION("""COMPUTED_VALUE"""),"Beans String Green Cooked From Frozen Fat Not Added In Cooking")</f>
        <v>Beans String Green Cooked From Frozen Fat Not Added In Cooking</v>
      </c>
      <c r="C2633" t="str">
        <f>IFERROR(__xludf.DUMMYFUNCTION("""COMPUTED_VALUE"""),"Vegetables")</f>
        <v>Vegetables</v>
      </c>
      <c r="D2633">
        <f>IFERROR(__xludf.DUMMYFUNCTION("""COMPUTED_VALUE"""),28.0)</f>
        <v>28</v>
      </c>
      <c r="E2633">
        <f>IFERROR(__xludf.DUMMYFUNCTION("""COMPUTED_VALUE"""),0.17)</f>
        <v>0.17</v>
      </c>
      <c r="F2633">
        <f>IFERROR(__xludf.DUMMYFUNCTION("""COMPUTED_VALUE"""),1.48)</f>
        <v>1.48</v>
      </c>
      <c r="G2633">
        <f>IFERROR(__xludf.DUMMYFUNCTION("""COMPUTED_VALUE"""),6.4)</f>
        <v>6.4</v>
      </c>
    </row>
    <row r="2634">
      <c r="A2634">
        <f>IFERROR(__xludf.DUMMYFUNCTION("""COMPUTED_VALUE"""),787966.0)</f>
        <v>787966</v>
      </c>
      <c r="B2634" t="str">
        <f>IFERROR(__xludf.DUMMYFUNCTION("""COMPUTED_VALUE"""),"Beans String Green Cooked From Canned Fat Not Added In Cooking")</f>
        <v>Beans String Green Cooked From Canned Fat Not Added In Cooking</v>
      </c>
      <c r="C2634" t="str">
        <f>IFERROR(__xludf.DUMMYFUNCTION("""COMPUTED_VALUE"""),"Vegetables")</f>
        <v>Vegetables</v>
      </c>
      <c r="D2634">
        <f>IFERROR(__xludf.DUMMYFUNCTION("""COMPUTED_VALUE"""),21.0)</f>
        <v>21</v>
      </c>
      <c r="E2634">
        <f>IFERROR(__xludf.DUMMYFUNCTION("""COMPUTED_VALUE"""),0.41)</f>
        <v>0.41</v>
      </c>
      <c r="F2634">
        <f>IFERROR(__xludf.DUMMYFUNCTION("""COMPUTED_VALUE"""),1.05)</f>
        <v>1.05</v>
      </c>
      <c r="G2634">
        <f>IFERROR(__xludf.DUMMYFUNCTION("""COMPUTED_VALUE"""),4.18)</f>
        <v>4.18</v>
      </c>
    </row>
    <row r="2635">
      <c r="A2635">
        <f>IFERROR(__xludf.DUMMYFUNCTION("""COMPUTED_VALUE"""),787967.0)</f>
        <v>787967</v>
      </c>
      <c r="B2635" t="str">
        <f>IFERROR(__xludf.DUMMYFUNCTION("""COMPUTED_VALUE"""),"Beans String Green Cooked Ns As To Form Fat Added In Cooking Ns As To Type Of Fat")</f>
        <v>Beans String Green Cooked Ns As To Form Fat Added In Cooking Ns As To Type Of Fat</v>
      </c>
      <c r="C2635" t="str">
        <f>IFERROR(__xludf.DUMMYFUNCTION("""COMPUTED_VALUE"""),"Vegetables")</f>
        <v>Vegetables</v>
      </c>
      <c r="D2635">
        <f>IFERROR(__xludf.DUMMYFUNCTION("""COMPUTED_VALUE"""),48.0)</f>
        <v>48</v>
      </c>
      <c r="E2635">
        <f>IFERROR(__xludf.DUMMYFUNCTION("""COMPUTED_VALUE"""),2.6)</f>
        <v>2.6</v>
      </c>
      <c r="F2635">
        <f>IFERROR(__xludf.DUMMYFUNCTION("""COMPUTED_VALUE"""),1.45)</f>
        <v>1.45</v>
      </c>
      <c r="G2635">
        <f>IFERROR(__xludf.DUMMYFUNCTION("""COMPUTED_VALUE"""),6.2)</f>
        <v>6.2</v>
      </c>
    </row>
    <row r="2636">
      <c r="A2636">
        <f>IFERROR(__xludf.DUMMYFUNCTION("""COMPUTED_VALUE"""),787968.0)</f>
        <v>787968</v>
      </c>
      <c r="B2636" t="str">
        <f>IFERROR(__xludf.DUMMYFUNCTION("""COMPUTED_VALUE"""),"Beans String Green Cooked From Fresh Fat Added In Cooking Ns As To Type Of Fat")</f>
        <v>Beans String Green Cooked From Fresh Fat Added In Cooking Ns As To Type Of Fat</v>
      </c>
      <c r="C2636" t="str">
        <f>IFERROR(__xludf.DUMMYFUNCTION("""COMPUTED_VALUE"""),"Vegetables")</f>
        <v>Vegetables</v>
      </c>
      <c r="D2636">
        <f>IFERROR(__xludf.DUMMYFUNCTION("""COMPUTED_VALUE"""),57.0)</f>
        <v>57</v>
      </c>
      <c r="E2636">
        <f>IFERROR(__xludf.DUMMYFUNCTION("""COMPUTED_VALUE"""),2.89)</f>
        <v>2.89</v>
      </c>
      <c r="F2636">
        <f>IFERROR(__xludf.DUMMYFUNCTION("""COMPUTED_VALUE"""),1.83)</f>
        <v>1.83</v>
      </c>
      <c r="G2636">
        <f>IFERROR(__xludf.DUMMYFUNCTION("""COMPUTED_VALUE"""),7.55)</f>
        <v>7.55</v>
      </c>
    </row>
    <row r="2637">
      <c r="A2637">
        <f>IFERROR(__xludf.DUMMYFUNCTION("""COMPUTED_VALUE"""),787969.0)</f>
        <v>787969</v>
      </c>
      <c r="B2637" t="str">
        <f>IFERROR(__xludf.DUMMYFUNCTION("""COMPUTED_VALUE"""),"Beans String Green Cooked From Frozen Fat Added In Cooking Ns As To Type Of Fat")</f>
        <v>Beans String Green Cooked From Frozen Fat Added In Cooking Ns As To Type Of Fat</v>
      </c>
      <c r="C2637" t="str">
        <f>IFERROR(__xludf.DUMMYFUNCTION("""COMPUTED_VALUE"""),"Vegetables")</f>
        <v>Vegetables</v>
      </c>
      <c r="D2637">
        <f>IFERROR(__xludf.DUMMYFUNCTION("""COMPUTED_VALUE"""),48.0)</f>
        <v>48</v>
      </c>
      <c r="E2637">
        <f>IFERROR(__xludf.DUMMYFUNCTION("""COMPUTED_VALUE"""),2.6)</f>
        <v>2.6</v>
      </c>
      <c r="F2637">
        <f>IFERROR(__xludf.DUMMYFUNCTION("""COMPUTED_VALUE"""),1.45)</f>
        <v>1.45</v>
      </c>
      <c r="G2637">
        <f>IFERROR(__xludf.DUMMYFUNCTION("""COMPUTED_VALUE"""),6.2)</f>
        <v>6.2</v>
      </c>
    </row>
    <row r="2638">
      <c r="A2638">
        <f>IFERROR(__xludf.DUMMYFUNCTION("""COMPUTED_VALUE"""),787970.0)</f>
        <v>787970</v>
      </c>
      <c r="B2638" t="str">
        <f>IFERROR(__xludf.DUMMYFUNCTION("""COMPUTED_VALUE"""),"Beans String Green Cooked From Canned Fat Added In Cooking Ns As To Type Of Fat")</f>
        <v>Beans String Green Cooked From Canned Fat Added In Cooking Ns As To Type Of Fat</v>
      </c>
      <c r="C2638" t="str">
        <f>IFERROR(__xludf.DUMMYFUNCTION("""COMPUTED_VALUE"""),"Vegetables")</f>
        <v>Vegetables</v>
      </c>
      <c r="D2638">
        <f>IFERROR(__xludf.DUMMYFUNCTION("""COMPUTED_VALUE"""),40.0)</f>
        <v>40</v>
      </c>
      <c r="E2638">
        <f>IFERROR(__xludf.DUMMYFUNCTION("""COMPUTED_VALUE"""),2.57)</f>
        <v>2.57</v>
      </c>
      <c r="F2638">
        <f>IFERROR(__xludf.DUMMYFUNCTION("""COMPUTED_VALUE"""),1.03)</f>
        <v>1.03</v>
      </c>
      <c r="G2638">
        <f>IFERROR(__xludf.DUMMYFUNCTION("""COMPUTED_VALUE"""),4.07)</f>
        <v>4.07</v>
      </c>
    </row>
    <row r="2639">
      <c r="A2639">
        <f>IFERROR(__xludf.DUMMYFUNCTION("""COMPUTED_VALUE"""),787971.0)</f>
        <v>787971</v>
      </c>
      <c r="B2639" t="str">
        <f>IFERROR(__xludf.DUMMYFUNCTION("""COMPUTED_VALUE"""),"Beans String Green Cooked Ns As To Form Made With Oil")</f>
        <v>Beans String Green Cooked Ns As To Form Made With Oil</v>
      </c>
      <c r="C2639" t="str">
        <f>IFERROR(__xludf.DUMMYFUNCTION("""COMPUTED_VALUE"""),"Vegetables")</f>
        <v>Vegetables</v>
      </c>
      <c r="D2639">
        <f>IFERROR(__xludf.DUMMYFUNCTION("""COMPUTED_VALUE"""),56.0)</f>
        <v>56</v>
      </c>
      <c r="E2639">
        <f>IFERROR(__xludf.DUMMYFUNCTION("""COMPUTED_VALUE"""),3.4)</f>
        <v>3.4</v>
      </c>
      <c r="F2639">
        <f>IFERROR(__xludf.DUMMYFUNCTION("""COMPUTED_VALUE"""),1.43)</f>
        <v>1.43</v>
      </c>
      <c r="G2639">
        <f>IFERROR(__xludf.DUMMYFUNCTION("""COMPUTED_VALUE"""),6.2)</f>
        <v>6.2</v>
      </c>
    </row>
    <row r="2640">
      <c r="A2640">
        <f>IFERROR(__xludf.DUMMYFUNCTION("""COMPUTED_VALUE"""),787972.0)</f>
        <v>787972</v>
      </c>
      <c r="B2640" t="str">
        <f>IFERROR(__xludf.DUMMYFUNCTION("""COMPUTED_VALUE"""),"Beans String Green Cooked Ns As To Form Made With Butter")</f>
        <v>Beans String Green Cooked Ns As To Form Made With Butter</v>
      </c>
      <c r="C2640" t="str">
        <f>IFERROR(__xludf.DUMMYFUNCTION("""COMPUTED_VALUE"""),"Vegetables")</f>
        <v>Vegetables</v>
      </c>
      <c r="D2640">
        <f>IFERROR(__xludf.DUMMYFUNCTION("""COMPUTED_VALUE"""),51.0)</f>
        <v>51</v>
      </c>
      <c r="E2640">
        <f>IFERROR(__xludf.DUMMYFUNCTION("""COMPUTED_VALUE"""),2.89)</f>
        <v>2.89</v>
      </c>
      <c r="F2640">
        <f>IFERROR(__xludf.DUMMYFUNCTION("""COMPUTED_VALUE"""),1.46)</f>
        <v>1.46</v>
      </c>
      <c r="G2640">
        <f>IFERROR(__xludf.DUMMYFUNCTION("""COMPUTED_VALUE"""),6.19)</f>
        <v>6.19</v>
      </c>
    </row>
    <row r="2641">
      <c r="A2641">
        <f>IFERROR(__xludf.DUMMYFUNCTION("""COMPUTED_VALUE"""),787973.0)</f>
        <v>787973</v>
      </c>
      <c r="B2641" t="str">
        <f>IFERROR(__xludf.DUMMYFUNCTION("""COMPUTED_VALUE"""),"Beans String Green Cooked Ns As To Form Made With Margarine")</f>
        <v>Beans String Green Cooked Ns As To Form Made With Margarine</v>
      </c>
      <c r="C2641" t="str">
        <f>IFERROR(__xludf.DUMMYFUNCTION("""COMPUTED_VALUE"""),"Vegetables")</f>
        <v>Vegetables</v>
      </c>
      <c r="D2641">
        <f>IFERROR(__xludf.DUMMYFUNCTION("""COMPUTED_VALUE"""),45.0)</f>
        <v>45</v>
      </c>
      <c r="E2641">
        <f>IFERROR(__xludf.DUMMYFUNCTION("""COMPUTED_VALUE"""),2.19)</f>
        <v>2.19</v>
      </c>
      <c r="F2641">
        <f>IFERROR(__xludf.DUMMYFUNCTION("""COMPUTED_VALUE"""),1.44)</f>
        <v>1.44</v>
      </c>
      <c r="G2641">
        <f>IFERROR(__xludf.DUMMYFUNCTION("""COMPUTED_VALUE"""),6.22)</f>
        <v>6.22</v>
      </c>
    </row>
    <row r="2642">
      <c r="A2642">
        <f>IFERROR(__xludf.DUMMYFUNCTION("""COMPUTED_VALUE"""),787974.0)</f>
        <v>787974</v>
      </c>
      <c r="B2642" t="str">
        <f>IFERROR(__xludf.DUMMYFUNCTION("""COMPUTED_VALUE"""),"Beans String Green Cooked From Fresh Made With Oil")</f>
        <v>Beans String Green Cooked From Fresh Made With Oil</v>
      </c>
      <c r="C2642" t="str">
        <f>IFERROR(__xludf.DUMMYFUNCTION("""COMPUTED_VALUE"""),"Vegetables")</f>
        <v>Vegetables</v>
      </c>
      <c r="D2642">
        <f>IFERROR(__xludf.DUMMYFUNCTION("""COMPUTED_VALUE"""),64.0)</f>
        <v>64</v>
      </c>
      <c r="E2642">
        <f>IFERROR(__xludf.DUMMYFUNCTION("""COMPUTED_VALUE"""),3.75)</f>
        <v>3.75</v>
      </c>
      <c r="F2642">
        <f>IFERROR(__xludf.DUMMYFUNCTION("""COMPUTED_VALUE"""),1.81)</f>
        <v>1.81</v>
      </c>
      <c r="G2642">
        <f>IFERROR(__xludf.DUMMYFUNCTION("""COMPUTED_VALUE"""),7.54)</f>
        <v>7.54</v>
      </c>
    </row>
    <row r="2643">
      <c r="A2643">
        <f>IFERROR(__xludf.DUMMYFUNCTION("""COMPUTED_VALUE"""),787975.0)</f>
        <v>787975</v>
      </c>
      <c r="B2643" t="str">
        <f>IFERROR(__xludf.DUMMYFUNCTION("""COMPUTED_VALUE"""),"Beans String Green Cooked From Fresh Made With Butter")</f>
        <v>Beans String Green Cooked From Fresh Made With Butter</v>
      </c>
      <c r="C2643" t="str">
        <f>IFERROR(__xludf.DUMMYFUNCTION("""COMPUTED_VALUE"""),"Vegetables")</f>
        <v>Vegetables</v>
      </c>
      <c r="D2643">
        <f>IFERROR(__xludf.DUMMYFUNCTION("""COMPUTED_VALUE"""),59.0)</f>
        <v>59</v>
      </c>
      <c r="E2643">
        <f>IFERROR(__xludf.DUMMYFUNCTION("""COMPUTED_VALUE"""),3.2)</f>
        <v>3.2</v>
      </c>
      <c r="F2643">
        <f>IFERROR(__xludf.DUMMYFUNCTION("""COMPUTED_VALUE"""),1.84)</f>
        <v>1.84</v>
      </c>
      <c r="G2643">
        <f>IFERROR(__xludf.DUMMYFUNCTION("""COMPUTED_VALUE"""),7.54)</f>
        <v>7.54</v>
      </c>
    </row>
    <row r="2644">
      <c r="A2644">
        <f>IFERROR(__xludf.DUMMYFUNCTION("""COMPUTED_VALUE"""),787976.0)</f>
        <v>787976</v>
      </c>
      <c r="B2644" t="str">
        <f>IFERROR(__xludf.DUMMYFUNCTION("""COMPUTED_VALUE"""),"Beans String Green Cooked From Fresh Made With Margarine")</f>
        <v>Beans String Green Cooked From Fresh Made With Margarine</v>
      </c>
      <c r="C2644" t="str">
        <f>IFERROR(__xludf.DUMMYFUNCTION("""COMPUTED_VALUE"""),"Vegetables")</f>
        <v>Vegetables</v>
      </c>
      <c r="D2644">
        <f>IFERROR(__xludf.DUMMYFUNCTION("""COMPUTED_VALUE"""),53.0)</f>
        <v>53</v>
      </c>
      <c r="E2644">
        <f>IFERROR(__xludf.DUMMYFUNCTION("""COMPUTED_VALUE"""),2.45)</f>
        <v>2.45</v>
      </c>
      <c r="F2644">
        <f>IFERROR(__xludf.DUMMYFUNCTION("""COMPUTED_VALUE"""),1.81)</f>
        <v>1.81</v>
      </c>
      <c r="G2644">
        <f>IFERROR(__xludf.DUMMYFUNCTION("""COMPUTED_VALUE"""),7.56)</f>
        <v>7.56</v>
      </c>
    </row>
    <row r="2645">
      <c r="A2645">
        <f>IFERROR(__xludf.DUMMYFUNCTION("""COMPUTED_VALUE"""),787977.0)</f>
        <v>787977</v>
      </c>
      <c r="B2645" t="str">
        <f>IFERROR(__xludf.DUMMYFUNCTION("""COMPUTED_VALUE"""),"Beans String Green Cooked From Frozen Made With Oil")</f>
        <v>Beans String Green Cooked From Frozen Made With Oil</v>
      </c>
      <c r="C2645" t="str">
        <f>IFERROR(__xludf.DUMMYFUNCTION("""COMPUTED_VALUE"""),"Vegetables")</f>
        <v>Vegetables</v>
      </c>
      <c r="D2645">
        <f>IFERROR(__xludf.DUMMYFUNCTION("""COMPUTED_VALUE"""),56.0)</f>
        <v>56</v>
      </c>
      <c r="E2645">
        <f>IFERROR(__xludf.DUMMYFUNCTION("""COMPUTED_VALUE"""),3.4)</f>
        <v>3.4</v>
      </c>
      <c r="F2645">
        <f>IFERROR(__xludf.DUMMYFUNCTION("""COMPUTED_VALUE"""),1.43)</f>
        <v>1.43</v>
      </c>
      <c r="G2645">
        <f>IFERROR(__xludf.DUMMYFUNCTION("""COMPUTED_VALUE"""),6.2)</f>
        <v>6.2</v>
      </c>
    </row>
    <row r="2646">
      <c r="A2646">
        <f>IFERROR(__xludf.DUMMYFUNCTION("""COMPUTED_VALUE"""),787978.0)</f>
        <v>787978</v>
      </c>
      <c r="B2646" t="str">
        <f>IFERROR(__xludf.DUMMYFUNCTION("""COMPUTED_VALUE"""),"Beans String Green Cooked From Frozen Made With Butter")</f>
        <v>Beans String Green Cooked From Frozen Made With Butter</v>
      </c>
      <c r="C2646" t="str">
        <f>IFERROR(__xludf.DUMMYFUNCTION("""COMPUTED_VALUE"""),"Vegetables")</f>
        <v>Vegetables</v>
      </c>
      <c r="D2646">
        <f>IFERROR(__xludf.DUMMYFUNCTION("""COMPUTED_VALUE"""),51.0)</f>
        <v>51</v>
      </c>
      <c r="E2646">
        <f>IFERROR(__xludf.DUMMYFUNCTION("""COMPUTED_VALUE"""),2.89)</f>
        <v>2.89</v>
      </c>
      <c r="F2646">
        <f>IFERROR(__xludf.DUMMYFUNCTION("""COMPUTED_VALUE"""),1.46)</f>
        <v>1.46</v>
      </c>
      <c r="G2646">
        <f>IFERROR(__xludf.DUMMYFUNCTION("""COMPUTED_VALUE"""),6.19)</f>
        <v>6.19</v>
      </c>
    </row>
    <row r="2647">
      <c r="A2647">
        <f>IFERROR(__xludf.DUMMYFUNCTION("""COMPUTED_VALUE"""),787979.0)</f>
        <v>787979</v>
      </c>
      <c r="B2647" t="str">
        <f>IFERROR(__xludf.DUMMYFUNCTION("""COMPUTED_VALUE"""),"Beans String Green Cooked From Frozen Made With Margarine")</f>
        <v>Beans String Green Cooked From Frozen Made With Margarine</v>
      </c>
      <c r="C2647" t="str">
        <f>IFERROR(__xludf.DUMMYFUNCTION("""COMPUTED_VALUE"""),"Vegetables")</f>
        <v>Vegetables</v>
      </c>
      <c r="D2647">
        <f>IFERROR(__xludf.DUMMYFUNCTION("""COMPUTED_VALUE"""),45.0)</f>
        <v>45</v>
      </c>
      <c r="E2647">
        <f>IFERROR(__xludf.DUMMYFUNCTION("""COMPUTED_VALUE"""),2.19)</f>
        <v>2.19</v>
      </c>
      <c r="F2647">
        <f>IFERROR(__xludf.DUMMYFUNCTION("""COMPUTED_VALUE"""),1.44)</f>
        <v>1.44</v>
      </c>
      <c r="G2647">
        <f>IFERROR(__xludf.DUMMYFUNCTION("""COMPUTED_VALUE"""),6.22)</f>
        <v>6.22</v>
      </c>
    </row>
    <row r="2648">
      <c r="A2648">
        <f>IFERROR(__xludf.DUMMYFUNCTION("""COMPUTED_VALUE"""),787980.0)</f>
        <v>787980</v>
      </c>
      <c r="B2648" t="str">
        <f>IFERROR(__xludf.DUMMYFUNCTION("""COMPUTED_VALUE"""),"Beans String Green Cooked From Canned Made With Oil")</f>
        <v>Beans String Green Cooked From Canned Made With Oil</v>
      </c>
      <c r="C2648" t="str">
        <f>IFERROR(__xludf.DUMMYFUNCTION("""COMPUTED_VALUE"""),"Vegetables")</f>
        <v>Vegetables</v>
      </c>
      <c r="D2648">
        <f>IFERROR(__xludf.DUMMYFUNCTION("""COMPUTED_VALUE"""),46.0)</f>
        <v>46</v>
      </c>
      <c r="E2648">
        <f>IFERROR(__xludf.DUMMYFUNCTION("""COMPUTED_VALUE"""),3.27)</f>
        <v>3.27</v>
      </c>
      <c r="F2648">
        <f>IFERROR(__xludf.DUMMYFUNCTION("""COMPUTED_VALUE"""),1.02)</f>
        <v>1.02</v>
      </c>
      <c r="G2648">
        <f>IFERROR(__xludf.DUMMYFUNCTION("""COMPUTED_VALUE"""),4.06)</f>
        <v>4.06</v>
      </c>
    </row>
    <row r="2649">
      <c r="A2649">
        <f>IFERROR(__xludf.DUMMYFUNCTION("""COMPUTED_VALUE"""),787981.0)</f>
        <v>787981</v>
      </c>
      <c r="B2649" t="str">
        <f>IFERROR(__xludf.DUMMYFUNCTION("""COMPUTED_VALUE"""),"Beans String Green Cooked From Canned Made With Butter")</f>
        <v>Beans String Green Cooked From Canned Made With Butter</v>
      </c>
      <c r="C2649" t="str">
        <f>IFERROR(__xludf.DUMMYFUNCTION("""COMPUTED_VALUE"""),"Vegetables")</f>
        <v>Vegetables</v>
      </c>
      <c r="D2649">
        <f>IFERROR(__xludf.DUMMYFUNCTION("""COMPUTED_VALUE"""),42.0)</f>
        <v>42</v>
      </c>
      <c r="E2649">
        <f>IFERROR(__xludf.DUMMYFUNCTION("""COMPUTED_VALUE"""),2.82)</f>
        <v>2.82</v>
      </c>
      <c r="F2649">
        <f>IFERROR(__xludf.DUMMYFUNCTION("""COMPUTED_VALUE"""),1.04)</f>
        <v>1.04</v>
      </c>
      <c r="G2649">
        <f>IFERROR(__xludf.DUMMYFUNCTION("""COMPUTED_VALUE"""),4.06)</f>
        <v>4.06</v>
      </c>
    </row>
    <row r="2650">
      <c r="A2650">
        <f>IFERROR(__xludf.DUMMYFUNCTION("""COMPUTED_VALUE"""),787982.0)</f>
        <v>787982</v>
      </c>
      <c r="B2650" t="str">
        <f>IFERROR(__xludf.DUMMYFUNCTION("""COMPUTED_VALUE"""),"Beans String Green Cooked From Canned Made With Margarine")</f>
        <v>Beans String Green Cooked From Canned Made With Margarine</v>
      </c>
      <c r="C2650" t="str">
        <f>IFERROR(__xludf.DUMMYFUNCTION("""COMPUTED_VALUE"""),"Vegetables")</f>
        <v>Vegetables</v>
      </c>
      <c r="D2650">
        <f>IFERROR(__xludf.DUMMYFUNCTION("""COMPUTED_VALUE"""),36.0)</f>
        <v>36</v>
      </c>
      <c r="E2650">
        <f>IFERROR(__xludf.DUMMYFUNCTION("""COMPUTED_VALUE"""),2.2)</f>
        <v>2.2</v>
      </c>
      <c r="F2650">
        <f>IFERROR(__xludf.DUMMYFUNCTION("""COMPUTED_VALUE"""),1.02)</f>
        <v>1.02</v>
      </c>
      <c r="G2650">
        <f>IFERROR(__xludf.DUMMYFUNCTION("""COMPUTED_VALUE"""),4.08)</f>
        <v>4.08</v>
      </c>
    </row>
    <row r="2651">
      <c r="A2651">
        <f>IFERROR(__xludf.DUMMYFUNCTION("""COMPUTED_VALUE"""),787983.0)</f>
        <v>787983</v>
      </c>
      <c r="B2651" t="str">
        <f>IFERROR(__xludf.DUMMYFUNCTION("""COMPUTED_VALUE"""),"Beans String Green Canned Low Sodium Ns As To Fat Added In Cooking")</f>
        <v>Beans String Green Canned Low Sodium Ns As To Fat Added In Cooking</v>
      </c>
      <c r="C2651" t="str">
        <f>IFERROR(__xludf.DUMMYFUNCTION("""COMPUTED_VALUE"""),"Vegetables")</f>
        <v>Vegetables</v>
      </c>
      <c r="D2651">
        <f>IFERROR(__xludf.DUMMYFUNCTION("""COMPUTED_VALUE"""),41.0)</f>
        <v>41</v>
      </c>
      <c r="E2651">
        <f>IFERROR(__xludf.DUMMYFUNCTION("""COMPUTED_VALUE"""),2.62)</f>
        <v>2.62</v>
      </c>
      <c r="F2651">
        <f>IFERROR(__xludf.DUMMYFUNCTION("""COMPUTED_VALUE"""),1.1)</f>
        <v>1.1</v>
      </c>
      <c r="G2651">
        <f>IFERROR(__xludf.DUMMYFUNCTION("""COMPUTED_VALUE"""),4.2)</f>
        <v>4.2</v>
      </c>
    </row>
    <row r="2652">
      <c r="A2652">
        <f>IFERROR(__xludf.DUMMYFUNCTION("""COMPUTED_VALUE"""),787985.0)</f>
        <v>787985</v>
      </c>
      <c r="B2652" t="str">
        <f>IFERROR(__xludf.DUMMYFUNCTION("""COMPUTED_VALUE"""),"Beans String Green Canned Low Sodium Fat Added In Cooking Ns As To Type Of Fat")</f>
        <v>Beans String Green Canned Low Sodium Fat Added In Cooking Ns As To Type Of Fat</v>
      </c>
      <c r="C2652" t="str">
        <f>IFERROR(__xludf.DUMMYFUNCTION("""COMPUTED_VALUE"""),"Vegetables")</f>
        <v>Vegetables</v>
      </c>
      <c r="D2652">
        <f>IFERROR(__xludf.DUMMYFUNCTION("""COMPUTED_VALUE"""),41.0)</f>
        <v>41</v>
      </c>
      <c r="E2652">
        <f>IFERROR(__xludf.DUMMYFUNCTION("""COMPUTED_VALUE"""),2.62)</f>
        <v>2.62</v>
      </c>
      <c r="F2652">
        <f>IFERROR(__xludf.DUMMYFUNCTION("""COMPUTED_VALUE"""),1.1)</f>
        <v>1.1</v>
      </c>
      <c r="G2652">
        <f>IFERROR(__xludf.DUMMYFUNCTION("""COMPUTED_VALUE"""),4.2)</f>
        <v>4.2</v>
      </c>
    </row>
    <row r="2653">
      <c r="A2653">
        <f>IFERROR(__xludf.DUMMYFUNCTION("""COMPUTED_VALUE"""),787986.0)</f>
        <v>787986</v>
      </c>
      <c r="B2653" t="str">
        <f>IFERROR(__xludf.DUMMYFUNCTION("""COMPUTED_VALUE"""),"Beans String Green Canned Low Sodium Made With Oil")</f>
        <v>Beans String Green Canned Low Sodium Made With Oil</v>
      </c>
      <c r="C2653" t="str">
        <f>IFERROR(__xludf.DUMMYFUNCTION("""COMPUTED_VALUE"""),"Vegetables")</f>
        <v>Vegetables</v>
      </c>
      <c r="D2653">
        <f>IFERROR(__xludf.DUMMYFUNCTION("""COMPUTED_VALUE"""),47.0)</f>
        <v>47</v>
      </c>
      <c r="E2653">
        <f>IFERROR(__xludf.DUMMYFUNCTION("""COMPUTED_VALUE"""),3.33)</f>
        <v>3.33</v>
      </c>
      <c r="F2653">
        <f>IFERROR(__xludf.DUMMYFUNCTION("""COMPUTED_VALUE"""),1.09)</f>
        <v>1.09</v>
      </c>
      <c r="G2653">
        <f>IFERROR(__xludf.DUMMYFUNCTION("""COMPUTED_VALUE"""),4.2)</f>
        <v>4.2</v>
      </c>
    </row>
    <row r="2654">
      <c r="A2654">
        <f>IFERROR(__xludf.DUMMYFUNCTION("""COMPUTED_VALUE"""),787987.0)</f>
        <v>787987</v>
      </c>
      <c r="B2654" t="str">
        <f>IFERROR(__xludf.DUMMYFUNCTION("""COMPUTED_VALUE"""),"Beans String Green Canned Low Sodium Made With Butter")</f>
        <v>Beans String Green Canned Low Sodium Made With Butter</v>
      </c>
      <c r="C2654" t="str">
        <f>IFERROR(__xludf.DUMMYFUNCTION("""COMPUTED_VALUE"""),"Vegetables")</f>
        <v>Vegetables</v>
      </c>
      <c r="D2654">
        <f>IFERROR(__xludf.DUMMYFUNCTION("""COMPUTED_VALUE"""),43.0)</f>
        <v>43</v>
      </c>
      <c r="E2654">
        <f>IFERROR(__xludf.DUMMYFUNCTION("""COMPUTED_VALUE"""),2.88)</f>
        <v>2.88</v>
      </c>
      <c r="F2654">
        <f>IFERROR(__xludf.DUMMYFUNCTION("""COMPUTED_VALUE"""),1.11)</f>
        <v>1.11</v>
      </c>
      <c r="G2654">
        <f>IFERROR(__xludf.DUMMYFUNCTION("""COMPUTED_VALUE"""),4.19)</f>
        <v>4.19</v>
      </c>
    </row>
    <row r="2655">
      <c r="A2655">
        <f>IFERROR(__xludf.DUMMYFUNCTION("""COMPUTED_VALUE"""),787988.0)</f>
        <v>787988</v>
      </c>
      <c r="B2655" t="str">
        <f>IFERROR(__xludf.DUMMYFUNCTION("""COMPUTED_VALUE"""),"Beans String Green Canned Low Sodium Made With Margarine")</f>
        <v>Beans String Green Canned Low Sodium Made With Margarine</v>
      </c>
      <c r="C2655" t="str">
        <f>IFERROR(__xludf.DUMMYFUNCTION("""COMPUTED_VALUE"""),"Vegetables")</f>
        <v>Vegetables</v>
      </c>
      <c r="D2655">
        <f>IFERROR(__xludf.DUMMYFUNCTION("""COMPUTED_VALUE"""),37.0)</f>
        <v>37</v>
      </c>
      <c r="E2655">
        <f>IFERROR(__xludf.DUMMYFUNCTION("""COMPUTED_VALUE"""),2.26)</f>
        <v>2.26</v>
      </c>
      <c r="F2655">
        <f>IFERROR(__xludf.DUMMYFUNCTION("""COMPUTED_VALUE"""),1.09)</f>
        <v>1.09</v>
      </c>
      <c r="G2655">
        <f>IFERROR(__xludf.DUMMYFUNCTION("""COMPUTED_VALUE"""),4.22)</f>
        <v>4.22</v>
      </c>
    </row>
    <row r="2656">
      <c r="A2656">
        <f>IFERROR(__xludf.DUMMYFUNCTION("""COMPUTED_VALUE"""),787989.0)</f>
        <v>787989</v>
      </c>
      <c r="B2656" t="str">
        <f>IFERROR(__xludf.DUMMYFUNCTION("""COMPUTED_VALUE"""),"Beans String Yellow Cooked Ns As To Form Ns As To Fat Added In Cooking")</f>
        <v>Beans String Yellow Cooked Ns As To Form Ns As To Fat Added In Cooking</v>
      </c>
      <c r="C2656" t="str">
        <f>IFERROR(__xludf.DUMMYFUNCTION("""COMPUTED_VALUE"""),"Vegetables")</f>
        <v>Vegetables</v>
      </c>
      <c r="D2656">
        <f>IFERROR(__xludf.DUMMYFUNCTION("""COMPUTED_VALUE"""),48.0)</f>
        <v>48</v>
      </c>
      <c r="E2656">
        <f>IFERROR(__xludf.DUMMYFUNCTION("""COMPUTED_VALUE"""),2.6)</f>
        <v>2.6</v>
      </c>
      <c r="F2656">
        <f>IFERROR(__xludf.DUMMYFUNCTION("""COMPUTED_VALUE"""),1.45)</f>
        <v>1.45</v>
      </c>
      <c r="G2656">
        <f>IFERROR(__xludf.DUMMYFUNCTION("""COMPUTED_VALUE"""),6.2)</f>
        <v>6.2</v>
      </c>
    </row>
    <row r="2657">
      <c r="A2657">
        <f>IFERROR(__xludf.DUMMYFUNCTION("""COMPUTED_VALUE"""),787990.0)</f>
        <v>787990</v>
      </c>
      <c r="B2657" t="str">
        <f>IFERROR(__xludf.DUMMYFUNCTION("""COMPUTED_VALUE"""),"Beans String Yellow Cooked From Fresh Ns As To Fat Added In Cooking")</f>
        <v>Beans String Yellow Cooked From Fresh Ns As To Fat Added In Cooking</v>
      </c>
      <c r="C2657" t="str">
        <f>IFERROR(__xludf.DUMMYFUNCTION("""COMPUTED_VALUE"""),"Vegetables")</f>
        <v>Vegetables</v>
      </c>
      <c r="D2657">
        <f>IFERROR(__xludf.DUMMYFUNCTION("""COMPUTED_VALUE"""),57.0)</f>
        <v>57</v>
      </c>
      <c r="E2657">
        <f>IFERROR(__xludf.DUMMYFUNCTION("""COMPUTED_VALUE"""),2.89)</f>
        <v>2.89</v>
      </c>
      <c r="F2657">
        <f>IFERROR(__xludf.DUMMYFUNCTION("""COMPUTED_VALUE"""),1.83)</f>
        <v>1.83</v>
      </c>
      <c r="G2657">
        <f>IFERROR(__xludf.DUMMYFUNCTION("""COMPUTED_VALUE"""),7.55)</f>
        <v>7.55</v>
      </c>
    </row>
    <row r="2658">
      <c r="A2658">
        <f>IFERROR(__xludf.DUMMYFUNCTION("""COMPUTED_VALUE"""),787991.0)</f>
        <v>787991</v>
      </c>
      <c r="B2658" t="str">
        <f>IFERROR(__xludf.DUMMYFUNCTION("""COMPUTED_VALUE"""),"Beans String Yellow Cooked From Frozen Ns As To Fat Added In Cooking")</f>
        <v>Beans String Yellow Cooked From Frozen Ns As To Fat Added In Cooking</v>
      </c>
      <c r="C2658" t="str">
        <f>IFERROR(__xludf.DUMMYFUNCTION("""COMPUTED_VALUE"""),"Vegetables")</f>
        <v>Vegetables</v>
      </c>
      <c r="D2658">
        <f>IFERROR(__xludf.DUMMYFUNCTION("""COMPUTED_VALUE"""),48.0)</f>
        <v>48</v>
      </c>
      <c r="E2658">
        <f>IFERROR(__xludf.DUMMYFUNCTION("""COMPUTED_VALUE"""),2.6)</f>
        <v>2.6</v>
      </c>
      <c r="F2658">
        <f>IFERROR(__xludf.DUMMYFUNCTION("""COMPUTED_VALUE"""),1.45)</f>
        <v>1.45</v>
      </c>
      <c r="G2658">
        <f>IFERROR(__xludf.DUMMYFUNCTION("""COMPUTED_VALUE"""),6.2)</f>
        <v>6.2</v>
      </c>
    </row>
    <row r="2659">
      <c r="A2659">
        <f>IFERROR(__xludf.DUMMYFUNCTION("""COMPUTED_VALUE"""),787992.0)</f>
        <v>787992</v>
      </c>
      <c r="B2659" t="str">
        <f>IFERROR(__xludf.DUMMYFUNCTION("""COMPUTED_VALUE"""),"Beans String Yellow Cooked From Canned Ns As To Fat Added In Cooking")</f>
        <v>Beans String Yellow Cooked From Canned Ns As To Fat Added In Cooking</v>
      </c>
      <c r="C2659" t="str">
        <f>IFERROR(__xludf.DUMMYFUNCTION("""COMPUTED_VALUE"""),"Vegetables")</f>
        <v>Vegetables</v>
      </c>
      <c r="D2659">
        <f>IFERROR(__xludf.DUMMYFUNCTION("""COMPUTED_VALUE"""),39.0)</f>
        <v>39</v>
      </c>
      <c r="E2659">
        <f>IFERROR(__xludf.DUMMYFUNCTION("""COMPUTED_VALUE"""),2.27)</f>
        <v>2.27</v>
      </c>
      <c r="F2659">
        <f>IFERROR(__xludf.DUMMYFUNCTION("""COMPUTED_VALUE"""),1.13)</f>
        <v>1.13</v>
      </c>
      <c r="G2659">
        <f>IFERROR(__xludf.DUMMYFUNCTION("""COMPUTED_VALUE"""),4.36)</f>
        <v>4.36</v>
      </c>
    </row>
    <row r="2660">
      <c r="A2660">
        <f>IFERROR(__xludf.DUMMYFUNCTION("""COMPUTED_VALUE"""),787993.0)</f>
        <v>787993</v>
      </c>
      <c r="B2660" t="str">
        <f>IFERROR(__xludf.DUMMYFUNCTION("""COMPUTED_VALUE"""),"Beans String Yellow Cooked Ns As To Form Fat Not Added In Cooking")</f>
        <v>Beans String Yellow Cooked Ns As To Form Fat Not Added In Cooking</v>
      </c>
      <c r="C2660" t="str">
        <f>IFERROR(__xludf.DUMMYFUNCTION("""COMPUTED_VALUE"""),"Vegetables")</f>
        <v>Vegetables</v>
      </c>
      <c r="D2660">
        <f>IFERROR(__xludf.DUMMYFUNCTION("""COMPUTED_VALUE"""),48.0)</f>
        <v>48</v>
      </c>
      <c r="E2660">
        <f>IFERROR(__xludf.DUMMYFUNCTION("""COMPUTED_VALUE"""),2.6)</f>
        <v>2.6</v>
      </c>
      <c r="F2660">
        <f>IFERROR(__xludf.DUMMYFUNCTION("""COMPUTED_VALUE"""),1.45)</f>
        <v>1.45</v>
      </c>
      <c r="G2660">
        <f>IFERROR(__xludf.DUMMYFUNCTION("""COMPUTED_VALUE"""),6.2)</f>
        <v>6.2</v>
      </c>
    </row>
    <row r="2661">
      <c r="A2661">
        <f>IFERROR(__xludf.DUMMYFUNCTION("""COMPUTED_VALUE"""),787994.0)</f>
        <v>787994</v>
      </c>
      <c r="B2661" t="str">
        <f>IFERROR(__xludf.DUMMYFUNCTION("""COMPUTED_VALUE"""),"Beans String Yellow Cooked From Fresh Fat Not Added In Cooking")</f>
        <v>Beans String Yellow Cooked From Fresh Fat Not Added In Cooking</v>
      </c>
      <c r="C2661" t="str">
        <f>IFERROR(__xludf.DUMMYFUNCTION("""COMPUTED_VALUE"""),"Vegetables")</f>
        <v>Vegetables</v>
      </c>
      <c r="D2661">
        <f>IFERROR(__xludf.DUMMYFUNCTION("""COMPUTED_VALUE"""),35.0)</f>
        <v>35</v>
      </c>
      <c r="E2661">
        <f>IFERROR(__xludf.DUMMYFUNCTION("""COMPUTED_VALUE"""),0.28)</f>
        <v>0.28</v>
      </c>
      <c r="F2661">
        <f>IFERROR(__xludf.DUMMYFUNCTION("""COMPUTED_VALUE"""),1.88)</f>
        <v>1.88</v>
      </c>
      <c r="G2661">
        <f>IFERROR(__xludf.DUMMYFUNCTION("""COMPUTED_VALUE"""),7.82)</f>
        <v>7.82</v>
      </c>
    </row>
    <row r="2662">
      <c r="A2662">
        <f>IFERROR(__xludf.DUMMYFUNCTION("""COMPUTED_VALUE"""),787995.0)</f>
        <v>787995</v>
      </c>
      <c r="B2662" t="str">
        <f>IFERROR(__xludf.DUMMYFUNCTION("""COMPUTED_VALUE"""),"Beans String Yellow Cooked From Frozen Fat Not Added In Cooking")</f>
        <v>Beans String Yellow Cooked From Frozen Fat Not Added In Cooking</v>
      </c>
      <c r="C2662" t="str">
        <f>IFERROR(__xludf.DUMMYFUNCTION("""COMPUTED_VALUE"""),"Vegetables")</f>
        <v>Vegetables</v>
      </c>
      <c r="D2662">
        <f>IFERROR(__xludf.DUMMYFUNCTION("""COMPUTED_VALUE"""),28.0)</f>
        <v>28</v>
      </c>
      <c r="E2662">
        <f>IFERROR(__xludf.DUMMYFUNCTION("""COMPUTED_VALUE"""),0.17)</f>
        <v>0.17</v>
      </c>
      <c r="F2662">
        <f>IFERROR(__xludf.DUMMYFUNCTION("""COMPUTED_VALUE"""),1.48)</f>
        <v>1.48</v>
      </c>
      <c r="G2662">
        <f>IFERROR(__xludf.DUMMYFUNCTION("""COMPUTED_VALUE"""),6.4)</f>
        <v>6.4</v>
      </c>
    </row>
    <row r="2663">
      <c r="A2663">
        <f>IFERROR(__xludf.DUMMYFUNCTION("""COMPUTED_VALUE"""),787996.0)</f>
        <v>787996</v>
      </c>
      <c r="B2663" t="str">
        <f>IFERROR(__xludf.DUMMYFUNCTION("""COMPUTED_VALUE"""),"Beans String Yellow Cooked From Canned Fat Not Added In Cooking")</f>
        <v>Beans String Yellow Cooked From Canned Fat Not Added In Cooking</v>
      </c>
      <c r="C2663" t="str">
        <f>IFERROR(__xludf.DUMMYFUNCTION("""COMPUTED_VALUE"""),"Vegetables")</f>
        <v>Vegetables</v>
      </c>
      <c r="D2663">
        <f>IFERROR(__xludf.DUMMYFUNCTION("""COMPUTED_VALUE"""),20.0)</f>
        <v>20</v>
      </c>
      <c r="E2663">
        <f>IFERROR(__xludf.DUMMYFUNCTION("""COMPUTED_VALUE"""),0.1)</f>
        <v>0.1</v>
      </c>
      <c r="F2663">
        <f>IFERROR(__xludf.DUMMYFUNCTION("""COMPUTED_VALUE"""),1.15)</f>
        <v>1.15</v>
      </c>
      <c r="G2663">
        <f>IFERROR(__xludf.DUMMYFUNCTION("""COMPUTED_VALUE"""),4.49)</f>
        <v>4.49</v>
      </c>
    </row>
    <row r="2664">
      <c r="A2664">
        <f>IFERROR(__xludf.DUMMYFUNCTION("""COMPUTED_VALUE"""),787997.0)</f>
        <v>787997</v>
      </c>
      <c r="B2664" t="str">
        <f>IFERROR(__xludf.DUMMYFUNCTION("""COMPUTED_VALUE"""),"Beans String Yellow Cooked Ns As To Form Fat Added In Cooking Ns As To Type Of Fat")</f>
        <v>Beans String Yellow Cooked Ns As To Form Fat Added In Cooking Ns As To Type Of Fat</v>
      </c>
      <c r="C2664" t="str">
        <f>IFERROR(__xludf.DUMMYFUNCTION("""COMPUTED_VALUE"""),"Vegetables")</f>
        <v>Vegetables</v>
      </c>
      <c r="D2664">
        <f>IFERROR(__xludf.DUMMYFUNCTION("""COMPUTED_VALUE"""),48.0)</f>
        <v>48</v>
      </c>
      <c r="E2664">
        <f>IFERROR(__xludf.DUMMYFUNCTION("""COMPUTED_VALUE"""),2.6)</f>
        <v>2.6</v>
      </c>
      <c r="F2664">
        <f>IFERROR(__xludf.DUMMYFUNCTION("""COMPUTED_VALUE"""),1.45)</f>
        <v>1.45</v>
      </c>
      <c r="G2664">
        <f>IFERROR(__xludf.DUMMYFUNCTION("""COMPUTED_VALUE"""),6.2)</f>
        <v>6.2</v>
      </c>
    </row>
    <row r="2665">
      <c r="A2665">
        <f>IFERROR(__xludf.DUMMYFUNCTION("""COMPUTED_VALUE"""),787998.0)</f>
        <v>787998</v>
      </c>
      <c r="B2665" t="str">
        <f>IFERROR(__xludf.DUMMYFUNCTION("""COMPUTED_VALUE"""),"Beans String Yellow Cooked From Fresh Fat Added In Cooking Ns As To Type Of Fat")</f>
        <v>Beans String Yellow Cooked From Fresh Fat Added In Cooking Ns As To Type Of Fat</v>
      </c>
      <c r="C2665" t="str">
        <f>IFERROR(__xludf.DUMMYFUNCTION("""COMPUTED_VALUE"""),"Vegetables")</f>
        <v>Vegetables</v>
      </c>
      <c r="D2665">
        <f>IFERROR(__xludf.DUMMYFUNCTION("""COMPUTED_VALUE"""),57.0)</f>
        <v>57</v>
      </c>
      <c r="E2665">
        <f>IFERROR(__xludf.DUMMYFUNCTION("""COMPUTED_VALUE"""),2.89)</f>
        <v>2.89</v>
      </c>
      <c r="F2665">
        <f>IFERROR(__xludf.DUMMYFUNCTION("""COMPUTED_VALUE"""),1.83)</f>
        <v>1.83</v>
      </c>
      <c r="G2665">
        <f>IFERROR(__xludf.DUMMYFUNCTION("""COMPUTED_VALUE"""),7.55)</f>
        <v>7.55</v>
      </c>
    </row>
    <row r="2666">
      <c r="A2666">
        <f>IFERROR(__xludf.DUMMYFUNCTION("""COMPUTED_VALUE"""),787999.0)</f>
        <v>787999</v>
      </c>
      <c r="B2666" t="str">
        <f>IFERROR(__xludf.DUMMYFUNCTION("""COMPUTED_VALUE"""),"Beans String Yellow Cooked From Frozen Fat Added In Cooking Ns As To Type Of Fat")</f>
        <v>Beans String Yellow Cooked From Frozen Fat Added In Cooking Ns As To Type Of Fat</v>
      </c>
      <c r="C2666" t="str">
        <f>IFERROR(__xludf.DUMMYFUNCTION("""COMPUTED_VALUE"""),"Vegetables")</f>
        <v>Vegetables</v>
      </c>
      <c r="D2666">
        <f>IFERROR(__xludf.DUMMYFUNCTION("""COMPUTED_VALUE"""),48.0)</f>
        <v>48</v>
      </c>
      <c r="E2666">
        <f>IFERROR(__xludf.DUMMYFUNCTION("""COMPUTED_VALUE"""),2.6)</f>
        <v>2.6</v>
      </c>
      <c r="F2666">
        <f>IFERROR(__xludf.DUMMYFUNCTION("""COMPUTED_VALUE"""),1.45)</f>
        <v>1.45</v>
      </c>
      <c r="G2666">
        <f>IFERROR(__xludf.DUMMYFUNCTION("""COMPUTED_VALUE"""),6.2)</f>
        <v>6.2</v>
      </c>
    </row>
    <row r="2667">
      <c r="A2667">
        <f>IFERROR(__xludf.DUMMYFUNCTION("""COMPUTED_VALUE"""),788000.0)</f>
        <v>788000</v>
      </c>
      <c r="B2667" t="str">
        <f>IFERROR(__xludf.DUMMYFUNCTION("""COMPUTED_VALUE"""),"Beans String Yellow Cooked From Canned Fat Added In Cooking Ns As To Type Of Fat")</f>
        <v>Beans String Yellow Cooked From Canned Fat Added In Cooking Ns As To Type Of Fat</v>
      </c>
      <c r="C2667" t="str">
        <f>IFERROR(__xludf.DUMMYFUNCTION("""COMPUTED_VALUE"""),"Vegetables")</f>
        <v>Vegetables</v>
      </c>
      <c r="D2667">
        <f>IFERROR(__xludf.DUMMYFUNCTION("""COMPUTED_VALUE"""),39.0)</f>
        <v>39</v>
      </c>
      <c r="E2667">
        <f>IFERROR(__xludf.DUMMYFUNCTION("""COMPUTED_VALUE"""),2.27)</f>
        <v>2.27</v>
      </c>
      <c r="F2667">
        <f>IFERROR(__xludf.DUMMYFUNCTION("""COMPUTED_VALUE"""),1.13)</f>
        <v>1.13</v>
      </c>
      <c r="G2667">
        <f>IFERROR(__xludf.DUMMYFUNCTION("""COMPUTED_VALUE"""),4.36)</f>
        <v>4.36</v>
      </c>
    </row>
    <row r="2668">
      <c r="A2668">
        <f>IFERROR(__xludf.DUMMYFUNCTION("""COMPUTED_VALUE"""),788001.0)</f>
        <v>788001</v>
      </c>
      <c r="B2668" t="str">
        <f>IFERROR(__xludf.DUMMYFUNCTION("""COMPUTED_VALUE"""),"Beans String Yellow Cooked Ns As To Form Made With Oil")</f>
        <v>Beans String Yellow Cooked Ns As To Form Made With Oil</v>
      </c>
      <c r="C2668" t="str">
        <f>IFERROR(__xludf.DUMMYFUNCTION("""COMPUTED_VALUE"""),"Vegetables")</f>
        <v>Vegetables</v>
      </c>
      <c r="D2668">
        <f>IFERROR(__xludf.DUMMYFUNCTION("""COMPUTED_VALUE"""),56.0)</f>
        <v>56</v>
      </c>
      <c r="E2668">
        <f>IFERROR(__xludf.DUMMYFUNCTION("""COMPUTED_VALUE"""),3.4)</f>
        <v>3.4</v>
      </c>
      <c r="F2668">
        <f>IFERROR(__xludf.DUMMYFUNCTION("""COMPUTED_VALUE"""),1.43)</f>
        <v>1.43</v>
      </c>
      <c r="G2668">
        <f>IFERROR(__xludf.DUMMYFUNCTION("""COMPUTED_VALUE"""),6.2)</f>
        <v>6.2</v>
      </c>
    </row>
    <row r="2669">
      <c r="A2669">
        <f>IFERROR(__xludf.DUMMYFUNCTION("""COMPUTED_VALUE"""),788002.0)</f>
        <v>788002</v>
      </c>
      <c r="B2669" t="str">
        <f>IFERROR(__xludf.DUMMYFUNCTION("""COMPUTED_VALUE"""),"Beans String Yellow Cooked Ns As To Form Made With Butter")</f>
        <v>Beans String Yellow Cooked Ns As To Form Made With Butter</v>
      </c>
      <c r="C2669" t="str">
        <f>IFERROR(__xludf.DUMMYFUNCTION("""COMPUTED_VALUE"""),"Vegetables")</f>
        <v>Vegetables</v>
      </c>
      <c r="D2669">
        <f>IFERROR(__xludf.DUMMYFUNCTION("""COMPUTED_VALUE"""),51.0)</f>
        <v>51</v>
      </c>
      <c r="E2669">
        <f>IFERROR(__xludf.DUMMYFUNCTION("""COMPUTED_VALUE"""),2.89)</f>
        <v>2.89</v>
      </c>
      <c r="F2669">
        <f>IFERROR(__xludf.DUMMYFUNCTION("""COMPUTED_VALUE"""),1.46)</f>
        <v>1.46</v>
      </c>
      <c r="G2669">
        <f>IFERROR(__xludf.DUMMYFUNCTION("""COMPUTED_VALUE"""),6.19)</f>
        <v>6.19</v>
      </c>
    </row>
    <row r="2670">
      <c r="A2670">
        <f>IFERROR(__xludf.DUMMYFUNCTION("""COMPUTED_VALUE"""),788003.0)</f>
        <v>788003</v>
      </c>
      <c r="B2670" t="str">
        <f>IFERROR(__xludf.DUMMYFUNCTION("""COMPUTED_VALUE"""),"Beans String Yellow Cooked Ns As To Form Made With Margarine")</f>
        <v>Beans String Yellow Cooked Ns As To Form Made With Margarine</v>
      </c>
      <c r="C2670" t="str">
        <f>IFERROR(__xludf.DUMMYFUNCTION("""COMPUTED_VALUE"""),"Vegetables")</f>
        <v>Vegetables</v>
      </c>
      <c r="D2670">
        <f>IFERROR(__xludf.DUMMYFUNCTION("""COMPUTED_VALUE"""),45.0)</f>
        <v>45</v>
      </c>
      <c r="E2670">
        <f>IFERROR(__xludf.DUMMYFUNCTION("""COMPUTED_VALUE"""),2.19)</f>
        <v>2.19</v>
      </c>
      <c r="F2670">
        <f>IFERROR(__xludf.DUMMYFUNCTION("""COMPUTED_VALUE"""),1.44)</f>
        <v>1.44</v>
      </c>
      <c r="G2670">
        <f>IFERROR(__xludf.DUMMYFUNCTION("""COMPUTED_VALUE"""),6.22)</f>
        <v>6.22</v>
      </c>
    </row>
    <row r="2671">
      <c r="A2671">
        <f>IFERROR(__xludf.DUMMYFUNCTION("""COMPUTED_VALUE"""),788004.0)</f>
        <v>788004</v>
      </c>
      <c r="B2671" t="str">
        <f>IFERROR(__xludf.DUMMYFUNCTION("""COMPUTED_VALUE"""),"Beans String Yellow Cooked From Fresh Made With Oil")</f>
        <v>Beans String Yellow Cooked From Fresh Made With Oil</v>
      </c>
      <c r="C2671" t="str">
        <f>IFERROR(__xludf.DUMMYFUNCTION("""COMPUTED_VALUE"""),"Vegetables")</f>
        <v>Vegetables</v>
      </c>
      <c r="D2671">
        <f>IFERROR(__xludf.DUMMYFUNCTION("""COMPUTED_VALUE"""),64.0)</f>
        <v>64</v>
      </c>
      <c r="E2671">
        <f>IFERROR(__xludf.DUMMYFUNCTION("""COMPUTED_VALUE"""),3.75)</f>
        <v>3.75</v>
      </c>
      <c r="F2671">
        <f>IFERROR(__xludf.DUMMYFUNCTION("""COMPUTED_VALUE"""),1.81)</f>
        <v>1.81</v>
      </c>
      <c r="G2671">
        <f>IFERROR(__xludf.DUMMYFUNCTION("""COMPUTED_VALUE"""),7.54)</f>
        <v>7.54</v>
      </c>
    </row>
    <row r="2672">
      <c r="A2672">
        <f>IFERROR(__xludf.DUMMYFUNCTION("""COMPUTED_VALUE"""),788005.0)</f>
        <v>788005</v>
      </c>
      <c r="B2672" t="str">
        <f>IFERROR(__xludf.DUMMYFUNCTION("""COMPUTED_VALUE"""),"Beans String Yellow Cooked From Fresh Made With Butter")</f>
        <v>Beans String Yellow Cooked From Fresh Made With Butter</v>
      </c>
      <c r="C2672" t="str">
        <f>IFERROR(__xludf.DUMMYFUNCTION("""COMPUTED_VALUE"""),"Vegetables")</f>
        <v>Vegetables</v>
      </c>
      <c r="D2672">
        <f>IFERROR(__xludf.DUMMYFUNCTION("""COMPUTED_VALUE"""),59.0)</f>
        <v>59</v>
      </c>
      <c r="E2672">
        <f>IFERROR(__xludf.DUMMYFUNCTION("""COMPUTED_VALUE"""),3.2)</f>
        <v>3.2</v>
      </c>
      <c r="F2672">
        <f>IFERROR(__xludf.DUMMYFUNCTION("""COMPUTED_VALUE"""),1.84)</f>
        <v>1.84</v>
      </c>
      <c r="G2672">
        <f>IFERROR(__xludf.DUMMYFUNCTION("""COMPUTED_VALUE"""),7.54)</f>
        <v>7.54</v>
      </c>
    </row>
    <row r="2673">
      <c r="A2673">
        <f>IFERROR(__xludf.DUMMYFUNCTION("""COMPUTED_VALUE"""),788006.0)</f>
        <v>788006</v>
      </c>
      <c r="B2673" t="str">
        <f>IFERROR(__xludf.DUMMYFUNCTION("""COMPUTED_VALUE"""),"Beans String Yellow Cooked From Fresh Made With Margarine")</f>
        <v>Beans String Yellow Cooked From Fresh Made With Margarine</v>
      </c>
      <c r="C2673" t="str">
        <f>IFERROR(__xludf.DUMMYFUNCTION("""COMPUTED_VALUE"""),"Vegetables")</f>
        <v>Vegetables</v>
      </c>
      <c r="D2673">
        <f>IFERROR(__xludf.DUMMYFUNCTION("""COMPUTED_VALUE"""),53.0)</f>
        <v>53</v>
      </c>
      <c r="E2673">
        <f>IFERROR(__xludf.DUMMYFUNCTION("""COMPUTED_VALUE"""),2.45)</f>
        <v>2.45</v>
      </c>
      <c r="F2673">
        <f>IFERROR(__xludf.DUMMYFUNCTION("""COMPUTED_VALUE"""),1.81)</f>
        <v>1.81</v>
      </c>
      <c r="G2673">
        <f>IFERROR(__xludf.DUMMYFUNCTION("""COMPUTED_VALUE"""),7.56)</f>
        <v>7.56</v>
      </c>
    </row>
    <row r="2674">
      <c r="A2674">
        <f>IFERROR(__xludf.DUMMYFUNCTION("""COMPUTED_VALUE"""),788007.0)</f>
        <v>788007</v>
      </c>
      <c r="B2674" t="str">
        <f>IFERROR(__xludf.DUMMYFUNCTION("""COMPUTED_VALUE"""),"Beans String Yellow Cooked From Frozen Made With Oil")</f>
        <v>Beans String Yellow Cooked From Frozen Made With Oil</v>
      </c>
      <c r="C2674" t="str">
        <f>IFERROR(__xludf.DUMMYFUNCTION("""COMPUTED_VALUE"""),"Vegetables")</f>
        <v>Vegetables</v>
      </c>
      <c r="D2674">
        <f>IFERROR(__xludf.DUMMYFUNCTION("""COMPUTED_VALUE"""),56.0)</f>
        <v>56</v>
      </c>
      <c r="E2674">
        <f>IFERROR(__xludf.DUMMYFUNCTION("""COMPUTED_VALUE"""),3.4)</f>
        <v>3.4</v>
      </c>
      <c r="F2674">
        <f>IFERROR(__xludf.DUMMYFUNCTION("""COMPUTED_VALUE"""),1.43)</f>
        <v>1.43</v>
      </c>
      <c r="G2674">
        <f>IFERROR(__xludf.DUMMYFUNCTION("""COMPUTED_VALUE"""),6.2)</f>
        <v>6.2</v>
      </c>
    </row>
    <row r="2675">
      <c r="A2675">
        <f>IFERROR(__xludf.DUMMYFUNCTION("""COMPUTED_VALUE"""),788008.0)</f>
        <v>788008</v>
      </c>
      <c r="B2675" t="str">
        <f>IFERROR(__xludf.DUMMYFUNCTION("""COMPUTED_VALUE"""),"Beans String Yellow Cooked From Frozen Made With Butter")</f>
        <v>Beans String Yellow Cooked From Frozen Made With Butter</v>
      </c>
      <c r="C2675" t="str">
        <f>IFERROR(__xludf.DUMMYFUNCTION("""COMPUTED_VALUE"""),"Vegetables")</f>
        <v>Vegetables</v>
      </c>
      <c r="D2675">
        <f>IFERROR(__xludf.DUMMYFUNCTION("""COMPUTED_VALUE"""),51.0)</f>
        <v>51</v>
      </c>
      <c r="E2675">
        <f>IFERROR(__xludf.DUMMYFUNCTION("""COMPUTED_VALUE"""),2.89)</f>
        <v>2.89</v>
      </c>
      <c r="F2675">
        <f>IFERROR(__xludf.DUMMYFUNCTION("""COMPUTED_VALUE"""),1.46)</f>
        <v>1.46</v>
      </c>
      <c r="G2675">
        <f>IFERROR(__xludf.DUMMYFUNCTION("""COMPUTED_VALUE"""),6.19)</f>
        <v>6.19</v>
      </c>
    </row>
    <row r="2676">
      <c r="A2676">
        <f>IFERROR(__xludf.DUMMYFUNCTION("""COMPUTED_VALUE"""),788009.0)</f>
        <v>788009</v>
      </c>
      <c r="B2676" t="str">
        <f>IFERROR(__xludf.DUMMYFUNCTION("""COMPUTED_VALUE"""),"Beans String Yellow Cooked From Frozen Made With Margarine")</f>
        <v>Beans String Yellow Cooked From Frozen Made With Margarine</v>
      </c>
      <c r="C2676" t="str">
        <f>IFERROR(__xludf.DUMMYFUNCTION("""COMPUTED_VALUE"""),"Vegetables")</f>
        <v>Vegetables</v>
      </c>
      <c r="D2676">
        <f>IFERROR(__xludf.DUMMYFUNCTION("""COMPUTED_VALUE"""),45.0)</f>
        <v>45</v>
      </c>
      <c r="E2676">
        <f>IFERROR(__xludf.DUMMYFUNCTION("""COMPUTED_VALUE"""),2.19)</f>
        <v>2.19</v>
      </c>
      <c r="F2676">
        <f>IFERROR(__xludf.DUMMYFUNCTION("""COMPUTED_VALUE"""),1.44)</f>
        <v>1.44</v>
      </c>
      <c r="G2676">
        <f>IFERROR(__xludf.DUMMYFUNCTION("""COMPUTED_VALUE"""),6.22)</f>
        <v>6.22</v>
      </c>
    </row>
    <row r="2677">
      <c r="A2677">
        <f>IFERROR(__xludf.DUMMYFUNCTION("""COMPUTED_VALUE"""),788010.0)</f>
        <v>788010</v>
      </c>
      <c r="B2677" t="str">
        <f>IFERROR(__xludf.DUMMYFUNCTION("""COMPUTED_VALUE"""),"Beans String Yellow Cooked From Canned Made With Oil")</f>
        <v>Beans String Yellow Cooked From Canned Made With Oil</v>
      </c>
      <c r="C2677" t="str">
        <f>IFERROR(__xludf.DUMMYFUNCTION("""COMPUTED_VALUE"""),"Vegetables")</f>
        <v>Vegetables</v>
      </c>
      <c r="D2677">
        <f>IFERROR(__xludf.DUMMYFUNCTION("""COMPUTED_VALUE"""),45.0)</f>
        <v>45</v>
      </c>
      <c r="E2677">
        <f>IFERROR(__xludf.DUMMYFUNCTION("""COMPUTED_VALUE"""),2.97)</f>
        <v>2.97</v>
      </c>
      <c r="F2677">
        <f>IFERROR(__xludf.DUMMYFUNCTION("""COMPUTED_VALUE"""),1.11)</f>
        <v>1.11</v>
      </c>
      <c r="G2677">
        <f>IFERROR(__xludf.DUMMYFUNCTION("""COMPUTED_VALUE"""),4.36)</f>
        <v>4.36</v>
      </c>
    </row>
    <row r="2678">
      <c r="A2678">
        <f>IFERROR(__xludf.DUMMYFUNCTION("""COMPUTED_VALUE"""),788011.0)</f>
        <v>788011</v>
      </c>
      <c r="B2678" t="str">
        <f>IFERROR(__xludf.DUMMYFUNCTION("""COMPUTED_VALUE"""),"Beans String Yellow Cooked From Canned Made With Butter")</f>
        <v>Beans String Yellow Cooked From Canned Made With Butter</v>
      </c>
      <c r="C2678" t="str">
        <f>IFERROR(__xludf.DUMMYFUNCTION("""COMPUTED_VALUE"""),"Vegetables")</f>
        <v>Vegetables</v>
      </c>
      <c r="D2678">
        <f>IFERROR(__xludf.DUMMYFUNCTION("""COMPUTED_VALUE"""),41.0)</f>
        <v>41</v>
      </c>
      <c r="E2678">
        <f>IFERROR(__xludf.DUMMYFUNCTION("""COMPUTED_VALUE"""),2.52)</f>
        <v>2.52</v>
      </c>
      <c r="F2678">
        <f>IFERROR(__xludf.DUMMYFUNCTION("""COMPUTED_VALUE"""),1.14)</f>
        <v>1.14</v>
      </c>
      <c r="G2678">
        <f>IFERROR(__xludf.DUMMYFUNCTION("""COMPUTED_VALUE"""),4.36)</f>
        <v>4.36</v>
      </c>
    </row>
    <row r="2679">
      <c r="A2679">
        <f>IFERROR(__xludf.DUMMYFUNCTION("""COMPUTED_VALUE"""),788012.0)</f>
        <v>788012</v>
      </c>
      <c r="B2679" t="str">
        <f>IFERROR(__xludf.DUMMYFUNCTION("""COMPUTED_VALUE"""),"Beans String Yellow Cooked From Canned Made With Margarine")</f>
        <v>Beans String Yellow Cooked From Canned Made With Margarine</v>
      </c>
      <c r="C2679" t="str">
        <f>IFERROR(__xludf.DUMMYFUNCTION("""COMPUTED_VALUE"""),"Vegetables")</f>
        <v>Vegetables</v>
      </c>
      <c r="D2679">
        <f>IFERROR(__xludf.DUMMYFUNCTION("""COMPUTED_VALUE"""),35.0)</f>
        <v>35</v>
      </c>
      <c r="E2679">
        <f>IFERROR(__xludf.DUMMYFUNCTION("""COMPUTED_VALUE"""),1.9)</f>
        <v>1.9</v>
      </c>
      <c r="F2679">
        <f>IFERROR(__xludf.DUMMYFUNCTION("""COMPUTED_VALUE"""),1.12)</f>
        <v>1.12</v>
      </c>
      <c r="G2679">
        <f>IFERROR(__xludf.DUMMYFUNCTION("""COMPUTED_VALUE"""),4.38)</f>
        <v>4.38</v>
      </c>
    </row>
    <row r="2680">
      <c r="A2680">
        <f>IFERROR(__xludf.DUMMYFUNCTION("""COMPUTED_VALUE"""),788013.0)</f>
        <v>788013</v>
      </c>
      <c r="B2680" t="str">
        <f>IFERROR(__xludf.DUMMYFUNCTION("""COMPUTED_VALUE"""),"Bean Sprouts Cooked Ns As To Form Ns As To Fat Added In Cooking")</f>
        <v>Bean Sprouts Cooked Ns As To Form Ns As To Fat Added In Cooking</v>
      </c>
      <c r="C2680" t="str">
        <f>IFERROR(__xludf.DUMMYFUNCTION("""COMPUTED_VALUE"""),"Vegetables")</f>
        <v>Vegetables</v>
      </c>
      <c r="D2680">
        <f>IFERROR(__xludf.DUMMYFUNCTION("""COMPUTED_VALUE"""),80.0)</f>
        <v>80</v>
      </c>
      <c r="E2680">
        <f>IFERROR(__xludf.DUMMYFUNCTION("""COMPUTED_VALUE"""),5.84)</f>
        <v>5.84</v>
      </c>
      <c r="F2680">
        <f>IFERROR(__xludf.DUMMYFUNCTION("""COMPUTED_VALUE"""),4.57)</f>
        <v>4.57</v>
      </c>
      <c r="G2680">
        <f>IFERROR(__xludf.DUMMYFUNCTION("""COMPUTED_VALUE"""),4.95)</f>
        <v>4.95</v>
      </c>
    </row>
    <row r="2681">
      <c r="A2681">
        <f>IFERROR(__xludf.DUMMYFUNCTION("""COMPUTED_VALUE"""),788014.0)</f>
        <v>788014</v>
      </c>
      <c r="B2681" t="str">
        <f>IFERROR(__xludf.DUMMYFUNCTION("""COMPUTED_VALUE"""),"Bean Sprouts Cooked From Fresh Ns As To Fat Added In Cooking")</f>
        <v>Bean Sprouts Cooked From Fresh Ns As To Fat Added In Cooking</v>
      </c>
      <c r="C2681" t="str">
        <f>IFERROR(__xludf.DUMMYFUNCTION("""COMPUTED_VALUE"""),"Vegetables")</f>
        <v>Vegetables</v>
      </c>
      <c r="D2681">
        <f>IFERROR(__xludf.DUMMYFUNCTION("""COMPUTED_VALUE"""),80.0)</f>
        <v>80</v>
      </c>
      <c r="E2681">
        <f>IFERROR(__xludf.DUMMYFUNCTION("""COMPUTED_VALUE"""),5.84)</f>
        <v>5.84</v>
      </c>
      <c r="F2681">
        <f>IFERROR(__xludf.DUMMYFUNCTION("""COMPUTED_VALUE"""),4.57)</f>
        <v>4.57</v>
      </c>
      <c r="G2681">
        <f>IFERROR(__xludf.DUMMYFUNCTION("""COMPUTED_VALUE"""),4.95)</f>
        <v>4.95</v>
      </c>
    </row>
    <row r="2682">
      <c r="A2682">
        <f>IFERROR(__xludf.DUMMYFUNCTION("""COMPUTED_VALUE"""),788017.0)</f>
        <v>788017</v>
      </c>
      <c r="B2682" t="str">
        <f>IFERROR(__xludf.DUMMYFUNCTION("""COMPUTED_VALUE"""),"Bean Sprouts Cooked Ns As To Form Fat Added In Cooking")</f>
        <v>Bean Sprouts Cooked Ns As To Form Fat Added In Cooking</v>
      </c>
      <c r="C2682" t="str">
        <f>IFERROR(__xludf.DUMMYFUNCTION("""COMPUTED_VALUE"""),"Vegetables")</f>
        <v>Vegetables</v>
      </c>
      <c r="D2682">
        <f>IFERROR(__xludf.DUMMYFUNCTION("""COMPUTED_VALUE"""),80.0)</f>
        <v>80</v>
      </c>
      <c r="E2682">
        <f>IFERROR(__xludf.DUMMYFUNCTION("""COMPUTED_VALUE"""),5.84)</f>
        <v>5.84</v>
      </c>
      <c r="F2682">
        <f>IFERROR(__xludf.DUMMYFUNCTION("""COMPUTED_VALUE"""),4.57)</f>
        <v>4.57</v>
      </c>
      <c r="G2682">
        <f>IFERROR(__xludf.DUMMYFUNCTION("""COMPUTED_VALUE"""),4.95)</f>
        <v>4.95</v>
      </c>
    </row>
    <row r="2683">
      <c r="A2683">
        <f>IFERROR(__xludf.DUMMYFUNCTION("""COMPUTED_VALUE"""),788018.0)</f>
        <v>788018</v>
      </c>
      <c r="B2683" t="str">
        <f>IFERROR(__xludf.DUMMYFUNCTION("""COMPUTED_VALUE"""),"Bean Sprouts Cooked From Fresh Fat Added In Cooking")</f>
        <v>Bean Sprouts Cooked From Fresh Fat Added In Cooking</v>
      </c>
      <c r="C2683" t="str">
        <f>IFERROR(__xludf.DUMMYFUNCTION("""COMPUTED_VALUE"""),"Vegetables")</f>
        <v>Vegetables</v>
      </c>
      <c r="D2683">
        <f>IFERROR(__xludf.DUMMYFUNCTION("""COMPUTED_VALUE"""),80.0)</f>
        <v>80</v>
      </c>
      <c r="E2683">
        <f>IFERROR(__xludf.DUMMYFUNCTION("""COMPUTED_VALUE"""),5.84)</f>
        <v>5.84</v>
      </c>
      <c r="F2683">
        <f>IFERROR(__xludf.DUMMYFUNCTION("""COMPUTED_VALUE"""),4.57)</f>
        <v>4.57</v>
      </c>
      <c r="G2683">
        <f>IFERROR(__xludf.DUMMYFUNCTION("""COMPUTED_VALUE"""),4.95)</f>
        <v>4.95</v>
      </c>
    </row>
    <row r="2684">
      <c r="A2684">
        <f>IFERROR(__xludf.DUMMYFUNCTION("""COMPUTED_VALUE"""),788019.0)</f>
        <v>788019</v>
      </c>
      <c r="B2684" t="str">
        <f>IFERROR(__xludf.DUMMYFUNCTION("""COMPUTED_VALUE"""),"Beets Cooked Ns As To Form Ns As To Fat Added In Cooking")</f>
        <v>Beets Cooked Ns As To Form Ns As To Fat Added In Cooking</v>
      </c>
      <c r="C2684" t="str">
        <f>IFERROR(__xludf.DUMMYFUNCTION("""COMPUTED_VALUE"""),"Vegetables")</f>
        <v>Vegetables</v>
      </c>
      <c r="D2684">
        <f>IFERROR(__xludf.DUMMYFUNCTION("""COMPUTED_VALUE"""),60.0)</f>
        <v>60</v>
      </c>
      <c r="E2684">
        <f>IFERROR(__xludf.DUMMYFUNCTION("""COMPUTED_VALUE"""),2.13)</f>
        <v>2.13</v>
      </c>
      <c r="F2684">
        <f>IFERROR(__xludf.DUMMYFUNCTION("""COMPUTED_VALUE"""),1.64)</f>
        <v>1.64</v>
      </c>
      <c r="G2684">
        <f>IFERROR(__xludf.DUMMYFUNCTION("""COMPUTED_VALUE"""),9.65)</f>
        <v>9.65</v>
      </c>
    </row>
    <row r="2685">
      <c r="A2685">
        <f>IFERROR(__xludf.DUMMYFUNCTION("""COMPUTED_VALUE"""),788020.0)</f>
        <v>788020</v>
      </c>
      <c r="B2685" t="str">
        <f>IFERROR(__xludf.DUMMYFUNCTION("""COMPUTED_VALUE"""),"Beets Cooked From Fresh Ns As To Fat Added In Cooking")</f>
        <v>Beets Cooked From Fresh Ns As To Fat Added In Cooking</v>
      </c>
      <c r="C2685" t="str">
        <f>IFERROR(__xludf.DUMMYFUNCTION("""COMPUTED_VALUE"""),"Vegetables")</f>
        <v>Vegetables</v>
      </c>
      <c r="D2685">
        <f>IFERROR(__xludf.DUMMYFUNCTION("""COMPUTED_VALUE"""),60.0)</f>
        <v>60</v>
      </c>
      <c r="E2685">
        <f>IFERROR(__xludf.DUMMYFUNCTION("""COMPUTED_VALUE"""),2.13)</f>
        <v>2.13</v>
      </c>
      <c r="F2685">
        <f>IFERROR(__xludf.DUMMYFUNCTION("""COMPUTED_VALUE"""),1.64)</f>
        <v>1.64</v>
      </c>
      <c r="G2685">
        <f>IFERROR(__xludf.DUMMYFUNCTION("""COMPUTED_VALUE"""),9.65)</f>
        <v>9.65</v>
      </c>
    </row>
    <row r="2686">
      <c r="A2686">
        <f>IFERROR(__xludf.DUMMYFUNCTION("""COMPUTED_VALUE"""),788021.0)</f>
        <v>788021</v>
      </c>
      <c r="B2686" t="str">
        <f>IFERROR(__xludf.DUMMYFUNCTION("""COMPUTED_VALUE"""),"Beets Cooked From Frozen Ns As To Fat Added In Cooking")</f>
        <v>Beets Cooked From Frozen Ns As To Fat Added In Cooking</v>
      </c>
      <c r="C2686" t="str">
        <f>IFERROR(__xludf.DUMMYFUNCTION("""COMPUTED_VALUE"""),"Vegetables")</f>
        <v>Vegetables</v>
      </c>
      <c r="D2686">
        <f>IFERROR(__xludf.DUMMYFUNCTION("""COMPUTED_VALUE"""),60.0)</f>
        <v>60</v>
      </c>
      <c r="E2686">
        <f>IFERROR(__xludf.DUMMYFUNCTION("""COMPUTED_VALUE"""),2.13)</f>
        <v>2.13</v>
      </c>
      <c r="F2686">
        <f>IFERROR(__xludf.DUMMYFUNCTION("""COMPUTED_VALUE"""),1.64)</f>
        <v>1.64</v>
      </c>
      <c r="G2686">
        <f>IFERROR(__xludf.DUMMYFUNCTION("""COMPUTED_VALUE"""),9.65)</f>
        <v>9.65</v>
      </c>
    </row>
    <row r="2687">
      <c r="A2687">
        <f>IFERROR(__xludf.DUMMYFUNCTION("""COMPUTED_VALUE"""),788022.0)</f>
        <v>788022</v>
      </c>
      <c r="B2687" t="str">
        <f>IFERROR(__xludf.DUMMYFUNCTION("""COMPUTED_VALUE"""),"Beets Cooked From Canned Ns As To Fat Added In Cooking")</f>
        <v>Beets Cooked From Canned Ns As To Fat Added In Cooking</v>
      </c>
      <c r="C2687" t="str">
        <f>IFERROR(__xludf.DUMMYFUNCTION("""COMPUTED_VALUE"""),"Vegetables")</f>
        <v>Vegetables</v>
      </c>
      <c r="D2687">
        <f>IFERROR(__xludf.DUMMYFUNCTION("""COMPUTED_VALUE"""),47.0)</f>
        <v>47</v>
      </c>
      <c r="E2687">
        <f>IFERROR(__xludf.DUMMYFUNCTION("""COMPUTED_VALUE"""),2.09)</f>
        <v>2.09</v>
      </c>
      <c r="F2687">
        <f>IFERROR(__xludf.DUMMYFUNCTION("""COMPUTED_VALUE"""),0.9)</f>
        <v>0.9</v>
      </c>
      <c r="G2687">
        <f>IFERROR(__xludf.DUMMYFUNCTION("""COMPUTED_VALUE"""),6.98)</f>
        <v>6.98</v>
      </c>
    </row>
    <row r="2688">
      <c r="A2688">
        <f>IFERROR(__xludf.DUMMYFUNCTION("""COMPUTED_VALUE"""),788023.0)</f>
        <v>788023</v>
      </c>
      <c r="B2688" t="str">
        <f>IFERROR(__xludf.DUMMYFUNCTION("""COMPUTED_VALUE"""),"Beets Cooked Ns As To Form Fat Not Added In Cooking")</f>
        <v>Beets Cooked Ns As To Form Fat Not Added In Cooking</v>
      </c>
      <c r="C2688" t="str">
        <f>IFERROR(__xludf.DUMMYFUNCTION("""COMPUTED_VALUE"""),"Vegetables")</f>
        <v>Vegetables</v>
      </c>
      <c r="D2688">
        <f>IFERROR(__xludf.DUMMYFUNCTION("""COMPUTED_VALUE"""),44.0)</f>
        <v>44</v>
      </c>
      <c r="E2688">
        <f>IFERROR(__xludf.DUMMYFUNCTION("""COMPUTED_VALUE"""),0.18)</f>
        <v>0.18</v>
      </c>
      <c r="F2688">
        <f>IFERROR(__xludf.DUMMYFUNCTION("""COMPUTED_VALUE"""),1.67)</f>
        <v>1.67</v>
      </c>
      <c r="G2688">
        <f>IFERROR(__xludf.DUMMYFUNCTION("""COMPUTED_VALUE"""),9.9)</f>
        <v>9.9</v>
      </c>
    </row>
    <row r="2689">
      <c r="A2689">
        <f>IFERROR(__xludf.DUMMYFUNCTION("""COMPUTED_VALUE"""),788024.0)</f>
        <v>788024</v>
      </c>
      <c r="B2689" t="str">
        <f>IFERROR(__xludf.DUMMYFUNCTION("""COMPUTED_VALUE"""),"Beets Cooked From Fresh Fat Not Added In Cooking")</f>
        <v>Beets Cooked From Fresh Fat Not Added In Cooking</v>
      </c>
      <c r="C2689" t="str">
        <f>IFERROR(__xludf.DUMMYFUNCTION("""COMPUTED_VALUE"""),"Vegetables")</f>
        <v>Vegetables</v>
      </c>
      <c r="D2689">
        <f>IFERROR(__xludf.DUMMYFUNCTION("""COMPUTED_VALUE"""),44.0)</f>
        <v>44</v>
      </c>
      <c r="E2689">
        <f>IFERROR(__xludf.DUMMYFUNCTION("""COMPUTED_VALUE"""),0.18)</f>
        <v>0.18</v>
      </c>
      <c r="F2689">
        <f>IFERROR(__xludf.DUMMYFUNCTION("""COMPUTED_VALUE"""),1.67)</f>
        <v>1.67</v>
      </c>
      <c r="G2689">
        <f>IFERROR(__xludf.DUMMYFUNCTION("""COMPUTED_VALUE"""),9.9)</f>
        <v>9.9</v>
      </c>
    </row>
    <row r="2690">
      <c r="A2690">
        <f>IFERROR(__xludf.DUMMYFUNCTION("""COMPUTED_VALUE"""),788025.0)</f>
        <v>788025</v>
      </c>
      <c r="B2690" t="str">
        <f>IFERROR(__xludf.DUMMYFUNCTION("""COMPUTED_VALUE"""),"Beets Cooked From Frozen Fat Not Added In Cooking")</f>
        <v>Beets Cooked From Frozen Fat Not Added In Cooking</v>
      </c>
      <c r="C2690" t="str">
        <f>IFERROR(__xludf.DUMMYFUNCTION("""COMPUTED_VALUE"""),"Vegetables")</f>
        <v>Vegetables</v>
      </c>
      <c r="D2690">
        <f>IFERROR(__xludf.DUMMYFUNCTION("""COMPUTED_VALUE"""),44.0)</f>
        <v>44</v>
      </c>
      <c r="E2690">
        <f>IFERROR(__xludf.DUMMYFUNCTION("""COMPUTED_VALUE"""),0.18)</f>
        <v>0.18</v>
      </c>
      <c r="F2690">
        <f>IFERROR(__xludf.DUMMYFUNCTION("""COMPUTED_VALUE"""),1.67)</f>
        <v>1.67</v>
      </c>
      <c r="G2690">
        <f>IFERROR(__xludf.DUMMYFUNCTION("""COMPUTED_VALUE"""),9.9)</f>
        <v>9.9</v>
      </c>
    </row>
    <row r="2691">
      <c r="A2691">
        <f>IFERROR(__xludf.DUMMYFUNCTION("""COMPUTED_VALUE"""),788026.0)</f>
        <v>788026</v>
      </c>
      <c r="B2691" t="str">
        <f>IFERROR(__xludf.DUMMYFUNCTION("""COMPUTED_VALUE"""),"Beets Cooked From Canned Fat Not Added In Cooking")</f>
        <v>Beets Cooked From Canned Fat Not Added In Cooking</v>
      </c>
      <c r="C2691" t="str">
        <f>IFERROR(__xludf.DUMMYFUNCTION("""COMPUTED_VALUE"""),"Vegetables")</f>
        <v>Vegetables</v>
      </c>
      <c r="D2691">
        <f>IFERROR(__xludf.DUMMYFUNCTION("""COMPUTED_VALUE"""),31.0)</f>
        <v>31</v>
      </c>
      <c r="E2691">
        <f>IFERROR(__xludf.DUMMYFUNCTION("""COMPUTED_VALUE"""),0.14)</f>
        <v>0.14</v>
      </c>
      <c r="F2691">
        <f>IFERROR(__xludf.DUMMYFUNCTION("""COMPUTED_VALUE"""),0.9)</f>
        <v>0.9</v>
      </c>
      <c r="G2691">
        <f>IFERROR(__xludf.DUMMYFUNCTION("""COMPUTED_VALUE"""),7.17)</f>
        <v>7.17</v>
      </c>
    </row>
    <row r="2692">
      <c r="A2692">
        <f>IFERROR(__xludf.DUMMYFUNCTION("""COMPUTED_VALUE"""),788027.0)</f>
        <v>788027</v>
      </c>
      <c r="B2692" t="str">
        <f>IFERROR(__xludf.DUMMYFUNCTION("""COMPUTED_VALUE"""),"Beets Cooked Ns As To Form Fat Added In Cooking Ns As To Type Of Fat")</f>
        <v>Beets Cooked Ns As To Form Fat Added In Cooking Ns As To Type Of Fat</v>
      </c>
      <c r="C2692" t="str">
        <f>IFERROR(__xludf.DUMMYFUNCTION("""COMPUTED_VALUE"""),"Vegetables")</f>
        <v>Vegetables</v>
      </c>
      <c r="D2692">
        <f>IFERROR(__xludf.DUMMYFUNCTION("""COMPUTED_VALUE"""),60.0)</f>
        <v>60</v>
      </c>
      <c r="E2692">
        <f>IFERROR(__xludf.DUMMYFUNCTION("""COMPUTED_VALUE"""),2.13)</f>
        <v>2.13</v>
      </c>
      <c r="F2692">
        <f>IFERROR(__xludf.DUMMYFUNCTION("""COMPUTED_VALUE"""),1.64)</f>
        <v>1.64</v>
      </c>
      <c r="G2692">
        <f>IFERROR(__xludf.DUMMYFUNCTION("""COMPUTED_VALUE"""),9.65)</f>
        <v>9.65</v>
      </c>
    </row>
    <row r="2693">
      <c r="A2693">
        <f>IFERROR(__xludf.DUMMYFUNCTION("""COMPUTED_VALUE"""),788028.0)</f>
        <v>788028</v>
      </c>
      <c r="B2693" t="str">
        <f>IFERROR(__xludf.DUMMYFUNCTION("""COMPUTED_VALUE"""),"Beets Cooked From Fresh Fat Added In Cooking Ns As To Type Of Fat")</f>
        <v>Beets Cooked From Fresh Fat Added In Cooking Ns As To Type Of Fat</v>
      </c>
      <c r="C2693" t="str">
        <f>IFERROR(__xludf.DUMMYFUNCTION("""COMPUTED_VALUE"""),"Vegetables")</f>
        <v>Vegetables</v>
      </c>
      <c r="D2693">
        <f>IFERROR(__xludf.DUMMYFUNCTION("""COMPUTED_VALUE"""),60.0)</f>
        <v>60</v>
      </c>
      <c r="E2693">
        <f>IFERROR(__xludf.DUMMYFUNCTION("""COMPUTED_VALUE"""),2.13)</f>
        <v>2.13</v>
      </c>
      <c r="F2693">
        <f>IFERROR(__xludf.DUMMYFUNCTION("""COMPUTED_VALUE"""),1.64)</f>
        <v>1.64</v>
      </c>
      <c r="G2693">
        <f>IFERROR(__xludf.DUMMYFUNCTION("""COMPUTED_VALUE"""),9.65)</f>
        <v>9.65</v>
      </c>
    </row>
    <row r="2694">
      <c r="A2694">
        <f>IFERROR(__xludf.DUMMYFUNCTION("""COMPUTED_VALUE"""),788029.0)</f>
        <v>788029</v>
      </c>
      <c r="B2694" t="str">
        <f>IFERROR(__xludf.DUMMYFUNCTION("""COMPUTED_VALUE"""),"Beets Cooked From Frozen Fat Added In Cooking Ns As To Type Of Fat")</f>
        <v>Beets Cooked From Frozen Fat Added In Cooking Ns As To Type Of Fat</v>
      </c>
      <c r="C2694" t="str">
        <f>IFERROR(__xludf.DUMMYFUNCTION("""COMPUTED_VALUE"""),"Vegetables")</f>
        <v>Vegetables</v>
      </c>
      <c r="D2694">
        <f>IFERROR(__xludf.DUMMYFUNCTION("""COMPUTED_VALUE"""),60.0)</f>
        <v>60</v>
      </c>
      <c r="E2694">
        <f>IFERROR(__xludf.DUMMYFUNCTION("""COMPUTED_VALUE"""),2.13)</f>
        <v>2.13</v>
      </c>
      <c r="F2694">
        <f>IFERROR(__xludf.DUMMYFUNCTION("""COMPUTED_VALUE"""),1.64)</f>
        <v>1.64</v>
      </c>
      <c r="G2694">
        <f>IFERROR(__xludf.DUMMYFUNCTION("""COMPUTED_VALUE"""),9.65)</f>
        <v>9.65</v>
      </c>
    </row>
    <row r="2695">
      <c r="A2695">
        <f>IFERROR(__xludf.DUMMYFUNCTION("""COMPUTED_VALUE"""),788030.0)</f>
        <v>788030</v>
      </c>
      <c r="B2695" t="str">
        <f>IFERROR(__xludf.DUMMYFUNCTION("""COMPUTED_VALUE"""),"Beets Cooked From Canned Fat Added In Cooking Ns As To Type Of Fat")</f>
        <v>Beets Cooked From Canned Fat Added In Cooking Ns As To Type Of Fat</v>
      </c>
      <c r="C2695" t="str">
        <f>IFERROR(__xludf.DUMMYFUNCTION("""COMPUTED_VALUE"""),"Vegetables")</f>
        <v>Vegetables</v>
      </c>
      <c r="D2695">
        <f>IFERROR(__xludf.DUMMYFUNCTION("""COMPUTED_VALUE"""),47.0)</f>
        <v>47</v>
      </c>
      <c r="E2695">
        <f>IFERROR(__xludf.DUMMYFUNCTION("""COMPUTED_VALUE"""),2.09)</f>
        <v>2.09</v>
      </c>
      <c r="F2695">
        <f>IFERROR(__xludf.DUMMYFUNCTION("""COMPUTED_VALUE"""),0.9)</f>
        <v>0.9</v>
      </c>
      <c r="G2695">
        <f>IFERROR(__xludf.DUMMYFUNCTION("""COMPUTED_VALUE"""),6.98)</f>
        <v>6.98</v>
      </c>
    </row>
    <row r="2696">
      <c r="A2696">
        <f>IFERROR(__xludf.DUMMYFUNCTION("""COMPUTED_VALUE"""),788031.0)</f>
        <v>788031</v>
      </c>
      <c r="B2696" t="str">
        <f>IFERROR(__xludf.DUMMYFUNCTION("""COMPUTED_VALUE"""),"Beets Canned Low Sodium Ns As To Fat Added In Cooking")</f>
        <v>Beets Canned Low Sodium Ns As To Fat Added In Cooking</v>
      </c>
      <c r="C2696" t="str">
        <f>IFERROR(__xludf.DUMMYFUNCTION("""COMPUTED_VALUE"""),"Vegetables")</f>
        <v>Vegetables</v>
      </c>
      <c r="D2696">
        <f>IFERROR(__xludf.DUMMYFUNCTION("""COMPUTED_VALUE"""),60.0)</f>
        <v>60</v>
      </c>
      <c r="E2696">
        <f>IFERROR(__xludf.DUMMYFUNCTION("""COMPUTED_VALUE"""),2.18)</f>
        <v>2.18</v>
      </c>
      <c r="F2696">
        <f>IFERROR(__xludf.DUMMYFUNCTION("""COMPUTED_VALUE"""),1.21)</f>
        <v>1.21</v>
      </c>
      <c r="G2696">
        <f>IFERROR(__xludf.DUMMYFUNCTION("""COMPUTED_VALUE"""),9.78)</f>
        <v>9.78</v>
      </c>
    </row>
    <row r="2697">
      <c r="A2697">
        <f>IFERROR(__xludf.DUMMYFUNCTION("""COMPUTED_VALUE"""),788032.0)</f>
        <v>788032</v>
      </c>
      <c r="B2697" t="str">
        <f>IFERROR(__xludf.DUMMYFUNCTION("""COMPUTED_VALUE"""),"Beets Canned Low Sodium Fat Not Added In Cooking")</f>
        <v>Beets Canned Low Sodium Fat Not Added In Cooking</v>
      </c>
      <c r="C2697" t="str">
        <f>IFERROR(__xludf.DUMMYFUNCTION("""COMPUTED_VALUE"""),"Vegetables")</f>
        <v>Vegetables</v>
      </c>
      <c r="D2697">
        <f>IFERROR(__xludf.DUMMYFUNCTION("""COMPUTED_VALUE"""),42.0)</f>
        <v>42</v>
      </c>
      <c r="E2697">
        <f>IFERROR(__xludf.DUMMYFUNCTION("""COMPUTED_VALUE"""),0.11)</f>
        <v>0.11</v>
      </c>
      <c r="F2697">
        <f>IFERROR(__xludf.DUMMYFUNCTION("""COMPUTED_VALUE"""),1.21)</f>
        <v>1.21</v>
      </c>
      <c r="G2697">
        <f>IFERROR(__xludf.DUMMYFUNCTION("""COMPUTED_VALUE"""),9.96)</f>
        <v>9.96</v>
      </c>
    </row>
    <row r="2698">
      <c r="A2698">
        <f>IFERROR(__xludf.DUMMYFUNCTION("""COMPUTED_VALUE"""),788033.0)</f>
        <v>788033</v>
      </c>
      <c r="B2698" t="str">
        <f>IFERROR(__xludf.DUMMYFUNCTION("""COMPUTED_VALUE"""),"Beets Canned Low Sodium Made With Oil")</f>
        <v>Beets Canned Low Sodium Made With Oil</v>
      </c>
      <c r="C2698" t="str">
        <f>IFERROR(__xludf.DUMMYFUNCTION("""COMPUTED_VALUE"""),"Vegetables")</f>
        <v>Vegetables</v>
      </c>
      <c r="D2698">
        <f>IFERROR(__xludf.DUMMYFUNCTION("""COMPUTED_VALUE"""),66.0)</f>
        <v>66</v>
      </c>
      <c r="E2698">
        <f>IFERROR(__xludf.DUMMYFUNCTION("""COMPUTED_VALUE"""),2.85)</f>
        <v>2.85</v>
      </c>
      <c r="F2698">
        <f>IFERROR(__xludf.DUMMYFUNCTION("""COMPUTED_VALUE"""),1.19)</f>
        <v>1.19</v>
      </c>
      <c r="G2698">
        <f>IFERROR(__xludf.DUMMYFUNCTION("""COMPUTED_VALUE"""),9.77)</f>
        <v>9.77</v>
      </c>
    </row>
    <row r="2699">
      <c r="A2699">
        <f>IFERROR(__xludf.DUMMYFUNCTION("""COMPUTED_VALUE"""),788034.0)</f>
        <v>788034</v>
      </c>
      <c r="B2699" t="str">
        <f>IFERROR(__xludf.DUMMYFUNCTION("""COMPUTED_VALUE"""),"Beets Canned Low Sodium Made With Butter")</f>
        <v>Beets Canned Low Sodium Made With Butter</v>
      </c>
      <c r="C2699" t="str">
        <f>IFERROR(__xludf.DUMMYFUNCTION("""COMPUTED_VALUE"""),"Vegetables")</f>
        <v>Vegetables</v>
      </c>
      <c r="D2699">
        <f>IFERROR(__xludf.DUMMYFUNCTION("""COMPUTED_VALUE"""),62.0)</f>
        <v>62</v>
      </c>
      <c r="E2699">
        <f>IFERROR(__xludf.DUMMYFUNCTION("""COMPUTED_VALUE"""),2.42)</f>
        <v>2.42</v>
      </c>
      <c r="F2699">
        <f>IFERROR(__xludf.DUMMYFUNCTION("""COMPUTED_VALUE"""),1.21)</f>
        <v>1.21</v>
      </c>
      <c r="G2699">
        <f>IFERROR(__xludf.DUMMYFUNCTION("""COMPUTED_VALUE"""),9.77)</f>
        <v>9.77</v>
      </c>
    </row>
    <row r="2700">
      <c r="A2700">
        <f>IFERROR(__xludf.DUMMYFUNCTION("""COMPUTED_VALUE"""),788035.0)</f>
        <v>788035</v>
      </c>
      <c r="B2700" t="str">
        <f>IFERROR(__xludf.DUMMYFUNCTION("""COMPUTED_VALUE"""),"Beets Canned Low Sodium Made With Margarine")</f>
        <v>Beets Canned Low Sodium Made With Margarine</v>
      </c>
      <c r="C2700" t="str">
        <f>IFERROR(__xludf.DUMMYFUNCTION("""COMPUTED_VALUE"""),"Vegetables")</f>
        <v>Vegetables</v>
      </c>
      <c r="D2700">
        <f>IFERROR(__xludf.DUMMYFUNCTION("""COMPUTED_VALUE"""),57.0)</f>
        <v>57</v>
      </c>
      <c r="E2700">
        <f>IFERROR(__xludf.DUMMYFUNCTION("""COMPUTED_VALUE"""),1.83)</f>
        <v>1.83</v>
      </c>
      <c r="F2700">
        <f>IFERROR(__xludf.DUMMYFUNCTION("""COMPUTED_VALUE"""),1.19)</f>
        <v>1.19</v>
      </c>
      <c r="G2700">
        <f>IFERROR(__xludf.DUMMYFUNCTION("""COMPUTED_VALUE"""),9.79)</f>
        <v>9.79</v>
      </c>
    </row>
    <row r="2701">
      <c r="A2701">
        <f>IFERROR(__xludf.DUMMYFUNCTION("""COMPUTED_VALUE"""),788036.0)</f>
        <v>788036</v>
      </c>
      <c r="B2701" t="str">
        <f>IFERROR(__xludf.DUMMYFUNCTION("""COMPUTED_VALUE"""),"Beets Canned Low Sodium Fat Added In Cooking Ns As To Type Of Fat")</f>
        <v>Beets Canned Low Sodium Fat Added In Cooking Ns As To Type Of Fat</v>
      </c>
      <c r="C2701" t="str">
        <f>IFERROR(__xludf.DUMMYFUNCTION("""COMPUTED_VALUE"""),"Vegetables")</f>
        <v>Vegetables</v>
      </c>
      <c r="D2701">
        <f>IFERROR(__xludf.DUMMYFUNCTION("""COMPUTED_VALUE"""),60.0)</f>
        <v>60</v>
      </c>
      <c r="E2701">
        <f>IFERROR(__xludf.DUMMYFUNCTION("""COMPUTED_VALUE"""),2.18)</f>
        <v>2.18</v>
      </c>
      <c r="F2701">
        <f>IFERROR(__xludf.DUMMYFUNCTION("""COMPUTED_VALUE"""),1.21)</f>
        <v>1.21</v>
      </c>
      <c r="G2701">
        <f>IFERROR(__xludf.DUMMYFUNCTION("""COMPUTED_VALUE"""),9.78)</f>
        <v>9.78</v>
      </c>
    </row>
    <row r="2702">
      <c r="A2702">
        <f>IFERROR(__xludf.DUMMYFUNCTION("""COMPUTED_VALUE"""),788037.0)</f>
        <v>788037</v>
      </c>
      <c r="B2702" t="str">
        <f>IFERROR(__xludf.DUMMYFUNCTION("""COMPUTED_VALUE"""),"Beets Cooked Ns As To Form Made With Oil")</f>
        <v>Beets Cooked Ns As To Form Made With Oil</v>
      </c>
      <c r="C2702" t="str">
        <f>IFERROR(__xludf.DUMMYFUNCTION("""COMPUTED_VALUE"""),"Vegetables")</f>
        <v>Vegetables</v>
      </c>
      <c r="D2702">
        <f>IFERROR(__xludf.DUMMYFUNCTION("""COMPUTED_VALUE"""),66.0)</f>
        <v>66</v>
      </c>
      <c r="E2702">
        <f>IFERROR(__xludf.DUMMYFUNCTION("""COMPUTED_VALUE"""),2.76)</f>
        <v>2.76</v>
      </c>
      <c r="F2702">
        <f>IFERROR(__xludf.DUMMYFUNCTION("""COMPUTED_VALUE"""),1.63)</f>
        <v>1.63</v>
      </c>
      <c r="G2702">
        <f>IFERROR(__xludf.DUMMYFUNCTION("""COMPUTED_VALUE"""),9.65)</f>
        <v>9.65</v>
      </c>
    </row>
    <row r="2703">
      <c r="A2703">
        <f>IFERROR(__xludf.DUMMYFUNCTION("""COMPUTED_VALUE"""),788038.0)</f>
        <v>788038</v>
      </c>
      <c r="B2703" t="str">
        <f>IFERROR(__xludf.DUMMYFUNCTION("""COMPUTED_VALUE"""),"Beets Cooked Ns As To Form Made With Butter")</f>
        <v>Beets Cooked Ns As To Form Made With Butter</v>
      </c>
      <c r="C2703" t="str">
        <f>IFERROR(__xludf.DUMMYFUNCTION("""COMPUTED_VALUE"""),"Vegetables")</f>
        <v>Vegetables</v>
      </c>
      <c r="D2703">
        <f>IFERROR(__xludf.DUMMYFUNCTION("""COMPUTED_VALUE"""),62.0)</f>
        <v>62</v>
      </c>
      <c r="E2703">
        <f>IFERROR(__xludf.DUMMYFUNCTION("""COMPUTED_VALUE"""),2.36)</f>
        <v>2.36</v>
      </c>
      <c r="F2703">
        <f>IFERROR(__xludf.DUMMYFUNCTION("""COMPUTED_VALUE"""),1.65)</f>
        <v>1.65</v>
      </c>
      <c r="G2703">
        <f>IFERROR(__xludf.DUMMYFUNCTION("""COMPUTED_VALUE"""),9.64)</f>
        <v>9.64</v>
      </c>
    </row>
    <row r="2704">
      <c r="A2704">
        <f>IFERROR(__xludf.DUMMYFUNCTION("""COMPUTED_VALUE"""),788039.0)</f>
        <v>788039</v>
      </c>
      <c r="B2704" t="str">
        <f>IFERROR(__xludf.DUMMYFUNCTION("""COMPUTED_VALUE"""),"Beets Cooked Ns As To Form Made With Margarine")</f>
        <v>Beets Cooked Ns As To Form Made With Margarine</v>
      </c>
      <c r="C2704" t="str">
        <f>IFERROR(__xludf.DUMMYFUNCTION("""COMPUTED_VALUE"""),"Vegetables")</f>
        <v>Vegetables</v>
      </c>
      <c r="D2704">
        <f>IFERROR(__xludf.DUMMYFUNCTION("""COMPUTED_VALUE"""),57.0)</f>
        <v>57</v>
      </c>
      <c r="E2704">
        <f>IFERROR(__xludf.DUMMYFUNCTION("""COMPUTED_VALUE"""),1.8)</f>
        <v>1.8</v>
      </c>
      <c r="F2704">
        <f>IFERROR(__xludf.DUMMYFUNCTION("""COMPUTED_VALUE"""),1.63)</f>
        <v>1.63</v>
      </c>
      <c r="G2704">
        <f>IFERROR(__xludf.DUMMYFUNCTION("""COMPUTED_VALUE"""),9.66)</f>
        <v>9.66</v>
      </c>
    </row>
    <row r="2705">
      <c r="A2705">
        <f>IFERROR(__xludf.DUMMYFUNCTION("""COMPUTED_VALUE"""),788040.0)</f>
        <v>788040</v>
      </c>
      <c r="B2705" t="str">
        <f>IFERROR(__xludf.DUMMYFUNCTION("""COMPUTED_VALUE"""),"Beets Cooked From Fresh Made With Oil")</f>
        <v>Beets Cooked From Fresh Made With Oil</v>
      </c>
      <c r="C2705" t="str">
        <f>IFERROR(__xludf.DUMMYFUNCTION("""COMPUTED_VALUE"""),"Vegetables")</f>
        <v>Vegetables</v>
      </c>
      <c r="D2705">
        <f>IFERROR(__xludf.DUMMYFUNCTION("""COMPUTED_VALUE"""),66.0)</f>
        <v>66</v>
      </c>
      <c r="E2705">
        <f>IFERROR(__xludf.DUMMYFUNCTION("""COMPUTED_VALUE"""),2.76)</f>
        <v>2.76</v>
      </c>
      <c r="F2705">
        <f>IFERROR(__xludf.DUMMYFUNCTION("""COMPUTED_VALUE"""),1.63)</f>
        <v>1.63</v>
      </c>
      <c r="G2705">
        <f>IFERROR(__xludf.DUMMYFUNCTION("""COMPUTED_VALUE"""),9.65)</f>
        <v>9.65</v>
      </c>
    </row>
    <row r="2706">
      <c r="A2706">
        <f>IFERROR(__xludf.DUMMYFUNCTION("""COMPUTED_VALUE"""),788041.0)</f>
        <v>788041</v>
      </c>
      <c r="B2706" t="str">
        <f>IFERROR(__xludf.DUMMYFUNCTION("""COMPUTED_VALUE"""),"Beets Cooked From Fresh Made With Butter")</f>
        <v>Beets Cooked From Fresh Made With Butter</v>
      </c>
      <c r="C2706" t="str">
        <f>IFERROR(__xludf.DUMMYFUNCTION("""COMPUTED_VALUE"""),"Vegetables")</f>
        <v>Vegetables</v>
      </c>
      <c r="D2706">
        <f>IFERROR(__xludf.DUMMYFUNCTION("""COMPUTED_VALUE"""),62.0)</f>
        <v>62</v>
      </c>
      <c r="E2706">
        <f>IFERROR(__xludf.DUMMYFUNCTION("""COMPUTED_VALUE"""),2.36)</f>
        <v>2.36</v>
      </c>
      <c r="F2706">
        <f>IFERROR(__xludf.DUMMYFUNCTION("""COMPUTED_VALUE"""),1.65)</f>
        <v>1.65</v>
      </c>
      <c r="G2706">
        <f>IFERROR(__xludf.DUMMYFUNCTION("""COMPUTED_VALUE"""),9.64)</f>
        <v>9.64</v>
      </c>
    </row>
    <row r="2707">
      <c r="A2707">
        <f>IFERROR(__xludf.DUMMYFUNCTION("""COMPUTED_VALUE"""),788042.0)</f>
        <v>788042</v>
      </c>
      <c r="B2707" t="str">
        <f>IFERROR(__xludf.DUMMYFUNCTION("""COMPUTED_VALUE"""),"Beets Cooked From Fresh Made With Margarine")</f>
        <v>Beets Cooked From Fresh Made With Margarine</v>
      </c>
      <c r="C2707" t="str">
        <f>IFERROR(__xludf.DUMMYFUNCTION("""COMPUTED_VALUE"""),"Vegetables")</f>
        <v>Vegetables</v>
      </c>
      <c r="D2707">
        <f>IFERROR(__xludf.DUMMYFUNCTION("""COMPUTED_VALUE"""),57.0)</f>
        <v>57</v>
      </c>
      <c r="E2707">
        <f>IFERROR(__xludf.DUMMYFUNCTION("""COMPUTED_VALUE"""),1.8)</f>
        <v>1.8</v>
      </c>
      <c r="F2707">
        <f>IFERROR(__xludf.DUMMYFUNCTION("""COMPUTED_VALUE"""),1.63)</f>
        <v>1.63</v>
      </c>
      <c r="G2707">
        <f>IFERROR(__xludf.DUMMYFUNCTION("""COMPUTED_VALUE"""),9.66)</f>
        <v>9.66</v>
      </c>
    </row>
    <row r="2708">
      <c r="A2708">
        <f>IFERROR(__xludf.DUMMYFUNCTION("""COMPUTED_VALUE"""),788043.0)</f>
        <v>788043</v>
      </c>
      <c r="B2708" t="str">
        <f>IFERROR(__xludf.DUMMYFUNCTION("""COMPUTED_VALUE"""),"Beets Cooked From Frozen Made With Oil")</f>
        <v>Beets Cooked From Frozen Made With Oil</v>
      </c>
      <c r="C2708" t="str">
        <f>IFERROR(__xludf.DUMMYFUNCTION("""COMPUTED_VALUE"""),"Vegetables")</f>
        <v>Vegetables</v>
      </c>
      <c r="D2708">
        <f>IFERROR(__xludf.DUMMYFUNCTION("""COMPUTED_VALUE"""),66.0)</f>
        <v>66</v>
      </c>
      <c r="E2708">
        <f>IFERROR(__xludf.DUMMYFUNCTION("""COMPUTED_VALUE"""),2.76)</f>
        <v>2.76</v>
      </c>
      <c r="F2708">
        <f>IFERROR(__xludf.DUMMYFUNCTION("""COMPUTED_VALUE"""),1.63)</f>
        <v>1.63</v>
      </c>
      <c r="G2708">
        <f>IFERROR(__xludf.DUMMYFUNCTION("""COMPUTED_VALUE"""),9.65)</f>
        <v>9.65</v>
      </c>
    </row>
    <row r="2709">
      <c r="A2709">
        <f>IFERROR(__xludf.DUMMYFUNCTION("""COMPUTED_VALUE"""),788044.0)</f>
        <v>788044</v>
      </c>
      <c r="B2709" t="str">
        <f>IFERROR(__xludf.DUMMYFUNCTION("""COMPUTED_VALUE"""),"Beets Cooked From Frozen Made With Butter")</f>
        <v>Beets Cooked From Frozen Made With Butter</v>
      </c>
      <c r="C2709" t="str">
        <f>IFERROR(__xludf.DUMMYFUNCTION("""COMPUTED_VALUE"""),"Vegetables")</f>
        <v>Vegetables</v>
      </c>
      <c r="D2709">
        <f>IFERROR(__xludf.DUMMYFUNCTION("""COMPUTED_VALUE"""),62.0)</f>
        <v>62</v>
      </c>
      <c r="E2709">
        <f>IFERROR(__xludf.DUMMYFUNCTION("""COMPUTED_VALUE"""),2.36)</f>
        <v>2.36</v>
      </c>
      <c r="F2709">
        <f>IFERROR(__xludf.DUMMYFUNCTION("""COMPUTED_VALUE"""),1.65)</f>
        <v>1.65</v>
      </c>
      <c r="G2709">
        <f>IFERROR(__xludf.DUMMYFUNCTION("""COMPUTED_VALUE"""),9.64)</f>
        <v>9.64</v>
      </c>
    </row>
    <row r="2710">
      <c r="A2710">
        <f>IFERROR(__xludf.DUMMYFUNCTION("""COMPUTED_VALUE"""),788045.0)</f>
        <v>788045</v>
      </c>
      <c r="B2710" t="str">
        <f>IFERROR(__xludf.DUMMYFUNCTION("""COMPUTED_VALUE"""),"Beets Cooked From Frozen Made With Margarine")</f>
        <v>Beets Cooked From Frozen Made With Margarine</v>
      </c>
      <c r="C2710" t="str">
        <f>IFERROR(__xludf.DUMMYFUNCTION("""COMPUTED_VALUE"""),"Vegetables")</f>
        <v>Vegetables</v>
      </c>
      <c r="D2710">
        <f>IFERROR(__xludf.DUMMYFUNCTION("""COMPUTED_VALUE"""),57.0)</f>
        <v>57</v>
      </c>
      <c r="E2710">
        <f>IFERROR(__xludf.DUMMYFUNCTION("""COMPUTED_VALUE"""),1.8)</f>
        <v>1.8</v>
      </c>
      <c r="F2710">
        <f>IFERROR(__xludf.DUMMYFUNCTION("""COMPUTED_VALUE"""),1.63)</f>
        <v>1.63</v>
      </c>
      <c r="G2710">
        <f>IFERROR(__xludf.DUMMYFUNCTION("""COMPUTED_VALUE"""),9.66)</f>
        <v>9.66</v>
      </c>
    </row>
    <row r="2711">
      <c r="A2711">
        <f>IFERROR(__xludf.DUMMYFUNCTION("""COMPUTED_VALUE"""),788046.0)</f>
        <v>788046</v>
      </c>
      <c r="B2711" t="str">
        <f>IFERROR(__xludf.DUMMYFUNCTION("""COMPUTED_VALUE"""),"Beets Cooked From Canned Made With Oil")</f>
        <v>Beets Cooked From Canned Made With Oil</v>
      </c>
      <c r="C2711" t="str">
        <f>IFERROR(__xludf.DUMMYFUNCTION("""COMPUTED_VALUE"""),"Vegetables")</f>
        <v>Vegetables</v>
      </c>
      <c r="D2711">
        <f>IFERROR(__xludf.DUMMYFUNCTION("""COMPUTED_VALUE"""),53.0)</f>
        <v>53</v>
      </c>
      <c r="E2711">
        <f>IFERROR(__xludf.DUMMYFUNCTION("""COMPUTED_VALUE"""),2.72)</f>
        <v>2.72</v>
      </c>
      <c r="F2711">
        <f>IFERROR(__xludf.DUMMYFUNCTION("""COMPUTED_VALUE"""),0.88)</f>
        <v>0.88</v>
      </c>
      <c r="G2711">
        <f>IFERROR(__xludf.DUMMYFUNCTION("""COMPUTED_VALUE"""),6.98)</f>
        <v>6.98</v>
      </c>
    </row>
    <row r="2712">
      <c r="A2712">
        <f>IFERROR(__xludf.DUMMYFUNCTION("""COMPUTED_VALUE"""),788047.0)</f>
        <v>788047</v>
      </c>
      <c r="B2712" t="str">
        <f>IFERROR(__xludf.DUMMYFUNCTION("""COMPUTED_VALUE"""),"Beets Cooked From Canned Made With Butter")</f>
        <v>Beets Cooked From Canned Made With Butter</v>
      </c>
      <c r="C2712" t="str">
        <f>IFERROR(__xludf.DUMMYFUNCTION("""COMPUTED_VALUE"""),"Vegetables")</f>
        <v>Vegetables</v>
      </c>
      <c r="D2712">
        <f>IFERROR(__xludf.DUMMYFUNCTION("""COMPUTED_VALUE"""),49.0)</f>
        <v>49</v>
      </c>
      <c r="E2712">
        <f>IFERROR(__xludf.DUMMYFUNCTION("""COMPUTED_VALUE"""),2.32)</f>
        <v>2.32</v>
      </c>
      <c r="F2712">
        <f>IFERROR(__xludf.DUMMYFUNCTION("""COMPUTED_VALUE"""),0.9)</f>
        <v>0.9</v>
      </c>
      <c r="G2712">
        <f>IFERROR(__xludf.DUMMYFUNCTION("""COMPUTED_VALUE"""),6.98)</f>
        <v>6.98</v>
      </c>
    </row>
    <row r="2713">
      <c r="A2713">
        <f>IFERROR(__xludf.DUMMYFUNCTION("""COMPUTED_VALUE"""),788048.0)</f>
        <v>788048</v>
      </c>
      <c r="B2713" t="str">
        <f>IFERROR(__xludf.DUMMYFUNCTION("""COMPUTED_VALUE"""),"Beets Cooked From Canned Made With Margarine")</f>
        <v>Beets Cooked From Canned Made With Margarine</v>
      </c>
      <c r="C2713" t="str">
        <f>IFERROR(__xludf.DUMMYFUNCTION("""COMPUTED_VALUE"""),"Vegetables")</f>
        <v>Vegetables</v>
      </c>
      <c r="D2713">
        <f>IFERROR(__xludf.DUMMYFUNCTION("""COMPUTED_VALUE"""),44.0)</f>
        <v>44</v>
      </c>
      <c r="E2713">
        <f>IFERROR(__xludf.DUMMYFUNCTION("""COMPUTED_VALUE"""),1.76)</f>
        <v>1.76</v>
      </c>
      <c r="F2713">
        <f>IFERROR(__xludf.DUMMYFUNCTION("""COMPUTED_VALUE"""),0.88)</f>
        <v>0.88</v>
      </c>
      <c r="G2713">
        <f>IFERROR(__xludf.DUMMYFUNCTION("""COMPUTED_VALUE"""),7.0)</f>
        <v>7</v>
      </c>
    </row>
    <row r="2714">
      <c r="A2714">
        <f>IFERROR(__xludf.DUMMYFUNCTION("""COMPUTED_VALUE"""),788049.0)</f>
        <v>788049</v>
      </c>
      <c r="B2714" t="str">
        <f>IFERROR(__xludf.DUMMYFUNCTION("""COMPUTED_VALUE"""),"Bitter Melon Cooked Ns As To Fat Added In Cooking")</f>
        <v>Bitter Melon Cooked Ns As To Fat Added In Cooking</v>
      </c>
      <c r="C2714" t="str">
        <f>IFERROR(__xludf.DUMMYFUNCTION("""COMPUTED_VALUE"""),"Vegetables")</f>
        <v>Vegetables</v>
      </c>
      <c r="D2714">
        <f>IFERROR(__xludf.DUMMYFUNCTION("""COMPUTED_VALUE"""),49.0)</f>
        <v>49</v>
      </c>
      <c r="E2714">
        <f>IFERROR(__xludf.DUMMYFUNCTION("""COMPUTED_VALUE"""),3.68)</f>
        <v>3.68</v>
      </c>
      <c r="F2714">
        <f>IFERROR(__xludf.DUMMYFUNCTION("""COMPUTED_VALUE"""),0.8)</f>
        <v>0.8</v>
      </c>
      <c r="G2714">
        <f>IFERROR(__xludf.DUMMYFUNCTION("""COMPUTED_VALUE"""),4.14)</f>
        <v>4.14</v>
      </c>
    </row>
    <row r="2715">
      <c r="A2715">
        <f>IFERROR(__xludf.DUMMYFUNCTION("""COMPUTED_VALUE"""),788050.0)</f>
        <v>788050</v>
      </c>
      <c r="B2715" t="str">
        <f>IFERROR(__xludf.DUMMYFUNCTION("""COMPUTED_VALUE"""),"Bitter Melon Cooked Fat Not Added In Cooking")</f>
        <v>Bitter Melon Cooked Fat Not Added In Cooking</v>
      </c>
      <c r="C2715" t="str">
        <f>IFERROR(__xludf.DUMMYFUNCTION("""COMPUTED_VALUE"""),"Vegetables")</f>
        <v>Vegetables</v>
      </c>
      <c r="D2715">
        <f>IFERROR(__xludf.DUMMYFUNCTION("""COMPUTED_VALUE"""),19.0)</f>
        <v>19</v>
      </c>
      <c r="E2715">
        <f>IFERROR(__xludf.DUMMYFUNCTION("""COMPUTED_VALUE"""),0.18)</f>
        <v>0.18</v>
      </c>
      <c r="F2715">
        <f>IFERROR(__xludf.DUMMYFUNCTION("""COMPUTED_VALUE"""),0.83)</f>
        <v>0.83</v>
      </c>
      <c r="G2715">
        <f>IFERROR(__xludf.DUMMYFUNCTION("""COMPUTED_VALUE"""),4.28)</f>
        <v>4.28</v>
      </c>
    </row>
    <row r="2716">
      <c r="A2716">
        <f>IFERROR(__xludf.DUMMYFUNCTION("""COMPUTED_VALUE"""),788051.0)</f>
        <v>788051</v>
      </c>
      <c r="B2716" t="str">
        <f>IFERROR(__xludf.DUMMYFUNCTION("""COMPUTED_VALUE"""),"Bitter Melon Cooked Fat Added In Cooking")</f>
        <v>Bitter Melon Cooked Fat Added In Cooking</v>
      </c>
      <c r="C2716" t="str">
        <f>IFERROR(__xludf.DUMMYFUNCTION("""COMPUTED_VALUE"""),"Vegetables")</f>
        <v>Vegetables</v>
      </c>
      <c r="D2716">
        <f>IFERROR(__xludf.DUMMYFUNCTION("""COMPUTED_VALUE"""),49.0)</f>
        <v>49</v>
      </c>
      <c r="E2716">
        <f>IFERROR(__xludf.DUMMYFUNCTION("""COMPUTED_VALUE"""),3.68)</f>
        <v>3.68</v>
      </c>
      <c r="F2716">
        <f>IFERROR(__xludf.DUMMYFUNCTION("""COMPUTED_VALUE"""),0.8)</f>
        <v>0.8</v>
      </c>
      <c r="G2716">
        <f>IFERROR(__xludf.DUMMYFUNCTION("""COMPUTED_VALUE"""),4.14)</f>
        <v>4.14</v>
      </c>
    </row>
    <row r="2717">
      <c r="A2717">
        <f>IFERROR(__xludf.DUMMYFUNCTION("""COMPUTED_VALUE"""),788052.0)</f>
        <v>788052</v>
      </c>
      <c r="B2717" t="str">
        <f>IFERROR(__xludf.DUMMYFUNCTION("""COMPUTED_VALUE"""),"Breadfruit Cooked Ns As To Fat Added In Cooking")</f>
        <v>Breadfruit Cooked Ns As To Fat Added In Cooking</v>
      </c>
      <c r="C2717" t="str">
        <f>IFERROR(__xludf.DUMMYFUNCTION("""COMPUTED_VALUE"""),"Vegetables")</f>
        <v>Vegetables</v>
      </c>
      <c r="D2717">
        <f>IFERROR(__xludf.DUMMYFUNCTION("""COMPUTED_VALUE"""),131.0)</f>
        <v>131</v>
      </c>
      <c r="E2717">
        <f>IFERROR(__xludf.DUMMYFUNCTION("""COMPUTED_VALUE"""),2.7)</f>
        <v>2.7</v>
      </c>
      <c r="F2717">
        <f>IFERROR(__xludf.DUMMYFUNCTION("""COMPUTED_VALUE"""),1.15)</f>
        <v>1.15</v>
      </c>
      <c r="G2717">
        <f>IFERROR(__xludf.DUMMYFUNCTION("""COMPUTED_VALUE"""),28.72)</f>
        <v>28.72</v>
      </c>
    </row>
    <row r="2718">
      <c r="A2718">
        <f>IFERROR(__xludf.DUMMYFUNCTION("""COMPUTED_VALUE"""),788053.0)</f>
        <v>788053</v>
      </c>
      <c r="B2718" t="str">
        <f>IFERROR(__xludf.DUMMYFUNCTION("""COMPUTED_VALUE"""),"Breadfruit Cooked Fat Not Added In Cooking")</f>
        <v>Breadfruit Cooked Fat Not Added In Cooking</v>
      </c>
      <c r="C2718" t="str">
        <f>IFERROR(__xludf.DUMMYFUNCTION("""COMPUTED_VALUE"""),"Vegetables")</f>
        <v>Vegetables</v>
      </c>
      <c r="D2718">
        <f>IFERROR(__xludf.DUMMYFUNCTION("""COMPUTED_VALUE"""),114.0)</f>
        <v>114</v>
      </c>
      <c r="E2718">
        <f>IFERROR(__xludf.DUMMYFUNCTION("""COMPUTED_VALUE"""),0.26)</f>
        <v>0.26</v>
      </c>
      <c r="F2718">
        <f>IFERROR(__xludf.DUMMYFUNCTION("""COMPUTED_VALUE"""),1.18)</f>
        <v>1.18</v>
      </c>
      <c r="G2718">
        <f>IFERROR(__xludf.DUMMYFUNCTION("""COMPUTED_VALUE"""),30.02)</f>
        <v>30.02</v>
      </c>
    </row>
    <row r="2719">
      <c r="A2719">
        <f>IFERROR(__xludf.DUMMYFUNCTION("""COMPUTED_VALUE"""),788054.0)</f>
        <v>788054</v>
      </c>
      <c r="B2719" t="str">
        <f>IFERROR(__xludf.DUMMYFUNCTION("""COMPUTED_VALUE"""),"Breadfruit Cooked Fat Added In Cooking")</f>
        <v>Breadfruit Cooked Fat Added In Cooking</v>
      </c>
      <c r="C2719" t="str">
        <f>IFERROR(__xludf.DUMMYFUNCTION("""COMPUTED_VALUE"""),"Vegetables")</f>
        <v>Vegetables</v>
      </c>
      <c r="D2719">
        <f>IFERROR(__xludf.DUMMYFUNCTION("""COMPUTED_VALUE"""),131.0)</f>
        <v>131</v>
      </c>
      <c r="E2719">
        <f>IFERROR(__xludf.DUMMYFUNCTION("""COMPUTED_VALUE"""),2.7)</f>
        <v>2.7</v>
      </c>
      <c r="F2719">
        <f>IFERROR(__xludf.DUMMYFUNCTION("""COMPUTED_VALUE"""),1.15)</f>
        <v>1.15</v>
      </c>
      <c r="G2719">
        <f>IFERROR(__xludf.DUMMYFUNCTION("""COMPUTED_VALUE"""),28.72)</f>
        <v>28.72</v>
      </c>
    </row>
    <row r="2720">
      <c r="A2720">
        <f>IFERROR(__xludf.DUMMYFUNCTION("""COMPUTED_VALUE"""),788055.0)</f>
        <v>788055</v>
      </c>
      <c r="B2720" t="str">
        <f>IFERROR(__xludf.DUMMYFUNCTION("""COMPUTED_VALUE"""),"Breadfruit Fried")</f>
        <v>Breadfruit Fried</v>
      </c>
      <c r="C2720" t="str">
        <f>IFERROR(__xludf.DUMMYFUNCTION("""COMPUTED_VALUE"""),"Vegetables")</f>
        <v>Vegetables</v>
      </c>
      <c r="D2720">
        <f>IFERROR(__xludf.DUMMYFUNCTION("""COMPUTED_VALUE"""),158.0)</f>
        <v>158</v>
      </c>
      <c r="E2720">
        <f>IFERROR(__xludf.DUMMYFUNCTION("""COMPUTED_VALUE"""),4.13)</f>
        <v>4.13</v>
      </c>
      <c r="F2720">
        <f>IFERROR(__xludf.DUMMYFUNCTION("""COMPUTED_VALUE"""),1.29)</f>
        <v>1.29</v>
      </c>
      <c r="G2720">
        <f>IFERROR(__xludf.DUMMYFUNCTION("""COMPUTED_VALUE"""),32.66)</f>
        <v>32.66</v>
      </c>
    </row>
    <row r="2721">
      <c r="A2721">
        <f>IFERROR(__xludf.DUMMYFUNCTION("""COMPUTED_VALUE"""),788056.0)</f>
        <v>788056</v>
      </c>
      <c r="B2721" t="str">
        <f>IFERROR(__xludf.DUMMYFUNCTION("""COMPUTED_VALUE"""),"Broccoflower Cooked Ns As To Fat Added In Cooking")</f>
        <v>Broccoflower Cooked Ns As To Fat Added In Cooking</v>
      </c>
      <c r="C2721" t="str">
        <f>IFERROR(__xludf.DUMMYFUNCTION("""COMPUTED_VALUE"""),"Vegetables")</f>
        <v>Vegetables</v>
      </c>
      <c r="D2721">
        <f>IFERROR(__xludf.DUMMYFUNCTION("""COMPUTED_VALUE"""),59.0)</f>
        <v>59</v>
      </c>
      <c r="E2721">
        <f>IFERROR(__xludf.DUMMYFUNCTION("""COMPUTED_VALUE"""),3.55)</f>
        <v>3.55</v>
      </c>
      <c r="F2721">
        <f>IFERROR(__xludf.DUMMYFUNCTION("""COMPUTED_VALUE"""),2.91)</f>
        <v>2.91</v>
      </c>
      <c r="G2721">
        <f>IFERROR(__xludf.DUMMYFUNCTION("""COMPUTED_VALUE"""),5.98)</f>
        <v>5.98</v>
      </c>
    </row>
    <row r="2722">
      <c r="A2722">
        <f>IFERROR(__xludf.DUMMYFUNCTION("""COMPUTED_VALUE"""),788057.0)</f>
        <v>788057</v>
      </c>
      <c r="B2722" t="str">
        <f>IFERROR(__xludf.DUMMYFUNCTION("""COMPUTED_VALUE"""),"Broccoflower Cooked Fat Not Added In Cooking")</f>
        <v>Broccoflower Cooked Fat Not Added In Cooking</v>
      </c>
      <c r="C2722" t="str">
        <f>IFERROR(__xludf.DUMMYFUNCTION("""COMPUTED_VALUE"""),"Vegetables")</f>
        <v>Vegetables</v>
      </c>
      <c r="D2722">
        <f>IFERROR(__xludf.DUMMYFUNCTION("""COMPUTED_VALUE"""),32.0)</f>
        <v>32</v>
      </c>
      <c r="E2722">
        <f>IFERROR(__xludf.DUMMYFUNCTION("""COMPUTED_VALUE"""),0.31)</f>
        <v>0.31</v>
      </c>
      <c r="F2722">
        <f>IFERROR(__xludf.DUMMYFUNCTION("""COMPUTED_VALUE"""),3.02)</f>
        <v>3.02</v>
      </c>
      <c r="G2722">
        <f>IFERROR(__xludf.DUMMYFUNCTION("""COMPUTED_VALUE"""),6.24)</f>
        <v>6.24</v>
      </c>
    </row>
    <row r="2723">
      <c r="A2723">
        <f>IFERROR(__xludf.DUMMYFUNCTION("""COMPUTED_VALUE"""),788058.0)</f>
        <v>788058</v>
      </c>
      <c r="B2723" t="str">
        <f>IFERROR(__xludf.DUMMYFUNCTION("""COMPUTED_VALUE"""),"Broccoflower Cooked Fat Added In Cooking Ns As To Type Of Fat")</f>
        <v>Broccoflower Cooked Fat Added In Cooking Ns As To Type Of Fat</v>
      </c>
      <c r="C2723" t="str">
        <f>IFERROR(__xludf.DUMMYFUNCTION("""COMPUTED_VALUE"""),"Vegetables")</f>
        <v>Vegetables</v>
      </c>
      <c r="D2723">
        <f>IFERROR(__xludf.DUMMYFUNCTION("""COMPUTED_VALUE"""),51.0)</f>
        <v>51</v>
      </c>
      <c r="E2723">
        <f>IFERROR(__xludf.DUMMYFUNCTION("""COMPUTED_VALUE"""),2.54)</f>
        <v>2.54</v>
      </c>
      <c r="F2723">
        <f>IFERROR(__xludf.DUMMYFUNCTION("""COMPUTED_VALUE"""),2.95)</f>
        <v>2.95</v>
      </c>
      <c r="G2723">
        <f>IFERROR(__xludf.DUMMYFUNCTION("""COMPUTED_VALUE"""),6.06)</f>
        <v>6.06</v>
      </c>
    </row>
    <row r="2724">
      <c r="A2724">
        <f>IFERROR(__xludf.DUMMYFUNCTION("""COMPUTED_VALUE"""),788059.0)</f>
        <v>788059</v>
      </c>
      <c r="B2724" t="str">
        <f>IFERROR(__xludf.DUMMYFUNCTION("""COMPUTED_VALUE"""),"Broccoflower Cooked Made With Oil")</f>
        <v>Broccoflower Cooked Made With Oil</v>
      </c>
      <c r="C2724" t="str">
        <f>IFERROR(__xludf.DUMMYFUNCTION("""COMPUTED_VALUE"""),"Vegetables")</f>
        <v>Vegetables</v>
      </c>
      <c r="D2724">
        <f>IFERROR(__xludf.DUMMYFUNCTION("""COMPUTED_VALUE"""),58.0)</f>
        <v>58</v>
      </c>
      <c r="E2724">
        <f>IFERROR(__xludf.DUMMYFUNCTION("""COMPUTED_VALUE"""),3.38)</f>
        <v>3.38</v>
      </c>
      <c r="F2724">
        <f>IFERROR(__xludf.DUMMYFUNCTION("""COMPUTED_VALUE"""),2.93)</f>
        <v>2.93</v>
      </c>
      <c r="G2724">
        <f>IFERROR(__xludf.DUMMYFUNCTION("""COMPUTED_VALUE"""),6.05)</f>
        <v>6.05</v>
      </c>
    </row>
    <row r="2725">
      <c r="A2725">
        <f>IFERROR(__xludf.DUMMYFUNCTION("""COMPUTED_VALUE"""),788060.0)</f>
        <v>788060</v>
      </c>
      <c r="B2725" t="str">
        <f>IFERROR(__xludf.DUMMYFUNCTION("""COMPUTED_VALUE"""),"Broccoflower Cooked Made With Butter")</f>
        <v>Broccoflower Cooked Made With Butter</v>
      </c>
      <c r="C2725" t="str">
        <f>IFERROR(__xludf.DUMMYFUNCTION("""COMPUTED_VALUE"""),"Vegetables")</f>
        <v>Vegetables</v>
      </c>
      <c r="D2725">
        <f>IFERROR(__xludf.DUMMYFUNCTION("""COMPUTED_VALUE"""),53.0)</f>
        <v>53</v>
      </c>
      <c r="E2725">
        <f>IFERROR(__xludf.DUMMYFUNCTION("""COMPUTED_VALUE"""),2.8)</f>
        <v>2.8</v>
      </c>
      <c r="F2725">
        <f>IFERROR(__xludf.DUMMYFUNCTION("""COMPUTED_VALUE"""),2.96)</f>
        <v>2.96</v>
      </c>
      <c r="G2725">
        <f>IFERROR(__xludf.DUMMYFUNCTION("""COMPUTED_VALUE"""),6.05)</f>
        <v>6.05</v>
      </c>
    </row>
    <row r="2726">
      <c r="A2726">
        <f>IFERROR(__xludf.DUMMYFUNCTION("""COMPUTED_VALUE"""),788061.0)</f>
        <v>788061</v>
      </c>
      <c r="B2726" t="str">
        <f>IFERROR(__xludf.DUMMYFUNCTION("""COMPUTED_VALUE"""),"Broccoflower Cooked Made With Margarine")</f>
        <v>Broccoflower Cooked Made With Margarine</v>
      </c>
      <c r="C2726" t="str">
        <f>IFERROR(__xludf.DUMMYFUNCTION("""COMPUTED_VALUE"""),"Vegetables")</f>
        <v>Vegetables</v>
      </c>
      <c r="D2726">
        <f>IFERROR(__xludf.DUMMYFUNCTION("""COMPUTED_VALUE"""),47.0)</f>
        <v>47</v>
      </c>
      <c r="E2726">
        <f>IFERROR(__xludf.DUMMYFUNCTION("""COMPUTED_VALUE"""),2.14)</f>
        <v>2.14</v>
      </c>
      <c r="F2726">
        <f>IFERROR(__xludf.DUMMYFUNCTION("""COMPUTED_VALUE"""),2.93)</f>
        <v>2.93</v>
      </c>
      <c r="G2726">
        <f>IFERROR(__xludf.DUMMYFUNCTION("""COMPUTED_VALUE"""),6.08)</f>
        <v>6.08</v>
      </c>
    </row>
    <row r="2727">
      <c r="A2727">
        <f>IFERROR(__xludf.DUMMYFUNCTION("""COMPUTED_VALUE"""),788062.0)</f>
        <v>788062</v>
      </c>
      <c r="B2727" t="str">
        <f>IFERROR(__xludf.DUMMYFUNCTION("""COMPUTED_VALUE"""),"Brussels Sprouts Cooked Ns As To Form Ns As To Fat Added In Cooking")</f>
        <v>Brussels Sprouts Cooked Ns As To Form Ns As To Fat Added In Cooking</v>
      </c>
      <c r="C2727" t="str">
        <f>IFERROR(__xludf.DUMMYFUNCTION("""COMPUTED_VALUE"""),"Vegetables")</f>
        <v>Vegetables</v>
      </c>
      <c r="D2727">
        <f>IFERROR(__xludf.DUMMYFUNCTION("""COMPUTED_VALUE"""),59.0)</f>
        <v>59</v>
      </c>
      <c r="E2727">
        <f>IFERROR(__xludf.DUMMYFUNCTION("""COMPUTED_VALUE"""),2.51)</f>
        <v>2.51</v>
      </c>
      <c r="F2727">
        <f>IFERROR(__xludf.DUMMYFUNCTION("""COMPUTED_VALUE"""),3.53)</f>
        <v>3.53</v>
      </c>
      <c r="G2727">
        <f>IFERROR(__xludf.DUMMYFUNCTION("""COMPUTED_VALUE"""),8.04)</f>
        <v>8.04</v>
      </c>
    </row>
    <row r="2728">
      <c r="A2728">
        <f>IFERROR(__xludf.DUMMYFUNCTION("""COMPUTED_VALUE"""),788063.0)</f>
        <v>788063</v>
      </c>
      <c r="B2728" t="str">
        <f>IFERROR(__xludf.DUMMYFUNCTION("""COMPUTED_VALUE"""),"Brussels Sprouts Cooked From Fresh Ns As To Fat Added In Cooking")</f>
        <v>Brussels Sprouts Cooked From Fresh Ns As To Fat Added In Cooking</v>
      </c>
      <c r="C2728" t="str">
        <f>IFERROR(__xludf.DUMMYFUNCTION("""COMPUTED_VALUE"""),"Vegetables")</f>
        <v>Vegetables</v>
      </c>
      <c r="D2728">
        <f>IFERROR(__xludf.DUMMYFUNCTION("""COMPUTED_VALUE"""),54.0)</f>
        <v>54</v>
      </c>
      <c r="E2728">
        <f>IFERROR(__xludf.DUMMYFUNCTION("""COMPUTED_VALUE"""),2.6)</f>
        <v>2.6</v>
      </c>
      <c r="F2728">
        <f>IFERROR(__xludf.DUMMYFUNCTION("""COMPUTED_VALUE"""),2.48)</f>
        <v>2.48</v>
      </c>
      <c r="G2728">
        <f>IFERROR(__xludf.DUMMYFUNCTION("""COMPUTED_VALUE"""),6.86)</f>
        <v>6.86</v>
      </c>
    </row>
    <row r="2729">
      <c r="A2729">
        <f>IFERROR(__xludf.DUMMYFUNCTION("""COMPUTED_VALUE"""),788064.0)</f>
        <v>788064</v>
      </c>
      <c r="B2729" t="str">
        <f>IFERROR(__xludf.DUMMYFUNCTION("""COMPUTED_VALUE"""),"Brussels Sprouts Cooked From Frozen Ns As To Fat Added In Cooking")</f>
        <v>Brussels Sprouts Cooked From Frozen Ns As To Fat Added In Cooking</v>
      </c>
      <c r="C2729" t="str">
        <f>IFERROR(__xludf.DUMMYFUNCTION("""COMPUTED_VALUE"""),"Vegetables")</f>
        <v>Vegetables</v>
      </c>
      <c r="D2729">
        <f>IFERROR(__xludf.DUMMYFUNCTION("""COMPUTED_VALUE"""),59.0)</f>
        <v>59</v>
      </c>
      <c r="E2729">
        <f>IFERROR(__xludf.DUMMYFUNCTION("""COMPUTED_VALUE"""),2.51)</f>
        <v>2.51</v>
      </c>
      <c r="F2729">
        <f>IFERROR(__xludf.DUMMYFUNCTION("""COMPUTED_VALUE"""),3.53)</f>
        <v>3.53</v>
      </c>
      <c r="G2729">
        <f>IFERROR(__xludf.DUMMYFUNCTION("""COMPUTED_VALUE"""),8.04)</f>
        <v>8.04</v>
      </c>
    </row>
    <row r="2730">
      <c r="A2730">
        <f>IFERROR(__xludf.DUMMYFUNCTION("""COMPUTED_VALUE"""),788065.0)</f>
        <v>788065</v>
      </c>
      <c r="B2730" t="str">
        <f>IFERROR(__xludf.DUMMYFUNCTION("""COMPUTED_VALUE"""),"Brussels Sprouts Cooked Ns As To Form Fat Not Added In Cooking")</f>
        <v>Brussels Sprouts Cooked Ns As To Form Fat Not Added In Cooking</v>
      </c>
      <c r="C2730" t="str">
        <f>IFERROR(__xludf.DUMMYFUNCTION("""COMPUTED_VALUE"""),"Vegetables")</f>
        <v>Vegetables</v>
      </c>
      <c r="D2730">
        <f>IFERROR(__xludf.DUMMYFUNCTION("""COMPUTED_VALUE"""),42.0)</f>
        <v>42</v>
      </c>
      <c r="E2730">
        <f>IFERROR(__xludf.DUMMYFUNCTION("""COMPUTED_VALUE"""),0.39)</f>
        <v>0.39</v>
      </c>
      <c r="F2730">
        <f>IFERROR(__xludf.DUMMYFUNCTION("""COMPUTED_VALUE"""),3.62)</f>
        <v>3.62</v>
      </c>
      <c r="G2730">
        <f>IFERROR(__xludf.DUMMYFUNCTION("""COMPUTED_VALUE"""),8.27)</f>
        <v>8.27</v>
      </c>
    </row>
    <row r="2731">
      <c r="A2731">
        <f>IFERROR(__xludf.DUMMYFUNCTION("""COMPUTED_VALUE"""),788066.0)</f>
        <v>788066</v>
      </c>
      <c r="B2731" t="str">
        <f>IFERROR(__xludf.DUMMYFUNCTION("""COMPUTED_VALUE"""),"Brussels Sprouts Cooked From Fresh Fat Not Added In Cooking")</f>
        <v>Brussels Sprouts Cooked From Fresh Fat Not Added In Cooking</v>
      </c>
      <c r="C2731" t="str">
        <f>IFERROR(__xludf.DUMMYFUNCTION("""COMPUTED_VALUE"""),"Vegetables")</f>
        <v>Vegetables</v>
      </c>
      <c r="D2731">
        <f>IFERROR(__xludf.DUMMYFUNCTION("""COMPUTED_VALUE"""),36.0)</f>
        <v>36</v>
      </c>
      <c r="E2731">
        <f>IFERROR(__xludf.DUMMYFUNCTION("""COMPUTED_VALUE"""),0.5)</f>
        <v>0.5</v>
      </c>
      <c r="F2731">
        <f>IFERROR(__xludf.DUMMYFUNCTION("""COMPUTED_VALUE"""),2.53)</f>
        <v>2.53</v>
      </c>
      <c r="G2731">
        <f>IFERROR(__xludf.DUMMYFUNCTION("""COMPUTED_VALUE"""),7.06)</f>
        <v>7.06</v>
      </c>
    </row>
    <row r="2732">
      <c r="A2732">
        <f>IFERROR(__xludf.DUMMYFUNCTION("""COMPUTED_VALUE"""),788067.0)</f>
        <v>788067</v>
      </c>
      <c r="B2732" t="str">
        <f>IFERROR(__xludf.DUMMYFUNCTION("""COMPUTED_VALUE"""),"Brussels Sprouts Cooked From Frozen Fat Not Added In Cooking")</f>
        <v>Brussels Sprouts Cooked From Frozen Fat Not Added In Cooking</v>
      </c>
      <c r="C2732" t="str">
        <f>IFERROR(__xludf.DUMMYFUNCTION("""COMPUTED_VALUE"""),"Vegetables")</f>
        <v>Vegetables</v>
      </c>
      <c r="D2732">
        <f>IFERROR(__xludf.DUMMYFUNCTION("""COMPUTED_VALUE"""),42.0)</f>
        <v>42</v>
      </c>
      <c r="E2732">
        <f>IFERROR(__xludf.DUMMYFUNCTION("""COMPUTED_VALUE"""),0.39)</f>
        <v>0.39</v>
      </c>
      <c r="F2732">
        <f>IFERROR(__xludf.DUMMYFUNCTION("""COMPUTED_VALUE"""),3.62)</f>
        <v>3.62</v>
      </c>
      <c r="G2732">
        <f>IFERROR(__xludf.DUMMYFUNCTION("""COMPUTED_VALUE"""),8.27)</f>
        <v>8.27</v>
      </c>
    </row>
    <row r="2733">
      <c r="A2733">
        <f>IFERROR(__xludf.DUMMYFUNCTION("""COMPUTED_VALUE"""),788068.0)</f>
        <v>788068</v>
      </c>
      <c r="B2733" t="str">
        <f>IFERROR(__xludf.DUMMYFUNCTION("""COMPUTED_VALUE"""),"Brussels Sprouts Cooked Ns As To Form Fat Added In Cooking Ns As To Type Of Fat")</f>
        <v>Brussels Sprouts Cooked Ns As To Form Fat Added In Cooking Ns As To Type Of Fat</v>
      </c>
      <c r="C2733" t="str">
        <f>IFERROR(__xludf.DUMMYFUNCTION("""COMPUTED_VALUE"""),"Vegetables")</f>
        <v>Vegetables</v>
      </c>
      <c r="D2733">
        <f>IFERROR(__xludf.DUMMYFUNCTION("""COMPUTED_VALUE"""),59.0)</f>
        <v>59</v>
      </c>
      <c r="E2733">
        <f>IFERROR(__xludf.DUMMYFUNCTION("""COMPUTED_VALUE"""),2.51)</f>
        <v>2.51</v>
      </c>
      <c r="F2733">
        <f>IFERROR(__xludf.DUMMYFUNCTION("""COMPUTED_VALUE"""),3.53)</f>
        <v>3.53</v>
      </c>
      <c r="G2733">
        <f>IFERROR(__xludf.DUMMYFUNCTION("""COMPUTED_VALUE"""),8.04)</f>
        <v>8.04</v>
      </c>
    </row>
    <row r="2734">
      <c r="A2734">
        <f>IFERROR(__xludf.DUMMYFUNCTION("""COMPUTED_VALUE"""),788069.0)</f>
        <v>788069</v>
      </c>
      <c r="B2734" t="str">
        <f>IFERROR(__xludf.DUMMYFUNCTION("""COMPUTED_VALUE"""),"Brussels Sprouts Cooked From Fresh Fat Added In Cooking Ns As To Type Of Fat")</f>
        <v>Brussels Sprouts Cooked From Fresh Fat Added In Cooking Ns As To Type Of Fat</v>
      </c>
      <c r="C2734" t="str">
        <f>IFERROR(__xludf.DUMMYFUNCTION("""COMPUTED_VALUE"""),"Vegetables")</f>
        <v>Vegetables</v>
      </c>
      <c r="D2734">
        <f>IFERROR(__xludf.DUMMYFUNCTION("""COMPUTED_VALUE"""),54.0)</f>
        <v>54</v>
      </c>
      <c r="E2734">
        <f>IFERROR(__xludf.DUMMYFUNCTION("""COMPUTED_VALUE"""),2.6)</f>
        <v>2.6</v>
      </c>
      <c r="F2734">
        <f>IFERROR(__xludf.DUMMYFUNCTION("""COMPUTED_VALUE"""),2.48)</f>
        <v>2.48</v>
      </c>
      <c r="G2734">
        <f>IFERROR(__xludf.DUMMYFUNCTION("""COMPUTED_VALUE"""),6.86)</f>
        <v>6.86</v>
      </c>
    </row>
    <row r="2735">
      <c r="A2735">
        <f>IFERROR(__xludf.DUMMYFUNCTION("""COMPUTED_VALUE"""),788070.0)</f>
        <v>788070</v>
      </c>
      <c r="B2735" t="str">
        <f>IFERROR(__xludf.DUMMYFUNCTION("""COMPUTED_VALUE"""),"Brussels Sprouts Cooked From Frozen Fat Added In Cooking Ns As To Type Of Fat")</f>
        <v>Brussels Sprouts Cooked From Frozen Fat Added In Cooking Ns As To Type Of Fat</v>
      </c>
      <c r="C2735" t="str">
        <f>IFERROR(__xludf.DUMMYFUNCTION("""COMPUTED_VALUE"""),"Vegetables")</f>
        <v>Vegetables</v>
      </c>
      <c r="D2735">
        <f>IFERROR(__xludf.DUMMYFUNCTION("""COMPUTED_VALUE"""),59.0)</f>
        <v>59</v>
      </c>
      <c r="E2735">
        <f>IFERROR(__xludf.DUMMYFUNCTION("""COMPUTED_VALUE"""),2.51)</f>
        <v>2.51</v>
      </c>
      <c r="F2735">
        <f>IFERROR(__xludf.DUMMYFUNCTION("""COMPUTED_VALUE"""),3.53)</f>
        <v>3.53</v>
      </c>
      <c r="G2735">
        <f>IFERROR(__xludf.DUMMYFUNCTION("""COMPUTED_VALUE"""),8.04)</f>
        <v>8.04</v>
      </c>
    </row>
    <row r="2736">
      <c r="A2736">
        <f>IFERROR(__xludf.DUMMYFUNCTION("""COMPUTED_VALUE"""),788071.0)</f>
        <v>788071</v>
      </c>
      <c r="B2736" t="str">
        <f>IFERROR(__xludf.DUMMYFUNCTION("""COMPUTED_VALUE"""),"Brussels Sprouts Cooked Ns As To Form Made With Oil")</f>
        <v>Brussels Sprouts Cooked Ns As To Form Made With Oil</v>
      </c>
      <c r="C2736" t="str">
        <f>IFERROR(__xludf.DUMMYFUNCTION("""COMPUTED_VALUE"""),"Vegetables")</f>
        <v>Vegetables</v>
      </c>
      <c r="D2736">
        <f>IFERROR(__xludf.DUMMYFUNCTION("""COMPUTED_VALUE"""),66.0)</f>
        <v>66</v>
      </c>
      <c r="E2736">
        <f>IFERROR(__xludf.DUMMYFUNCTION("""COMPUTED_VALUE"""),3.21)</f>
        <v>3.21</v>
      </c>
      <c r="F2736">
        <f>IFERROR(__xludf.DUMMYFUNCTION("""COMPUTED_VALUE"""),3.51)</f>
        <v>3.51</v>
      </c>
      <c r="G2736">
        <f>IFERROR(__xludf.DUMMYFUNCTION("""COMPUTED_VALUE"""),8.03)</f>
        <v>8.03</v>
      </c>
    </row>
    <row r="2737">
      <c r="A2737">
        <f>IFERROR(__xludf.DUMMYFUNCTION("""COMPUTED_VALUE"""),788072.0)</f>
        <v>788072</v>
      </c>
      <c r="B2737" t="str">
        <f>IFERROR(__xludf.DUMMYFUNCTION("""COMPUTED_VALUE"""),"Brussels Sprouts Cooked Ns As To Form Made With Butter")</f>
        <v>Brussels Sprouts Cooked Ns As To Form Made With Butter</v>
      </c>
      <c r="C2737" t="str">
        <f>IFERROR(__xludf.DUMMYFUNCTION("""COMPUTED_VALUE"""),"Vegetables")</f>
        <v>Vegetables</v>
      </c>
      <c r="D2737">
        <f>IFERROR(__xludf.DUMMYFUNCTION("""COMPUTED_VALUE"""),62.0)</f>
        <v>62</v>
      </c>
      <c r="E2737">
        <f>IFERROR(__xludf.DUMMYFUNCTION("""COMPUTED_VALUE"""),2.76)</f>
        <v>2.76</v>
      </c>
      <c r="F2737">
        <f>IFERROR(__xludf.DUMMYFUNCTION("""COMPUTED_VALUE"""),3.54)</f>
        <v>3.54</v>
      </c>
      <c r="G2737">
        <f>IFERROR(__xludf.DUMMYFUNCTION("""COMPUTED_VALUE"""),8.02)</f>
        <v>8.02</v>
      </c>
    </row>
    <row r="2738">
      <c r="A2738">
        <f>IFERROR(__xludf.DUMMYFUNCTION("""COMPUTED_VALUE"""),788073.0)</f>
        <v>788073</v>
      </c>
      <c r="B2738" t="str">
        <f>IFERROR(__xludf.DUMMYFUNCTION("""COMPUTED_VALUE"""),"Brussels Sprouts Cooked Ns As To Form Made With Margarine")</f>
        <v>Brussels Sprouts Cooked Ns As To Form Made With Margarine</v>
      </c>
      <c r="C2738" t="str">
        <f>IFERROR(__xludf.DUMMYFUNCTION("""COMPUTED_VALUE"""),"Vegetables")</f>
        <v>Vegetables</v>
      </c>
      <c r="D2738">
        <f>IFERROR(__xludf.DUMMYFUNCTION("""COMPUTED_VALUE"""),56.0)</f>
        <v>56</v>
      </c>
      <c r="E2738">
        <f>IFERROR(__xludf.DUMMYFUNCTION("""COMPUTED_VALUE"""),2.15)</f>
        <v>2.15</v>
      </c>
      <c r="F2738">
        <f>IFERROR(__xludf.DUMMYFUNCTION("""COMPUTED_VALUE"""),3.51)</f>
        <v>3.51</v>
      </c>
      <c r="G2738">
        <f>IFERROR(__xludf.DUMMYFUNCTION("""COMPUTED_VALUE"""),8.05)</f>
        <v>8.05</v>
      </c>
    </row>
    <row r="2739">
      <c r="A2739">
        <f>IFERROR(__xludf.DUMMYFUNCTION("""COMPUTED_VALUE"""),788074.0)</f>
        <v>788074</v>
      </c>
      <c r="B2739" t="str">
        <f>IFERROR(__xludf.DUMMYFUNCTION("""COMPUTED_VALUE"""),"Brussels Sprouts Cooked From Fresh Made With Oil")</f>
        <v>Brussels Sprouts Cooked From Fresh Made With Oil</v>
      </c>
      <c r="C2739" t="str">
        <f>IFERROR(__xludf.DUMMYFUNCTION("""COMPUTED_VALUE"""),"Vegetables")</f>
        <v>Vegetables</v>
      </c>
      <c r="D2739">
        <f>IFERROR(__xludf.DUMMYFUNCTION("""COMPUTED_VALUE"""),60.0)</f>
        <v>60</v>
      </c>
      <c r="E2739">
        <f>IFERROR(__xludf.DUMMYFUNCTION("""COMPUTED_VALUE"""),3.29)</f>
        <v>3.29</v>
      </c>
      <c r="F2739">
        <f>IFERROR(__xludf.DUMMYFUNCTION("""COMPUTED_VALUE"""),2.46)</f>
        <v>2.46</v>
      </c>
      <c r="G2739">
        <f>IFERROR(__xludf.DUMMYFUNCTION("""COMPUTED_VALUE"""),6.86)</f>
        <v>6.86</v>
      </c>
    </row>
    <row r="2740">
      <c r="A2740">
        <f>IFERROR(__xludf.DUMMYFUNCTION("""COMPUTED_VALUE"""),788075.0)</f>
        <v>788075</v>
      </c>
      <c r="B2740" t="str">
        <f>IFERROR(__xludf.DUMMYFUNCTION("""COMPUTED_VALUE"""),"Brussels Sprouts Cooked From Fresh Made With Butter")</f>
        <v>Brussels Sprouts Cooked From Fresh Made With Butter</v>
      </c>
      <c r="C2740" t="str">
        <f>IFERROR(__xludf.DUMMYFUNCTION("""COMPUTED_VALUE"""),"Vegetables")</f>
        <v>Vegetables</v>
      </c>
      <c r="D2740">
        <f>IFERROR(__xludf.DUMMYFUNCTION("""COMPUTED_VALUE"""),56.0)</f>
        <v>56</v>
      </c>
      <c r="E2740">
        <f>IFERROR(__xludf.DUMMYFUNCTION("""COMPUTED_VALUE"""),2.85)</f>
        <v>2.85</v>
      </c>
      <c r="F2740">
        <f>IFERROR(__xludf.DUMMYFUNCTION("""COMPUTED_VALUE"""),2.48)</f>
        <v>2.48</v>
      </c>
      <c r="G2740">
        <f>IFERROR(__xludf.DUMMYFUNCTION("""COMPUTED_VALUE"""),6.85)</f>
        <v>6.85</v>
      </c>
    </row>
    <row r="2741">
      <c r="A2741">
        <f>IFERROR(__xludf.DUMMYFUNCTION("""COMPUTED_VALUE"""),788076.0)</f>
        <v>788076</v>
      </c>
      <c r="B2741" t="str">
        <f>IFERROR(__xludf.DUMMYFUNCTION("""COMPUTED_VALUE"""),"Brussels Sprouts Cooked From Fresh Made With Margarine")</f>
        <v>Brussels Sprouts Cooked From Fresh Made With Margarine</v>
      </c>
      <c r="C2741" t="str">
        <f>IFERROR(__xludf.DUMMYFUNCTION("""COMPUTED_VALUE"""),"Vegetables")</f>
        <v>Vegetables</v>
      </c>
      <c r="D2741">
        <f>IFERROR(__xludf.DUMMYFUNCTION("""COMPUTED_VALUE"""),50.0)</f>
        <v>50</v>
      </c>
      <c r="E2741">
        <f>IFERROR(__xludf.DUMMYFUNCTION("""COMPUTED_VALUE"""),2.25)</f>
        <v>2.25</v>
      </c>
      <c r="F2741">
        <f>IFERROR(__xludf.DUMMYFUNCTION("""COMPUTED_VALUE"""),2.46)</f>
        <v>2.46</v>
      </c>
      <c r="G2741">
        <f>IFERROR(__xludf.DUMMYFUNCTION("""COMPUTED_VALUE"""),6.87)</f>
        <v>6.87</v>
      </c>
    </row>
    <row r="2742">
      <c r="A2742">
        <f>IFERROR(__xludf.DUMMYFUNCTION("""COMPUTED_VALUE"""),788077.0)</f>
        <v>788077</v>
      </c>
      <c r="B2742" t="str">
        <f>IFERROR(__xludf.DUMMYFUNCTION("""COMPUTED_VALUE"""),"Brussels Sprouts Cooked From Frozen Made With Oil")</f>
        <v>Brussels Sprouts Cooked From Frozen Made With Oil</v>
      </c>
      <c r="C2742" t="str">
        <f>IFERROR(__xludf.DUMMYFUNCTION("""COMPUTED_VALUE"""),"Vegetables")</f>
        <v>Vegetables</v>
      </c>
      <c r="D2742">
        <f>IFERROR(__xludf.DUMMYFUNCTION("""COMPUTED_VALUE"""),66.0)</f>
        <v>66</v>
      </c>
      <c r="E2742">
        <f>IFERROR(__xludf.DUMMYFUNCTION("""COMPUTED_VALUE"""),3.21)</f>
        <v>3.21</v>
      </c>
      <c r="F2742">
        <f>IFERROR(__xludf.DUMMYFUNCTION("""COMPUTED_VALUE"""),3.51)</f>
        <v>3.51</v>
      </c>
      <c r="G2742">
        <f>IFERROR(__xludf.DUMMYFUNCTION("""COMPUTED_VALUE"""),8.03)</f>
        <v>8.03</v>
      </c>
    </row>
    <row r="2743">
      <c r="A2743">
        <f>IFERROR(__xludf.DUMMYFUNCTION("""COMPUTED_VALUE"""),788078.0)</f>
        <v>788078</v>
      </c>
      <c r="B2743" t="str">
        <f>IFERROR(__xludf.DUMMYFUNCTION("""COMPUTED_VALUE"""),"Brussels Sprouts Cooked From Frozen Made With Butter")</f>
        <v>Brussels Sprouts Cooked From Frozen Made With Butter</v>
      </c>
      <c r="C2743" t="str">
        <f>IFERROR(__xludf.DUMMYFUNCTION("""COMPUTED_VALUE"""),"Vegetables")</f>
        <v>Vegetables</v>
      </c>
      <c r="D2743">
        <f>IFERROR(__xludf.DUMMYFUNCTION("""COMPUTED_VALUE"""),62.0)</f>
        <v>62</v>
      </c>
      <c r="E2743">
        <f>IFERROR(__xludf.DUMMYFUNCTION("""COMPUTED_VALUE"""),2.76)</f>
        <v>2.76</v>
      </c>
      <c r="F2743">
        <f>IFERROR(__xludf.DUMMYFUNCTION("""COMPUTED_VALUE"""),3.54)</f>
        <v>3.54</v>
      </c>
      <c r="G2743">
        <f>IFERROR(__xludf.DUMMYFUNCTION("""COMPUTED_VALUE"""),8.02)</f>
        <v>8.02</v>
      </c>
    </row>
    <row r="2744">
      <c r="A2744">
        <f>IFERROR(__xludf.DUMMYFUNCTION("""COMPUTED_VALUE"""),788079.0)</f>
        <v>788079</v>
      </c>
      <c r="B2744" t="str">
        <f>IFERROR(__xludf.DUMMYFUNCTION("""COMPUTED_VALUE"""),"Brussels Sprouts Cooked From Frozen Made With Margarine")</f>
        <v>Brussels Sprouts Cooked From Frozen Made With Margarine</v>
      </c>
      <c r="C2744" t="str">
        <f>IFERROR(__xludf.DUMMYFUNCTION("""COMPUTED_VALUE"""),"Vegetables")</f>
        <v>Vegetables</v>
      </c>
      <c r="D2744">
        <f>IFERROR(__xludf.DUMMYFUNCTION("""COMPUTED_VALUE"""),56.0)</f>
        <v>56</v>
      </c>
      <c r="E2744">
        <f>IFERROR(__xludf.DUMMYFUNCTION("""COMPUTED_VALUE"""),2.15)</f>
        <v>2.15</v>
      </c>
      <c r="F2744">
        <f>IFERROR(__xludf.DUMMYFUNCTION("""COMPUTED_VALUE"""),3.51)</f>
        <v>3.51</v>
      </c>
      <c r="G2744">
        <f>IFERROR(__xludf.DUMMYFUNCTION("""COMPUTED_VALUE"""),8.05)</f>
        <v>8.05</v>
      </c>
    </row>
    <row r="2745">
      <c r="A2745">
        <f>IFERROR(__xludf.DUMMYFUNCTION("""COMPUTED_VALUE"""),788080.0)</f>
        <v>788080</v>
      </c>
      <c r="B2745" t="str">
        <f>IFERROR(__xludf.DUMMYFUNCTION("""COMPUTED_VALUE"""),"Burdock Cooked Ns As To Fat Added In Cooking")</f>
        <v>Burdock Cooked Ns As To Fat Added In Cooking</v>
      </c>
      <c r="C2745" t="str">
        <f>IFERROR(__xludf.DUMMYFUNCTION("""COMPUTED_VALUE"""),"Vegetables")</f>
        <v>Vegetables</v>
      </c>
      <c r="D2745">
        <f>IFERROR(__xludf.DUMMYFUNCTION("""COMPUTED_VALUE"""),115.0)</f>
        <v>115</v>
      </c>
      <c r="E2745">
        <f>IFERROR(__xludf.DUMMYFUNCTION("""COMPUTED_VALUE"""),3.61)</f>
        <v>3.61</v>
      </c>
      <c r="F2745">
        <f>IFERROR(__xludf.DUMMYFUNCTION("""COMPUTED_VALUE"""),2.0)</f>
        <v>2</v>
      </c>
      <c r="G2745">
        <f>IFERROR(__xludf.DUMMYFUNCTION("""COMPUTED_VALUE"""),20.25)</f>
        <v>20.25</v>
      </c>
    </row>
    <row r="2746">
      <c r="A2746">
        <f>IFERROR(__xludf.DUMMYFUNCTION("""COMPUTED_VALUE"""),788081.0)</f>
        <v>788081</v>
      </c>
      <c r="B2746" t="str">
        <f>IFERROR(__xludf.DUMMYFUNCTION("""COMPUTED_VALUE"""),"Burdock Cooked Fat Not Added In Cooking")</f>
        <v>Burdock Cooked Fat Not Added In Cooking</v>
      </c>
      <c r="C2746" t="str">
        <f>IFERROR(__xludf.DUMMYFUNCTION("""COMPUTED_VALUE"""),"Vegetables")</f>
        <v>Vegetables</v>
      </c>
      <c r="D2746">
        <f>IFERROR(__xludf.DUMMYFUNCTION("""COMPUTED_VALUE"""),87.0)</f>
        <v>87</v>
      </c>
      <c r="E2746">
        <f>IFERROR(__xludf.DUMMYFUNCTION("""COMPUTED_VALUE"""),0.14)</f>
        <v>0.14</v>
      </c>
      <c r="F2746">
        <f>IFERROR(__xludf.DUMMYFUNCTION("""COMPUTED_VALUE"""),2.07)</f>
        <v>2.07</v>
      </c>
      <c r="G2746">
        <f>IFERROR(__xludf.DUMMYFUNCTION("""COMPUTED_VALUE"""),20.98)</f>
        <v>20.98</v>
      </c>
    </row>
    <row r="2747">
      <c r="A2747">
        <f>IFERROR(__xludf.DUMMYFUNCTION("""COMPUTED_VALUE"""),788082.0)</f>
        <v>788082</v>
      </c>
      <c r="B2747" t="str">
        <f>IFERROR(__xludf.DUMMYFUNCTION("""COMPUTED_VALUE"""),"Burdock Cooked Fat Added In Cooking")</f>
        <v>Burdock Cooked Fat Added In Cooking</v>
      </c>
      <c r="C2747" t="str">
        <f>IFERROR(__xludf.DUMMYFUNCTION("""COMPUTED_VALUE"""),"Vegetables")</f>
        <v>Vegetables</v>
      </c>
      <c r="D2747">
        <f>IFERROR(__xludf.DUMMYFUNCTION("""COMPUTED_VALUE"""),115.0)</f>
        <v>115</v>
      </c>
      <c r="E2747">
        <f>IFERROR(__xludf.DUMMYFUNCTION("""COMPUTED_VALUE"""),3.61)</f>
        <v>3.61</v>
      </c>
      <c r="F2747">
        <f>IFERROR(__xludf.DUMMYFUNCTION("""COMPUTED_VALUE"""),2.0)</f>
        <v>2</v>
      </c>
      <c r="G2747">
        <f>IFERROR(__xludf.DUMMYFUNCTION("""COMPUTED_VALUE"""),20.25)</f>
        <v>20.25</v>
      </c>
    </row>
    <row r="2748">
      <c r="A2748">
        <f>IFERROR(__xludf.DUMMYFUNCTION("""COMPUTED_VALUE"""),788083.0)</f>
        <v>788083</v>
      </c>
      <c r="B2748" t="str">
        <f>IFERROR(__xludf.DUMMYFUNCTION("""COMPUTED_VALUE"""),"Cabbage Chinese Cooked Ns As To Fat Added In Cooking")</f>
        <v>Cabbage Chinese Cooked Ns As To Fat Added In Cooking</v>
      </c>
      <c r="C2748" t="str">
        <f>IFERROR(__xludf.DUMMYFUNCTION("""COMPUTED_VALUE"""),"Vegetables")</f>
        <v>Vegetables</v>
      </c>
      <c r="D2748">
        <f>IFERROR(__xludf.DUMMYFUNCTION("""COMPUTED_VALUE"""),35.0)</f>
        <v>35</v>
      </c>
      <c r="E2748">
        <f>IFERROR(__xludf.DUMMYFUNCTION("""COMPUTED_VALUE"""),2.74)</f>
        <v>2.74</v>
      </c>
      <c r="F2748">
        <f>IFERROR(__xludf.DUMMYFUNCTION("""COMPUTED_VALUE"""),1.51)</f>
        <v>1.51</v>
      </c>
      <c r="G2748">
        <f>IFERROR(__xludf.DUMMYFUNCTION("""COMPUTED_VALUE"""),1.72)</f>
        <v>1.72</v>
      </c>
    </row>
    <row r="2749">
      <c r="A2749">
        <f>IFERROR(__xludf.DUMMYFUNCTION("""COMPUTED_VALUE"""),788084.0)</f>
        <v>788084</v>
      </c>
      <c r="B2749" t="str">
        <f>IFERROR(__xludf.DUMMYFUNCTION("""COMPUTED_VALUE"""),"Cabbage Chinese Cooked Fat Not Added In Cooking")</f>
        <v>Cabbage Chinese Cooked Fat Not Added In Cooking</v>
      </c>
      <c r="C2749" t="str">
        <f>IFERROR(__xludf.DUMMYFUNCTION("""COMPUTED_VALUE"""),"Vegetables")</f>
        <v>Vegetables</v>
      </c>
      <c r="D2749">
        <f>IFERROR(__xludf.DUMMYFUNCTION("""COMPUTED_VALUE"""),12.0)</f>
        <v>12</v>
      </c>
      <c r="E2749">
        <f>IFERROR(__xludf.DUMMYFUNCTION("""COMPUTED_VALUE"""),0.16)</f>
        <v>0.16</v>
      </c>
      <c r="F2749">
        <f>IFERROR(__xludf.DUMMYFUNCTION("""COMPUTED_VALUE"""),1.55)</f>
        <v>1.55</v>
      </c>
      <c r="G2749">
        <f>IFERROR(__xludf.DUMMYFUNCTION("""COMPUTED_VALUE"""),1.77)</f>
        <v>1.77</v>
      </c>
    </row>
    <row r="2750">
      <c r="A2750">
        <f>IFERROR(__xludf.DUMMYFUNCTION("""COMPUTED_VALUE"""),788085.0)</f>
        <v>788085</v>
      </c>
      <c r="B2750" t="str">
        <f>IFERROR(__xludf.DUMMYFUNCTION("""COMPUTED_VALUE"""),"Cabbage Chinese Cooked Fat Added In Cooking Ns As To Type Of Fat")</f>
        <v>Cabbage Chinese Cooked Fat Added In Cooking Ns As To Type Of Fat</v>
      </c>
      <c r="C2750" t="str">
        <f>IFERROR(__xludf.DUMMYFUNCTION("""COMPUTED_VALUE"""),"Vegetables")</f>
        <v>Vegetables</v>
      </c>
      <c r="D2750">
        <f>IFERROR(__xludf.DUMMYFUNCTION("""COMPUTED_VALUE"""),35.0)</f>
        <v>35</v>
      </c>
      <c r="E2750">
        <f>IFERROR(__xludf.DUMMYFUNCTION("""COMPUTED_VALUE"""),2.74)</f>
        <v>2.74</v>
      </c>
      <c r="F2750">
        <f>IFERROR(__xludf.DUMMYFUNCTION("""COMPUTED_VALUE"""),1.51)</f>
        <v>1.51</v>
      </c>
      <c r="G2750">
        <f>IFERROR(__xludf.DUMMYFUNCTION("""COMPUTED_VALUE"""),1.72)</f>
        <v>1.72</v>
      </c>
    </row>
    <row r="2751">
      <c r="A2751">
        <f>IFERROR(__xludf.DUMMYFUNCTION("""COMPUTED_VALUE"""),788086.0)</f>
        <v>788086</v>
      </c>
      <c r="B2751" t="str">
        <f>IFERROR(__xludf.DUMMYFUNCTION("""COMPUTED_VALUE"""),"Cabbage Chinese Cooked Made With Oil")</f>
        <v>Cabbage Chinese Cooked Made With Oil</v>
      </c>
      <c r="C2751" t="str">
        <f>IFERROR(__xludf.DUMMYFUNCTION("""COMPUTED_VALUE"""),"Vegetables")</f>
        <v>Vegetables</v>
      </c>
      <c r="D2751">
        <f>IFERROR(__xludf.DUMMYFUNCTION("""COMPUTED_VALUE"""),35.0)</f>
        <v>35</v>
      </c>
      <c r="E2751">
        <f>IFERROR(__xludf.DUMMYFUNCTION("""COMPUTED_VALUE"""),2.74)</f>
        <v>2.74</v>
      </c>
      <c r="F2751">
        <f>IFERROR(__xludf.DUMMYFUNCTION("""COMPUTED_VALUE"""),1.51)</f>
        <v>1.51</v>
      </c>
      <c r="G2751">
        <f>IFERROR(__xludf.DUMMYFUNCTION("""COMPUTED_VALUE"""),1.72)</f>
        <v>1.72</v>
      </c>
    </row>
    <row r="2752">
      <c r="A2752">
        <f>IFERROR(__xludf.DUMMYFUNCTION("""COMPUTED_VALUE"""),788087.0)</f>
        <v>788087</v>
      </c>
      <c r="B2752" t="str">
        <f>IFERROR(__xludf.DUMMYFUNCTION("""COMPUTED_VALUE"""),"Cabbage Chinese Cooked Made With Butter")</f>
        <v>Cabbage Chinese Cooked Made With Butter</v>
      </c>
      <c r="C2752" t="str">
        <f>IFERROR(__xludf.DUMMYFUNCTION("""COMPUTED_VALUE"""),"Vegetables")</f>
        <v>Vegetables</v>
      </c>
      <c r="D2752">
        <f>IFERROR(__xludf.DUMMYFUNCTION("""COMPUTED_VALUE"""),31.0)</f>
        <v>31</v>
      </c>
      <c r="E2752">
        <f>IFERROR(__xludf.DUMMYFUNCTION("""COMPUTED_VALUE"""),2.34)</f>
        <v>2.34</v>
      </c>
      <c r="F2752">
        <f>IFERROR(__xludf.DUMMYFUNCTION("""COMPUTED_VALUE"""),1.53)</f>
        <v>1.53</v>
      </c>
      <c r="G2752">
        <f>IFERROR(__xludf.DUMMYFUNCTION("""COMPUTED_VALUE"""),1.72)</f>
        <v>1.72</v>
      </c>
    </row>
    <row r="2753">
      <c r="A2753">
        <f>IFERROR(__xludf.DUMMYFUNCTION("""COMPUTED_VALUE"""),788088.0)</f>
        <v>788088</v>
      </c>
      <c r="B2753" t="str">
        <f>IFERROR(__xludf.DUMMYFUNCTION("""COMPUTED_VALUE"""),"Cabbage Chinese Cooked Made With Margarine")</f>
        <v>Cabbage Chinese Cooked Made With Margarine</v>
      </c>
      <c r="C2753" t="str">
        <f>IFERROR(__xludf.DUMMYFUNCTION("""COMPUTED_VALUE"""),"Vegetables")</f>
        <v>Vegetables</v>
      </c>
      <c r="D2753">
        <f>IFERROR(__xludf.DUMMYFUNCTION("""COMPUTED_VALUE"""),26.0)</f>
        <v>26</v>
      </c>
      <c r="E2753">
        <f>IFERROR(__xludf.DUMMYFUNCTION("""COMPUTED_VALUE"""),1.78)</f>
        <v>1.78</v>
      </c>
      <c r="F2753">
        <f>IFERROR(__xludf.DUMMYFUNCTION("""COMPUTED_VALUE"""),1.51)</f>
        <v>1.51</v>
      </c>
      <c r="G2753">
        <f>IFERROR(__xludf.DUMMYFUNCTION("""COMPUTED_VALUE"""),1.74)</f>
        <v>1.74</v>
      </c>
    </row>
    <row r="2754">
      <c r="A2754">
        <f>IFERROR(__xludf.DUMMYFUNCTION("""COMPUTED_VALUE"""),788089.0)</f>
        <v>788089</v>
      </c>
      <c r="B2754" t="str">
        <f>IFERROR(__xludf.DUMMYFUNCTION("""COMPUTED_VALUE"""),"Cabbage Green Cooked Ns As To Fat Added In Cooking")</f>
        <v>Cabbage Green Cooked Ns As To Fat Added In Cooking</v>
      </c>
      <c r="C2754" t="str">
        <f>IFERROR(__xludf.DUMMYFUNCTION("""COMPUTED_VALUE"""),"Vegetables")</f>
        <v>Vegetables</v>
      </c>
      <c r="D2754">
        <f>IFERROR(__xludf.DUMMYFUNCTION("""COMPUTED_VALUE"""),42.0)</f>
        <v>42</v>
      </c>
      <c r="E2754">
        <f>IFERROR(__xludf.DUMMYFUNCTION("""COMPUTED_VALUE"""),2.26)</f>
        <v>2.26</v>
      </c>
      <c r="F2754">
        <f>IFERROR(__xludf.DUMMYFUNCTION("""COMPUTED_VALUE"""),1.24)</f>
        <v>1.24</v>
      </c>
      <c r="G2754">
        <f>IFERROR(__xludf.DUMMYFUNCTION("""COMPUTED_VALUE"""),5.32)</f>
        <v>5.32</v>
      </c>
    </row>
    <row r="2755">
      <c r="A2755">
        <f>IFERROR(__xludf.DUMMYFUNCTION("""COMPUTED_VALUE"""),788090.0)</f>
        <v>788090</v>
      </c>
      <c r="B2755" t="str">
        <f>IFERROR(__xludf.DUMMYFUNCTION("""COMPUTED_VALUE"""),"Cabbage Green Cooked Fat Not Added In Cooking")</f>
        <v>Cabbage Green Cooked Fat Not Added In Cooking</v>
      </c>
      <c r="C2755" t="str">
        <f>IFERROR(__xludf.DUMMYFUNCTION("""COMPUTED_VALUE"""),"Vegetables")</f>
        <v>Vegetables</v>
      </c>
      <c r="D2755">
        <f>IFERROR(__xludf.DUMMYFUNCTION("""COMPUTED_VALUE"""),23.0)</f>
        <v>23</v>
      </c>
      <c r="E2755">
        <f>IFERROR(__xludf.DUMMYFUNCTION("""COMPUTED_VALUE"""),0.06)</f>
        <v>0.06</v>
      </c>
      <c r="F2755">
        <f>IFERROR(__xludf.DUMMYFUNCTION("""COMPUTED_VALUE"""),1.26)</f>
        <v>1.26</v>
      </c>
      <c r="G2755">
        <f>IFERROR(__xludf.DUMMYFUNCTION("""COMPUTED_VALUE"""),5.47)</f>
        <v>5.47</v>
      </c>
    </row>
    <row r="2756">
      <c r="A2756">
        <f>IFERROR(__xludf.DUMMYFUNCTION("""COMPUTED_VALUE"""),788091.0)</f>
        <v>788091</v>
      </c>
      <c r="B2756" t="str">
        <f>IFERROR(__xludf.DUMMYFUNCTION("""COMPUTED_VALUE"""),"Cabbage Green Cooked Fat Added In Cooking Ns As To Type Of Fat")</f>
        <v>Cabbage Green Cooked Fat Added In Cooking Ns As To Type Of Fat</v>
      </c>
      <c r="C2756" t="str">
        <f>IFERROR(__xludf.DUMMYFUNCTION("""COMPUTED_VALUE"""),"Vegetables")</f>
        <v>Vegetables</v>
      </c>
      <c r="D2756">
        <f>IFERROR(__xludf.DUMMYFUNCTION("""COMPUTED_VALUE"""),42.0)</f>
        <v>42</v>
      </c>
      <c r="E2756">
        <f>IFERROR(__xludf.DUMMYFUNCTION("""COMPUTED_VALUE"""),2.26)</f>
        <v>2.26</v>
      </c>
      <c r="F2756">
        <f>IFERROR(__xludf.DUMMYFUNCTION("""COMPUTED_VALUE"""),1.24)</f>
        <v>1.24</v>
      </c>
      <c r="G2756">
        <f>IFERROR(__xludf.DUMMYFUNCTION("""COMPUTED_VALUE"""),5.32)</f>
        <v>5.32</v>
      </c>
    </row>
    <row r="2757">
      <c r="A2757">
        <f>IFERROR(__xludf.DUMMYFUNCTION("""COMPUTED_VALUE"""),788092.0)</f>
        <v>788092</v>
      </c>
      <c r="B2757" t="str">
        <f>IFERROR(__xludf.DUMMYFUNCTION("""COMPUTED_VALUE"""),"Cabbage Green Cooked Made With Oil")</f>
        <v>Cabbage Green Cooked Made With Oil</v>
      </c>
      <c r="C2757" t="str">
        <f>IFERROR(__xludf.DUMMYFUNCTION("""COMPUTED_VALUE"""),"Vegetables")</f>
        <v>Vegetables</v>
      </c>
      <c r="D2757">
        <f>IFERROR(__xludf.DUMMYFUNCTION("""COMPUTED_VALUE"""),48.0)</f>
        <v>48</v>
      </c>
      <c r="E2757">
        <f>IFERROR(__xludf.DUMMYFUNCTION("""COMPUTED_VALUE"""),2.98)</f>
        <v>2.98</v>
      </c>
      <c r="F2757">
        <f>IFERROR(__xludf.DUMMYFUNCTION("""COMPUTED_VALUE"""),1.23)</f>
        <v>1.23</v>
      </c>
      <c r="G2757">
        <f>IFERROR(__xludf.DUMMYFUNCTION("""COMPUTED_VALUE"""),5.31)</f>
        <v>5.31</v>
      </c>
    </row>
    <row r="2758">
      <c r="A2758">
        <f>IFERROR(__xludf.DUMMYFUNCTION("""COMPUTED_VALUE"""),788093.0)</f>
        <v>788093</v>
      </c>
      <c r="B2758" t="str">
        <f>IFERROR(__xludf.DUMMYFUNCTION("""COMPUTED_VALUE"""),"Cabbage Green Cooked Made With Butter")</f>
        <v>Cabbage Green Cooked Made With Butter</v>
      </c>
      <c r="C2758" t="str">
        <f>IFERROR(__xludf.DUMMYFUNCTION("""COMPUTED_VALUE"""),"Vegetables")</f>
        <v>Vegetables</v>
      </c>
      <c r="D2758">
        <f>IFERROR(__xludf.DUMMYFUNCTION("""COMPUTED_VALUE"""),44.0)</f>
        <v>44</v>
      </c>
      <c r="E2758">
        <f>IFERROR(__xludf.DUMMYFUNCTION("""COMPUTED_VALUE"""),2.52)</f>
        <v>2.52</v>
      </c>
      <c r="F2758">
        <f>IFERROR(__xludf.DUMMYFUNCTION("""COMPUTED_VALUE"""),1.25)</f>
        <v>1.25</v>
      </c>
      <c r="G2758">
        <f>IFERROR(__xludf.DUMMYFUNCTION("""COMPUTED_VALUE"""),5.31)</f>
        <v>5.31</v>
      </c>
    </row>
    <row r="2759">
      <c r="A2759">
        <f>IFERROR(__xludf.DUMMYFUNCTION("""COMPUTED_VALUE"""),788094.0)</f>
        <v>788094</v>
      </c>
      <c r="B2759" t="str">
        <f>IFERROR(__xludf.DUMMYFUNCTION("""COMPUTED_VALUE"""),"Cabbage Green Cooked Made With Margarine")</f>
        <v>Cabbage Green Cooked Made With Margarine</v>
      </c>
      <c r="C2759" t="str">
        <f>IFERROR(__xludf.DUMMYFUNCTION("""COMPUTED_VALUE"""),"Vegetables")</f>
        <v>Vegetables</v>
      </c>
      <c r="D2759">
        <f>IFERROR(__xludf.DUMMYFUNCTION("""COMPUTED_VALUE"""),38.0)</f>
        <v>38</v>
      </c>
      <c r="E2759">
        <f>IFERROR(__xludf.DUMMYFUNCTION("""COMPUTED_VALUE"""),1.89)</f>
        <v>1.89</v>
      </c>
      <c r="F2759">
        <f>IFERROR(__xludf.DUMMYFUNCTION("""COMPUTED_VALUE"""),1.23)</f>
        <v>1.23</v>
      </c>
      <c r="G2759">
        <f>IFERROR(__xludf.DUMMYFUNCTION("""COMPUTED_VALUE"""),5.33)</f>
        <v>5.33</v>
      </c>
    </row>
    <row r="2760">
      <c r="A2760">
        <f>IFERROR(__xludf.DUMMYFUNCTION("""COMPUTED_VALUE"""),788095.0)</f>
        <v>788095</v>
      </c>
      <c r="B2760" t="str">
        <f>IFERROR(__xludf.DUMMYFUNCTION("""COMPUTED_VALUE"""),"Cabbage Red Cooked Ns As To Fat Added In Cooking")</f>
        <v>Cabbage Red Cooked Ns As To Fat Added In Cooking</v>
      </c>
      <c r="C2760" t="str">
        <f>IFERROR(__xludf.DUMMYFUNCTION("""COMPUTED_VALUE"""),"Vegetables")</f>
        <v>Vegetables</v>
      </c>
      <c r="D2760">
        <f>IFERROR(__xludf.DUMMYFUNCTION("""COMPUTED_VALUE"""),47.0)</f>
        <v>47</v>
      </c>
      <c r="E2760">
        <f>IFERROR(__xludf.DUMMYFUNCTION("""COMPUTED_VALUE"""),2.29)</f>
        <v>2.29</v>
      </c>
      <c r="F2760">
        <f>IFERROR(__xludf.DUMMYFUNCTION("""COMPUTED_VALUE"""),1.47)</f>
        <v>1.47</v>
      </c>
      <c r="G2760">
        <f>IFERROR(__xludf.DUMMYFUNCTION("""COMPUTED_VALUE"""),6.7)</f>
        <v>6.7</v>
      </c>
    </row>
    <row r="2761">
      <c r="A2761">
        <f>IFERROR(__xludf.DUMMYFUNCTION("""COMPUTED_VALUE"""),788096.0)</f>
        <v>788096</v>
      </c>
      <c r="B2761" t="str">
        <f>IFERROR(__xludf.DUMMYFUNCTION("""COMPUTED_VALUE"""),"Cabbage Red Cooked Fat Not Added In Cooking")</f>
        <v>Cabbage Red Cooked Fat Not Added In Cooking</v>
      </c>
      <c r="C2761" t="str">
        <f>IFERROR(__xludf.DUMMYFUNCTION("""COMPUTED_VALUE"""),"Vegetables")</f>
        <v>Vegetables</v>
      </c>
      <c r="D2761">
        <f>IFERROR(__xludf.DUMMYFUNCTION("""COMPUTED_VALUE"""),29.0)</f>
        <v>29</v>
      </c>
      <c r="E2761">
        <f>IFERROR(__xludf.DUMMYFUNCTION("""COMPUTED_VALUE"""),0.09)</f>
        <v>0.09</v>
      </c>
      <c r="F2761">
        <f>IFERROR(__xludf.DUMMYFUNCTION("""COMPUTED_VALUE"""),1.5)</f>
        <v>1.5</v>
      </c>
      <c r="G2761">
        <f>IFERROR(__xludf.DUMMYFUNCTION("""COMPUTED_VALUE"""),6.89)</f>
        <v>6.89</v>
      </c>
    </row>
    <row r="2762">
      <c r="A2762">
        <f>IFERROR(__xludf.DUMMYFUNCTION("""COMPUTED_VALUE"""),788097.0)</f>
        <v>788097</v>
      </c>
      <c r="B2762" t="str">
        <f>IFERROR(__xludf.DUMMYFUNCTION("""COMPUTED_VALUE"""),"Cabbage Red Cooked Fat Added In Cooking Ns As To Type Of Fat")</f>
        <v>Cabbage Red Cooked Fat Added In Cooking Ns As To Type Of Fat</v>
      </c>
      <c r="C2762" t="str">
        <f>IFERROR(__xludf.DUMMYFUNCTION("""COMPUTED_VALUE"""),"Vegetables")</f>
        <v>Vegetables</v>
      </c>
      <c r="D2762">
        <f>IFERROR(__xludf.DUMMYFUNCTION("""COMPUTED_VALUE"""),47.0)</f>
        <v>47</v>
      </c>
      <c r="E2762">
        <f>IFERROR(__xludf.DUMMYFUNCTION("""COMPUTED_VALUE"""),2.29)</f>
        <v>2.29</v>
      </c>
      <c r="F2762">
        <f>IFERROR(__xludf.DUMMYFUNCTION("""COMPUTED_VALUE"""),1.47)</f>
        <v>1.47</v>
      </c>
      <c r="G2762">
        <f>IFERROR(__xludf.DUMMYFUNCTION("""COMPUTED_VALUE"""),6.7)</f>
        <v>6.7</v>
      </c>
    </row>
    <row r="2763">
      <c r="A2763">
        <f>IFERROR(__xludf.DUMMYFUNCTION("""COMPUTED_VALUE"""),788098.0)</f>
        <v>788098</v>
      </c>
      <c r="B2763" t="str">
        <f>IFERROR(__xludf.DUMMYFUNCTION("""COMPUTED_VALUE"""),"Cabbage Red Cooked Made With Oil")</f>
        <v>Cabbage Red Cooked Made With Oil</v>
      </c>
      <c r="C2763" t="str">
        <f>IFERROR(__xludf.DUMMYFUNCTION("""COMPUTED_VALUE"""),"Vegetables")</f>
        <v>Vegetables</v>
      </c>
      <c r="D2763">
        <f>IFERROR(__xludf.DUMMYFUNCTION("""COMPUTED_VALUE"""),54.0)</f>
        <v>54</v>
      </c>
      <c r="E2763">
        <f>IFERROR(__xludf.DUMMYFUNCTION("""COMPUTED_VALUE"""),3.01)</f>
        <v>3.01</v>
      </c>
      <c r="F2763">
        <f>IFERROR(__xludf.DUMMYFUNCTION("""COMPUTED_VALUE"""),1.46)</f>
        <v>1.46</v>
      </c>
      <c r="G2763">
        <f>IFERROR(__xludf.DUMMYFUNCTION("""COMPUTED_VALUE"""),6.69)</f>
        <v>6.69</v>
      </c>
    </row>
    <row r="2764">
      <c r="A2764">
        <f>IFERROR(__xludf.DUMMYFUNCTION("""COMPUTED_VALUE"""),788099.0)</f>
        <v>788099</v>
      </c>
      <c r="B2764" t="str">
        <f>IFERROR(__xludf.DUMMYFUNCTION("""COMPUTED_VALUE"""),"Cabbage Red Cooked Made With Butter")</f>
        <v>Cabbage Red Cooked Made With Butter</v>
      </c>
      <c r="C2764" t="str">
        <f>IFERROR(__xludf.DUMMYFUNCTION("""COMPUTED_VALUE"""),"Vegetables")</f>
        <v>Vegetables</v>
      </c>
      <c r="D2764">
        <f>IFERROR(__xludf.DUMMYFUNCTION("""COMPUTED_VALUE"""),50.0)</f>
        <v>50</v>
      </c>
      <c r="E2764">
        <f>IFERROR(__xludf.DUMMYFUNCTION("""COMPUTED_VALUE"""),2.55)</f>
        <v>2.55</v>
      </c>
      <c r="F2764">
        <f>IFERROR(__xludf.DUMMYFUNCTION("""COMPUTED_VALUE"""),1.48)</f>
        <v>1.48</v>
      </c>
      <c r="G2764">
        <f>IFERROR(__xludf.DUMMYFUNCTION("""COMPUTED_VALUE"""),6.69)</f>
        <v>6.69</v>
      </c>
    </row>
    <row r="2765">
      <c r="A2765">
        <f>IFERROR(__xludf.DUMMYFUNCTION("""COMPUTED_VALUE"""),788100.0)</f>
        <v>788100</v>
      </c>
      <c r="B2765" t="str">
        <f>IFERROR(__xludf.DUMMYFUNCTION("""COMPUTED_VALUE"""),"Cabbage Red Cooked Made With Margarine")</f>
        <v>Cabbage Red Cooked Made With Margarine</v>
      </c>
      <c r="C2765" t="str">
        <f>IFERROR(__xludf.DUMMYFUNCTION("""COMPUTED_VALUE"""),"Vegetables")</f>
        <v>Vegetables</v>
      </c>
      <c r="D2765">
        <f>IFERROR(__xludf.DUMMYFUNCTION("""COMPUTED_VALUE"""),44.0)</f>
        <v>44</v>
      </c>
      <c r="E2765">
        <f>IFERROR(__xludf.DUMMYFUNCTION("""COMPUTED_VALUE"""),1.92)</f>
        <v>1.92</v>
      </c>
      <c r="F2765">
        <f>IFERROR(__xludf.DUMMYFUNCTION("""COMPUTED_VALUE"""),1.46)</f>
        <v>1.46</v>
      </c>
      <c r="G2765">
        <f>IFERROR(__xludf.DUMMYFUNCTION("""COMPUTED_VALUE"""),6.71)</f>
        <v>6.71</v>
      </c>
    </row>
    <row r="2766">
      <c r="A2766">
        <f>IFERROR(__xludf.DUMMYFUNCTION("""COMPUTED_VALUE"""),788101.0)</f>
        <v>788101</v>
      </c>
      <c r="B2766" t="str">
        <f>IFERROR(__xludf.DUMMYFUNCTION("""COMPUTED_VALUE"""),"Cabbage Savoy Cooked Ns As To Fat Added In Cooking")</f>
        <v>Cabbage Savoy Cooked Ns As To Fat Added In Cooking</v>
      </c>
      <c r="C2766" t="str">
        <f>IFERROR(__xludf.DUMMYFUNCTION("""COMPUTED_VALUE"""),"Vegetables")</f>
        <v>Vegetables</v>
      </c>
      <c r="D2766">
        <f>IFERROR(__xludf.DUMMYFUNCTION("""COMPUTED_VALUE"""),48.0)</f>
        <v>48</v>
      </c>
      <c r="E2766">
        <f>IFERROR(__xludf.DUMMYFUNCTION("""COMPUTED_VALUE"""),2.43)</f>
        <v>2.43</v>
      </c>
      <c r="F2766">
        <f>IFERROR(__xludf.DUMMYFUNCTION("""COMPUTED_VALUE"""),2.03)</f>
        <v>2.03</v>
      </c>
      <c r="G2766">
        <f>IFERROR(__xludf.DUMMYFUNCTION("""COMPUTED_VALUE"""),6.13)</f>
        <v>6.13</v>
      </c>
    </row>
    <row r="2767">
      <c r="A2767">
        <f>IFERROR(__xludf.DUMMYFUNCTION("""COMPUTED_VALUE"""),788102.0)</f>
        <v>788102</v>
      </c>
      <c r="B2767" t="str">
        <f>IFERROR(__xludf.DUMMYFUNCTION("""COMPUTED_VALUE"""),"Cabbage Savoy Cooked Fat Not Added In Cooking")</f>
        <v>Cabbage Savoy Cooked Fat Not Added In Cooking</v>
      </c>
      <c r="C2767" t="str">
        <f>IFERROR(__xludf.DUMMYFUNCTION("""COMPUTED_VALUE"""),"Vegetables")</f>
        <v>Vegetables</v>
      </c>
      <c r="D2767">
        <f>IFERROR(__xludf.DUMMYFUNCTION("""COMPUTED_VALUE"""),28.0)</f>
        <v>28</v>
      </c>
      <c r="E2767">
        <f>IFERROR(__xludf.DUMMYFUNCTION("""COMPUTED_VALUE"""),0.1)</f>
        <v>0.1</v>
      </c>
      <c r="F2767">
        <f>IFERROR(__xludf.DUMMYFUNCTION("""COMPUTED_VALUE"""),2.07)</f>
        <v>2.07</v>
      </c>
      <c r="G2767">
        <f>IFERROR(__xludf.DUMMYFUNCTION("""COMPUTED_VALUE"""),6.32)</f>
        <v>6.32</v>
      </c>
    </row>
    <row r="2768">
      <c r="A2768">
        <f>IFERROR(__xludf.DUMMYFUNCTION("""COMPUTED_VALUE"""),788103.0)</f>
        <v>788103</v>
      </c>
      <c r="B2768" t="str">
        <f>IFERROR(__xludf.DUMMYFUNCTION("""COMPUTED_VALUE"""),"Cabbage Savoy Cooked Fat Added In Cooking Ns As To Type Of Fat")</f>
        <v>Cabbage Savoy Cooked Fat Added In Cooking Ns As To Type Of Fat</v>
      </c>
      <c r="C2768" t="str">
        <f>IFERROR(__xludf.DUMMYFUNCTION("""COMPUTED_VALUE"""),"Vegetables")</f>
        <v>Vegetables</v>
      </c>
      <c r="D2768">
        <f>IFERROR(__xludf.DUMMYFUNCTION("""COMPUTED_VALUE"""),48.0)</f>
        <v>48</v>
      </c>
      <c r="E2768">
        <f>IFERROR(__xludf.DUMMYFUNCTION("""COMPUTED_VALUE"""),2.43)</f>
        <v>2.43</v>
      </c>
      <c r="F2768">
        <f>IFERROR(__xludf.DUMMYFUNCTION("""COMPUTED_VALUE"""),2.03)</f>
        <v>2.03</v>
      </c>
      <c r="G2768">
        <f>IFERROR(__xludf.DUMMYFUNCTION("""COMPUTED_VALUE"""),6.13)</f>
        <v>6.13</v>
      </c>
    </row>
    <row r="2769">
      <c r="A2769">
        <f>IFERROR(__xludf.DUMMYFUNCTION("""COMPUTED_VALUE"""),788104.0)</f>
        <v>788104</v>
      </c>
      <c r="B2769" t="str">
        <f>IFERROR(__xludf.DUMMYFUNCTION("""COMPUTED_VALUE"""),"Cabbage Savoy Cooked Made With Oil")</f>
        <v>Cabbage Savoy Cooked Made With Oil</v>
      </c>
      <c r="C2769" t="str">
        <f>IFERROR(__xludf.DUMMYFUNCTION("""COMPUTED_VALUE"""),"Vegetables")</f>
        <v>Vegetables</v>
      </c>
      <c r="D2769">
        <f>IFERROR(__xludf.DUMMYFUNCTION("""COMPUTED_VALUE"""),56.0)</f>
        <v>56</v>
      </c>
      <c r="E2769">
        <f>IFERROR(__xludf.DUMMYFUNCTION("""COMPUTED_VALUE"""),3.31)</f>
        <v>3.31</v>
      </c>
      <c r="F2769">
        <f>IFERROR(__xludf.DUMMYFUNCTION("""COMPUTED_VALUE"""),2.01)</f>
        <v>2.01</v>
      </c>
      <c r="G2769">
        <f>IFERROR(__xludf.DUMMYFUNCTION("""COMPUTED_VALUE"""),6.12)</f>
        <v>6.12</v>
      </c>
    </row>
    <row r="2770">
      <c r="A2770">
        <f>IFERROR(__xludf.DUMMYFUNCTION("""COMPUTED_VALUE"""),788105.0)</f>
        <v>788105</v>
      </c>
      <c r="B2770" t="str">
        <f>IFERROR(__xludf.DUMMYFUNCTION("""COMPUTED_VALUE"""),"Cabbage Savoy Cooked Made With Butter")</f>
        <v>Cabbage Savoy Cooked Made With Butter</v>
      </c>
      <c r="C2770" t="str">
        <f>IFERROR(__xludf.DUMMYFUNCTION("""COMPUTED_VALUE"""),"Vegetables")</f>
        <v>Vegetables</v>
      </c>
      <c r="D2770">
        <f>IFERROR(__xludf.DUMMYFUNCTION("""COMPUTED_VALUE"""),50.0)</f>
        <v>50</v>
      </c>
      <c r="E2770">
        <f>IFERROR(__xludf.DUMMYFUNCTION("""COMPUTED_VALUE"""),2.7)</f>
        <v>2.7</v>
      </c>
      <c r="F2770">
        <f>IFERROR(__xludf.DUMMYFUNCTION("""COMPUTED_VALUE"""),2.03)</f>
        <v>2.03</v>
      </c>
      <c r="G2770">
        <f>IFERROR(__xludf.DUMMYFUNCTION("""COMPUTED_VALUE"""),6.12)</f>
        <v>6.12</v>
      </c>
    </row>
    <row r="2771">
      <c r="A2771">
        <f>IFERROR(__xludf.DUMMYFUNCTION("""COMPUTED_VALUE"""),788106.0)</f>
        <v>788106</v>
      </c>
      <c r="B2771" t="str">
        <f>IFERROR(__xludf.DUMMYFUNCTION("""COMPUTED_VALUE"""),"Cabbage Savoy Cooked Made With Margarine")</f>
        <v>Cabbage Savoy Cooked Made With Margarine</v>
      </c>
      <c r="C2771" t="str">
        <f>IFERROR(__xludf.DUMMYFUNCTION("""COMPUTED_VALUE"""),"Vegetables")</f>
        <v>Vegetables</v>
      </c>
      <c r="D2771">
        <f>IFERROR(__xludf.DUMMYFUNCTION("""COMPUTED_VALUE"""),44.0)</f>
        <v>44</v>
      </c>
      <c r="E2771">
        <f>IFERROR(__xludf.DUMMYFUNCTION("""COMPUTED_VALUE"""),2.02)</f>
        <v>2.02</v>
      </c>
      <c r="F2771">
        <f>IFERROR(__xludf.DUMMYFUNCTION("""COMPUTED_VALUE"""),2.01)</f>
        <v>2.01</v>
      </c>
      <c r="G2771">
        <f>IFERROR(__xludf.DUMMYFUNCTION("""COMPUTED_VALUE"""),6.15)</f>
        <v>6.15</v>
      </c>
    </row>
    <row r="2772">
      <c r="A2772">
        <f>IFERROR(__xludf.DUMMYFUNCTION("""COMPUTED_VALUE"""),788107.0)</f>
        <v>788107</v>
      </c>
      <c r="B2772" t="str">
        <f>IFERROR(__xludf.DUMMYFUNCTION("""COMPUTED_VALUE"""),"Cactus Cooked Ns As To Fat Added In Cooking")</f>
        <v>Cactus Cooked Ns As To Fat Added In Cooking</v>
      </c>
      <c r="C2772" t="str">
        <f>IFERROR(__xludf.DUMMYFUNCTION("""COMPUTED_VALUE"""),"Vegetables")</f>
        <v>Vegetables</v>
      </c>
      <c r="D2772">
        <f>IFERROR(__xludf.DUMMYFUNCTION("""COMPUTED_VALUE"""),34.0)</f>
        <v>34</v>
      </c>
      <c r="E2772">
        <f>IFERROR(__xludf.DUMMYFUNCTION("""COMPUTED_VALUE"""),2.27)</f>
        <v>2.27</v>
      </c>
      <c r="F2772">
        <f>IFERROR(__xludf.DUMMYFUNCTION("""COMPUTED_VALUE"""),1.32)</f>
        <v>1.32</v>
      </c>
      <c r="G2772">
        <f>IFERROR(__xludf.DUMMYFUNCTION("""COMPUTED_VALUE"""),3.17)</f>
        <v>3.17</v>
      </c>
    </row>
    <row r="2773">
      <c r="A2773">
        <f>IFERROR(__xludf.DUMMYFUNCTION("""COMPUTED_VALUE"""),788108.0)</f>
        <v>788108</v>
      </c>
      <c r="B2773" t="str">
        <f>IFERROR(__xludf.DUMMYFUNCTION("""COMPUTED_VALUE"""),"Cactus Cooked Fat Not Added In Cooking")</f>
        <v>Cactus Cooked Fat Not Added In Cooking</v>
      </c>
      <c r="C2773" t="str">
        <f>IFERROR(__xludf.DUMMYFUNCTION("""COMPUTED_VALUE"""),"Vegetables")</f>
        <v>Vegetables</v>
      </c>
      <c r="D2773">
        <f>IFERROR(__xludf.DUMMYFUNCTION("""COMPUTED_VALUE"""),15.0)</f>
        <v>15</v>
      </c>
      <c r="E2773">
        <f>IFERROR(__xludf.DUMMYFUNCTION("""COMPUTED_VALUE"""),0.05)</f>
        <v>0.05</v>
      </c>
      <c r="F2773">
        <f>IFERROR(__xludf.DUMMYFUNCTION("""COMPUTED_VALUE"""),1.34)</f>
        <v>1.34</v>
      </c>
      <c r="G2773">
        <f>IFERROR(__xludf.DUMMYFUNCTION("""COMPUTED_VALUE"""),3.26)</f>
        <v>3.26</v>
      </c>
    </row>
    <row r="2774">
      <c r="A2774">
        <f>IFERROR(__xludf.DUMMYFUNCTION("""COMPUTED_VALUE"""),788109.0)</f>
        <v>788109</v>
      </c>
      <c r="B2774" t="str">
        <f>IFERROR(__xludf.DUMMYFUNCTION("""COMPUTED_VALUE"""),"Cactus Cooked Fat Added In Cooking Ns As To Type Of Fat")</f>
        <v>Cactus Cooked Fat Added In Cooking Ns As To Type Of Fat</v>
      </c>
      <c r="C2774" t="str">
        <f>IFERROR(__xludf.DUMMYFUNCTION("""COMPUTED_VALUE"""),"Vegetables")</f>
        <v>Vegetables</v>
      </c>
      <c r="D2774">
        <f>IFERROR(__xludf.DUMMYFUNCTION("""COMPUTED_VALUE"""),34.0)</f>
        <v>34</v>
      </c>
      <c r="E2774">
        <f>IFERROR(__xludf.DUMMYFUNCTION("""COMPUTED_VALUE"""),2.27)</f>
        <v>2.27</v>
      </c>
      <c r="F2774">
        <f>IFERROR(__xludf.DUMMYFUNCTION("""COMPUTED_VALUE"""),1.32)</f>
        <v>1.32</v>
      </c>
      <c r="G2774">
        <f>IFERROR(__xludf.DUMMYFUNCTION("""COMPUTED_VALUE"""),3.17)</f>
        <v>3.17</v>
      </c>
    </row>
    <row r="2775">
      <c r="A2775">
        <f>IFERROR(__xludf.DUMMYFUNCTION("""COMPUTED_VALUE"""),788110.0)</f>
        <v>788110</v>
      </c>
      <c r="B2775" t="str">
        <f>IFERROR(__xludf.DUMMYFUNCTION("""COMPUTED_VALUE"""),"Cactus Cooked Made With Oil")</f>
        <v>Cactus Cooked Made With Oil</v>
      </c>
      <c r="C2775" t="str">
        <f>IFERROR(__xludf.DUMMYFUNCTION("""COMPUTED_VALUE"""),"Vegetables")</f>
        <v>Vegetables</v>
      </c>
      <c r="D2775">
        <f>IFERROR(__xludf.DUMMYFUNCTION("""COMPUTED_VALUE"""),40.0)</f>
        <v>40</v>
      </c>
      <c r="E2775">
        <f>IFERROR(__xludf.DUMMYFUNCTION("""COMPUTED_VALUE"""),2.99)</f>
        <v>2.99</v>
      </c>
      <c r="F2775">
        <f>IFERROR(__xludf.DUMMYFUNCTION("""COMPUTED_VALUE"""),1.3)</f>
        <v>1.3</v>
      </c>
      <c r="G2775">
        <f>IFERROR(__xludf.DUMMYFUNCTION("""COMPUTED_VALUE"""),3.16)</f>
        <v>3.16</v>
      </c>
    </row>
    <row r="2776">
      <c r="A2776">
        <f>IFERROR(__xludf.DUMMYFUNCTION("""COMPUTED_VALUE"""),788111.0)</f>
        <v>788111</v>
      </c>
      <c r="B2776" t="str">
        <f>IFERROR(__xludf.DUMMYFUNCTION("""COMPUTED_VALUE"""),"Cactus Cooked Made With Butter")</f>
        <v>Cactus Cooked Made With Butter</v>
      </c>
      <c r="C2776" t="str">
        <f>IFERROR(__xludf.DUMMYFUNCTION("""COMPUTED_VALUE"""),"Vegetables")</f>
        <v>Vegetables</v>
      </c>
      <c r="D2776">
        <f>IFERROR(__xludf.DUMMYFUNCTION("""COMPUTED_VALUE"""),36.0)</f>
        <v>36</v>
      </c>
      <c r="E2776">
        <f>IFERROR(__xludf.DUMMYFUNCTION("""COMPUTED_VALUE"""),2.53)</f>
        <v>2.53</v>
      </c>
      <c r="F2776">
        <f>IFERROR(__xludf.DUMMYFUNCTION("""COMPUTED_VALUE"""),1.33)</f>
        <v>1.33</v>
      </c>
      <c r="G2776">
        <f>IFERROR(__xludf.DUMMYFUNCTION("""COMPUTED_VALUE"""),3.16)</f>
        <v>3.16</v>
      </c>
    </row>
    <row r="2777">
      <c r="A2777">
        <f>IFERROR(__xludf.DUMMYFUNCTION("""COMPUTED_VALUE"""),788112.0)</f>
        <v>788112</v>
      </c>
      <c r="B2777" t="str">
        <f>IFERROR(__xludf.DUMMYFUNCTION("""COMPUTED_VALUE"""),"Cactus Cooked Made With Margarine")</f>
        <v>Cactus Cooked Made With Margarine</v>
      </c>
      <c r="C2777" t="str">
        <f>IFERROR(__xludf.DUMMYFUNCTION("""COMPUTED_VALUE"""),"Vegetables")</f>
        <v>Vegetables</v>
      </c>
      <c r="D2777">
        <f>IFERROR(__xludf.DUMMYFUNCTION("""COMPUTED_VALUE"""),31.0)</f>
        <v>31</v>
      </c>
      <c r="E2777">
        <f>IFERROR(__xludf.DUMMYFUNCTION("""COMPUTED_VALUE"""),1.89)</f>
        <v>1.89</v>
      </c>
      <c r="F2777">
        <f>IFERROR(__xludf.DUMMYFUNCTION("""COMPUTED_VALUE"""),1.3)</f>
        <v>1.3</v>
      </c>
      <c r="G2777">
        <f>IFERROR(__xludf.DUMMYFUNCTION("""COMPUTED_VALUE"""),3.18)</f>
        <v>3.18</v>
      </c>
    </row>
    <row r="2778">
      <c r="A2778">
        <f>IFERROR(__xludf.DUMMYFUNCTION("""COMPUTED_VALUE"""),788113.0)</f>
        <v>788113</v>
      </c>
      <c r="B2778" t="str">
        <f>IFERROR(__xludf.DUMMYFUNCTION("""COMPUTED_VALUE"""),"Cauliflower Cooked Ns As To Form Ns As To Fat Added In Cooking")</f>
        <v>Cauliflower Cooked Ns As To Form Ns As To Fat Added In Cooking</v>
      </c>
      <c r="C2778" t="str">
        <f>IFERROR(__xludf.DUMMYFUNCTION("""COMPUTED_VALUE"""),"Vegetables")</f>
        <v>Vegetables</v>
      </c>
      <c r="D2778">
        <f>IFERROR(__xludf.DUMMYFUNCTION("""COMPUTED_VALUE"""),35.0)</f>
        <v>35</v>
      </c>
      <c r="E2778">
        <f>IFERROR(__xludf.DUMMYFUNCTION("""COMPUTED_VALUE"""),2.06)</f>
        <v>2.06</v>
      </c>
      <c r="F2778">
        <f>IFERROR(__xludf.DUMMYFUNCTION("""COMPUTED_VALUE"""),1.58)</f>
        <v>1.58</v>
      </c>
      <c r="G2778">
        <f>IFERROR(__xludf.DUMMYFUNCTION("""COMPUTED_VALUE"""),3.64)</f>
        <v>3.64</v>
      </c>
    </row>
    <row r="2779">
      <c r="A2779">
        <f>IFERROR(__xludf.DUMMYFUNCTION("""COMPUTED_VALUE"""),788114.0)</f>
        <v>788114</v>
      </c>
      <c r="B2779" t="str">
        <f>IFERROR(__xludf.DUMMYFUNCTION("""COMPUTED_VALUE"""),"Cauliflower Cooked From Fresh Ns As To Fat Added In Cooking")</f>
        <v>Cauliflower Cooked From Fresh Ns As To Fat Added In Cooking</v>
      </c>
      <c r="C2779" t="str">
        <f>IFERROR(__xludf.DUMMYFUNCTION("""COMPUTED_VALUE"""),"Vegetables")</f>
        <v>Vegetables</v>
      </c>
      <c r="D2779">
        <f>IFERROR(__xludf.DUMMYFUNCTION("""COMPUTED_VALUE"""),45.0)</f>
        <v>45</v>
      </c>
      <c r="E2779">
        <f>IFERROR(__xludf.DUMMYFUNCTION("""COMPUTED_VALUE"""),3.08)</f>
        <v>3.08</v>
      </c>
      <c r="F2779">
        <f>IFERROR(__xludf.DUMMYFUNCTION("""COMPUTED_VALUE"""),1.78)</f>
        <v>1.78</v>
      </c>
      <c r="G2779">
        <f>IFERROR(__xludf.DUMMYFUNCTION("""COMPUTED_VALUE"""),3.94)</f>
        <v>3.94</v>
      </c>
    </row>
    <row r="2780">
      <c r="A2780">
        <f>IFERROR(__xludf.DUMMYFUNCTION("""COMPUTED_VALUE"""),788115.0)</f>
        <v>788115</v>
      </c>
      <c r="B2780" t="str">
        <f>IFERROR(__xludf.DUMMYFUNCTION("""COMPUTED_VALUE"""),"Cauliflower Cooked From Frozen Ns As To Fat Added In Cooking")</f>
        <v>Cauliflower Cooked From Frozen Ns As To Fat Added In Cooking</v>
      </c>
      <c r="C2780" t="str">
        <f>IFERROR(__xludf.DUMMYFUNCTION("""COMPUTED_VALUE"""),"Vegetables")</f>
        <v>Vegetables</v>
      </c>
      <c r="D2780">
        <f>IFERROR(__xludf.DUMMYFUNCTION("""COMPUTED_VALUE"""),35.0)</f>
        <v>35</v>
      </c>
      <c r="E2780">
        <f>IFERROR(__xludf.DUMMYFUNCTION("""COMPUTED_VALUE"""),2.06)</f>
        <v>2.06</v>
      </c>
      <c r="F2780">
        <f>IFERROR(__xludf.DUMMYFUNCTION("""COMPUTED_VALUE"""),1.58)</f>
        <v>1.58</v>
      </c>
      <c r="G2780">
        <f>IFERROR(__xludf.DUMMYFUNCTION("""COMPUTED_VALUE"""),3.64)</f>
        <v>3.64</v>
      </c>
    </row>
    <row r="2781">
      <c r="A2781">
        <f>IFERROR(__xludf.DUMMYFUNCTION("""COMPUTED_VALUE"""),788116.0)</f>
        <v>788116</v>
      </c>
      <c r="B2781" t="str">
        <f>IFERROR(__xludf.DUMMYFUNCTION("""COMPUTED_VALUE"""),"Cauliflower Cooked From Canned Ns As To Fat Added In Cooking")</f>
        <v>Cauliflower Cooked From Canned Ns As To Fat Added In Cooking</v>
      </c>
      <c r="C2781" t="str">
        <f>IFERROR(__xludf.DUMMYFUNCTION("""COMPUTED_VALUE"""),"Vegetables")</f>
        <v>Vegetables</v>
      </c>
      <c r="D2781">
        <f>IFERROR(__xludf.DUMMYFUNCTION("""COMPUTED_VALUE"""),35.0)</f>
        <v>35</v>
      </c>
      <c r="E2781">
        <f>IFERROR(__xludf.DUMMYFUNCTION("""COMPUTED_VALUE"""),2.06)</f>
        <v>2.06</v>
      </c>
      <c r="F2781">
        <f>IFERROR(__xludf.DUMMYFUNCTION("""COMPUTED_VALUE"""),1.58)</f>
        <v>1.58</v>
      </c>
      <c r="G2781">
        <f>IFERROR(__xludf.DUMMYFUNCTION("""COMPUTED_VALUE"""),3.64)</f>
        <v>3.64</v>
      </c>
    </row>
    <row r="2782">
      <c r="A2782">
        <f>IFERROR(__xludf.DUMMYFUNCTION("""COMPUTED_VALUE"""),788117.0)</f>
        <v>788117</v>
      </c>
      <c r="B2782" t="str">
        <f>IFERROR(__xludf.DUMMYFUNCTION("""COMPUTED_VALUE"""),"Cauliflower Cooked Ns As To Form Fat Not Added In Cooking")</f>
        <v>Cauliflower Cooked Ns As To Form Fat Not Added In Cooking</v>
      </c>
      <c r="C2782" t="str">
        <f>IFERROR(__xludf.DUMMYFUNCTION("""COMPUTED_VALUE"""),"Vegetables")</f>
        <v>Vegetables</v>
      </c>
      <c r="D2782">
        <f>IFERROR(__xludf.DUMMYFUNCTION("""COMPUTED_VALUE"""),19.0)</f>
        <v>19</v>
      </c>
      <c r="E2782">
        <f>IFERROR(__xludf.DUMMYFUNCTION("""COMPUTED_VALUE"""),0.22)</f>
        <v>0.22</v>
      </c>
      <c r="F2782">
        <f>IFERROR(__xludf.DUMMYFUNCTION("""COMPUTED_VALUE"""),1.6)</f>
        <v>1.6</v>
      </c>
      <c r="G2782">
        <f>IFERROR(__xludf.DUMMYFUNCTION("""COMPUTED_VALUE"""),3.73)</f>
        <v>3.73</v>
      </c>
    </row>
    <row r="2783">
      <c r="A2783">
        <f>IFERROR(__xludf.DUMMYFUNCTION("""COMPUTED_VALUE"""),788118.0)</f>
        <v>788118</v>
      </c>
      <c r="B2783" t="str">
        <f>IFERROR(__xludf.DUMMYFUNCTION("""COMPUTED_VALUE"""),"Cauliflower Cooked From Fresh Fat Not Added In Cooking")</f>
        <v>Cauliflower Cooked From Fresh Fat Not Added In Cooking</v>
      </c>
      <c r="C2783" t="str">
        <f>IFERROR(__xludf.DUMMYFUNCTION("""COMPUTED_VALUE"""),"Vegetables")</f>
        <v>Vegetables</v>
      </c>
      <c r="D2783">
        <f>IFERROR(__xludf.DUMMYFUNCTION("""COMPUTED_VALUE"""),23.0)</f>
        <v>23</v>
      </c>
      <c r="E2783">
        <f>IFERROR(__xludf.DUMMYFUNCTION("""COMPUTED_VALUE"""),0.45)</f>
        <v>0.45</v>
      </c>
      <c r="F2783">
        <f>IFERROR(__xludf.DUMMYFUNCTION("""COMPUTED_VALUE"""),1.82)</f>
        <v>1.82</v>
      </c>
      <c r="G2783">
        <f>IFERROR(__xludf.DUMMYFUNCTION("""COMPUTED_VALUE"""),4.08)</f>
        <v>4.08</v>
      </c>
    </row>
    <row r="2784">
      <c r="A2784">
        <f>IFERROR(__xludf.DUMMYFUNCTION("""COMPUTED_VALUE"""),788119.0)</f>
        <v>788119</v>
      </c>
      <c r="B2784" t="str">
        <f>IFERROR(__xludf.DUMMYFUNCTION("""COMPUTED_VALUE"""),"Cauliflower Cooked From Frozen Fat Not Added In Cooking")</f>
        <v>Cauliflower Cooked From Frozen Fat Not Added In Cooking</v>
      </c>
      <c r="C2784" t="str">
        <f>IFERROR(__xludf.DUMMYFUNCTION("""COMPUTED_VALUE"""),"Vegetables")</f>
        <v>Vegetables</v>
      </c>
      <c r="D2784">
        <f>IFERROR(__xludf.DUMMYFUNCTION("""COMPUTED_VALUE"""),19.0)</f>
        <v>19</v>
      </c>
      <c r="E2784">
        <f>IFERROR(__xludf.DUMMYFUNCTION("""COMPUTED_VALUE"""),0.22)</f>
        <v>0.22</v>
      </c>
      <c r="F2784">
        <f>IFERROR(__xludf.DUMMYFUNCTION("""COMPUTED_VALUE"""),1.6)</f>
        <v>1.6</v>
      </c>
      <c r="G2784">
        <f>IFERROR(__xludf.DUMMYFUNCTION("""COMPUTED_VALUE"""),3.73)</f>
        <v>3.73</v>
      </c>
    </row>
    <row r="2785">
      <c r="A2785">
        <f>IFERROR(__xludf.DUMMYFUNCTION("""COMPUTED_VALUE"""),788120.0)</f>
        <v>788120</v>
      </c>
      <c r="B2785" t="str">
        <f>IFERROR(__xludf.DUMMYFUNCTION("""COMPUTED_VALUE"""),"Cauliflower Cooked From Canned Fat Not Added In Cooking")</f>
        <v>Cauliflower Cooked From Canned Fat Not Added In Cooking</v>
      </c>
      <c r="C2785" t="str">
        <f>IFERROR(__xludf.DUMMYFUNCTION("""COMPUTED_VALUE"""),"Vegetables")</f>
        <v>Vegetables</v>
      </c>
      <c r="D2785">
        <f>IFERROR(__xludf.DUMMYFUNCTION("""COMPUTED_VALUE"""),19.0)</f>
        <v>19</v>
      </c>
      <c r="E2785">
        <f>IFERROR(__xludf.DUMMYFUNCTION("""COMPUTED_VALUE"""),0.22)</f>
        <v>0.22</v>
      </c>
      <c r="F2785">
        <f>IFERROR(__xludf.DUMMYFUNCTION("""COMPUTED_VALUE"""),1.6)</f>
        <v>1.6</v>
      </c>
      <c r="G2785">
        <f>IFERROR(__xludf.DUMMYFUNCTION("""COMPUTED_VALUE"""),3.73)</f>
        <v>3.73</v>
      </c>
    </row>
    <row r="2786">
      <c r="A2786">
        <f>IFERROR(__xludf.DUMMYFUNCTION("""COMPUTED_VALUE"""),788121.0)</f>
        <v>788121</v>
      </c>
      <c r="B2786" t="str">
        <f>IFERROR(__xludf.DUMMYFUNCTION("""COMPUTED_VALUE"""),"Cauliflower Cooked Ns As To Form Fat Added In Cooking Ns As To Type Of Fat")</f>
        <v>Cauliflower Cooked Ns As To Form Fat Added In Cooking Ns As To Type Of Fat</v>
      </c>
      <c r="C2786" t="str">
        <f>IFERROR(__xludf.DUMMYFUNCTION("""COMPUTED_VALUE"""),"Vegetables")</f>
        <v>Vegetables</v>
      </c>
      <c r="D2786">
        <f>IFERROR(__xludf.DUMMYFUNCTION("""COMPUTED_VALUE"""),35.0)</f>
        <v>35</v>
      </c>
      <c r="E2786">
        <f>IFERROR(__xludf.DUMMYFUNCTION("""COMPUTED_VALUE"""),2.06)</f>
        <v>2.06</v>
      </c>
      <c r="F2786">
        <f>IFERROR(__xludf.DUMMYFUNCTION("""COMPUTED_VALUE"""),1.58)</f>
        <v>1.58</v>
      </c>
      <c r="G2786">
        <f>IFERROR(__xludf.DUMMYFUNCTION("""COMPUTED_VALUE"""),3.64)</f>
        <v>3.64</v>
      </c>
    </row>
    <row r="2787">
      <c r="A2787">
        <f>IFERROR(__xludf.DUMMYFUNCTION("""COMPUTED_VALUE"""),788122.0)</f>
        <v>788122</v>
      </c>
      <c r="B2787" t="str">
        <f>IFERROR(__xludf.DUMMYFUNCTION("""COMPUTED_VALUE"""),"Cauliflower Cooked From Fresh Fat Added In Cooking Ns As To Type Of Fat")</f>
        <v>Cauliflower Cooked From Fresh Fat Added In Cooking Ns As To Type Of Fat</v>
      </c>
      <c r="C2787" t="str">
        <f>IFERROR(__xludf.DUMMYFUNCTION("""COMPUTED_VALUE"""),"Vegetables")</f>
        <v>Vegetables</v>
      </c>
      <c r="D2787">
        <f>IFERROR(__xludf.DUMMYFUNCTION("""COMPUTED_VALUE"""),45.0)</f>
        <v>45</v>
      </c>
      <c r="E2787">
        <f>IFERROR(__xludf.DUMMYFUNCTION("""COMPUTED_VALUE"""),3.08)</f>
        <v>3.08</v>
      </c>
      <c r="F2787">
        <f>IFERROR(__xludf.DUMMYFUNCTION("""COMPUTED_VALUE"""),1.78)</f>
        <v>1.78</v>
      </c>
      <c r="G2787">
        <f>IFERROR(__xludf.DUMMYFUNCTION("""COMPUTED_VALUE"""),3.94)</f>
        <v>3.94</v>
      </c>
    </row>
    <row r="2788">
      <c r="A2788">
        <f>IFERROR(__xludf.DUMMYFUNCTION("""COMPUTED_VALUE"""),788123.0)</f>
        <v>788123</v>
      </c>
      <c r="B2788" t="str">
        <f>IFERROR(__xludf.DUMMYFUNCTION("""COMPUTED_VALUE"""),"Cauliflower Cooked From Frozen Fat Added In Cooking Ns As To Type Of Fat")</f>
        <v>Cauliflower Cooked From Frozen Fat Added In Cooking Ns As To Type Of Fat</v>
      </c>
      <c r="C2788" t="str">
        <f>IFERROR(__xludf.DUMMYFUNCTION("""COMPUTED_VALUE"""),"Vegetables")</f>
        <v>Vegetables</v>
      </c>
      <c r="D2788">
        <f>IFERROR(__xludf.DUMMYFUNCTION("""COMPUTED_VALUE"""),35.0)</f>
        <v>35</v>
      </c>
      <c r="E2788">
        <f>IFERROR(__xludf.DUMMYFUNCTION("""COMPUTED_VALUE"""),2.06)</f>
        <v>2.06</v>
      </c>
      <c r="F2788">
        <f>IFERROR(__xludf.DUMMYFUNCTION("""COMPUTED_VALUE"""),1.58)</f>
        <v>1.58</v>
      </c>
      <c r="G2788">
        <f>IFERROR(__xludf.DUMMYFUNCTION("""COMPUTED_VALUE"""),3.64)</f>
        <v>3.64</v>
      </c>
    </row>
    <row r="2789">
      <c r="A2789">
        <f>IFERROR(__xludf.DUMMYFUNCTION("""COMPUTED_VALUE"""),788124.0)</f>
        <v>788124</v>
      </c>
      <c r="B2789" t="str">
        <f>IFERROR(__xludf.DUMMYFUNCTION("""COMPUTED_VALUE"""),"Cauliflower Cooked From Canned Fat Added In Cooking Ns As To Type Of Fat")</f>
        <v>Cauliflower Cooked From Canned Fat Added In Cooking Ns As To Type Of Fat</v>
      </c>
      <c r="C2789" t="str">
        <f>IFERROR(__xludf.DUMMYFUNCTION("""COMPUTED_VALUE"""),"Vegetables")</f>
        <v>Vegetables</v>
      </c>
      <c r="D2789">
        <f>IFERROR(__xludf.DUMMYFUNCTION("""COMPUTED_VALUE"""),45.0)</f>
        <v>45</v>
      </c>
      <c r="E2789">
        <f>IFERROR(__xludf.DUMMYFUNCTION("""COMPUTED_VALUE"""),3.08)</f>
        <v>3.08</v>
      </c>
      <c r="F2789">
        <f>IFERROR(__xludf.DUMMYFUNCTION("""COMPUTED_VALUE"""),1.78)</f>
        <v>1.78</v>
      </c>
      <c r="G2789">
        <f>IFERROR(__xludf.DUMMYFUNCTION("""COMPUTED_VALUE"""),3.94)</f>
        <v>3.94</v>
      </c>
    </row>
    <row r="2790">
      <c r="A2790">
        <f>IFERROR(__xludf.DUMMYFUNCTION("""COMPUTED_VALUE"""),788125.0)</f>
        <v>788125</v>
      </c>
      <c r="B2790" t="str">
        <f>IFERROR(__xludf.DUMMYFUNCTION("""COMPUTED_VALUE"""),"Cauliflower Cooked Ns As To Form Made With Oil")</f>
        <v>Cauliflower Cooked Ns As To Form Made With Oil</v>
      </c>
      <c r="C2790" t="str">
        <f>IFERROR(__xludf.DUMMYFUNCTION("""COMPUTED_VALUE"""),"Vegetables")</f>
        <v>Vegetables</v>
      </c>
      <c r="D2790">
        <f>IFERROR(__xludf.DUMMYFUNCTION("""COMPUTED_VALUE"""),40.0)</f>
        <v>40</v>
      </c>
      <c r="E2790">
        <f>IFERROR(__xludf.DUMMYFUNCTION("""COMPUTED_VALUE"""),2.66)</f>
        <v>2.66</v>
      </c>
      <c r="F2790">
        <f>IFERROR(__xludf.DUMMYFUNCTION("""COMPUTED_VALUE"""),1.56)</f>
        <v>1.56</v>
      </c>
      <c r="G2790">
        <f>IFERROR(__xludf.DUMMYFUNCTION("""COMPUTED_VALUE"""),3.64)</f>
        <v>3.64</v>
      </c>
    </row>
    <row r="2791">
      <c r="A2791">
        <f>IFERROR(__xludf.DUMMYFUNCTION("""COMPUTED_VALUE"""),788126.0)</f>
        <v>788126</v>
      </c>
      <c r="B2791" t="str">
        <f>IFERROR(__xludf.DUMMYFUNCTION("""COMPUTED_VALUE"""),"Cauliflower Cooked Ns As To Form Made With Butter")</f>
        <v>Cauliflower Cooked Ns As To Form Made With Butter</v>
      </c>
      <c r="C2791" t="str">
        <f>IFERROR(__xludf.DUMMYFUNCTION("""COMPUTED_VALUE"""),"Vegetables")</f>
        <v>Vegetables</v>
      </c>
      <c r="D2791">
        <f>IFERROR(__xludf.DUMMYFUNCTION("""COMPUTED_VALUE"""),37.0)</f>
        <v>37</v>
      </c>
      <c r="E2791">
        <f>IFERROR(__xludf.DUMMYFUNCTION("""COMPUTED_VALUE"""),2.28)</f>
        <v>2.28</v>
      </c>
      <c r="F2791">
        <f>IFERROR(__xludf.DUMMYFUNCTION("""COMPUTED_VALUE"""),1.58)</f>
        <v>1.58</v>
      </c>
      <c r="G2791">
        <f>IFERROR(__xludf.DUMMYFUNCTION("""COMPUTED_VALUE"""),3.64)</f>
        <v>3.64</v>
      </c>
    </row>
    <row r="2792">
      <c r="A2792">
        <f>IFERROR(__xludf.DUMMYFUNCTION("""COMPUTED_VALUE"""),788127.0)</f>
        <v>788127</v>
      </c>
      <c r="B2792" t="str">
        <f>IFERROR(__xludf.DUMMYFUNCTION("""COMPUTED_VALUE"""),"Cauliflower Cooked Ns As To Form Made With Margarine")</f>
        <v>Cauliflower Cooked Ns As To Form Made With Margarine</v>
      </c>
      <c r="C2792" t="str">
        <f>IFERROR(__xludf.DUMMYFUNCTION("""COMPUTED_VALUE"""),"Vegetables")</f>
        <v>Vegetables</v>
      </c>
      <c r="D2792">
        <f>IFERROR(__xludf.DUMMYFUNCTION("""COMPUTED_VALUE"""),32.0)</f>
        <v>32</v>
      </c>
      <c r="E2792">
        <f>IFERROR(__xludf.DUMMYFUNCTION("""COMPUTED_VALUE"""),1.75)</f>
        <v>1.75</v>
      </c>
      <c r="F2792">
        <f>IFERROR(__xludf.DUMMYFUNCTION("""COMPUTED_VALUE"""),1.56)</f>
        <v>1.56</v>
      </c>
      <c r="G2792">
        <f>IFERROR(__xludf.DUMMYFUNCTION("""COMPUTED_VALUE"""),3.66)</f>
        <v>3.66</v>
      </c>
    </row>
    <row r="2793">
      <c r="A2793">
        <f>IFERROR(__xludf.DUMMYFUNCTION("""COMPUTED_VALUE"""),788128.0)</f>
        <v>788128</v>
      </c>
      <c r="B2793" t="str">
        <f>IFERROR(__xludf.DUMMYFUNCTION("""COMPUTED_VALUE"""),"Cauliflower Cooked From Fresh Made With Oil")</f>
        <v>Cauliflower Cooked From Fresh Made With Oil</v>
      </c>
      <c r="C2793" t="str">
        <f>IFERROR(__xludf.DUMMYFUNCTION("""COMPUTED_VALUE"""),"Vegetables")</f>
        <v>Vegetables</v>
      </c>
      <c r="D2793">
        <f>IFERROR(__xludf.DUMMYFUNCTION("""COMPUTED_VALUE"""),53.0)</f>
        <v>53</v>
      </c>
      <c r="E2793">
        <f>IFERROR(__xludf.DUMMYFUNCTION("""COMPUTED_VALUE"""),3.94)</f>
        <v>3.94</v>
      </c>
      <c r="F2793">
        <f>IFERROR(__xludf.DUMMYFUNCTION("""COMPUTED_VALUE"""),1.76)</f>
        <v>1.76</v>
      </c>
      <c r="G2793">
        <f>IFERROR(__xludf.DUMMYFUNCTION("""COMPUTED_VALUE"""),3.93)</f>
        <v>3.93</v>
      </c>
    </row>
    <row r="2794">
      <c r="A2794">
        <f>IFERROR(__xludf.DUMMYFUNCTION("""COMPUTED_VALUE"""),788129.0)</f>
        <v>788129</v>
      </c>
      <c r="B2794" t="str">
        <f>IFERROR(__xludf.DUMMYFUNCTION("""COMPUTED_VALUE"""),"Cauliflower Cooked From Fresh Made With Butter")</f>
        <v>Cauliflower Cooked From Fresh Made With Butter</v>
      </c>
      <c r="C2794" t="str">
        <f>IFERROR(__xludf.DUMMYFUNCTION("""COMPUTED_VALUE"""),"Vegetables")</f>
        <v>Vegetables</v>
      </c>
      <c r="D2794">
        <f>IFERROR(__xludf.DUMMYFUNCTION("""COMPUTED_VALUE"""),48.0)</f>
        <v>48</v>
      </c>
      <c r="E2794">
        <f>IFERROR(__xludf.DUMMYFUNCTION("""COMPUTED_VALUE"""),3.39)</f>
        <v>3.39</v>
      </c>
      <c r="F2794">
        <f>IFERROR(__xludf.DUMMYFUNCTION("""COMPUTED_VALUE"""),1.79)</f>
        <v>1.79</v>
      </c>
      <c r="G2794">
        <f>IFERROR(__xludf.DUMMYFUNCTION("""COMPUTED_VALUE"""),3.93)</f>
        <v>3.93</v>
      </c>
    </row>
    <row r="2795">
      <c r="A2795">
        <f>IFERROR(__xludf.DUMMYFUNCTION("""COMPUTED_VALUE"""),788130.0)</f>
        <v>788130</v>
      </c>
      <c r="B2795" t="str">
        <f>IFERROR(__xludf.DUMMYFUNCTION("""COMPUTED_VALUE"""),"Cauliflower Cooked From Fresh Made With Margarine")</f>
        <v>Cauliflower Cooked From Fresh Made With Margarine</v>
      </c>
      <c r="C2795" t="str">
        <f>IFERROR(__xludf.DUMMYFUNCTION("""COMPUTED_VALUE"""),"Vegetables")</f>
        <v>Vegetables</v>
      </c>
      <c r="D2795">
        <f>IFERROR(__xludf.DUMMYFUNCTION("""COMPUTED_VALUE"""),42.0)</f>
        <v>42</v>
      </c>
      <c r="E2795">
        <f>IFERROR(__xludf.DUMMYFUNCTION("""COMPUTED_VALUE"""),2.63)</f>
        <v>2.63</v>
      </c>
      <c r="F2795">
        <f>IFERROR(__xludf.DUMMYFUNCTION("""COMPUTED_VALUE"""),1.76)</f>
        <v>1.76</v>
      </c>
      <c r="G2795">
        <f>IFERROR(__xludf.DUMMYFUNCTION("""COMPUTED_VALUE"""),3.96)</f>
        <v>3.96</v>
      </c>
    </row>
    <row r="2796">
      <c r="A2796">
        <f>IFERROR(__xludf.DUMMYFUNCTION("""COMPUTED_VALUE"""),788131.0)</f>
        <v>788131</v>
      </c>
      <c r="B2796" t="str">
        <f>IFERROR(__xludf.DUMMYFUNCTION("""COMPUTED_VALUE"""),"Cauliflower Cooked From Frozen Made With Oil")</f>
        <v>Cauliflower Cooked From Frozen Made With Oil</v>
      </c>
      <c r="C2796" t="str">
        <f>IFERROR(__xludf.DUMMYFUNCTION("""COMPUTED_VALUE"""),"Vegetables")</f>
        <v>Vegetables</v>
      </c>
      <c r="D2796">
        <f>IFERROR(__xludf.DUMMYFUNCTION("""COMPUTED_VALUE"""),40.0)</f>
        <v>40</v>
      </c>
      <c r="E2796">
        <f>IFERROR(__xludf.DUMMYFUNCTION("""COMPUTED_VALUE"""),2.66)</f>
        <v>2.66</v>
      </c>
      <c r="F2796">
        <f>IFERROR(__xludf.DUMMYFUNCTION("""COMPUTED_VALUE"""),1.56)</f>
        <v>1.56</v>
      </c>
      <c r="G2796">
        <f>IFERROR(__xludf.DUMMYFUNCTION("""COMPUTED_VALUE"""),3.64)</f>
        <v>3.64</v>
      </c>
    </row>
    <row r="2797">
      <c r="A2797">
        <f>IFERROR(__xludf.DUMMYFUNCTION("""COMPUTED_VALUE"""),788132.0)</f>
        <v>788132</v>
      </c>
      <c r="B2797" t="str">
        <f>IFERROR(__xludf.DUMMYFUNCTION("""COMPUTED_VALUE"""),"Cauliflower Cooked From Frozen Made With Butter")</f>
        <v>Cauliflower Cooked From Frozen Made With Butter</v>
      </c>
      <c r="C2797" t="str">
        <f>IFERROR(__xludf.DUMMYFUNCTION("""COMPUTED_VALUE"""),"Vegetables")</f>
        <v>Vegetables</v>
      </c>
      <c r="D2797">
        <f>IFERROR(__xludf.DUMMYFUNCTION("""COMPUTED_VALUE"""),37.0)</f>
        <v>37</v>
      </c>
      <c r="E2797">
        <f>IFERROR(__xludf.DUMMYFUNCTION("""COMPUTED_VALUE"""),2.28)</f>
        <v>2.28</v>
      </c>
      <c r="F2797">
        <f>IFERROR(__xludf.DUMMYFUNCTION("""COMPUTED_VALUE"""),1.58)</f>
        <v>1.58</v>
      </c>
      <c r="G2797">
        <f>IFERROR(__xludf.DUMMYFUNCTION("""COMPUTED_VALUE"""),3.64)</f>
        <v>3.64</v>
      </c>
    </row>
    <row r="2798">
      <c r="A2798">
        <f>IFERROR(__xludf.DUMMYFUNCTION("""COMPUTED_VALUE"""),788133.0)</f>
        <v>788133</v>
      </c>
      <c r="B2798" t="str">
        <f>IFERROR(__xludf.DUMMYFUNCTION("""COMPUTED_VALUE"""),"Cauliflower Cooked From Frozen Made With Margarine")</f>
        <v>Cauliflower Cooked From Frozen Made With Margarine</v>
      </c>
      <c r="C2798" t="str">
        <f>IFERROR(__xludf.DUMMYFUNCTION("""COMPUTED_VALUE"""),"Vegetables")</f>
        <v>Vegetables</v>
      </c>
      <c r="D2798">
        <f>IFERROR(__xludf.DUMMYFUNCTION("""COMPUTED_VALUE"""),32.0)</f>
        <v>32</v>
      </c>
      <c r="E2798">
        <f>IFERROR(__xludf.DUMMYFUNCTION("""COMPUTED_VALUE"""),1.75)</f>
        <v>1.75</v>
      </c>
      <c r="F2798">
        <f>IFERROR(__xludf.DUMMYFUNCTION("""COMPUTED_VALUE"""),1.56)</f>
        <v>1.56</v>
      </c>
      <c r="G2798">
        <f>IFERROR(__xludf.DUMMYFUNCTION("""COMPUTED_VALUE"""),3.66)</f>
        <v>3.66</v>
      </c>
    </row>
    <row r="2799">
      <c r="A2799">
        <f>IFERROR(__xludf.DUMMYFUNCTION("""COMPUTED_VALUE"""),788134.0)</f>
        <v>788134</v>
      </c>
      <c r="B2799" t="str">
        <f>IFERROR(__xludf.DUMMYFUNCTION("""COMPUTED_VALUE"""),"Cauliflower Cooked From Canned Made With Oil")</f>
        <v>Cauliflower Cooked From Canned Made With Oil</v>
      </c>
      <c r="C2799" t="str">
        <f>IFERROR(__xludf.DUMMYFUNCTION("""COMPUTED_VALUE"""),"Vegetables")</f>
        <v>Vegetables</v>
      </c>
      <c r="D2799">
        <f>IFERROR(__xludf.DUMMYFUNCTION("""COMPUTED_VALUE"""),40.0)</f>
        <v>40</v>
      </c>
      <c r="E2799">
        <f>IFERROR(__xludf.DUMMYFUNCTION("""COMPUTED_VALUE"""),2.66)</f>
        <v>2.66</v>
      </c>
      <c r="F2799">
        <f>IFERROR(__xludf.DUMMYFUNCTION("""COMPUTED_VALUE"""),1.56)</f>
        <v>1.56</v>
      </c>
      <c r="G2799">
        <f>IFERROR(__xludf.DUMMYFUNCTION("""COMPUTED_VALUE"""),3.64)</f>
        <v>3.64</v>
      </c>
    </row>
    <row r="2800">
      <c r="A2800">
        <f>IFERROR(__xludf.DUMMYFUNCTION("""COMPUTED_VALUE"""),788135.0)</f>
        <v>788135</v>
      </c>
      <c r="B2800" t="str">
        <f>IFERROR(__xludf.DUMMYFUNCTION("""COMPUTED_VALUE"""),"Cauliflower Cooked From Canned Made With Butter")</f>
        <v>Cauliflower Cooked From Canned Made With Butter</v>
      </c>
      <c r="C2800" t="str">
        <f>IFERROR(__xludf.DUMMYFUNCTION("""COMPUTED_VALUE"""),"Vegetables")</f>
        <v>Vegetables</v>
      </c>
      <c r="D2800">
        <f>IFERROR(__xludf.DUMMYFUNCTION("""COMPUTED_VALUE"""),37.0)</f>
        <v>37</v>
      </c>
      <c r="E2800">
        <f>IFERROR(__xludf.DUMMYFUNCTION("""COMPUTED_VALUE"""),2.28)</f>
        <v>2.28</v>
      </c>
      <c r="F2800">
        <f>IFERROR(__xludf.DUMMYFUNCTION("""COMPUTED_VALUE"""),1.58)</f>
        <v>1.58</v>
      </c>
      <c r="G2800">
        <f>IFERROR(__xludf.DUMMYFUNCTION("""COMPUTED_VALUE"""),3.64)</f>
        <v>3.64</v>
      </c>
    </row>
    <row r="2801">
      <c r="A2801">
        <f>IFERROR(__xludf.DUMMYFUNCTION("""COMPUTED_VALUE"""),788136.0)</f>
        <v>788136</v>
      </c>
      <c r="B2801" t="str">
        <f>IFERROR(__xludf.DUMMYFUNCTION("""COMPUTED_VALUE"""),"Cauliflower Cooked From Canned Made With Margarine")</f>
        <v>Cauliflower Cooked From Canned Made With Margarine</v>
      </c>
      <c r="C2801" t="str">
        <f>IFERROR(__xludf.DUMMYFUNCTION("""COMPUTED_VALUE"""),"Vegetables")</f>
        <v>Vegetables</v>
      </c>
      <c r="D2801">
        <f>IFERROR(__xludf.DUMMYFUNCTION("""COMPUTED_VALUE"""),32.0)</f>
        <v>32</v>
      </c>
      <c r="E2801">
        <f>IFERROR(__xludf.DUMMYFUNCTION("""COMPUTED_VALUE"""),1.75)</f>
        <v>1.75</v>
      </c>
      <c r="F2801">
        <f>IFERROR(__xludf.DUMMYFUNCTION("""COMPUTED_VALUE"""),1.56)</f>
        <v>1.56</v>
      </c>
      <c r="G2801">
        <f>IFERROR(__xludf.DUMMYFUNCTION("""COMPUTED_VALUE"""),3.66)</f>
        <v>3.66</v>
      </c>
    </row>
    <row r="2802">
      <c r="A2802">
        <f>IFERROR(__xludf.DUMMYFUNCTION("""COMPUTED_VALUE"""),788137.0)</f>
        <v>788137</v>
      </c>
      <c r="B2802" t="str">
        <f>IFERROR(__xludf.DUMMYFUNCTION("""COMPUTED_VALUE"""),"Celery Cooked Ns As To Fat Added In Cooking")</f>
        <v>Celery Cooked Ns As To Fat Added In Cooking</v>
      </c>
      <c r="C2802" t="str">
        <f>IFERROR(__xludf.DUMMYFUNCTION("""COMPUTED_VALUE"""),"Vegetables")</f>
        <v>Vegetables</v>
      </c>
      <c r="D2802">
        <f>IFERROR(__xludf.DUMMYFUNCTION("""COMPUTED_VALUE"""),37.0)</f>
        <v>37</v>
      </c>
      <c r="E2802">
        <f>IFERROR(__xludf.DUMMYFUNCTION("""COMPUTED_VALUE"""),2.36)</f>
        <v>2.36</v>
      </c>
      <c r="F2802">
        <f>IFERROR(__xludf.DUMMYFUNCTION("""COMPUTED_VALUE"""),0.82)</f>
        <v>0.82</v>
      </c>
      <c r="G2802">
        <f>IFERROR(__xludf.DUMMYFUNCTION("""COMPUTED_VALUE"""),3.86)</f>
        <v>3.86</v>
      </c>
    </row>
    <row r="2803">
      <c r="A2803">
        <f>IFERROR(__xludf.DUMMYFUNCTION("""COMPUTED_VALUE"""),788138.0)</f>
        <v>788138</v>
      </c>
      <c r="B2803" t="str">
        <f>IFERROR(__xludf.DUMMYFUNCTION("""COMPUTED_VALUE"""),"Celery Cooked Fat Not Added In Cooking")</f>
        <v>Celery Cooked Fat Not Added In Cooking</v>
      </c>
      <c r="C2803" t="str">
        <f>IFERROR(__xludf.DUMMYFUNCTION("""COMPUTED_VALUE"""),"Vegetables")</f>
        <v>Vegetables</v>
      </c>
      <c r="D2803">
        <f>IFERROR(__xludf.DUMMYFUNCTION("""COMPUTED_VALUE"""),18.0)</f>
        <v>18</v>
      </c>
      <c r="E2803">
        <f>IFERROR(__xludf.DUMMYFUNCTION("""COMPUTED_VALUE"""),0.16)</f>
        <v>0.16</v>
      </c>
      <c r="F2803">
        <f>IFERROR(__xludf.DUMMYFUNCTION("""COMPUTED_VALUE"""),0.82)</f>
        <v>0.82</v>
      </c>
      <c r="G2803">
        <f>IFERROR(__xludf.DUMMYFUNCTION("""COMPUTED_VALUE"""),3.97)</f>
        <v>3.97</v>
      </c>
    </row>
    <row r="2804">
      <c r="A2804">
        <f>IFERROR(__xludf.DUMMYFUNCTION("""COMPUTED_VALUE"""),788139.0)</f>
        <v>788139</v>
      </c>
      <c r="B2804" t="str">
        <f>IFERROR(__xludf.DUMMYFUNCTION("""COMPUTED_VALUE"""),"Celery Cooked Fat Added In Cooking Ns As To Type Of Fat")</f>
        <v>Celery Cooked Fat Added In Cooking Ns As To Type Of Fat</v>
      </c>
      <c r="C2804" t="str">
        <f>IFERROR(__xludf.DUMMYFUNCTION("""COMPUTED_VALUE"""),"Vegetables")</f>
        <v>Vegetables</v>
      </c>
      <c r="D2804">
        <f>IFERROR(__xludf.DUMMYFUNCTION("""COMPUTED_VALUE"""),37.0)</f>
        <v>37</v>
      </c>
      <c r="E2804">
        <f>IFERROR(__xludf.DUMMYFUNCTION("""COMPUTED_VALUE"""),2.36)</f>
        <v>2.36</v>
      </c>
      <c r="F2804">
        <f>IFERROR(__xludf.DUMMYFUNCTION("""COMPUTED_VALUE"""),0.82)</f>
        <v>0.82</v>
      </c>
      <c r="G2804">
        <f>IFERROR(__xludf.DUMMYFUNCTION("""COMPUTED_VALUE"""),3.86)</f>
        <v>3.86</v>
      </c>
    </row>
    <row r="2805">
      <c r="A2805">
        <f>IFERROR(__xludf.DUMMYFUNCTION("""COMPUTED_VALUE"""),788140.0)</f>
        <v>788140</v>
      </c>
      <c r="B2805" t="str">
        <f>IFERROR(__xludf.DUMMYFUNCTION("""COMPUTED_VALUE"""),"Celery Cooked Made With Oil")</f>
        <v>Celery Cooked Made With Oil</v>
      </c>
      <c r="C2805" t="str">
        <f>IFERROR(__xludf.DUMMYFUNCTION("""COMPUTED_VALUE"""),"Vegetables")</f>
        <v>Vegetables</v>
      </c>
      <c r="D2805">
        <f>IFERROR(__xludf.DUMMYFUNCTION("""COMPUTED_VALUE"""),43.0)</f>
        <v>43</v>
      </c>
      <c r="E2805">
        <f>IFERROR(__xludf.DUMMYFUNCTION("""COMPUTED_VALUE"""),3.07)</f>
        <v>3.07</v>
      </c>
      <c r="F2805">
        <f>IFERROR(__xludf.DUMMYFUNCTION("""COMPUTED_VALUE"""),0.8)</f>
        <v>0.8</v>
      </c>
      <c r="G2805">
        <f>IFERROR(__xludf.DUMMYFUNCTION("""COMPUTED_VALUE"""),3.86)</f>
        <v>3.86</v>
      </c>
    </row>
    <row r="2806">
      <c r="A2806">
        <f>IFERROR(__xludf.DUMMYFUNCTION("""COMPUTED_VALUE"""),788141.0)</f>
        <v>788141</v>
      </c>
      <c r="B2806" t="str">
        <f>IFERROR(__xludf.DUMMYFUNCTION("""COMPUTED_VALUE"""),"Celery Cooked Made With Butter")</f>
        <v>Celery Cooked Made With Butter</v>
      </c>
      <c r="C2806" t="str">
        <f>IFERROR(__xludf.DUMMYFUNCTION("""COMPUTED_VALUE"""),"Vegetables")</f>
        <v>Vegetables</v>
      </c>
      <c r="D2806">
        <f>IFERROR(__xludf.DUMMYFUNCTION("""COMPUTED_VALUE"""),39.0)</f>
        <v>39</v>
      </c>
      <c r="E2806">
        <f>IFERROR(__xludf.DUMMYFUNCTION("""COMPUTED_VALUE"""),2.62)</f>
        <v>2.62</v>
      </c>
      <c r="F2806">
        <f>IFERROR(__xludf.DUMMYFUNCTION("""COMPUTED_VALUE"""),0.82)</f>
        <v>0.82</v>
      </c>
      <c r="G2806">
        <f>IFERROR(__xludf.DUMMYFUNCTION("""COMPUTED_VALUE"""),3.86)</f>
        <v>3.86</v>
      </c>
    </row>
    <row r="2807">
      <c r="A2807">
        <f>IFERROR(__xludf.DUMMYFUNCTION("""COMPUTED_VALUE"""),788142.0)</f>
        <v>788142</v>
      </c>
      <c r="B2807" t="str">
        <f>IFERROR(__xludf.DUMMYFUNCTION("""COMPUTED_VALUE"""),"Celery Cooked Made With Margarine")</f>
        <v>Celery Cooked Made With Margarine</v>
      </c>
      <c r="C2807" t="str">
        <f>IFERROR(__xludf.DUMMYFUNCTION("""COMPUTED_VALUE"""),"Vegetables")</f>
        <v>Vegetables</v>
      </c>
      <c r="D2807">
        <f>IFERROR(__xludf.DUMMYFUNCTION("""COMPUTED_VALUE"""),34.0)</f>
        <v>34</v>
      </c>
      <c r="E2807">
        <f>IFERROR(__xludf.DUMMYFUNCTION("""COMPUTED_VALUE"""),1.99)</f>
        <v>1.99</v>
      </c>
      <c r="F2807">
        <f>IFERROR(__xludf.DUMMYFUNCTION("""COMPUTED_VALUE"""),0.8)</f>
        <v>0.8</v>
      </c>
      <c r="G2807">
        <f>IFERROR(__xludf.DUMMYFUNCTION("""COMPUTED_VALUE"""),3.88)</f>
        <v>3.88</v>
      </c>
    </row>
    <row r="2808">
      <c r="A2808">
        <f>IFERROR(__xludf.DUMMYFUNCTION("""COMPUTED_VALUE"""),788143.0)</f>
        <v>788143</v>
      </c>
      <c r="B2808" t="str">
        <f>IFERROR(__xludf.DUMMYFUNCTION("""COMPUTED_VALUE"""),"Fennel Bulb Cooked Ns As To Fat Added In Cooking")</f>
        <v>Fennel Bulb Cooked Ns As To Fat Added In Cooking</v>
      </c>
      <c r="C2808" t="str">
        <f>IFERROR(__xludf.DUMMYFUNCTION("""COMPUTED_VALUE"""),"Vegetables")</f>
        <v>Vegetables</v>
      </c>
      <c r="D2808">
        <f>IFERROR(__xludf.DUMMYFUNCTION("""COMPUTED_VALUE"""),79.0)</f>
        <v>79</v>
      </c>
      <c r="E2808">
        <f>IFERROR(__xludf.DUMMYFUNCTION("""COMPUTED_VALUE"""),3.86)</f>
        <v>3.86</v>
      </c>
      <c r="F2808">
        <f>IFERROR(__xludf.DUMMYFUNCTION("""COMPUTED_VALUE"""),1.92)</f>
        <v>1.92</v>
      </c>
      <c r="G2808">
        <f>IFERROR(__xludf.DUMMYFUNCTION("""COMPUTED_VALUE"""),11.18)</f>
        <v>11.18</v>
      </c>
    </row>
    <row r="2809">
      <c r="A2809">
        <f>IFERROR(__xludf.DUMMYFUNCTION("""COMPUTED_VALUE"""),788144.0)</f>
        <v>788144</v>
      </c>
      <c r="B2809" t="str">
        <f>IFERROR(__xludf.DUMMYFUNCTION("""COMPUTED_VALUE"""),"Fennel Bulb Cooked Fat Not Added In Cooking")</f>
        <v>Fennel Bulb Cooked Fat Not Added In Cooking</v>
      </c>
      <c r="C2809" t="str">
        <f>IFERROR(__xludf.DUMMYFUNCTION("""COMPUTED_VALUE"""),"Vegetables")</f>
        <v>Vegetables</v>
      </c>
      <c r="D2809">
        <f>IFERROR(__xludf.DUMMYFUNCTION("""COMPUTED_VALUE"""),49.0)</f>
        <v>49</v>
      </c>
      <c r="E2809">
        <f>IFERROR(__xludf.DUMMYFUNCTION("""COMPUTED_VALUE"""),0.32)</f>
        <v>0.32</v>
      </c>
      <c r="F2809">
        <f>IFERROR(__xludf.DUMMYFUNCTION("""COMPUTED_VALUE"""),1.96)</f>
        <v>1.96</v>
      </c>
      <c r="G2809">
        <f>IFERROR(__xludf.DUMMYFUNCTION("""COMPUTED_VALUE"""),11.52)</f>
        <v>11.52</v>
      </c>
    </row>
    <row r="2810">
      <c r="A2810">
        <f>IFERROR(__xludf.DUMMYFUNCTION("""COMPUTED_VALUE"""),788145.0)</f>
        <v>788145</v>
      </c>
      <c r="B2810" t="str">
        <f>IFERROR(__xludf.DUMMYFUNCTION("""COMPUTED_VALUE"""),"Fennel Bulb Cooked Fat Added In Cooking Ns As To Type Of Fat")</f>
        <v>Fennel Bulb Cooked Fat Added In Cooking Ns As To Type Of Fat</v>
      </c>
      <c r="C2810" t="str">
        <f>IFERROR(__xludf.DUMMYFUNCTION("""COMPUTED_VALUE"""),"Vegetables")</f>
        <v>Vegetables</v>
      </c>
      <c r="D2810">
        <f>IFERROR(__xludf.DUMMYFUNCTION("""COMPUTED_VALUE"""),79.0)</f>
        <v>79</v>
      </c>
      <c r="E2810">
        <f>IFERROR(__xludf.DUMMYFUNCTION("""COMPUTED_VALUE"""),3.86)</f>
        <v>3.86</v>
      </c>
      <c r="F2810">
        <f>IFERROR(__xludf.DUMMYFUNCTION("""COMPUTED_VALUE"""),1.92)</f>
        <v>1.92</v>
      </c>
      <c r="G2810">
        <f>IFERROR(__xludf.DUMMYFUNCTION("""COMPUTED_VALUE"""),11.18)</f>
        <v>11.18</v>
      </c>
    </row>
    <row r="2811">
      <c r="A2811">
        <f>IFERROR(__xludf.DUMMYFUNCTION("""COMPUTED_VALUE"""),788146.0)</f>
        <v>788146</v>
      </c>
      <c r="B2811" t="str">
        <f>IFERROR(__xludf.DUMMYFUNCTION("""COMPUTED_VALUE"""),"Fennel Bulb Cooked Made With Oil")</f>
        <v>Fennel Bulb Cooked Made With Oil</v>
      </c>
      <c r="C2811" t="str">
        <f>IFERROR(__xludf.DUMMYFUNCTION("""COMPUTED_VALUE"""),"Vegetables")</f>
        <v>Vegetables</v>
      </c>
      <c r="D2811">
        <f>IFERROR(__xludf.DUMMYFUNCTION("""COMPUTED_VALUE"""),91.0)</f>
        <v>91</v>
      </c>
      <c r="E2811">
        <f>IFERROR(__xludf.DUMMYFUNCTION("""COMPUTED_VALUE"""),5.2)</f>
        <v>5.2</v>
      </c>
      <c r="F2811">
        <f>IFERROR(__xludf.DUMMYFUNCTION("""COMPUTED_VALUE"""),1.9)</f>
        <v>1.9</v>
      </c>
      <c r="G2811">
        <f>IFERROR(__xludf.DUMMYFUNCTION("""COMPUTED_VALUE"""),11.16)</f>
        <v>11.16</v>
      </c>
    </row>
    <row r="2812">
      <c r="A2812">
        <f>IFERROR(__xludf.DUMMYFUNCTION("""COMPUTED_VALUE"""),788147.0)</f>
        <v>788147</v>
      </c>
      <c r="B2812" t="str">
        <f>IFERROR(__xludf.DUMMYFUNCTION("""COMPUTED_VALUE"""),"Fennel Bulb Cooked Made With Butter")</f>
        <v>Fennel Bulb Cooked Made With Butter</v>
      </c>
      <c r="C2812" t="str">
        <f>IFERROR(__xludf.DUMMYFUNCTION("""COMPUTED_VALUE"""),"Vegetables")</f>
        <v>Vegetables</v>
      </c>
      <c r="D2812">
        <f>IFERROR(__xludf.DUMMYFUNCTION("""COMPUTED_VALUE"""),82.0)</f>
        <v>82</v>
      </c>
      <c r="E2812">
        <f>IFERROR(__xludf.DUMMYFUNCTION("""COMPUTED_VALUE"""),4.28)</f>
        <v>4.28</v>
      </c>
      <c r="F2812">
        <f>IFERROR(__xludf.DUMMYFUNCTION("""COMPUTED_VALUE"""),1.94)</f>
        <v>1.94</v>
      </c>
      <c r="G2812">
        <f>IFERROR(__xludf.DUMMYFUNCTION("""COMPUTED_VALUE"""),11.17)</f>
        <v>11.17</v>
      </c>
    </row>
    <row r="2813">
      <c r="A2813">
        <f>IFERROR(__xludf.DUMMYFUNCTION("""COMPUTED_VALUE"""),788148.0)</f>
        <v>788148</v>
      </c>
      <c r="B2813" t="str">
        <f>IFERROR(__xludf.DUMMYFUNCTION("""COMPUTED_VALUE"""),"Fennel Bulb Cooked Made With Margarine")</f>
        <v>Fennel Bulb Cooked Made With Margarine</v>
      </c>
      <c r="C2813" t="str">
        <f>IFERROR(__xludf.DUMMYFUNCTION("""COMPUTED_VALUE"""),"Vegetables")</f>
        <v>Vegetables</v>
      </c>
      <c r="D2813">
        <f>IFERROR(__xludf.DUMMYFUNCTION("""COMPUTED_VALUE"""),73.0)</f>
        <v>73</v>
      </c>
      <c r="E2813">
        <f>IFERROR(__xludf.DUMMYFUNCTION("""COMPUTED_VALUE"""),3.23)</f>
        <v>3.23</v>
      </c>
      <c r="F2813">
        <f>IFERROR(__xludf.DUMMYFUNCTION("""COMPUTED_VALUE"""),1.9)</f>
        <v>1.9</v>
      </c>
      <c r="G2813">
        <f>IFERROR(__xludf.DUMMYFUNCTION("""COMPUTED_VALUE"""),11.2)</f>
        <v>11.2</v>
      </c>
    </row>
    <row r="2814">
      <c r="A2814">
        <f>IFERROR(__xludf.DUMMYFUNCTION("""COMPUTED_VALUE"""),788149.0)</f>
        <v>788149</v>
      </c>
      <c r="B2814" t="str">
        <f>IFERROR(__xludf.DUMMYFUNCTION("""COMPUTED_VALUE"""),"Christophine Cooked Ns As To Fat Added In Cooking")</f>
        <v>Christophine Cooked Ns As To Fat Added In Cooking</v>
      </c>
      <c r="C2814" t="str">
        <f>IFERROR(__xludf.DUMMYFUNCTION("""COMPUTED_VALUE"""),"Vegetables")</f>
        <v>Vegetables</v>
      </c>
      <c r="D2814">
        <f>IFERROR(__xludf.DUMMYFUNCTION("""COMPUTED_VALUE"""),42.0)</f>
        <v>42</v>
      </c>
      <c r="E2814">
        <f>IFERROR(__xludf.DUMMYFUNCTION("""COMPUTED_VALUE"""),2.54)</f>
        <v>2.54</v>
      </c>
      <c r="F2814">
        <f>IFERROR(__xludf.DUMMYFUNCTION("""COMPUTED_VALUE"""),0.62)</f>
        <v>0.62</v>
      </c>
      <c r="G2814">
        <f>IFERROR(__xludf.DUMMYFUNCTION("""COMPUTED_VALUE"""),4.92)</f>
        <v>4.92</v>
      </c>
    </row>
    <row r="2815">
      <c r="A2815">
        <f>IFERROR(__xludf.DUMMYFUNCTION("""COMPUTED_VALUE"""),788150.0)</f>
        <v>788150</v>
      </c>
      <c r="B2815" t="str">
        <f>IFERROR(__xludf.DUMMYFUNCTION("""COMPUTED_VALUE"""),"Christophine Cooked Fat Not Added In Cooking")</f>
        <v>Christophine Cooked Fat Not Added In Cooking</v>
      </c>
      <c r="C2815" t="str">
        <f>IFERROR(__xludf.DUMMYFUNCTION("""COMPUTED_VALUE"""),"Vegetables")</f>
        <v>Vegetables</v>
      </c>
      <c r="D2815">
        <f>IFERROR(__xludf.DUMMYFUNCTION("""COMPUTED_VALUE"""),24.0)</f>
        <v>24</v>
      </c>
      <c r="E2815">
        <f>IFERROR(__xludf.DUMMYFUNCTION("""COMPUTED_VALUE"""),0.48)</f>
        <v>0.48</v>
      </c>
      <c r="F2815">
        <f>IFERROR(__xludf.DUMMYFUNCTION("""COMPUTED_VALUE"""),0.62)</f>
        <v>0.62</v>
      </c>
      <c r="G2815">
        <f>IFERROR(__xludf.DUMMYFUNCTION("""COMPUTED_VALUE"""),5.06)</f>
        <v>5.06</v>
      </c>
    </row>
    <row r="2816">
      <c r="A2816">
        <f>IFERROR(__xludf.DUMMYFUNCTION("""COMPUTED_VALUE"""),788151.0)</f>
        <v>788151</v>
      </c>
      <c r="B2816" t="str">
        <f>IFERROR(__xludf.DUMMYFUNCTION("""COMPUTED_VALUE"""),"Christophine Cooked Fat Added In Cooking")</f>
        <v>Christophine Cooked Fat Added In Cooking</v>
      </c>
      <c r="C2816" t="str">
        <f>IFERROR(__xludf.DUMMYFUNCTION("""COMPUTED_VALUE"""),"Vegetables")</f>
        <v>Vegetables</v>
      </c>
      <c r="D2816">
        <f>IFERROR(__xludf.DUMMYFUNCTION("""COMPUTED_VALUE"""),42.0)</f>
        <v>42</v>
      </c>
      <c r="E2816">
        <f>IFERROR(__xludf.DUMMYFUNCTION("""COMPUTED_VALUE"""),2.54)</f>
        <v>2.54</v>
      </c>
      <c r="F2816">
        <f>IFERROR(__xludf.DUMMYFUNCTION("""COMPUTED_VALUE"""),0.62)</f>
        <v>0.62</v>
      </c>
      <c r="G2816">
        <f>IFERROR(__xludf.DUMMYFUNCTION("""COMPUTED_VALUE"""),4.92)</f>
        <v>4.92</v>
      </c>
    </row>
    <row r="2817">
      <c r="A2817">
        <f>IFERROR(__xludf.DUMMYFUNCTION("""COMPUTED_VALUE"""),788152.0)</f>
        <v>788152</v>
      </c>
      <c r="B2817" t="str">
        <f>IFERROR(__xludf.DUMMYFUNCTION("""COMPUTED_VALUE"""),"Corn Cooked Ns As To Form Ns As To Color Ns As To Fat Added In Cooking")</f>
        <v>Corn Cooked Ns As To Form Ns As To Color Ns As To Fat Added In Cooking</v>
      </c>
      <c r="C2817" t="str">
        <f>IFERROR(__xludf.DUMMYFUNCTION("""COMPUTED_VALUE"""),"Vegetables")</f>
        <v>Vegetables</v>
      </c>
      <c r="D2817">
        <f>IFERROR(__xludf.DUMMYFUNCTION("""COMPUTED_VALUE"""),96.0)</f>
        <v>96</v>
      </c>
      <c r="E2817">
        <f>IFERROR(__xludf.DUMMYFUNCTION("""COMPUTED_VALUE"""),2.67)</f>
        <v>2.67</v>
      </c>
      <c r="F2817">
        <f>IFERROR(__xludf.DUMMYFUNCTION("""COMPUTED_VALUE"""),2.48)</f>
        <v>2.48</v>
      </c>
      <c r="G2817">
        <f>IFERROR(__xludf.DUMMYFUNCTION("""COMPUTED_VALUE"""),18.66)</f>
        <v>18.66</v>
      </c>
    </row>
    <row r="2818">
      <c r="A2818">
        <f>IFERROR(__xludf.DUMMYFUNCTION("""COMPUTED_VALUE"""),788154.0)</f>
        <v>788154</v>
      </c>
      <c r="B2818" t="str">
        <f>IFERROR(__xludf.DUMMYFUNCTION("""COMPUTED_VALUE"""),"Corn Cooked From Frozen Ns As To Color Ns As To Fat Added In Cooking")</f>
        <v>Corn Cooked From Frozen Ns As To Color Ns As To Fat Added In Cooking</v>
      </c>
      <c r="C2818" t="str">
        <f>IFERROR(__xludf.DUMMYFUNCTION("""COMPUTED_VALUE"""),"Vegetables")</f>
        <v>Vegetables</v>
      </c>
      <c r="D2818">
        <f>IFERROR(__xludf.DUMMYFUNCTION("""COMPUTED_VALUE"""),96.0)</f>
        <v>96</v>
      </c>
      <c r="E2818">
        <f>IFERROR(__xludf.DUMMYFUNCTION("""COMPUTED_VALUE"""),2.67)</f>
        <v>2.67</v>
      </c>
      <c r="F2818">
        <f>IFERROR(__xludf.DUMMYFUNCTION("""COMPUTED_VALUE"""),2.48)</f>
        <v>2.48</v>
      </c>
      <c r="G2818">
        <f>IFERROR(__xludf.DUMMYFUNCTION("""COMPUTED_VALUE"""),18.66)</f>
        <v>18.66</v>
      </c>
    </row>
    <row r="2819">
      <c r="A2819">
        <f>IFERROR(__xludf.DUMMYFUNCTION("""COMPUTED_VALUE"""),788155.0)</f>
        <v>788155</v>
      </c>
      <c r="B2819" t="str">
        <f>IFERROR(__xludf.DUMMYFUNCTION("""COMPUTED_VALUE"""),"Corn Cooked From Canned Ns As To Color Ns As To Fat Added In Cooking")</f>
        <v>Corn Cooked From Canned Ns As To Color Ns As To Fat Added In Cooking</v>
      </c>
      <c r="C2819" t="str">
        <f>IFERROR(__xludf.DUMMYFUNCTION("""COMPUTED_VALUE"""),"Vegetables")</f>
        <v>Vegetables</v>
      </c>
      <c r="D2819">
        <f>IFERROR(__xludf.DUMMYFUNCTION("""COMPUTED_VALUE"""),83.0)</f>
        <v>83</v>
      </c>
      <c r="E2819">
        <f>IFERROR(__xludf.DUMMYFUNCTION("""COMPUTED_VALUE"""),3.21)</f>
        <v>3.21</v>
      </c>
      <c r="F2819">
        <f>IFERROR(__xludf.DUMMYFUNCTION("""COMPUTED_VALUE"""),2.24)</f>
        <v>2.24</v>
      </c>
      <c r="G2819">
        <f>IFERROR(__xludf.DUMMYFUNCTION("""COMPUTED_VALUE"""),13.92)</f>
        <v>13.92</v>
      </c>
    </row>
    <row r="2820">
      <c r="A2820">
        <f>IFERROR(__xludf.DUMMYFUNCTION("""COMPUTED_VALUE"""),788159.0)</f>
        <v>788159</v>
      </c>
      <c r="B2820" t="str">
        <f>IFERROR(__xludf.DUMMYFUNCTION("""COMPUTED_VALUE"""),"Corn Cooked From Canned Ns As To Color Fat Not Added In Cooking")</f>
        <v>Corn Cooked From Canned Ns As To Color Fat Not Added In Cooking</v>
      </c>
      <c r="C2820" t="str">
        <f>IFERROR(__xludf.DUMMYFUNCTION("""COMPUTED_VALUE"""),"Vegetables")</f>
        <v>Vegetables</v>
      </c>
      <c r="D2820">
        <f>IFERROR(__xludf.DUMMYFUNCTION("""COMPUTED_VALUE"""),67.0)</f>
        <v>67</v>
      </c>
      <c r="E2820">
        <f>IFERROR(__xludf.DUMMYFUNCTION("""COMPUTED_VALUE"""),1.22)</f>
        <v>1.22</v>
      </c>
      <c r="F2820">
        <f>IFERROR(__xludf.DUMMYFUNCTION("""COMPUTED_VALUE"""),2.28)</f>
        <v>2.28</v>
      </c>
      <c r="G2820">
        <f>IFERROR(__xludf.DUMMYFUNCTION("""COMPUTED_VALUE"""),14.3)</f>
        <v>14.3</v>
      </c>
    </row>
    <row r="2821">
      <c r="A2821">
        <f>IFERROR(__xludf.DUMMYFUNCTION("""COMPUTED_VALUE"""),788160.0)</f>
        <v>788160</v>
      </c>
      <c r="B2821" t="str">
        <f>IFERROR(__xludf.DUMMYFUNCTION("""COMPUTED_VALUE"""),"Corn Cooked Ns As To Form Ns As To Color Fat Added In Cooking Ns As To Type Of Fat")</f>
        <v>Corn Cooked Ns As To Form Ns As To Color Fat Added In Cooking Ns As To Type Of Fat</v>
      </c>
      <c r="C2821" t="str">
        <f>IFERROR(__xludf.DUMMYFUNCTION("""COMPUTED_VALUE"""),"Vegetables")</f>
        <v>Vegetables</v>
      </c>
      <c r="D2821">
        <f>IFERROR(__xludf.DUMMYFUNCTION("""COMPUTED_VALUE"""),96.0)</f>
        <v>96</v>
      </c>
      <c r="E2821">
        <f>IFERROR(__xludf.DUMMYFUNCTION("""COMPUTED_VALUE"""),2.67)</f>
        <v>2.67</v>
      </c>
      <c r="F2821">
        <f>IFERROR(__xludf.DUMMYFUNCTION("""COMPUTED_VALUE"""),2.48)</f>
        <v>2.48</v>
      </c>
      <c r="G2821">
        <f>IFERROR(__xludf.DUMMYFUNCTION("""COMPUTED_VALUE"""),18.66)</f>
        <v>18.66</v>
      </c>
    </row>
    <row r="2822">
      <c r="A2822">
        <f>IFERROR(__xludf.DUMMYFUNCTION("""COMPUTED_VALUE"""),788162.0)</f>
        <v>788162</v>
      </c>
      <c r="B2822" t="str">
        <f>IFERROR(__xludf.DUMMYFUNCTION("""COMPUTED_VALUE"""),"Corn Cooked From Frozen Ns As To Color Fat Added In Cooking Ns As To Type Of Fat")</f>
        <v>Corn Cooked From Frozen Ns As To Color Fat Added In Cooking Ns As To Type Of Fat</v>
      </c>
      <c r="C2822" t="str">
        <f>IFERROR(__xludf.DUMMYFUNCTION("""COMPUTED_VALUE"""),"Vegetables")</f>
        <v>Vegetables</v>
      </c>
      <c r="D2822">
        <f>IFERROR(__xludf.DUMMYFUNCTION("""COMPUTED_VALUE"""),96.0)</f>
        <v>96</v>
      </c>
      <c r="E2822">
        <f>IFERROR(__xludf.DUMMYFUNCTION("""COMPUTED_VALUE"""),2.67)</f>
        <v>2.67</v>
      </c>
      <c r="F2822">
        <f>IFERROR(__xludf.DUMMYFUNCTION("""COMPUTED_VALUE"""),2.48)</f>
        <v>2.48</v>
      </c>
      <c r="G2822">
        <f>IFERROR(__xludf.DUMMYFUNCTION("""COMPUTED_VALUE"""),18.66)</f>
        <v>18.66</v>
      </c>
    </row>
    <row r="2823">
      <c r="A2823">
        <f>IFERROR(__xludf.DUMMYFUNCTION("""COMPUTED_VALUE"""),788163.0)</f>
        <v>788163</v>
      </c>
      <c r="B2823" t="str">
        <f>IFERROR(__xludf.DUMMYFUNCTION("""COMPUTED_VALUE"""),"Corn Cooked From Canned Ns As To Color Fat Added In Cooking Ns As To Type Of Fat")</f>
        <v>Corn Cooked From Canned Ns As To Color Fat Added In Cooking Ns As To Type Of Fat</v>
      </c>
      <c r="C2823" t="str">
        <f>IFERROR(__xludf.DUMMYFUNCTION("""COMPUTED_VALUE"""),"Vegetables")</f>
        <v>Vegetables</v>
      </c>
      <c r="D2823">
        <f>IFERROR(__xludf.DUMMYFUNCTION("""COMPUTED_VALUE"""),83.0)</f>
        <v>83</v>
      </c>
      <c r="E2823">
        <f>IFERROR(__xludf.DUMMYFUNCTION("""COMPUTED_VALUE"""),3.21)</f>
        <v>3.21</v>
      </c>
      <c r="F2823">
        <f>IFERROR(__xludf.DUMMYFUNCTION("""COMPUTED_VALUE"""),2.24)</f>
        <v>2.24</v>
      </c>
      <c r="G2823">
        <f>IFERROR(__xludf.DUMMYFUNCTION("""COMPUTED_VALUE"""),13.92)</f>
        <v>13.92</v>
      </c>
    </row>
    <row r="2824">
      <c r="A2824">
        <f>IFERROR(__xludf.DUMMYFUNCTION("""COMPUTED_VALUE"""),788164.0)</f>
        <v>788164</v>
      </c>
      <c r="B2824" t="str">
        <f>IFERROR(__xludf.DUMMYFUNCTION("""COMPUTED_VALUE"""),"Corn Cooked Ns As To Form Ns As To Color Made With Oil")</f>
        <v>Corn Cooked Ns As To Form Ns As To Color Made With Oil</v>
      </c>
      <c r="C2824" t="str">
        <f>IFERROR(__xludf.DUMMYFUNCTION("""COMPUTED_VALUE"""),"Vegetables")</f>
        <v>Vegetables</v>
      </c>
      <c r="D2824">
        <f>IFERROR(__xludf.DUMMYFUNCTION("""COMPUTED_VALUE"""),102.0)</f>
        <v>102</v>
      </c>
      <c r="E2824">
        <f>IFERROR(__xludf.DUMMYFUNCTION("""COMPUTED_VALUE"""),3.33)</f>
        <v>3.33</v>
      </c>
      <c r="F2824">
        <f>IFERROR(__xludf.DUMMYFUNCTION("""COMPUTED_VALUE"""),2.47)</f>
        <v>2.47</v>
      </c>
      <c r="G2824">
        <f>IFERROR(__xludf.DUMMYFUNCTION("""COMPUTED_VALUE"""),18.67)</f>
        <v>18.67</v>
      </c>
    </row>
    <row r="2825">
      <c r="A2825">
        <f>IFERROR(__xludf.DUMMYFUNCTION("""COMPUTED_VALUE"""),788165.0)</f>
        <v>788165</v>
      </c>
      <c r="B2825" t="str">
        <f>IFERROR(__xludf.DUMMYFUNCTION("""COMPUTED_VALUE"""),"Corn Cooked Ns As To Form Ns As To Color Made With Butter")</f>
        <v>Corn Cooked Ns As To Form Ns As To Color Made With Butter</v>
      </c>
      <c r="C2825" t="str">
        <f>IFERROR(__xludf.DUMMYFUNCTION("""COMPUTED_VALUE"""),"Vegetables")</f>
        <v>Vegetables</v>
      </c>
      <c r="D2825">
        <f>IFERROR(__xludf.DUMMYFUNCTION("""COMPUTED_VALUE"""),98.0)</f>
        <v>98</v>
      </c>
      <c r="E2825">
        <f>IFERROR(__xludf.DUMMYFUNCTION("""COMPUTED_VALUE"""),2.91)</f>
        <v>2.91</v>
      </c>
      <c r="F2825">
        <f>IFERROR(__xludf.DUMMYFUNCTION("""COMPUTED_VALUE"""),2.49)</f>
        <v>2.49</v>
      </c>
      <c r="G2825">
        <f>IFERROR(__xludf.DUMMYFUNCTION("""COMPUTED_VALUE"""),18.65)</f>
        <v>18.65</v>
      </c>
    </row>
    <row r="2826">
      <c r="A2826">
        <f>IFERROR(__xludf.DUMMYFUNCTION("""COMPUTED_VALUE"""),788166.0)</f>
        <v>788166</v>
      </c>
      <c r="B2826" t="str">
        <f>IFERROR(__xludf.DUMMYFUNCTION("""COMPUTED_VALUE"""),"Corn Cooked Ns As To Form Ns As To Color Made With Margarine")</f>
        <v>Corn Cooked Ns As To Form Ns As To Color Made With Margarine</v>
      </c>
      <c r="C2826" t="str">
        <f>IFERROR(__xludf.DUMMYFUNCTION("""COMPUTED_VALUE"""),"Vegetables")</f>
        <v>Vegetables</v>
      </c>
      <c r="D2826">
        <f>IFERROR(__xludf.DUMMYFUNCTION("""COMPUTED_VALUE"""),93.0)</f>
        <v>93</v>
      </c>
      <c r="E2826">
        <f>IFERROR(__xludf.DUMMYFUNCTION("""COMPUTED_VALUE"""),2.33)</f>
        <v>2.33</v>
      </c>
      <c r="F2826">
        <f>IFERROR(__xludf.DUMMYFUNCTION("""COMPUTED_VALUE"""),2.47)</f>
        <v>2.47</v>
      </c>
      <c r="G2826">
        <f>IFERROR(__xludf.DUMMYFUNCTION("""COMPUTED_VALUE"""),18.67)</f>
        <v>18.67</v>
      </c>
    </row>
    <row r="2827">
      <c r="A2827">
        <f>IFERROR(__xludf.DUMMYFUNCTION("""COMPUTED_VALUE"""),788167.0)</f>
        <v>788167</v>
      </c>
      <c r="B2827" t="str">
        <f>IFERROR(__xludf.DUMMYFUNCTION("""COMPUTED_VALUE"""),"Corn Cooked From Fresh Ns As To Color Made With Oil")</f>
        <v>Corn Cooked From Fresh Ns As To Color Made With Oil</v>
      </c>
      <c r="C2827" t="str">
        <f>IFERROR(__xludf.DUMMYFUNCTION("""COMPUTED_VALUE"""),"Vegetables")</f>
        <v>Vegetables</v>
      </c>
      <c r="D2827">
        <f>IFERROR(__xludf.DUMMYFUNCTION("""COMPUTED_VALUE"""),117.0)</f>
        <v>117</v>
      </c>
      <c r="E2827">
        <f>IFERROR(__xludf.DUMMYFUNCTION("""COMPUTED_VALUE"""),4.13)</f>
        <v>4.13</v>
      </c>
      <c r="F2827">
        <f>IFERROR(__xludf.DUMMYFUNCTION("""COMPUTED_VALUE"""),3.3)</f>
        <v>3.3</v>
      </c>
      <c r="G2827">
        <f>IFERROR(__xludf.DUMMYFUNCTION("""COMPUTED_VALUE"""),20.29)</f>
        <v>20.29</v>
      </c>
    </row>
    <row r="2828">
      <c r="A2828">
        <f>IFERROR(__xludf.DUMMYFUNCTION("""COMPUTED_VALUE"""),788170.0)</f>
        <v>788170</v>
      </c>
      <c r="B2828" t="str">
        <f>IFERROR(__xludf.DUMMYFUNCTION("""COMPUTED_VALUE"""),"Corn Cooked From Frozen Ns As To Color Made With Oil")</f>
        <v>Corn Cooked From Frozen Ns As To Color Made With Oil</v>
      </c>
      <c r="C2828" t="str">
        <f>IFERROR(__xludf.DUMMYFUNCTION("""COMPUTED_VALUE"""),"Vegetables")</f>
        <v>Vegetables</v>
      </c>
      <c r="D2828">
        <f>IFERROR(__xludf.DUMMYFUNCTION("""COMPUTED_VALUE"""),102.0)</f>
        <v>102</v>
      </c>
      <c r="E2828">
        <f>IFERROR(__xludf.DUMMYFUNCTION("""COMPUTED_VALUE"""),3.33)</f>
        <v>3.33</v>
      </c>
      <c r="F2828">
        <f>IFERROR(__xludf.DUMMYFUNCTION("""COMPUTED_VALUE"""),2.47)</f>
        <v>2.47</v>
      </c>
      <c r="G2828">
        <f>IFERROR(__xludf.DUMMYFUNCTION("""COMPUTED_VALUE"""),18.67)</f>
        <v>18.67</v>
      </c>
    </row>
    <row r="2829">
      <c r="A2829">
        <f>IFERROR(__xludf.DUMMYFUNCTION("""COMPUTED_VALUE"""),788171.0)</f>
        <v>788171</v>
      </c>
      <c r="B2829" t="str">
        <f>IFERROR(__xludf.DUMMYFUNCTION("""COMPUTED_VALUE"""),"Corn Cooked From Frozen Ns As To Color Made With Butter")</f>
        <v>Corn Cooked From Frozen Ns As To Color Made With Butter</v>
      </c>
      <c r="C2829" t="str">
        <f>IFERROR(__xludf.DUMMYFUNCTION("""COMPUTED_VALUE"""),"Vegetables")</f>
        <v>Vegetables</v>
      </c>
      <c r="D2829">
        <f>IFERROR(__xludf.DUMMYFUNCTION("""COMPUTED_VALUE"""),98.0)</f>
        <v>98</v>
      </c>
      <c r="E2829">
        <f>IFERROR(__xludf.DUMMYFUNCTION("""COMPUTED_VALUE"""),2.91)</f>
        <v>2.91</v>
      </c>
      <c r="F2829">
        <f>IFERROR(__xludf.DUMMYFUNCTION("""COMPUTED_VALUE"""),2.49)</f>
        <v>2.49</v>
      </c>
      <c r="G2829">
        <f>IFERROR(__xludf.DUMMYFUNCTION("""COMPUTED_VALUE"""),18.65)</f>
        <v>18.65</v>
      </c>
    </row>
    <row r="2830">
      <c r="A2830">
        <f>IFERROR(__xludf.DUMMYFUNCTION("""COMPUTED_VALUE"""),788172.0)</f>
        <v>788172</v>
      </c>
      <c r="B2830" t="str">
        <f>IFERROR(__xludf.DUMMYFUNCTION("""COMPUTED_VALUE"""),"Corn Cooked From Frozen Ns As To Color Made With Margarine")</f>
        <v>Corn Cooked From Frozen Ns As To Color Made With Margarine</v>
      </c>
      <c r="C2830" t="str">
        <f>IFERROR(__xludf.DUMMYFUNCTION("""COMPUTED_VALUE"""),"Vegetables")</f>
        <v>Vegetables</v>
      </c>
      <c r="D2830">
        <f>IFERROR(__xludf.DUMMYFUNCTION("""COMPUTED_VALUE"""),93.0)</f>
        <v>93</v>
      </c>
      <c r="E2830">
        <f>IFERROR(__xludf.DUMMYFUNCTION("""COMPUTED_VALUE"""),2.33)</f>
        <v>2.33</v>
      </c>
      <c r="F2830">
        <f>IFERROR(__xludf.DUMMYFUNCTION("""COMPUTED_VALUE"""),2.47)</f>
        <v>2.47</v>
      </c>
      <c r="G2830">
        <f>IFERROR(__xludf.DUMMYFUNCTION("""COMPUTED_VALUE"""),18.67)</f>
        <v>18.67</v>
      </c>
    </row>
    <row r="2831">
      <c r="A2831">
        <f>IFERROR(__xludf.DUMMYFUNCTION("""COMPUTED_VALUE"""),788173.0)</f>
        <v>788173</v>
      </c>
      <c r="B2831" t="str">
        <f>IFERROR(__xludf.DUMMYFUNCTION("""COMPUTED_VALUE"""),"Corn Cooked From Canned Ns As To Color Made With Oil")</f>
        <v>Corn Cooked From Canned Ns As To Color Made With Oil</v>
      </c>
      <c r="C2831" t="str">
        <f>IFERROR(__xludf.DUMMYFUNCTION("""COMPUTED_VALUE"""),"Vegetables")</f>
        <v>Vegetables</v>
      </c>
      <c r="D2831">
        <f>IFERROR(__xludf.DUMMYFUNCTION("""COMPUTED_VALUE"""),89.0)</f>
        <v>89</v>
      </c>
      <c r="E2831">
        <f>IFERROR(__xludf.DUMMYFUNCTION("""COMPUTED_VALUE"""),3.87)</f>
        <v>3.87</v>
      </c>
      <c r="F2831">
        <f>IFERROR(__xludf.DUMMYFUNCTION("""COMPUTED_VALUE"""),2.22)</f>
        <v>2.22</v>
      </c>
      <c r="G2831">
        <f>IFERROR(__xludf.DUMMYFUNCTION("""COMPUTED_VALUE"""),13.92)</f>
        <v>13.92</v>
      </c>
    </row>
    <row r="2832">
      <c r="A2832">
        <f>IFERROR(__xludf.DUMMYFUNCTION("""COMPUTED_VALUE"""),788174.0)</f>
        <v>788174</v>
      </c>
      <c r="B2832" t="str">
        <f>IFERROR(__xludf.DUMMYFUNCTION("""COMPUTED_VALUE"""),"Corn Cooked From Canned Ns As To Color Made With Butter")</f>
        <v>Corn Cooked From Canned Ns As To Color Made With Butter</v>
      </c>
      <c r="C2832" t="str">
        <f>IFERROR(__xludf.DUMMYFUNCTION("""COMPUTED_VALUE"""),"Vegetables")</f>
        <v>Vegetables</v>
      </c>
      <c r="D2832">
        <f>IFERROR(__xludf.DUMMYFUNCTION("""COMPUTED_VALUE"""),85.0)</f>
        <v>85</v>
      </c>
      <c r="E2832">
        <f>IFERROR(__xludf.DUMMYFUNCTION("""COMPUTED_VALUE"""),3.45)</f>
        <v>3.45</v>
      </c>
      <c r="F2832">
        <f>IFERROR(__xludf.DUMMYFUNCTION("""COMPUTED_VALUE"""),2.24)</f>
        <v>2.24</v>
      </c>
      <c r="G2832">
        <f>IFERROR(__xludf.DUMMYFUNCTION("""COMPUTED_VALUE"""),13.91)</f>
        <v>13.91</v>
      </c>
    </row>
    <row r="2833">
      <c r="A2833">
        <f>IFERROR(__xludf.DUMMYFUNCTION("""COMPUTED_VALUE"""),788175.0)</f>
        <v>788175</v>
      </c>
      <c r="B2833" t="str">
        <f>IFERROR(__xludf.DUMMYFUNCTION("""COMPUTED_VALUE"""),"Corn Cooked From Canned Ns As To Color Made With Margarine")</f>
        <v>Corn Cooked From Canned Ns As To Color Made With Margarine</v>
      </c>
      <c r="C2833" t="str">
        <f>IFERROR(__xludf.DUMMYFUNCTION("""COMPUTED_VALUE"""),"Vegetables")</f>
        <v>Vegetables</v>
      </c>
      <c r="D2833">
        <f>IFERROR(__xludf.DUMMYFUNCTION("""COMPUTED_VALUE"""),80.0)</f>
        <v>80</v>
      </c>
      <c r="E2833">
        <f>IFERROR(__xludf.DUMMYFUNCTION("""COMPUTED_VALUE"""),2.87)</f>
        <v>2.87</v>
      </c>
      <c r="F2833">
        <f>IFERROR(__xludf.DUMMYFUNCTION("""COMPUTED_VALUE"""),2.22)</f>
        <v>2.22</v>
      </c>
      <c r="G2833">
        <f>IFERROR(__xludf.DUMMYFUNCTION("""COMPUTED_VALUE"""),13.93)</f>
        <v>13.93</v>
      </c>
    </row>
    <row r="2834">
      <c r="A2834">
        <f>IFERROR(__xludf.DUMMYFUNCTION("""COMPUTED_VALUE"""),788176.0)</f>
        <v>788176</v>
      </c>
      <c r="B2834" t="str">
        <f>IFERROR(__xludf.DUMMYFUNCTION("""COMPUTED_VALUE"""),"Corn Ns As To Form Ns As To Color Cream Style")</f>
        <v>Corn Ns As To Form Ns As To Color Cream Style</v>
      </c>
      <c r="C2834" t="str">
        <f>IFERROR(__xludf.DUMMYFUNCTION("""COMPUTED_VALUE"""),"Vegetables")</f>
        <v>Vegetables</v>
      </c>
      <c r="D2834">
        <f>IFERROR(__xludf.DUMMYFUNCTION("""COMPUTED_VALUE"""),72.0)</f>
        <v>72</v>
      </c>
      <c r="E2834">
        <f>IFERROR(__xludf.DUMMYFUNCTION("""COMPUTED_VALUE"""),0.42)</f>
        <v>0.42</v>
      </c>
      <c r="F2834">
        <f>IFERROR(__xludf.DUMMYFUNCTION("""COMPUTED_VALUE"""),1.73)</f>
        <v>1.73</v>
      </c>
      <c r="G2834">
        <f>IFERROR(__xludf.DUMMYFUNCTION("""COMPUTED_VALUE"""),18.06)</f>
        <v>18.06</v>
      </c>
    </row>
    <row r="2835">
      <c r="A2835">
        <f>IFERROR(__xludf.DUMMYFUNCTION("""COMPUTED_VALUE"""),788177.0)</f>
        <v>788177</v>
      </c>
      <c r="B2835" t="str">
        <f>IFERROR(__xludf.DUMMYFUNCTION("""COMPUTED_VALUE"""),"Corn From Canned Ns As To Color Cream Style")</f>
        <v>Corn From Canned Ns As To Color Cream Style</v>
      </c>
      <c r="C2835" t="str">
        <f>IFERROR(__xludf.DUMMYFUNCTION("""COMPUTED_VALUE"""),"Vegetables")</f>
        <v>Vegetables</v>
      </c>
      <c r="D2835">
        <f>IFERROR(__xludf.DUMMYFUNCTION("""COMPUTED_VALUE"""),72.0)</f>
        <v>72</v>
      </c>
      <c r="E2835">
        <f>IFERROR(__xludf.DUMMYFUNCTION("""COMPUTED_VALUE"""),0.42)</f>
        <v>0.42</v>
      </c>
      <c r="F2835">
        <f>IFERROR(__xludf.DUMMYFUNCTION("""COMPUTED_VALUE"""),1.74)</f>
        <v>1.74</v>
      </c>
      <c r="G2835">
        <f>IFERROR(__xludf.DUMMYFUNCTION("""COMPUTED_VALUE"""),18.1)</f>
        <v>18.1</v>
      </c>
    </row>
    <row r="2836">
      <c r="A2836">
        <f>IFERROR(__xludf.DUMMYFUNCTION("""COMPUTED_VALUE"""),788178.0)</f>
        <v>788178</v>
      </c>
      <c r="B2836" t="str">
        <f>IFERROR(__xludf.DUMMYFUNCTION("""COMPUTED_VALUE"""),"Corn Dried Cooked")</f>
        <v>Corn Dried Cooked</v>
      </c>
      <c r="C2836" t="str">
        <f>IFERROR(__xludf.DUMMYFUNCTION("""COMPUTED_VALUE"""),"Vegetables")</f>
        <v>Vegetables</v>
      </c>
      <c r="D2836">
        <f>IFERROR(__xludf.DUMMYFUNCTION("""COMPUTED_VALUE"""),109.0)</f>
        <v>109</v>
      </c>
      <c r="E2836">
        <f>IFERROR(__xludf.DUMMYFUNCTION("""COMPUTED_VALUE"""),5.46)</f>
        <v>5.46</v>
      </c>
      <c r="F2836">
        <f>IFERROR(__xludf.DUMMYFUNCTION("""COMPUTED_VALUE"""),2.14)</f>
        <v>2.14</v>
      </c>
      <c r="G2836">
        <f>IFERROR(__xludf.DUMMYFUNCTION("""COMPUTED_VALUE"""),15.32)</f>
        <v>15.32</v>
      </c>
    </row>
    <row r="2837">
      <c r="A2837">
        <f>IFERROR(__xludf.DUMMYFUNCTION("""COMPUTED_VALUE"""),788179.0)</f>
        <v>788179</v>
      </c>
      <c r="B2837" t="str">
        <f>IFERROR(__xludf.DUMMYFUNCTION("""COMPUTED_VALUE"""),"Corn Yellow Cooked Ns As To Form Ns As To Fat Added In Cooking")</f>
        <v>Corn Yellow Cooked Ns As To Form Ns As To Fat Added In Cooking</v>
      </c>
      <c r="C2837" t="str">
        <f>IFERROR(__xludf.DUMMYFUNCTION("""COMPUTED_VALUE"""),"Vegetables")</f>
        <v>Vegetables</v>
      </c>
      <c r="D2837">
        <f>IFERROR(__xludf.DUMMYFUNCTION("""COMPUTED_VALUE"""),96.0)</f>
        <v>96</v>
      </c>
      <c r="E2837">
        <f>IFERROR(__xludf.DUMMYFUNCTION("""COMPUTED_VALUE"""),2.67)</f>
        <v>2.67</v>
      </c>
      <c r="F2837">
        <f>IFERROR(__xludf.DUMMYFUNCTION("""COMPUTED_VALUE"""),2.48)</f>
        <v>2.48</v>
      </c>
      <c r="G2837">
        <f>IFERROR(__xludf.DUMMYFUNCTION("""COMPUTED_VALUE"""),18.66)</f>
        <v>18.66</v>
      </c>
    </row>
    <row r="2838">
      <c r="A2838">
        <f>IFERROR(__xludf.DUMMYFUNCTION("""COMPUTED_VALUE"""),788181.0)</f>
        <v>788181</v>
      </c>
      <c r="B2838" t="str">
        <f>IFERROR(__xludf.DUMMYFUNCTION("""COMPUTED_VALUE"""),"Corn Yellow Cooked From Frozen Ns As To Fat Added In Cooking")</f>
        <v>Corn Yellow Cooked From Frozen Ns As To Fat Added In Cooking</v>
      </c>
      <c r="C2838" t="str">
        <f>IFERROR(__xludf.DUMMYFUNCTION("""COMPUTED_VALUE"""),"Vegetables")</f>
        <v>Vegetables</v>
      </c>
      <c r="D2838">
        <f>IFERROR(__xludf.DUMMYFUNCTION("""COMPUTED_VALUE"""),96.0)</f>
        <v>96</v>
      </c>
      <c r="E2838">
        <f>IFERROR(__xludf.DUMMYFUNCTION("""COMPUTED_VALUE"""),2.67)</f>
        <v>2.67</v>
      </c>
      <c r="F2838">
        <f>IFERROR(__xludf.DUMMYFUNCTION("""COMPUTED_VALUE"""),2.48)</f>
        <v>2.48</v>
      </c>
      <c r="G2838">
        <f>IFERROR(__xludf.DUMMYFUNCTION("""COMPUTED_VALUE"""),18.66)</f>
        <v>18.66</v>
      </c>
    </row>
    <row r="2839">
      <c r="A2839">
        <f>IFERROR(__xludf.DUMMYFUNCTION("""COMPUTED_VALUE"""),788182.0)</f>
        <v>788182</v>
      </c>
      <c r="B2839" t="str">
        <f>IFERROR(__xludf.DUMMYFUNCTION("""COMPUTED_VALUE"""),"Corn Yellow Cooked From Canned Ns As To Fat Added In Cooking")</f>
        <v>Corn Yellow Cooked From Canned Ns As To Fat Added In Cooking</v>
      </c>
      <c r="C2839" t="str">
        <f>IFERROR(__xludf.DUMMYFUNCTION("""COMPUTED_VALUE"""),"Vegetables")</f>
        <v>Vegetables</v>
      </c>
      <c r="D2839">
        <f>IFERROR(__xludf.DUMMYFUNCTION("""COMPUTED_VALUE"""),83.0)</f>
        <v>83</v>
      </c>
      <c r="E2839">
        <f>IFERROR(__xludf.DUMMYFUNCTION("""COMPUTED_VALUE"""),3.21)</f>
        <v>3.21</v>
      </c>
      <c r="F2839">
        <f>IFERROR(__xludf.DUMMYFUNCTION("""COMPUTED_VALUE"""),2.24)</f>
        <v>2.24</v>
      </c>
      <c r="G2839">
        <f>IFERROR(__xludf.DUMMYFUNCTION("""COMPUTED_VALUE"""),13.92)</f>
        <v>13.92</v>
      </c>
    </row>
    <row r="2840">
      <c r="A2840">
        <f>IFERROR(__xludf.DUMMYFUNCTION("""COMPUTED_VALUE"""),788186.0)</f>
        <v>788186</v>
      </c>
      <c r="B2840" t="str">
        <f>IFERROR(__xludf.DUMMYFUNCTION("""COMPUTED_VALUE"""),"Corn Yellow Cooked From Canned Fat Not Added In Cooking")</f>
        <v>Corn Yellow Cooked From Canned Fat Not Added In Cooking</v>
      </c>
      <c r="C2840" t="str">
        <f>IFERROR(__xludf.DUMMYFUNCTION("""COMPUTED_VALUE"""),"Vegetables")</f>
        <v>Vegetables</v>
      </c>
      <c r="D2840">
        <f>IFERROR(__xludf.DUMMYFUNCTION("""COMPUTED_VALUE"""),67.0)</f>
        <v>67</v>
      </c>
      <c r="E2840">
        <f>IFERROR(__xludf.DUMMYFUNCTION("""COMPUTED_VALUE"""),1.22)</f>
        <v>1.22</v>
      </c>
      <c r="F2840">
        <f>IFERROR(__xludf.DUMMYFUNCTION("""COMPUTED_VALUE"""),2.28)</f>
        <v>2.28</v>
      </c>
      <c r="G2840">
        <f>IFERROR(__xludf.DUMMYFUNCTION("""COMPUTED_VALUE"""),14.3)</f>
        <v>14.3</v>
      </c>
    </row>
    <row r="2841">
      <c r="A2841">
        <f>IFERROR(__xludf.DUMMYFUNCTION("""COMPUTED_VALUE"""),788187.0)</f>
        <v>788187</v>
      </c>
      <c r="B2841" t="str">
        <f>IFERROR(__xludf.DUMMYFUNCTION("""COMPUTED_VALUE"""),"Corn Yellow Cooked Ns As To Form Fat Added In Cooking Ns As To Type Of Fat")</f>
        <v>Corn Yellow Cooked Ns As To Form Fat Added In Cooking Ns As To Type Of Fat</v>
      </c>
      <c r="C2841" t="str">
        <f>IFERROR(__xludf.DUMMYFUNCTION("""COMPUTED_VALUE"""),"Vegetables")</f>
        <v>Vegetables</v>
      </c>
      <c r="D2841">
        <f>IFERROR(__xludf.DUMMYFUNCTION("""COMPUTED_VALUE"""),96.0)</f>
        <v>96</v>
      </c>
      <c r="E2841">
        <f>IFERROR(__xludf.DUMMYFUNCTION("""COMPUTED_VALUE"""),2.67)</f>
        <v>2.67</v>
      </c>
      <c r="F2841">
        <f>IFERROR(__xludf.DUMMYFUNCTION("""COMPUTED_VALUE"""),2.48)</f>
        <v>2.48</v>
      </c>
      <c r="G2841">
        <f>IFERROR(__xludf.DUMMYFUNCTION("""COMPUTED_VALUE"""),18.66)</f>
        <v>18.66</v>
      </c>
    </row>
    <row r="2842">
      <c r="A2842">
        <f>IFERROR(__xludf.DUMMYFUNCTION("""COMPUTED_VALUE"""),788189.0)</f>
        <v>788189</v>
      </c>
      <c r="B2842" t="str">
        <f>IFERROR(__xludf.DUMMYFUNCTION("""COMPUTED_VALUE"""),"Corn Yellow Cooked From Frozen Fat Added In Cooking Ns As To Type Of Fat")</f>
        <v>Corn Yellow Cooked From Frozen Fat Added In Cooking Ns As To Type Of Fat</v>
      </c>
      <c r="C2842" t="str">
        <f>IFERROR(__xludf.DUMMYFUNCTION("""COMPUTED_VALUE"""),"Vegetables")</f>
        <v>Vegetables</v>
      </c>
      <c r="D2842">
        <f>IFERROR(__xludf.DUMMYFUNCTION("""COMPUTED_VALUE"""),96.0)</f>
        <v>96</v>
      </c>
      <c r="E2842">
        <f>IFERROR(__xludf.DUMMYFUNCTION("""COMPUTED_VALUE"""),2.67)</f>
        <v>2.67</v>
      </c>
      <c r="F2842">
        <f>IFERROR(__xludf.DUMMYFUNCTION("""COMPUTED_VALUE"""),2.48)</f>
        <v>2.48</v>
      </c>
      <c r="G2842">
        <f>IFERROR(__xludf.DUMMYFUNCTION("""COMPUTED_VALUE"""),18.66)</f>
        <v>18.66</v>
      </c>
    </row>
    <row r="2843">
      <c r="A2843">
        <f>IFERROR(__xludf.DUMMYFUNCTION("""COMPUTED_VALUE"""),788190.0)</f>
        <v>788190</v>
      </c>
      <c r="B2843" t="str">
        <f>IFERROR(__xludf.DUMMYFUNCTION("""COMPUTED_VALUE"""),"Corn Yellow Cooked From Canned Fat Added In Cooking Ns As To Type Of Fat")</f>
        <v>Corn Yellow Cooked From Canned Fat Added In Cooking Ns As To Type Of Fat</v>
      </c>
      <c r="C2843" t="str">
        <f>IFERROR(__xludf.DUMMYFUNCTION("""COMPUTED_VALUE"""),"Vegetables")</f>
        <v>Vegetables</v>
      </c>
      <c r="D2843">
        <f>IFERROR(__xludf.DUMMYFUNCTION("""COMPUTED_VALUE"""),83.0)</f>
        <v>83</v>
      </c>
      <c r="E2843">
        <f>IFERROR(__xludf.DUMMYFUNCTION("""COMPUTED_VALUE"""),3.21)</f>
        <v>3.21</v>
      </c>
      <c r="F2843">
        <f>IFERROR(__xludf.DUMMYFUNCTION("""COMPUTED_VALUE"""),2.24)</f>
        <v>2.24</v>
      </c>
      <c r="G2843">
        <f>IFERROR(__xludf.DUMMYFUNCTION("""COMPUTED_VALUE"""),13.92)</f>
        <v>13.92</v>
      </c>
    </row>
    <row r="2844">
      <c r="A2844">
        <f>IFERROR(__xludf.DUMMYFUNCTION("""COMPUTED_VALUE"""),788191.0)</f>
        <v>788191</v>
      </c>
      <c r="B2844" t="str">
        <f>IFERROR(__xludf.DUMMYFUNCTION("""COMPUTED_VALUE"""),"Corn Yellow Cooked Ns As To Form Made With Oil")</f>
        <v>Corn Yellow Cooked Ns As To Form Made With Oil</v>
      </c>
      <c r="C2844" t="str">
        <f>IFERROR(__xludf.DUMMYFUNCTION("""COMPUTED_VALUE"""),"Vegetables")</f>
        <v>Vegetables</v>
      </c>
      <c r="D2844">
        <f>IFERROR(__xludf.DUMMYFUNCTION("""COMPUTED_VALUE"""),102.0)</f>
        <v>102</v>
      </c>
      <c r="E2844">
        <f>IFERROR(__xludf.DUMMYFUNCTION("""COMPUTED_VALUE"""),3.33)</f>
        <v>3.33</v>
      </c>
      <c r="F2844">
        <f>IFERROR(__xludf.DUMMYFUNCTION("""COMPUTED_VALUE"""),2.47)</f>
        <v>2.47</v>
      </c>
      <c r="G2844">
        <f>IFERROR(__xludf.DUMMYFUNCTION("""COMPUTED_VALUE"""),18.67)</f>
        <v>18.67</v>
      </c>
    </row>
    <row r="2845">
      <c r="A2845">
        <f>IFERROR(__xludf.DUMMYFUNCTION("""COMPUTED_VALUE"""),788192.0)</f>
        <v>788192</v>
      </c>
      <c r="B2845" t="str">
        <f>IFERROR(__xludf.DUMMYFUNCTION("""COMPUTED_VALUE"""),"Corn Yellow Cooked Ns As To Form Made With Butter")</f>
        <v>Corn Yellow Cooked Ns As To Form Made With Butter</v>
      </c>
      <c r="C2845" t="str">
        <f>IFERROR(__xludf.DUMMYFUNCTION("""COMPUTED_VALUE"""),"Vegetables")</f>
        <v>Vegetables</v>
      </c>
      <c r="D2845">
        <f>IFERROR(__xludf.DUMMYFUNCTION("""COMPUTED_VALUE"""),98.0)</f>
        <v>98</v>
      </c>
      <c r="E2845">
        <f>IFERROR(__xludf.DUMMYFUNCTION("""COMPUTED_VALUE"""),2.91)</f>
        <v>2.91</v>
      </c>
      <c r="F2845">
        <f>IFERROR(__xludf.DUMMYFUNCTION("""COMPUTED_VALUE"""),2.49)</f>
        <v>2.49</v>
      </c>
      <c r="G2845">
        <f>IFERROR(__xludf.DUMMYFUNCTION("""COMPUTED_VALUE"""),18.65)</f>
        <v>18.65</v>
      </c>
    </row>
    <row r="2846">
      <c r="A2846">
        <f>IFERROR(__xludf.DUMMYFUNCTION("""COMPUTED_VALUE"""),788193.0)</f>
        <v>788193</v>
      </c>
      <c r="B2846" t="str">
        <f>IFERROR(__xludf.DUMMYFUNCTION("""COMPUTED_VALUE"""),"Corn Yellow Cooked Ns As To Form Made With Margarine")</f>
        <v>Corn Yellow Cooked Ns As To Form Made With Margarine</v>
      </c>
      <c r="C2846" t="str">
        <f>IFERROR(__xludf.DUMMYFUNCTION("""COMPUTED_VALUE"""),"Vegetables")</f>
        <v>Vegetables</v>
      </c>
      <c r="D2846">
        <f>IFERROR(__xludf.DUMMYFUNCTION("""COMPUTED_VALUE"""),93.0)</f>
        <v>93</v>
      </c>
      <c r="E2846">
        <f>IFERROR(__xludf.DUMMYFUNCTION("""COMPUTED_VALUE"""),2.33)</f>
        <v>2.33</v>
      </c>
      <c r="F2846">
        <f>IFERROR(__xludf.DUMMYFUNCTION("""COMPUTED_VALUE"""),2.47)</f>
        <v>2.47</v>
      </c>
      <c r="G2846">
        <f>IFERROR(__xludf.DUMMYFUNCTION("""COMPUTED_VALUE"""),18.67)</f>
        <v>18.67</v>
      </c>
    </row>
    <row r="2847">
      <c r="A2847">
        <f>IFERROR(__xludf.DUMMYFUNCTION("""COMPUTED_VALUE"""),788194.0)</f>
        <v>788194</v>
      </c>
      <c r="B2847" t="str">
        <f>IFERROR(__xludf.DUMMYFUNCTION("""COMPUTED_VALUE"""),"Corn Yellow Cooked From Fresh Made With Oil")</f>
        <v>Corn Yellow Cooked From Fresh Made With Oil</v>
      </c>
      <c r="C2847" t="str">
        <f>IFERROR(__xludf.DUMMYFUNCTION("""COMPUTED_VALUE"""),"Vegetables")</f>
        <v>Vegetables</v>
      </c>
      <c r="D2847">
        <f>IFERROR(__xludf.DUMMYFUNCTION("""COMPUTED_VALUE"""),117.0)</f>
        <v>117</v>
      </c>
      <c r="E2847">
        <f>IFERROR(__xludf.DUMMYFUNCTION("""COMPUTED_VALUE"""),4.13)</f>
        <v>4.13</v>
      </c>
      <c r="F2847">
        <f>IFERROR(__xludf.DUMMYFUNCTION("""COMPUTED_VALUE"""),3.3)</f>
        <v>3.3</v>
      </c>
      <c r="G2847">
        <f>IFERROR(__xludf.DUMMYFUNCTION("""COMPUTED_VALUE"""),20.29)</f>
        <v>20.29</v>
      </c>
    </row>
    <row r="2848">
      <c r="A2848">
        <f>IFERROR(__xludf.DUMMYFUNCTION("""COMPUTED_VALUE"""),788197.0)</f>
        <v>788197</v>
      </c>
      <c r="B2848" t="str">
        <f>IFERROR(__xludf.DUMMYFUNCTION("""COMPUTED_VALUE"""),"Corn Yellow Cooked From Frozen Made With Oil")</f>
        <v>Corn Yellow Cooked From Frozen Made With Oil</v>
      </c>
      <c r="C2848" t="str">
        <f>IFERROR(__xludf.DUMMYFUNCTION("""COMPUTED_VALUE"""),"Vegetables")</f>
        <v>Vegetables</v>
      </c>
      <c r="D2848">
        <f>IFERROR(__xludf.DUMMYFUNCTION("""COMPUTED_VALUE"""),102.0)</f>
        <v>102</v>
      </c>
      <c r="E2848">
        <f>IFERROR(__xludf.DUMMYFUNCTION("""COMPUTED_VALUE"""),3.33)</f>
        <v>3.33</v>
      </c>
      <c r="F2848">
        <f>IFERROR(__xludf.DUMMYFUNCTION("""COMPUTED_VALUE"""),2.47)</f>
        <v>2.47</v>
      </c>
      <c r="G2848">
        <f>IFERROR(__xludf.DUMMYFUNCTION("""COMPUTED_VALUE"""),18.67)</f>
        <v>18.67</v>
      </c>
    </row>
    <row r="2849">
      <c r="A2849">
        <f>IFERROR(__xludf.DUMMYFUNCTION("""COMPUTED_VALUE"""),788198.0)</f>
        <v>788198</v>
      </c>
      <c r="B2849" t="str">
        <f>IFERROR(__xludf.DUMMYFUNCTION("""COMPUTED_VALUE"""),"Corn Yellow Cooked From Frozen Made With Butter")</f>
        <v>Corn Yellow Cooked From Frozen Made With Butter</v>
      </c>
      <c r="C2849" t="str">
        <f>IFERROR(__xludf.DUMMYFUNCTION("""COMPUTED_VALUE"""),"Vegetables")</f>
        <v>Vegetables</v>
      </c>
      <c r="D2849">
        <f>IFERROR(__xludf.DUMMYFUNCTION("""COMPUTED_VALUE"""),98.0)</f>
        <v>98</v>
      </c>
      <c r="E2849">
        <f>IFERROR(__xludf.DUMMYFUNCTION("""COMPUTED_VALUE"""),2.91)</f>
        <v>2.91</v>
      </c>
      <c r="F2849">
        <f>IFERROR(__xludf.DUMMYFUNCTION("""COMPUTED_VALUE"""),2.49)</f>
        <v>2.49</v>
      </c>
      <c r="G2849">
        <f>IFERROR(__xludf.DUMMYFUNCTION("""COMPUTED_VALUE"""),18.65)</f>
        <v>18.65</v>
      </c>
    </row>
    <row r="2850">
      <c r="A2850">
        <f>IFERROR(__xludf.DUMMYFUNCTION("""COMPUTED_VALUE"""),788199.0)</f>
        <v>788199</v>
      </c>
      <c r="B2850" t="str">
        <f>IFERROR(__xludf.DUMMYFUNCTION("""COMPUTED_VALUE"""),"Corn Yellow Cooked From Frozen Made With Margarine")</f>
        <v>Corn Yellow Cooked From Frozen Made With Margarine</v>
      </c>
      <c r="C2850" t="str">
        <f>IFERROR(__xludf.DUMMYFUNCTION("""COMPUTED_VALUE"""),"Vegetables")</f>
        <v>Vegetables</v>
      </c>
      <c r="D2850">
        <f>IFERROR(__xludf.DUMMYFUNCTION("""COMPUTED_VALUE"""),93.0)</f>
        <v>93</v>
      </c>
      <c r="E2850">
        <f>IFERROR(__xludf.DUMMYFUNCTION("""COMPUTED_VALUE"""),2.33)</f>
        <v>2.33</v>
      </c>
      <c r="F2850">
        <f>IFERROR(__xludf.DUMMYFUNCTION("""COMPUTED_VALUE"""),2.47)</f>
        <v>2.47</v>
      </c>
      <c r="G2850">
        <f>IFERROR(__xludf.DUMMYFUNCTION("""COMPUTED_VALUE"""),18.67)</f>
        <v>18.67</v>
      </c>
    </row>
    <row r="2851">
      <c r="A2851">
        <f>IFERROR(__xludf.DUMMYFUNCTION("""COMPUTED_VALUE"""),788200.0)</f>
        <v>788200</v>
      </c>
      <c r="B2851" t="str">
        <f>IFERROR(__xludf.DUMMYFUNCTION("""COMPUTED_VALUE"""),"Corn Yellow Cooked From Canned Made With Oil")</f>
        <v>Corn Yellow Cooked From Canned Made With Oil</v>
      </c>
      <c r="C2851" t="str">
        <f>IFERROR(__xludf.DUMMYFUNCTION("""COMPUTED_VALUE"""),"Vegetables")</f>
        <v>Vegetables</v>
      </c>
      <c r="D2851">
        <f>IFERROR(__xludf.DUMMYFUNCTION("""COMPUTED_VALUE"""),89.0)</f>
        <v>89</v>
      </c>
      <c r="E2851">
        <f>IFERROR(__xludf.DUMMYFUNCTION("""COMPUTED_VALUE"""),3.87)</f>
        <v>3.87</v>
      </c>
      <c r="F2851">
        <f>IFERROR(__xludf.DUMMYFUNCTION("""COMPUTED_VALUE"""),2.22)</f>
        <v>2.22</v>
      </c>
      <c r="G2851">
        <f>IFERROR(__xludf.DUMMYFUNCTION("""COMPUTED_VALUE"""),13.92)</f>
        <v>13.92</v>
      </c>
    </row>
    <row r="2852">
      <c r="A2852">
        <f>IFERROR(__xludf.DUMMYFUNCTION("""COMPUTED_VALUE"""),788201.0)</f>
        <v>788201</v>
      </c>
      <c r="B2852" t="str">
        <f>IFERROR(__xludf.DUMMYFUNCTION("""COMPUTED_VALUE"""),"Corn Yellow Cooked From Canned Made With Butter")</f>
        <v>Corn Yellow Cooked From Canned Made With Butter</v>
      </c>
      <c r="C2852" t="str">
        <f>IFERROR(__xludf.DUMMYFUNCTION("""COMPUTED_VALUE"""),"Vegetables")</f>
        <v>Vegetables</v>
      </c>
      <c r="D2852">
        <f>IFERROR(__xludf.DUMMYFUNCTION("""COMPUTED_VALUE"""),85.0)</f>
        <v>85</v>
      </c>
      <c r="E2852">
        <f>IFERROR(__xludf.DUMMYFUNCTION("""COMPUTED_VALUE"""),3.45)</f>
        <v>3.45</v>
      </c>
      <c r="F2852">
        <f>IFERROR(__xludf.DUMMYFUNCTION("""COMPUTED_VALUE"""),2.24)</f>
        <v>2.24</v>
      </c>
      <c r="G2852">
        <f>IFERROR(__xludf.DUMMYFUNCTION("""COMPUTED_VALUE"""),13.91)</f>
        <v>13.91</v>
      </c>
    </row>
    <row r="2853">
      <c r="A2853">
        <f>IFERROR(__xludf.DUMMYFUNCTION("""COMPUTED_VALUE"""),788202.0)</f>
        <v>788202</v>
      </c>
      <c r="B2853" t="str">
        <f>IFERROR(__xludf.DUMMYFUNCTION("""COMPUTED_VALUE"""),"Corn Yellow Cooked From Canned Made With Margarine")</f>
        <v>Corn Yellow Cooked From Canned Made With Margarine</v>
      </c>
      <c r="C2853" t="str">
        <f>IFERROR(__xludf.DUMMYFUNCTION("""COMPUTED_VALUE"""),"Vegetables")</f>
        <v>Vegetables</v>
      </c>
      <c r="D2853">
        <f>IFERROR(__xludf.DUMMYFUNCTION("""COMPUTED_VALUE"""),80.0)</f>
        <v>80</v>
      </c>
      <c r="E2853">
        <f>IFERROR(__xludf.DUMMYFUNCTION("""COMPUTED_VALUE"""),2.87)</f>
        <v>2.87</v>
      </c>
      <c r="F2853">
        <f>IFERROR(__xludf.DUMMYFUNCTION("""COMPUTED_VALUE"""),2.22)</f>
        <v>2.22</v>
      </c>
      <c r="G2853">
        <f>IFERROR(__xludf.DUMMYFUNCTION("""COMPUTED_VALUE"""),13.93)</f>
        <v>13.93</v>
      </c>
    </row>
    <row r="2854">
      <c r="A2854">
        <f>IFERROR(__xludf.DUMMYFUNCTION("""COMPUTED_VALUE"""),788203.0)</f>
        <v>788203</v>
      </c>
      <c r="B2854" t="str">
        <f>IFERROR(__xludf.DUMMYFUNCTION("""COMPUTED_VALUE"""),"Corn Yellow Ns As To Form Cream Style")</f>
        <v>Corn Yellow Ns As To Form Cream Style</v>
      </c>
      <c r="C2854" t="str">
        <f>IFERROR(__xludf.DUMMYFUNCTION("""COMPUTED_VALUE"""),"Vegetables")</f>
        <v>Vegetables</v>
      </c>
      <c r="D2854">
        <f>IFERROR(__xludf.DUMMYFUNCTION("""COMPUTED_VALUE"""),72.0)</f>
        <v>72</v>
      </c>
      <c r="E2854">
        <f>IFERROR(__xludf.DUMMYFUNCTION("""COMPUTED_VALUE"""),0.42)</f>
        <v>0.42</v>
      </c>
      <c r="F2854">
        <f>IFERROR(__xludf.DUMMYFUNCTION("""COMPUTED_VALUE"""),1.73)</f>
        <v>1.73</v>
      </c>
      <c r="G2854">
        <f>IFERROR(__xludf.DUMMYFUNCTION("""COMPUTED_VALUE"""),18.06)</f>
        <v>18.06</v>
      </c>
    </row>
    <row r="2855">
      <c r="A2855">
        <f>IFERROR(__xludf.DUMMYFUNCTION("""COMPUTED_VALUE"""),788204.0)</f>
        <v>788204</v>
      </c>
      <c r="B2855" t="str">
        <f>IFERROR(__xludf.DUMMYFUNCTION("""COMPUTED_VALUE"""),"Corn Yellow From Canned Cream Style")</f>
        <v>Corn Yellow From Canned Cream Style</v>
      </c>
      <c r="C2855" t="str">
        <f>IFERROR(__xludf.DUMMYFUNCTION("""COMPUTED_VALUE"""),"Vegetables")</f>
        <v>Vegetables</v>
      </c>
      <c r="D2855">
        <f>IFERROR(__xludf.DUMMYFUNCTION("""COMPUTED_VALUE"""),72.0)</f>
        <v>72</v>
      </c>
      <c r="E2855">
        <f>IFERROR(__xludf.DUMMYFUNCTION("""COMPUTED_VALUE"""),0.42)</f>
        <v>0.42</v>
      </c>
      <c r="F2855">
        <f>IFERROR(__xludf.DUMMYFUNCTION("""COMPUTED_VALUE"""),1.74)</f>
        <v>1.74</v>
      </c>
      <c r="G2855">
        <f>IFERROR(__xludf.DUMMYFUNCTION("""COMPUTED_VALUE"""),18.1)</f>
        <v>18.1</v>
      </c>
    </row>
    <row r="2856">
      <c r="A2856">
        <f>IFERROR(__xludf.DUMMYFUNCTION("""COMPUTED_VALUE"""),788205.0)</f>
        <v>788205</v>
      </c>
      <c r="B2856" t="str">
        <f>IFERROR(__xludf.DUMMYFUNCTION("""COMPUTED_VALUE"""),"Corn Yellow And White Cooked Ns As To Form Ns As To Fat Added In Cooking")</f>
        <v>Corn Yellow And White Cooked Ns As To Form Ns As To Fat Added In Cooking</v>
      </c>
      <c r="C2856" t="str">
        <f>IFERROR(__xludf.DUMMYFUNCTION("""COMPUTED_VALUE"""),"Vegetables")</f>
        <v>Vegetables</v>
      </c>
      <c r="D2856">
        <f>IFERROR(__xludf.DUMMYFUNCTION("""COMPUTED_VALUE"""),96.0)</f>
        <v>96</v>
      </c>
      <c r="E2856">
        <f>IFERROR(__xludf.DUMMYFUNCTION("""COMPUTED_VALUE"""),2.55)</f>
        <v>2.55</v>
      </c>
      <c r="F2856">
        <f>IFERROR(__xludf.DUMMYFUNCTION("""COMPUTED_VALUE"""),2.58)</f>
        <v>2.58</v>
      </c>
      <c r="G2856">
        <f>IFERROR(__xludf.DUMMYFUNCTION("""COMPUTED_VALUE"""),18.78)</f>
        <v>18.78</v>
      </c>
    </row>
    <row r="2857">
      <c r="A2857">
        <f>IFERROR(__xludf.DUMMYFUNCTION("""COMPUTED_VALUE"""),788207.0)</f>
        <v>788207</v>
      </c>
      <c r="B2857" t="str">
        <f>IFERROR(__xludf.DUMMYFUNCTION("""COMPUTED_VALUE"""),"Corn Yellow And White Cooked From Frozen Ns As To Fat Added In Cooking")</f>
        <v>Corn Yellow And White Cooked From Frozen Ns As To Fat Added In Cooking</v>
      </c>
      <c r="C2857" t="str">
        <f>IFERROR(__xludf.DUMMYFUNCTION("""COMPUTED_VALUE"""),"Vegetables")</f>
        <v>Vegetables</v>
      </c>
      <c r="D2857">
        <f>IFERROR(__xludf.DUMMYFUNCTION("""COMPUTED_VALUE"""),96.0)</f>
        <v>96</v>
      </c>
      <c r="E2857">
        <f>IFERROR(__xludf.DUMMYFUNCTION("""COMPUTED_VALUE"""),2.55)</f>
        <v>2.55</v>
      </c>
      <c r="F2857">
        <f>IFERROR(__xludf.DUMMYFUNCTION("""COMPUTED_VALUE"""),2.58)</f>
        <v>2.58</v>
      </c>
      <c r="G2857">
        <f>IFERROR(__xludf.DUMMYFUNCTION("""COMPUTED_VALUE"""),18.78)</f>
        <v>18.78</v>
      </c>
    </row>
    <row r="2858">
      <c r="A2858">
        <f>IFERROR(__xludf.DUMMYFUNCTION("""COMPUTED_VALUE"""),788208.0)</f>
        <v>788208</v>
      </c>
      <c r="B2858" t="str">
        <f>IFERROR(__xludf.DUMMYFUNCTION("""COMPUTED_VALUE"""),"Corn Yellow And White Cooked From Canned Ns As To Fat Added In Cooking")</f>
        <v>Corn Yellow And White Cooked From Canned Ns As To Fat Added In Cooking</v>
      </c>
      <c r="C2858" t="str">
        <f>IFERROR(__xludf.DUMMYFUNCTION("""COMPUTED_VALUE"""),"Vegetables")</f>
        <v>Vegetables</v>
      </c>
      <c r="D2858">
        <f>IFERROR(__xludf.DUMMYFUNCTION("""COMPUTED_VALUE"""),85.0)</f>
        <v>85</v>
      </c>
      <c r="E2858">
        <f>IFERROR(__xludf.DUMMYFUNCTION("""COMPUTED_VALUE"""),3.28)</f>
        <v>3.28</v>
      </c>
      <c r="F2858">
        <f>IFERROR(__xludf.DUMMYFUNCTION("""COMPUTED_VALUE"""),2.25)</f>
        <v>2.25</v>
      </c>
      <c r="G2858">
        <f>IFERROR(__xludf.DUMMYFUNCTION("""COMPUTED_VALUE"""),14.26)</f>
        <v>14.26</v>
      </c>
    </row>
    <row r="2859">
      <c r="A2859">
        <f>IFERROR(__xludf.DUMMYFUNCTION("""COMPUTED_VALUE"""),788212.0)</f>
        <v>788212</v>
      </c>
      <c r="B2859" t="str">
        <f>IFERROR(__xludf.DUMMYFUNCTION("""COMPUTED_VALUE"""),"Corn Yellow And White Cooked From Canned Fat Not Added In Cooking")</f>
        <v>Corn Yellow And White Cooked From Canned Fat Not Added In Cooking</v>
      </c>
      <c r="C2859" t="str">
        <f>IFERROR(__xludf.DUMMYFUNCTION("""COMPUTED_VALUE"""),"Vegetables")</f>
        <v>Vegetables</v>
      </c>
      <c r="D2859">
        <f>IFERROR(__xludf.DUMMYFUNCTION("""COMPUTED_VALUE"""),69.0)</f>
        <v>69</v>
      </c>
      <c r="E2859">
        <f>IFERROR(__xludf.DUMMYFUNCTION("""COMPUTED_VALUE"""),1.29)</f>
        <v>1.29</v>
      </c>
      <c r="F2859">
        <f>IFERROR(__xludf.DUMMYFUNCTION("""COMPUTED_VALUE"""),2.3)</f>
        <v>2.3</v>
      </c>
      <c r="G2859">
        <f>IFERROR(__xludf.DUMMYFUNCTION("""COMPUTED_VALUE"""),14.66)</f>
        <v>14.66</v>
      </c>
    </row>
    <row r="2860">
      <c r="A2860">
        <f>IFERROR(__xludf.DUMMYFUNCTION("""COMPUTED_VALUE"""),788213.0)</f>
        <v>788213</v>
      </c>
      <c r="B2860" t="str">
        <f>IFERROR(__xludf.DUMMYFUNCTION("""COMPUTED_VALUE"""),"Corn Yellow And White Cooked Ns As To Form Made With Oil")</f>
        <v>Corn Yellow And White Cooked Ns As To Form Made With Oil</v>
      </c>
      <c r="C2860" t="str">
        <f>IFERROR(__xludf.DUMMYFUNCTION("""COMPUTED_VALUE"""),"Vegetables")</f>
        <v>Vegetables</v>
      </c>
      <c r="D2860">
        <f>IFERROR(__xludf.DUMMYFUNCTION("""COMPUTED_VALUE"""),102.0)</f>
        <v>102</v>
      </c>
      <c r="E2860">
        <f>IFERROR(__xludf.DUMMYFUNCTION("""COMPUTED_VALUE"""),3.33)</f>
        <v>3.33</v>
      </c>
      <c r="F2860">
        <f>IFERROR(__xludf.DUMMYFUNCTION("""COMPUTED_VALUE"""),2.47)</f>
        <v>2.47</v>
      </c>
      <c r="G2860">
        <f>IFERROR(__xludf.DUMMYFUNCTION("""COMPUTED_VALUE"""),18.67)</f>
        <v>18.67</v>
      </c>
    </row>
    <row r="2861">
      <c r="A2861">
        <f>IFERROR(__xludf.DUMMYFUNCTION("""COMPUTED_VALUE"""),788214.0)</f>
        <v>788214</v>
      </c>
      <c r="B2861" t="str">
        <f>IFERROR(__xludf.DUMMYFUNCTION("""COMPUTED_VALUE"""),"Corn Yellow And White Cooked Ns As To Form Made With Butter")</f>
        <v>Corn Yellow And White Cooked Ns As To Form Made With Butter</v>
      </c>
      <c r="C2861" t="str">
        <f>IFERROR(__xludf.DUMMYFUNCTION("""COMPUTED_VALUE"""),"Vegetables")</f>
        <v>Vegetables</v>
      </c>
      <c r="D2861">
        <f>IFERROR(__xludf.DUMMYFUNCTION("""COMPUTED_VALUE"""),98.0)</f>
        <v>98</v>
      </c>
      <c r="E2861">
        <f>IFERROR(__xludf.DUMMYFUNCTION("""COMPUTED_VALUE"""),2.91)</f>
        <v>2.91</v>
      </c>
      <c r="F2861">
        <f>IFERROR(__xludf.DUMMYFUNCTION("""COMPUTED_VALUE"""),2.49)</f>
        <v>2.49</v>
      </c>
      <c r="G2861">
        <f>IFERROR(__xludf.DUMMYFUNCTION("""COMPUTED_VALUE"""),18.65)</f>
        <v>18.65</v>
      </c>
    </row>
    <row r="2862">
      <c r="A2862">
        <f>IFERROR(__xludf.DUMMYFUNCTION("""COMPUTED_VALUE"""),788215.0)</f>
        <v>788215</v>
      </c>
      <c r="B2862" t="str">
        <f>IFERROR(__xludf.DUMMYFUNCTION("""COMPUTED_VALUE"""),"Corn Yellow And White Cooked Ns As To Form Made With Margarine")</f>
        <v>Corn Yellow And White Cooked Ns As To Form Made With Margarine</v>
      </c>
      <c r="C2862" t="str">
        <f>IFERROR(__xludf.DUMMYFUNCTION("""COMPUTED_VALUE"""),"Vegetables")</f>
        <v>Vegetables</v>
      </c>
      <c r="D2862">
        <f>IFERROR(__xludf.DUMMYFUNCTION("""COMPUTED_VALUE"""),93.0)</f>
        <v>93</v>
      </c>
      <c r="E2862">
        <f>IFERROR(__xludf.DUMMYFUNCTION("""COMPUTED_VALUE"""),2.21)</f>
        <v>2.21</v>
      </c>
      <c r="F2862">
        <f>IFERROR(__xludf.DUMMYFUNCTION("""COMPUTED_VALUE"""),2.56)</f>
        <v>2.56</v>
      </c>
      <c r="G2862">
        <f>IFERROR(__xludf.DUMMYFUNCTION("""COMPUTED_VALUE"""),18.79)</f>
        <v>18.79</v>
      </c>
    </row>
    <row r="2863">
      <c r="A2863">
        <f>IFERROR(__xludf.DUMMYFUNCTION("""COMPUTED_VALUE"""),788219.0)</f>
        <v>788219</v>
      </c>
      <c r="B2863" t="str">
        <f>IFERROR(__xludf.DUMMYFUNCTION("""COMPUTED_VALUE"""),"Corn Yellow And White Cooked Ns As To Form Fat Added In Cooking Ns As To Type Of Fat")</f>
        <v>Corn Yellow And White Cooked Ns As To Form Fat Added In Cooking Ns As To Type Of Fat</v>
      </c>
      <c r="C2863" t="str">
        <f>IFERROR(__xludf.DUMMYFUNCTION("""COMPUTED_VALUE"""),"Vegetables")</f>
        <v>Vegetables</v>
      </c>
      <c r="D2863">
        <f>IFERROR(__xludf.DUMMYFUNCTION("""COMPUTED_VALUE"""),96.0)</f>
        <v>96</v>
      </c>
      <c r="E2863">
        <f>IFERROR(__xludf.DUMMYFUNCTION("""COMPUTED_VALUE"""),2.55)</f>
        <v>2.55</v>
      </c>
      <c r="F2863">
        <f>IFERROR(__xludf.DUMMYFUNCTION("""COMPUTED_VALUE"""),2.58)</f>
        <v>2.58</v>
      </c>
      <c r="G2863">
        <f>IFERROR(__xludf.DUMMYFUNCTION("""COMPUTED_VALUE"""),18.78)</f>
        <v>18.78</v>
      </c>
    </row>
    <row r="2864">
      <c r="A2864">
        <f>IFERROR(__xludf.DUMMYFUNCTION("""COMPUTED_VALUE"""),788221.0)</f>
        <v>788221</v>
      </c>
      <c r="B2864" t="str">
        <f>IFERROR(__xludf.DUMMYFUNCTION("""COMPUTED_VALUE"""),"Corn Yellow And White Cooked From Frozen Fat Added In Cooking Ns As To Type Of Fat")</f>
        <v>Corn Yellow And White Cooked From Frozen Fat Added In Cooking Ns As To Type Of Fat</v>
      </c>
      <c r="C2864" t="str">
        <f>IFERROR(__xludf.DUMMYFUNCTION("""COMPUTED_VALUE"""),"Vegetables")</f>
        <v>Vegetables</v>
      </c>
      <c r="D2864">
        <f>IFERROR(__xludf.DUMMYFUNCTION("""COMPUTED_VALUE"""),96.0)</f>
        <v>96</v>
      </c>
      <c r="E2864">
        <f>IFERROR(__xludf.DUMMYFUNCTION("""COMPUTED_VALUE"""),2.55)</f>
        <v>2.55</v>
      </c>
      <c r="F2864">
        <f>IFERROR(__xludf.DUMMYFUNCTION("""COMPUTED_VALUE"""),2.58)</f>
        <v>2.58</v>
      </c>
      <c r="G2864">
        <f>IFERROR(__xludf.DUMMYFUNCTION("""COMPUTED_VALUE"""),18.78)</f>
        <v>18.78</v>
      </c>
    </row>
    <row r="2865">
      <c r="A2865">
        <f>IFERROR(__xludf.DUMMYFUNCTION("""COMPUTED_VALUE"""),788222.0)</f>
        <v>788222</v>
      </c>
      <c r="B2865" t="str">
        <f>IFERROR(__xludf.DUMMYFUNCTION("""COMPUTED_VALUE"""),"Corn Yellow And White Cooked From Canned Fat Added In Cooking Ns As To Type Of Fat")</f>
        <v>Corn Yellow And White Cooked From Canned Fat Added In Cooking Ns As To Type Of Fat</v>
      </c>
      <c r="C2865" t="str">
        <f>IFERROR(__xludf.DUMMYFUNCTION("""COMPUTED_VALUE"""),"Vegetables")</f>
        <v>Vegetables</v>
      </c>
      <c r="D2865">
        <f>IFERROR(__xludf.DUMMYFUNCTION("""COMPUTED_VALUE"""),85.0)</f>
        <v>85</v>
      </c>
      <c r="E2865">
        <f>IFERROR(__xludf.DUMMYFUNCTION("""COMPUTED_VALUE"""),3.28)</f>
        <v>3.28</v>
      </c>
      <c r="F2865">
        <f>IFERROR(__xludf.DUMMYFUNCTION("""COMPUTED_VALUE"""),2.25)</f>
        <v>2.25</v>
      </c>
      <c r="G2865">
        <f>IFERROR(__xludf.DUMMYFUNCTION("""COMPUTED_VALUE"""),14.26)</f>
        <v>14.26</v>
      </c>
    </row>
    <row r="2866">
      <c r="A2866">
        <f>IFERROR(__xludf.DUMMYFUNCTION("""COMPUTED_VALUE"""),788223.0)</f>
        <v>788223</v>
      </c>
      <c r="B2866" t="str">
        <f>IFERROR(__xludf.DUMMYFUNCTION("""COMPUTED_VALUE"""),"Corn Yellow And White Cooked From Frozen Made With Oil")</f>
        <v>Corn Yellow And White Cooked From Frozen Made With Oil</v>
      </c>
      <c r="C2866" t="str">
        <f>IFERROR(__xludf.DUMMYFUNCTION("""COMPUTED_VALUE"""),"Vegetables")</f>
        <v>Vegetables</v>
      </c>
      <c r="D2866">
        <f>IFERROR(__xludf.DUMMYFUNCTION("""COMPUTED_VALUE"""),102.0)</f>
        <v>102</v>
      </c>
      <c r="E2866">
        <f>IFERROR(__xludf.DUMMYFUNCTION("""COMPUTED_VALUE"""),3.21)</f>
        <v>3.21</v>
      </c>
      <c r="F2866">
        <f>IFERROR(__xludf.DUMMYFUNCTION("""COMPUTED_VALUE"""),2.56)</f>
        <v>2.56</v>
      </c>
      <c r="G2866">
        <f>IFERROR(__xludf.DUMMYFUNCTION("""COMPUTED_VALUE"""),18.8)</f>
        <v>18.8</v>
      </c>
    </row>
    <row r="2867">
      <c r="A2867">
        <f>IFERROR(__xludf.DUMMYFUNCTION("""COMPUTED_VALUE"""),788224.0)</f>
        <v>788224</v>
      </c>
      <c r="B2867" t="str">
        <f>IFERROR(__xludf.DUMMYFUNCTION("""COMPUTED_VALUE"""),"Corn Yellow And White Cooked From Frozen Made With Butter")</f>
        <v>Corn Yellow And White Cooked From Frozen Made With Butter</v>
      </c>
      <c r="C2867" t="str">
        <f>IFERROR(__xludf.DUMMYFUNCTION("""COMPUTED_VALUE"""),"Vegetables")</f>
        <v>Vegetables</v>
      </c>
      <c r="D2867">
        <f>IFERROR(__xludf.DUMMYFUNCTION("""COMPUTED_VALUE"""),98.0)</f>
        <v>98</v>
      </c>
      <c r="E2867">
        <f>IFERROR(__xludf.DUMMYFUNCTION("""COMPUTED_VALUE"""),2.79)</f>
        <v>2.79</v>
      </c>
      <c r="F2867">
        <f>IFERROR(__xludf.DUMMYFUNCTION("""COMPUTED_VALUE"""),2.58)</f>
        <v>2.58</v>
      </c>
      <c r="G2867">
        <f>IFERROR(__xludf.DUMMYFUNCTION("""COMPUTED_VALUE"""),18.78)</f>
        <v>18.78</v>
      </c>
    </row>
    <row r="2868">
      <c r="A2868">
        <f>IFERROR(__xludf.DUMMYFUNCTION("""COMPUTED_VALUE"""),788225.0)</f>
        <v>788225</v>
      </c>
      <c r="B2868" t="str">
        <f>IFERROR(__xludf.DUMMYFUNCTION("""COMPUTED_VALUE"""),"Corn Yellow And White Cooked From Frozen Made With Margarine")</f>
        <v>Corn Yellow And White Cooked From Frozen Made With Margarine</v>
      </c>
      <c r="C2868" t="str">
        <f>IFERROR(__xludf.DUMMYFUNCTION("""COMPUTED_VALUE"""),"Vegetables")</f>
        <v>Vegetables</v>
      </c>
      <c r="D2868">
        <f>IFERROR(__xludf.DUMMYFUNCTION("""COMPUTED_VALUE"""),93.0)</f>
        <v>93</v>
      </c>
      <c r="E2868">
        <f>IFERROR(__xludf.DUMMYFUNCTION("""COMPUTED_VALUE"""),2.21)</f>
        <v>2.21</v>
      </c>
      <c r="F2868">
        <f>IFERROR(__xludf.DUMMYFUNCTION("""COMPUTED_VALUE"""),2.56)</f>
        <v>2.56</v>
      </c>
      <c r="G2868">
        <f>IFERROR(__xludf.DUMMYFUNCTION("""COMPUTED_VALUE"""),18.79)</f>
        <v>18.79</v>
      </c>
    </row>
    <row r="2869">
      <c r="A2869">
        <f>IFERROR(__xludf.DUMMYFUNCTION("""COMPUTED_VALUE"""),788226.0)</f>
        <v>788226</v>
      </c>
      <c r="B2869" t="str">
        <f>IFERROR(__xludf.DUMMYFUNCTION("""COMPUTED_VALUE"""),"Corn Yellow And White Cooked From Canned Made With Oil")</f>
        <v>Corn Yellow And White Cooked From Canned Made With Oil</v>
      </c>
      <c r="C2869" t="str">
        <f>IFERROR(__xludf.DUMMYFUNCTION("""COMPUTED_VALUE"""),"Vegetables")</f>
        <v>Vegetables</v>
      </c>
      <c r="D2869">
        <f>IFERROR(__xludf.DUMMYFUNCTION("""COMPUTED_VALUE"""),91.0)</f>
        <v>91</v>
      </c>
      <c r="E2869">
        <f>IFERROR(__xludf.DUMMYFUNCTION("""COMPUTED_VALUE"""),3.95)</f>
        <v>3.95</v>
      </c>
      <c r="F2869">
        <f>IFERROR(__xludf.DUMMYFUNCTION("""COMPUTED_VALUE"""),2.24)</f>
        <v>2.24</v>
      </c>
      <c r="G2869">
        <f>IFERROR(__xludf.DUMMYFUNCTION("""COMPUTED_VALUE"""),14.27)</f>
        <v>14.27</v>
      </c>
    </row>
    <row r="2870">
      <c r="A2870">
        <f>IFERROR(__xludf.DUMMYFUNCTION("""COMPUTED_VALUE"""),788227.0)</f>
        <v>788227</v>
      </c>
      <c r="B2870" t="str">
        <f>IFERROR(__xludf.DUMMYFUNCTION("""COMPUTED_VALUE"""),"Corn Yellow And White Cooked From Canned Made With Butter")</f>
        <v>Corn Yellow And White Cooked From Canned Made With Butter</v>
      </c>
      <c r="C2870" t="str">
        <f>IFERROR(__xludf.DUMMYFUNCTION("""COMPUTED_VALUE"""),"Vegetables")</f>
        <v>Vegetables</v>
      </c>
      <c r="D2870">
        <f>IFERROR(__xludf.DUMMYFUNCTION("""COMPUTED_VALUE"""),87.0)</f>
        <v>87</v>
      </c>
      <c r="E2870">
        <f>IFERROR(__xludf.DUMMYFUNCTION("""COMPUTED_VALUE"""),3.52)</f>
        <v>3.52</v>
      </c>
      <c r="F2870">
        <f>IFERROR(__xludf.DUMMYFUNCTION("""COMPUTED_VALUE"""),2.26)</f>
        <v>2.26</v>
      </c>
      <c r="G2870">
        <f>IFERROR(__xludf.DUMMYFUNCTION("""COMPUTED_VALUE"""),14.26)</f>
        <v>14.26</v>
      </c>
    </row>
    <row r="2871">
      <c r="A2871">
        <f>IFERROR(__xludf.DUMMYFUNCTION("""COMPUTED_VALUE"""),788228.0)</f>
        <v>788228</v>
      </c>
      <c r="B2871" t="str">
        <f>IFERROR(__xludf.DUMMYFUNCTION("""COMPUTED_VALUE"""),"Corn Yellow And White Cooked From Canned Made With Margarine")</f>
        <v>Corn Yellow And White Cooked From Canned Made With Margarine</v>
      </c>
      <c r="C2871" t="str">
        <f>IFERROR(__xludf.DUMMYFUNCTION("""COMPUTED_VALUE"""),"Vegetables")</f>
        <v>Vegetables</v>
      </c>
      <c r="D2871">
        <f>IFERROR(__xludf.DUMMYFUNCTION("""COMPUTED_VALUE"""),82.0)</f>
        <v>82</v>
      </c>
      <c r="E2871">
        <f>IFERROR(__xludf.DUMMYFUNCTION("""COMPUTED_VALUE"""),2.94)</f>
        <v>2.94</v>
      </c>
      <c r="F2871">
        <f>IFERROR(__xludf.DUMMYFUNCTION("""COMPUTED_VALUE"""),2.24)</f>
        <v>2.24</v>
      </c>
      <c r="G2871">
        <f>IFERROR(__xludf.DUMMYFUNCTION("""COMPUTED_VALUE"""),14.28)</f>
        <v>14.28</v>
      </c>
    </row>
    <row r="2872">
      <c r="A2872">
        <f>IFERROR(__xludf.DUMMYFUNCTION("""COMPUTED_VALUE"""),788229.0)</f>
        <v>788229</v>
      </c>
      <c r="B2872" t="str">
        <f>IFERROR(__xludf.DUMMYFUNCTION("""COMPUTED_VALUE"""),"Corn Yellow Ns As To Form Cream Style Fat Added In Cooking")</f>
        <v>Corn Yellow Ns As To Form Cream Style Fat Added In Cooking</v>
      </c>
      <c r="C2872" t="str">
        <f>IFERROR(__xludf.DUMMYFUNCTION("""COMPUTED_VALUE"""),"Vegetables")</f>
        <v>Vegetables</v>
      </c>
      <c r="D2872">
        <f>IFERROR(__xludf.DUMMYFUNCTION("""COMPUTED_VALUE"""),82.0)</f>
        <v>82</v>
      </c>
      <c r="E2872">
        <f>IFERROR(__xludf.DUMMYFUNCTION("""COMPUTED_VALUE"""),1.72)</f>
        <v>1.72</v>
      </c>
      <c r="F2872">
        <f>IFERROR(__xludf.DUMMYFUNCTION("""COMPUTED_VALUE"""),1.71)</f>
        <v>1.71</v>
      </c>
      <c r="G2872">
        <f>IFERROR(__xludf.DUMMYFUNCTION("""COMPUTED_VALUE"""),17.74)</f>
        <v>17.74</v>
      </c>
    </row>
    <row r="2873">
      <c r="A2873">
        <f>IFERROR(__xludf.DUMMYFUNCTION("""COMPUTED_VALUE"""),788230.0)</f>
        <v>788230</v>
      </c>
      <c r="B2873" t="str">
        <f>IFERROR(__xludf.DUMMYFUNCTION("""COMPUTED_VALUE"""),"Corn Yellow From Canned Cream Style Fat Added In Cooking")</f>
        <v>Corn Yellow From Canned Cream Style Fat Added In Cooking</v>
      </c>
      <c r="C2873" t="str">
        <f>IFERROR(__xludf.DUMMYFUNCTION("""COMPUTED_VALUE"""),"Vegetables")</f>
        <v>Vegetables</v>
      </c>
      <c r="D2873">
        <f>IFERROR(__xludf.DUMMYFUNCTION("""COMPUTED_VALUE"""),82.0)</f>
        <v>82</v>
      </c>
      <c r="E2873">
        <f>IFERROR(__xludf.DUMMYFUNCTION("""COMPUTED_VALUE"""),1.73)</f>
        <v>1.73</v>
      </c>
      <c r="F2873">
        <f>IFERROR(__xludf.DUMMYFUNCTION("""COMPUTED_VALUE"""),1.72)</f>
        <v>1.72</v>
      </c>
      <c r="G2873">
        <f>IFERROR(__xludf.DUMMYFUNCTION("""COMPUTED_VALUE"""),17.78)</f>
        <v>17.78</v>
      </c>
    </row>
    <row r="2874">
      <c r="A2874">
        <f>IFERROR(__xludf.DUMMYFUNCTION("""COMPUTED_VALUE"""),788234.0)</f>
        <v>788234</v>
      </c>
      <c r="B2874" t="str">
        <f>IFERROR(__xludf.DUMMYFUNCTION("""COMPUTED_VALUE"""),"Corn White Cooked From Canned Ns As To Fat Added In Cooking")</f>
        <v>Corn White Cooked From Canned Ns As To Fat Added In Cooking</v>
      </c>
      <c r="C2874" t="str">
        <f>IFERROR(__xludf.DUMMYFUNCTION("""COMPUTED_VALUE"""),"Vegetables")</f>
        <v>Vegetables</v>
      </c>
      <c r="D2874">
        <f>IFERROR(__xludf.DUMMYFUNCTION("""COMPUTED_VALUE"""),87.0)</f>
        <v>87</v>
      </c>
      <c r="E2874">
        <f>IFERROR(__xludf.DUMMYFUNCTION("""COMPUTED_VALUE"""),3.36)</f>
        <v>3.36</v>
      </c>
      <c r="F2874">
        <f>IFERROR(__xludf.DUMMYFUNCTION("""COMPUTED_VALUE"""),2.27)</f>
        <v>2.27</v>
      </c>
      <c r="G2874">
        <f>IFERROR(__xludf.DUMMYFUNCTION("""COMPUTED_VALUE"""),14.61)</f>
        <v>14.61</v>
      </c>
    </row>
    <row r="2875">
      <c r="A2875">
        <f>IFERROR(__xludf.DUMMYFUNCTION("""COMPUTED_VALUE"""),788238.0)</f>
        <v>788238</v>
      </c>
      <c r="B2875" t="str">
        <f>IFERROR(__xludf.DUMMYFUNCTION("""COMPUTED_VALUE"""),"Corn White Cooked From Canned Fat Not Added In Cooking")</f>
        <v>Corn White Cooked From Canned Fat Not Added In Cooking</v>
      </c>
      <c r="C2875" t="str">
        <f>IFERROR(__xludf.DUMMYFUNCTION("""COMPUTED_VALUE"""),"Vegetables")</f>
        <v>Vegetables</v>
      </c>
      <c r="D2875">
        <f>IFERROR(__xludf.DUMMYFUNCTION("""COMPUTED_VALUE"""),71.0)</f>
        <v>71</v>
      </c>
      <c r="E2875">
        <f>IFERROR(__xludf.DUMMYFUNCTION("""COMPUTED_VALUE"""),1.37)</f>
        <v>1.37</v>
      </c>
      <c r="F2875">
        <f>IFERROR(__xludf.DUMMYFUNCTION("""COMPUTED_VALUE"""),2.31)</f>
        <v>2.31</v>
      </c>
      <c r="G2875">
        <f>IFERROR(__xludf.DUMMYFUNCTION("""COMPUTED_VALUE"""),15.02)</f>
        <v>15.02</v>
      </c>
    </row>
    <row r="2876">
      <c r="A2876">
        <f>IFERROR(__xludf.DUMMYFUNCTION("""COMPUTED_VALUE"""),788242.0)</f>
        <v>788242</v>
      </c>
      <c r="B2876" t="str">
        <f>IFERROR(__xludf.DUMMYFUNCTION("""COMPUTED_VALUE"""),"Corn White Cooked From Canned Fat Added In Cooking Ns As To Type Of Fat")</f>
        <v>Corn White Cooked From Canned Fat Added In Cooking Ns As To Type Of Fat</v>
      </c>
      <c r="C2876" t="str">
        <f>IFERROR(__xludf.DUMMYFUNCTION("""COMPUTED_VALUE"""),"Vegetables")</f>
        <v>Vegetables</v>
      </c>
      <c r="D2876">
        <f>IFERROR(__xludf.DUMMYFUNCTION("""COMPUTED_VALUE"""),87.0)</f>
        <v>87</v>
      </c>
      <c r="E2876">
        <f>IFERROR(__xludf.DUMMYFUNCTION("""COMPUTED_VALUE"""),3.36)</f>
        <v>3.36</v>
      </c>
      <c r="F2876">
        <f>IFERROR(__xludf.DUMMYFUNCTION("""COMPUTED_VALUE"""),2.27)</f>
        <v>2.27</v>
      </c>
      <c r="G2876">
        <f>IFERROR(__xludf.DUMMYFUNCTION("""COMPUTED_VALUE"""),14.61)</f>
        <v>14.61</v>
      </c>
    </row>
    <row r="2877">
      <c r="A2877">
        <f>IFERROR(__xludf.DUMMYFUNCTION("""COMPUTED_VALUE"""),788243.0)</f>
        <v>788243</v>
      </c>
      <c r="B2877" t="str">
        <f>IFERROR(__xludf.DUMMYFUNCTION("""COMPUTED_VALUE"""),"Corn White Cooked Ns As To Form Made With Oil")</f>
        <v>Corn White Cooked Ns As To Form Made With Oil</v>
      </c>
      <c r="C2877" t="str">
        <f>IFERROR(__xludf.DUMMYFUNCTION("""COMPUTED_VALUE"""),"Vegetables")</f>
        <v>Vegetables</v>
      </c>
      <c r="D2877">
        <f>IFERROR(__xludf.DUMMYFUNCTION("""COMPUTED_VALUE"""),101.0)</f>
        <v>101</v>
      </c>
      <c r="E2877">
        <f>IFERROR(__xludf.DUMMYFUNCTION("""COMPUTED_VALUE"""),3.1)</f>
        <v>3.1</v>
      </c>
      <c r="F2877">
        <f>IFERROR(__xludf.DUMMYFUNCTION("""COMPUTED_VALUE"""),2.66)</f>
        <v>2.66</v>
      </c>
      <c r="G2877">
        <f>IFERROR(__xludf.DUMMYFUNCTION("""COMPUTED_VALUE"""),18.92)</f>
        <v>18.92</v>
      </c>
    </row>
    <row r="2878">
      <c r="A2878">
        <f>IFERROR(__xludf.DUMMYFUNCTION("""COMPUTED_VALUE"""),788244.0)</f>
        <v>788244</v>
      </c>
      <c r="B2878" t="str">
        <f>IFERROR(__xludf.DUMMYFUNCTION("""COMPUTED_VALUE"""),"Corn White Cooked Ns As To Form Made With Butter")</f>
        <v>Corn White Cooked Ns As To Form Made With Butter</v>
      </c>
      <c r="C2878" t="str">
        <f>IFERROR(__xludf.DUMMYFUNCTION("""COMPUTED_VALUE"""),"Vegetables")</f>
        <v>Vegetables</v>
      </c>
      <c r="D2878">
        <f>IFERROR(__xludf.DUMMYFUNCTION("""COMPUTED_VALUE"""),97.0)</f>
        <v>97</v>
      </c>
      <c r="E2878">
        <f>IFERROR(__xludf.DUMMYFUNCTION("""COMPUTED_VALUE"""),2.68)</f>
        <v>2.68</v>
      </c>
      <c r="F2878">
        <f>IFERROR(__xludf.DUMMYFUNCTION("""COMPUTED_VALUE"""),2.68)</f>
        <v>2.68</v>
      </c>
      <c r="G2878">
        <f>IFERROR(__xludf.DUMMYFUNCTION("""COMPUTED_VALUE"""),18.9)</f>
        <v>18.9</v>
      </c>
    </row>
    <row r="2879">
      <c r="A2879">
        <f>IFERROR(__xludf.DUMMYFUNCTION("""COMPUTED_VALUE"""),788249.0)</f>
        <v>788249</v>
      </c>
      <c r="B2879" t="str">
        <f>IFERROR(__xludf.DUMMYFUNCTION("""COMPUTED_VALUE"""),"Corn White Cooked From Frozen Made With Oil")</f>
        <v>Corn White Cooked From Frozen Made With Oil</v>
      </c>
      <c r="C2879" t="str">
        <f>IFERROR(__xludf.DUMMYFUNCTION("""COMPUTED_VALUE"""),"Vegetables")</f>
        <v>Vegetables</v>
      </c>
      <c r="D2879">
        <f>IFERROR(__xludf.DUMMYFUNCTION("""COMPUTED_VALUE"""),101.0)</f>
        <v>101</v>
      </c>
      <c r="E2879">
        <f>IFERROR(__xludf.DUMMYFUNCTION("""COMPUTED_VALUE"""),3.1)</f>
        <v>3.1</v>
      </c>
      <c r="F2879">
        <f>IFERROR(__xludf.DUMMYFUNCTION("""COMPUTED_VALUE"""),2.66)</f>
        <v>2.66</v>
      </c>
      <c r="G2879">
        <f>IFERROR(__xludf.DUMMYFUNCTION("""COMPUTED_VALUE"""),18.92)</f>
        <v>18.92</v>
      </c>
    </row>
    <row r="2880">
      <c r="A2880">
        <f>IFERROR(__xludf.DUMMYFUNCTION("""COMPUTED_VALUE"""),788250.0)</f>
        <v>788250</v>
      </c>
      <c r="B2880" t="str">
        <f>IFERROR(__xludf.DUMMYFUNCTION("""COMPUTED_VALUE"""),"Corn White Cooked From Frozen Made With Butter")</f>
        <v>Corn White Cooked From Frozen Made With Butter</v>
      </c>
      <c r="C2880" t="str">
        <f>IFERROR(__xludf.DUMMYFUNCTION("""COMPUTED_VALUE"""),"Vegetables")</f>
        <v>Vegetables</v>
      </c>
      <c r="D2880">
        <f>IFERROR(__xludf.DUMMYFUNCTION("""COMPUTED_VALUE"""),97.0)</f>
        <v>97</v>
      </c>
      <c r="E2880">
        <f>IFERROR(__xludf.DUMMYFUNCTION("""COMPUTED_VALUE"""),2.68)</f>
        <v>2.68</v>
      </c>
      <c r="F2880">
        <f>IFERROR(__xludf.DUMMYFUNCTION("""COMPUTED_VALUE"""),2.68)</f>
        <v>2.68</v>
      </c>
      <c r="G2880">
        <f>IFERROR(__xludf.DUMMYFUNCTION("""COMPUTED_VALUE"""),18.9)</f>
        <v>18.9</v>
      </c>
    </row>
    <row r="2881">
      <c r="A2881">
        <f>IFERROR(__xludf.DUMMYFUNCTION("""COMPUTED_VALUE"""),788252.0)</f>
        <v>788252</v>
      </c>
      <c r="B2881" t="str">
        <f>IFERROR(__xludf.DUMMYFUNCTION("""COMPUTED_VALUE"""),"Corn White Cooked From Canned Made With Oil")</f>
        <v>Corn White Cooked From Canned Made With Oil</v>
      </c>
      <c r="C2881" t="str">
        <f>IFERROR(__xludf.DUMMYFUNCTION("""COMPUTED_VALUE"""),"Vegetables")</f>
        <v>Vegetables</v>
      </c>
      <c r="D2881">
        <f>IFERROR(__xludf.DUMMYFUNCTION("""COMPUTED_VALUE"""),93.0)</f>
        <v>93</v>
      </c>
      <c r="E2881">
        <f>IFERROR(__xludf.DUMMYFUNCTION("""COMPUTED_VALUE"""),4.02)</f>
        <v>4.02</v>
      </c>
      <c r="F2881">
        <f>IFERROR(__xludf.DUMMYFUNCTION("""COMPUTED_VALUE"""),2.25)</f>
        <v>2.25</v>
      </c>
      <c r="G2881">
        <f>IFERROR(__xludf.DUMMYFUNCTION("""COMPUTED_VALUE"""),14.62)</f>
        <v>14.62</v>
      </c>
    </row>
    <row r="2882">
      <c r="A2882">
        <f>IFERROR(__xludf.DUMMYFUNCTION("""COMPUTED_VALUE"""),788253.0)</f>
        <v>788253</v>
      </c>
      <c r="B2882" t="str">
        <f>IFERROR(__xludf.DUMMYFUNCTION("""COMPUTED_VALUE"""),"Corn White Cooked From Canned Made With Butter")</f>
        <v>Corn White Cooked From Canned Made With Butter</v>
      </c>
      <c r="C2882" t="str">
        <f>IFERROR(__xludf.DUMMYFUNCTION("""COMPUTED_VALUE"""),"Vegetables")</f>
        <v>Vegetables</v>
      </c>
      <c r="D2882">
        <f>IFERROR(__xludf.DUMMYFUNCTION("""COMPUTED_VALUE"""),89.0)</f>
        <v>89</v>
      </c>
      <c r="E2882">
        <f>IFERROR(__xludf.DUMMYFUNCTION("""COMPUTED_VALUE"""),3.6)</f>
        <v>3.6</v>
      </c>
      <c r="F2882">
        <f>IFERROR(__xludf.DUMMYFUNCTION("""COMPUTED_VALUE"""),2.27)</f>
        <v>2.27</v>
      </c>
      <c r="G2882">
        <f>IFERROR(__xludf.DUMMYFUNCTION("""COMPUTED_VALUE"""),14.6)</f>
        <v>14.6</v>
      </c>
    </row>
    <row r="2883">
      <c r="A2883">
        <f>IFERROR(__xludf.DUMMYFUNCTION("""COMPUTED_VALUE"""),788254.0)</f>
        <v>788254</v>
      </c>
      <c r="B2883" t="str">
        <f>IFERROR(__xludf.DUMMYFUNCTION("""COMPUTED_VALUE"""),"Corn White Cooked From Canned Made With Margarine")</f>
        <v>Corn White Cooked From Canned Made With Margarine</v>
      </c>
      <c r="C2883" t="str">
        <f>IFERROR(__xludf.DUMMYFUNCTION("""COMPUTED_VALUE"""),"Vegetables")</f>
        <v>Vegetables</v>
      </c>
      <c r="D2883">
        <f>IFERROR(__xludf.DUMMYFUNCTION("""COMPUTED_VALUE"""),84.0)</f>
        <v>84</v>
      </c>
      <c r="E2883">
        <f>IFERROR(__xludf.DUMMYFUNCTION("""COMPUTED_VALUE"""),3.02)</f>
        <v>3.02</v>
      </c>
      <c r="F2883">
        <f>IFERROR(__xludf.DUMMYFUNCTION("""COMPUTED_VALUE"""),2.25)</f>
        <v>2.25</v>
      </c>
      <c r="G2883">
        <f>IFERROR(__xludf.DUMMYFUNCTION("""COMPUTED_VALUE"""),14.62)</f>
        <v>14.62</v>
      </c>
    </row>
    <row r="2884">
      <c r="A2884">
        <f>IFERROR(__xludf.DUMMYFUNCTION("""COMPUTED_VALUE"""),788255.0)</f>
        <v>788255</v>
      </c>
      <c r="B2884" t="str">
        <f>IFERROR(__xludf.DUMMYFUNCTION("""COMPUTED_VALUE"""),"Corn White Ns As To Form Cream Style")</f>
        <v>Corn White Ns As To Form Cream Style</v>
      </c>
      <c r="C2884" t="str">
        <f>IFERROR(__xludf.DUMMYFUNCTION("""COMPUTED_VALUE"""),"Vegetables")</f>
        <v>Vegetables</v>
      </c>
      <c r="D2884">
        <f>IFERROR(__xludf.DUMMYFUNCTION("""COMPUTED_VALUE"""),74.0)</f>
        <v>74</v>
      </c>
      <c r="E2884">
        <f>IFERROR(__xludf.DUMMYFUNCTION("""COMPUTED_VALUE"""),0.42)</f>
        <v>0.42</v>
      </c>
      <c r="F2884">
        <f>IFERROR(__xludf.DUMMYFUNCTION("""COMPUTED_VALUE"""),1.73)</f>
        <v>1.73</v>
      </c>
      <c r="G2884">
        <f>IFERROR(__xludf.DUMMYFUNCTION("""COMPUTED_VALUE"""),18.55)</f>
        <v>18.55</v>
      </c>
    </row>
    <row r="2885">
      <c r="A2885">
        <f>IFERROR(__xludf.DUMMYFUNCTION("""COMPUTED_VALUE"""),788256.0)</f>
        <v>788256</v>
      </c>
      <c r="B2885" t="str">
        <f>IFERROR(__xludf.DUMMYFUNCTION("""COMPUTED_VALUE"""),"Corn White From Canned Cream Style")</f>
        <v>Corn White From Canned Cream Style</v>
      </c>
      <c r="C2885" t="str">
        <f>IFERROR(__xludf.DUMMYFUNCTION("""COMPUTED_VALUE"""),"Vegetables")</f>
        <v>Vegetables</v>
      </c>
      <c r="D2885">
        <f>IFERROR(__xludf.DUMMYFUNCTION("""COMPUTED_VALUE"""),74.0)</f>
        <v>74</v>
      </c>
      <c r="E2885">
        <f>IFERROR(__xludf.DUMMYFUNCTION("""COMPUTED_VALUE"""),0.42)</f>
        <v>0.42</v>
      </c>
      <c r="F2885">
        <f>IFERROR(__xludf.DUMMYFUNCTION("""COMPUTED_VALUE"""),1.74)</f>
        <v>1.74</v>
      </c>
      <c r="G2885">
        <f>IFERROR(__xludf.DUMMYFUNCTION("""COMPUTED_VALUE"""),18.59)</f>
        <v>18.59</v>
      </c>
    </row>
    <row r="2886">
      <c r="A2886">
        <f>IFERROR(__xludf.DUMMYFUNCTION("""COMPUTED_VALUE"""),788257.0)</f>
        <v>788257</v>
      </c>
      <c r="B2886" t="str">
        <f>IFERROR(__xludf.DUMMYFUNCTION("""COMPUTED_VALUE"""),"Corn Yellow Canned Low Sodium Ns As To Fat Added In Cooking")</f>
        <v>Corn Yellow Canned Low Sodium Ns As To Fat Added In Cooking</v>
      </c>
      <c r="C2886" t="str">
        <f>IFERROR(__xludf.DUMMYFUNCTION("""COMPUTED_VALUE"""),"Vegetables")</f>
        <v>Vegetables</v>
      </c>
      <c r="D2886">
        <f>IFERROR(__xludf.DUMMYFUNCTION("""COMPUTED_VALUE"""),113.0)</f>
        <v>113</v>
      </c>
      <c r="E2886">
        <f>IFERROR(__xludf.DUMMYFUNCTION("""COMPUTED_VALUE"""),4.01)</f>
        <v>4.01</v>
      </c>
      <c r="F2886">
        <f>IFERROR(__xludf.DUMMYFUNCTION("""COMPUTED_VALUE"""),2.81)</f>
        <v>2.81</v>
      </c>
      <c r="G2886">
        <f>IFERROR(__xludf.DUMMYFUNCTION("""COMPUTED_VALUE"""),19.84)</f>
        <v>19.84</v>
      </c>
    </row>
    <row r="2887">
      <c r="A2887">
        <f>IFERROR(__xludf.DUMMYFUNCTION("""COMPUTED_VALUE"""),788259.0)</f>
        <v>788259</v>
      </c>
      <c r="B2887" t="str">
        <f>IFERROR(__xludf.DUMMYFUNCTION("""COMPUTED_VALUE"""),"Corn Yellow Canned Low Sodium Fat Added In Cooking Ns As To Type Of Fat")</f>
        <v>Corn Yellow Canned Low Sodium Fat Added In Cooking Ns As To Type Of Fat</v>
      </c>
      <c r="C2887" t="str">
        <f>IFERROR(__xludf.DUMMYFUNCTION("""COMPUTED_VALUE"""),"Vegetables")</f>
        <v>Vegetables</v>
      </c>
      <c r="D2887">
        <f>IFERROR(__xludf.DUMMYFUNCTION("""COMPUTED_VALUE"""),113.0)</f>
        <v>113</v>
      </c>
      <c r="E2887">
        <f>IFERROR(__xludf.DUMMYFUNCTION("""COMPUTED_VALUE"""),4.01)</f>
        <v>4.01</v>
      </c>
      <c r="F2887">
        <f>IFERROR(__xludf.DUMMYFUNCTION("""COMPUTED_VALUE"""),2.81)</f>
        <v>2.81</v>
      </c>
      <c r="G2887">
        <f>IFERROR(__xludf.DUMMYFUNCTION("""COMPUTED_VALUE"""),19.84)</f>
        <v>19.84</v>
      </c>
    </row>
    <row r="2888">
      <c r="A2888">
        <f>IFERROR(__xludf.DUMMYFUNCTION("""COMPUTED_VALUE"""),788260.0)</f>
        <v>788260</v>
      </c>
      <c r="B2888" t="str">
        <f>IFERROR(__xludf.DUMMYFUNCTION("""COMPUTED_VALUE"""),"Corn Yellow Canned Low Sodium Made With Oil")</f>
        <v>Corn Yellow Canned Low Sodium Made With Oil</v>
      </c>
      <c r="C2888" t="str">
        <f>IFERROR(__xludf.DUMMYFUNCTION("""COMPUTED_VALUE"""),"Vegetables")</f>
        <v>Vegetables</v>
      </c>
      <c r="D2888">
        <f>IFERROR(__xludf.DUMMYFUNCTION("""COMPUTED_VALUE"""),121.0)</f>
        <v>121</v>
      </c>
      <c r="E2888">
        <f>IFERROR(__xludf.DUMMYFUNCTION("""COMPUTED_VALUE"""),4.95)</f>
        <v>4.95</v>
      </c>
      <c r="F2888">
        <f>IFERROR(__xludf.DUMMYFUNCTION("""COMPUTED_VALUE"""),2.79)</f>
        <v>2.79</v>
      </c>
      <c r="G2888">
        <f>IFERROR(__xludf.DUMMYFUNCTION("""COMPUTED_VALUE"""),19.85)</f>
        <v>19.85</v>
      </c>
    </row>
    <row r="2889">
      <c r="A2889">
        <f>IFERROR(__xludf.DUMMYFUNCTION("""COMPUTED_VALUE"""),788261.0)</f>
        <v>788261</v>
      </c>
      <c r="B2889" t="str">
        <f>IFERROR(__xludf.DUMMYFUNCTION("""COMPUTED_VALUE"""),"Corn Yellow Canned Low Sodium Made With Butter")</f>
        <v>Corn Yellow Canned Low Sodium Made With Butter</v>
      </c>
      <c r="C2889" t="str">
        <f>IFERROR(__xludf.DUMMYFUNCTION("""COMPUTED_VALUE"""),"Vegetables")</f>
        <v>Vegetables</v>
      </c>
      <c r="D2889">
        <f>IFERROR(__xludf.DUMMYFUNCTION("""COMPUTED_VALUE"""),116.0)</f>
        <v>116</v>
      </c>
      <c r="E2889">
        <f>IFERROR(__xludf.DUMMYFUNCTION("""COMPUTED_VALUE"""),4.35)</f>
        <v>4.35</v>
      </c>
      <c r="F2889">
        <f>IFERROR(__xludf.DUMMYFUNCTION("""COMPUTED_VALUE"""),2.82)</f>
        <v>2.82</v>
      </c>
      <c r="G2889">
        <f>IFERROR(__xludf.DUMMYFUNCTION("""COMPUTED_VALUE"""),19.83)</f>
        <v>19.83</v>
      </c>
    </row>
    <row r="2890">
      <c r="A2890">
        <f>IFERROR(__xludf.DUMMYFUNCTION("""COMPUTED_VALUE"""),788262.0)</f>
        <v>788262</v>
      </c>
      <c r="B2890" t="str">
        <f>IFERROR(__xludf.DUMMYFUNCTION("""COMPUTED_VALUE"""),"Corn Yellow Canned Low Sodium Made With Margarine")</f>
        <v>Corn Yellow Canned Low Sodium Made With Margarine</v>
      </c>
      <c r="C2890" t="str">
        <f>IFERROR(__xludf.DUMMYFUNCTION("""COMPUTED_VALUE"""),"Vegetables")</f>
        <v>Vegetables</v>
      </c>
      <c r="D2890">
        <f>IFERROR(__xludf.DUMMYFUNCTION("""COMPUTED_VALUE"""),109.0)</f>
        <v>109</v>
      </c>
      <c r="E2890">
        <f>IFERROR(__xludf.DUMMYFUNCTION("""COMPUTED_VALUE"""),3.52)</f>
        <v>3.52</v>
      </c>
      <c r="F2890">
        <f>IFERROR(__xludf.DUMMYFUNCTION("""COMPUTED_VALUE"""),2.8)</f>
        <v>2.8</v>
      </c>
      <c r="G2890">
        <f>IFERROR(__xludf.DUMMYFUNCTION("""COMPUTED_VALUE"""),19.86)</f>
        <v>19.86</v>
      </c>
    </row>
    <row r="2891">
      <c r="A2891">
        <f>IFERROR(__xludf.DUMMYFUNCTION("""COMPUTED_VALUE"""),788263.0)</f>
        <v>788263</v>
      </c>
      <c r="B2891" t="str">
        <f>IFERROR(__xludf.DUMMYFUNCTION("""COMPUTED_VALUE"""),"Cucumber Cooked Ns As To Fat Added In Cooking")</f>
        <v>Cucumber Cooked Ns As To Fat Added In Cooking</v>
      </c>
      <c r="C2891" t="str">
        <f>IFERROR(__xludf.DUMMYFUNCTION("""COMPUTED_VALUE"""),"Vegetables")</f>
        <v>Vegetables</v>
      </c>
      <c r="D2891">
        <f>IFERROR(__xludf.DUMMYFUNCTION("""COMPUTED_VALUE"""),42.0)</f>
        <v>42</v>
      </c>
      <c r="E2891">
        <f>IFERROR(__xludf.DUMMYFUNCTION("""COMPUTED_VALUE"""),2.89)</f>
        <v>2.89</v>
      </c>
      <c r="F2891">
        <f>IFERROR(__xludf.DUMMYFUNCTION("""COMPUTED_VALUE"""),0.8)</f>
        <v>0.8</v>
      </c>
      <c r="G2891">
        <f>IFERROR(__xludf.DUMMYFUNCTION("""COMPUTED_VALUE"""),4.33)</f>
        <v>4.33</v>
      </c>
    </row>
    <row r="2892">
      <c r="A2892">
        <f>IFERROR(__xludf.DUMMYFUNCTION("""COMPUTED_VALUE"""),788264.0)</f>
        <v>788264</v>
      </c>
      <c r="B2892" t="str">
        <f>IFERROR(__xludf.DUMMYFUNCTION("""COMPUTED_VALUE"""),"Cucumber Cooked Fat Not Added In Cooking")</f>
        <v>Cucumber Cooked Fat Not Added In Cooking</v>
      </c>
      <c r="C2892" t="str">
        <f>IFERROR(__xludf.DUMMYFUNCTION("""COMPUTED_VALUE"""),"Vegetables")</f>
        <v>Vegetables</v>
      </c>
      <c r="D2892">
        <f>IFERROR(__xludf.DUMMYFUNCTION("""COMPUTED_VALUE"""),18.0)</f>
        <v>18</v>
      </c>
      <c r="E2892">
        <f>IFERROR(__xludf.DUMMYFUNCTION("""COMPUTED_VALUE"""),0.14)</f>
        <v>0.14</v>
      </c>
      <c r="F2892">
        <f>IFERROR(__xludf.DUMMYFUNCTION("""COMPUTED_VALUE"""),0.8)</f>
        <v>0.8</v>
      </c>
      <c r="G2892">
        <f>IFERROR(__xludf.DUMMYFUNCTION("""COMPUTED_VALUE"""),4.46)</f>
        <v>4.46</v>
      </c>
    </row>
    <row r="2893">
      <c r="A2893">
        <f>IFERROR(__xludf.DUMMYFUNCTION("""COMPUTED_VALUE"""),788265.0)</f>
        <v>788265</v>
      </c>
      <c r="B2893" t="str">
        <f>IFERROR(__xludf.DUMMYFUNCTION("""COMPUTED_VALUE"""),"Cucumber Cooked Fat Added In Cooking Ns As To Type Of Fat")</f>
        <v>Cucumber Cooked Fat Added In Cooking Ns As To Type Of Fat</v>
      </c>
      <c r="C2893" t="str">
        <f>IFERROR(__xludf.DUMMYFUNCTION("""COMPUTED_VALUE"""),"Vegetables")</f>
        <v>Vegetables</v>
      </c>
      <c r="D2893">
        <f>IFERROR(__xludf.DUMMYFUNCTION("""COMPUTED_VALUE"""),42.0)</f>
        <v>42</v>
      </c>
      <c r="E2893">
        <f>IFERROR(__xludf.DUMMYFUNCTION("""COMPUTED_VALUE"""),2.89)</f>
        <v>2.89</v>
      </c>
      <c r="F2893">
        <f>IFERROR(__xludf.DUMMYFUNCTION("""COMPUTED_VALUE"""),0.8)</f>
        <v>0.8</v>
      </c>
      <c r="G2893">
        <f>IFERROR(__xludf.DUMMYFUNCTION("""COMPUTED_VALUE"""),4.33)</f>
        <v>4.33</v>
      </c>
    </row>
    <row r="2894">
      <c r="A2894">
        <f>IFERROR(__xludf.DUMMYFUNCTION("""COMPUTED_VALUE"""),788266.0)</f>
        <v>788266</v>
      </c>
      <c r="B2894" t="str">
        <f>IFERROR(__xludf.DUMMYFUNCTION("""COMPUTED_VALUE"""),"Cucumber Cooked Made With Oil")</f>
        <v>Cucumber Cooked Made With Oil</v>
      </c>
      <c r="C2894" t="str">
        <f>IFERROR(__xludf.DUMMYFUNCTION("""COMPUTED_VALUE"""),"Vegetables")</f>
        <v>Vegetables</v>
      </c>
      <c r="D2894">
        <f>IFERROR(__xludf.DUMMYFUNCTION("""COMPUTED_VALUE"""),52.0)</f>
        <v>52</v>
      </c>
      <c r="E2894">
        <f>IFERROR(__xludf.DUMMYFUNCTION("""COMPUTED_VALUE"""),3.94)</f>
        <v>3.94</v>
      </c>
      <c r="F2894">
        <f>IFERROR(__xludf.DUMMYFUNCTION("""COMPUTED_VALUE"""),0.77)</f>
        <v>0.77</v>
      </c>
      <c r="G2894">
        <f>IFERROR(__xludf.DUMMYFUNCTION("""COMPUTED_VALUE"""),4.32)</f>
        <v>4.32</v>
      </c>
    </row>
    <row r="2895">
      <c r="A2895">
        <f>IFERROR(__xludf.DUMMYFUNCTION("""COMPUTED_VALUE"""),788267.0)</f>
        <v>788267</v>
      </c>
      <c r="B2895" t="str">
        <f>IFERROR(__xludf.DUMMYFUNCTION("""COMPUTED_VALUE"""),"Cucumber Cooked Made With Butter")</f>
        <v>Cucumber Cooked Made With Butter</v>
      </c>
      <c r="C2895" t="str">
        <f>IFERROR(__xludf.DUMMYFUNCTION("""COMPUTED_VALUE"""),"Vegetables")</f>
        <v>Vegetables</v>
      </c>
      <c r="D2895">
        <f>IFERROR(__xludf.DUMMYFUNCTION("""COMPUTED_VALUE"""),45.0)</f>
        <v>45</v>
      </c>
      <c r="E2895">
        <f>IFERROR(__xludf.DUMMYFUNCTION("""COMPUTED_VALUE"""),3.22)</f>
        <v>3.22</v>
      </c>
      <c r="F2895">
        <f>IFERROR(__xludf.DUMMYFUNCTION("""COMPUTED_VALUE"""),0.8)</f>
        <v>0.8</v>
      </c>
      <c r="G2895">
        <f>IFERROR(__xludf.DUMMYFUNCTION("""COMPUTED_VALUE"""),4.32)</f>
        <v>4.32</v>
      </c>
    </row>
    <row r="2896">
      <c r="A2896">
        <f>IFERROR(__xludf.DUMMYFUNCTION("""COMPUTED_VALUE"""),788268.0)</f>
        <v>788268</v>
      </c>
      <c r="B2896" t="str">
        <f>IFERROR(__xludf.DUMMYFUNCTION("""COMPUTED_VALUE"""),"Cucumber Cooked Made With Margarine")</f>
        <v>Cucumber Cooked Made With Margarine</v>
      </c>
      <c r="C2896" t="str">
        <f>IFERROR(__xludf.DUMMYFUNCTION("""COMPUTED_VALUE"""),"Vegetables")</f>
        <v>Vegetables</v>
      </c>
      <c r="D2896">
        <f>IFERROR(__xludf.DUMMYFUNCTION("""COMPUTED_VALUE"""),38.0)</f>
        <v>38</v>
      </c>
      <c r="E2896">
        <f>IFERROR(__xludf.DUMMYFUNCTION("""COMPUTED_VALUE"""),2.41)</f>
        <v>2.41</v>
      </c>
      <c r="F2896">
        <f>IFERROR(__xludf.DUMMYFUNCTION("""COMPUTED_VALUE"""),0.78)</f>
        <v>0.78</v>
      </c>
      <c r="G2896">
        <f>IFERROR(__xludf.DUMMYFUNCTION("""COMPUTED_VALUE"""),4.35)</f>
        <v>4.35</v>
      </c>
    </row>
    <row r="2897">
      <c r="A2897">
        <f>IFERROR(__xludf.DUMMYFUNCTION("""COMPUTED_VALUE"""),788269.0)</f>
        <v>788269</v>
      </c>
      <c r="B2897" t="str">
        <f>IFERROR(__xludf.DUMMYFUNCTION("""COMPUTED_VALUE"""),"Eggplant Cooked Ns As To Fat Added In Cooking")</f>
        <v>Eggplant Cooked Ns As To Fat Added In Cooking</v>
      </c>
      <c r="C2897" t="str">
        <f>IFERROR(__xludf.DUMMYFUNCTION("""COMPUTED_VALUE"""),"Vegetables")</f>
        <v>Vegetables</v>
      </c>
      <c r="D2897">
        <f>IFERROR(__xludf.DUMMYFUNCTION("""COMPUTED_VALUE"""),63.0)</f>
        <v>63</v>
      </c>
      <c r="E2897">
        <f>IFERROR(__xludf.DUMMYFUNCTION("""COMPUTED_VALUE"""),3.59)</f>
        <v>3.59</v>
      </c>
      <c r="F2897">
        <f>IFERROR(__xludf.DUMMYFUNCTION("""COMPUTED_VALUE"""),0.81)</f>
        <v>0.81</v>
      </c>
      <c r="G2897">
        <f>IFERROR(__xludf.DUMMYFUNCTION("""COMPUTED_VALUE"""),8.26)</f>
        <v>8.26</v>
      </c>
    </row>
    <row r="2898">
      <c r="A2898">
        <f>IFERROR(__xludf.DUMMYFUNCTION("""COMPUTED_VALUE"""),788270.0)</f>
        <v>788270</v>
      </c>
      <c r="B2898" t="str">
        <f>IFERROR(__xludf.DUMMYFUNCTION("""COMPUTED_VALUE"""),"Eggplant Cooked Fat Not Added In Cooking")</f>
        <v>Eggplant Cooked Fat Not Added In Cooking</v>
      </c>
      <c r="C2898" t="str">
        <f>IFERROR(__xludf.DUMMYFUNCTION("""COMPUTED_VALUE"""),"Vegetables")</f>
        <v>Vegetables</v>
      </c>
      <c r="D2898">
        <f>IFERROR(__xludf.DUMMYFUNCTION("""COMPUTED_VALUE"""),35.0)</f>
        <v>35</v>
      </c>
      <c r="E2898">
        <f>IFERROR(__xludf.DUMMYFUNCTION("""COMPUTED_VALUE"""),0.23)</f>
        <v>0.23</v>
      </c>
      <c r="F2898">
        <f>IFERROR(__xludf.DUMMYFUNCTION("""COMPUTED_VALUE"""),0.82)</f>
        <v>0.82</v>
      </c>
      <c r="G2898">
        <f>IFERROR(__xludf.DUMMYFUNCTION("""COMPUTED_VALUE"""),8.64)</f>
        <v>8.64</v>
      </c>
    </row>
    <row r="2899">
      <c r="A2899">
        <f>IFERROR(__xludf.DUMMYFUNCTION("""COMPUTED_VALUE"""),788271.0)</f>
        <v>788271</v>
      </c>
      <c r="B2899" t="str">
        <f>IFERROR(__xludf.DUMMYFUNCTION("""COMPUTED_VALUE"""),"Eggplant Cooked Fat Added In Cooking Ns As To Type Of Fat")</f>
        <v>Eggplant Cooked Fat Added In Cooking Ns As To Type Of Fat</v>
      </c>
      <c r="C2899" t="str">
        <f>IFERROR(__xludf.DUMMYFUNCTION("""COMPUTED_VALUE"""),"Vegetables")</f>
        <v>Vegetables</v>
      </c>
      <c r="D2899">
        <f>IFERROR(__xludf.DUMMYFUNCTION("""COMPUTED_VALUE"""),63.0)</f>
        <v>63</v>
      </c>
      <c r="E2899">
        <f>IFERROR(__xludf.DUMMYFUNCTION("""COMPUTED_VALUE"""),3.59)</f>
        <v>3.59</v>
      </c>
      <c r="F2899">
        <f>IFERROR(__xludf.DUMMYFUNCTION("""COMPUTED_VALUE"""),0.81)</f>
        <v>0.81</v>
      </c>
      <c r="G2899">
        <f>IFERROR(__xludf.DUMMYFUNCTION("""COMPUTED_VALUE"""),8.26)</f>
        <v>8.26</v>
      </c>
    </row>
    <row r="2900">
      <c r="A2900">
        <f>IFERROR(__xludf.DUMMYFUNCTION("""COMPUTED_VALUE"""),788272.0)</f>
        <v>788272</v>
      </c>
      <c r="B2900" t="str">
        <f>IFERROR(__xludf.DUMMYFUNCTION("""COMPUTED_VALUE"""),"Eggplant Cooked Made With Oil")</f>
        <v>Eggplant Cooked Made With Oil</v>
      </c>
      <c r="C2900" t="str">
        <f>IFERROR(__xludf.DUMMYFUNCTION("""COMPUTED_VALUE"""),"Vegetables")</f>
        <v>Vegetables</v>
      </c>
      <c r="D2900">
        <f>IFERROR(__xludf.DUMMYFUNCTION("""COMPUTED_VALUE"""),73.0)</f>
        <v>73</v>
      </c>
      <c r="E2900">
        <f>IFERROR(__xludf.DUMMYFUNCTION("""COMPUTED_VALUE"""),4.69)</f>
        <v>4.69</v>
      </c>
      <c r="F2900">
        <f>IFERROR(__xludf.DUMMYFUNCTION("""COMPUTED_VALUE"""),0.78)</f>
        <v>0.78</v>
      </c>
      <c r="G2900">
        <f>IFERROR(__xludf.DUMMYFUNCTION("""COMPUTED_VALUE"""),8.25)</f>
        <v>8.25</v>
      </c>
    </row>
    <row r="2901">
      <c r="A2901">
        <f>IFERROR(__xludf.DUMMYFUNCTION("""COMPUTED_VALUE"""),788273.0)</f>
        <v>788273</v>
      </c>
      <c r="B2901" t="str">
        <f>IFERROR(__xludf.DUMMYFUNCTION("""COMPUTED_VALUE"""),"Eggplant Cooked Made With Butter")</f>
        <v>Eggplant Cooked Made With Butter</v>
      </c>
      <c r="C2901" t="str">
        <f>IFERROR(__xludf.DUMMYFUNCTION("""COMPUTED_VALUE"""),"Vegetables")</f>
        <v>Vegetables</v>
      </c>
      <c r="D2901">
        <f>IFERROR(__xludf.DUMMYFUNCTION("""COMPUTED_VALUE"""),66.0)</f>
        <v>66</v>
      </c>
      <c r="E2901">
        <f>IFERROR(__xludf.DUMMYFUNCTION("""COMPUTED_VALUE"""),3.99)</f>
        <v>3.99</v>
      </c>
      <c r="F2901">
        <f>IFERROR(__xludf.DUMMYFUNCTION("""COMPUTED_VALUE"""),0.82)</f>
        <v>0.82</v>
      </c>
      <c r="G2901">
        <f>IFERROR(__xludf.DUMMYFUNCTION("""COMPUTED_VALUE"""),8.24)</f>
        <v>8.24</v>
      </c>
    </row>
    <row r="2902">
      <c r="A2902">
        <f>IFERROR(__xludf.DUMMYFUNCTION("""COMPUTED_VALUE"""),788274.0)</f>
        <v>788274</v>
      </c>
      <c r="B2902" t="str">
        <f>IFERROR(__xludf.DUMMYFUNCTION("""COMPUTED_VALUE"""),"Eggplant Cooked Made With Margarine")</f>
        <v>Eggplant Cooked Made With Margarine</v>
      </c>
      <c r="C2902" t="str">
        <f>IFERROR(__xludf.DUMMYFUNCTION("""COMPUTED_VALUE"""),"Vegetables")</f>
        <v>Vegetables</v>
      </c>
      <c r="D2902">
        <f>IFERROR(__xludf.DUMMYFUNCTION("""COMPUTED_VALUE"""),58.0)</f>
        <v>58</v>
      </c>
      <c r="E2902">
        <f>IFERROR(__xludf.DUMMYFUNCTION("""COMPUTED_VALUE"""),3.02)</f>
        <v>3.02</v>
      </c>
      <c r="F2902">
        <f>IFERROR(__xludf.DUMMYFUNCTION("""COMPUTED_VALUE"""),0.79)</f>
        <v>0.79</v>
      </c>
      <c r="G2902">
        <f>IFERROR(__xludf.DUMMYFUNCTION("""COMPUTED_VALUE"""),8.28)</f>
        <v>8.28</v>
      </c>
    </row>
    <row r="2903">
      <c r="A2903">
        <f>IFERROR(__xludf.DUMMYFUNCTION("""COMPUTED_VALUE"""),788275.0)</f>
        <v>788275</v>
      </c>
      <c r="B2903" t="str">
        <f>IFERROR(__xludf.DUMMYFUNCTION("""COMPUTED_VALUE"""),"Flowers Or Blossoms Of Sesbania Squash Or Lily Ns As To Fat Added In Cooking")</f>
        <v>Flowers Or Blossoms Of Sesbania Squash Or Lily Ns As To Fat Added In Cooking</v>
      </c>
      <c r="C2903" t="str">
        <f>IFERROR(__xludf.DUMMYFUNCTION("""COMPUTED_VALUE"""),"Vegetables")</f>
        <v>Vegetables</v>
      </c>
      <c r="D2903">
        <f>IFERROR(__xludf.DUMMYFUNCTION("""COMPUTED_VALUE"""),36.0)</f>
        <v>36</v>
      </c>
      <c r="E2903">
        <f>IFERROR(__xludf.DUMMYFUNCTION("""COMPUTED_VALUE"""),2.53)</f>
        <v>2.53</v>
      </c>
      <c r="F2903">
        <f>IFERROR(__xludf.DUMMYFUNCTION("""COMPUTED_VALUE"""),1.06)</f>
        <v>1.06</v>
      </c>
      <c r="G2903">
        <f>IFERROR(__xludf.DUMMYFUNCTION("""COMPUTED_VALUE"""),3.18)</f>
        <v>3.18</v>
      </c>
    </row>
    <row r="2904">
      <c r="A2904">
        <f>IFERROR(__xludf.DUMMYFUNCTION("""COMPUTED_VALUE"""),788276.0)</f>
        <v>788276</v>
      </c>
      <c r="B2904" t="str">
        <f>IFERROR(__xludf.DUMMYFUNCTION("""COMPUTED_VALUE"""),"Flowers Or Blossoms Of Sesbania Squash Or Lily Fat Not Added In Cooking")</f>
        <v>Flowers Or Blossoms Of Sesbania Squash Or Lily Fat Not Added In Cooking</v>
      </c>
      <c r="C2904" t="str">
        <f>IFERROR(__xludf.DUMMYFUNCTION("""COMPUTED_VALUE"""),"Vegetables")</f>
        <v>Vegetables</v>
      </c>
      <c r="D2904">
        <f>IFERROR(__xludf.DUMMYFUNCTION("""COMPUTED_VALUE"""),15.0)</f>
        <v>15</v>
      </c>
      <c r="E2904">
        <f>IFERROR(__xludf.DUMMYFUNCTION("""COMPUTED_VALUE"""),0.08)</f>
        <v>0.08</v>
      </c>
      <c r="F2904">
        <f>IFERROR(__xludf.DUMMYFUNCTION("""COMPUTED_VALUE"""),1.08)</f>
        <v>1.08</v>
      </c>
      <c r="G2904">
        <f>IFERROR(__xludf.DUMMYFUNCTION("""COMPUTED_VALUE"""),3.28)</f>
        <v>3.28</v>
      </c>
    </row>
    <row r="2905">
      <c r="A2905">
        <f>IFERROR(__xludf.DUMMYFUNCTION("""COMPUTED_VALUE"""),788277.0)</f>
        <v>788277</v>
      </c>
      <c r="B2905" t="str">
        <f>IFERROR(__xludf.DUMMYFUNCTION("""COMPUTED_VALUE"""),"Flowers Or Blossoms Of Sesbania Squash Or Lily Fat Added In Cooking")</f>
        <v>Flowers Or Blossoms Of Sesbania Squash Or Lily Fat Added In Cooking</v>
      </c>
      <c r="C2905" t="str">
        <f>IFERROR(__xludf.DUMMYFUNCTION("""COMPUTED_VALUE"""),"Vegetables")</f>
        <v>Vegetables</v>
      </c>
      <c r="D2905">
        <f>IFERROR(__xludf.DUMMYFUNCTION("""COMPUTED_VALUE"""),36.0)</f>
        <v>36</v>
      </c>
      <c r="E2905">
        <f>IFERROR(__xludf.DUMMYFUNCTION("""COMPUTED_VALUE"""),2.53)</f>
        <v>2.53</v>
      </c>
      <c r="F2905">
        <f>IFERROR(__xludf.DUMMYFUNCTION("""COMPUTED_VALUE"""),1.06)</f>
        <v>1.06</v>
      </c>
      <c r="G2905">
        <f>IFERROR(__xludf.DUMMYFUNCTION("""COMPUTED_VALUE"""),3.18)</f>
        <v>3.18</v>
      </c>
    </row>
    <row r="2906">
      <c r="A2906">
        <f>IFERROR(__xludf.DUMMYFUNCTION("""COMPUTED_VALUE"""),788282.0)</f>
        <v>788282</v>
      </c>
      <c r="B2906" t="str">
        <f>IFERROR(__xludf.DUMMYFUNCTION("""COMPUTED_VALUE"""),"Kohlrabi Cooked Ns As To Fat Added In Cooking")</f>
        <v>Kohlrabi Cooked Ns As To Fat Added In Cooking</v>
      </c>
      <c r="C2906" t="str">
        <f>IFERROR(__xludf.DUMMYFUNCTION("""COMPUTED_VALUE"""),"Vegetables")</f>
        <v>Vegetables</v>
      </c>
      <c r="D2906">
        <f>IFERROR(__xludf.DUMMYFUNCTION("""COMPUTED_VALUE"""),46.0)</f>
        <v>46</v>
      </c>
      <c r="E2906">
        <f>IFERROR(__xludf.DUMMYFUNCTION("""COMPUTED_VALUE"""),2.12)</f>
        <v>2.12</v>
      </c>
      <c r="F2906">
        <f>IFERROR(__xludf.DUMMYFUNCTION("""COMPUTED_VALUE"""),1.76)</f>
        <v>1.76</v>
      </c>
      <c r="G2906">
        <f>IFERROR(__xludf.DUMMYFUNCTION("""COMPUTED_VALUE"""),6.48)</f>
        <v>6.48</v>
      </c>
    </row>
    <row r="2907">
      <c r="A2907">
        <f>IFERROR(__xludf.DUMMYFUNCTION("""COMPUTED_VALUE"""),788283.0)</f>
        <v>788283</v>
      </c>
      <c r="B2907" t="str">
        <f>IFERROR(__xludf.DUMMYFUNCTION("""COMPUTED_VALUE"""),"Kohlrabi Cooked Fat Not Added In Cooking")</f>
        <v>Kohlrabi Cooked Fat Not Added In Cooking</v>
      </c>
      <c r="C2907" t="str">
        <f>IFERROR(__xludf.DUMMYFUNCTION("""COMPUTED_VALUE"""),"Vegetables")</f>
        <v>Vegetables</v>
      </c>
      <c r="D2907">
        <f>IFERROR(__xludf.DUMMYFUNCTION("""COMPUTED_VALUE"""),29.0)</f>
        <v>29</v>
      </c>
      <c r="E2907">
        <f>IFERROR(__xludf.DUMMYFUNCTION("""COMPUTED_VALUE"""),0.11)</f>
        <v>0.11</v>
      </c>
      <c r="F2907">
        <f>IFERROR(__xludf.DUMMYFUNCTION("""COMPUTED_VALUE"""),1.79)</f>
        <v>1.79</v>
      </c>
      <c r="G2907">
        <f>IFERROR(__xludf.DUMMYFUNCTION("""COMPUTED_VALUE"""),6.65)</f>
        <v>6.65</v>
      </c>
    </row>
    <row r="2908">
      <c r="A2908">
        <f>IFERROR(__xludf.DUMMYFUNCTION("""COMPUTED_VALUE"""),788284.0)</f>
        <v>788284</v>
      </c>
      <c r="B2908" t="str">
        <f>IFERROR(__xludf.DUMMYFUNCTION("""COMPUTED_VALUE"""),"Kohlrabi Cooked Fat Added In Cooking")</f>
        <v>Kohlrabi Cooked Fat Added In Cooking</v>
      </c>
      <c r="C2908" t="str">
        <f>IFERROR(__xludf.DUMMYFUNCTION("""COMPUTED_VALUE"""),"Vegetables")</f>
        <v>Vegetables</v>
      </c>
      <c r="D2908">
        <f>IFERROR(__xludf.DUMMYFUNCTION("""COMPUTED_VALUE"""),46.0)</f>
        <v>46</v>
      </c>
      <c r="E2908">
        <f>IFERROR(__xludf.DUMMYFUNCTION("""COMPUTED_VALUE"""),2.12)</f>
        <v>2.12</v>
      </c>
      <c r="F2908">
        <f>IFERROR(__xludf.DUMMYFUNCTION("""COMPUTED_VALUE"""),1.76)</f>
        <v>1.76</v>
      </c>
      <c r="G2908">
        <f>IFERROR(__xludf.DUMMYFUNCTION("""COMPUTED_VALUE"""),6.48)</f>
        <v>6.48</v>
      </c>
    </row>
    <row r="2909">
      <c r="A2909">
        <f>IFERROR(__xludf.DUMMYFUNCTION("""COMPUTED_VALUE"""),788285.0)</f>
        <v>788285</v>
      </c>
      <c r="B2909" t="str">
        <f>IFERROR(__xludf.DUMMYFUNCTION("""COMPUTED_VALUE"""),"Leek Cooked Ns As To Fat Added In Cooking")</f>
        <v>Leek Cooked Ns As To Fat Added In Cooking</v>
      </c>
      <c r="C2909" t="str">
        <f>IFERROR(__xludf.DUMMYFUNCTION("""COMPUTED_VALUE"""),"Vegetables")</f>
        <v>Vegetables</v>
      </c>
      <c r="D2909">
        <f>IFERROR(__xludf.DUMMYFUNCTION("""COMPUTED_VALUE"""),83.0)</f>
        <v>83</v>
      </c>
      <c r="E2909">
        <f>IFERROR(__xludf.DUMMYFUNCTION("""COMPUTED_VALUE"""),2.66)</f>
        <v>2.66</v>
      </c>
      <c r="F2909">
        <f>IFERROR(__xludf.DUMMYFUNCTION("""COMPUTED_VALUE"""),1.54)</f>
        <v>1.54</v>
      </c>
      <c r="G2909">
        <f>IFERROR(__xludf.DUMMYFUNCTION("""COMPUTED_VALUE"""),14.36)</f>
        <v>14.36</v>
      </c>
    </row>
    <row r="2910">
      <c r="A2910">
        <f>IFERROR(__xludf.DUMMYFUNCTION("""COMPUTED_VALUE"""),788286.0)</f>
        <v>788286</v>
      </c>
      <c r="B2910" t="str">
        <f>IFERROR(__xludf.DUMMYFUNCTION("""COMPUTED_VALUE"""),"Lotus Root Cooked Ns As To Fat Added In Cooking")</f>
        <v>Lotus Root Cooked Ns As To Fat Added In Cooking</v>
      </c>
      <c r="C2910" t="str">
        <f>IFERROR(__xludf.DUMMYFUNCTION("""COMPUTED_VALUE"""),"Vegetables")</f>
        <v>Vegetables</v>
      </c>
      <c r="D2910">
        <f>IFERROR(__xludf.DUMMYFUNCTION("""COMPUTED_VALUE"""),95.0)</f>
        <v>95</v>
      </c>
      <c r="E2910">
        <f>IFERROR(__xludf.DUMMYFUNCTION("""COMPUTED_VALUE"""),3.68)</f>
        <v>3.68</v>
      </c>
      <c r="F2910">
        <f>IFERROR(__xludf.DUMMYFUNCTION("""COMPUTED_VALUE"""),1.51)</f>
        <v>1.51</v>
      </c>
      <c r="G2910">
        <f>IFERROR(__xludf.DUMMYFUNCTION("""COMPUTED_VALUE"""),15.31)</f>
        <v>15.31</v>
      </c>
    </row>
    <row r="2911">
      <c r="A2911">
        <f>IFERROR(__xludf.DUMMYFUNCTION("""COMPUTED_VALUE"""),788287.0)</f>
        <v>788287</v>
      </c>
      <c r="B2911" t="str">
        <f>IFERROR(__xludf.DUMMYFUNCTION("""COMPUTED_VALUE"""),"Lotus Root Cooked Fat Not Added In Cooking")</f>
        <v>Lotus Root Cooked Fat Not Added In Cooking</v>
      </c>
      <c r="C2911" t="str">
        <f>IFERROR(__xludf.DUMMYFUNCTION("""COMPUTED_VALUE"""),"Vegetables")</f>
        <v>Vegetables</v>
      </c>
      <c r="D2911">
        <f>IFERROR(__xludf.DUMMYFUNCTION("""COMPUTED_VALUE"""),65.0)</f>
        <v>65</v>
      </c>
      <c r="E2911">
        <f>IFERROR(__xludf.DUMMYFUNCTION("""COMPUTED_VALUE"""),0.07)</f>
        <v>0.07</v>
      </c>
      <c r="F2911">
        <f>IFERROR(__xludf.DUMMYFUNCTION("""COMPUTED_VALUE"""),1.57)</f>
        <v>1.57</v>
      </c>
      <c r="G2911">
        <f>IFERROR(__xludf.DUMMYFUNCTION("""COMPUTED_VALUE"""),15.89)</f>
        <v>15.89</v>
      </c>
    </row>
    <row r="2912">
      <c r="A2912">
        <f>IFERROR(__xludf.DUMMYFUNCTION("""COMPUTED_VALUE"""),788288.0)</f>
        <v>788288</v>
      </c>
      <c r="B2912" t="str">
        <f>IFERROR(__xludf.DUMMYFUNCTION("""COMPUTED_VALUE"""),"Lotus Root Cooked Fat Added In Cooking")</f>
        <v>Lotus Root Cooked Fat Added In Cooking</v>
      </c>
      <c r="C2912" t="str">
        <f>IFERROR(__xludf.DUMMYFUNCTION("""COMPUTED_VALUE"""),"Vegetables")</f>
        <v>Vegetables</v>
      </c>
      <c r="D2912">
        <f>IFERROR(__xludf.DUMMYFUNCTION("""COMPUTED_VALUE"""),122.0)</f>
        <v>122</v>
      </c>
      <c r="E2912">
        <f>IFERROR(__xludf.DUMMYFUNCTION("""COMPUTED_VALUE"""),6.99)</f>
        <v>6.99</v>
      </c>
      <c r="F2912">
        <f>IFERROR(__xludf.DUMMYFUNCTION("""COMPUTED_VALUE"""),1.45)</f>
        <v>1.45</v>
      </c>
      <c r="G2912">
        <f>IFERROR(__xludf.DUMMYFUNCTION("""COMPUTED_VALUE"""),14.66)</f>
        <v>14.66</v>
      </c>
    </row>
    <row r="2913">
      <c r="A2913">
        <f>IFERROR(__xludf.DUMMYFUNCTION("""COMPUTED_VALUE"""),788289.0)</f>
        <v>788289</v>
      </c>
      <c r="B2913" t="str">
        <f>IFERROR(__xludf.DUMMYFUNCTION("""COMPUTED_VALUE"""),"Mushrooms Cooked Ns As To Form Ns As To Fat Added In Cooking")</f>
        <v>Mushrooms Cooked Ns As To Form Ns As To Fat Added In Cooking</v>
      </c>
      <c r="C2913" t="str">
        <f>IFERROR(__xludf.DUMMYFUNCTION("""COMPUTED_VALUE"""),"Vegetables")</f>
        <v>Vegetables</v>
      </c>
      <c r="D2913">
        <f>IFERROR(__xludf.DUMMYFUNCTION("""COMPUTED_VALUE"""),46.0)</f>
        <v>46</v>
      </c>
      <c r="E2913">
        <f>IFERROR(__xludf.DUMMYFUNCTION("""COMPUTED_VALUE"""),2.58)</f>
        <v>2.58</v>
      </c>
      <c r="F2913">
        <f>IFERROR(__xludf.DUMMYFUNCTION("""COMPUTED_VALUE"""),2.11)</f>
        <v>2.11</v>
      </c>
      <c r="G2913">
        <f>IFERROR(__xludf.DUMMYFUNCTION("""COMPUTED_VALUE"""),5.11)</f>
        <v>5.11</v>
      </c>
    </row>
    <row r="2914">
      <c r="A2914">
        <f>IFERROR(__xludf.DUMMYFUNCTION("""COMPUTED_VALUE"""),788290.0)</f>
        <v>788290</v>
      </c>
      <c r="B2914" t="str">
        <f>IFERROR(__xludf.DUMMYFUNCTION("""COMPUTED_VALUE"""),"Mushrooms Cooked From Fresh Ns As To Fat Added In Cooking")</f>
        <v>Mushrooms Cooked From Fresh Ns As To Fat Added In Cooking</v>
      </c>
      <c r="C2914" t="str">
        <f>IFERROR(__xludf.DUMMYFUNCTION("""COMPUTED_VALUE"""),"Vegetables")</f>
        <v>Vegetables</v>
      </c>
      <c r="D2914">
        <f>IFERROR(__xludf.DUMMYFUNCTION("""COMPUTED_VALUE"""),46.0)</f>
        <v>46</v>
      </c>
      <c r="E2914">
        <f>IFERROR(__xludf.DUMMYFUNCTION("""COMPUTED_VALUE"""),2.58)</f>
        <v>2.58</v>
      </c>
      <c r="F2914">
        <f>IFERROR(__xludf.DUMMYFUNCTION("""COMPUTED_VALUE"""),2.11)</f>
        <v>2.11</v>
      </c>
      <c r="G2914">
        <f>IFERROR(__xludf.DUMMYFUNCTION("""COMPUTED_VALUE"""),5.11)</f>
        <v>5.11</v>
      </c>
    </row>
    <row r="2915">
      <c r="A2915">
        <f>IFERROR(__xludf.DUMMYFUNCTION("""COMPUTED_VALUE"""),788291.0)</f>
        <v>788291</v>
      </c>
      <c r="B2915" t="str">
        <f>IFERROR(__xludf.DUMMYFUNCTION("""COMPUTED_VALUE"""),"Mushrooms Cooked From Frozen Ns As To Fat Added In Cooking")</f>
        <v>Mushrooms Cooked From Frozen Ns As To Fat Added In Cooking</v>
      </c>
      <c r="C2915" t="str">
        <f>IFERROR(__xludf.DUMMYFUNCTION("""COMPUTED_VALUE"""),"Vegetables")</f>
        <v>Vegetables</v>
      </c>
      <c r="D2915">
        <f>IFERROR(__xludf.DUMMYFUNCTION("""COMPUTED_VALUE"""),46.0)</f>
        <v>46</v>
      </c>
      <c r="E2915">
        <f>IFERROR(__xludf.DUMMYFUNCTION("""COMPUTED_VALUE"""),2.58)</f>
        <v>2.58</v>
      </c>
      <c r="F2915">
        <f>IFERROR(__xludf.DUMMYFUNCTION("""COMPUTED_VALUE"""),2.11)</f>
        <v>2.11</v>
      </c>
      <c r="G2915">
        <f>IFERROR(__xludf.DUMMYFUNCTION("""COMPUTED_VALUE"""),5.11)</f>
        <v>5.11</v>
      </c>
    </row>
    <row r="2916">
      <c r="A2916">
        <f>IFERROR(__xludf.DUMMYFUNCTION("""COMPUTED_VALUE"""),788292.0)</f>
        <v>788292</v>
      </c>
      <c r="B2916" t="str">
        <f>IFERROR(__xludf.DUMMYFUNCTION("""COMPUTED_VALUE"""),"Mushrooms Cooked From Canned Ns As To Fat Added In Cooking")</f>
        <v>Mushrooms Cooked From Canned Ns As To Fat Added In Cooking</v>
      </c>
      <c r="C2916" t="str">
        <f>IFERROR(__xludf.DUMMYFUNCTION("""COMPUTED_VALUE"""),"Vegetables")</f>
        <v>Vegetables</v>
      </c>
      <c r="D2916">
        <f>IFERROR(__xludf.DUMMYFUNCTION("""COMPUTED_VALUE"""),49.0)</f>
        <v>49</v>
      </c>
      <c r="E2916">
        <f>IFERROR(__xludf.DUMMYFUNCTION("""COMPUTED_VALUE"""),3.09)</f>
        <v>3.09</v>
      </c>
      <c r="F2916">
        <f>IFERROR(__xludf.DUMMYFUNCTION("""COMPUTED_VALUE"""),1.81)</f>
        <v>1.81</v>
      </c>
      <c r="G2916">
        <f>IFERROR(__xludf.DUMMYFUNCTION("""COMPUTED_VALUE"""),4.92)</f>
        <v>4.92</v>
      </c>
    </row>
    <row r="2917">
      <c r="A2917">
        <f>IFERROR(__xludf.DUMMYFUNCTION("""COMPUTED_VALUE"""),788293.0)</f>
        <v>788293</v>
      </c>
      <c r="B2917" t="str">
        <f>IFERROR(__xludf.DUMMYFUNCTION("""COMPUTED_VALUE"""),"Mushrooms Cooked Ns As To Form Fat Not Added In Cooking")</f>
        <v>Mushrooms Cooked Ns As To Form Fat Not Added In Cooking</v>
      </c>
      <c r="C2917" t="str">
        <f>IFERROR(__xludf.DUMMYFUNCTION("""COMPUTED_VALUE"""),"Vegetables")</f>
        <v>Vegetables</v>
      </c>
      <c r="D2917">
        <f>IFERROR(__xludf.DUMMYFUNCTION("""COMPUTED_VALUE"""),28.0)</f>
        <v>28</v>
      </c>
      <c r="E2917">
        <f>IFERROR(__xludf.DUMMYFUNCTION("""COMPUTED_VALUE"""),0.47)</f>
        <v>0.47</v>
      </c>
      <c r="F2917">
        <f>IFERROR(__xludf.DUMMYFUNCTION("""COMPUTED_VALUE"""),2.16)</f>
        <v>2.16</v>
      </c>
      <c r="G2917">
        <f>IFERROR(__xludf.DUMMYFUNCTION("""COMPUTED_VALUE"""),5.26)</f>
        <v>5.26</v>
      </c>
    </row>
    <row r="2918">
      <c r="A2918">
        <f>IFERROR(__xludf.DUMMYFUNCTION("""COMPUTED_VALUE"""),788294.0)</f>
        <v>788294</v>
      </c>
      <c r="B2918" t="str">
        <f>IFERROR(__xludf.DUMMYFUNCTION("""COMPUTED_VALUE"""),"Mushrooms Cooked From Fresh Fat Not Added In Cooking")</f>
        <v>Mushrooms Cooked From Fresh Fat Not Added In Cooking</v>
      </c>
      <c r="C2918" t="str">
        <f>IFERROR(__xludf.DUMMYFUNCTION("""COMPUTED_VALUE"""),"Vegetables")</f>
        <v>Vegetables</v>
      </c>
      <c r="D2918">
        <f>IFERROR(__xludf.DUMMYFUNCTION("""COMPUTED_VALUE"""),28.0)</f>
        <v>28</v>
      </c>
      <c r="E2918">
        <f>IFERROR(__xludf.DUMMYFUNCTION("""COMPUTED_VALUE"""),0.47)</f>
        <v>0.47</v>
      </c>
      <c r="F2918">
        <f>IFERROR(__xludf.DUMMYFUNCTION("""COMPUTED_VALUE"""),2.16)</f>
        <v>2.16</v>
      </c>
      <c r="G2918">
        <f>IFERROR(__xludf.DUMMYFUNCTION("""COMPUTED_VALUE"""),5.26)</f>
        <v>5.26</v>
      </c>
    </row>
    <row r="2919">
      <c r="A2919">
        <f>IFERROR(__xludf.DUMMYFUNCTION("""COMPUTED_VALUE"""),788295.0)</f>
        <v>788295</v>
      </c>
      <c r="B2919" t="str">
        <f>IFERROR(__xludf.DUMMYFUNCTION("""COMPUTED_VALUE"""),"Mushrooms Cooked From Frozen Fat Not Added In Cooking")</f>
        <v>Mushrooms Cooked From Frozen Fat Not Added In Cooking</v>
      </c>
      <c r="C2919" t="str">
        <f>IFERROR(__xludf.DUMMYFUNCTION("""COMPUTED_VALUE"""),"Vegetables")</f>
        <v>Vegetables</v>
      </c>
      <c r="D2919">
        <f>IFERROR(__xludf.DUMMYFUNCTION("""COMPUTED_VALUE"""),28.0)</f>
        <v>28</v>
      </c>
      <c r="E2919">
        <f>IFERROR(__xludf.DUMMYFUNCTION("""COMPUTED_VALUE"""),0.47)</f>
        <v>0.47</v>
      </c>
      <c r="F2919">
        <f>IFERROR(__xludf.DUMMYFUNCTION("""COMPUTED_VALUE"""),2.16)</f>
        <v>2.16</v>
      </c>
      <c r="G2919">
        <f>IFERROR(__xludf.DUMMYFUNCTION("""COMPUTED_VALUE"""),5.26)</f>
        <v>5.26</v>
      </c>
    </row>
    <row r="2920">
      <c r="A2920">
        <f>IFERROR(__xludf.DUMMYFUNCTION("""COMPUTED_VALUE"""),788296.0)</f>
        <v>788296</v>
      </c>
      <c r="B2920" t="str">
        <f>IFERROR(__xludf.DUMMYFUNCTION("""COMPUTED_VALUE"""),"Mushrooms Cooked From Canned Fat Not Added In Cooking")</f>
        <v>Mushrooms Cooked From Canned Fat Not Added In Cooking</v>
      </c>
      <c r="C2920" t="str">
        <f>IFERROR(__xludf.DUMMYFUNCTION("""COMPUTED_VALUE"""),"Vegetables")</f>
        <v>Vegetables</v>
      </c>
      <c r="D2920">
        <f>IFERROR(__xludf.DUMMYFUNCTION("""COMPUTED_VALUE"""),25.0)</f>
        <v>25</v>
      </c>
      <c r="E2920">
        <f>IFERROR(__xludf.DUMMYFUNCTION("""COMPUTED_VALUE"""),0.29)</f>
        <v>0.29</v>
      </c>
      <c r="F2920">
        <f>IFERROR(__xludf.DUMMYFUNCTION("""COMPUTED_VALUE"""),1.86)</f>
        <v>1.86</v>
      </c>
      <c r="G2920">
        <f>IFERROR(__xludf.DUMMYFUNCTION("""COMPUTED_VALUE"""),5.06)</f>
        <v>5.06</v>
      </c>
    </row>
    <row r="2921">
      <c r="A2921">
        <f>IFERROR(__xludf.DUMMYFUNCTION("""COMPUTED_VALUE"""),788297.0)</f>
        <v>788297</v>
      </c>
      <c r="B2921" t="str">
        <f>IFERROR(__xludf.DUMMYFUNCTION("""COMPUTED_VALUE"""),"Mushrooms Cooked Ns As To Form Fat Added In Cooking Ns Asa To Type Of Fat")</f>
        <v>Mushrooms Cooked Ns As To Form Fat Added In Cooking Ns Asa To Type Of Fat</v>
      </c>
      <c r="C2921" t="str">
        <f>IFERROR(__xludf.DUMMYFUNCTION("""COMPUTED_VALUE"""),"Vegetables")</f>
        <v>Vegetables</v>
      </c>
      <c r="D2921">
        <f>IFERROR(__xludf.DUMMYFUNCTION("""COMPUTED_VALUE"""),46.0)</f>
        <v>46</v>
      </c>
      <c r="E2921">
        <f>IFERROR(__xludf.DUMMYFUNCTION("""COMPUTED_VALUE"""),2.58)</f>
        <v>2.58</v>
      </c>
      <c r="F2921">
        <f>IFERROR(__xludf.DUMMYFUNCTION("""COMPUTED_VALUE"""),2.11)</f>
        <v>2.11</v>
      </c>
      <c r="G2921">
        <f>IFERROR(__xludf.DUMMYFUNCTION("""COMPUTED_VALUE"""),5.11)</f>
        <v>5.11</v>
      </c>
    </row>
    <row r="2922">
      <c r="A2922">
        <f>IFERROR(__xludf.DUMMYFUNCTION("""COMPUTED_VALUE"""),788298.0)</f>
        <v>788298</v>
      </c>
      <c r="B2922" t="str">
        <f>IFERROR(__xludf.DUMMYFUNCTION("""COMPUTED_VALUE"""),"Mushrooms Cooked From Fresh Fat Added In Cooking Ns As To Type Of Fat")</f>
        <v>Mushrooms Cooked From Fresh Fat Added In Cooking Ns As To Type Of Fat</v>
      </c>
      <c r="C2922" t="str">
        <f>IFERROR(__xludf.DUMMYFUNCTION("""COMPUTED_VALUE"""),"Vegetables")</f>
        <v>Vegetables</v>
      </c>
      <c r="D2922">
        <f>IFERROR(__xludf.DUMMYFUNCTION("""COMPUTED_VALUE"""),46.0)</f>
        <v>46</v>
      </c>
      <c r="E2922">
        <f>IFERROR(__xludf.DUMMYFUNCTION("""COMPUTED_VALUE"""),2.58)</f>
        <v>2.58</v>
      </c>
      <c r="F2922">
        <f>IFERROR(__xludf.DUMMYFUNCTION("""COMPUTED_VALUE"""),2.11)</f>
        <v>2.11</v>
      </c>
      <c r="G2922">
        <f>IFERROR(__xludf.DUMMYFUNCTION("""COMPUTED_VALUE"""),5.11)</f>
        <v>5.11</v>
      </c>
    </row>
    <row r="2923">
      <c r="A2923">
        <f>IFERROR(__xludf.DUMMYFUNCTION("""COMPUTED_VALUE"""),788299.0)</f>
        <v>788299</v>
      </c>
      <c r="B2923" t="str">
        <f>IFERROR(__xludf.DUMMYFUNCTION("""COMPUTED_VALUE"""),"Mushrooms Cooked From Frozen Fat Added In Cooking Ns As To Type Of Fat")</f>
        <v>Mushrooms Cooked From Frozen Fat Added In Cooking Ns As To Type Of Fat</v>
      </c>
      <c r="C2923" t="str">
        <f>IFERROR(__xludf.DUMMYFUNCTION("""COMPUTED_VALUE"""),"Vegetables")</f>
        <v>Vegetables</v>
      </c>
      <c r="D2923">
        <f>IFERROR(__xludf.DUMMYFUNCTION("""COMPUTED_VALUE"""),46.0)</f>
        <v>46</v>
      </c>
      <c r="E2923">
        <f>IFERROR(__xludf.DUMMYFUNCTION("""COMPUTED_VALUE"""),2.58)</f>
        <v>2.58</v>
      </c>
      <c r="F2923">
        <f>IFERROR(__xludf.DUMMYFUNCTION("""COMPUTED_VALUE"""),2.11)</f>
        <v>2.11</v>
      </c>
      <c r="G2923">
        <f>IFERROR(__xludf.DUMMYFUNCTION("""COMPUTED_VALUE"""),5.11)</f>
        <v>5.11</v>
      </c>
    </row>
    <row r="2924">
      <c r="A2924">
        <f>IFERROR(__xludf.DUMMYFUNCTION("""COMPUTED_VALUE"""),788300.0)</f>
        <v>788300</v>
      </c>
      <c r="B2924" t="str">
        <f>IFERROR(__xludf.DUMMYFUNCTION("""COMPUTED_VALUE"""),"Mushrooms Cooked From Canned Fat Added In Cooking Ns As To Type Of Fat")</f>
        <v>Mushrooms Cooked From Canned Fat Added In Cooking Ns As To Type Of Fat</v>
      </c>
      <c r="C2924" t="str">
        <f>IFERROR(__xludf.DUMMYFUNCTION("""COMPUTED_VALUE"""),"Vegetables")</f>
        <v>Vegetables</v>
      </c>
      <c r="D2924">
        <f>IFERROR(__xludf.DUMMYFUNCTION("""COMPUTED_VALUE"""),49.0)</f>
        <v>49</v>
      </c>
      <c r="E2924">
        <f>IFERROR(__xludf.DUMMYFUNCTION("""COMPUTED_VALUE"""),3.09)</f>
        <v>3.09</v>
      </c>
      <c r="F2924">
        <f>IFERROR(__xludf.DUMMYFUNCTION("""COMPUTED_VALUE"""),1.81)</f>
        <v>1.81</v>
      </c>
      <c r="G2924">
        <f>IFERROR(__xludf.DUMMYFUNCTION("""COMPUTED_VALUE"""),4.92)</f>
        <v>4.92</v>
      </c>
    </row>
    <row r="2925">
      <c r="A2925">
        <f>IFERROR(__xludf.DUMMYFUNCTION("""COMPUTED_VALUE"""),788301.0)</f>
        <v>788301</v>
      </c>
      <c r="B2925" t="str">
        <f>IFERROR(__xludf.DUMMYFUNCTION("""COMPUTED_VALUE"""),"Mushrooms Cooked Ns As To Form Made With Oil")</f>
        <v>Mushrooms Cooked Ns As To Form Made With Oil</v>
      </c>
      <c r="C2925" t="str">
        <f>IFERROR(__xludf.DUMMYFUNCTION("""COMPUTED_VALUE"""),"Vegetables")</f>
        <v>Vegetables</v>
      </c>
      <c r="D2925">
        <f>IFERROR(__xludf.DUMMYFUNCTION("""COMPUTED_VALUE"""),52.0)</f>
        <v>52</v>
      </c>
      <c r="E2925">
        <f>IFERROR(__xludf.DUMMYFUNCTION("""COMPUTED_VALUE"""),3.27)</f>
        <v>3.27</v>
      </c>
      <c r="F2925">
        <f>IFERROR(__xludf.DUMMYFUNCTION("""COMPUTED_VALUE"""),2.1)</f>
        <v>2.1</v>
      </c>
      <c r="G2925">
        <f>IFERROR(__xludf.DUMMYFUNCTION("""COMPUTED_VALUE"""),5.11)</f>
        <v>5.11</v>
      </c>
    </row>
    <row r="2926">
      <c r="A2926">
        <f>IFERROR(__xludf.DUMMYFUNCTION("""COMPUTED_VALUE"""),788302.0)</f>
        <v>788302</v>
      </c>
      <c r="B2926" t="str">
        <f>IFERROR(__xludf.DUMMYFUNCTION("""COMPUTED_VALUE"""),"Mushrooms Cooked Ns As To Form Made With Butter")</f>
        <v>Mushrooms Cooked Ns As To Form Made With Butter</v>
      </c>
      <c r="C2926" t="str">
        <f>IFERROR(__xludf.DUMMYFUNCTION("""COMPUTED_VALUE"""),"Vegetables")</f>
        <v>Vegetables</v>
      </c>
      <c r="D2926">
        <f>IFERROR(__xludf.DUMMYFUNCTION("""COMPUTED_VALUE"""),48.0)</f>
        <v>48</v>
      </c>
      <c r="E2926">
        <f>IFERROR(__xludf.DUMMYFUNCTION("""COMPUTED_VALUE"""),2.82)</f>
        <v>2.82</v>
      </c>
      <c r="F2926">
        <f>IFERROR(__xludf.DUMMYFUNCTION("""COMPUTED_VALUE"""),2.12)</f>
        <v>2.12</v>
      </c>
      <c r="G2926">
        <f>IFERROR(__xludf.DUMMYFUNCTION("""COMPUTED_VALUE"""),5.1)</f>
        <v>5.1</v>
      </c>
    </row>
    <row r="2927">
      <c r="A2927">
        <f>IFERROR(__xludf.DUMMYFUNCTION("""COMPUTED_VALUE"""),788303.0)</f>
        <v>788303</v>
      </c>
      <c r="B2927" t="str">
        <f>IFERROR(__xludf.DUMMYFUNCTION("""COMPUTED_VALUE"""),"Mushrooms Cooked Ns As To Form Made With Margarine")</f>
        <v>Mushrooms Cooked Ns As To Form Made With Margarine</v>
      </c>
      <c r="C2927" t="str">
        <f>IFERROR(__xludf.DUMMYFUNCTION("""COMPUTED_VALUE"""),"Vegetables")</f>
        <v>Vegetables</v>
      </c>
      <c r="D2927">
        <f>IFERROR(__xludf.DUMMYFUNCTION("""COMPUTED_VALUE"""),43.0)</f>
        <v>43</v>
      </c>
      <c r="E2927">
        <f>IFERROR(__xludf.DUMMYFUNCTION("""COMPUTED_VALUE"""),2.22)</f>
        <v>2.22</v>
      </c>
      <c r="F2927">
        <f>IFERROR(__xludf.DUMMYFUNCTION("""COMPUTED_VALUE"""),2.1)</f>
        <v>2.1</v>
      </c>
      <c r="G2927">
        <f>IFERROR(__xludf.DUMMYFUNCTION("""COMPUTED_VALUE"""),5.13)</f>
        <v>5.13</v>
      </c>
    </row>
    <row r="2928">
      <c r="A2928">
        <f>IFERROR(__xludf.DUMMYFUNCTION("""COMPUTED_VALUE"""),788304.0)</f>
        <v>788304</v>
      </c>
      <c r="B2928" t="str">
        <f>IFERROR(__xludf.DUMMYFUNCTION("""COMPUTED_VALUE"""),"Mushrooms Cooked From Fresh Made With Oil")</f>
        <v>Mushrooms Cooked From Fresh Made With Oil</v>
      </c>
      <c r="C2928" t="str">
        <f>IFERROR(__xludf.DUMMYFUNCTION("""COMPUTED_VALUE"""),"Vegetables")</f>
        <v>Vegetables</v>
      </c>
      <c r="D2928">
        <f>IFERROR(__xludf.DUMMYFUNCTION("""COMPUTED_VALUE"""),52.0)</f>
        <v>52</v>
      </c>
      <c r="E2928">
        <f>IFERROR(__xludf.DUMMYFUNCTION("""COMPUTED_VALUE"""),3.27)</f>
        <v>3.27</v>
      </c>
      <c r="F2928">
        <f>IFERROR(__xludf.DUMMYFUNCTION("""COMPUTED_VALUE"""),2.1)</f>
        <v>2.1</v>
      </c>
      <c r="G2928">
        <f>IFERROR(__xludf.DUMMYFUNCTION("""COMPUTED_VALUE"""),5.11)</f>
        <v>5.11</v>
      </c>
    </row>
    <row r="2929">
      <c r="A2929">
        <f>IFERROR(__xludf.DUMMYFUNCTION("""COMPUTED_VALUE"""),788305.0)</f>
        <v>788305</v>
      </c>
      <c r="B2929" t="str">
        <f>IFERROR(__xludf.DUMMYFUNCTION("""COMPUTED_VALUE"""),"Mushrooms Cooked From Fresh Made With Butter")</f>
        <v>Mushrooms Cooked From Fresh Made With Butter</v>
      </c>
      <c r="C2929" t="str">
        <f>IFERROR(__xludf.DUMMYFUNCTION("""COMPUTED_VALUE"""),"Vegetables")</f>
        <v>Vegetables</v>
      </c>
      <c r="D2929">
        <f>IFERROR(__xludf.DUMMYFUNCTION("""COMPUTED_VALUE"""),48.0)</f>
        <v>48</v>
      </c>
      <c r="E2929">
        <f>IFERROR(__xludf.DUMMYFUNCTION("""COMPUTED_VALUE"""),2.82)</f>
        <v>2.82</v>
      </c>
      <c r="F2929">
        <f>IFERROR(__xludf.DUMMYFUNCTION("""COMPUTED_VALUE"""),2.12)</f>
        <v>2.12</v>
      </c>
      <c r="G2929">
        <f>IFERROR(__xludf.DUMMYFUNCTION("""COMPUTED_VALUE"""),5.1)</f>
        <v>5.1</v>
      </c>
    </row>
    <row r="2930">
      <c r="A2930">
        <f>IFERROR(__xludf.DUMMYFUNCTION("""COMPUTED_VALUE"""),788306.0)</f>
        <v>788306</v>
      </c>
      <c r="B2930" t="str">
        <f>IFERROR(__xludf.DUMMYFUNCTION("""COMPUTED_VALUE"""),"Mushrooms Cooked From Fresh Made With Margarine")</f>
        <v>Mushrooms Cooked From Fresh Made With Margarine</v>
      </c>
      <c r="C2930" t="str">
        <f>IFERROR(__xludf.DUMMYFUNCTION("""COMPUTED_VALUE"""),"Vegetables")</f>
        <v>Vegetables</v>
      </c>
      <c r="D2930">
        <f>IFERROR(__xludf.DUMMYFUNCTION("""COMPUTED_VALUE"""),43.0)</f>
        <v>43</v>
      </c>
      <c r="E2930">
        <f>IFERROR(__xludf.DUMMYFUNCTION("""COMPUTED_VALUE"""),2.22)</f>
        <v>2.22</v>
      </c>
      <c r="F2930">
        <f>IFERROR(__xludf.DUMMYFUNCTION("""COMPUTED_VALUE"""),2.1)</f>
        <v>2.1</v>
      </c>
      <c r="G2930">
        <f>IFERROR(__xludf.DUMMYFUNCTION("""COMPUTED_VALUE"""),5.13)</f>
        <v>5.13</v>
      </c>
    </row>
    <row r="2931">
      <c r="A2931">
        <f>IFERROR(__xludf.DUMMYFUNCTION("""COMPUTED_VALUE"""),788307.0)</f>
        <v>788307</v>
      </c>
      <c r="B2931" t="str">
        <f>IFERROR(__xludf.DUMMYFUNCTION("""COMPUTED_VALUE"""),"Mushrooms Cooked From Frozen Made With Oil")</f>
        <v>Mushrooms Cooked From Frozen Made With Oil</v>
      </c>
      <c r="C2931" t="str">
        <f>IFERROR(__xludf.DUMMYFUNCTION("""COMPUTED_VALUE"""),"Vegetables")</f>
        <v>Vegetables</v>
      </c>
      <c r="D2931">
        <f>IFERROR(__xludf.DUMMYFUNCTION("""COMPUTED_VALUE"""),52.0)</f>
        <v>52</v>
      </c>
      <c r="E2931">
        <f>IFERROR(__xludf.DUMMYFUNCTION("""COMPUTED_VALUE"""),3.27)</f>
        <v>3.27</v>
      </c>
      <c r="F2931">
        <f>IFERROR(__xludf.DUMMYFUNCTION("""COMPUTED_VALUE"""),2.1)</f>
        <v>2.1</v>
      </c>
      <c r="G2931">
        <f>IFERROR(__xludf.DUMMYFUNCTION("""COMPUTED_VALUE"""),5.11)</f>
        <v>5.11</v>
      </c>
    </row>
    <row r="2932">
      <c r="A2932">
        <f>IFERROR(__xludf.DUMMYFUNCTION("""COMPUTED_VALUE"""),788308.0)</f>
        <v>788308</v>
      </c>
      <c r="B2932" t="str">
        <f>IFERROR(__xludf.DUMMYFUNCTION("""COMPUTED_VALUE"""),"Mushrooms Cooked From Frozen Made With Butter")</f>
        <v>Mushrooms Cooked From Frozen Made With Butter</v>
      </c>
      <c r="C2932" t="str">
        <f>IFERROR(__xludf.DUMMYFUNCTION("""COMPUTED_VALUE"""),"Vegetables")</f>
        <v>Vegetables</v>
      </c>
      <c r="D2932">
        <f>IFERROR(__xludf.DUMMYFUNCTION("""COMPUTED_VALUE"""),48.0)</f>
        <v>48</v>
      </c>
      <c r="E2932">
        <f>IFERROR(__xludf.DUMMYFUNCTION("""COMPUTED_VALUE"""),2.82)</f>
        <v>2.82</v>
      </c>
      <c r="F2932">
        <f>IFERROR(__xludf.DUMMYFUNCTION("""COMPUTED_VALUE"""),2.12)</f>
        <v>2.12</v>
      </c>
      <c r="G2932">
        <f>IFERROR(__xludf.DUMMYFUNCTION("""COMPUTED_VALUE"""),5.1)</f>
        <v>5.1</v>
      </c>
    </row>
    <row r="2933">
      <c r="A2933">
        <f>IFERROR(__xludf.DUMMYFUNCTION("""COMPUTED_VALUE"""),788309.0)</f>
        <v>788309</v>
      </c>
      <c r="B2933" t="str">
        <f>IFERROR(__xludf.DUMMYFUNCTION("""COMPUTED_VALUE"""),"Mushrooms Cooked From Frozen Made With Margarine")</f>
        <v>Mushrooms Cooked From Frozen Made With Margarine</v>
      </c>
      <c r="C2933" t="str">
        <f>IFERROR(__xludf.DUMMYFUNCTION("""COMPUTED_VALUE"""),"Vegetables")</f>
        <v>Vegetables</v>
      </c>
      <c r="D2933">
        <f>IFERROR(__xludf.DUMMYFUNCTION("""COMPUTED_VALUE"""),43.0)</f>
        <v>43</v>
      </c>
      <c r="E2933">
        <f>IFERROR(__xludf.DUMMYFUNCTION("""COMPUTED_VALUE"""),2.22)</f>
        <v>2.22</v>
      </c>
      <c r="F2933">
        <f>IFERROR(__xludf.DUMMYFUNCTION("""COMPUTED_VALUE"""),2.1)</f>
        <v>2.1</v>
      </c>
      <c r="G2933">
        <f>IFERROR(__xludf.DUMMYFUNCTION("""COMPUTED_VALUE"""),5.13)</f>
        <v>5.13</v>
      </c>
    </row>
    <row r="2934">
      <c r="A2934">
        <f>IFERROR(__xludf.DUMMYFUNCTION("""COMPUTED_VALUE"""),788310.0)</f>
        <v>788310</v>
      </c>
      <c r="B2934" t="str">
        <f>IFERROR(__xludf.DUMMYFUNCTION("""COMPUTED_VALUE"""),"Mushrooms Cooked From Canned Made With Oil")</f>
        <v>Mushrooms Cooked From Canned Made With Oil</v>
      </c>
      <c r="C2934" t="str">
        <f>IFERROR(__xludf.DUMMYFUNCTION("""COMPUTED_VALUE"""),"Vegetables")</f>
        <v>Vegetables</v>
      </c>
      <c r="D2934">
        <f>IFERROR(__xludf.DUMMYFUNCTION("""COMPUTED_VALUE"""),49.0)</f>
        <v>49</v>
      </c>
      <c r="E2934">
        <f>IFERROR(__xludf.DUMMYFUNCTION("""COMPUTED_VALUE"""),3.09)</f>
        <v>3.09</v>
      </c>
      <c r="F2934">
        <f>IFERROR(__xludf.DUMMYFUNCTION("""COMPUTED_VALUE"""),1.81)</f>
        <v>1.81</v>
      </c>
      <c r="G2934">
        <f>IFERROR(__xludf.DUMMYFUNCTION("""COMPUTED_VALUE"""),4.92)</f>
        <v>4.92</v>
      </c>
    </row>
    <row r="2935">
      <c r="A2935">
        <f>IFERROR(__xludf.DUMMYFUNCTION("""COMPUTED_VALUE"""),788311.0)</f>
        <v>788311</v>
      </c>
      <c r="B2935" t="str">
        <f>IFERROR(__xludf.DUMMYFUNCTION("""COMPUTED_VALUE"""),"Mushrooms Cooked From Canned Made With Butter")</f>
        <v>Mushrooms Cooked From Canned Made With Butter</v>
      </c>
      <c r="C2935" t="str">
        <f>IFERROR(__xludf.DUMMYFUNCTION("""COMPUTED_VALUE"""),"Vegetables")</f>
        <v>Vegetables</v>
      </c>
      <c r="D2935">
        <f>IFERROR(__xludf.DUMMYFUNCTION("""COMPUTED_VALUE"""),45.0)</f>
        <v>45</v>
      </c>
      <c r="E2935">
        <f>IFERROR(__xludf.DUMMYFUNCTION("""COMPUTED_VALUE"""),2.65)</f>
        <v>2.65</v>
      </c>
      <c r="F2935">
        <f>IFERROR(__xludf.DUMMYFUNCTION("""COMPUTED_VALUE"""),1.83)</f>
        <v>1.83</v>
      </c>
      <c r="G2935">
        <f>IFERROR(__xludf.DUMMYFUNCTION("""COMPUTED_VALUE"""),4.91)</f>
        <v>4.91</v>
      </c>
    </row>
    <row r="2936">
      <c r="A2936">
        <f>IFERROR(__xludf.DUMMYFUNCTION("""COMPUTED_VALUE"""),788312.0)</f>
        <v>788312</v>
      </c>
      <c r="B2936" t="str">
        <f>IFERROR(__xludf.DUMMYFUNCTION("""COMPUTED_VALUE"""),"Mushrooms Cooked From Canned Made With Margarine")</f>
        <v>Mushrooms Cooked From Canned Made With Margarine</v>
      </c>
      <c r="C2936" t="str">
        <f>IFERROR(__xludf.DUMMYFUNCTION("""COMPUTED_VALUE"""),"Vegetables")</f>
        <v>Vegetables</v>
      </c>
      <c r="D2936">
        <f>IFERROR(__xludf.DUMMYFUNCTION("""COMPUTED_VALUE"""),40.0)</f>
        <v>40</v>
      </c>
      <c r="E2936">
        <f>IFERROR(__xludf.DUMMYFUNCTION("""COMPUTED_VALUE"""),2.04)</f>
        <v>2.04</v>
      </c>
      <c r="F2936">
        <f>IFERROR(__xludf.DUMMYFUNCTION("""COMPUTED_VALUE"""),1.81)</f>
        <v>1.81</v>
      </c>
      <c r="G2936">
        <f>IFERROR(__xludf.DUMMYFUNCTION("""COMPUTED_VALUE"""),4.93)</f>
        <v>4.93</v>
      </c>
    </row>
    <row r="2937">
      <c r="A2937">
        <f>IFERROR(__xludf.DUMMYFUNCTION("""COMPUTED_VALUE"""),788313.0)</f>
        <v>788313</v>
      </c>
      <c r="B2937" t="str">
        <f>IFERROR(__xludf.DUMMYFUNCTION("""COMPUTED_VALUE"""),"Mushroom Asian Cooked From Dried")</f>
        <v>Mushroom Asian Cooked From Dried</v>
      </c>
      <c r="C2937" t="str">
        <f>IFERROR(__xludf.DUMMYFUNCTION("""COMPUTED_VALUE"""),"Vegetables")</f>
        <v>Vegetables</v>
      </c>
      <c r="D2937">
        <f>IFERROR(__xludf.DUMMYFUNCTION("""COMPUTED_VALUE"""),56.0)</f>
        <v>56</v>
      </c>
      <c r="E2937">
        <f>IFERROR(__xludf.DUMMYFUNCTION("""COMPUTED_VALUE"""),0.22)</f>
        <v>0.22</v>
      </c>
      <c r="F2937">
        <f>IFERROR(__xludf.DUMMYFUNCTION("""COMPUTED_VALUE"""),1.55)</f>
        <v>1.55</v>
      </c>
      <c r="G2937">
        <f>IFERROR(__xludf.DUMMYFUNCTION("""COMPUTED_VALUE"""),14.29)</f>
        <v>14.29</v>
      </c>
    </row>
    <row r="2938">
      <c r="A2938">
        <f>IFERROR(__xludf.DUMMYFUNCTION("""COMPUTED_VALUE"""),788314.0)</f>
        <v>788314</v>
      </c>
      <c r="B2938" t="str">
        <f>IFERROR(__xludf.DUMMYFUNCTION("""COMPUTED_VALUE"""),"Okra Cooked Ns As To Form Ns As To Fat Added In Cooking")</f>
        <v>Okra Cooked Ns As To Form Ns As To Fat Added In Cooking</v>
      </c>
      <c r="C2938" t="str">
        <f>IFERROR(__xludf.DUMMYFUNCTION("""COMPUTED_VALUE"""),"Vegetables")</f>
        <v>Vegetables</v>
      </c>
      <c r="D2938">
        <f>IFERROR(__xludf.DUMMYFUNCTION("""COMPUTED_VALUE"""),44.0)</f>
        <v>44</v>
      </c>
      <c r="E2938">
        <f>IFERROR(__xludf.DUMMYFUNCTION("""COMPUTED_VALUE"""),2.04)</f>
        <v>2.04</v>
      </c>
      <c r="F2938">
        <f>IFERROR(__xludf.DUMMYFUNCTION("""COMPUTED_VALUE"""),1.6)</f>
        <v>1.6</v>
      </c>
      <c r="G2938">
        <f>IFERROR(__xludf.DUMMYFUNCTION("""COMPUTED_VALUE"""),6.23)</f>
        <v>6.23</v>
      </c>
    </row>
    <row r="2939">
      <c r="A2939">
        <f>IFERROR(__xludf.DUMMYFUNCTION("""COMPUTED_VALUE"""),788315.0)</f>
        <v>788315</v>
      </c>
      <c r="B2939" t="str">
        <f>IFERROR(__xludf.DUMMYFUNCTION("""COMPUTED_VALUE"""),"Okra Cooked From Fresh Ns As To Fat Added In Cooking")</f>
        <v>Okra Cooked From Fresh Ns As To Fat Added In Cooking</v>
      </c>
      <c r="C2939" t="str">
        <f>IFERROR(__xludf.DUMMYFUNCTION("""COMPUTED_VALUE"""),"Vegetables")</f>
        <v>Vegetables</v>
      </c>
      <c r="D2939">
        <f>IFERROR(__xludf.DUMMYFUNCTION("""COMPUTED_VALUE"""),40.0)</f>
        <v>40</v>
      </c>
      <c r="E2939">
        <f>IFERROR(__xludf.DUMMYFUNCTION("""COMPUTED_VALUE"""),2.27)</f>
        <v>2.27</v>
      </c>
      <c r="F2939">
        <f>IFERROR(__xludf.DUMMYFUNCTION("""COMPUTED_VALUE"""),1.82)</f>
        <v>1.82</v>
      </c>
      <c r="G2939">
        <f>IFERROR(__xludf.DUMMYFUNCTION("""COMPUTED_VALUE"""),4.36)</f>
        <v>4.36</v>
      </c>
    </row>
    <row r="2940">
      <c r="A2940">
        <f>IFERROR(__xludf.DUMMYFUNCTION("""COMPUTED_VALUE"""),788316.0)</f>
        <v>788316</v>
      </c>
      <c r="B2940" t="str">
        <f>IFERROR(__xludf.DUMMYFUNCTION("""COMPUTED_VALUE"""),"Okra Cooked From Frozen Ns As To Fat Added In Cooking")</f>
        <v>Okra Cooked From Frozen Ns As To Fat Added In Cooking</v>
      </c>
      <c r="C2940" t="str">
        <f>IFERROR(__xludf.DUMMYFUNCTION("""COMPUTED_VALUE"""),"Vegetables")</f>
        <v>Vegetables</v>
      </c>
      <c r="D2940">
        <f>IFERROR(__xludf.DUMMYFUNCTION("""COMPUTED_VALUE"""),44.0)</f>
        <v>44</v>
      </c>
      <c r="E2940">
        <f>IFERROR(__xludf.DUMMYFUNCTION("""COMPUTED_VALUE"""),2.04)</f>
        <v>2.04</v>
      </c>
      <c r="F2940">
        <f>IFERROR(__xludf.DUMMYFUNCTION("""COMPUTED_VALUE"""),1.6)</f>
        <v>1.6</v>
      </c>
      <c r="G2940">
        <f>IFERROR(__xludf.DUMMYFUNCTION("""COMPUTED_VALUE"""),6.23)</f>
        <v>6.23</v>
      </c>
    </row>
    <row r="2941">
      <c r="A2941">
        <f>IFERROR(__xludf.DUMMYFUNCTION("""COMPUTED_VALUE"""),788317.0)</f>
        <v>788317</v>
      </c>
      <c r="B2941" t="str">
        <f>IFERROR(__xludf.DUMMYFUNCTION("""COMPUTED_VALUE"""),"Okra Cooked From Canned Ns As To Fat Added In Cooking")</f>
        <v>Okra Cooked From Canned Ns As To Fat Added In Cooking</v>
      </c>
      <c r="C2941" t="str">
        <f>IFERROR(__xludf.DUMMYFUNCTION("""COMPUTED_VALUE"""),"Vegetables")</f>
        <v>Vegetables</v>
      </c>
      <c r="D2941">
        <f>IFERROR(__xludf.DUMMYFUNCTION("""COMPUTED_VALUE"""),40.0)</f>
        <v>40</v>
      </c>
      <c r="E2941">
        <f>IFERROR(__xludf.DUMMYFUNCTION("""COMPUTED_VALUE"""),2.27)</f>
        <v>2.27</v>
      </c>
      <c r="F2941">
        <f>IFERROR(__xludf.DUMMYFUNCTION("""COMPUTED_VALUE"""),1.82)</f>
        <v>1.82</v>
      </c>
      <c r="G2941">
        <f>IFERROR(__xludf.DUMMYFUNCTION("""COMPUTED_VALUE"""),4.36)</f>
        <v>4.36</v>
      </c>
    </row>
    <row r="2942">
      <c r="A2942">
        <f>IFERROR(__xludf.DUMMYFUNCTION("""COMPUTED_VALUE"""),788318.0)</f>
        <v>788318</v>
      </c>
      <c r="B2942" t="str">
        <f>IFERROR(__xludf.DUMMYFUNCTION("""COMPUTED_VALUE"""),"Okra Cooked Ns As To Form Fat Not Added In Cooking")</f>
        <v>Okra Cooked Ns As To Form Fat Not Added In Cooking</v>
      </c>
      <c r="C2942" t="str">
        <f>IFERROR(__xludf.DUMMYFUNCTION("""COMPUTED_VALUE"""),"Vegetables")</f>
        <v>Vegetables</v>
      </c>
      <c r="D2942">
        <f>IFERROR(__xludf.DUMMYFUNCTION("""COMPUTED_VALUE"""),29.0)</f>
        <v>29</v>
      </c>
      <c r="E2942">
        <f>IFERROR(__xludf.DUMMYFUNCTION("""COMPUTED_VALUE"""),0.24)</f>
        <v>0.24</v>
      </c>
      <c r="F2942">
        <f>IFERROR(__xludf.DUMMYFUNCTION("""COMPUTED_VALUE"""),1.62)</f>
        <v>1.62</v>
      </c>
      <c r="G2942">
        <f>IFERROR(__xludf.DUMMYFUNCTION("""COMPUTED_VALUE"""),6.38)</f>
        <v>6.38</v>
      </c>
    </row>
    <row r="2943">
      <c r="A2943">
        <f>IFERROR(__xludf.DUMMYFUNCTION("""COMPUTED_VALUE"""),788319.0)</f>
        <v>788319</v>
      </c>
      <c r="B2943" t="str">
        <f>IFERROR(__xludf.DUMMYFUNCTION("""COMPUTED_VALUE"""),"Okra Cooked From Fresh Fat Not Added In Cooking")</f>
        <v>Okra Cooked From Fresh Fat Not Added In Cooking</v>
      </c>
      <c r="C2943" t="str">
        <f>IFERROR(__xludf.DUMMYFUNCTION("""COMPUTED_VALUE"""),"Vegetables")</f>
        <v>Vegetables</v>
      </c>
      <c r="D2943">
        <f>IFERROR(__xludf.DUMMYFUNCTION("""COMPUTED_VALUE"""),22.0)</f>
        <v>22</v>
      </c>
      <c r="E2943">
        <f>IFERROR(__xludf.DUMMYFUNCTION("""COMPUTED_VALUE"""),0.21)</f>
        <v>0.21</v>
      </c>
      <c r="F2943">
        <f>IFERROR(__xludf.DUMMYFUNCTION("""COMPUTED_VALUE"""),1.86)</f>
        <v>1.86</v>
      </c>
      <c r="G2943">
        <f>IFERROR(__xludf.DUMMYFUNCTION("""COMPUTED_VALUE"""),4.48)</f>
        <v>4.48</v>
      </c>
    </row>
    <row r="2944">
      <c r="A2944">
        <f>IFERROR(__xludf.DUMMYFUNCTION("""COMPUTED_VALUE"""),788320.0)</f>
        <v>788320</v>
      </c>
      <c r="B2944" t="str">
        <f>IFERROR(__xludf.DUMMYFUNCTION("""COMPUTED_VALUE"""),"Okra Cooked From Frozen Fat Not Added In Cooking")</f>
        <v>Okra Cooked From Frozen Fat Not Added In Cooking</v>
      </c>
      <c r="C2944" t="str">
        <f>IFERROR(__xludf.DUMMYFUNCTION("""COMPUTED_VALUE"""),"Vegetables")</f>
        <v>Vegetables</v>
      </c>
      <c r="D2944">
        <f>IFERROR(__xludf.DUMMYFUNCTION("""COMPUTED_VALUE"""),29.0)</f>
        <v>29</v>
      </c>
      <c r="E2944">
        <f>IFERROR(__xludf.DUMMYFUNCTION("""COMPUTED_VALUE"""),0.24)</f>
        <v>0.24</v>
      </c>
      <c r="F2944">
        <f>IFERROR(__xludf.DUMMYFUNCTION("""COMPUTED_VALUE"""),1.62)</f>
        <v>1.62</v>
      </c>
      <c r="G2944">
        <f>IFERROR(__xludf.DUMMYFUNCTION("""COMPUTED_VALUE"""),6.38)</f>
        <v>6.38</v>
      </c>
    </row>
    <row r="2945">
      <c r="A2945">
        <f>IFERROR(__xludf.DUMMYFUNCTION("""COMPUTED_VALUE"""),788321.0)</f>
        <v>788321</v>
      </c>
      <c r="B2945" t="str">
        <f>IFERROR(__xludf.DUMMYFUNCTION("""COMPUTED_VALUE"""),"Okra Cooked From Canned Fat Not Added In Cooking")</f>
        <v>Okra Cooked From Canned Fat Not Added In Cooking</v>
      </c>
      <c r="C2945" t="str">
        <f>IFERROR(__xludf.DUMMYFUNCTION("""COMPUTED_VALUE"""),"Vegetables")</f>
        <v>Vegetables</v>
      </c>
      <c r="D2945">
        <f>IFERROR(__xludf.DUMMYFUNCTION("""COMPUTED_VALUE"""),22.0)</f>
        <v>22</v>
      </c>
      <c r="E2945">
        <f>IFERROR(__xludf.DUMMYFUNCTION("""COMPUTED_VALUE"""),0.21)</f>
        <v>0.21</v>
      </c>
      <c r="F2945">
        <f>IFERROR(__xludf.DUMMYFUNCTION("""COMPUTED_VALUE"""),1.86)</f>
        <v>1.86</v>
      </c>
      <c r="G2945">
        <f>IFERROR(__xludf.DUMMYFUNCTION("""COMPUTED_VALUE"""),4.48)</f>
        <v>4.48</v>
      </c>
    </row>
    <row r="2946">
      <c r="A2946">
        <f>IFERROR(__xludf.DUMMYFUNCTION("""COMPUTED_VALUE"""),788322.0)</f>
        <v>788322</v>
      </c>
      <c r="B2946" t="str">
        <f>IFERROR(__xludf.DUMMYFUNCTION("""COMPUTED_VALUE"""),"Okra Cooked Ns As To Form Fat Added In Cooking Ns As To Type Of Fat")</f>
        <v>Okra Cooked Ns As To Form Fat Added In Cooking Ns As To Type Of Fat</v>
      </c>
      <c r="C2946" t="str">
        <f>IFERROR(__xludf.DUMMYFUNCTION("""COMPUTED_VALUE"""),"Vegetables")</f>
        <v>Vegetables</v>
      </c>
      <c r="D2946">
        <f>IFERROR(__xludf.DUMMYFUNCTION("""COMPUTED_VALUE"""),44.0)</f>
        <v>44</v>
      </c>
      <c r="E2946">
        <f>IFERROR(__xludf.DUMMYFUNCTION("""COMPUTED_VALUE"""),2.04)</f>
        <v>2.04</v>
      </c>
      <c r="F2946">
        <f>IFERROR(__xludf.DUMMYFUNCTION("""COMPUTED_VALUE"""),1.6)</f>
        <v>1.6</v>
      </c>
      <c r="G2946">
        <f>IFERROR(__xludf.DUMMYFUNCTION("""COMPUTED_VALUE"""),6.23)</f>
        <v>6.23</v>
      </c>
    </row>
    <row r="2947">
      <c r="A2947">
        <f>IFERROR(__xludf.DUMMYFUNCTION("""COMPUTED_VALUE"""),788323.0)</f>
        <v>788323</v>
      </c>
      <c r="B2947" t="str">
        <f>IFERROR(__xludf.DUMMYFUNCTION("""COMPUTED_VALUE"""),"Okra Cooked From Fresh Fat Added In Cooking Ns As To Type Of Fat")</f>
        <v>Okra Cooked From Fresh Fat Added In Cooking Ns As To Type Of Fat</v>
      </c>
      <c r="C2947" t="str">
        <f>IFERROR(__xludf.DUMMYFUNCTION("""COMPUTED_VALUE"""),"Vegetables")</f>
        <v>Vegetables</v>
      </c>
      <c r="D2947">
        <f>IFERROR(__xludf.DUMMYFUNCTION("""COMPUTED_VALUE"""),40.0)</f>
        <v>40</v>
      </c>
      <c r="E2947">
        <f>IFERROR(__xludf.DUMMYFUNCTION("""COMPUTED_VALUE"""),2.27)</f>
        <v>2.27</v>
      </c>
      <c r="F2947">
        <f>IFERROR(__xludf.DUMMYFUNCTION("""COMPUTED_VALUE"""),1.82)</f>
        <v>1.82</v>
      </c>
      <c r="G2947">
        <f>IFERROR(__xludf.DUMMYFUNCTION("""COMPUTED_VALUE"""),4.36)</f>
        <v>4.36</v>
      </c>
    </row>
    <row r="2948">
      <c r="A2948">
        <f>IFERROR(__xludf.DUMMYFUNCTION("""COMPUTED_VALUE"""),788324.0)</f>
        <v>788324</v>
      </c>
      <c r="B2948" t="str">
        <f>IFERROR(__xludf.DUMMYFUNCTION("""COMPUTED_VALUE"""),"Okra Cooked From Frozen Fat Added In Cooking Ns As To Type Of Fat")</f>
        <v>Okra Cooked From Frozen Fat Added In Cooking Ns As To Type Of Fat</v>
      </c>
      <c r="C2948" t="str">
        <f>IFERROR(__xludf.DUMMYFUNCTION("""COMPUTED_VALUE"""),"Vegetables")</f>
        <v>Vegetables</v>
      </c>
      <c r="D2948">
        <f>IFERROR(__xludf.DUMMYFUNCTION("""COMPUTED_VALUE"""),44.0)</f>
        <v>44</v>
      </c>
      <c r="E2948">
        <f>IFERROR(__xludf.DUMMYFUNCTION("""COMPUTED_VALUE"""),2.04)</f>
        <v>2.04</v>
      </c>
      <c r="F2948">
        <f>IFERROR(__xludf.DUMMYFUNCTION("""COMPUTED_VALUE"""),1.6)</f>
        <v>1.6</v>
      </c>
      <c r="G2948">
        <f>IFERROR(__xludf.DUMMYFUNCTION("""COMPUTED_VALUE"""),6.23)</f>
        <v>6.23</v>
      </c>
    </row>
    <row r="2949">
      <c r="A2949">
        <f>IFERROR(__xludf.DUMMYFUNCTION("""COMPUTED_VALUE"""),788325.0)</f>
        <v>788325</v>
      </c>
      <c r="B2949" t="str">
        <f>IFERROR(__xludf.DUMMYFUNCTION("""COMPUTED_VALUE"""),"Okra Cooked From Canned Fat Added In Cooking Ns As To Type Of Fat")</f>
        <v>Okra Cooked From Canned Fat Added In Cooking Ns As To Type Of Fat</v>
      </c>
      <c r="C2949" t="str">
        <f>IFERROR(__xludf.DUMMYFUNCTION("""COMPUTED_VALUE"""),"Vegetables")</f>
        <v>Vegetables</v>
      </c>
      <c r="D2949">
        <f>IFERROR(__xludf.DUMMYFUNCTION("""COMPUTED_VALUE"""),40.0)</f>
        <v>40</v>
      </c>
      <c r="E2949">
        <f>IFERROR(__xludf.DUMMYFUNCTION("""COMPUTED_VALUE"""),2.27)</f>
        <v>2.27</v>
      </c>
      <c r="F2949">
        <f>IFERROR(__xludf.DUMMYFUNCTION("""COMPUTED_VALUE"""),1.82)</f>
        <v>1.82</v>
      </c>
      <c r="G2949">
        <f>IFERROR(__xludf.DUMMYFUNCTION("""COMPUTED_VALUE"""),4.36)</f>
        <v>4.36</v>
      </c>
    </row>
    <row r="2950">
      <c r="A2950">
        <f>IFERROR(__xludf.DUMMYFUNCTION("""COMPUTED_VALUE"""),788326.0)</f>
        <v>788326</v>
      </c>
      <c r="B2950" t="str">
        <f>IFERROR(__xludf.DUMMYFUNCTION("""COMPUTED_VALUE"""),"Okra Cooked Ns As To Form Made With Oil")</f>
        <v>Okra Cooked Ns As To Form Made With Oil</v>
      </c>
      <c r="C2950" t="str">
        <f>IFERROR(__xludf.DUMMYFUNCTION("""COMPUTED_VALUE"""),"Vegetables")</f>
        <v>Vegetables</v>
      </c>
      <c r="D2950">
        <f>IFERROR(__xludf.DUMMYFUNCTION("""COMPUTED_VALUE"""),49.0)</f>
        <v>49</v>
      </c>
      <c r="E2950">
        <f>IFERROR(__xludf.DUMMYFUNCTION("""COMPUTED_VALUE"""),2.63)</f>
        <v>2.63</v>
      </c>
      <c r="F2950">
        <f>IFERROR(__xludf.DUMMYFUNCTION("""COMPUTED_VALUE"""),1.58)</f>
        <v>1.58</v>
      </c>
      <c r="G2950">
        <f>IFERROR(__xludf.DUMMYFUNCTION("""COMPUTED_VALUE"""),6.22)</f>
        <v>6.22</v>
      </c>
    </row>
    <row r="2951">
      <c r="A2951">
        <f>IFERROR(__xludf.DUMMYFUNCTION("""COMPUTED_VALUE"""),788327.0)</f>
        <v>788327</v>
      </c>
      <c r="B2951" t="str">
        <f>IFERROR(__xludf.DUMMYFUNCTION("""COMPUTED_VALUE"""),"Okra Cooked Ns As To Form Made With Butter")</f>
        <v>Okra Cooked Ns As To Form Made With Butter</v>
      </c>
      <c r="C2951" t="str">
        <f>IFERROR(__xludf.DUMMYFUNCTION("""COMPUTED_VALUE"""),"Vegetables")</f>
        <v>Vegetables</v>
      </c>
      <c r="D2951">
        <f>IFERROR(__xludf.DUMMYFUNCTION("""COMPUTED_VALUE"""),46.0)</f>
        <v>46</v>
      </c>
      <c r="E2951">
        <f>IFERROR(__xludf.DUMMYFUNCTION("""COMPUTED_VALUE"""),2.25)</f>
        <v>2.25</v>
      </c>
      <c r="F2951">
        <f>IFERROR(__xludf.DUMMYFUNCTION("""COMPUTED_VALUE"""),1.6)</f>
        <v>1.6</v>
      </c>
      <c r="G2951">
        <f>IFERROR(__xludf.DUMMYFUNCTION("""COMPUTED_VALUE"""),6.22)</f>
        <v>6.22</v>
      </c>
    </row>
    <row r="2952">
      <c r="A2952">
        <f>IFERROR(__xludf.DUMMYFUNCTION("""COMPUTED_VALUE"""),788328.0)</f>
        <v>788328</v>
      </c>
      <c r="B2952" t="str">
        <f>IFERROR(__xludf.DUMMYFUNCTION("""COMPUTED_VALUE"""),"Okra Cooked Ns As To Form Made With Margarine")</f>
        <v>Okra Cooked Ns As To Form Made With Margarine</v>
      </c>
      <c r="C2952" t="str">
        <f>IFERROR(__xludf.DUMMYFUNCTION("""COMPUTED_VALUE"""),"Vegetables")</f>
        <v>Vegetables</v>
      </c>
      <c r="D2952">
        <f>IFERROR(__xludf.DUMMYFUNCTION("""COMPUTED_VALUE"""),42.0)</f>
        <v>42</v>
      </c>
      <c r="E2952">
        <f>IFERROR(__xludf.DUMMYFUNCTION("""COMPUTED_VALUE"""),1.74)</f>
        <v>1.74</v>
      </c>
      <c r="F2952">
        <f>IFERROR(__xludf.DUMMYFUNCTION("""COMPUTED_VALUE"""),1.58)</f>
        <v>1.58</v>
      </c>
      <c r="G2952">
        <f>IFERROR(__xludf.DUMMYFUNCTION("""COMPUTED_VALUE"""),6.24)</f>
        <v>6.24</v>
      </c>
    </row>
    <row r="2953">
      <c r="A2953">
        <f>IFERROR(__xludf.DUMMYFUNCTION("""COMPUTED_VALUE"""),788329.0)</f>
        <v>788329</v>
      </c>
      <c r="B2953" t="str">
        <f>IFERROR(__xludf.DUMMYFUNCTION("""COMPUTED_VALUE"""),"Okra Cooked From Fresh Made With Oil")</f>
        <v>Okra Cooked From Fresh Made With Oil</v>
      </c>
      <c r="C2953" t="str">
        <f>IFERROR(__xludf.DUMMYFUNCTION("""COMPUTED_VALUE"""),"Vegetables")</f>
        <v>Vegetables</v>
      </c>
      <c r="D2953">
        <f>IFERROR(__xludf.DUMMYFUNCTION("""COMPUTED_VALUE"""),46.0)</f>
        <v>46</v>
      </c>
      <c r="E2953">
        <f>IFERROR(__xludf.DUMMYFUNCTION("""COMPUTED_VALUE"""),2.95)</f>
        <v>2.95</v>
      </c>
      <c r="F2953">
        <f>IFERROR(__xludf.DUMMYFUNCTION("""COMPUTED_VALUE"""),1.81)</f>
        <v>1.81</v>
      </c>
      <c r="G2953">
        <f>IFERROR(__xludf.DUMMYFUNCTION("""COMPUTED_VALUE"""),4.36)</f>
        <v>4.36</v>
      </c>
    </row>
    <row r="2954">
      <c r="A2954">
        <f>IFERROR(__xludf.DUMMYFUNCTION("""COMPUTED_VALUE"""),788330.0)</f>
        <v>788330</v>
      </c>
      <c r="B2954" t="str">
        <f>IFERROR(__xludf.DUMMYFUNCTION("""COMPUTED_VALUE"""),"Okra Cooked From Fresh Made With Butter")</f>
        <v>Okra Cooked From Fresh Made With Butter</v>
      </c>
      <c r="C2954" t="str">
        <f>IFERROR(__xludf.DUMMYFUNCTION("""COMPUTED_VALUE"""),"Vegetables")</f>
        <v>Vegetables</v>
      </c>
      <c r="D2954">
        <f>IFERROR(__xludf.DUMMYFUNCTION("""COMPUTED_VALUE"""),42.0)</f>
        <v>42</v>
      </c>
      <c r="E2954">
        <f>IFERROR(__xludf.DUMMYFUNCTION("""COMPUTED_VALUE"""),2.52)</f>
        <v>2.52</v>
      </c>
      <c r="F2954">
        <f>IFERROR(__xludf.DUMMYFUNCTION("""COMPUTED_VALUE"""),1.83)</f>
        <v>1.83</v>
      </c>
      <c r="G2954">
        <f>IFERROR(__xludf.DUMMYFUNCTION("""COMPUTED_VALUE"""),4.36)</f>
        <v>4.36</v>
      </c>
    </row>
    <row r="2955">
      <c r="A2955">
        <f>IFERROR(__xludf.DUMMYFUNCTION("""COMPUTED_VALUE"""),788331.0)</f>
        <v>788331</v>
      </c>
      <c r="B2955" t="str">
        <f>IFERROR(__xludf.DUMMYFUNCTION("""COMPUTED_VALUE"""),"Okra Cooked From Fresh Made With Margarine")</f>
        <v>Okra Cooked From Fresh Made With Margarine</v>
      </c>
      <c r="C2955" t="str">
        <f>IFERROR(__xludf.DUMMYFUNCTION("""COMPUTED_VALUE"""),"Vegetables")</f>
        <v>Vegetables</v>
      </c>
      <c r="D2955">
        <f>IFERROR(__xludf.DUMMYFUNCTION("""COMPUTED_VALUE"""),37.0)</f>
        <v>37</v>
      </c>
      <c r="E2955">
        <f>IFERROR(__xludf.DUMMYFUNCTION("""COMPUTED_VALUE"""),1.92)</f>
        <v>1.92</v>
      </c>
      <c r="F2955">
        <f>IFERROR(__xludf.DUMMYFUNCTION("""COMPUTED_VALUE"""),1.81)</f>
        <v>1.81</v>
      </c>
      <c r="G2955">
        <f>IFERROR(__xludf.DUMMYFUNCTION("""COMPUTED_VALUE"""),4.38)</f>
        <v>4.38</v>
      </c>
    </row>
    <row r="2956">
      <c r="A2956">
        <f>IFERROR(__xludf.DUMMYFUNCTION("""COMPUTED_VALUE"""),788332.0)</f>
        <v>788332</v>
      </c>
      <c r="B2956" t="str">
        <f>IFERROR(__xludf.DUMMYFUNCTION("""COMPUTED_VALUE"""),"Okra Cooked From Frozen Made With Oil")</f>
        <v>Okra Cooked From Frozen Made With Oil</v>
      </c>
      <c r="C2956" t="str">
        <f>IFERROR(__xludf.DUMMYFUNCTION("""COMPUTED_VALUE"""),"Vegetables")</f>
        <v>Vegetables</v>
      </c>
      <c r="D2956">
        <f>IFERROR(__xludf.DUMMYFUNCTION("""COMPUTED_VALUE"""),49.0)</f>
        <v>49</v>
      </c>
      <c r="E2956">
        <f>IFERROR(__xludf.DUMMYFUNCTION("""COMPUTED_VALUE"""),2.63)</f>
        <v>2.63</v>
      </c>
      <c r="F2956">
        <f>IFERROR(__xludf.DUMMYFUNCTION("""COMPUTED_VALUE"""),1.58)</f>
        <v>1.58</v>
      </c>
      <c r="G2956">
        <f>IFERROR(__xludf.DUMMYFUNCTION("""COMPUTED_VALUE"""),6.22)</f>
        <v>6.22</v>
      </c>
    </row>
    <row r="2957">
      <c r="A2957">
        <f>IFERROR(__xludf.DUMMYFUNCTION("""COMPUTED_VALUE"""),788333.0)</f>
        <v>788333</v>
      </c>
      <c r="B2957" t="str">
        <f>IFERROR(__xludf.DUMMYFUNCTION("""COMPUTED_VALUE"""),"Okra Cooked From Frozen Made With Butter")</f>
        <v>Okra Cooked From Frozen Made With Butter</v>
      </c>
      <c r="C2957" t="str">
        <f>IFERROR(__xludf.DUMMYFUNCTION("""COMPUTED_VALUE"""),"Vegetables")</f>
        <v>Vegetables</v>
      </c>
      <c r="D2957">
        <f>IFERROR(__xludf.DUMMYFUNCTION("""COMPUTED_VALUE"""),46.0)</f>
        <v>46</v>
      </c>
      <c r="E2957">
        <f>IFERROR(__xludf.DUMMYFUNCTION("""COMPUTED_VALUE"""),2.25)</f>
        <v>2.25</v>
      </c>
      <c r="F2957">
        <f>IFERROR(__xludf.DUMMYFUNCTION("""COMPUTED_VALUE"""),1.6)</f>
        <v>1.6</v>
      </c>
      <c r="G2957">
        <f>IFERROR(__xludf.DUMMYFUNCTION("""COMPUTED_VALUE"""),6.22)</f>
        <v>6.22</v>
      </c>
    </row>
    <row r="2958">
      <c r="A2958">
        <f>IFERROR(__xludf.DUMMYFUNCTION("""COMPUTED_VALUE"""),788334.0)</f>
        <v>788334</v>
      </c>
      <c r="B2958" t="str">
        <f>IFERROR(__xludf.DUMMYFUNCTION("""COMPUTED_VALUE"""),"Okra Cooked From Frozen Made With Margarine")</f>
        <v>Okra Cooked From Frozen Made With Margarine</v>
      </c>
      <c r="C2958" t="str">
        <f>IFERROR(__xludf.DUMMYFUNCTION("""COMPUTED_VALUE"""),"Vegetables")</f>
        <v>Vegetables</v>
      </c>
      <c r="D2958">
        <f>IFERROR(__xludf.DUMMYFUNCTION("""COMPUTED_VALUE"""),42.0)</f>
        <v>42</v>
      </c>
      <c r="E2958">
        <f>IFERROR(__xludf.DUMMYFUNCTION("""COMPUTED_VALUE"""),1.74)</f>
        <v>1.74</v>
      </c>
      <c r="F2958">
        <f>IFERROR(__xludf.DUMMYFUNCTION("""COMPUTED_VALUE"""),1.58)</f>
        <v>1.58</v>
      </c>
      <c r="G2958">
        <f>IFERROR(__xludf.DUMMYFUNCTION("""COMPUTED_VALUE"""),6.24)</f>
        <v>6.24</v>
      </c>
    </row>
    <row r="2959">
      <c r="A2959">
        <f>IFERROR(__xludf.DUMMYFUNCTION("""COMPUTED_VALUE"""),788335.0)</f>
        <v>788335</v>
      </c>
      <c r="B2959" t="str">
        <f>IFERROR(__xludf.DUMMYFUNCTION("""COMPUTED_VALUE"""),"Okra Cooked From Canned Made With Oil")</f>
        <v>Okra Cooked From Canned Made With Oil</v>
      </c>
      <c r="C2959" t="str">
        <f>IFERROR(__xludf.DUMMYFUNCTION("""COMPUTED_VALUE"""),"Vegetables")</f>
        <v>Vegetables</v>
      </c>
      <c r="D2959">
        <f>IFERROR(__xludf.DUMMYFUNCTION("""COMPUTED_VALUE"""),46.0)</f>
        <v>46</v>
      </c>
      <c r="E2959">
        <f>IFERROR(__xludf.DUMMYFUNCTION("""COMPUTED_VALUE"""),2.95)</f>
        <v>2.95</v>
      </c>
      <c r="F2959">
        <f>IFERROR(__xludf.DUMMYFUNCTION("""COMPUTED_VALUE"""),1.81)</f>
        <v>1.81</v>
      </c>
      <c r="G2959">
        <f>IFERROR(__xludf.DUMMYFUNCTION("""COMPUTED_VALUE"""),4.36)</f>
        <v>4.36</v>
      </c>
    </row>
    <row r="2960">
      <c r="A2960">
        <f>IFERROR(__xludf.DUMMYFUNCTION("""COMPUTED_VALUE"""),788336.0)</f>
        <v>788336</v>
      </c>
      <c r="B2960" t="str">
        <f>IFERROR(__xludf.DUMMYFUNCTION("""COMPUTED_VALUE"""),"Okra Cooked From Canned Made With Butter")</f>
        <v>Okra Cooked From Canned Made With Butter</v>
      </c>
      <c r="C2960" t="str">
        <f>IFERROR(__xludf.DUMMYFUNCTION("""COMPUTED_VALUE"""),"Vegetables")</f>
        <v>Vegetables</v>
      </c>
      <c r="D2960">
        <f>IFERROR(__xludf.DUMMYFUNCTION("""COMPUTED_VALUE"""),42.0)</f>
        <v>42</v>
      </c>
      <c r="E2960">
        <f>IFERROR(__xludf.DUMMYFUNCTION("""COMPUTED_VALUE"""),2.52)</f>
        <v>2.52</v>
      </c>
      <c r="F2960">
        <f>IFERROR(__xludf.DUMMYFUNCTION("""COMPUTED_VALUE"""),1.83)</f>
        <v>1.83</v>
      </c>
      <c r="G2960">
        <f>IFERROR(__xludf.DUMMYFUNCTION("""COMPUTED_VALUE"""),4.36)</f>
        <v>4.36</v>
      </c>
    </row>
    <row r="2961">
      <c r="A2961">
        <f>IFERROR(__xludf.DUMMYFUNCTION("""COMPUTED_VALUE"""),788337.0)</f>
        <v>788337</v>
      </c>
      <c r="B2961" t="str">
        <f>IFERROR(__xludf.DUMMYFUNCTION("""COMPUTED_VALUE"""),"Okra Cooked From Canned Made With Margarine")</f>
        <v>Okra Cooked From Canned Made With Margarine</v>
      </c>
      <c r="C2961" t="str">
        <f>IFERROR(__xludf.DUMMYFUNCTION("""COMPUTED_VALUE"""),"Vegetables")</f>
        <v>Vegetables</v>
      </c>
      <c r="D2961">
        <f>IFERROR(__xludf.DUMMYFUNCTION("""COMPUTED_VALUE"""),37.0)</f>
        <v>37</v>
      </c>
      <c r="E2961">
        <f>IFERROR(__xludf.DUMMYFUNCTION("""COMPUTED_VALUE"""),1.92)</f>
        <v>1.92</v>
      </c>
      <c r="F2961">
        <f>IFERROR(__xludf.DUMMYFUNCTION("""COMPUTED_VALUE"""),1.81)</f>
        <v>1.81</v>
      </c>
      <c r="G2961">
        <f>IFERROR(__xludf.DUMMYFUNCTION("""COMPUTED_VALUE"""),4.38)</f>
        <v>4.38</v>
      </c>
    </row>
    <row r="2962">
      <c r="A2962">
        <f>IFERROR(__xludf.DUMMYFUNCTION("""COMPUTED_VALUE"""),788338.0)</f>
        <v>788338</v>
      </c>
      <c r="B2962" t="str">
        <f>IFERROR(__xludf.DUMMYFUNCTION("""COMPUTED_VALUE"""),"Lettuce Cooked Ns As To Fat Added In Cooking")</f>
        <v>Lettuce Cooked Ns As To Fat Added In Cooking</v>
      </c>
      <c r="C2962" t="str">
        <f>IFERROR(__xludf.DUMMYFUNCTION("""COMPUTED_VALUE"""),"Vegetables")</f>
        <v>Vegetables</v>
      </c>
      <c r="D2962">
        <f>IFERROR(__xludf.DUMMYFUNCTION("""COMPUTED_VALUE"""),50.0)</f>
        <v>50</v>
      </c>
      <c r="E2962">
        <f>IFERROR(__xludf.DUMMYFUNCTION("""COMPUTED_VALUE"""),3.54)</f>
        <v>3.54</v>
      </c>
      <c r="F2962">
        <f>IFERROR(__xludf.DUMMYFUNCTION("""COMPUTED_VALUE"""),1.32)</f>
        <v>1.32</v>
      </c>
      <c r="G2962">
        <f>IFERROR(__xludf.DUMMYFUNCTION("""COMPUTED_VALUE"""),4.29)</f>
        <v>4.29</v>
      </c>
    </row>
    <row r="2963">
      <c r="A2963">
        <f>IFERROR(__xludf.DUMMYFUNCTION("""COMPUTED_VALUE"""),788339.0)</f>
        <v>788339</v>
      </c>
      <c r="B2963" t="str">
        <f>IFERROR(__xludf.DUMMYFUNCTION("""COMPUTED_VALUE"""),"Lettuce Cooked Fat Not Added In Cooking")</f>
        <v>Lettuce Cooked Fat Not Added In Cooking</v>
      </c>
      <c r="C2963" t="str">
        <f>IFERROR(__xludf.DUMMYFUNCTION("""COMPUTED_VALUE"""),"Vegetables")</f>
        <v>Vegetables</v>
      </c>
      <c r="D2963">
        <f>IFERROR(__xludf.DUMMYFUNCTION("""COMPUTED_VALUE"""),14.0)</f>
        <v>14</v>
      </c>
      <c r="E2963">
        <f>IFERROR(__xludf.DUMMYFUNCTION("""COMPUTED_VALUE"""),0.14)</f>
        <v>0.14</v>
      </c>
      <c r="F2963">
        <f>IFERROR(__xludf.DUMMYFUNCTION("""COMPUTED_VALUE"""),0.9)</f>
        <v>0.9</v>
      </c>
      <c r="G2963">
        <f>IFERROR(__xludf.DUMMYFUNCTION("""COMPUTED_VALUE"""),2.95)</f>
        <v>2.95</v>
      </c>
    </row>
    <row r="2964">
      <c r="A2964">
        <f>IFERROR(__xludf.DUMMYFUNCTION("""COMPUTED_VALUE"""),788340.0)</f>
        <v>788340</v>
      </c>
      <c r="B2964" t="str">
        <f>IFERROR(__xludf.DUMMYFUNCTION("""COMPUTED_VALUE"""),"Lettuce Cooked Fat Added In Cooking")</f>
        <v>Lettuce Cooked Fat Added In Cooking</v>
      </c>
      <c r="C2964" t="str">
        <f>IFERROR(__xludf.DUMMYFUNCTION("""COMPUTED_VALUE"""),"Vegetables")</f>
        <v>Vegetables</v>
      </c>
      <c r="D2964">
        <f>IFERROR(__xludf.DUMMYFUNCTION("""COMPUTED_VALUE"""),50.0)</f>
        <v>50</v>
      </c>
      <c r="E2964">
        <f>IFERROR(__xludf.DUMMYFUNCTION("""COMPUTED_VALUE"""),3.54)</f>
        <v>3.54</v>
      </c>
      <c r="F2964">
        <f>IFERROR(__xludf.DUMMYFUNCTION("""COMPUTED_VALUE"""),1.32)</f>
        <v>1.32</v>
      </c>
      <c r="G2964">
        <f>IFERROR(__xludf.DUMMYFUNCTION("""COMPUTED_VALUE"""),4.29)</f>
        <v>4.29</v>
      </c>
    </row>
    <row r="2965">
      <c r="A2965">
        <f>IFERROR(__xludf.DUMMYFUNCTION("""COMPUTED_VALUE"""),788341.0)</f>
        <v>788341</v>
      </c>
      <c r="B2965" t="str">
        <f>IFERROR(__xludf.DUMMYFUNCTION("""COMPUTED_VALUE"""),"Luffa Cooked Ns As To Fat Added In Cooking")</f>
        <v>Luffa Cooked Ns As To Fat Added In Cooking</v>
      </c>
      <c r="C2965" t="str">
        <f>IFERROR(__xludf.DUMMYFUNCTION("""COMPUTED_VALUE"""),"Vegetables")</f>
        <v>Vegetables</v>
      </c>
      <c r="D2965">
        <f>IFERROR(__xludf.DUMMYFUNCTION("""COMPUTED_VALUE"""),46.0)</f>
        <v>46</v>
      </c>
      <c r="E2965">
        <f>IFERROR(__xludf.DUMMYFUNCTION("""COMPUTED_VALUE"""),2.95)</f>
        <v>2.95</v>
      </c>
      <c r="F2965">
        <f>IFERROR(__xludf.DUMMYFUNCTION("""COMPUTED_VALUE"""),1.81)</f>
        <v>1.81</v>
      </c>
      <c r="G2965">
        <f>IFERROR(__xludf.DUMMYFUNCTION("""COMPUTED_VALUE"""),4.36)</f>
        <v>4.36</v>
      </c>
    </row>
    <row r="2966">
      <c r="A2966">
        <f>IFERROR(__xludf.DUMMYFUNCTION("""COMPUTED_VALUE"""),788342.0)</f>
        <v>788342</v>
      </c>
      <c r="B2966" t="str">
        <f>IFERROR(__xludf.DUMMYFUNCTION("""COMPUTED_VALUE"""),"Luffa Cooked Fat Not Added In Cooking")</f>
        <v>Luffa Cooked Fat Not Added In Cooking</v>
      </c>
      <c r="C2966" t="str">
        <f>IFERROR(__xludf.DUMMYFUNCTION("""COMPUTED_VALUE"""),"Vegetables")</f>
        <v>Vegetables</v>
      </c>
      <c r="D2966">
        <f>IFERROR(__xludf.DUMMYFUNCTION("""COMPUTED_VALUE"""),22.0)</f>
        <v>22</v>
      </c>
      <c r="E2966">
        <f>IFERROR(__xludf.DUMMYFUNCTION("""COMPUTED_VALUE"""),0.21)</f>
        <v>0.21</v>
      </c>
      <c r="F2966">
        <f>IFERROR(__xludf.DUMMYFUNCTION("""COMPUTED_VALUE"""),1.86)</f>
        <v>1.86</v>
      </c>
      <c r="G2966">
        <f>IFERROR(__xludf.DUMMYFUNCTION("""COMPUTED_VALUE"""),4.48)</f>
        <v>4.48</v>
      </c>
    </row>
    <row r="2967">
      <c r="A2967">
        <f>IFERROR(__xludf.DUMMYFUNCTION("""COMPUTED_VALUE"""),788343.0)</f>
        <v>788343</v>
      </c>
      <c r="B2967" t="str">
        <f>IFERROR(__xludf.DUMMYFUNCTION("""COMPUTED_VALUE"""),"Luffa Cooked Fat Added In Cooking")</f>
        <v>Luffa Cooked Fat Added In Cooking</v>
      </c>
      <c r="C2967" t="str">
        <f>IFERROR(__xludf.DUMMYFUNCTION("""COMPUTED_VALUE"""),"Vegetables")</f>
        <v>Vegetables</v>
      </c>
      <c r="D2967">
        <f>IFERROR(__xludf.DUMMYFUNCTION("""COMPUTED_VALUE"""),46.0)</f>
        <v>46</v>
      </c>
      <c r="E2967">
        <f>IFERROR(__xludf.DUMMYFUNCTION("""COMPUTED_VALUE"""),2.95)</f>
        <v>2.95</v>
      </c>
      <c r="F2967">
        <f>IFERROR(__xludf.DUMMYFUNCTION("""COMPUTED_VALUE"""),1.81)</f>
        <v>1.81</v>
      </c>
      <c r="G2967">
        <f>IFERROR(__xludf.DUMMYFUNCTION("""COMPUTED_VALUE"""),4.36)</f>
        <v>4.36</v>
      </c>
    </row>
    <row r="2968">
      <c r="A2968">
        <f>IFERROR(__xludf.DUMMYFUNCTION("""COMPUTED_VALUE"""),788344.0)</f>
        <v>788344</v>
      </c>
      <c r="B2968" t="str">
        <f>IFERROR(__xludf.DUMMYFUNCTION("""COMPUTED_VALUE"""),"Onions Cooked Ns As To Form Ns As To Fat Added In Cooking")</f>
        <v>Onions Cooked Ns As To Form Ns As To Fat Added In Cooking</v>
      </c>
      <c r="C2968" t="str">
        <f>IFERROR(__xludf.DUMMYFUNCTION("""COMPUTED_VALUE"""),"Vegetables")</f>
        <v>Vegetables</v>
      </c>
      <c r="D2968">
        <f>IFERROR(__xludf.DUMMYFUNCTION("""COMPUTED_VALUE"""),40.0)</f>
        <v>40</v>
      </c>
      <c r="E2968">
        <f>IFERROR(__xludf.DUMMYFUNCTION("""COMPUTED_VALUE"""),1.5)</f>
        <v>1.5</v>
      </c>
      <c r="F2968">
        <f>IFERROR(__xludf.DUMMYFUNCTION("""COMPUTED_VALUE"""),0.76)</f>
        <v>0.76</v>
      </c>
      <c r="G2968">
        <f>IFERROR(__xludf.DUMMYFUNCTION("""COMPUTED_VALUE"""),6.44)</f>
        <v>6.44</v>
      </c>
    </row>
    <row r="2969">
      <c r="A2969">
        <f>IFERROR(__xludf.DUMMYFUNCTION("""COMPUTED_VALUE"""),788345.0)</f>
        <v>788345</v>
      </c>
      <c r="B2969" t="str">
        <f>IFERROR(__xludf.DUMMYFUNCTION("""COMPUTED_VALUE"""),"Onions Cooked From Fresh Ns As To Fat Added In Cooking")</f>
        <v>Onions Cooked From Fresh Ns As To Fat Added In Cooking</v>
      </c>
      <c r="C2969" t="str">
        <f>IFERROR(__xludf.DUMMYFUNCTION("""COMPUTED_VALUE"""),"Vegetables")</f>
        <v>Vegetables</v>
      </c>
      <c r="D2969">
        <f>IFERROR(__xludf.DUMMYFUNCTION("""COMPUTED_VALUE"""),57.0)</f>
        <v>57</v>
      </c>
      <c r="E2969">
        <f>IFERROR(__xludf.DUMMYFUNCTION("""COMPUTED_VALUE"""),1.78)</f>
        <v>1.78</v>
      </c>
      <c r="F2969">
        <f>IFERROR(__xludf.DUMMYFUNCTION("""COMPUTED_VALUE"""),1.34)</f>
        <v>1.34</v>
      </c>
      <c r="G2969">
        <f>IFERROR(__xludf.DUMMYFUNCTION("""COMPUTED_VALUE"""),9.89)</f>
        <v>9.89</v>
      </c>
    </row>
    <row r="2970">
      <c r="A2970">
        <f>IFERROR(__xludf.DUMMYFUNCTION("""COMPUTED_VALUE"""),788346.0)</f>
        <v>788346</v>
      </c>
      <c r="B2970" t="str">
        <f>IFERROR(__xludf.DUMMYFUNCTION("""COMPUTED_VALUE"""),"Onions Cooked From Frozen Ns As To Fat Added In Cooking")</f>
        <v>Onions Cooked From Frozen Ns As To Fat Added In Cooking</v>
      </c>
      <c r="C2970" t="str">
        <f>IFERROR(__xludf.DUMMYFUNCTION("""COMPUTED_VALUE"""),"Vegetables")</f>
        <v>Vegetables</v>
      </c>
      <c r="D2970">
        <f>IFERROR(__xludf.DUMMYFUNCTION("""COMPUTED_VALUE"""),40.0)</f>
        <v>40</v>
      </c>
      <c r="E2970">
        <f>IFERROR(__xludf.DUMMYFUNCTION("""COMPUTED_VALUE"""),1.5)</f>
        <v>1.5</v>
      </c>
      <c r="F2970">
        <f>IFERROR(__xludf.DUMMYFUNCTION("""COMPUTED_VALUE"""),0.76)</f>
        <v>0.76</v>
      </c>
      <c r="G2970">
        <f>IFERROR(__xludf.DUMMYFUNCTION("""COMPUTED_VALUE"""),6.44)</f>
        <v>6.44</v>
      </c>
    </row>
    <row r="2971">
      <c r="A2971">
        <f>IFERROR(__xludf.DUMMYFUNCTION("""COMPUTED_VALUE"""),788347.0)</f>
        <v>788347</v>
      </c>
      <c r="B2971" t="str">
        <f>IFERROR(__xludf.DUMMYFUNCTION("""COMPUTED_VALUE"""),"Onions Cooked Ns As To Form Fat Not Added In Cooking")</f>
        <v>Onions Cooked Ns As To Form Fat Not Added In Cooking</v>
      </c>
      <c r="C2971" t="str">
        <f>IFERROR(__xludf.DUMMYFUNCTION("""COMPUTED_VALUE"""),"Vegetables")</f>
        <v>Vegetables</v>
      </c>
      <c r="D2971">
        <f>IFERROR(__xludf.DUMMYFUNCTION("""COMPUTED_VALUE"""),28.0)</f>
        <v>28</v>
      </c>
      <c r="E2971">
        <f>IFERROR(__xludf.DUMMYFUNCTION("""COMPUTED_VALUE"""),0.1)</f>
        <v>0.1</v>
      </c>
      <c r="F2971">
        <f>IFERROR(__xludf.DUMMYFUNCTION("""COMPUTED_VALUE"""),0.77)</f>
        <v>0.77</v>
      </c>
      <c r="G2971">
        <f>IFERROR(__xludf.DUMMYFUNCTION("""COMPUTED_VALUE"""),6.56)</f>
        <v>6.56</v>
      </c>
    </row>
    <row r="2972">
      <c r="A2972">
        <f>IFERROR(__xludf.DUMMYFUNCTION("""COMPUTED_VALUE"""),788348.0)</f>
        <v>788348</v>
      </c>
      <c r="B2972" t="str">
        <f>IFERROR(__xludf.DUMMYFUNCTION("""COMPUTED_VALUE"""),"Onions Cooked From Fresh Fat Not Added In Cooking")</f>
        <v>Onions Cooked From Fresh Fat Not Added In Cooking</v>
      </c>
      <c r="C2972" t="str">
        <f>IFERROR(__xludf.DUMMYFUNCTION("""COMPUTED_VALUE"""),"Vegetables")</f>
        <v>Vegetables</v>
      </c>
      <c r="D2972">
        <f>IFERROR(__xludf.DUMMYFUNCTION("""COMPUTED_VALUE"""),44.0)</f>
        <v>44</v>
      </c>
      <c r="E2972">
        <f>IFERROR(__xludf.DUMMYFUNCTION("""COMPUTED_VALUE"""),0.19)</f>
        <v>0.19</v>
      </c>
      <c r="F2972">
        <f>IFERROR(__xludf.DUMMYFUNCTION("""COMPUTED_VALUE"""),1.35)</f>
        <v>1.35</v>
      </c>
      <c r="G2972">
        <f>IFERROR(__xludf.DUMMYFUNCTION("""COMPUTED_VALUE"""),10.1)</f>
        <v>10.1</v>
      </c>
    </row>
    <row r="2973">
      <c r="A2973">
        <f>IFERROR(__xludf.DUMMYFUNCTION("""COMPUTED_VALUE"""),788349.0)</f>
        <v>788349</v>
      </c>
      <c r="B2973" t="str">
        <f>IFERROR(__xludf.DUMMYFUNCTION("""COMPUTED_VALUE"""),"Onions Cooked From Frozen Fat Not Added In Cooking")</f>
        <v>Onions Cooked From Frozen Fat Not Added In Cooking</v>
      </c>
      <c r="C2973" t="str">
        <f>IFERROR(__xludf.DUMMYFUNCTION("""COMPUTED_VALUE"""),"Vegetables")</f>
        <v>Vegetables</v>
      </c>
      <c r="D2973">
        <f>IFERROR(__xludf.DUMMYFUNCTION("""COMPUTED_VALUE"""),28.0)</f>
        <v>28</v>
      </c>
      <c r="E2973">
        <f>IFERROR(__xludf.DUMMYFUNCTION("""COMPUTED_VALUE"""),0.1)</f>
        <v>0.1</v>
      </c>
      <c r="F2973">
        <f>IFERROR(__xludf.DUMMYFUNCTION("""COMPUTED_VALUE"""),0.77)</f>
        <v>0.77</v>
      </c>
      <c r="G2973">
        <f>IFERROR(__xludf.DUMMYFUNCTION("""COMPUTED_VALUE"""),6.58)</f>
        <v>6.58</v>
      </c>
    </row>
    <row r="2974">
      <c r="A2974">
        <f>IFERROR(__xludf.DUMMYFUNCTION("""COMPUTED_VALUE"""),788350.0)</f>
        <v>788350</v>
      </c>
      <c r="B2974" t="str">
        <f>IFERROR(__xludf.DUMMYFUNCTION("""COMPUTED_VALUE"""),"Onions Cooked Ns As To Form Made With Oil")</f>
        <v>Onions Cooked Ns As To Form Made With Oil</v>
      </c>
      <c r="C2974" t="str">
        <f>IFERROR(__xludf.DUMMYFUNCTION("""COMPUTED_VALUE"""),"Vegetables")</f>
        <v>Vegetables</v>
      </c>
      <c r="D2974">
        <f>IFERROR(__xludf.DUMMYFUNCTION("""COMPUTED_VALUE"""),44.0)</f>
        <v>44</v>
      </c>
      <c r="E2974">
        <f>IFERROR(__xludf.DUMMYFUNCTION("""COMPUTED_VALUE"""),1.95)</f>
        <v>1.95</v>
      </c>
      <c r="F2974">
        <f>IFERROR(__xludf.DUMMYFUNCTION("""COMPUTED_VALUE"""),0.75)</f>
        <v>0.75</v>
      </c>
      <c r="G2974">
        <f>IFERROR(__xludf.DUMMYFUNCTION("""COMPUTED_VALUE"""),6.44)</f>
        <v>6.44</v>
      </c>
    </row>
    <row r="2975">
      <c r="A2975">
        <f>IFERROR(__xludf.DUMMYFUNCTION("""COMPUTED_VALUE"""),788351.0)</f>
        <v>788351</v>
      </c>
      <c r="B2975" t="str">
        <f>IFERROR(__xludf.DUMMYFUNCTION("""COMPUTED_VALUE"""),"Onions Cooked Ns As To Form Made With Butter")</f>
        <v>Onions Cooked Ns As To Form Made With Butter</v>
      </c>
      <c r="C2975" t="str">
        <f>IFERROR(__xludf.DUMMYFUNCTION("""COMPUTED_VALUE"""),"Vegetables")</f>
        <v>Vegetables</v>
      </c>
      <c r="D2975">
        <f>IFERROR(__xludf.DUMMYFUNCTION("""COMPUTED_VALUE"""),41.0)</f>
        <v>41</v>
      </c>
      <c r="E2975">
        <f>IFERROR(__xludf.DUMMYFUNCTION("""COMPUTED_VALUE"""),1.66)</f>
        <v>1.66</v>
      </c>
      <c r="F2975">
        <f>IFERROR(__xludf.DUMMYFUNCTION("""COMPUTED_VALUE"""),0.77)</f>
        <v>0.77</v>
      </c>
      <c r="G2975">
        <f>IFERROR(__xludf.DUMMYFUNCTION("""COMPUTED_VALUE"""),6.44)</f>
        <v>6.44</v>
      </c>
    </row>
    <row r="2976">
      <c r="A2976">
        <f>IFERROR(__xludf.DUMMYFUNCTION("""COMPUTED_VALUE"""),788352.0)</f>
        <v>788352</v>
      </c>
      <c r="B2976" t="str">
        <f>IFERROR(__xludf.DUMMYFUNCTION("""COMPUTED_VALUE"""),"Onions Cooked Ns As To Form Made With Margarine")</f>
        <v>Onions Cooked Ns As To Form Made With Margarine</v>
      </c>
      <c r="C2976" t="str">
        <f>IFERROR(__xludf.DUMMYFUNCTION("""COMPUTED_VALUE"""),"Vegetables")</f>
        <v>Vegetables</v>
      </c>
      <c r="D2976">
        <f>IFERROR(__xludf.DUMMYFUNCTION("""COMPUTED_VALUE"""),38.0)</f>
        <v>38</v>
      </c>
      <c r="E2976">
        <f>IFERROR(__xludf.DUMMYFUNCTION("""COMPUTED_VALUE"""),1.26)</f>
        <v>1.26</v>
      </c>
      <c r="F2976">
        <f>IFERROR(__xludf.DUMMYFUNCTION("""COMPUTED_VALUE"""),0.76)</f>
        <v>0.76</v>
      </c>
      <c r="G2976">
        <f>IFERROR(__xludf.DUMMYFUNCTION("""COMPUTED_VALUE"""),6.45)</f>
        <v>6.45</v>
      </c>
    </row>
    <row r="2977">
      <c r="A2977">
        <f>IFERROR(__xludf.DUMMYFUNCTION("""COMPUTED_VALUE"""),788353.0)</f>
        <v>788353</v>
      </c>
      <c r="B2977" t="str">
        <f>IFERROR(__xludf.DUMMYFUNCTION("""COMPUTED_VALUE"""),"Onions Cooked From Fresh Made With Oil")</f>
        <v>Onions Cooked From Fresh Made With Oil</v>
      </c>
      <c r="C2977" t="str">
        <f>IFERROR(__xludf.DUMMYFUNCTION("""COMPUTED_VALUE"""),"Vegetables")</f>
        <v>Vegetables</v>
      </c>
      <c r="D2977">
        <f>IFERROR(__xludf.DUMMYFUNCTION("""COMPUTED_VALUE"""),62.0)</f>
        <v>62</v>
      </c>
      <c r="E2977">
        <f>IFERROR(__xludf.DUMMYFUNCTION("""COMPUTED_VALUE"""),2.29)</f>
        <v>2.29</v>
      </c>
      <c r="F2977">
        <f>IFERROR(__xludf.DUMMYFUNCTION("""COMPUTED_VALUE"""),1.32)</f>
        <v>1.32</v>
      </c>
      <c r="G2977">
        <f>IFERROR(__xludf.DUMMYFUNCTION("""COMPUTED_VALUE"""),9.89)</f>
        <v>9.89</v>
      </c>
    </row>
    <row r="2978">
      <c r="A2978">
        <f>IFERROR(__xludf.DUMMYFUNCTION("""COMPUTED_VALUE"""),788354.0)</f>
        <v>788354</v>
      </c>
      <c r="B2978" t="str">
        <f>IFERROR(__xludf.DUMMYFUNCTION("""COMPUTED_VALUE"""),"Onions Cooked From Fresh Made With Butter")</f>
        <v>Onions Cooked From Fresh Made With Butter</v>
      </c>
      <c r="C2978" t="str">
        <f>IFERROR(__xludf.DUMMYFUNCTION("""COMPUTED_VALUE"""),"Vegetables")</f>
        <v>Vegetables</v>
      </c>
      <c r="D2978">
        <f>IFERROR(__xludf.DUMMYFUNCTION("""COMPUTED_VALUE"""),59.0)</f>
        <v>59</v>
      </c>
      <c r="E2978">
        <f>IFERROR(__xludf.DUMMYFUNCTION("""COMPUTED_VALUE"""),1.96)</f>
        <v>1.96</v>
      </c>
      <c r="F2978">
        <f>IFERROR(__xludf.DUMMYFUNCTION("""COMPUTED_VALUE"""),1.34)</f>
        <v>1.34</v>
      </c>
      <c r="G2978">
        <f>IFERROR(__xludf.DUMMYFUNCTION("""COMPUTED_VALUE"""),9.88)</f>
        <v>9.88</v>
      </c>
    </row>
    <row r="2979">
      <c r="A2979">
        <f>IFERROR(__xludf.DUMMYFUNCTION("""COMPUTED_VALUE"""),788355.0)</f>
        <v>788355</v>
      </c>
      <c r="B2979" t="str">
        <f>IFERROR(__xludf.DUMMYFUNCTION("""COMPUTED_VALUE"""),"Onions Cooked From Fresh Made With Margarine")</f>
        <v>Onions Cooked From Fresh Made With Margarine</v>
      </c>
      <c r="C2979" t="str">
        <f>IFERROR(__xludf.DUMMYFUNCTION("""COMPUTED_VALUE"""),"Vegetables")</f>
        <v>Vegetables</v>
      </c>
      <c r="D2979">
        <f>IFERROR(__xludf.DUMMYFUNCTION("""COMPUTED_VALUE"""),55.0)</f>
        <v>55</v>
      </c>
      <c r="E2979">
        <f>IFERROR(__xludf.DUMMYFUNCTION("""COMPUTED_VALUE"""),1.51)</f>
        <v>1.51</v>
      </c>
      <c r="F2979">
        <f>IFERROR(__xludf.DUMMYFUNCTION("""COMPUTED_VALUE"""),1.33)</f>
        <v>1.33</v>
      </c>
      <c r="G2979">
        <f>IFERROR(__xludf.DUMMYFUNCTION("""COMPUTED_VALUE"""),9.9)</f>
        <v>9.9</v>
      </c>
    </row>
    <row r="2980">
      <c r="A2980">
        <f>IFERROR(__xludf.DUMMYFUNCTION("""COMPUTED_VALUE"""),788356.0)</f>
        <v>788356</v>
      </c>
      <c r="B2980" t="str">
        <f>IFERROR(__xludf.DUMMYFUNCTION("""COMPUTED_VALUE"""),"Onions Cooked Ns As To Form Fat Added In Cooking Ns As To Type Of Fat")</f>
        <v>Onions Cooked Ns As To Form Fat Added In Cooking Ns As To Type Of Fat</v>
      </c>
      <c r="C2980" t="str">
        <f>IFERROR(__xludf.DUMMYFUNCTION("""COMPUTED_VALUE"""),"Vegetables")</f>
        <v>Vegetables</v>
      </c>
      <c r="D2980">
        <f>IFERROR(__xludf.DUMMYFUNCTION("""COMPUTED_VALUE"""),40.0)</f>
        <v>40</v>
      </c>
      <c r="E2980">
        <f>IFERROR(__xludf.DUMMYFUNCTION("""COMPUTED_VALUE"""),1.5)</f>
        <v>1.5</v>
      </c>
      <c r="F2980">
        <f>IFERROR(__xludf.DUMMYFUNCTION("""COMPUTED_VALUE"""),0.76)</f>
        <v>0.76</v>
      </c>
      <c r="G2980">
        <f>IFERROR(__xludf.DUMMYFUNCTION("""COMPUTED_VALUE"""),6.44)</f>
        <v>6.44</v>
      </c>
    </row>
    <row r="2981">
      <c r="A2981">
        <f>IFERROR(__xludf.DUMMYFUNCTION("""COMPUTED_VALUE"""),788357.0)</f>
        <v>788357</v>
      </c>
      <c r="B2981" t="str">
        <f>IFERROR(__xludf.DUMMYFUNCTION("""COMPUTED_VALUE"""),"Onions Cooked From Fresh Fat Added In Cooking Ns As To Type Of Fat")</f>
        <v>Onions Cooked From Fresh Fat Added In Cooking Ns As To Type Of Fat</v>
      </c>
      <c r="C2981" t="str">
        <f>IFERROR(__xludf.DUMMYFUNCTION("""COMPUTED_VALUE"""),"Vegetables")</f>
        <v>Vegetables</v>
      </c>
      <c r="D2981">
        <f>IFERROR(__xludf.DUMMYFUNCTION("""COMPUTED_VALUE"""),57.0)</f>
        <v>57</v>
      </c>
      <c r="E2981">
        <f>IFERROR(__xludf.DUMMYFUNCTION("""COMPUTED_VALUE"""),1.78)</f>
        <v>1.78</v>
      </c>
      <c r="F2981">
        <f>IFERROR(__xludf.DUMMYFUNCTION("""COMPUTED_VALUE"""),1.34)</f>
        <v>1.34</v>
      </c>
      <c r="G2981">
        <f>IFERROR(__xludf.DUMMYFUNCTION("""COMPUTED_VALUE"""),9.89)</f>
        <v>9.89</v>
      </c>
    </row>
    <row r="2982">
      <c r="A2982">
        <f>IFERROR(__xludf.DUMMYFUNCTION("""COMPUTED_VALUE"""),788358.0)</f>
        <v>788358</v>
      </c>
      <c r="B2982" t="str">
        <f>IFERROR(__xludf.DUMMYFUNCTION("""COMPUTED_VALUE"""),"Onions Cooked From Frozen Fat Added In Cooking Ns As To Type Of Fat")</f>
        <v>Onions Cooked From Frozen Fat Added In Cooking Ns As To Type Of Fat</v>
      </c>
      <c r="C2982" t="str">
        <f>IFERROR(__xludf.DUMMYFUNCTION("""COMPUTED_VALUE"""),"Vegetables")</f>
        <v>Vegetables</v>
      </c>
      <c r="D2982">
        <f>IFERROR(__xludf.DUMMYFUNCTION("""COMPUTED_VALUE"""),40.0)</f>
        <v>40</v>
      </c>
      <c r="E2982">
        <f>IFERROR(__xludf.DUMMYFUNCTION("""COMPUTED_VALUE"""),1.5)</f>
        <v>1.5</v>
      </c>
      <c r="F2982">
        <f>IFERROR(__xludf.DUMMYFUNCTION("""COMPUTED_VALUE"""),0.76)</f>
        <v>0.76</v>
      </c>
      <c r="G2982">
        <f>IFERROR(__xludf.DUMMYFUNCTION("""COMPUTED_VALUE"""),6.44)</f>
        <v>6.44</v>
      </c>
    </row>
    <row r="2983">
      <c r="A2983">
        <f>IFERROR(__xludf.DUMMYFUNCTION("""COMPUTED_VALUE"""),788359.0)</f>
        <v>788359</v>
      </c>
      <c r="B2983" t="str">
        <f>IFERROR(__xludf.DUMMYFUNCTION("""COMPUTED_VALUE"""),"Onions Cooked From Frozen Made With Oil")</f>
        <v>Onions Cooked From Frozen Made With Oil</v>
      </c>
      <c r="C2983" t="str">
        <f>IFERROR(__xludf.DUMMYFUNCTION("""COMPUTED_VALUE"""),"Vegetables")</f>
        <v>Vegetables</v>
      </c>
      <c r="D2983">
        <f>IFERROR(__xludf.DUMMYFUNCTION("""COMPUTED_VALUE"""),46.0)</f>
        <v>46</v>
      </c>
      <c r="E2983">
        <f>IFERROR(__xludf.DUMMYFUNCTION("""COMPUTED_VALUE"""),2.2)</f>
        <v>2.2</v>
      </c>
      <c r="F2983">
        <f>IFERROR(__xludf.DUMMYFUNCTION("""COMPUTED_VALUE"""),0.75)</f>
        <v>0.75</v>
      </c>
      <c r="G2983">
        <f>IFERROR(__xludf.DUMMYFUNCTION("""COMPUTED_VALUE"""),6.42)</f>
        <v>6.42</v>
      </c>
    </row>
    <row r="2984">
      <c r="A2984">
        <f>IFERROR(__xludf.DUMMYFUNCTION("""COMPUTED_VALUE"""),788360.0)</f>
        <v>788360</v>
      </c>
      <c r="B2984" t="str">
        <f>IFERROR(__xludf.DUMMYFUNCTION("""COMPUTED_VALUE"""),"Onions Cooked From Frozen Made With Butter")</f>
        <v>Onions Cooked From Frozen Made With Butter</v>
      </c>
      <c r="C2984" t="str">
        <f>IFERROR(__xludf.DUMMYFUNCTION("""COMPUTED_VALUE"""),"Vegetables")</f>
        <v>Vegetables</v>
      </c>
      <c r="D2984">
        <f>IFERROR(__xludf.DUMMYFUNCTION("""COMPUTED_VALUE"""),43.0)</f>
        <v>43</v>
      </c>
      <c r="E2984">
        <f>IFERROR(__xludf.DUMMYFUNCTION("""COMPUTED_VALUE"""),1.88)</f>
        <v>1.88</v>
      </c>
      <c r="F2984">
        <f>IFERROR(__xludf.DUMMYFUNCTION("""COMPUTED_VALUE"""),0.77)</f>
        <v>0.77</v>
      </c>
      <c r="G2984">
        <f>IFERROR(__xludf.DUMMYFUNCTION("""COMPUTED_VALUE"""),6.42)</f>
        <v>6.42</v>
      </c>
    </row>
    <row r="2985">
      <c r="A2985">
        <f>IFERROR(__xludf.DUMMYFUNCTION("""COMPUTED_VALUE"""),788361.0)</f>
        <v>788361</v>
      </c>
      <c r="B2985" t="str">
        <f>IFERROR(__xludf.DUMMYFUNCTION("""COMPUTED_VALUE"""),"Onions Cooked From Frozen Made With Margarine")</f>
        <v>Onions Cooked From Frozen Made With Margarine</v>
      </c>
      <c r="C2985" t="str">
        <f>IFERROR(__xludf.DUMMYFUNCTION("""COMPUTED_VALUE"""),"Vegetables")</f>
        <v>Vegetables</v>
      </c>
      <c r="D2985">
        <f>IFERROR(__xludf.DUMMYFUNCTION("""COMPUTED_VALUE"""),39.0)</f>
        <v>39</v>
      </c>
      <c r="E2985">
        <f>IFERROR(__xludf.DUMMYFUNCTION("""COMPUTED_VALUE"""),1.42)</f>
        <v>1.42</v>
      </c>
      <c r="F2985">
        <f>IFERROR(__xludf.DUMMYFUNCTION("""COMPUTED_VALUE"""),0.75)</f>
        <v>0.75</v>
      </c>
      <c r="G2985">
        <f>IFERROR(__xludf.DUMMYFUNCTION("""COMPUTED_VALUE"""),6.43)</f>
        <v>6.43</v>
      </c>
    </row>
    <row r="2986">
      <c r="A2986">
        <f>IFERROR(__xludf.DUMMYFUNCTION("""COMPUTED_VALUE"""),788362.0)</f>
        <v>788362</v>
      </c>
      <c r="B2986" t="str">
        <f>IFERROR(__xludf.DUMMYFUNCTION("""COMPUTED_VALUE"""),"Onions Pearl Cooked Ns As To Form")</f>
        <v>Onions Pearl Cooked Ns As To Form</v>
      </c>
      <c r="C2986" t="str">
        <f>IFERROR(__xludf.DUMMYFUNCTION("""COMPUTED_VALUE"""),"Vegetables")</f>
        <v>Vegetables</v>
      </c>
      <c r="D2986">
        <f>IFERROR(__xludf.DUMMYFUNCTION("""COMPUTED_VALUE"""),28.0)</f>
        <v>28</v>
      </c>
      <c r="E2986">
        <f>IFERROR(__xludf.DUMMYFUNCTION("""COMPUTED_VALUE"""),0.05)</f>
        <v>0.05</v>
      </c>
      <c r="F2986">
        <f>IFERROR(__xludf.DUMMYFUNCTION("""COMPUTED_VALUE"""),0.71)</f>
        <v>0.71</v>
      </c>
      <c r="G2986">
        <f>IFERROR(__xludf.DUMMYFUNCTION("""COMPUTED_VALUE"""),6.67)</f>
        <v>6.67</v>
      </c>
    </row>
    <row r="2987">
      <c r="A2987">
        <f>IFERROR(__xludf.DUMMYFUNCTION("""COMPUTED_VALUE"""),788363.0)</f>
        <v>788363</v>
      </c>
      <c r="B2987" t="str">
        <f>IFERROR(__xludf.DUMMYFUNCTION("""COMPUTED_VALUE"""),"Onions Pearl Cooked From Fresh")</f>
        <v>Onions Pearl Cooked From Fresh</v>
      </c>
      <c r="C2987" t="str">
        <f>IFERROR(__xludf.DUMMYFUNCTION("""COMPUTED_VALUE"""),"Vegetables")</f>
        <v>Vegetables</v>
      </c>
      <c r="D2987">
        <f>IFERROR(__xludf.DUMMYFUNCTION("""COMPUTED_VALUE"""),44.0)</f>
        <v>44</v>
      </c>
      <c r="E2987">
        <f>IFERROR(__xludf.DUMMYFUNCTION("""COMPUTED_VALUE"""),0.19)</f>
        <v>0.19</v>
      </c>
      <c r="F2987">
        <f>IFERROR(__xludf.DUMMYFUNCTION("""COMPUTED_VALUE"""),1.35)</f>
        <v>1.35</v>
      </c>
      <c r="G2987">
        <f>IFERROR(__xludf.DUMMYFUNCTION("""COMPUTED_VALUE"""),10.1)</f>
        <v>10.1</v>
      </c>
    </row>
    <row r="2988">
      <c r="A2988">
        <f>IFERROR(__xludf.DUMMYFUNCTION("""COMPUTED_VALUE"""),788364.0)</f>
        <v>788364</v>
      </c>
      <c r="B2988" t="str">
        <f>IFERROR(__xludf.DUMMYFUNCTION("""COMPUTED_VALUE"""),"Onions Pearl Cooked From Frozen")</f>
        <v>Onions Pearl Cooked From Frozen</v>
      </c>
      <c r="C2988" t="str">
        <f>IFERROR(__xludf.DUMMYFUNCTION("""COMPUTED_VALUE"""),"Vegetables")</f>
        <v>Vegetables</v>
      </c>
      <c r="D2988">
        <f>IFERROR(__xludf.DUMMYFUNCTION("""COMPUTED_VALUE"""),28.0)</f>
        <v>28</v>
      </c>
      <c r="E2988">
        <f>IFERROR(__xludf.DUMMYFUNCTION("""COMPUTED_VALUE"""),0.05)</f>
        <v>0.05</v>
      </c>
      <c r="F2988">
        <f>IFERROR(__xludf.DUMMYFUNCTION("""COMPUTED_VALUE"""),0.71)</f>
        <v>0.71</v>
      </c>
      <c r="G2988">
        <f>IFERROR(__xludf.DUMMYFUNCTION("""COMPUTED_VALUE"""),6.67)</f>
        <v>6.67</v>
      </c>
    </row>
    <row r="2989">
      <c r="A2989">
        <f>IFERROR(__xludf.DUMMYFUNCTION("""COMPUTED_VALUE"""),788365.0)</f>
        <v>788365</v>
      </c>
      <c r="B2989" t="str">
        <f>IFERROR(__xludf.DUMMYFUNCTION("""COMPUTED_VALUE"""),"Onions Pearl Cooked From Canned")</f>
        <v>Onions Pearl Cooked From Canned</v>
      </c>
      <c r="C2989" t="str">
        <f>IFERROR(__xludf.DUMMYFUNCTION("""COMPUTED_VALUE"""),"Vegetables")</f>
        <v>Vegetables</v>
      </c>
      <c r="D2989">
        <f>IFERROR(__xludf.DUMMYFUNCTION("""COMPUTED_VALUE"""),44.0)</f>
        <v>44</v>
      </c>
      <c r="E2989">
        <f>IFERROR(__xludf.DUMMYFUNCTION("""COMPUTED_VALUE"""),0.19)</f>
        <v>0.19</v>
      </c>
      <c r="F2989">
        <f>IFERROR(__xludf.DUMMYFUNCTION("""COMPUTED_VALUE"""),1.35)</f>
        <v>1.35</v>
      </c>
      <c r="G2989">
        <f>IFERROR(__xludf.DUMMYFUNCTION("""COMPUTED_VALUE"""),10.1)</f>
        <v>10.1</v>
      </c>
    </row>
    <row r="2990">
      <c r="A2990">
        <f>IFERROR(__xludf.DUMMYFUNCTION("""COMPUTED_VALUE"""),788366.0)</f>
        <v>788366</v>
      </c>
      <c r="B2990" t="str">
        <f>IFERROR(__xludf.DUMMYFUNCTION("""COMPUTED_VALUE"""),"Onions Green Cooked Ns As To Form Ns As To Fat Added In Cooking")</f>
        <v>Onions Green Cooked Ns As To Form Ns As To Fat Added In Cooking</v>
      </c>
      <c r="C2990" t="str">
        <f>IFERROR(__xludf.DUMMYFUNCTION("""COMPUTED_VALUE"""),"Vegetables")</f>
        <v>Vegetables</v>
      </c>
      <c r="D2990">
        <f>IFERROR(__xludf.DUMMYFUNCTION("""COMPUTED_VALUE"""),53.0)</f>
        <v>53</v>
      </c>
      <c r="E2990">
        <f>IFERROR(__xludf.DUMMYFUNCTION("""COMPUTED_VALUE"""),2.55)</f>
        <v>2.55</v>
      </c>
      <c r="F2990">
        <f>IFERROR(__xludf.DUMMYFUNCTION("""COMPUTED_VALUE"""),1.88)</f>
        <v>1.88</v>
      </c>
      <c r="G2990">
        <f>IFERROR(__xludf.DUMMYFUNCTION("""COMPUTED_VALUE"""),7.46)</f>
        <v>7.46</v>
      </c>
    </row>
    <row r="2991">
      <c r="A2991">
        <f>IFERROR(__xludf.DUMMYFUNCTION("""COMPUTED_VALUE"""),788367.0)</f>
        <v>788367</v>
      </c>
      <c r="B2991" t="str">
        <f>IFERROR(__xludf.DUMMYFUNCTION("""COMPUTED_VALUE"""),"Onions Green Cooked From Fresh Ns As To Fat Added In Cooking")</f>
        <v>Onions Green Cooked From Fresh Ns As To Fat Added In Cooking</v>
      </c>
      <c r="C2991" t="str">
        <f>IFERROR(__xludf.DUMMYFUNCTION("""COMPUTED_VALUE"""),"Vegetables")</f>
        <v>Vegetables</v>
      </c>
      <c r="D2991">
        <f>IFERROR(__xludf.DUMMYFUNCTION("""COMPUTED_VALUE"""),53.0)</f>
        <v>53</v>
      </c>
      <c r="E2991">
        <f>IFERROR(__xludf.DUMMYFUNCTION("""COMPUTED_VALUE"""),2.55)</f>
        <v>2.55</v>
      </c>
      <c r="F2991">
        <f>IFERROR(__xludf.DUMMYFUNCTION("""COMPUTED_VALUE"""),1.88)</f>
        <v>1.88</v>
      </c>
      <c r="G2991">
        <f>IFERROR(__xludf.DUMMYFUNCTION("""COMPUTED_VALUE"""),7.46)</f>
        <v>7.46</v>
      </c>
    </row>
    <row r="2992">
      <c r="A2992">
        <f>IFERROR(__xludf.DUMMYFUNCTION("""COMPUTED_VALUE"""),788368.0)</f>
        <v>788368</v>
      </c>
      <c r="B2992" t="str">
        <f>IFERROR(__xludf.DUMMYFUNCTION("""COMPUTED_VALUE"""),"Onions Green Cooked Ns As To Form Fat Not Added In Cooking")</f>
        <v>Onions Green Cooked Ns As To Form Fat Not Added In Cooking</v>
      </c>
      <c r="C2992" t="str">
        <f>IFERROR(__xludf.DUMMYFUNCTION("""COMPUTED_VALUE"""),"Vegetables")</f>
        <v>Vegetables</v>
      </c>
      <c r="D2992">
        <f>IFERROR(__xludf.DUMMYFUNCTION("""COMPUTED_VALUE"""),33.0)</f>
        <v>33</v>
      </c>
      <c r="E2992">
        <f>IFERROR(__xludf.DUMMYFUNCTION("""COMPUTED_VALUE"""),0.2)</f>
        <v>0.2</v>
      </c>
      <c r="F2992">
        <f>IFERROR(__xludf.DUMMYFUNCTION("""COMPUTED_VALUE"""),1.92)</f>
        <v>1.92</v>
      </c>
      <c r="G2992">
        <f>IFERROR(__xludf.DUMMYFUNCTION("""COMPUTED_VALUE"""),7.68)</f>
        <v>7.68</v>
      </c>
    </row>
    <row r="2993">
      <c r="A2993">
        <f>IFERROR(__xludf.DUMMYFUNCTION("""COMPUTED_VALUE"""),788369.0)</f>
        <v>788369</v>
      </c>
      <c r="B2993" t="str">
        <f>IFERROR(__xludf.DUMMYFUNCTION("""COMPUTED_VALUE"""),"Onions Green Cooked From Fresh Fat Not Added In Cooking")</f>
        <v>Onions Green Cooked From Fresh Fat Not Added In Cooking</v>
      </c>
      <c r="C2993" t="str">
        <f>IFERROR(__xludf.DUMMYFUNCTION("""COMPUTED_VALUE"""),"Vegetables")</f>
        <v>Vegetables</v>
      </c>
      <c r="D2993">
        <f>IFERROR(__xludf.DUMMYFUNCTION("""COMPUTED_VALUE"""),33.0)</f>
        <v>33</v>
      </c>
      <c r="E2993">
        <f>IFERROR(__xludf.DUMMYFUNCTION("""COMPUTED_VALUE"""),0.2)</f>
        <v>0.2</v>
      </c>
      <c r="F2993">
        <f>IFERROR(__xludf.DUMMYFUNCTION("""COMPUTED_VALUE"""),1.91)</f>
        <v>1.91</v>
      </c>
      <c r="G2993">
        <f>IFERROR(__xludf.DUMMYFUNCTION("""COMPUTED_VALUE"""),7.65)</f>
        <v>7.65</v>
      </c>
    </row>
    <row r="2994">
      <c r="A2994">
        <f>IFERROR(__xludf.DUMMYFUNCTION("""COMPUTED_VALUE"""),788370.0)</f>
        <v>788370</v>
      </c>
      <c r="B2994" t="str">
        <f>IFERROR(__xludf.DUMMYFUNCTION("""COMPUTED_VALUE"""),"Onions Green Cooked Ns As To Form Fat Added In Cooking")</f>
        <v>Onions Green Cooked Ns As To Form Fat Added In Cooking</v>
      </c>
      <c r="C2994" t="str">
        <f>IFERROR(__xludf.DUMMYFUNCTION("""COMPUTED_VALUE"""),"Vegetables")</f>
        <v>Vegetables</v>
      </c>
      <c r="D2994">
        <f>IFERROR(__xludf.DUMMYFUNCTION("""COMPUTED_VALUE"""),53.0)</f>
        <v>53</v>
      </c>
      <c r="E2994">
        <f>IFERROR(__xludf.DUMMYFUNCTION("""COMPUTED_VALUE"""),2.55)</f>
        <v>2.55</v>
      </c>
      <c r="F2994">
        <f>IFERROR(__xludf.DUMMYFUNCTION("""COMPUTED_VALUE"""),1.88)</f>
        <v>1.88</v>
      </c>
      <c r="G2994">
        <f>IFERROR(__xludf.DUMMYFUNCTION("""COMPUTED_VALUE"""),7.46)</f>
        <v>7.46</v>
      </c>
    </row>
    <row r="2995">
      <c r="A2995">
        <f>IFERROR(__xludf.DUMMYFUNCTION("""COMPUTED_VALUE"""),788371.0)</f>
        <v>788371</v>
      </c>
      <c r="B2995" t="str">
        <f>IFERROR(__xludf.DUMMYFUNCTION("""COMPUTED_VALUE"""),"Onions Green Cooked From Fresh Fat Added In Cooking")</f>
        <v>Onions Green Cooked From Fresh Fat Added In Cooking</v>
      </c>
      <c r="C2995" t="str">
        <f>IFERROR(__xludf.DUMMYFUNCTION("""COMPUTED_VALUE"""),"Vegetables")</f>
        <v>Vegetables</v>
      </c>
      <c r="D2995">
        <f>IFERROR(__xludf.DUMMYFUNCTION("""COMPUTED_VALUE"""),50.0)</f>
        <v>50</v>
      </c>
      <c r="E2995">
        <f>IFERROR(__xludf.DUMMYFUNCTION("""COMPUTED_VALUE"""),2.13)</f>
        <v>2.13</v>
      </c>
      <c r="F2995">
        <f>IFERROR(__xludf.DUMMYFUNCTION("""COMPUTED_VALUE"""),1.86)</f>
        <v>1.86</v>
      </c>
      <c r="G2995">
        <f>IFERROR(__xludf.DUMMYFUNCTION("""COMPUTED_VALUE"""),7.47)</f>
        <v>7.47</v>
      </c>
    </row>
    <row r="2996">
      <c r="A2996">
        <f>IFERROR(__xludf.DUMMYFUNCTION("""COMPUTED_VALUE"""),788372.0)</f>
        <v>788372</v>
      </c>
      <c r="B2996" t="str">
        <f>IFERROR(__xludf.DUMMYFUNCTION("""COMPUTED_VALUE"""),"Palm Hearts Cooked Assume Fat Not Added In Cooking")</f>
        <v>Palm Hearts Cooked Assume Fat Not Added In Cooking</v>
      </c>
      <c r="C2996" t="str">
        <f>IFERROR(__xludf.DUMMYFUNCTION("""COMPUTED_VALUE"""),"Vegetables")</f>
        <v>Vegetables</v>
      </c>
      <c r="D2996">
        <f>IFERROR(__xludf.DUMMYFUNCTION("""COMPUTED_VALUE"""),114.0)</f>
        <v>114</v>
      </c>
      <c r="E2996">
        <f>IFERROR(__xludf.DUMMYFUNCTION("""COMPUTED_VALUE"""),0.2)</f>
        <v>0.2</v>
      </c>
      <c r="F2996">
        <f>IFERROR(__xludf.DUMMYFUNCTION("""COMPUTED_VALUE"""),2.68)</f>
        <v>2.68</v>
      </c>
      <c r="G2996">
        <f>IFERROR(__xludf.DUMMYFUNCTION("""COMPUTED_VALUE"""),25.46)</f>
        <v>25.46</v>
      </c>
    </row>
    <row r="2997">
      <c r="A2997">
        <f>IFERROR(__xludf.DUMMYFUNCTION("""COMPUTED_VALUE"""),788373.0)</f>
        <v>788373</v>
      </c>
      <c r="B2997" t="str">
        <f>IFERROR(__xludf.DUMMYFUNCTION("""COMPUTED_VALUE"""),"Parsnips Cooked Ns As To Fat Added In Cooking")</f>
        <v>Parsnips Cooked Ns As To Fat Added In Cooking</v>
      </c>
      <c r="C2997" t="str">
        <f>IFERROR(__xludf.DUMMYFUNCTION("""COMPUTED_VALUE"""),"Vegetables")</f>
        <v>Vegetables</v>
      </c>
      <c r="D2997">
        <f>IFERROR(__xludf.DUMMYFUNCTION("""COMPUTED_VALUE"""),87.0)</f>
        <v>87</v>
      </c>
      <c r="E2997">
        <f>IFERROR(__xludf.DUMMYFUNCTION("""COMPUTED_VALUE"""),2.41)</f>
        <v>2.41</v>
      </c>
      <c r="F2997">
        <f>IFERROR(__xludf.DUMMYFUNCTION("""COMPUTED_VALUE"""),1.29)</f>
        <v>1.29</v>
      </c>
      <c r="G2997">
        <f>IFERROR(__xludf.DUMMYFUNCTION("""COMPUTED_VALUE"""),16.42)</f>
        <v>16.42</v>
      </c>
    </row>
    <row r="2998">
      <c r="A2998">
        <f>IFERROR(__xludf.DUMMYFUNCTION("""COMPUTED_VALUE"""),788374.0)</f>
        <v>788374</v>
      </c>
      <c r="B2998" t="str">
        <f>IFERROR(__xludf.DUMMYFUNCTION("""COMPUTED_VALUE"""),"Parsnips Cooked Fat Not Added In Cooking")</f>
        <v>Parsnips Cooked Fat Not Added In Cooking</v>
      </c>
      <c r="C2998" t="str">
        <f>IFERROR(__xludf.DUMMYFUNCTION("""COMPUTED_VALUE"""),"Vegetables")</f>
        <v>Vegetables</v>
      </c>
      <c r="D2998">
        <f>IFERROR(__xludf.DUMMYFUNCTION("""COMPUTED_VALUE"""),71.0)</f>
        <v>71</v>
      </c>
      <c r="E2998">
        <f>IFERROR(__xludf.DUMMYFUNCTION("""COMPUTED_VALUE"""),0.3)</f>
        <v>0.3</v>
      </c>
      <c r="F2998">
        <f>IFERROR(__xludf.DUMMYFUNCTION("""COMPUTED_VALUE"""),1.31)</f>
        <v>1.31</v>
      </c>
      <c r="G2998">
        <f>IFERROR(__xludf.DUMMYFUNCTION("""COMPUTED_VALUE"""),16.9)</f>
        <v>16.9</v>
      </c>
    </row>
    <row r="2999">
      <c r="A2999">
        <f>IFERROR(__xludf.DUMMYFUNCTION("""COMPUTED_VALUE"""),788375.0)</f>
        <v>788375</v>
      </c>
      <c r="B2999" t="str">
        <f>IFERROR(__xludf.DUMMYFUNCTION("""COMPUTED_VALUE"""),"Parsnips Cooked Fat Added In Cooking Ns As To Type Of Fat")</f>
        <v>Parsnips Cooked Fat Added In Cooking Ns As To Type Of Fat</v>
      </c>
      <c r="C2999" t="str">
        <f>IFERROR(__xludf.DUMMYFUNCTION("""COMPUTED_VALUE"""),"Vegetables")</f>
        <v>Vegetables</v>
      </c>
      <c r="D2999">
        <f>IFERROR(__xludf.DUMMYFUNCTION("""COMPUTED_VALUE"""),87.0)</f>
        <v>87</v>
      </c>
      <c r="E2999">
        <f>IFERROR(__xludf.DUMMYFUNCTION("""COMPUTED_VALUE"""),2.41)</f>
        <v>2.41</v>
      </c>
      <c r="F2999">
        <f>IFERROR(__xludf.DUMMYFUNCTION("""COMPUTED_VALUE"""),1.29)</f>
        <v>1.29</v>
      </c>
      <c r="G2999">
        <f>IFERROR(__xludf.DUMMYFUNCTION("""COMPUTED_VALUE"""),16.42)</f>
        <v>16.42</v>
      </c>
    </row>
    <row r="3000">
      <c r="A3000">
        <f>IFERROR(__xludf.DUMMYFUNCTION("""COMPUTED_VALUE"""),788376.0)</f>
        <v>788376</v>
      </c>
      <c r="B3000" t="str">
        <f>IFERROR(__xludf.DUMMYFUNCTION("""COMPUTED_VALUE"""),"Parsnips Cooked Made With Oil")</f>
        <v>Parsnips Cooked Made With Oil</v>
      </c>
      <c r="C3000" t="str">
        <f>IFERROR(__xludf.DUMMYFUNCTION("""COMPUTED_VALUE"""),"Vegetables")</f>
        <v>Vegetables</v>
      </c>
      <c r="D3000">
        <f>IFERROR(__xludf.DUMMYFUNCTION("""COMPUTED_VALUE"""),93.0)</f>
        <v>93</v>
      </c>
      <c r="E3000">
        <f>IFERROR(__xludf.DUMMYFUNCTION("""COMPUTED_VALUE"""),3.1)</f>
        <v>3.1</v>
      </c>
      <c r="F3000">
        <f>IFERROR(__xludf.DUMMYFUNCTION("""COMPUTED_VALUE"""),1.27)</f>
        <v>1.27</v>
      </c>
      <c r="G3000">
        <f>IFERROR(__xludf.DUMMYFUNCTION("""COMPUTED_VALUE"""),16.43)</f>
        <v>16.43</v>
      </c>
    </row>
    <row r="3001">
      <c r="A3001">
        <f>IFERROR(__xludf.DUMMYFUNCTION("""COMPUTED_VALUE"""),788377.0)</f>
        <v>788377</v>
      </c>
      <c r="B3001" t="str">
        <f>IFERROR(__xludf.DUMMYFUNCTION("""COMPUTED_VALUE"""),"Parsnips Cooked Made With Butter")</f>
        <v>Parsnips Cooked Made With Butter</v>
      </c>
      <c r="C3001" t="str">
        <f>IFERROR(__xludf.DUMMYFUNCTION("""COMPUTED_VALUE"""),"Vegetables")</f>
        <v>Vegetables</v>
      </c>
      <c r="D3001">
        <f>IFERROR(__xludf.DUMMYFUNCTION("""COMPUTED_VALUE"""),89.0)</f>
        <v>89</v>
      </c>
      <c r="E3001">
        <f>IFERROR(__xludf.DUMMYFUNCTION("""COMPUTED_VALUE"""),2.66)</f>
        <v>2.66</v>
      </c>
      <c r="F3001">
        <f>IFERROR(__xludf.DUMMYFUNCTION("""COMPUTED_VALUE"""),1.3)</f>
        <v>1.3</v>
      </c>
      <c r="G3001">
        <f>IFERROR(__xludf.DUMMYFUNCTION("""COMPUTED_VALUE"""),16.41)</f>
        <v>16.41</v>
      </c>
    </row>
    <row r="3002">
      <c r="A3002">
        <f>IFERROR(__xludf.DUMMYFUNCTION("""COMPUTED_VALUE"""),788378.0)</f>
        <v>788378</v>
      </c>
      <c r="B3002" t="str">
        <f>IFERROR(__xludf.DUMMYFUNCTION("""COMPUTED_VALUE"""),"Parsnips Cooked Made With Margarine")</f>
        <v>Parsnips Cooked Made With Margarine</v>
      </c>
      <c r="C3002" t="str">
        <f>IFERROR(__xludf.DUMMYFUNCTION("""COMPUTED_VALUE"""),"Vegetables")</f>
        <v>Vegetables</v>
      </c>
      <c r="D3002">
        <f>IFERROR(__xludf.DUMMYFUNCTION("""COMPUTED_VALUE"""),84.0)</f>
        <v>84</v>
      </c>
      <c r="E3002">
        <f>IFERROR(__xludf.DUMMYFUNCTION("""COMPUTED_VALUE"""),2.05)</f>
        <v>2.05</v>
      </c>
      <c r="F3002">
        <f>IFERROR(__xludf.DUMMYFUNCTION("""COMPUTED_VALUE"""),1.28)</f>
        <v>1.28</v>
      </c>
      <c r="G3002">
        <f>IFERROR(__xludf.DUMMYFUNCTION("""COMPUTED_VALUE"""),16.43)</f>
        <v>16.43</v>
      </c>
    </row>
    <row r="3003">
      <c r="A3003">
        <f>IFERROR(__xludf.DUMMYFUNCTION("""COMPUTED_VALUE"""),788379.0)</f>
        <v>788379</v>
      </c>
      <c r="B3003" t="str">
        <f>IFERROR(__xludf.DUMMYFUNCTION("""COMPUTED_VALUE"""),"Peas Cowpeas Field Peas Or Blackeye Peas Not Dried Cooked Ns As To Form Ns As To Fat Added In Cooking")</f>
        <v>Peas Cowpeas Field Peas Or Blackeye Peas Not Dried Cooked Ns As To Form Ns As To Fat Added In Cooking</v>
      </c>
      <c r="C3003" t="str">
        <f>IFERROR(__xludf.DUMMYFUNCTION("""COMPUTED_VALUE"""),"Vegetables")</f>
        <v>Vegetables</v>
      </c>
      <c r="D3003">
        <f>IFERROR(__xludf.DUMMYFUNCTION("""COMPUTED_VALUE"""),145.0)</f>
        <v>145</v>
      </c>
      <c r="E3003">
        <f>IFERROR(__xludf.DUMMYFUNCTION("""COMPUTED_VALUE"""),2.59)</f>
        <v>2.59</v>
      </c>
      <c r="F3003">
        <f>IFERROR(__xludf.DUMMYFUNCTION("""COMPUTED_VALUE"""),8.23)</f>
        <v>8.23</v>
      </c>
      <c r="G3003">
        <f>IFERROR(__xludf.DUMMYFUNCTION("""COMPUTED_VALUE"""),23.0)</f>
        <v>23</v>
      </c>
    </row>
    <row r="3004">
      <c r="A3004">
        <f>IFERROR(__xludf.DUMMYFUNCTION("""COMPUTED_VALUE"""),788380.0)</f>
        <v>788380</v>
      </c>
      <c r="B3004" t="str">
        <f>IFERROR(__xludf.DUMMYFUNCTION("""COMPUTED_VALUE"""),"Peas Cowpeas Field Peas Or Blackeye Peas Not Dried Cooked From Fresh Ns As To Fat Added In Cooking")</f>
        <v>Peas Cowpeas Field Peas Or Blackeye Peas Not Dried Cooked From Fresh Ns As To Fat Added In Cooking</v>
      </c>
      <c r="C3004" t="str">
        <f>IFERROR(__xludf.DUMMYFUNCTION("""COMPUTED_VALUE"""),"Vegetables")</f>
        <v>Vegetables</v>
      </c>
      <c r="D3004">
        <f>IFERROR(__xludf.DUMMYFUNCTION("""COMPUTED_VALUE"""),145.0)</f>
        <v>145</v>
      </c>
      <c r="E3004">
        <f>IFERROR(__xludf.DUMMYFUNCTION("""COMPUTED_VALUE"""),2.59)</f>
        <v>2.59</v>
      </c>
      <c r="F3004">
        <f>IFERROR(__xludf.DUMMYFUNCTION("""COMPUTED_VALUE"""),8.23)</f>
        <v>8.23</v>
      </c>
      <c r="G3004">
        <f>IFERROR(__xludf.DUMMYFUNCTION("""COMPUTED_VALUE"""),23.0)</f>
        <v>23</v>
      </c>
    </row>
    <row r="3005">
      <c r="A3005">
        <f>IFERROR(__xludf.DUMMYFUNCTION("""COMPUTED_VALUE"""),788381.0)</f>
        <v>788381</v>
      </c>
      <c r="B3005" t="str">
        <f>IFERROR(__xludf.DUMMYFUNCTION("""COMPUTED_VALUE"""),"Peas Cowpeas Field Peas Or Blackeye Peas Not Dried Cooked From Frozen Ns As To Fat Added In Cooking")</f>
        <v>Peas Cowpeas Field Peas Or Blackeye Peas Not Dried Cooked From Frozen Ns As To Fat Added In Cooking</v>
      </c>
      <c r="C3005" t="str">
        <f>IFERROR(__xludf.DUMMYFUNCTION("""COMPUTED_VALUE"""),"Vegetables")</f>
        <v>Vegetables</v>
      </c>
      <c r="D3005">
        <f>IFERROR(__xludf.DUMMYFUNCTION("""COMPUTED_VALUE"""),145.0)</f>
        <v>145</v>
      </c>
      <c r="E3005">
        <f>IFERROR(__xludf.DUMMYFUNCTION("""COMPUTED_VALUE"""),2.59)</f>
        <v>2.59</v>
      </c>
      <c r="F3005">
        <f>IFERROR(__xludf.DUMMYFUNCTION("""COMPUTED_VALUE"""),8.23)</f>
        <v>8.23</v>
      </c>
      <c r="G3005">
        <f>IFERROR(__xludf.DUMMYFUNCTION("""COMPUTED_VALUE"""),23.0)</f>
        <v>23</v>
      </c>
    </row>
    <row r="3006">
      <c r="A3006">
        <f>IFERROR(__xludf.DUMMYFUNCTION("""COMPUTED_VALUE"""),788382.0)</f>
        <v>788382</v>
      </c>
      <c r="B3006" t="str">
        <f>IFERROR(__xludf.DUMMYFUNCTION("""COMPUTED_VALUE"""),"Peas Cowpeas Field Peas Or Blackeye Peas Not Dried Cooked From Canned Ns As To Fat Added In Cooking")</f>
        <v>Peas Cowpeas Field Peas Or Blackeye Peas Not Dried Cooked From Canned Ns As To Fat Added In Cooking</v>
      </c>
      <c r="C3006" t="str">
        <f>IFERROR(__xludf.DUMMYFUNCTION("""COMPUTED_VALUE"""),"Vegetables")</f>
        <v>Vegetables</v>
      </c>
      <c r="D3006">
        <f>IFERROR(__xludf.DUMMYFUNCTION("""COMPUTED_VALUE"""),144.0)</f>
        <v>144</v>
      </c>
      <c r="E3006">
        <f>IFERROR(__xludf.DUMMYFUNCTION("""COMPUTED_VALUE"""),2.58)</f>
        <v>2.58</v>
      </c>
      <c r="F3006">
        <f>IFERROR(__xludf.DUMMYFUNCTION("""COMPUTED_VALUE"""),8.2)</f>
        <v>8.2</v>
      </c>
      <c r="G3006">
        <f>IFERROR(__xludf.DUMMYFUNCTION("""COMPUTED_VALUE"""),22.91)</f>
        <v>22.91</v>
      </c>
    </row>
    <row r="3007">
      <c r="A3007">
        <f>IFERROR(__xludf.DUMMYFUNCTION("""COMPUTED_VALUE"""),788383.0)</f>
        <v>788383</v>
      </c>
      <c r="B3007" t="str">
        <f>IFERROR(__xludf.DUMMYFUNCTION("""COMPUTED_VALUE"""),"Peas Cowpeas Field Peas Or Blackeye Peas Not Dried Cooked Ns As To Form Fat Not Added In Cooking")</f>
        <v>Peas Cowpeas Field Peas Or Blackeye Peas Not Dried Cooked Ns As To Form Fat Not Added In Cooking</v>
      </c>
      <c r="C3007" t="str">
        <f>IFERROR(__xludf.DUMMYFUNCTION("""COMPUTED_VALUE"""),"Vegetables")</f>
        <v>Vegetables</v>
      </c>
      <c r="D3007">
        <f>IFERROR(__xludf.DUMMYFUNCTION("""COMPUTED_VALUE"""),131.0)</f>
        <v>131</v>
      </c>
      <c r="E3007">
        <f>IFERROR(__xludf.DUMMYFUNCTION("""COMPUTED_VALUE"""),0.66)</f>
        <v>0.66</v>
      </c>
      <c r="F3007">
        <f>IFERROR(__xludf.DUMMYFUNCTION("""COMPUTED_VALUE"""),8.44)</f>
        <v>8.44</v>
      </c>
      <c r="G3007">
        <f>IFERROR(__xludf.DUMMYFUNCTION("""COMPUTED_VALUE"""),23.62)</f>
        <v>23.62</v>
      </c>
    </row>
    <row r="3008">
      <c r="A3008">
        <f>IFERROR(__xludf.DUMMYFUNCTION("""COMPUTED_VALUE"""),788384.0)</f>
        <v>788384</v>
      </c>
      <c r="B3008" t="str">
        <f>IFERROR(__xludf.DUMMYFUNCTION("""COMPUTED_VALUE"""),"Peas Cowpeas Field Peas Or Blackeye Peas Not Dried Cooked From Fresh Fat Not Added In Cooking")</f>
        <v>Peas Cowpeas Field Peas Or Blackeye Peas Not Dried Cooked From Fresh Fat Not Added In Cooking</v>
      </c>
      <c r="C3008" t="str">
        <f>IFERROR(__xludf.DUMMYFUNCTION("""COMPUTED_VALUE"""),"Vegetables")</f>
        <v>Vegetables</v>
      </c>
      <c r="D3008">
        <f>IFERROR(__xludf.DUMMYFUNCTION("""COMPUTED_VALUE"""),96.0)</f>
        <v>96</v>
      </c>
      <c r="E3008">
        <f>IFERROR(__xludf.DUMMYFUNCTION("""COMPUTED_VALUE"""),0.38)</f>
        <v>0.38</v>
      </c>
      <c r="F3008">
        <f>IFERROR(__xludf.DUMMYFUNCTION("""COMPUTED_VALUE"""),3.15)</f>
        <v>3.15</v>
      </c>
      <c r="G3008">
        <f>IFERROR(__xludf.DUMMYFUNCTION("""COMPUTED_VALUE"""),20.2)</f>
        <v>20.2</v>
      </c>
    </row>
    <row r="3009">
      <c r="A3009">
        <f>IFERROR(__xludf.DUMMYFUNCTION("""COMPUTED_VALUE"""),788385.0)</f>
        <v>788385</v>
      </c>
      <c r="B3009" t="str">
        <f>IFERROR(__xludf.DUMMYFUNCTION("""COMPUTED_VALUE"""),"Peas Cowpeas Field Peas Or Blackeye Peas Not Dried Cooked From Frozen Fat Not Added In Cooking")</f>
        <v>Peas Cowpeas Field Peas Or Blackeye Peas Not Dried Cooked From Frozen Fat Not Added In Cooking</v>
      </c>
      <c r="C3009" t="str">
        <f>IFERROR(__xludf.DUMMYFUNCTION("""COMPUTED_VALUE"""),"Vegetables")</f>
        <v>Vegetables</v>
      </c>
      <c r="D3009">
        <f>IFERROR(__xludf.DUMMYFUNCTION("""COMPUTED_VALUE"""),131.0)</f>
        <v>131</v>
      </c>
      <c r="E3009">
        <f>IFERROR(__xludf.DUMMYFUNCTION("""COMPUTED_VALUE"""),0.66)</f>
        <v>0.66</v>
      </c>
      <c r="F3009">
        <f>IFERROR(__xludf.DUMMYFUNCTION("""COMPUTED_VALUE"""),8.44)</f>
        <v>8.44</v>
      </c>
      <c r="G3009">
        <f>IFERROR(__xludf.DUMMYFUNCTION("""COMPUTED_VALUE"""),23.62)</f>
        <v>23.62</v>
      </c>
    </row>
    <row r="3010">
      <c r="A3010">
        <f>IFERROR(__xludf.DUMMYFUNCTION("""COMPUTED_VALUE"""),788386.0)</f>
        <v>788386</v>
      </c>
      <c r="B3010" t="str">
        <f>IFERROR(__xludf.DUMMYFUNCTION("""COMPUTED_VALUE"""),"Peas Cowpeas Field Peas Or Blackeye Peas Not Dried Cooked From Canned Fat Not Added In Cooking")</f>
        <v>Peas Cowpeas Field Peas Or Blackeye Peas Not Dried Cooked From Canned Fat Not Added In Cooking</v>
      </c>
      <c r="C3010" t="str">
        <f>IFERROR(__xludf.DUMMYFUNCTION("""COMPUTED_VALUE"""),"Vegetables")</f>
        <v>Vegetables</v>
      </c>
      <c r="D3010">
        <f>IFERROR(__xludf.DUMMYFUNCTION("""COMPUTED_VALUE"""),131.0)</f>
        <v>131</v>
      </c>
      <c r="E3010">
        <f>IFERROR(__xludf.DUMMYFUNCTION("""COMPUTED_VALUE"""),0.65)</f>
        <v>0.65</v>
      </c>
      <c r="F3010">
        <f>IFERROR(__xludf.DUMMYFUNCTION("""COMPUTED_VALUE"""),8.41)</f>
        <v>8.41</v>
      </c>
      <c r="G3010">
        <f>IFERROR(__xludf.DUMMYFUNCTION("""COMPUTED_VALUE"""),23.53)</f>
        <v>23.53</v>
      </c>
    </row>
    <row r="3011">
      <c r="A3011">
        <f>IFERROR(__xludf.DUMMYFUNCTION("""COMPUTED_VALUE"""),788387.0)</f>
        <v>788387</v>
      </c>
      <c r="B3011" t="str">
        <f>IFERROR(__xludf.DUMMYFUNCTION("""COMPUTED_VALUE"""),"Peas Cowpeas Field Peas Or Blackeye Peas Not Dried Cooked Ns As To Form Fat Added In Cooking Ns As To Type Of Fat")</f>
        <v>Peas Cowpeas Field Peas Or Blackeye Peas Not Dried Cooked Ns As To Form Fat Added In Cooking Ns As To Type Of Fat</v>
      </c>
      <c r="C3011" t="str">
        <f>IFERROR(__xludf.DUMMYFUNCTION("""COMPUTED_VALUE"""),"Vegetables")</f>
        <v>Vegetables</v>
      </c>
      <c r="D3011">
        <f>IFERROR(__xludf.DUMMYFUNCTION("""COMPUTED_VALUE"""),145.0)</f>
        <v>145</v>
      </c>
      <c r="E3011">
        <f>IFERROR(__xludf.DUMMYFUNCTION("""COMPUTED_VALUE"""),2.59)</f>
        <v>2.59</v>
      </c>
      <c r="F3011">
        <f>IFERROR(__xludf.DUMMYFUNCTION("""COMPUTED_VALUE"""),8.23)</f>
        <v>8.23</v>
      </c>
      <c r="G3011">
        <f>IFERROR(__xludf.DUMMYFUNCTION("""COMPUTED_VALUE"""),23.0)</f>
        <v>23</v>
      </c>
    </row>
    <row r="3012">
      <c r="A3012">
        <f>IFERROR(__xludf.DUMMYFUNCTION("""COMPUTED_VALUE"""),788388.0)</f>
        <v>788388</v>
      </c>
      <c r="B3012" t="str">
        <f>IFERROR(__xludf.DUMMYFUNCTION("""COMPUTED_VALUE"""),"Peas Cowpeas Field Peas Or Blackeye Peas Not Dried Cooked From Fresh Fat Added In Cooking Ns As To Type Of Fat")</f>
        <v>Peas Cowpeas Field Peas Or Blackeye Peas Not Dried Cooked From Fresh Fat Added In Cooking Ns As To Type Of Fat</v>
      </c>
      <c r="C3012" t="str">
        <f>IFERROR(__xludf.DUMMYFUNCTION("""COMPUTED_VALUE"""),"Vegetables")</f>
        <v>Vegetables</v>
      </c>
      <c r="D3012">
        <f>IFERROR(__xludf.DUMMYFUNCTION("""COMPUTED_VALUE"""),112.0)</f>
        <v>112</v>
      </c>
      <c r="E3012">
        <f>IFERROR(__xludf.DUMMYFUNCTION("""COMPUTED_VALUE"""),2.38)</f>
        <v>2.38</v>
      </c>
      <c r="F3012">
        <f>IFERROR(__xludf.DUMMYFUNCTION("""COMPUTED_VALUE"""),3.08)</f>
        <v>3.08</v>
      </c>
      <c r="G3012">
        <f>IFERROR(__xludf.DUMMYFUNCTION("""COMPUTED_VALUE"""),19.65)</f>
        <v>19.65</v>
      </c>
    </row>
    <row r="3013">
      <c r="A3013">
        <f>IFERROR(__xludf.DUMMYFUNCTION("""COMPUTED_VALUE"""),788389.0)</f>
        <v>788389</v>
      </c>
      <c r="B3013" t="str">
        <f>IFERROR(__xludf.DUMMYFUNCTION("""COMPUTED_VALUE"""),"Peas Cowpeas Field Peas Or Blackeye Peas Not Dried Cooked From Frozen Fat Added In Cooking Ns As To Type Of Fat")</f>
        <v>Peas Cowpeas Field Peas Or Blackeye Peas Not Dried Cooked From Frozen Fat Added In Cooking Ns As To Type Of Fat</v>
      </c>
      <c r="C3013" t="str">
        <f>IFERROR(__xludf.DUMMYFUNCTION("""COMPUTED_VALUE"""),"Vegetables")</f>
        <v>Vegetables</v>
      </c>
      <c r="D3013">
        <f>IFERROR(__xludf.DUMMYFUNCTION("""COMPUTED_VALUE"""),145.0)</f>
        <v>145</v>
      </c>
      <c r="E3013">
        <f>IFERROR(__xludf.DUMMYFUNCTION("""COMPUTED_VALUE"""),2.59)</f>
        <v>2.59</v>
      </c>
      <c r="F3013">
        <f>IFERROR(__xludf.DUMMYFUNCTION("""COMPUTED_VALUE"""),8.23)</f>
        <v>8.23</v>
      </c>
      <c r="G3013">
        <f>IFERROR(__xludf.DUMMYFUNCTION("""COMPUTED_VALUE"""),23.0)</f>
        <v>23</v>
      </c>
    </row>
    <row r="3014">
      <c r="A3014">
        <f>IFERROR(__xludf.DUMMYFUNCTION("""COMPUTED_VALUE"""),788390.0)</f>
        <v>788390</v>
      </c>
      <c r="B3014" t="str">
        <f>IFERROR(__xludf.DUMMYFUNCTION("""COMPUTED_VALUE"""),"Peas Cowpeas Field Peas Or Blackeye Peas Not Dried Cooked From Canned Fat Added In Cooking Ns As To Type Of Fat")</f>
        <v>Peas Cowpeas Field Peas Or Blackeye Peas Not Dried Cooked From Canned Fat Added In Cooking Ns As To Type Of Fat</v>
      </c>
      <c r="C3014" t="str">
        <f>IFERROR(__xludf.DUMMYFUNCTION("""COMPUTED_VALUE"""),"Vegetables")</f>
        <v>Vegetables</v>
      </c>
      <c r="D3014">
        <f>IFERROR(__xludf.DUMMYFUNCTION("""COMPUTED_VALUE"""),144.0)</f>
        <v>144</v>
      </c>
      <c r="E3014">
        <f>IFERROR(__xludf.DUMMYFUNCTION("""COMPUTED_VALUE"""),2.58)</f>
        <v>2.58</v>
      </c>
      <c r="F3014">
        <f>IFERROR(__xludf.DUMMYFUNCTION("""COMPUTED_VALUE"""),8.2)</f>
        <v>8.2</v>
      </c>
      <c r="G3014">
        <f>IFERROR(__xludf.DUMMYFUNCTION("""COMPUTED_VALUE"""),22.91)</f>
        <v>22.91</v>
      </c>
    </row>
    <row r="3015">
      <c r="A3015">
        <f>IFERROR(__xludf.DUMMYFUNCTION("""COMPUTED_VALUE"""),788391.0)</f>
        <v>788391</v>
      </c>
      <c r="B3015" t="str">
        <f>IFERROR(__xludf.DUMMYFUNCTION("""COMPUTED_VALUE"""),"Peas Cowpeas Field Peas Or Blackeye Peas Not Dried Cooked Ns As To Form Made With Oil")</f>
        <v>Peas Cowpeas Field Peas Or Blackeye Peas Not Dried Cooked Ns As To Form Made With Oil</v>
      </c>
      <c r="C3015" t="str">
        <f>IFERROR(__xludf.DUMMYFUNCTION("""COMPUTED_VALUE"""),"Vegetables")</f>
        <v>Vegetables</v>
      </c>
      <c r="D3015">
        <f>IFERROR(__xludf.DUMMYFUNCTION("""COMPUTED_VALUE"""),151.0)</f>
        <v>151</v>
      </c>
      <c r="E3015">
        <f>IFERROR(__xludf.DUMMYFUNCTION("""COMPUTED_VALUE"""),3.23)</f>
        <v>3.23</v>
      </c>
      <c r="F3015">
        <f>IFERROR(__xludf.DUMMYFUNCTION("""COMPUTED_VALUE"""),8.22)</f>
        <v>8.22</v>
      </c>
      <c r="G3015">
        <f>IFERROR(__xludf.DUMMYFUNCTION("""COMPUTED_VALUE"""),23.01)</f>
        <v>23.01</v>
      </c>
    </row>
    <row r="3016">
      <c r="A3016">
        <f>IFERROR(__xludf.DUMMYFUNCTION("""COMPUTED_VALUE"""),788392.0)</f>
        <v>788392</v>
      </c>
      <c r="B3016" t="str">
        <f>IFERROR(__xludf.DUMMYFUNCTION("""COMPUTED_VALUE"""),"Peas Cowpeas Field Peas Or Blackeye Peas Not Dried Cooked Ns As To Form Made With Butter")</f>
        <v>Peas Cowpeas Field Peas Or Blackeye Peas Not Dried Cooked Ns As To Form Made With Butter</v>
      </c>
      <c r="C3016" t="str">
        <f>IFERROR(__xludf.DUMMYFUNCTION("""COMPUTED_VALUE"""),"Vegetables")</f>
        <v>Vegetables</v>
      </c>
      <c r="D3016">
        <f>IFERROR(__xludf.DUMMYFUNCTION("""COMPUTED_VALUE"""),147.0)</f>
        <v>147</v>
      </c>
      <c r="E3016">
        <f>IFERROR(__xludf.DUMMYFUNCTION("""COMPUTED_VALUE"""),2.82)</f>
        <v>2.82</v>
      </c>
      <c r="F3016">
        <f>IFERROR(__xludf.DUMMYFUNCTION("""COMPUTED_VALUE"""),8.24)</f>
        <v>8.24</v>
      </c>
      <c r="G3016">
        <f>IFERROR(__xludf.DUMMYFUNCTION("""COMPUTED_VALUE"""),22.99)</f>
        <v>22.99</v>
      </c>
    </row>
    <row r="3017">
      <c r="A3017">
        <f>IFERROR(__xludf.DUMMYFUNCTION("""COMPUTED_VALUE"""),788393.0)</f>
        <v>788393</v>
      </c>
      <c r="B3017" t="str">
        <f>IFERROR(__xludf.DUMMYFUNCTION("""COMPUTED_VALUE"""),"Peas Cowpeas Field Peas Or Blackeye Peas Not Dried Cooked Ns As To Form Made With Margarine")</f>
        <v>Peas Cowpeas Field Peas Or Blackeye Peas Not Dried Cooked Ns As To Form Made With Margarine</v>
      </c>
      <c r="C3017" t="str">
        <f>IFERROR(__xludf.DUMMYFUNCTION("""COMPUTED_VALUE"""),"Vegetables")</f>
        <v>Vegetables</v>
      </c>
      <c r="D3017">
        <f>IFERROR(__xludf.DUMMYFUNCTION("""COMPUTED_VALUE"""),142.0)</f>
        <v>142</v>
      </c>
      <c r="E3017">
        <f>IFERROR(__xludf.DUMMYFUNCTION("""COMPUTED_VALUE"""),2.26)</f>
        <v>2.26</v>
      </c>
      <c r="F3017">
        <f>IFERROR(__xludf.DUMMYFUNCTION("""COMPUTED_VALUE"""),8.22)</f>
        <v>8.22</v>
      </c>
      <c r="G3017">
        <f>IFERROR(__xludf.DUMMYFUNCTION("""COMPUTED_VALUE"""),23.0)</f>
        <v>23</v>
      </c>
    </row>
    <row r="3018">
      <c r="A3018">
        <f>IFERROR(__xludf.DUMMYFUNCTION("""COMPUTED_VALUE"""),788394.0)</f>
        <v>788394</v>
      </c>
      <c r="B3018" t="str">
        <f>IFERROR(__xludf.DUMMYFUNCTION("""COMPUTED_VALUE"""),"Peas Cowpeas Field Peas Or Blackeye Peas Not Dried Cooked From Fresh Made With Oil")</f>
        <v>Peas Cowpeas Field Peas Or Blackeye Peas Not Dried Cooked From Fresh Made With Oil</v>
      </c>
      <c r="C3018" t="str">
        <f>IFERROR(__xludf.DUMMYFUNCTION("""COMPUTED_VALUE"""),"Vegetables")</f>
        <v>Vegetables</v>
      </c>
      <c r="D3018">
        <f>IFERROR(__xludf.DUMMYFUNCTION("""COMPUTED_VALUE"""),117.0)</f>
        <v>117</v>
      </c>
      <c r="E3018">
        <f>IFERROR(__xludf.DUMMYFUNCTION("""COMPUTED_VALUE"""),3.03)</f>
        <v>3.03</v>
      </c>
      <c r="F3018">
        <f>IFERROR(__xludf.DUMMYFUNCTION("""COMPUTED_VALUE"""),3.07)</f>
        <v>3.07</v>
      </c>
      <c r="G3018">
        <f>IFERROR(__xludf.DUMMYFUNCTION("""COMPUTED_VALUE"""),19.66)</f>
        <v>19.66</v>
      </c>
    </row>
    <row r="3019">
      <c r="A3019">
        <f>IFERROR(__xludf.DUMMYFUNCTION("""COMPUTED_VALUE"""),788395.0)</f>
        <v>788395</v>
      </c>
      <c r="B3019" t="str">
        <f>IFERROR(__xludf.DUMMYFUNCTION("""COMPUTED_VALUE"""),"Peas Cowpeas Field Peas Or Blackeye Peas Not Dried Cooked From Fresh Made With Butter")</f>
        <v>Peas Cowpeas Field Peas Or Blackeye Peas Not Dried Cooked From Fresh Made With Butter</v>
      </c>
      <c r="C3019" t="str">
        <f>IFERROR(__xludf.DUMMYFUNCTION("""COMPUTED_VALUE"""),"Vegetables")</f>
        <v>Vegetables</v>
      </c>
      <c r="D3019">
        <f>IFERROR(__xludf.DUMMYFUNCTION("""COMPUTED_VALUE"""),114.0)</f>
        <v>114</v>
      </c>
      <c r="E3019">
        <f>IFERROR(__xludf.DUMMYFUNCTION("""COMPUTED_VALUE"""),2.61)</f>
        <v>2.61</v>
      </c>
      <c r="F3019">
        <f>IFERROR(__xludf.DUMMYFUNCTION("""COMPUTED_VALUE"""),3.09)</f>
        <v>3.09</v>
      </c>
      <c r="G3019">
        <f>IFERROR(__xludf.DUMMYFUNCTION("""COMPUTED_VALUE"""),19.64)</f>
        <v>19.64</v>
      </c>
    </row>
    <row r="3020">
      <c r="A3020">
        <f>IFERROR(__xludf.DUMMYFUNCTION("""COMPUTED_VALUE"""),788396.0)</f>
        <v>788396</v>
      </c>
      <c r="B3020" t="str">
        <f>IFERROR(__xludf.DUMMYFUNCTION("""COMPUTED_VALUE"""),"Peas Cowpeas Field Peas Or Blackeye Peas Not Dried Cooked From Fresh Made With Margarine")</f>
        <v>Peas Cowpeas Field Peas Or Blackeye Peas Not Dried Cooked From Fresh Made With Margarine</v>
      </c>
      <c r="C3020" t="str">
        <f>IFERROR(__xludf.DUMMYFUNCTION("""COMPUTED_VALUE"""),"Vegetables")</f>
        <v>Vegetables</v>
      </c>
      <c r="D3020">
        <f>IFERROR(__xludf.DUMMYFUNCTION("""COMPUTED_VALUE"""),109.0)</f>
        <v>109</v>
      </c>
      <c r="E3020">
        <f>IFERROR(__xludf.DUMMYFUNCTION("""COMPUTED_VALUE"""),2.04)</f>
        <v>2.04</v>
      </c>
      <c r="F3020">
        <f>IFERROR(__xludf.DUMMYFUNCTION("""COMPUTED_VALUE"""),3.07)</f>
        <v>3.07</v>
      </c>
      <c r="G3020">
        <f>IFERROR(__xludf.DUMMYFUNCTION("""COMPUTED_VALUE"""),19.66)</f>
        <v>19.66</v>
      </c>
    </row>
    <row r="3021">
      <c r="A3021">
        <f>IFERROR(__xludf.DUMMYFUNCTION("""COMPUTED_VALUE"""),788397.0)</f>
        <v>788397</v>
      </c>
      <c r="B3021" t="str">
        <f>IFERROR(__xludf.DUMMYFUNCTION("""COMPUTED_VALUE"""),"Peas Cowpeas Field Peas Or Blackeye Peas Not Dried Cooked From Frozen Made With Oil")</f>
        <v>Peas Cowpeas Field Peas Or Blackeye Peas Not Dried Cooked From Frozen Made With Oil</v>
      </c>
      <c r="C3021" t="str">
        <f>IFERROR(__xludf.DUMMYFUNCTION("""COMPUTED_VALUE"""),"Vegetables")</f>
        <v>Vegetables</v>
      </c>
      <c r="D3021">
        <f>IFERROR(__xludf.DUMMYFUNCTION("""COMPUTED_VALUE"""),151.0)</f>
        <v>151</v>
      </c>
      <c r="E3021">
        <f>IFERROR(__xludf.DUMMYFUNCTION("""COMPUTED_VALUE"""),3.23)</f>
        <v>3.23</v>
      </c>
      <c r="F3021">
        <f>IFERROR(__xludf.DUMMYFUNCTION("""COMPUTED_VALUE"""),8.22)</f>
        <v>8.22</v>
      </c>
      <c r="G3021">
        <f>IFERROR(__xludf.DUMMYFUNCTION("""COMPUTED_VALUE"""),23.01)</f>
        <v>23.01</v>
      </c>
    </row>
    <row r="3022">
      <c r="A3022">
        <f>IFERROR(__xludf.DUMMYFUNCTION("""COMPUTED_VALUE"""),788398.0)</f>
        <v>788398</v>
      </c>
      <c r="B3022" t="str">
        <f>IFERROR(__xludf.DUMMYFUNCTION("""COMPUTED_VALUE"""),"Peas Cowpeas Field Peas Or Blackeye Peas Not Dried Cooked From Frozen Made With Butter")</f>
        <v>Peas Cowpeas Field Peas Or Blackeye Peas Not Dried Cooked From Frozen Made With Butter</v>
      </c>
      <c r="C3022" t="str">
        <f>IFERROR(__xludf.DUMMYFUNCTION("""COMPUTED_VALUE"""),"Vegetables")</f>
        <v>Vegetables</v>
      </c>
      <c r="D3022">
        <f>IFERROR(__xludf.DUMMYFUNCTION("""COMPUTED_VALUE"""),147.0)</f>
        <v>147</v>
      </c>
      <c r="E3022">
        <f>IFERROR(__xludf.DUMMYFUNCTION("""COMPUTED_VALUE"""),2.82)</f>
        <v>2.82</v>
      </c>
      <c r="F3022">
        <f>IFERROR(__xludf.DUMMYFUNCTION("""COMPUTED_VALUE"""),8.24)</f>
        <v>8.24</v>
      </c>
      <c r="G3022">
        <f>IFERROR(__xludf.DUMMYFUNCTION("""COMPUTED_VALUE"""),22.99)</f>
        <v>22.99</v>
      </c>
    </row>
    <row r="3023">
      <c r="A3023">
        <f>IFERROR(__xludf.DUMMYFUNCTION("""COMPUTED_VALUE"""),788399.0)</f>
        <v>788399</v>
      </c>
      <c r="B3023" t="str">
        <f>IFERROR(__xludf.DUMMYFUNCTION("""COMPUTED_VALUE"""),"Peas Cowpeas Field Peas Or Blackeye Peas Not Dried Cooked From Frozen Made With Margarine")</f>
        <v>Peas Cowpeas Field Peas Or Blackeye Peas Not Dried Cooked From Frozen Made With Margarine</v>
      </c>
      <c r="C3023" t="str">
        <f>IFERROR(__xludf.DUMMYFUNCTION("""COMPUTED_VALUE"""),"Vegetables")</f>
        <v>Vegetables</v>
      </c>
      <c r="D3023">
        <f>IFERROR(__xludf.DUMMYFUNCTION("""COMPUTED_VALUE"""),133.0)</f>
        <v>133</v>
      </c>
      <c r="E3023">
        <f>IFERROR(__xludf.DUMMYFUNCTION("""COMPUTED_VALUE"""),0.93)</f>
        <v>0.93</v>
      </c>
      <c r="F3023">
        <f>IFERROR(__xludf.DUMMYFUNCTION("""COMPUTED_VALUE"""),8.4)</f>
        <v>8.4</v>
      </c>
      <c r="G3023">
        <f>IFERROR(__xludf.DUMMYFUNCTION("""COMPUTED_VALUE"""),23.52)</f>
        <v>23.52</v>
      </c>
    </row>
    <row r="3024">
      <c r="A3024">
        <f>IFERROR(__xludf.DUMMYFUNCTION("""COMPUTED_VALUE"""),788400.0)</f>
        <v>788400</v>
      </c>
      <c r="B3024" t="str">
        <f>IFERROR(__xludf.DUMMYFUNCTION("""COMPUTED_VALUE"""),"Peas Cowpeas Field Peas Or Blackeye Peas Not Dried Cooked From Canned Made With Oil")</f>
        <v>Peas Cowpeas Field Peas Or Blackeye Peas Not Dried Cooked From Canned Made With Oil</v>
      </c>
      <c r="C3024" t="str">
        <f>IFERROR(__xludf.DUMMYFUNCTION("""COMPUTED_VALUE"""),"Vegetables")</f>
        <v>Vegetables</v>
      </c>
      <c r="D3024">
        <f>IFERROR(__xludf.DUMMYFUNCTION("""COMPUTED_VALUE"""),150.0)</f>
        <v>150</v>
      </c>
      <c r="E3024">
        <f>IFERROR(__xludf.DUMMYFUNCTION("""COMPUTED_VALUE"""),3.22)</f>
        <v>3.22</v>
      </c>
      <c r="F3024">
        <f>IFERROR(__xludf.DUMMYFUNCTION("""COMPUTED_VALUE"""),8.19)</f>
        <v>8.19</v>
      </c>
      <c r="G3024">
        <f>IFERROR(__xludf.DUMMYFUNCTION("""COMPUTED_VALUE"""),22.92)</f>
        <v>22.92</v>
      </c>
    </row>
    <row r="3025">
      <c r="A3025">
        <f>IFERROR(__xludf.DUMMYFUNCTION("""COMPUTED_VALUE"""),788401.0)</f>
        <v>788401</v>
      </c>
      <c r="B3025" t="str">
        <f>IFERROR(__xludf.DUMMYFUNCTION("""COMPUTED_VALUE"""),"Peas Cowpeas Field Peas Or Blackeye Peas Not Dried Cooked From Canned Made With Butter")</f>
        <v>Peas Cowpeas Field Peas Or Blackeye Peas Not Dried Cooked From Canned Made With Butter</v>
      </c>
      <c r="C3025" t="str">
        <f>IFERROR(__xludf.DUMMYFUNCTION("""COMPUTED_VALUE"""),"Vegetables")</f>
        <v>Vegetables</v>
      </c>
      <c r="D3025">
        <f>IFERROR(__xludf.DUMMYFUNCTION("""COMPUTED_VALUE"""),146.0)</f>
        <v>146</v>
      </c>
      <c r="E3025">
        <f>IFERROR(__xludf.DUMMYFUNCTION("""COMPUTED_VALUE"""),2.81)</f>
        <v>2.81</v>
      </c>
      <c r="F3025">
        <f>IFERROR(__xludf.DUMMYFUNCTION("""COMPUTED_VALUE"""),8.21)</f>
        <v>8.21</v>
      </c>
      <c r="G3025">
        <f>IFERROR(__xludf.DUMMYFUNCTION("""COMPUTED_VALUE"""),22.9)</f>
        <v>22.9</v>
      </c>
    </row>
    <row r="3026">
      <c r="A3026">
        <f>IFERROR(__xludf.DUMMYFUNCTION("""COMPUTED_VALUE"""),788402.0)</f>
        <v>788402</v>
      </c>
      <c r="B3026" t="str">
        <f>IFERROR(__xludf.DUMMYFUNCTION("""COMPUTED_VALUE"""),"Peas Cowpeas Field Peas Or Blackeye Peas Not Dried Cooked From Canned Made With Margarine")</f>
        <v>Peas Cowpeas Field Peas Or Blackeye Peas Not Dried Cooked From Canned Made With Margarine</v>
      </c>
      <c r="C3026" t="str">
        <f>IFERROR(__xludf.DUMMYFUNCTION("""COMPUTED_VALUE"""),"Vegetables")</f>
        <v>Vegetables</v>
      </c>
      <c r="D3026">
        <f>IFERROR(__xludf.DUMMYFUNCTION("""COMPUTED_VALUE"""),142.0)</f>
        <v>142</v>
      </c>
      <c r="E3026">
        <f>IFERROR(__xludf.DUMMYFUNCTION("""COMPUTED_VALUE"""),2.25)</f>
        <v>2.25</v>
      </c>
      <c r="F3026">
        <f>IFERROR(__xludf.DUMMYFUNCTION("""COMPUTED_VALUE"""),8.19)</f>
        <v>8.19</v>
      </c>
      <c r="G3026">
        <f>IFERROR(__xludf.DUMMYFUNCTION("""COMPUTED_VALUE"""),22.92)</f>
        <v>22.92</v>
      </c>
    </row>
    <row r="3027">
      <c r="A3027">
        <f>IFERROR(__xludf.DUMMYFUNCTION("""COMPUTED_VALUE"""),788403.0)</f>
        <v>788403</v>
      </c>
      <c r="B3027" t="str">
        <f>IFERROR(__xludf.DUMMYFUNCTION("""COMPUTED_VALUE"""),"Peas Green Cooked Ns As To Form Ns As To Fat Added In Cooking")</f>
        <v>Peas Green Cooked Ns As To Form Ns As To Fat Added In Cooking</v>
      </c>
      <c r="C3027" t="str">
        <f>IFERROR(__xludf.DUMMYFUNCTION("""COMPUTED_VALUE"""),"Vegetables")</f>
        <v>Vegetables</v>
      </c>
      <c r="D3027">
        <f>IFERROR(__xludf.DUMMYFUNCTION("""COMPUTED_VALUE"""),94.0)</f>
        <v>94</v>
      </c>
      <c r="E3027">
        <f>IFERROR(__xludf.DUMMYFUNCTION("""COMPUTED_VALUE"""),2.33)</f>
        <v>2.33</v>
      </c>
      <c r="F3027">
        <f>IFERROR(__xludf.DUMMYFUNCTION("""COMPUTED_VALUE"""),4.99)</f>
        <v>4.99</v>
      </c>
      <c r="G3027">
        <f>IFERROR(__xludf.DUMMYFUNCTION("""COMPUTED_VALUE"""),13.78)</f>
        <v>13.78</v>
      </c>
    </row>
    <row r="3028">
      <c r="A3028">
        <f>IFERROR(__xludf.DUMMYFUNCTION("""COMPUTED_VALUE"""),788404.0)</f>
        <v>788404</v>
      </c>
      <c r="B3028" t="str">
        <f>IFERROR(__xludf.DUMMYFUNCTION("""COMPUTED_VALUE"""),"Peas Green Cooked From Fresh Ns As To Fat Added In Cooking")</f>
        <v>Peas Green Cooked From Fresh Ns As To Fat Added In Cooking</v>
      </c>
      <c r="C3028" t="str">
        <f>IFERROR(__xludf.DUMMYFUNCTION("""COMPUTED_VALUE"""),"Vegetables")</f>
        <v>Vegetables</v>
      </c>
      <c r="D3028">
        <f>IFERROR(__xludf.DUMMYFUNCTION("""COMPUTED_VALUE"""),99.0)</f>
        <v>99</v>
      </c>
      <c r="E3028">
        <f>IFERROR(__xludf.DUMMYFUNCTION("""COMPUTED_VALUE"""),2.28)</f>
        <v>2.28</v>
      </c>
      <c r="F3028">
        <f>IFERROR(__xludf.DUMMYFUNCTION("""COMPUTED_VALUE"""),5.19)</f>
        <v>5.19</v>
      </c>
      <c r="G3028">
        <f>IFERROR(__xludf.DUMMYFUNCTION("""COMPUTED_VALUE"""),15.1)</f>
        <v>15.1</v>
      </c>
    </row>
    <row r="3029">
      <c r="A3029">
        <f>IFERROR(__xludf.DUMMYFUNCTION("""COMPUTED_VALUE"""),788405.0)</f>
        <v>788405</v>
      </c>
      <c r="B3029" t="str">
        <f>IFERROR(__xludf.DUMMYFUNCTION("""COMPUTED_VALUE"""),"Peas Green Cooked From Frozen Ns As To Fat Added In Cooking")</f>
        <v>Peas Green Cooked From Frozen Ns As To Fat Added In Cooking</v>
      </c>
      <c r="C3029" t="str">
        <f>IFERROR(__xludf.DUMMYFUNCTION("""COMPUTED_VALUE"""),"Vegetables")</f>
        <v>Vegetables</v>
      </c>
      <c r="D3029">
        <f>IFERROR(__xludf.DUMMYFUNCTION("""COMPUTED_VALUE"""),94.0)</f>
        <v>94</v>
      </c>
      <c r="E3029">
        <f>IFERROR(__xludf.DUMMYFUNCTION("""COMPUTED_VALUE"""),2.33)</f>
        <v>2.33</v>
      </c>
      <c r="F3029">
        <f>IFERROR(__xludf.DUMMYFUNCTION("""COMPUTED_VALUE"""),4.99)</f>
        <v>4.99</v>
      </c>
      <c r="G3029">
        <f>IFERROR(__xludf.DUMMYFUNCTION("""COMPUTED_VALUE"""),13.78)</f>
        <v>13.78</v>
      </c>
    </row>
    <row r="3030">
      <c r="A3030">
        <f>IFERROR(__xludf.DUMMYFUNCTION("""COMPUTED_VALUE"""),788406.0)</f>
        <v>788406</v>
      </c>
      <c r="B3030" t="str">
        <f>IFERROR(__xludf.DUMMYFUNCTION("""COMPUTED_VALUE"""),"Peas Green Cooked From Canned Ns As To Fat Added In Cooking")</f>
        <v>Peas Green Cooked From Canned Ns As To Fat Added In Cooking</v>
      </c>
      <c r="C3030" t="str">
        <f>IFERROR(__xludf.DUMMYFUNCTION("""COMPUTED_VALUE"""),"Vegetables")</f>
        <v>Vegetables</v>
      </c>
      <c r="D3030">
        <f>IFERROR(__xludf.DUMMYFUNCTION("""COMPUTED_VALUE"""),83.0)</f>
        <v>83</v>
      </c>
      <c r="E3030">
        <f>IFERROR(__xludf.DUMMYFUNCTION("""COMPUTED_VALUE"""),2.74)</f>
        <v>2.74</v>
      </c>
      <c r="F3030">
        <f>IFERROR(__xludf.DUMMYFUNCTION("""COMPUTED_VALUE"""),4.36)</f>
        <v>4.36</v>
      </c>
      <c r="G3030">
        <f>IFERROR(__xludf.DUMMYFUNCTION("""COMPUTED_VALUE"""),11.04)</f>
        <v>11.04</v>
      </c>
    </row>
    <row r="3031">
      <c r="A3031">
        <f>IFERROR(__xludf.DUMMYFUNCTION("""COMPUTED_VALUE"""),788407.0)</f>
        <v>788407</v>
      </c>
      <c r="B3031" t="str">
        <f>IFERROR(__xludf.DUMMYFUNCTION("""COMPUTED_VALUE"""),"Peas Green Cooked Ns As To Form Fat Not Added In Cooking")</f>
        <v>Peas Green Cooked Ns As To Form Fat Not Added In Cooking</v>
      </c>
      <c r="C3031" t="str">
        <f>IFERROR(__xludf.DUMMYFUNCTION("""COMPUTED_VALUE"""),"Vegetables")</f>
        <v>Vegetables</v>
      </c>
      <c r="D3031">
        <f>IFERROR(__xludf.DUMMYFUNCTION("""COMPUTED_VALUE"""),78.0)</f>
        <v>78</v>
      </c>
      <c r="E3031">
        <f>IFERROR(__xludf.DUMMYFUNCTION("""COMPUTED_VALUE"""),0.27)</f>
        <v>0.27</v>
      </c>
      <c r="F3031">
        <f>IFERROR(__xludf.DUMMYFUNCTION("""COMPUTED_VALUE"""),5.12)</f>
        <v>5.12</v>
      </c>
      <c r="G3031">
        <f>IFERROR(__xludf.DUMMYFUNCTION("""COMPUTED_VALUE"""),14.17)</f>
        <v>14.17</v>
      </c>
    </row>
    <row r="3032">
      <c r="A3032">
        <f>IFERROR(__xludf.DUMMYFUNCTION("""COMPUTED_VALUE"""),788408.0)</f>
        <v>788408</v>
      </c>
      <c r="B3032" t="str">
        <f>IFERROR(__xludf.DUMMYFUNCTION("""COMPUTED_VALUE"""),"Peas Green Cooked From Fresh Fat Not Added In Cooking")</f>
        <v>Peas Green Cooked From Fresh Fat Not Added In Cooking</v>
      </c>
      <c r="C3032" t="str">
        <f>IFERROR(__xludf.DUMMYFUNCTION("""COMPUTED_VALUE"""),"Vegetables")</f>
        <v>Vegetables</v>
      </c>
      <c r="D3032">
        <f>IFERROR(__xludf.DUMMYFUNCTION("""COMPUTED_VALUE"""),83.0)</f>
        <v>83</v>
      </c>
      <c r="E3032">
        <f>IFERROR(__xludf.DUMMYFUNCTION("""COMPUTED_VALUE"""),0.22)</f>
        <v>0.22</v>
      </c>
      <c r="F3032">
        <f>IFERROR(__xludf.DUMMYFUNCTION("""COMPUTED_VALUE"""),5.33)</f>
        <v>5.33</v>
      </c>
      <c r="G3032">
        <f>IFERROR(__xludf.DUMMYFUNCTION("""COMPUTED_VALUE"""),15.53)</f>
        <v>15.53</v>
      </c>
    </row>
    <row r="3033">
      <c r="A3033">
        <f>IFERROR(__xludf.DUMMYFUNCTION("""COMPUTED_VALUE"""),788409.0)</f>
        <v>788409</v>
      </c>
      <c r="B3033" t="str">
        <f>IFERROR(__xludf.DUMMYFUNCTION("""COMPUTED_VALUE"""),"Peas Green Cooked From Frozen Fat Not Added In Cooking")</f>
        <v>Peas Green Cooked From Frozen Fat Not Added In Cooking</v>
      </c>
      <c r="C3033" t="str">
        <f>IFERROR(__xludf.DUMMYFUNCTION("""COMPUTED_VALUE"""),"Vegetables")</f>
        <v>Vegetables</v>
      </c>
      <c r="D3033">
        <f>IFERROR(__xludf.DUMMYFUNCTION("""COMPUTED_VALUE"""),78.0)</f>
        <v>78</v>
      </c>
      <c r="E3033">
        <f>IFERROR(__xludf.DUMMYFUNCTION("""COMPUTED_VALUE"""),0.27)</f>
        <v>0.27</v>
      </c>
      <c r="F3033">
        <f>IFERROR(__xludf.DUMMYFUNCTION("""COMPUTED_VALUE"""),5.12)</f>
        <v>5.12</v>
      </c>
      <c r="G3033">
        <f>IFERROR(__xludf.DUMMYFUNCTION("""COMPUTED_VALUE"""),14.17)</f>
        <v>14.17</v>
      </c>
    </row>
    <row r="3034">
      <c r="A3034">
        <f>IFERROR(__xludf.DUMMYFUNCTION("""COMPUTED_VALUE"""),788410.0)</f>
        <v>788410</v>
      </c>
      <c r="B3034" t="str">
        <f>IFERROR(__xludf.DUMMYFUNCTION("""COMPUTED_VALUE"""),"Peas Green Cooked From Canned Fat Not Added In Cooking")</f>
        <v>Peas Green Cooked From Canned Fat Not Added In Cooking</v>
      </c>
      <c r="C3034" t="str">
        <f>IFERROR(__xludf.DUMMYFUNCTION("""COMPUTED_VALUE"""),"Vegetables")</f>
        <v>Vegetables</v>
      </c>
      <c r="D3034">
        <f>IFERROR(__xludf.DUMMYFUNCTION("""COMPUTED_VALUE"""),68.0)</f>
        <v>68</v>
      </c>
      <c r="E3034">
        <f>IFERROR(__xludf.DUMMYFUNCTION("""COMPUTED_VALUE"""),0.8)</f>
        <v>0.8</v>
      </c>
      <c r="F3034">
        <f>IFERROR(__xludf.DUMMYFUNCTION("""COMPUTED_VALUE"""),4.46)</f>
        <v>4.46</v>
      </c>
      <c r="G3034">
        <f>IFERROR(__xludf.DUMMYFUNCTION("""COMPUTED_VALUE"""),11.33)</f>
        <v>11.33</v>
      </c>
    </row>
    <row r="3035">
      <c r="A3035">
        <f>IFERROR(__xludf.DUMMYFUNCTION("""COMPUTED_VALUE"""),788411.0)</f>
        <v>788411</v>
      </c>
      <c r="B3035" t="str">
        <f>IFERROR(__xludf.DUMMYFUNCTION("""COMPUTED_VALUE"""),"Peas Green Cooked Ns As To Form Fat Added In Cooking Ns As To Type Of Fat")</f>
        <v>Peas Green Cooked Ns As To Form Fat Added In Cooking Ns As To Type Of Fat</v>
      </c>
      <c r="C3035" t="str">
        <f>IFERROR(__xludf.DUMMYFUNCTION("""COMPUTED_VALUE"""),"Vegetables")</f>
        <v>Vegetables</v>
      </c>
      <c r="D3035">
        <f>IFERROR(__xludf.DUMMYFUNCTION("""COMPUTED_VALUE"""),94.0)</f>
        <v>94</v>
      </c>
      <c r="E3035">
        <f>IFERROR(__xludf.DUMMYFUNCTION("""COMPUTED_VALUE"""),2.33)</f>
        <v>2.33</v>
      </c>
      <c r="F3035">
        <f>IFERROR(__xludf.DUMMYFUNCTION("""COMPUTED_VALUE"""),4.99)</f>
        <v>4.99</v>
      </c>
      <c r="G3035">
        <f>IFERROR(__xludf.DUMMYFUNCTION("""COMPUTED_VALUE"""),13.78)</f>
        <v>13.78</v>
      </c>
    </row>
    <row r="3036">
      <c r="A3036">
        <f>IFERROR(__xludf.DUMMYFUNCTION("""COMPUTED_VALUE"""),788412.0)</f>
        <v>788412</v>
      </c>
      <c r="B3036" t="str">
        <f>IFERROR(__xludf.DUMMYFUNCTION("""COMPUTED_VALUE"""),"Peas Green Cooked From Fresh Fat Added In Cooking Ns As To Type Of Fat")</f>
        <v>Peas Green Cooked From Fresh Fat Added In Cooking Ns As To Type Of Fat</v>
      </c>
      <c r="C3036" t="str">
        <f>IFERROR(__xludf.DUMMYFUNCTION("""COMPUTED_VALUE"""),"Vegetables")</f>
        <v>Vegetables</v>
      </c>
      <c r="D3036">
        <f>IFERROR(__xludf.DUMMYFUNCTION("""COMPUTED_VALUE"""),99.0)</f>
        <v>99</v>
      </c>
      <c r="E3036">
        <f>IFERROR(__xludf.DUMMYFUNCTION("""COMPUTED_VALUE"""),2.28)</f>
        <v>2.28</v>
      </c>
      <c r="F3036">
        <f>IFERROR(__xludf.DUMMYFUNCTION("""COMPUTED_VALUE"""),5.19)</f>
        <v>5.19</v>
      </c>
      <c r="G3036">
        <f>IFERROR(__xludf.DUMMYFUNCTION("""COMPUTED_VALUE"""),15.1)</f>
        <v>15.1</v>
      </c>
    </row>
    <row r="3037">
      <c r="A3037">
        <f>IFERROR(__xludf.DUMMYFUNCTION("""COMPUTED_VALUE"""),788413.0)</f>
        <v>788413</v>
      </c>
      <c r="B3037" t="str">
        <f>IFERROR(__xludf.DUMMYFUNCTION("""COMPUTED_VALUE"""),"Peas Green Cooked From Frozen Fat Added In Cooking Ns As To Type Of Fat")</f>
        <v>Peas Green Cooked From Frozen Fat Added In Cooking Ns As To Type Of Fat</v>
      </c>
      <c r="C3037" t="str">
        <f>IFERROR(__xludf.DUMMYFUNCTION("""COMPUTED_VALUE"""),"Vegetables")</f>
        <v>Vegetables</v>
      </c>
      <c r="D3037">
        <f>IFERROR(__xludf.DUMMYFUNCTION("""COMPUTED_VALUE"""),94.0)</f>
        <v>94</v>
      </c>
      <c r="E3037">
        <f>IFERROR(__xludf.DUMMYFUNCTION("""COMPUTED_VALUE"""),2.33)</f>
        <v>2.33</v>
      </c>
      <c r="F3037">
        <f>IFERROR(__xludf.DUMMYFUNCTION("""COMPUTED_VALUE"""),4.99)</f>
        <v>4.99</v>
      </c>
      <c r="G3037">
        <f>IFERROR(__xludf.DUMMYFUNCTION("""COMPUTED_VALUE"""),13.78)</f>
        <v>13.78</v>
      </c>
    </row>
    <row r="3038">
      <c r="A3038">
        <f>IFERROR(__xludf.DUMMYFUNCTION("""COMPUTED_VALUE"""),788414.0)</f>
        <v>788414</v>
      </c>
      <c r="B3038" t="str">
        <f>IFERROR(__xludf.DUMMYFUNCTION("""COMPUTED_VALUE"""),"Peas Green Cooked From Canned Fat Added In Cooking Ns As To Type Of Fat")</f>
        <v>Peas Green Cooked From Canned Fat Added In Cooking Ns As To Type Of Fat</v>
      </c>
      <c r="C3038" t="str">
        <f>IFERROR(__xludf.DUMMYFUNCTION("""COMPUTED_VALUE"""),"Vegetables")</f>
        <v>Vegetables</v>
      </c>
      <c r="D3038">
        <f>IFERROR(__xludf.DUMMYFUNCTION("""COMPUTED_VALUE"""),83.0)</f>
        <v>83</v>
      </c>
      <c r="E3038">
        <f>IFERROR(__xludf.DUMMYFUNCTION("""COMPUTED_VALUE"""),2.74)</f>
        <v>2.74</v>
      </c>
      <c r="F3038">
        <f>IFERROR(__xludf.DUMMYFUNCTION("""COMPUTED_VALUE"""),4.36)</f>
        <v>4.36</v>
      </c>
      <c r="G3038">
        <f>IFERROR(__xludf.DUMMYFUNCTION("""COMPUTED_VALUE"""),11.04)</f>
        <v>11.04</v>
      </c>
    </row>
    <row r="3039">
      <c r="A3039">
        <f>IFERROR(__xludf.DUMMYFUNCTION("""COMPUTED_VALUE"""),788415.0)</f>
        <v>788415</v>
      </c>
      <c r="B3039" t="str">
        <f>IFERROR(__xludf.DUMMYFUNCTION("""COMPUTED_VALUE"""),"Peas Green Cooked Ns As To Form Made With Oil")</f>
        <v>Peas Green Cooked Ns As To Form Made With Oil</v>
      </c>
      <c r="C3039" t="str">
        <f>IFERROR(__xludf.DUMMYFUNCTION("""COMPUTED_VALUE"""),"Vegetables")</f>
        <v>Vegetables</v>
      </c>
      <c r="D3039">
        <f>IFERROR(__xludf.DUMMYFUNCTION("""COMPUTED_VALUE"""),100.0)</f>
        <v>100</v>
      </c>
      <c r="E3039">
        <f>IFERROR(__xludf.DUMMYFUNCTION("""COMPUTED_VALUE"""),3.0)</f>
        <v>3</v>
      </c>
      <c r="F3039">
        <f>IFERROR(__xludf.DUMMYFUNCTION("""COMPUTED_VALUE"""),4.98)</f>
        <v>4.98</v>
      </c>
      <c r="G3039">
        <f>IFERROR(__xludf.DUMMYFUNCTION("""COMPUTED_VALUE"""),13.78)</f>
        <v>13.78</v>
      </c>
    </row>
    <row r="3040">
      <c r="A3040">
        <f>IFERROR(__xludf.DUMMYFUNCTION("""COMPUTED_VALUE"""),788416.0)</f>
        <v>788416</v>
      </c>
      <c r="B3040" t="str">
        <f>IFERROR(__xludf.DUMMYFUNCTION("""COMPUTED_VALUE"""),"Peas Green Cooked Ns As To Form Made With Butter")</f>
        <v>Peas Green Cooked Ns As To Form Made With Butter</v>
      </c>
      <c r="C3040" t="str">
        <f>IFERROR(__xludf.DUMMYFUNCTION("""COMPUTED_VALUE"""),"Vegetables")</f>
        <v>Vegetables</v>
      </c>
      <c r="D3040">
        <f>IFERROR(__xludf.DUMMYFUNCTION("""COMPUTED_VALUE"""),96.0)</f>
        <v>96</v>
      </c>
      <c r="E3040">
        <f>IFERROR(__xludf.DUMMYFUNCTION("""COMPUTED_VALUE"""),2.58)</f>
        <v>2.58</v>
      </c>
      <c r="F3040">
        <f>IFERROR(__xludf.DUMMYFUNCTION("""COMPUTED_VALUE"""),5.0)</f>
        <v>5</v>
      </c>
      <c r="G3040">
        <f>IFERROR(__xludf.DUMMYFUNCTION("""COMPUTED_VALUE"""),13.77)</f>
        <v>13.77</v>
      </c>
    </row>
    <row r="3041">
      <c r="A3041">
        <f>IFERROR(__xludf.DUMMYFUNCTION("""COMPUTED_VALUE"""),788417.0)</f>
        <v>788417</v>
      </c>
      <c r="B3041" t="str">
        <f>IFERROR(__xludf.DUMMYFUNCTION("""COMPUTED_VALUE"""),"Peas Green Cooked Ns As To Form Made With Margarine")</f>
        <v>Peas Green Cooked Ns As To Form Made With Margarine</v>
      </c>
      <c r="C3041" t="str">
        <f>IFERROR(__xludf.DUMMYFUNCTION("""COMPUTED_VALUE"""),"Vegetables")</f>
        <v>Vegetables</v>
      </c>
      <c r="D3041">
        <f>IFERROR(__xludf.DUMMYFUNCTION("""COMPUTED_VALUE"""),91.0)</f>
        <v>91</v>
      </c>
      <c r="E3041">
        <f>IFERROR(__xludf.DUMMYFUNCTION("""COMPUTED_VALUE"""),1.98)</f>
        <v>1.98</v>
      </c>
      <c r="F3041">
        <f>IFERROR(__xludf.DUMMYFUNCTION("""COMPUTED_VALUE"""),4.98)</f>
        <v>4.98</v>
      </c>
      <c r="G3041">
        <f>IFERROR(__xludf.DUMMYFUNCTION("""COMPUTED_VALUE"""),13.79)</f>
        <v>13.79</v>
      </c>
    </row>
    <row r="3042">
      <c r="A3042">
        <f>IFERROR(__xludf.DUMMYFUNCTION("""COMPUTED_VALUE"""),788418.0)</f>
        <v>788418</v>
      </c>
      <c r="B3042" t="str">
        <f>IFERROR(__xludf.DUMMYFUNCTION("""COMPUTED_VALUE"""),"Peas Green Cooked From Fresh Made With Oil")</f>
        <v>Peas Green Cooked From Fresh Made With Oil</v>
      </c>
      <c r="C3042" t="str">
        <f>IFERROR(__xludf.DUMMYFUNCTION("""COMPUTED_VALUE"""),"Vegetables")</f>
        <v>Vegetables</v>
      </c>
      <c r="D3042">
        <f>IFERROR(__xludf.DUMMYFUNCTION("""COMPUTED_VALUE"""),105.0)</f>
        <v>105</v>
      </c>
      <c r="E3042">
        <f>IFERROR(__xludf.DUMMYFUNCTION("""COMPUTED_VALUE"""),2.96)</f>
        <v>2.96</v>
      </c>
      <c r="F3042">
        <f>IFERROR(__xludf.DUMMYFUNCTION("""COMPUTED_VALUE"""),5.18)</f>
        <v>5.18</v>
      </c>
      <c r="G3042">
        <f>IFERROR(__xludf.DUMMYFUNCTION("""COMPUTED_VALUE"""),15.11)</f>
        <v>15.11</v>
      </c>
    </row>
    <row r="3043">
      <c r="A3043">
        <f>IFERROR(__xludf.DUMMYFUNCTION("""COMPUTED_VALUE"""),788419.0)</f>
        <v>788419</v>
      </c>
      <c r="B3043" t="str">
        <f>IFERROR(__xludf.DUMMYFUNCTION("""COMPUTED_VALUE"""),"Peas Green Cooked From Fresh Made With Butter")</f>
        <v>Peas Green Cooked From Fresh Made With Butter</v>
      </c>
      <c r="C3043" t="str">
        <f>IFERROR(__xludf.DUMMYFUNCTION("""COMPUTED_VALUE"""),"Vegetables")</f>
        <v>Vegetables</v>
      </c>
      <c r="D3043">
        <f>IFERROR(__xludf.DUMMYFUNCTION("""COMPUTED_VALUE"""),102.0)</f>
        <v>102</v>
      </c>
      <c r="E3043">
        <f>IFERROR(__xludf.DUMMYFUNCTION("""COMPUTED_VALUE"""),2.53)</f>
        <v>2.53</v>
      </c>
      <c r="F3043">
        <f>IFERROR(__xludf.DUMMYFUNCTION("""COMPUTED_VALUE"""),5.2)</f>
        <v>5.2</v>
      </c>
      <c r="G3043">
        <f>IFERROR(__xludf.DUMMYFUNCTION("""COMPUTED_VALUE"""),15.09)</f>
        <v>15.09</v>
      </c>
    </row>
    <row r="3044">
      <c r="A3044">
        <f>IFERROR(__xludf.DUMMYFUNCTION("""COMPUTED_VALUE"""),788420.0)</f>
        <v>788420</v>
      </c>
      <c r="B3044" t="str">
        <f>IFERROR(__xludf.DUMMYFUNCTION("""COMPUTED_VALUE"""),"Peas Green Cooked From Fresh Made With Margarine")</f>
        <v>Peas Green Cooked From Fresh Made With Margarine</v>
      </c>
      <c r="C3044" t="str">
        <f>IFERROR(__xludf.DUMMYFUNCTION("""COMPUTED_VALUE"""),"Vegetables")</f>
        <v>Vegetables</v>
      </c>
      <c r="D3044">
        <f>IFERROR(__xludf.DUMMYFUNCTION("""COMPUTED_VALUE"""),96.0)</f>
        <v>96</v>
      </c>
      <c r="E3044">
        <f>IFERROR(__xludf.DUMMYFUNCTION("""COMPUTED_VALUE"""),1.93)</f>
        <v>1.93</v>
      </c>
      <c r="F3044">
        <f>IFERROR(__xludf.DUMMYFUNCTION("""COMPUTED_VALUE"""),5.18)</f>
        <v>5.18</v>
      </c>
      <c r="G3044">
        <f>IFERROR(__xludf.DUMMYFUNCTION("""COMPUTED_VALUE"""),15.11)</f>
        <v>15.11</v>
      </c>
    </row>
    <row r="3045">
      <c r="A3045">
        <f>IFERROR(__xludf.DUMMYFUNCTION("""COMPUTED_VALUE"""),788421.0)</f>
        <v>788421</v>
      </c>
      <c r="B3045" t="str">
        <f>IFERROR(__xludf.DUMMYFUNCTION("""COMPUTED_VALUE"""),"Peas Green Cooked From Frozen Made With Oil")</f>
        <v>Peas Green Cooked From Frozen Made With Oil</v>
      </c>
      <c r="C3045" t="str">
        <f>IFERROR(__xludf.DUMMYFUNCTION("""COMPUTED_VALUE"""),"Vegetables")</f>
        <v>Vegetables</v>
      </c>
      <c r="D3045">
        <f>IFERROR(__xludf.DUMMYFUNCTION("""COMPUTED_VALUE"""),100.0)</f>
        <v>100</v>
      </c>
      <c r="E3045">
        <f>IFERROR(__xludf.DUMMYFUNCTION("""COMPUTED_VALUE"""),3.0)</f>
        <v>3</v>
      </c>
      <c r="F3045">
        <f>IFERROR(__xludf.DUMMYFUNCTION("""COMPUTED_VALUE"""),4.98)</f>
        <v>4.98</v>
      </c>
      <c r="G3045">
        <f>IFERROR(__xludf.DUMMYFUNCTION("""COMPUTED_VALUE"""),13.78)</f>
        <v>13.78</v>
      </c>
    </row>
    <row r="3046">
      <c r="A3046">
        <f>IFERROR(__xludf.DUMMYFUNCTION("""COMPUTED_VALUE"""),788422.0)</f>
        <v>788422</v>
      </c>
      <c r="B3046" t="str">
        <f>IFERROR(__xludf.DUMMYFUNCTION("""COMPUTED_VALUE"""),"Peas Green Cooked From Frozen Made With Butter")</f>
        <v>Peas Green Cooked From Frozen Made With Butter</v>
      </c>
      <c r="C3046" t="str">
        <f>IFERROR(__xludf.DUMMYFUNCTION("""COMPUTED_VALUE"""),"Vegetables")</f>
        <v>Vegetables</v>
      </c>
      <c r="D3046">
        <f>IFERROR(__xludf.DUMMYFUNCTION("""COMPUTED_VALUE"""),96.0)</f>
        <v>96</v>
      </c>
      <c r="E3046">
        <f>IFERROR(__xludf.DUMMYFUNCTION("""COMPUTED_VALUE"""),2.58)</f>
        <v>2.58</v>
      </c>
      <c r="F3046">
        <f>IFERROR(__xludf.DUMMYFUNCTION("""COMPUTED_VALUE"""),5.0)</f>
        <v>5</v>
      </c>
      <c r="G3046">
        <f>IFERROR(__xludf.DUMMYFUNCTION("""COMPUTED_VALUE"""),13.77)</f>
        <v>13.77</v>
      </c>
    </row>
    <row r="3047">
      <c r="A3047">
        <f>IFERROR(__xludf.DUMMYFUNCTION("""COMPUTED_VALUE"""),788423.0)</f>
        <v>788423</v>
      </c>
      <c r="B3047" t="str">
        <f>IFERROR(__xludf.DUMMYFUNCTION("""COMPUTED_VALUE"""),"Peas Green Cooked From Frozen Made With Margarine")</f>
        <v>Peas Green Cooked From Frozen Made With Margarine</v>
      </c>
      <c r="C3047" t="str">
        <f>IFERROR(__xludf.DUMMYFUNCTION("""COMPUTED_VALUE"""),"Vegetables")</f>
        <v>Vegetables</v>
      </c>
      <c r="D3047">
        <f>IFERROR(__xludf.DUMMYFUNCTION("""COMPUTED_VALUE"""),91.0)</f>
        <v>91</v>
      </c>
      <c r="E3047">
        <f>IFERROR(__xludf.DUMMYFUNCTION("""COMPUTED_VALUE"""),1.98)</f>
        <v>1.98</v>
      </c>
      <c r="F3047">
        <f>IFERROR(__xludf.DUMMYFUNCTION("""COMPUTED_VALUE"""),4.98)</f>
        <v>4.98</v>
      </c>
      <c r="G3047">
        <f>IFERROR(__xludf.DUMMYFUNCTION("""COMPUTED_VALUE"""),13.79)</f>
        <v>13.79</v>
      </c>
    </row>
    <row r="3048">
      <c r="A3048">
        <f>IFERROR(__xludf.DUMMYFUNCTION("""COMPUTED_VALUE"""),788424.0)</f>
        <v>788424</v>
      </c>
      <c r="B3048" t="str">
        <f>IFERROR(__xludf.DUMMYFUNCTION("""COMPUTED_VALUE"""),"Peas Green Cooked From Canned Made With Oil")</f>
        <v>Peas Green Cooked From Canned Made With Oil</v>
      </c>
      <c r="C3048" t="str">
        <f>IFERROR(__xludf.DUMMYFUNCTION("""COMPUTED_VALUE"""),"Vegetables")</f>
        <v>Vegetables</v>
      </c>
      <c r="D3048">
        <f>IFERROR(__xludf.DUMMYFUNCTION("""COMPUTED_VALUE"""),89.0)</f>
        <v>89</v>
      </c>
      <c r="E3048">
        <f>IFERROR(__xludf.DUMMYFUNCTION("""COMPUTED_VALUE"""),3.37)</f>
        <v>3.37</v>
      </c>
      <c r="F3048">
        <f>IFERROR(__xludf.DUMMYFUNCTION("""COMPUTED_VALUE"""),4.34)</f>
        <v>4.34</v>
      </c>
      <c r="G3048">
        <f>IFERROR(__xludf.DUMMYFUNCTION("""COMPUTED_VALUE"""),11.04)</f>
        <v>11.04</v>
      </c>
    </row>
    <row r="3049">
      <c r="A3049">
        <f>IFERROR(__xludf.DUMMYFUNCTION("""COMPUTED_VALUE"""),788425.0)</f>
        <v>788425</v>
      </c>
      <c r="B3049" t="str">
        <f>IFERROR(__xludf.DUMMYFUNCTION("""COMPUTED_VALUE"""),"Peas Green Cooked From Canned Made With Butter")</f>
        <v>Peas Green Cooked From Canned Made With Butter</v>
      </c>
      <c r="C3049" t="str">
        <f>IFERROR(__xludf.DUMMYFUNCTION("""COMPUTED_VALUE"""),"Vegetables")</f>
        <v>Vegetables</v>
      </c>
      <c r="D3049">
        <f>IFERROR(__xludf.DUMMYFUNCTION("""COMPUTED_VALUE"""),85.0)</f>
        <v>85</v>
      </c>
      <c r="E3049">
        <f>IFERROR(__xludf.DUMMYFUNCTION("""COMPUTED_VALUE"""),2.97)</f>
        <v>2.97</v>
      </c>
      <c r="F3049">
        <f>IFERROR(__xludf.DUMMYFUNCTION("""COMPUTED_VALUE"""),4.36)</f>
        <v>4.36</v>
      </c>
      <c r="G3049">
        <f>IFERROR(__xludf.DUMMYFUNCTION("""COMPUTED_VALUE"""),11.03)</f>
        <v>11.03</v>
      </c>
    </row>
    <row r="3050">
      <c r="A3050">
        <f>IFERROR(__xludf.DUMMYFUNCTION("""COMPUTED_VALUE"""),788426.0)</f>
        <v>788426</v>
      </c>
      <c r="B3050" t="str">
        <f>IFERROR(__xludf.DUMMYFUNCTION("""COMPUTED_VALUE"""),"Peas Green Cooked From Canned Made With Margarine")</f>
        <v>Peas Green Cooked From Canned Made With Margarine</v>
      </c>
      <c r="C3050" t="str">
        <f>IFERROR(__xludf.DUMMYFUNCTION("""COMPUTED_VALUE"""),"Vegetables")</f>
        <v>Vegetables</v>
      </c>
      <c r="D3050">
        <f>IFERROR(__xludf.DUMMYFUNCTION("""COMPUTED_VALUE"""),81.0)</f>
        <v>81</v>
      </c>
      <c r="E3050">
        <f>IFERROR(__xludf.DUMMYFUNCTION("""COMPUTED_VALUE"""),2.4)</f>
        <v>2.4</v>
      </c>
      <c r="F3050">
        <f>IFERROR(__xludf.DUMMYFUNCTION("""COMPUTED_VALUE"""),4.34)</f>
        <v>4.34</v>
      </c>
      <c r="G3050">
        <f>IFERROR(__xludf.DUMMYFUNCTION("""COMPUTED_VALUE"""),11.05)</f>
        <v>11.05</v>
      </c>
    </row>
    <row r="3051">
      <c r="A3051">
        <f>IFERROR(__xludf.DUMMYFUNCTION("""COMPUTED_VALUE"""),788427.0)</f>
        <v>788427</v>
      </c>
      <c r="B3051" t="str">
        <f>IFERROR(__xludf.DUMMYFUNCTION("""COMPUTED_VALUE"""),"Peas Green Canned Low Sodium Ns As To Fat Added In Cooking")</f>
        <v>Peas Green Canned Low Sodium Ns As To Fat Added In Cooking</v>
      </c>
      <c r="C3051" t="str">
        <f>IFERROR(__xludf.DUMMYFUNCTION("""COMPUTED_VALUE"""),"Vegetables")</f>
        <v>Vegetables</v>
      </c>
      <c r="D3051">
        <f>IFERROR(__xludf.DUMMYFUNCTION("""COMPUTED_VALUE"""),100.0)</f>
        <v>100</v>
      </c>
      <c r="E3051">
        <f>IFERROR(__xludf.DUMMYFUNCTION("""COMPUTED_VALUE"""),2.58)</f>
        <v>2.58</v>
      </c>
      <c r="F3051">
        <f>IFERROR(__xludf.DUMMYFUNCTION("""COMPUTED_VALUE"""),4.91)</f>
        <v>4.91</v>
      </c>
      <c r="G3051">
        <f>IFERROR(__xludf.DUMMYFUNCTION("""COMPUTED_VALUE"""),14.96)</f>
        <v>14.96</v>
      </c>
    </row>
    <row r="3052">
      <c r="A3052">
        <f>IFERROR(__xludf.DUMMYFUNCTION("""COMPUTED_VALUE"""),788428.0)</f>
        <v>788428</v>
      </c>
      <c r="B3052" t="str">
        <f>IFERROR(__xludf.DUMMYFUNCTION("""COMPUTED_VALUE"""),"Peas Green Canned Low Sodium Fat Not Added In Cooking")</f>
        <v>Peas Green Canned Low Sodium Fat Not Added In Cooking</v>
      </c>
      <c r="C3052" t="str">
        <f>IFERROR(__xludf.DUMMYFUNCTION("""COMPUTED_VALUE"""),"Vegetables")</f>
        <v>Vegetables</v>
      </c>
      <c r="D3052">
        <f>IFERROR(__xludf.DUMMYFUNCTION("""COMPUTED_VALUE"""),83.0)</f>
        <v>83</v>
      </c>
      <c r="E3052">
        <f>IFERROR(__xludf.DUMMYFUNCTION("""COMPUTED_VALUE"""),0.47)</f>
        <v>0.47</v>
      </c>
      <c r="F3052">
        <f>IFERROR(__xludf.DUMMYFUNCTION("""COMPUTED_VALUE"""),4.98)</f>
        <v>4.98</v>
      </c>
      <c r="G3052">
        <f>IFERROR(__xludf.DUMMYFUNCTION("""COMPUTED_VALUE"""),15.23)</f>
        <v>15.23</v>
      </c>
    </row>
    <row r="3053">
      <c r="A3053">
        <f>IFERROR(__xludf.DUMMYFUNCTION("""COMPUTED_VALUE"""),788429.0)</f>
        <v>788429</v>
      </c>
      <c r="B3053" t="str">
        <f>IFERROR(__xludf.DUMMYFUNCTION("""COMPUTED_VALUE"""),"Peas Green Canned Low Sodium Fat Added In Cooking Ns As To Type Of Fat")</f>
        <v>Peas Green Canned Low Sodium Fat Added In Cooking Ns As To Type Of Fat</v>
      </c>
      <c r="C3053" t="str">
        <f>IFERROR(__xludf.DUMMYFUNCTION("""COMPUTED_VALUE"""),"Vegetables")</f>
        <v>Vegetables</v>
      </c>
      <c r="D3053">
        <f>IFERROR(__xludf.DUMMYFUNCTION("""COMPUTED_VALUE"""),100.0)</f>
        <v>100</v>
      </c>
      <c r="E3053">
        <f>IFERROR(__xludf.DUMMYFUNCTION("""COMPUTED_VALUE"""),2.58)</f>
        <v>2.58</v>
      </c>
      <c r="F3053">
        <f>IFERROR(__xludf.DUMMYFUNCTION("""COMPUTED_VALUE"""),4.91)</f>
        <v>4.91</v>
      </c>
      <c r="G3053">
        <f>IFERROR(__xludf.DUMMYFUNCTION("""COMPUTED_VALUE"""),14.96)</f>
        <v>14.96</v>
      </c>
    </row>
    <row r="3054">
      <c r="A3054">
        <f>IFERROR(__xludf.DUMMYFUNCTION("""COMPUTED_VALUE"""),788430.0)</f>
        <v>788430</v>
      </c>
      <c r="B3054" t="str">
        <f>IFERROR(__xludf.DUMMYFUNCTION("""COMPUTED_VALUE"""),"Peas Green Canned Low Sodium Made With Oil")</f>
        <v>Peas Green Canned Low Sodium Made With Oil</v>
      </c>
      <c r="C3054" t="str">
        <f>IFERROR(__xludf.DUMMYFUNCTION("""COMPUTED_VALUE"""),"Vegetables")</f>
        <v>Vegetables</v>
      </c>
      <c r="D3054">
        <f>IFERROR(__xludf.DUMMYFUNCTION("""COMPUTED_VALUE"""),106.0)</f>
        <v>106</v>
      </c>
      <c r="E3054">
        <f>IFERROR(__xludf.DUMMYFUNCTION("""COMPUTED_VALUE"""),3.27)</f>
        <v>3.27</v>
      </c>
      <c r="F3054">
        <f>IFERROR(__xludf.DUMMYFUNCTION("""COMPUTED_VALUE"""),4.89)</f>
        <v>4.89</v>
      </c>
      <c r="G3054">
        <f>IFERROR(__xludf.DUMMYFUNCTION("""COMPUTED_VALUE"""),14.96)</f>
        <v>14.96</v>
      </c>
    </row>
    <row r="3055">
      <c r="A3055">
        <f>IFERROR(__xludf.DUMMYFUNCTION("""COMPUTED_VALUE"""),788431.0)</f>
        <v>788431</v>
      </c>
      <c r="B3055" t="str">
        <f>IFERROR(__xludf.DUMMYFUNCTION("""COMPUTED_VALUE"""),"Peas Green Canned Low Sodium Made With Butter")</f>
        <v>Peas Green Canned Low Sodium Made With Butter</v>
      </c>
      <c r="C3055" t="str">
        <f>IFERROR(__xludf.DUMMYFUNCTION("""COMPUTED_VALUE"""),"Vegetables")</f>
        <v>Vegetables</v>
      </c>
      <c r="D3055">
        <f>IFERROR(__xludf.DUMMYFUNCTION("""COMPUTED_VALUE"""),102.0)</f>
        <v>102</v>
      </c>
      <c r="E3055">
        <f>IFERROR(__xludf.DUMMYFUNCTION("""COMPUTED_VALUE"""),2.83)</f>
        <v>2.83</v>
      </c>
      <c r="F3055">
        <f>IFERROR(__xludf.DUMMYFUNCTION("""COMPUTED_VALUE"""),4.92)</f>
        <v>4.92</v>
      </c>
      <c r="G3055">
        <f>IFERROR(__xludf.DUMMYFUNCTION("""COMPUTED_VALUE"""),14.95)</f>
        <v>14.95</v>
      </c>
    </row>
    <row r="3056">
      <c r="A3056">
        <f>IFERROR(__xludf.DUMMYFUNCTION("""COMPUTED_VALUE"""),788432.0)</f>
        <v>788432</v>
      </c>
      <c r="B3056" t="str">
        <f>IFERROR(__xludf.DUMMYFUNCTION("""COMPUTED_VALUE"""),"Peas Green Canned Low Sodium Made With Margarine")</f>
        <v>Peas Green Canned Low Sodium Made With Margarine</v>
      </c>
      <c r="C3056" t="str">
        <f>IFERROR(__xludf.DUMMYFUNCTION("""COMPUTED_VALUE"""),"Vegetables")</f>
        <v>Vegetables</v>
      </c>
      <c r="D3056">
        <f>IFERROR(__xludf.DUMMYFUNCTION("""COMPUTED_VALUE"""),97.0)</f>
        <v>97</v>
      </c>
      <c r="E3056">
        <f>IFERROR(__xludf.DUMMYFUNCTION("""COMPUTED_VALUE"""),2.22)</f>
        <v>2.22</v>
      </c>
      <c r="F3056">
        <f>IFERROR(__xludf.DUMMYFUNCTION("""COMPUTED_VALUE"""),4.89)</f>
        <v>4.89</v>
      </c>
      <c r="G3056">
        <f>IFERROR(__xludf.DUMMYFUNCTION("""COMPUTED_VALUE"""),14.97)</f>
        <v>14.97</v>
      </c>
    </row>
    <row r="3057">
      <c r="A3057">
        <f>IFERROR(__xludf.DUMMYFUNCTION("""COMPUTED_VALUE"""),788433.0)</f>
        <v>788433</v>
      </c>
      <c r="B3057" t="str">
        <f>IFERROR(__xludf.DUMMYFUNCTION("""COMPUTED_VALUE"""),"Pigeon Peas Cooked Ns As To Form Fat Not Added In Cooking")</f>
        <v>Pigeon Peas Cooked Ns As To Form Fat Not Added In Cooking</v>
      </c>
      <c r="C3057" t="str">
        <f>IFERROR(__xludf.DUMMYFUNCTION("""COMPUTED_VALUE"""),"Vegetables")</f>
        <v>Vegetables</v>
      </c>
      <c r="D3057">
        <f>IFERROR(__xludf.DUMMYFUNCTION("""COMPUTED_VALUE"""),110.0)</f>
        <v>110</v>
      </c>
      <c r="E3057">
        <f>IFERROR(__xludf.DUMMYFUNCTION("""COMPUTED_VALUE"""),1.35)</f>
        <v>1.35</v>
      </c>
      <c r="F3057">
        <f>IFERROR(__xludf.DUMMYFUNCTION("""COMPUTED_VALUE"""),5.92)</f>
        <v>5.92</v>
      </c>
      <c r="G3057">
        <f>IFERROR(__xludf.DUMMYFUNCTION("""COMPUTED_VALUE"""),19.36)</f>
        <v>19.36</v>
      </c>
    </row>
    <row r="3058">
      <c r="A3058">
        <f>IFERROR(__xludf.DUMMYFUNCTION("""COMPUTED_VALUE"""),788434.0)</f>
        <v>788434</v>
      </c>
      <c r="B3058" t="str">
        <f>IFERROR(__xludf.DUMMYFUNCTION("""COMPUTED_VALUE"""),"Pigeon Peas Cooked From Fresh Fat Not Added In Cooking")</f>
        <v>Pigeon Peas Cooked From Fresh Fat Not Added In Cooking</v>
      </c>
      <c r="C3058" t="str">
        <f>IFERROR(__xludf.DUMMYFUNCTION("""COMPUTED_VALUE"""),"Vegetables")</f>
        <v>Vegetables</v>
      </c>
      <c r="D3058">
        <f>IFERROR(__xludf.DUMMYFUNCTION("""COMPUTED_VALUE"""),110.0)</f>
        <v>110</v>
      </c>
      <c r="E3058">
        <f>IFERROR(__xludf.DUMMYFUNCTION("""COMPUTED_VALUE"""),1.35)</f>
        <v>1.35</v>
      </c>
      <c r="F3058">
        <f>IFERROR(__xludf.DUMMYFUNCTION("""COMPUTED_VALUE"""),5.92)</f>
        <v>5.92</v>
      </c>
      <c r="G3058">
        <f>IFERROR(__xludf.DUMMYFUNCTION("""COMPUTED_VALUE"""),19.36)</f>
        <v>19.36</v>
      </c>
    </row>
    <row r="3059">
      <c r="A3059">
        <f>IFERROR(__xludf.DUMMYFUNCTION("""COMPUTED_VALUE"""),788435.0)</f>
        <v>788435</v>
      </c>
      <c r="B3059" t="str">
        <f>IFERROR(__xludf.DUMMYFUNCTION("""COMPUTED_VALUE"""),"Pigeon Peas Cooked From Canned Fat Not Added In Cooking")</f>
        <v>Pigeon Peas Cooked From Canned Fat Not Added In Cooking</v>
      </c>
      <c r="C3059" t="str">
        <f>IFERROR(__xludf.DUMMYFUNCTION("""COMPUTED_VALUE"""),"Vegetables")</f>
        <v>Vegetables</v>
      </c>
      <c r="D3059">
        <f>IFERROR(__xludf.DUMMYFUNCTION("""COMPUTED_VALUE"""),110.0)</f>
        <v>110</v>
      </c>
      <c r="E3059">
        <f>IFERROR(__xludf.DUMMYFUNCTION("""COMPUTED_VALUE"""),1.35)</f>
        <v>1.35</v>
      </c>
      <c r="F3059">
        <f>IFERROR(__xludf.DUMMYFUNCTION("""COMPUTED_VALUE"""),5.92)</f>
        <v>5.92</v>
      </c>
      <c r="G3059">
        <f>IFERROR(__xludf.DUMMYFUNCTION("""COMPUTED_VALUE"""),19.36)</f>
        <v>19.36</v>
      </c>
    </row>
    <row r="3060">
      <c r="A3060">
        <f>IFERROR(__xludf.DUMMYFUNCTION("""COMPUTED_VALUE"""),788436.0)</f>
        <v>788436</v>
      </c>
      <c r="B3060" t="str">
        <f>IFERROR(__xludf.DUMMYFUNCTION("""COMPUTED_VALUE"""),"Pigeon Peas Cooked Ns As To Form Ns As To Fat Added In Cooking")</f>
        <v>Pigeon Peas Cooked Ns As To Form Ns As To Fat Added In Cooking</v>
      </c>
      <c r="C3060" t="str">
        <f>IFERROR(__xludf.DUMMYFUNCTION("""COMPUTED_VALUE"""),"Vegetables")</f>
        <v>Vegetables</v>
      </c>
      <c r="D3060">
        <f>IFERROR(__xludf.DUMMYFUNCTION("""COMPUTED_VALUE"""),126.0)</f>
        <v>126</v>
      </c>
      <c r="E3060">
        <f>IFERROR(__xludf.DUMMYFUNCTION("""COMPUTED_VALUE"""),3.47)</f>
        <v>3.47</v>
      </c>
      <c r="F3060">
        <f>IFERROR(__xludf.DUMMYFUNCTION("""COMPUTED_VALUE"""),5.76)</f>
        <v>5.76</v>
      </c>
      <c r="G3060">
        <f>IFERROR(__xludf.DUMMYFUNCTION("""COMPUTED_VALUE"""),18.8)</f>
        <v>18.8</v>
      </c>
    </row>
    <row r="3061">
      <c r="A3061">
        <f>IFERROR(__xludf.DUMMYFUNCTION("""COMPUTED_VALUE"""),788437.0)</f>
        <v>788437</v>
      </c>
      <c r="B3061" t="str">
        <f>IFERROR(__xludf.DUMMYFUNCTION("""COMPUTED_VALUE"""),"Pigeon Peas Cooked Ns As To Form Fat Added In Cooking")</f>
        <v>Pigeon Peas Cooked Ns As To Form Fat Added In Cooking</v>
      </c>
      <c r="C3061" t="str">
        <f>IFERROR(__xludf.DUMMYFUNCTION("""COMPUTED_VALUE"""),"Vegetables")</f>
        <v>Vegetables</v>
      </c>
      <c r="D3061">
        <f>IFERROR(__xludf.DUMMYFUNCTION("""COMPUTED_VALUE"""),126.0)</f>
        <v>126</v>
      </c>
      <c r="E3061">
        <f>IFERROR(__xludf.DUMMYFUNCTION("""COMPUTED_VALUE"""),3.47)</f>
        <v>3.47</v>
      </c>
      <c r="F3061">
        <f>IFERROR(__xludf.DUMMYFUNCTION("""COMPUTED_VALUE"""),5.76)</f>
        <v>5.76</v>
      </c>
      <c r="G3061">
        <f>IFERROR(__xludf.DUMMYFUNCTION("""COMPUTED_VALUE"""),18.8)</f>
        <v>18.8</v>
      </c>
    </row>
    <row r="3062">
      <c r="A3062">
        <f>IFERROR(__xludf.DUMMYFUNCTION("""COMPUTED_VALUE"""),788438.0)</f>
        <v>788438</v>
      </c>
      <c r="B3062" t="str">
        <f>IFERROR(__xludf.DUMMYFUNCTION("""COMPUTED_VALUE"""),"Pigeon Peas Cooked From Fresh Ns As To Fat Added In Cooking")</f>
        <v>Pigeon Peas Cooked From Fresh Ns As To Fat Added In Cooking</v>
      </c>
      <c r="C3062" t="str">
        <f>IFERROR(__xludf.DUMMYFUNCTION("""COMPUTED_VALUE"""),"Vegetables")</f>
        <v>Vegetables</v>
      </c>
      <c r="D3062">
        <f>IFERROR(__xludf.DUMMYFUNCTION("""COMPUTED_VALUE"""),126.0)</f>
        <v>126</v>
      </c>
      <c r="E3062">
        <f>IFERROR(__xludf.DUMMYFUNCTION("""COMPUTED_VALUE"""),3.47)</f>
        <v>3.47</v>
      </c>
      <c r="F3062">
        <f>IFERROR(__xludf.DUMMYFUNCTION("""COMPUTED_VALUE"""),5.76)</f>
        <v>5.76</v>
      </c>
      <c r="G3062">
        <f>IFERROR(__xludf.DUMMYFUNCTION("""COMPUTED_VALUE"""),18.8)</f>
        <v>18.8</v>
      </c>
    </row>
    <row r="3063">
      <c r="A3063">
        <f>IFERROR(__xludf.DUMMYFUNCTION("""COMPUTED_VALUE"""),788439.0)</f>
        <v>788439</v>
      </c>
      <c r="B3063" t="str">
        <f>IFERROR(__xludf.DUMMYFUNCTION("""COMPUTED_VALUE"""),"Pigeon Peas Cooked From Fresh Fat Added In Cooking")</f>
        <v>Pigeon Peas Cooked From Fresh Fat Added In Cooking</v>
      </c>
      <c r="C3063" t="str">
        <f>IFERROR(__xludf.DUMMYFUNCTION("""COMPUTED_VALUE"""),"Vegetables")</f>
        <v>Vegetables</v>
      </c>
      <c r="D3063">
        <f>IFERROR(__xludf.DUMMYFUNCTION("""COMPUTED_VALUE"""),126.0)</f>
        <v>126</v>
      </c>
      <c r="E3063">
        <f>IFERROR(__xludf.DUMMYFUNCTION("""COMPUTED_VALUE"""),3.47)</f>
        <v>3.47</v>
      </c>
      <c r="F3063">
        <f>IFERROR(__xludf.DUMMYFUNCTION("""COMPUTED_VALUE"""),5.76)</f>
        <v>5.76</v>
      </c>
      <c r="G3063">
        <f>IFERROR(__xludf.DUMMYFUNCTION("""COMPUTED_VALUE"""),18.8)</f>
        <v>18.8</v>
      </c>
    </row>
    <row r="3064">
      <c r="A3064">
        <f>IFERROR(__xludf.DUMMYFUNCTION("""COMPUTED_VALUE"""),788440.0)</f>
        <v>788440</v>
      </c>
      <c r="B3064" t="str">
        <f>IFERROR(__xludf.DUMMYFUNCTION("""COMPUTED_VALUE"""),"Pigeon Peas Cooked From Canned Ns As To Fat Added In Cooking")</f>
        <v>Pigeon Peas Cooked From Canned Ns As To Fat Added In Cooking</v>
      </c>
      <c r="C3064" t="str">
        <f>IFERROR(__xludf.DUMMYFUNCTION("""COMPUTED_VALUE"""),"Vegetables")</f>
        <v>Vegetables</v>
      </c>
      <c r="D3064">
        <f>IFERROR(__xludf.DUMMYFUNCTION("""COMPUTED_VALUE"""),126.0)</f>
        <v>126</v>
      </c>
      <c r="E3064">
        <f>IFERROR(__xludf.DUMMYFUNCTION("""COMPUTED_VALUE"""),3.47)</f>
        <v>3.47</v>
      </c>
      <c r="F3064">
        <f>IFERROR(__xludf.DUMMYFUNCTION("""COMPUTED_VALUE"""),5.76)</f>
        <v>5.76</v>
      </c>
      <c r="G3064">
        <f>IFERROR(__xludf.DUMMYFUNCTION("""COMPUTED_VALUE"""),18.8)</f>
        <v>18.8</v>
      </c>
    </row>
    <row r="3065">
      <c r="A3065">
        <f>IFERROR(__xludf.DUMMYFUNCTION("""COMPUTED_VALUE"""),788441.0)</f>
        <v>788441</v>
      </c>
      <c r="B3065" t="str">
        <f>IFERROR(__xludf.DUMMYFUNCTION("""COMPUTED_VALUE"""),"Pigeon Peas Cooked From Canned Fat Added In Cooking")</f>
        <v>Pigeon Peas Cooked From Canned Fat Added In Cooking</v>
      </c>
      <c r="C3065" t="str">
        <f>IFERROR(__xludf.DUMMYFUNCTION("""COMPUTED_VALUE"""),"Vegetables")</f>
        <v>Vegetables</v>
      </c>
      <c r="D3065">
        <f>IFERROR(__xludf.DUMMYFUNCTION("""COMPUTED_VALUE"""),126.0)</f>
        <v>126</v>
      </c>
      <c r="E3065">
        <f>IFERROR(__xludf.DUMMYFUNCTION("""COMPUTED_VALUE"""),3.47)</f>
        <v>3.47</v>
      </c>
      <c r="F3065">
        <f>IFERROR(__xludf.DUMMYFUNCTION("""COMPUTED_VALUE"""),5.76)</f>
        <v>5.76</v>
      </c>
      <c r="G3065">
        <f>IFERROR(__xludf.DUMMYFUNCTION("""COMPUTED_VALUE"""),18.8)</f>
        <v>18.8</v>
      </c>
    </row>
    <row r="3066">
      <c r="A3066">
        <f>IFERROR(__xludf.DUMMYFUNCTION("""COMPUTED_VALUE"""),788442.0)</f>
        <v>788442</v>
      </c>
      <c r="B3066" t="str">
        <f>IFERROR(__xludf.DUMMYFUNCTION("""COMPUTED_VALUE"""),"Peppers Green Cooked Ns As To Fat Added In Cooking")</f>
        <v>Peppers Green Cooked Ns As To Fat Added In Cooking</v>
      </c>
      <c r="C3066" t="str">
        <f>IFERROR(__xludf.DUMMYFUNCTION("""COMPUTED_VALUE"""),"Vegetables")</f>
        <v>Vegetables</v>
      </c>
      <c r="D3066">
        <f>IFERROR(__xludf.DUMMYFUNCTION("""COMPUTED_VALUE"""),48.0)</f>
        <v>48</v>
      </c>
      <c r="E3066">
        <f>IFERROR(__xludf.DUMMYFUNCTION("""COMPUTED_VALUE"""),2.61)</f>
        <v>2.61</v>
      </c>
      <c r="F3066">
        <f>IFERROR(__xludf.DUMMYFUNCTION("""COMPUTED_VALUE"""),0.9)</f>
        <v>0.9</v>
      </c>
      <c r="G3066">
        <f>IFERROR(__xludf.DUMMYFUNCTION("""COMPUTED_VALUE"""),6.44)</f>
        <v>6.44</v>
      </c>
    </row>
    <row r="3067">
      <c r="A3067">
        <f>IFERROR(__xludf.DUMMYFUNCTION("""COMPUTED_VALUE"""),788443.0)</f>
        <v>788443</v>
      </c>
      <c r="B3067" t="str">
        <f>IFERROR(__xludf.DUMMYFUNCTION("""COMPUTED_VALUE"""),"Peppers Green Cooked Fat Not Added In Cooking")</f>
        <v>Peppers Green Cooked Fat Not Added In Cooking</v>
      </c>
      <c r="C3067" t="str">
        <f>IFERROR(__xludf.DUMMYFUNCTION("""COMPUTED_VALUE"""),"Vegetables")</f>
        <v>Vegetables</v>
      </c>
      <c r="D3067">
        <f>IFERROR(__xludf.DUMMYFUNCTION("""COMPUTED_VALUE"""),28.0)</f>
        <v>28</v>
      </c>
      <c r="E3067">
        <f>IFERROR(__xludf.DUMMYFUNCTION("""COMPUTED_VALUE"""),0.2)</f>
        <v>0.2</v>
      </c>
      <c r="F3067">
        <f>IFERROR(__xludf.DUMMYFUNCTION("""COMPUTED_VALUE"""),0.91)</f>
        <v>0.91</v>
      </c>
      <c r="G3067">
        <f>IFERROR(__xludf.DUMMYFUNCTION("""COMPUTED_VALUE"""),6.65)</f>
        <v>6.65</v>
      </c>
    </row>
    <row r="3068">
      <c r="A3068">
        <f>IFERROR(__xludf.DUMMYFUNCTION("""COMPUTED_VALUE"""),788444.0)</f>
        <v>788444</v>
      </c>
      <c r="B3068" t="str">
        <f>IFERROR(__xludf.DUMMYFUNCTION("""COMPUTED_VALUE"""),"Peppers Green Cooked Fat Added In Cooking Ns As To Type Of Fat")</f>
        <v>Peppers Green Cooked Fat Added In Cooking Ns As To Type Of Fat</v>
      </c>
      <c r="C3068" t="str">
        <f>IFERROR(__xludf.DUMMYFUNCTION("""COMPUTED_VALUE"""),"Vegetables")</f>
        <v>Vegetables</v>
      </c>
      <c r="D3068">
        <f>IFERROR(__xludf.DUMMYFUNCTION("""COMPUTED_VALUE"""),48.0)</f>
        <v>48</v>
      </c>
      <c r="E3068">
        <f>IFERROR(__xludf.DUMMYFUNCTION("""COMPUTED_VALUE"""),2.61)</f>
        <v>2.61</v>
      </c>
      <c r="F3068">
        <f>IFERROR(__xludf.DUMMYFUNCTION("""COMPUTED_VALUE"""),0.9)</f>
        <v>0.9</v>
      </c>
      <c r="G3068">
        <f>IFERROR(__xludf.DUMMYFUNCTION("""COMPUTED_VALUE"""),6.44)</f>
        <v>6.44</v>
      </c>
    </row>
    <row r="3069">
      <c r="A3069">
        <f>IFERROR(__xludf.DUMMYFUNCTION("""COMPUTED_VALUE"""),788445.0)</f>
        <v>788445</v>
      </c>
      <c r="B3069" t="str">
        <f>IFERROR(__xludf.DUMMYFUNCTION("""COMPUTED_VALUE"""),"Peppers Green Cooked Made With Oil")</f>
        <v>Peppers Green Cooked Made With Oil</v>
      </c>
      <c r="C3069" t="str">
        <f>IFERROR(__xludf.DUMMYFUNCTION("""COMPUTED_VALUE"""),"Vegetables")</f>
        <v>Vegetables</v>
      </c>
      <c r="D3069">
        <f>IFERROR(__xludf.DUMMYFUNCTION("""COMPUTED_VALUE"""),55.0)</f>
        <v>55</v>
      </c>
      <c r="E3069">
        <f>IFERROR(__xludf.DUMMYFUNCTION("""COMPUTED_VALUE"""),3.4)</f>
        <v>3.4</v>
      </c>
      <c r="F3069">
        <f>IFERROR(__xludf.DUMMYFUNCTION("""COMPUTED_VALUE"""),0.88)</f>
        <v>0.88</v>
      </c>
      <c r="G3069">
        <f>IFERROR(__xludf.DUMMYFUNCTION("""COMPUTED_VALUE"""),6.44)</f>
        <v>6.44</v>
      </c>
    </row>
    <row r="3070">
      <c r="A3070">
        <f>IFERROR(__xludf.DUMMYFUNCTION("""COMPUTED_VALUE"""),788446.0)</f>
        <v>788446</v>
      </c>
      <c r="B3070" t="str">
        <f>IFERROR(__xludf.DUMMYFUNCTION("""COMPUTED_VALUE"""),"Peppers Green Cooked Made With Butter")</f>
        <v>Peppers Green Cooked Made With Butter</v>
      </c>
      <c r="C3070" t="str">
        <f>IFERROR(__xludf.DUMMYFUNCTION("""COMPUTED_VALUE"""),"Vegetables")</f>
        <v>Vegetables</v>
      </c>
      <c r="D3070">
        <f>IFERROR(__xludf.DUMMYFUNCTION("""COMPUTED_VALUE"""),51.0)</f>
        <v>51</v>
      </c>
      <c r="E3070">
        <f>IFERROR(__xludf.DUMMYFUNCTION("""COMPUTED_VALUE"""),2.9)</f>
        <v>2.9</v>
      </c>
      <c r="F3070">
        <f>IFERROR(__xludf.DUMMYFUNCTION("""COMPUTED_VALUE"""),0.91)</f>
        <v>0.91</v>
      </c>
      <c r="G3070">
        <f>IFERROR(__xludf.DUMMYFUNCTION("""COMPUTED_VALUE"""),6.43)</f>
        <v>6.43</v>
      </c>
    </row>
    <row r="3071">
      <c r="A3071">
        <f>IFERROR(__xludf.DUMMYFUNCTION("""COMPUTED_VALUE"""),788447.0)</f>
        <v>788447</v>
      </c>
      <c r="B3071" t="str">
        <f>IFERROR(__xludf.DUMMYFUNCTION("""COMPUTED_VALUE"""),"Peppers Green Cooked Made With Margarine")</f>
        <v>Peppers Green Cooked Made With Margarine</v>
      </c>
      <c r="C3071" t="str">
        <f>IFERROR(__xludf.DUMMYFUNCTION("""COMPUTED_VALUE"""),"Vegetables")</f>
        <v>Vegetables</v>
      </c>
      <c r="D3071">
        <f>IFERROR(__xludf.DUMMYFUNCTION("""COMPUTED_VALUE"""),45.0)</f>
        <v>45</v>
      </c>
      <c r="E3071">
        <f>IFERROR(__xludf.DUMMYFUNCTION("""COMPUTED_VALUE"""),2.2)</f>
        <v>2.2</v>
      </c>
      <c r="F3071">
        <f>IFERROR(__xludf.DUMMYFUNCTION("""COMPUTED_VALUE"""),0.89)</f>
        <v>0.89</v>
      </c>
      <c r="G3071">
        <f>IFERROR(__xludf.DUMMYFUNCTION("""COMPUTED_VALUE"""),6.46)</f>
        <v>6.46</v>
      </c>
    </row>
    <row r="3072">
      <c r="A3072">
        <f>IFERROR(__xludf.DUMMYFUNCTION("""COMPUTED_VALUE"""),788448.0)</f>
        <v>788448</v>
      </c>
      <c r="B3072" t="str">
        <f>IFERROR(__xludf.DUMMYFUNCTION("""COMPUTED_VALUE"""),"Peppers Red Cooked Ns As To Fat Added In Cooking")</f>
        <v>Peppers Red Cooked Ns As To Fat Added In Cooking</v>
      </c>
      <c r="C3072" t="str">
        <f>IFERROR(__xludf.DUMMYFUNCTION("""COMPUTED_VALUE"""),"Vegetables")</f>
        <v>Vegetables</v>
      </c>
      <c r="D3072">
        <f>IFERROR(__xludf.DUMMYFUNCTION("""COMPUTED_VALUE"""),48.0)</f>
        <v>48</v>
      </c>
      <c r="E3072">
        <f>IFERROR(__xludf.DUMMYFUNCTION("""COMPUTED_VALUE"""),2.61)</f>
        <v>2.61</v>
      </c>
      <c r="F3072">
        <f>IFERROR(__xludf.DUMMYFUNCTION("""COMPUTED_VALUE"""),0.9)</f>
        <v>0.9</v>
      </c>
      <c r="G3072">
        <f>IFERROR(__xludf.DUMMYFUNCTION("""COMPUTED_VALUE"""),6.44)</f>
        <v>6.44</v>
      </c>
    </row>
    <row r="3073">
      <c r="A3073">
        <f>IFERROR(__xludf.DUMMYFUNCTION("""COMPUTED_VALUE"""),788449.0)</f>
        <v>788449</v>
      </c>
      <c r="B3073" t="str">
        <f>IFERROR(__xludf.DUMMYFUNCTION("""COMPUTED_VALUE"""),"Peppers Red Cooked Fat Not Added In Cooking")</f>
        <v>Peppers Red Cooked Fat Not Added In Cooking</v>
      </c>
      <c r="C3073" t="str">
        <f>IFERROR(__xludf.DUMMYFUNCTION("""COMPUTED_VALUE"""),"Vegetables")</f>
        <v>Vegetables</v>
      </c>
      <c r="D3073">
        <f>IFERROR(__xludf.DUMMYFUNCTION("""COMPUTED_VALUE"""),28.0)</f>
        <v>28</v>
      </c>
      <c r="E3073">
        <f>IFERROR(__xludf.DUMMYFUNCTION("""COMPUTED_VALUE"""),0.2)</f>
        <v>0.2</v>
      </c>
      <c r="F3073">
        <f>IFERROR(__xludf.DUMMYFUNCTION("""COMPUTED_VALUE"""),0.91)</f>
        <v>0.91</v>
      </c>
      <c r="G3073">
        <f>IFERROR(__xludf.DUMMYFUNCTION("""COMPUTED_VALUE"""),6.65)</f>
        <v>6.65</v>
      </c>
    </row>
    <row r="3074">
      <c r="A3074">
        <f>IFERROR(__xludf.DUMMYFUNCTION("""COMPUTED_VALUE"""),788450.0)</f>
        <v>788450</v>
      </c>
      <c r="B3074" t="str">
        <f>IFERROR(__xludf.DUMMYFUNCTION("""COMPUTED_VALUE"""),"Peppers Red Cooked Fat Added In Cooking Ns As To Type Of Fat")</f>
        <v>Peppers Red Cooked Fat Added In Cooking Ns As To Type Of Fat</v>
      </c>
      <c r="C3074" t="str">
        <f>IFERROR(__xludf.DUMMYFUNCTION("""COMPUTED_VALUE"""),"Vegetables")</f>
        <v>Vegetables</v>
      </c>
      <c r="D3074">
        <f>IFERROR(__xludf.DUMMYFUNCTION("""COMPUTED_VALUE"""),48.0)</f>
        <v>48</v>
      </c>
      <c r="E3074">
        <f>IFERROR(__xludf.DUMMYFUNCTION("""COMPUTED_VALUE"""),2.61)</f>
        <v>2.61</v>
      </c>
      <c r="F3074">
        <f>IFERROR(__xludf.DUMMYFUNCTION("""COMPUTED_VALUE"""),0.9)</f>
        <v>0.9</v>
      </c>
      <c r="G3074">
        <f>IFERROR(__xludf.DUMMYFUNCTION("""COMPUTED_VALUE"""),6.44)</f>
        <v>6.44</v>
      </c>
    </row>
    <row r="3075">
      <c r="A3075">
        <f>IFERROR(__xludf.DUMMYFUNCTION("""COMPUTED_VALUE"""),788451.0)</f>
        <v>788451</v>
      </c>
      <c r="B3075" t="str">
        <f>IFERROR(__xludf.DUMMYFUNCTION("""COMPUTED_VALUE"""),"Peppers Red Cooked Made With Oil")</f>
        <v>Peppers Red Cooked Made With Oil</v>
      </c>
      <c r="C3075" t="str">
        <f>IFERROR(__xludf.DUMMYFUNCTION("""COMPUTED_VALUE"""),"Vegetables")</f>
        <v>Vegetables</v>
      </c>
      <c r="D3075">
        <f>IFERROR(__xludf.DUMMYFUNCTION("""COMPUTED_VALUE"""),55.0)</f>
        <v>55</v>
      </c>
      <c r="E3075">
        <f>IFERROR(__xludf.DUMMYFUNCTION("""COMPUTED_VALUE"""),3.4)</f>
        <v>3.4</v>
      </c>
      <c r="F3075">
        <f>IFERROR(__xludf.DUMMYFUNCTION("""COMPUTED_VALUE"""),0.88)</f>
        <v>0.88</v>
      </c>
      <c r="G3075">
        <f>IFERROR(__xludf.DUMMYFUNCTION("""COMPUTED_VALUE"""),6.44)</f>
        <v>6.44</v>
      </c>
    </row>
    <row r="3076">
      <c r="A3076">
        <f>IFERROR(__xludf.DUMMYFUNCTION("""COMPUTED_VALUE"""),788452.0)</f>
        <v>788452</v>
      </c>
      <c r="B3076" t="str">
        <f>IFERROR(__xludf.DUMMYFUNCTION("""COMPUTED_VALUE"""),"Peppers Red Cooked Made With Butter")</f>
        <v>Peppers Red Cooked Made With Butter</v>
      </c>
      <c r="C3076" t="str">
        <f>IFERROR(__xludf.DUMMYFUNCTION("""COMPUTED_VALUE"""),"Vegetables")</f>
        <v>Vegetables</v>
      </c>
      <c r="D3076">
        <f>IFERROR(__xludf.DUMMYFUNCTION("""COMPUTED_VALUE"""),51.0)</f>
        <v>51</v>
      </c>
      <c r="E3076">
        <f>IFERROR(__xludf.DUMMYFUNCTION("""COMPUTED_VALUE"""),2.9)</f>
        <v>2.9</v>
      </c>
      <c r="F3076">
        <f>IFERROR(__xludf.DUMMYFUNCTION("""COMPUTED_VALUE"""),0.91)</f>
        <v>0.91</v>
      </c>
      <c r="G3076">
        <f>IFERROR(__xludf.DUMMYFUNCTION("""COMPUTED_VALUE"""),6.43)</f>
        <v>6.43</v>
      </c>
    </row>
    <row r="3077">
      <c r="A3077">
        <f>IFERROR(__xludf.DUMMYFUNCTION("""COMPUTED_VALUE"""),788453.0)</f>
        <v>788453</v>
      </c>
      <c r="B3077" t="str">
        <f>IFERROR(__xludf.DUMMYFUNCTION("""COMPUTED_VALUE"""),"Peppers Red Cooked Made With Margarine")</f>
        <v>Peppers Red Cooked Made With Margarine</v>
      </c>
      <c r="C3077" t="str">
        <f>IFERROR(__xludf.DUMMYFUNCTION("""COMPUTED_VALUE"""),"Vegetables")</f>
        <v>Vegetables</v>
      </c>
      <c r="D3077">
        <f>IFERROR(__xludf.DUMMYFUNCTION("""COMPUTED_VALUE"""),45.0)</f>
        <v>45</v>
      </c>
      <c r="E3077">
        <f>IFERROR(__xludf.DUMMYFUNCTION("""COMPUTED_VALUE"""),2.2)</f>
        <v>2.2</v>
      </c>
      <c r="F3077">
        <f>IFERROR(__xludf.DUMMYFUNCTION("""COMPUTED_VALUE"""),0.89)</f>
        <v>0.89</v>
      </c>
      <c r="G3077">
        <f>IFERROR(__xludf.DUMMYFUNCTION("""COMPUTED_VALUE"""),6.46)</f>
        <v>6.46</v>
      </c>
    </row>
    <row r="3078">
      <c r="A3078">
        <f>IFERROR(__xludf.DUMMYFUNCTION("""COMPUTED_VALUE"""),788467.0)</f>
        <v>788467</v>
      </c>
      <c r="B3078" t="str">
        <f>IFERROR(__xludf.DUMMYFUNCTION("""COMPUTED_VALUE"""),"Radish Daikon Cooked Ns As To Fat Added In Cooking")</f>
        <v>Radish Daikon Cooked Ns As To Fat Added In Cooking</v>
      </c>
      <c r="C3078" t="str">
        <f>IFERROR(__xludf.DUMMYFUNCTION("""COMPUTED_VALUE"""),"Vegetables")</f>
        <v>Vegetables</v>
      </c>
      <c r="D3078">
        <f>IFERROR(__xludf.DUMMYFUNCTION("""COMPUTED_VALUE"""),43.0)</f>
        <v>43</v>
      </c>
      <c r="E3078">
        <f>IFERROR(__xludf.DUMMYFUNCTION("""COMPUTED_VALUE"""),3.19)</f>
        <v>3.19</v>
      </c>
      <c r="F3078">
        <f>IFERROR(__xludf.DUMMYFUNCTION("""COMPUTED_VALUE"""),0.65)</f>
        <v>0.65</v>
      </c>
      <c r="G3078">
        <f>IFERROR(__xludf.DUMMYFUNCTION("""COMPUTED_VALUE"""),3.31)</f>
        <v>3.31</v>
      </c>
    </row>
    <row r="3079">
      <c r="A3079">
        <f>IFERROR(__xludf.DUMMYFUNCTION("""COMPUTED_VALUE"""),788468.0)</f>
        <v>788468</v>
      </c>
      <c r="B3079" t="str">
        <f>IFERROR(__xludf.DUMMYFUNCTION("""COMPUTED_VALUE"""),"Radish Daikon Cooked Fat Not Added In Cooking")</f>
        <v>Radish Daikon Cooked Fat Not Added In Cooking</v>
      </c>
      <c r="C3079" t="str">
        <f>IFERROR(__xludf.DUMMYFUNCTION("""COMPUTED_VALUE"""),"Vegetables")</f>
        <v>Vegetables</v>
      </c>
      <c r="D3079">
        <f>IFERROR(__xludf.DUMMYFUNCTION("""COMPUTED_VALUE"""),17.0)</f>
        <v>17</v>
      </c>
      <c r="E3079">
        <f>IFERROR(__xludf.DUMMYFUNCTION("""COMPUTED_VALUE"""),0.24)</f>
        <v>0.24</v>
      </c>
      <c r="F3079">
        <f>IFERROR(__xludf.DUMMYFUNCTION("""COMPUTED_VALUE"""),0.66)</f>
        <v>0.66</v>
      </c>
      <c r="G3079">
        <f>IFERROR(__xludf.DUMMYFUNCTION("""COMPUTED_VALUE"""),3.41)</f>
        <v>3.41</v>
      </c>
    </row>
    <row r="3080">
      <c r="A3080">
        <f>IFERROR(__xludf.DUMMYFUNCTION("""COMPUTED_VALUE"""),788469.0)</f>
        <v>788469</v>
      </c>
      <c r="B3080" t="str">
        <f>IFERROR(__xludf.DUMMYFUNCTION("""COMPUTED_VALUE"""),"Radish Daikon Cooked Fat Added In Cooking")</f>
        <v>Radish Daikon Cooked Fat Added In Cooking</v>
      </c>
      <c r="C3080" t="str">
        <f>IFERROR(__xludf.DUMMYFUNCTION("""COMPUTED_VALUE"""),"Vegetables")</f>
        <v>Vegetables</v>
      </c>
      <c r="D3080">
        <f>IFERROR(__xludf.DUMMYFUNCTION("""COMPUTED_VALUE"""),43.0)</f>
        <v>43</v>
      </c>
      <c r="E3080">
        <f>IFERROR(__xludf.DUMMYFUNCTION("""COMPUTED_VALUE"""),3.21)</f>
        <v>3.21</v>
      </c>
      <c r="F3080">
        <f>IFERROR(__xludf.DUMMYFUNCTION("""COMPUTED_VALUE"""),0.65)</f>
        <v>0.65</v>
      </c>
      <c r="G3080">
        <f>IFERROR(__xludf.DUMMYFUNCTION("""COMPUTED_VALUE"""),3.3)</f>
        <v>3.3</v>
      </c>
    </row>
    <row r="3081">
      <c r="A3081">
        <f>IFERROR(__xludf.DUMMYFUNCTION("""COMPUTED_VALUE"""),788470.0)</f>
        <v>788470</v>
      </c>
      <c r="B3081" t="str">
        <f>IFERROR(__xludf.DUMMYFUNCTION("""COMPUTED_VALUE"""),"Rutabaga Cooked Ns As To Fat Added In Cooking")</f>
        <v>Rutabaga Cooked Ns As To Fat Added In Cooking</v>
      </c>
      <c r="C3081" t="str">
        <f>IFERROR(__xludf.DUMMYFUNCTION("""COMPUTED_VALUE"""),"Vegetables")</f>
        <v>Vegetables</v>
      </c>
      <c r="D3081">
        <f>IFERROR(__xludf.DUMMYFUNCTION("""COMPUTED_VALUE"""),46.0)</f>
        <v>46</v>
      </c>
      <c r="E3081">
        <f>IFERROR(__xludf.DUMMYFUNCTION("""COMPUTED_VALUE"""),2.13)</f>
        <v>2.13</v>
      </c>
      <c r="F3081">
        <f>IFERROR(__xludf.DUMMYFUNCTION("""COMPUTED_VALUE"""),0.92)</f>
        <v>0.92</v>
      </c>
      <c r="G3081">
        <f>IFERROR(__xludf.DUMMYFUNCTION("""COMPUTED_VALUE"""),6.63)</f>
        <v>6.63</v>
      </c>
    </row>
    <row r="3082">
      <c r="A3082">
        <f>IFERROR(__xludf.DUMMYFUNCTION("""COMPUTED_VALUE"""),788471.0)</f>
        <v>788471</v>
      </c>
      <c r="B3082" t="str">
        <f>IFERROR(__xludf.DUMMYFUNCTION("""COMPUTED_VALUE"""),"Rutabaga Cooked Fat Not Added In Cooking")</f>
        <v>Rutabaga Cooked Fat Not Added In Cooking</v>
      </c>
      <c r="C3082" t="str">
        <f>IFERROR(__xludf.DUMMYFUNCTION("""COMPUTED_VALUE"""),"Vegetables")</f>
        <v>Vegetables</v>
      </c>
      <c r="D3082">
        <f>IFERROR(__xludf.DUMMYFUNCTION("""COMPUTED_VALUE"""),30.0)</f>
        <v>30</v>
      </c>
      <c r="E3082">
        <f>IFERROR(__xludf.DUMMYFUNCTION("""COMPUTED_VALUE"""),0.18)</f>
        <v>0.18</v>
      </c>
      <c r="F3082">
        <f>IFERROR(__xludf.DUMMYFUNCTION("""COMPUTED_VALUE"""),0.92)</f>
        <v>0.92</v>
      </c>
      <c r="G3082">
        <f>IFERROR(__xludf.DUMMYFUNCTION("""COMPUTED_VALUE"""),6.8)</f>
        <v>6.8</v>
      </c>
    </row>
    <row r="3083">
      <c r="A3083">
        <f>IFERROR(__xludf.DUMMYFUNCTION("""COMPUTED_VALUE"""),788472.0)</f>
        <v>788472</v>
      </c>
      <c r="B3083" t="str">
        <f>IFERROR(__xludf.DUMMYFUNCTION("""COMPUTED_VALUE"""),"Rutabaga Cooked Fat Added In Cooking Ns As To Type Of Fat")</f>
        <v>Rutabaga Cooked Fat Added In Cooking Ns As To Type Of Fat</v>
      </c>
      <c r="C3083" t="str">
        <f>IFERROR(__xludf.DUMMYFUNCTION("""COMPUTED_VALUE"""),"Vegetables")</f>
        <v>Vegetables</v>
      </c>
      <c r="D3083">
        <f>IFERROR(__xludf.DUMMYFUNCTION("""COMPUTED_VALUE"""),46.0)</f>
        <v>46</v>
      </c>
      <c r="E3083">
        <f>IFERROR(__xludf.DUMMYFUNCTION("""COMPUTED_VALUE"""),2.13)</f>
        <v>2.13</v>
      </c>
      <c r="F3083">
        <f>IFERROR(__xludf.DUMMYFUNCTION("""COMPUTED_VALUE"""),0.92)</f>
        <v>0.92</v>
      </c>
      <c r="G3083">
        <f>IFERROR(__xludf.DUMMYFUNCTION("""COMPUTED_VALUE"""),6.63)</f>
        <v>6.63</v>
      </c>
    </row>
    <row r="3084">
      <c r="A3084">
        <f>IFERROR(__xludf.DUMMYFUNCTION("""COMPUTED_VALUE"""),788473.0)</f>
        <v>788473</v>
      </c>
      <c r="B3084" t="str">
        <f>IFERROR(__xludf.DUMMYFUNCTION("""COMPUTED_VALUE"""),"Rutabaga Cooked Made With Oil")</f>
        <v>Rutabaga Cooked Made With Oil</v>
      </c>
      <c r="C3084" t="str">
        <f>IFERROR(__xludf.DUMMYFUNCTION("""COMPUTED_VALUE"""),"Vegetables")</f>
        <v>Vegetables</v>
      </c>
      <c r="D3084">
        <f>IFERROR(__xludf.DUMMYFUNCTION("""COMPUTED_VALUE"""),52.0)</f>
        <v>52</v>
      </c>
      <c r="E3084">
        <f>IFERROR(__xludf.DUMMYFUNCTION("""COMPUTED_VALUE"""),2.76)</f>
        <v>2.76</v>
      </c>
      <c r="F3084">
        <f>IFERROR(__xludf.DUMMYFUNCTION("""COMPUTED_VALUE"""),0.9)</f>
        <v>0.9</v>
      </c>
      <c r="G3084">
        <f>IFERROR(__xludf.DUMMYFUNCTION("""COMPUTED_VALUE"""),6.62)</f>
        <v>6.62</v>
      </c>
    </row>
    <row r="3085">
      <c r="A3085">
        <f>IFERROR(__xludf.DUMMYFUNCTION("""COMPUTED_VALUE"""),788474.0)</f>
        <v>788474</v>
      </c>
      <c r="B3085" t="str">
        <f>IFERROR(__xludf.DUMMYFUNCTION("""COMPUTED_VALUE"""),"Rutabaga Cooked Made With Butter")</f>
        <v>Rutabaga Cooked Made With Butter</v>
      </c>
      <c r="C3085" t="str">
        <f>IFERROR(__xludf.DUMMYFUNCTION("""COMPUTED_VALUE"""),"Vegetables")</f>
        <v>Vegetables</v>
      </c>
      <c r="D3085">
        <f>IFERROR(__xludf.DUMMYFUNCTION("""COMPUTED_VALUE"""),48.0)</f>
        <v>48</v>
      </c>
      <c r="E3085">
        <f>IFERROR(__xludf.DUMMYFUNCTION("""COMPUTED_VALUE"""),2.36)</f>
        <v>2.36</v>
      </c>
      <c r="F3085">
        <f>IFERROR(__xludf.DUMMYFUNCTION("""COMPUTED_VALUE"""),0.92)</f>
        <v>0.92</v>
      </c>
      <c r="G3085">
        <f>IFERROR(__xludf.DUMMYFUNCTION("""COMPUTED_VALUE"""),6.62)</f>
        <v>6.62</v>
      </c>
    </row>
    <row r="3086">
      <c r="A3086">
        <f>IFERROR(__xludf.DUMMYFUNCTION("""COMPUTED_VALUE"""),788475.0)</f>
        <v>788475</v>
      </c>
      <c r="B3086" t="str">
        <f>IFERROR(__xludf.DUMMYFUNCTION("""COMPUTED_VALUE"""),"Rutabaga Cooked Made With Margarine")</f>
        <v>Rutabaga Cooked Made With Margarine</v>
      </c>
      <c r="C3086" t="str">
        <f>IFERROR(__xludf.DUMMYFUNCTION("""COMPUTED_VALUE"""),"Vegetables")</f>
        <v>Vegetables</v>
      </c>
      <c r="D3086">
        <f>IFERROR(__xludf.DUMMYFUNCTION("""COMPUTED_VALUE"""),43.0)</f>
        <v>43</v>
      </c>
      <c r="E3086">
        <f>IFERROR(__xludf.DUMMYFUNCTION("""COMPUTED_VALUE"""),1.8)</f>
        <v>1.8</v>
      </c>
      <c r="F3086">
        <f>IFERROR(__xludf.DUMMYFUNCTION("""COMPUTED_VALUE"""),0.9)</f>
        <v>0.9</v>
      </c>
      <c r="G3086">
        <f>IFERROR(__xludf.DUMMYFUNCTION("""COMPUTED_VALUE"""),6.64)</f>
        <v>6.64</v>
      </c>
    </row>
    <row r="3087">
      <c r="A3087">
        <f>IFERROR(__xludf.DUMMYFUNCTION("""COMPUTED_VALUE"""),788476.0)</f>
        <v>788476</v>
      </c>
      <c r="B3087" t="str">
        <f>IFERROR(__xludf.DUMMYFUNCTION("""COMPUTED_VALUE"""),"Salsify Cooked Ns As To Fat Added In Cooking")</f>
        <v>Salsify Cooked Ns As To Fat Added In Cooking</v>
      </c>
      <c r="C3087" t="str">
        <f>IFERROR(__xludf.DUMMYFUNCTION("""COMPUTED_VALUE"""),"Vegetables")</f>
        <v>Vegetables</v>
      </c>
      <c r="D3087">
        <f>IFERROR(__xludf.DUMMYFUNCTION("""COMPUTED_VALUE"""),87.0)</f>
        <v>87</v>
      </c>
      <c r="E3087">
        <f>IFERROR(__xludf.DUMMYFUNCTION("""COMPUTED_VALUE"""),2.6)</f>
        <v>2.6</v>
      </c>
      <c r="F3087">
        <f>IFERROR(__xludf.DUMMYFUNCTION("""COMPUTED_VALUE"""),2.64)</f>
        <v>2.64</v>
      </c>
      <c r="G3087">
        <f>IFERROR(__xludf.DUMMYFUNCTION("""COMPUTED_VALUE"""),14.75)</f>
        <v>14.75</v>
      </c>
    </row>
    <row r="3088">
      <c r="A3088">
        <f>IFERROR(__xludf.DUMMYFUNCTION("""COMPUTED_VALUE"""),788477.0)</f>
        <v>788477</v>
      </c>
      <c r="B3088" t="str">
        <f>IFERROR(__xludf.DUMMYFUNCTION("""COMPUTED_VALUE"""),"Salsify Cooked Fat Not Added In Cooking")</f>
        <v>Salsify Cooked Fat Not Added In Cooking</v>
      </c>
      <c r="C3088" t="str">
        <f>IFERROR(__xludf.DUMMYFUNCTION("""COMPUTED_VALUE"""),"Vegetables")</f>
        <v>Vegetables</v>
      </c>
      <c r="D3088">
        <f>IFERROR(__xludf.DUMMYFUNCTION("""COMPUTED_VALUE"""),68.0)</f>
        <v>68</v>
      </c>
      <c r="E3088">
        <f>IFERROR(__xludf.DUMMYFUNCTION("""COMPUTED_VALUE"""),0.17)</f>
        <v>0.17</v>
      </c>
      <c r="F3088">
        <f>IFERROR(__xludf.DUMMYFUNCTION("""COMPUTED_VALUE"""),2.71)</f>
        <v>2.71</v>
      </c>
      <c r="G3088">
        <f>IFERROR(__xludf.DUMMYFUNCTION("""COMPUTED_VALUE"""),15.25)</f>
        <v>15.25</v>
      </c>
    </row>
    <row r="3089">
      <c r="A3089">
        <f>IFERROR(__xludf.DUMMYFUNCTION("""COMPUTED_VALUE"""),788478.0)</f>
        <v>788478</v>
      </c>
      <c r="B3089" t="str">
        <f>IFERROR(__xludf.DUMMYFUNCTION("""COMPUTED_VALUE"""),"Salsify Cooked Fat Added In Cooking")</f>
        <v>Salsify Cooked Fat Added In Cooking</v>
      </c>
      <c r="C3089" t="str">
        <f>IFERROR(__xludf.DUMMYFUNCTION("""COMPUTED_VALUE"""),"Vegetables")</f>
        <v>Vegetables</v>
      </c>
      <c r="D3089">
        <f>IFERROR(__xludf.DUMMYFUNCTION("""COMPUTED_VALUE"""),87.0)</f>
        <v>87</v>
      </c>
      <c r="E3089">
        <f>IFERROR(__xludf.DUMMYFUNCTION("""COMPUTED_VALUE"""),2.6)</f>
        <v>2.6</v>
      </c>
      <c r="F3089">
        <f>IFERROR(__xludf.DUMMYFUNCTION("""COMPUTED_VALUE"""),2.64)</f>
        <v>2.64</v>
      </c>
      <c r="G3089">
        <f>IFERROR(__xludf.DUMMYFUNCTION("""COMPUTED_VALUE"""),14.75)</f>
        <v>14.75</v>
      </c>
    </row>
    <row r="3090">
      <c r="A3090">
        <f>IFERROR(__xludf.DUMMYFUNCTION("""COMPUTED_VALUE"""),788479.0)</f>
        <v>788479</v>
      </c>
      <c r="B3090" t="str">
        <f>IFERROR(__xludf.DUMMYFUNCTION("""COMPUTED_VALUE"""),"Sauerkraut Cooked Ns As To Fat Added In Cooking")</f>
        <v>Sauerkraut Cooked Ns As To Fat Added In Cooking</v>
      </c>
      <c r="C3090" t="str">
        <f>IFERROR(__xludf.DUMMYFUNCTION("""COMPUTED_VALUE"""),"Fruits")</f>
        <v>Fruits</v>
      </c>
      <c r="D3090">
        <f>IFERROR(__xludf.DUMMYFUNCTION("""COMPUTED_VALUE"""),39.0)</f>
        <v>39</v>
      </c>
      <c r="E3090">
        <f>IFERROR(__xludf.DUMMYFUNCTION("""COMPUTED_VALUE"""),2.48)</f>
        <v>2.48</v>
      </c>
      <c r="F3090">
        <f>IFERROR(__xludf.DUMMYFUNCTION("""COMPUTED_VALUE"""),0.9)</f>
        <v>0.9</v>
      </c>
      <c r="G3090">
        <f>IFERROR(__xludf.DUMMYFUNCTION("""COMPUTED_VALUE"""),4.15)</f>
        <v>4.15</v>
      </c>
    </row>
    <row r="3091">
      <c r="A3091">
        <f>IFERROR(__xludf.DUMMYFUNCTION("""COMPUTED_VALUE"""),788481.0)</f>
        <v>788481</v>
      </c>
      <c r="B3091" t="str">
        <f>IFERROR(__xludf.DUMMYFUNCTION("""COMPUTED_VALUE"""),"Sauerkraut Cooked Fat Added In Cooking")</f>
        <v>Sauerkraut Cooked Fat Added In Cooking</v>
      </c>
      <c r="C3091" t="str">
        <f>IFERROR(__xludf.DUMMYFUNCTION("""COMPUTED_VALUE"""),"Fruits")</f>
        <v>Fruits</v>
      </c>
      <c r="D3091">
        <f>IFERROR(__xludf.DUMMYFUNCTION("""COMPUTED_VALUE"""),31.0)</f>
        <v>31</v>
      </c>
      <c r="E3091">
        <f>IFERROR(__xludf.DUMMYFUNCTION("""COMPUTED_VALUE"""),1.56)</f>
        <v>1.56</v>
      </c>
      <c r="F3091">
        <f>IFERROR(__xludf.DUMMYFUNCTION("""COMPUTED_VALUE"""),0.9)</f>
        <v>0.9</v>
      </c>
      <c r="G3091">
        <f>IFERROR(__xludf.DUMMYFUNCTION("""COMPUTED_VALUE"""),4.2)</f>
        <v>4.2</v>
      </c>
    </row>
    <row r="3092">
      <c r="A3092">
        <f>IFERROR(__xludf.DUMMYFUNCTION("""COMPUTED_VALUE"""),788482.0)</f>
        <v>788482</v>
      </c>
      <c r="B3092" t="str">
        <f>IFERROR(__xludf.DUMMYFUNCTION("""COMPUTED_VALUE"""),"Snowpea Cooked Ns As To Form Ns As To Fat Added In Cooking")</f>
        <v>Snowpea Cooked Ns As To Form Ns As To Fat Added In Cooking</v>
      </c>
      <c r="C3092" t="str">
        <f>IFERROR(__xludf.DUMMYFUNCTION("""COMPUTED_VALUE"""),"Vegetables")</f>
        <v>Vegetables</v>
      </c>
      <c r="D3092">
        <f>IFERROR(__xludf.DUMMYFUNCTION("""COMPUTED_VALUE"""),75.0)</f>
        <v>75</v>
      </c>
      <c r="E3092">
        <f>IFERROR(__xludf.DUMMYFUNCTION("""COMPUTED_VALUE"""),3.11)</f>
        <v>3.11</v>
      </c>
      <c r="F3092">
        <f>IFERROR(__xludf.DUMMYFUNCTION("""COMPUTED_VALUE"""),3.38)</f>
        <v>3.38</v>
      </c>
      <c r="G3092">
        <f>IFERROR(__xludf.DUMMYFUNCTION("""COMPUTED_VALUE"""),8.72)</f>
        <v>8.72</v>
      </c>
    </row>
    <row r="3093">
      <c r="A3093">
        <f>IFERROR(__xludf.DUMMYFUNCTION("""COMPUTED_VALUE"""),788483.0)</f>
        <v>788483</v>
      </c>
      <c r="B3093" t="str">
        <f>IFERROR(__xludf.DUMMYFUNCTION("""COMPUTED_VALUE"""),"Snowpea Cooked From Fresh Ns As To Fat Added In Cooking")</f>
        <v>Snowpea Cooked From Fresh Ns As To Fat Added In Cooking</v>
      </c>
      <c r="C3093" t="str">
        <f>IFERROR(__xludf.DUMMYFUNCTION("""COMPUTED_VALUE"""),"Vegetables")</f>
        <v>Vegetables</v>
      </c>
      <c r="D3093">
        <f>IFERROR(__xludf.DUMMYFUNCTION("""COMPUTED_VALUE"""),65.0)</f>
        <v>65</v>
      </c>
      <c r="E3093">
        <f>IFERROR(__xludf.DUMMYFUNCTION("""COMPUTED_VALUE"""),2.97)</f>
        <v>2.97</v>
      </c>
      <c r="F3093">
        <f>IFERROR(__xludf.DUMMYFUNCTION("""COMPUTED_VALUE"""),3.16)</f>
        <v>3.16</v>
      </c>
      <c r="G3093">
        <f>IFERROR(__xludf.DUMMYFUNCTION("""COMPUTED_VALUE"""),6.81)</f>
        <v>6.81</v>
      </c>
    </row>
    <row r="3094">
      <c r="A3094">
        <f>IFERROR(__xludf.DUMMYFUNCTION("""COMPUTED_VALUE"""),788484.0)</f>
        <v>788484</v>
      </c>
      <c r="B3094" t="str">
        <f>IFERROR(__xludf.DUMMYFUNCTION("""COMPUTED_VALUE"""),"Snowpea Cooked From Frozen Ns As To Fat Added In Cooking")</f>
        <v>Snowpea Cooked From Frozen Ns As To Fat Added In Cooking</v>
      </c>
      <c r="C3094" t="str">
        <f>IFERROR(__xludf.DUMMYFUNCTION("""COMPUTED_VALUE"""),"Vegetables")</f>
        <v>Vegetables</v>
      </c>
      <c r="D3094">
        <f>IFERROR(__xludf.DUMMYFUNCTION("""COMPUTED_VALUE"""),75.0)</f>
        <v>75</v>
      </c>
      <c r="E3094">
        <f>IFERROR(__xludf.DUMMYFUNCTION("""COMPUTED_VALUE"""),3.11)</f>
        <v>3.11</v>
      </c>
      <c r="F3094">
        <f>IFERROR(__xludf.DUMMYFUNCTION("""COMPUTED_VALUE"""),3.38)</f>
        <v>3.38</v>
      </c>
      <c r="G3094">
        <f>IFERROR(__xludf.DUMMYFUNCTION("""COMPUTED_VALUE"""),8.72)</f>
        <v>8.72</v>
      </c>
    </row>
    <row r="3095">
      <c r="A3095">
        <f>IFERROR(__xludf.DUMMYFUNCTION("""COMPUTED_VALUE"""),788485.0)</f>
        <v>788485</v>
      </c>
      <c r="B3095" t="str">
        <f>IFERROR(__xludf.DUMMYFUNCTION("""COMPUTED_VALUE"""),"Snowpea Cooked Ns As To Form Fat Not Added In Cooking")</f>
        <v>Snowpea Cooked Ns As To Form Fat Not Added In Cooking</v>
      </c>
      <c r="C3095" t="str">
        <f>IFERROR(__xludf.DUMMYFUNCTION("""COMPUTED_VALUE"""),"Vegetables")</f>
        <v>Vegetables</v>
      </c>
      <c r="D3095">
        <f>IFERROR(__xludf.DUMMYFUNCTION("""COMPUTED_VALUE"""),52.0)</f>
        <v>52</v>
      </c>
      <c r="E3095">
        <f>IFERROR(__xludf.DUMMYFUNCTION("""COMPUTED_VALUE"""),0.38)</f>
        <v>0.38</v>
      </c>
      <c r="F3095">
        <f>IFERROR(__xludf.DUMMYFUNCTION("""COMPUTED_VALUE"""),3.48)</f>
        <v>3.48</v>
      </c>
      <c r="G3095">
        <f>IFERROR(__xludf.DUMMYFUNCTION("""COMPUTED_VALUE"""),8.96)</f>
        <v>8.96</v>
      </c>
    </row>
    <row r="3096">
      <c r="A3096">
        <f>IFERROR(__xludf.DUMMYFUNCTION("""COMPUTED_VALUE"""),788486.0)</f>
        <v>788486</v>
      </c>
      <c r="B3096" t="str">
        <f>IFERROR(__xludf.DUMMYFUNCTION("""COMPUTED_VALUE"""),"Snowpea Cooked From Fresh Fat Not Added In Cooking")</f>
        <v>Snowpea Cooked From Fresh Fat Not Added In Cooking</v>
      </c>
      <c r="C3096" t="str">
        <f>IFERROR(__xludf.DUMMYFUNCTION("""COMPUTED_VALUE"""),"Vegetables")</f>
        <v>Vegetables</v>
      </c>
      <c r="D3096">
        <f>IFERROR(__xludf.DUMMYFUNCTION("""COMPUTED_VALUE"""),42.0)</f>
        <v>42</v>
      </c>
      <c r="E3096">
        <f>IFERROR(__xludf.DUMMYFUNCTION("""COMPUTED_VALUE"""),0.23)</f>
        <v>0.23</v>
      </c>
      <c r="F3096">
        <f>IFERROR(__xludf.DUMMYFUNCTION("""COMPUTED_VALUE"""),3.25)</f>
        <v>3.25</v>
      </c>
      <c r="G3096">
        <f>IFERROR(__xludf.DUMMYFUNCTION("""COMPUTED_VALUE"""),7.01)</f>
        <v>7.01</v>
      </c>
    </row>
    <row r="3097">
      <c r="A3097">
        <f>IFERROR(__xludf.DUMMYFUNCTION("""COMPUTED_VALUE"""),788487.0)</f>
        <v>788487</v>
      </c>
      <c r="B3097" t="str">
        <f>IFERROR(__xludf.DUMMYFUNCTION("""COMPUTED_VALUE"""),"Snowpea Cooked From Frozen Fat Not Added In Cooking")</f>
        <v>Snowpea Cooked From Frozen Fat Not Added In Cooking</v>
      </c>
      <c r="C3097" t="str">
        <f>IFERROR(__xludf.DUMMYFUNCTION("""COMPUTED_VALUE"""),"Vegetables")</f>
        <v>Vegetables</v>
      </c>
      <c r="D3097">
        <f>IFERROR(__xludf.DUMMYFUNCTION("""COMPUTED_VALUE"""),52.0)</f>
        <v>52</v>
      </c>
      <c r="E3097">
        <f>IFERROR(__xludf.DUMMYFUNCTION("""COMPUTED_VALUE"""),0.38)</f>
        <v>0.38</v>
      </c>
      <c r="F3097">
        <f>IFERROR(__xludf.DUMMYFUNCTION("""COMPUTED_VALUE"""),3.48)</f>
        <v>3.48</v>
      </c>
      <c r="G3097">
        <f>IFERROR(__xludf.DUMMYFUNCTION("""COMPUTED_VALUE"""),8.96)</f>
        <v>8.96</v>
      </c>
    </row>
    <row r="3098">
      <c r="A3098">
        <f>IFERROR(__xludf.DUMMYFUNCTION("""COMPUTED_VALUE"""),788488.0)</f>
        <v>788488</v>
      </c>
      <c r="B3098" t="str">
        <f>IFERROR(__xludf.DUMMYFUNCTION("""COMPUTED_VALUE"""),"Snowpea Cooked Ns As To Form Fat Added In Cooking Ns As To Type Of Fat")</f>
        <v>Snowpea Cooked Ns As To Form Fat Added In Cooking Ns As To Type Of Fat</v>
      </c>
      <c r="C3098" t="str">
        <f>IFERROR(__xludf.DUMMYFUNCTION("""COMPUTED_VALUE"""),"Vegetables")</f>
        <v>Vegetables</v>
      </c>
      <c r="D3098">
        <f>IFERROR(__xludf.DUMMYFUNCTION("""COMPUTED_VALUE"""),75.0)</f>
        <v>75</v>
      </c>
      <c r="E3098">
        <f>IFERROR(__xludf.DUMMYFUNCTION("""COMPUTED_VALUE"""),3.11)</f>
        <v>3.11</v>
      </c>
      <c r="F3098">
        <f>IFERROR(__xludf.DUMMYFUNCTION("""COMPUTED_VALUE"""),3.38)</f>
        <v>3.38</v>
      </c>
      <c r="G3098">
        <f>IFERROR(__xludf.DUMMYFUNCTION("""COMPUTED_VALUE"""),8.72)</f>
        <v>8.72</v>
      </c>
    </row>
    <row r="3099">
      <c r="A3099">
        <f>IFERROR(__xludf.DUMMYFUNCTION("""COMPUTED_VALUE"""),788489.0)</f>
        <v>788489</v>
      </c>
      <c r="B3099" t="str">
        <f>IFERROR(__xludf.DUMMYFUNCTION("""COMPUTED_VALUE"""),"Snowpea Cooked From Fresh Fat Added In Cooking Ns As To Type Of Fat")</f>
        <v>Snowpea Cooked From Fresh Fat Added In Cooking Ns As To Type Of Fat</v>
      </c>
      <c r="C3099" t="str">
        <f>IFERROR(__xludf.DUMMYFUNCTION("""COMPUTED_VALUE"""),"Vegetables")</f>
        <v>Vegetables</v>
      </c>
      <c r="D3099">
        <f>IFERROR(__xludf.DUMMYFUNCTION("""COMPUTED_VALUE"""),65.0)</f>
        <v>65</v>
      </c>
      <c r="E3099">
        <f>IFERROR(__xludf.DUMMYFUNCTION("""COMPUTED_VALUE"""),2.97)</f>
        <v>2.97</v>
      </c>
      <c r="F3099">
        <f>IFERROR(__xludf.DUMMYFUNCTION("""COMPUTED_VALUE"""),3.16)</f>
        <v>3.16</v>
      </c>
      <c r="G3099">
        <f>IFERROR(__xludf.DUMMYFUNCTION("""COMPUTED_VALUE"""),6.81)</f>
        <v>6.81</v>
      </c>
    </row>
    <row r="3100">
      <c r="A3100">
        <f>IFERROR(__xludf.DUMMYFUNCTION("""COMPUTED_VALUE"""),788490.0)</f>
        <v>788490</v>
      </c>
      <c r="B3100" t="str">
        <f>IFERROR(__xludf.DUMMYFUNCTION("""COMPUTED_VALUE"""),"Snowpea Cooked From Frozen Fat Added In Cooking Ns As To Type Of Fat")</f>
        <v>Snowpea Cooked From Frozen Fat Added In Cooking Ns As To Type Of Fat</v>
      </c>
      <c r="C3100" t="str">
        <f>IFERROR(__xludf.DUMMYFUNCTION("""COMPUTED_VALUE"""),"Vegetables")</f>
        <v>Vegetables</v>
      </c>
      <c r="D3100">
        <f>IFERROR(__xludf.DUMMYFUNCTION("""COMPUTED_VALUE"""),75.0)</f>
        <v>75</v>
      </c>
      <c r="E3100">
        <f>IFERROR(__xludf.DUMMYFUNCTION("""COMPUTED_VALUE"""),3.11)</f>
        <v>3.11</v>
      </c>
      <c r="F3100">
        <f>IFERROR(__xludf.DUMMYFUNCTION("""COMPUTED_VALUE"""),3.38)</f>
        <v>3.38</v>
      </c>
      <c r="G3100">
        <f>IFERROR(__xludf.DUMMYFUNCTION("""COMPUTED_VALUE"""),8.72)</f>
        <v>8.72</v>
      </c>
    </row>
    <row r="3101">
      <c r="A3101">
        <f>IFERROR(__xludf.DUMMYFUNCTION("""COMPUTED_VALUE"""),788491.0)</f>
        <v>788491</v>
      </c>
      <c r="B3101" t="str">
        <f>IFERROR(__xludf.DUMMYFUNCTION("""COMPUTED_VALUE"""),"Snowpea Cooked Ns As To Form Made With Oil")</f>
        <v>Snowpea Cooked Ns As To Form Made With Oil</v>
      </c>
      <c r="C3101" t="str">
        <f>IFERROR(__xludf.DUMMYFUNCTION("""COMPUTED_VALUE"""),"Vegetables")</f>
        <v>Vegetables</v>
      </c>
      <c r="D3101">
        <f>IFERROR(__xludf.DUMMYFUNCTION("""COMPUTED_VALUE"""),75.0)</f>
        <v>75</v>
      </c>
      <c r="E3101">
        <f>IFERROR(__xludf.DUMMYFUNCTION("""COMPUTED_VALUE"""),3.11)</f>
        <v>3.11</v>
      </c>
      <c r="F3101">
        <f>IFERROR(__xludf.DUMMYFUNCTION("""COMPUTED_VALUE"""),3.38)</f>
        <v>3.38</v>
      </c>
      <c r="G3101">
        <f>IFERROR(__xludf.DUMMYFUNCTION("""COMPUTED_VALUE"""),8.72)</f>
        <v>8.72</v>
      </c>
    </row>
    <row r="3102">
      <c r="A3102">
        <f>IFERROR(__xludf.DUMMYFUNCTION("""COMPUTED_VALUE"""),788492.0)</f>
        <v>788492</v>
      </c>
      <c r="B3102" t="str">
        <f>IFERROR(__xludf.DUMMYFUNCTION("""COMPUTED_VALUE"""),"Snowpea Cooked Ns As To Form Made With Butter")</f>
        <v>Snowpea Cooked Ns As To Form Made With Butter</v>
      </c>
      <c r="C3102" t="str">
        <f>IFERROR(__xludf.DUMMYFUNCTION("""COMPUTED_VALUE"""),"Vegetables")</f>
        <v>Vegetables</v>
      </c>
      <c r="D3102">
        <f>IFERROR(__xludf.DUMMYFUNCTION("""COMPUTED_VALUE"""),71.0)</f>
        <v>71</v>
      </c>
      <c r="E3102">
        <f>IFERROR(__xludf.DUMMYFUNCTION("""COMPUTED_VALUE"""),2.68)</f>
        <v>2.68</v>
      </c>
      <c r="F3102">
        <f>IFERROR(__xludf.DUMMYFUNCTION("""COMPUTED_VALUE"""),3.4)</f>
        <v>3.4</v>
      </c>
      <c r="G3102">
        <f>IFERROR(__xludf.DUMMYFUNCTION("""COMPUTED_VALUE"""),8.71)</f>
        <v>8.71</v>
      </c>
    </row>
    <row r="3103">
      <c r="A3103">
        <f>IFERROR(__xludf.DUMMYFUNCTION("""COMPUTED_VALUE"""),788493.0)</f>
        <v>788493</v>
      </c>
      <c r="B3103" t="str">
        <f>IFERROR(__xludf.DUMMYFUNCTION("""COMPUTED_VALUE"""),"Snowpea Cooked Ns As To Form Made With Margarine")</f>
        <v>Snowpea Cooked Ns As To Form Made With Margarine</v>
      </c>
      <c r="C3103" t="str">
        <f>IFERROR(__xludf.DUMMYFUNCTION("""COMPUTED_VALUE"""),"Vegetables")</f>
        <v>Vegetables</v>
      </c>
      <c r="D3103">
        <f>IFERROR(__xludf.DUMMYFUNCTION("""COMPUTED_VALUE"""),66.0)</f>
        <v>66</v>
      </c>
      <c r="E3103">
        <f>IFERROR(__xludf.DUMMYFUNCTION("""COMPUTED_VALUE"""),2.09)</f>
        <v>2.09</v>
      </c>
      <c r="F3103">
        <f>IFERROR(__xludf.DUMMYFUNCTION("""COMPUTED_VALUE"""),3.38)</f>
        <v>3.38</v>
      </c>
      <c r="G3103">
        <f>IFERROR(__xludf.DUMMYFUNCTION("""COMPUTED_VALUE"""),8.73)</f>
        <v>8.73</v>
      </c>
    </row>
    <row r="3104">
      <c r="A3104">
        <f>IFERROR(__xludf.DUMMYFUNCTION("""COMPUTED_VALUE"""),788494.0)</f>
        <v>788494</v>
      </c>
      <c r="B3104" t="str">
        <f>IFERROR(__xludf.DUMMYFUNCTION("""COMPUTED_VALUE"""),"Snowpea Cooked From Fresh Made With Oil")</f>
        <v>Snowpea Cooked From Fresh Made With Oil</v>
      </c>
      <c r="C3104" t="str">
        <f>IFERROR(__xludf.DUMMYFUNCTION("""COMPUTED_VALUE"""),"Vegetables")</f>
        <v>Vegetables</v>
      </c>
      <c r="D3104">
        <f>IFERROR(__xludf.DUMMYFUNCTION("""COMPUTED_VALUE"""),65.0)</f>
        <v>65</v>
      </c>
      <c r="E3104">
        <f>IFERROR(__xludf.DUMMYFUNCTION("""COMPUTED_VALUE"""),2.97)</f>
        <v>2.97</v>
      </c>
      <c r="F3104">
        <f>IFERROR(__xludf.DUMMYFUNCTION("""COMPUTED_VALUE"""),3.16)</f>
        <v>3.16</v>
      </c>
      <c r="G3104">
        <f>IFERROR(__xludf.DUMMYFUNCTION("""COMPUTED_VALUE"""),6.81)</f>
        <v>6.81</v>
      </c>
    </row>
    <row r="3105">
      <c r="A3105">
        <f>IFERROR(__xludf.DUMMYFUNCTION("""COMPUTED_VALUE"""),788495.0)</f>
        <v>788495</v>
      </c>
      <c r="B3105" t="str">
        <f>IFERROR(__xludf.DUMMYFUNCTION("""COMPUTED_VALUE"""),"Snowpea Cooked From Fresh Made With Butter")</f>
        <v>Snowpea Cooked From Fresh Made With Butter</v>
      </c>
      <c r="C3105" t="str">
        <f>IFERROR(__xludf.DUMMYFUNCTION("""COMPUTED_VALUE"""),"Vegetables")</f>
        <v>Vegetables</v>
      </c>
      <c r="D3105">
        <f>IFERROR(__xludf.DUMMYFUNCTION("""COMPUTED_VALUE"""),61.0)</f>
        <v>61</v>
      </c>
      <c r="E3105">
        <f>IFERROR(__xludf.DUMMYFUNCTION("""COMPUTED_VALUE"""),2.54)</f>
        <v>2.54</v>
      </c>
      <c r="F3105">
        <f>IFERROR(__xludf.DUMMYFUNCTION("""COMPUTED_VALUE"""),3.18)</f>
        <v>3.18</v>
      </c>
      <c r="G3105">
        <f>IFERROR(__xludf.DUMMYFUNCTION("""COMPUTED_VALUE"""),6.81)</f>
        <v>6.81</v>
      </c>
    </row>
    <row r="3106">
      <c r="A3106">
        <f>IFERROR(__xludf.DUMMYFUNCTION("""COMPUTED_VALUE"""),788496.0)</f>
        <v>788496</v>
      </c>
      <c r="B3106" t="str">
        <f>IFERROR(__xludf.DUMMYFUNCTION("""COMPUTED_VALUE"""),"Snowpea Cooked From Fresh Made With Margarine")</f>
        <v>Snowpea Cooked From Fresh Made With Margarine</v>
      </c>
      <c r="C3106" t="str">
        <f>IFERROR(__xludf.DUMMYFUNCTION("""COMPUTED_VALUE"""),"Vegetables")</f>
        <v>Vegetables</v>
      </c>
      <c r="D3106">
        <f>IFERROR(__xludf.DUMMYFUNCTION("""COMPUTED_VALUE"""),56.0)</f>
        <v>56</v>
      </c>
      <c r="E3106">
        <f>IFERROR(__xludf.DUMMYFUNCTION("""COMPUTED_VALUE"""),1.94)</f>
        <v>1.94</v>
      </c>
      <c r="F3106">
        <f>IFERROR(__xludf.DUMMYFUNCTION("""COMPUTED_VALUE"""),3.16)</f>
        <v>3.16</v>
      </c>
      <c r="G3106">
        <f>IFERROR(__xludf.DUMMYFUNCTION("""COMPUTED_VALUE"""),6.83)</f>
        <v>6.83</v>
      </c>
    </row>
    <row r="3107">
      <c r="A3107">
        <f>IFERROR(__xludf.DUMMYFUNCTION("""COMPUTED_VALUE"""),788497.0)</f>
        <v>788497</v>
      </c>
      <c r="B3107" t="str">
        <f>IFERROR(__xludf.DUMMYFUNCTION("""COMPUTED_VALUE"""),"Snowpea Cooked From Frozen Made With Oil")</f>
        <v>Snowpea Cooked From Frozen Made With Oil</v>
      </c>
      <c r="C3107" t="str">
        <f>IFERROR(__xludf.DUMMYFUNCTION("""COMPUTED_VALUE"""),"Vegetables")</f>
        <v>Vegetables</v>
      </c>
      <c r="D3107">
        <f>IFERROR(__xludf.DUMMYFUNCTION("""COMPUTED_VALUE"""),75.0)</f>
        <v>75</v>
      </c>
      <c r="E3107">
        <f>IFERROR(__xludf.DUMMYFUNCTION("""COMPUTED_VALUE"""),3.11)</f>
        <v>3.11</v>
      </c>
      <c r="F3107">
        <f>IFERROR(__xludf.DUMMYFUNCTION("""COMPUTED_VALUE"""),3.38)</f>
        <v>3.38</v>
      </c>
      <c r="G3107">
        <f>IFERROR(__xludf.DUMMYFUNCTION("""COMPUTED_VALUE"""),8.72)</f>
        <v>8.72</v>
      </c>
    </row>
    <row r="3108">
      <c r="A3108">
        <f>IFERROR(__xludf.DUMMYFUNCTION("""COMPUTED_VALUE"""),788498.0)</f>
        <v>788498</v>
      </c>
      <c r="B3108" t="str">
        <f>IFERROR(__xludf.DUMMYFUNCTION("""COMPUTED_VALUE"""),"Snowpea Cooked From Frozen Made With Butter")</f>
        <v>Snowpea Cooked From Frozen Made With Butter</v>
      </c>
      <c r="C3108" t="str">
        <f>IFERROR(__xludf.DUMMYFUNCTION("""COMPUTED_VALUE"""),"Vegetables")</f>
        <v>Vegetables</v>
      </c>
      <c r="D3108">
        <f>IFERROR(__xludf.DUMMYFUNCTION("""COMPUTED_VALUE"""),71.0)</f>
        <v>71</v>
      </c>
      <c r="E3108">
        <f>IFERROR(__xludf.DUMMYFUNCTION("""COMPUTED_VALUE"""),2.68)</f>
        <v>2.68</v>
      </c>
      <c r="F3108">
        <f>IFERROR(__xludf.DUMMYFUNCTION("""COMPUTED_VALUE"""),3.4)</f>
        <v>3.4</v>
      </c>
      <c r="G3108">
        <f>IFERROR(__xludf.DUMMYFUNCTION("""COMPUTED_VALUE"""),8.71)</f>
        <v>8.71</v>
      </c>
    </row>
    <row r="3109">
      <c r="A3109">
        <f>IFERROR(__xludf.DUMMYFUNCTION("""COMPUTED_VALUE"""),788499.0)</f>
        <v>788499</v>
      </c>
      <c r="B3109" t="str">
        <f>IFERROR(__xludf.DUMMYFUNCTION("""COMPUTED_VALUE"""),"Snowpea Cooked From Frozen Made With Margarine")</f>
        <v>Snowpea Cooked From Frozen Made With Margarine</v>
      </c>
      <c r="C3109" t="str">
        <f>IFERROR(__xludf.DUMMYFUNCTION("""COMPUTED_VALUE"""),"Vegetables")</f>
        <v>Vegetables</v>
      </c>
      <c r="D3109">
        <f>IFERROR(__xludf.DUMMYFUNCTION("""COMPUTED_VALUE"""),66.0)</f>
        <v>66</v>
      </c>
      <c r="E3109">
        <f>IFERROR(__xludf.DUMMYFUNCTION("""COMPUTED_VALUE"""),2.09)</f>
        <v>2.09</v>
      </c>
      <c r="F3109">
        <f>IFERROR(__xludf.DUMMYFUNCTION("""COMPUTED_VALUE"""),3.38)</f>
        <v>3.38</v>
      </c>
      <c r="G3109">
        <f>IFERROR(__xludf.DUMMYFUNCTION("""COMPUTED_VALUE"""),8.73)</f>
        <v>8.73</v>
      </c>
    </row>
    <row r="3110">
      <c r="A3110">
        <f>IFERROR(__xludf.DUMMYFUNCTION("""COMPUTED_VALUE"""),788502.0)</f>
        <v>788502</v>
      </c>
      <c r="B3110" t="str">
        <f>IFERROR(__xludf.DUMMYFUNCTION("""COMPUTED_VALUE"""),"Seaweed Cooked Ns As To Fat Added In Cooking")</f>
        <v>Seaweed Cooked Ns As To Fat Added In Cooking</v>
      </c>
      <c r="C3110" t="str">
        <f>IFERROR(__xludf.DUMMYFUNCTION("""COMPUTED_VALUE"""),"Vegetables")</f>
        <v>Vegetables</v>
      </c>
      <c r="D3110">
        <f>IFERROR(__xludf.DUMMYFUNCTION("""COMPUTED_VALUE"""),61.0)</f>
        <v>61</v>
      </c>
      <c r="E3110">
        <f>IFERROR(__xludf.DUMMYFUNCTION("""COMPUTED_VALUE"""),3.35)</f>
        <v>3.35</v>
      </c>
      <c r="F3110">
        <f>IFERROR(__xludf.DUMMYFUNCTION("""COMPUTED_VALUE"""),5.6)</f>
        <v>5.6</v>
      </c>
      <c r="G3110">
        <f>IFERROR(__xludf.DUMMYFUNCTION("""COMPUTED_VALUE"""),4.92)</f>
        <v>4.92</v>
      </c>
    </row>
    <row r="3111">
      <c r="A3111">
        <f>IFERROR(__xludf.DUMMYFUNCTION("""COMPUTED_VALUE"""),788504.0)</f>
        <v>788504</v>
      </c>
      <c r="B3111" t="str">
        <f>IFERROR(__xludf.DUMMYFUNCTION("""COMPUTED_VALUE"""),"Seaweed Cooked Fat Added In Cooking Ns As To Type Of Fat")</f>
        <v>Seaweed Cooked Fat Added In Cooking Ns As To Type Of Fat</v>
      </c>
      <c r="C3111" t="str">
        <f>IFERROR(__xludf.DUMMYFUNCTION("""COMPUTED_VALUE"""),"Vegetables")</f>
        <v>Vegetables</v>
      </c>
      <c r="D3111">
        <f>IFERROR(__xludf.DUMMYFUNCTION("""COMPUTED_VALUE"""),61.0)</f>
        <v>61</v>
      </c>
      <c r="E3111">
        <f>IFERROR(__xludf.DUMMYFUNCTION("""COMPUTED_VALUE"""),3.35)</f>
        <v>3.35</v>
      </c>
      <c r="F3111">
        <f>IFERROR(__xludf.DUMMYFUNCTION("""COMPUTED_VALUE"""),5.6)</f>
        <v>5.6</v>
      </c>
      <c r="G3111">
        <f>IFERROR(__xludf.DUMMYFUNCTION("""COMPUTED_VALUE"""),4.92)</f>
        <v>4.92</v>
      </c>
    </row>
    <row r="3112">
      <c r="A3112">
        <f>IFERROR(__xludf.DUMMYFUNCTION("""COMPUTED_VALUE"""),788505.0)</f>
        <v>788505</v>
      </c>
      <c r="B3112" t="str">
        <f>IFERROR(__xludf.DUMMYFUNCTION("""COMPUTED_VALUE"""),"Seaweed Cooked Made With Oil")</f>
        <v>Seaweed Cooked Made With Oil</v>
      </c>
      <c r="C3112" t="str">
        <f>IFERROR(__xludf.DUMMYFUNCTION("""COMPUTED_VALUE"""),"Vegetables")</f>
        <v>Vegetables</v>
      </c>
      <c r="D3112">
        <f>IFERROR(__xludf.DUMMYFUNCTION("""COMPUTED_VALUE"""),61.0)</f>
        <v>61</v>
      </c>
      <c r="E3112">
        <f>IFERROR(__xludf.DUMMYFUNCTION("""COMPUTED_VALUE"""),3.35)</f>
        <v>3.35</v>
      </c>
      <c r="F3112">
        <f>IFERROR(__xludf.DUMMYFUNCTION("""COMPUTED_VALUE"""),5.6)</f>
        <v>5.6</v>
      </c>
      <c r="G3112">
        <f>IFERROR(__xludf.DUMMYFUNCTION("""COMPUTED_VALUE"""),4.92)</f>
        <v>4.92</v>
      </c>
    </row>
    <row r="3113">
      <c r="A3113">
        <f>IFERROR(__xludf.DUMMYFUNCTION("""COMPUTED_VALUE"""),788506.0)</f>
        <v>788506</v>
      </c>
      <c r="B3113" t="str">
        <f>IFERROR(__xludf.DUMMYFUNCTION("""COMPUTED_VALUE"""),"Seaweed Cooked Made With Butter")</f>
        <v>Seaweed Cooked Made With Butter</v>
      </c>
      <c r="C3113" t="str">
        <f>IFERROR(__xludf.DUMMYFUNCTION("""COMPUTED_VALUE"""),"Vegetables")</f>
        <v>Vegetables</v>
      </c>
      <c r="D3113">
        <f>IFERROR(__xludf.DUMMYFUNCTION("""COMPUTED_VALUE"""),56.0)</f>
        <v>56</v>
      </c>
      <c r="E3113">
        <f>IFERROR(__xludf.DUMMYFUNCTION("""COMPUTED_VALUE"""),2.77)</f>
        <v>2.77</v>
      </c>
      <c r="F3113">
        <f>IFERROR(__xludf.DUMMYFUNCTION("""COMPUTED_VALUE"""),5.62)</f>
        <v>5.62</v>
      </c>
      <c r="G3113">
        <f>IFERROR(__xludf.DUMMYFUNCTION("""COMPUTED_VALUE"""),4.92)</f>
        <v>4.92</v>
      </c>
    </row>
    <row r="3114">
      <c r="A3114">
        <f>IFERROR(__xludf.DUMMYFUNCTION("""COMPUTED_VALUE"""),788508.0)</f>
        <v>788508</v>
      </c>
      <c r="B3114" t="str">
        <f>IFERROR(__xludf.DUMMYFUNCTION("""COMPUTED_VALUE"""),"Squash Summer Yellow Or Green Cooked Ns As To Form Ns As To Fat Added In Cooking")</f>
        <v>Squash Summer Yellow Or Green Cooked Ns As To Form Ns As To Fat Added In Cooking</v>
      </c>
      <c r="C3114" t="str">
        <f>IFERROR(__xludf.DUMMYFUNCTION("""COMPUTED_VALUE"""),"Vegetables")</f>
        <v>Vegetables</v>
      </c>
      <c r="D3114">
        <f>IFERROR(__xludf.DUMMYFUNCTION("""COMPUTED_VALUE"""),34.0)</f>
        <v>34</v>
      </c>
      <c r="E3114">
        <f>IFERROR(__xludf.DUMMYFUNCTION("""COMPUTED_VALUE"""),1.76)</f>
        <v>1.76</v>
      </c>
      <c r="F3114">
        <f>IFERROR(__xludf.DUMMYFUNCTION("""COMPUTED_VALUE"""),1.19)</f>
        <v>1.19</v>
      </c>
      <c r="G3114">
        <f>IFERROR(__xludf.DUMMYFUNCTION("""COMPUTED_VALUE"""),4.36)</f>
        <v>4.36</v>
      </c>
    </row>
    <row r="3115">
      <c r="A3115">
        <f>IFERROR(__xludf.DUMMYFUNCTION("""COMPUTED_VALUE"""),788509.0)</f>
        <v>788509</v>
      </c>
      <c r="B3115" t="str">
        <f>IFERROR(__xludf.DUMMYFUNCTION("""COMPUTED_VALUE"""),"Squash Summer Yellow Or Green Cooked From Fresh Ns As To Fat Added In Cooking")</f>
        <v>Squash Summer Yellow Or Green Cooked From Fresh Ns As To Fat Added In Cooking</v>
      </c>
      <c r="C3115" t="str">
        <f>IFERROR(__xludf.DUMMYFUNCTION("""COMPUTED_VALUE"""),"Vegetables")</f>
        <v>Vegetables</v>
      </c>
      <c r="D3115">
        <f>IFERROR(__xludf.DUMMYFUNCTION("""COMPUTED_VALUE"""),36.0)</f>
        <v>36</v>
      </c>
      <c r="E3115">
        <f>IFERROR(__xludf.DUMMYFUNCTION("""COMPUTED_VALUE"""),2.15)</f>
        <v>2.15</v>
      </c>
      <c r="F3115">
        <f>IFERROR(__xludf.DUMMYFUNCTION("""COMPUTED_VALUE"""),0.9)</f>
        <v>0.9</v>
      </c>
      <c r="G3115">
        <f>IFERROR(__xludf.DUMMYFUNCTION("""COMPUTED_VALUE"""),4.19)</f>
        <v>4.19</v>
      </c>
    </row>
    <row r="3116">
      <c r="A3116">
        <f>IFERROR(__xludf.DUMMYFUNCTION("""COMPUTED_VALUE"""),788510.0)</f>
        <v>788510</v>
      </c>
      <c r="B3116" t="str">
        <f>IFERROR(__xludf.DUMMYFUNCTION("""COMPUTED_VALUE"""),"Squash Summer Yellow Or Green Cooked From Frozen Ns As To Fat Added In Cooking")</f>
        <v>Squash Summer Yellow Or Green Cooked From Frozen Ns As To Fat Added In Cooking</v>
      </c>
      <c r="C3116" t="str">
        <f>IFERROR(__xludf.DUMMYFUNCTION("""COMPUTED_VALUE"""),"Vegetables")</f>
        <v>Vegetables</v>
      </c>
      <c r="D3116">
        <f>IFERROR(__xludf.DUMMYFUNCTION("""COMPUTED_VALUE"""),34.0)</f>
        <v>34</v>
      </c>
      <c r="E3116">
        <f>IFERROR(__xludf.DUMMYFUNCTION("""COMPUTED_VALUE"""),1.76)</f>
        <v>1.76</v>
      </c>
      <c r="F3116">
        <f>IFERROR(__xludf.DUMMYFUNCTION("""COMPUTED_VALUE"""),1.19)</f>
        <v>1.19</v>
      </c>
      <c r="G3116">
        <f>IFERROR(__xludf.DUMMYFUNCTION("""COMPUTED_VALUE"""),4.36)</f>
        <v>4.36</v>
      </c>
    </row>
    <row r="3117">
      <c r="A3117">
        <f>IFERROR(__xludf.DUMMYFUNCTION("""COMPUTED_VALUE"""),788511.0)</f>
        <v>788511</v>
      </c>
      <c r="B3117" t="str">
        <f>IFERROR(__xludf.DUMMYFUNCTION("""COMPUTED_VALUE"""),"Squash Summer Yellow Or Green Cooked From Canned Ns As To Fat Added In Cooking")</f>
        <v>Squash Summer Yellow Or Green Cooked From Canned Ns As To Fat Added In Cooking</v>
      </c>
      <c r="C3117" t="str">
        <f>IFERROR(__xludf.DUMMYFUNCTION("""COMPUTED_VALUE"""),"Vegetables")</f>
        <v>Vegetables</v>
      </c>
      <c r="D3117">
        <f>IFERROR(__xludf.DUMMYFUNCTION("""COMPUTED_VALUE"""),26.0)</f>
        <v>26</v>
      </c>
      <c r="E3117">
        <f>IFERROR(__xludf.DUMMYFUNCTION("""COMPUTED_VALUE"""),1.62)</f>
        <v>1.62</v>
      </c>
      <c r="F3117">
        <f>IFERROR(__xludf.DUMMYFUNCTION("""COMPUTED_VALUE"""),0.61)</f>
        <v>0.61</v>
      </c>
      <c r="G3117">
        <f>IFERROR(__xludf.DUMMYFUNCTION("""COMPUTED_VALUE"""),2.89)</f>
        <v>2.89</v>
      </c>
    </row>
    <row r="3118">
      <c r="A3118">
        <f>IFERROR(__xludf.DUMMYFUNCTION("""COMPUTED_VALUE"""),788512.0)</f>
        <v>788512</v>
      </c>
      <c r="B3118" t="str">
        <f>IFERROR(__xludf.DUMMYFUNCTION("""COMPUTED_VALUE"""),"Squash Summer Yellow Or Green Cooked Ns As To Form Fat Not Added In Cooking")</f>
        <v>Squash Summer Yellow Or Green Cooked Ns As To Form Fat Not Added In Cooking</v>
      </c>
      <c r="C3118" t="str">
        <f>IFERROR(__xludf.DUMMYFUNCTION("""COMPUTED_VALUE"""),"Vegetables")</f>
        <v>Vegetables</v>
      </c>
      <c r="D3118">
        <f>IFERROR(__xludf.DUMMYFUNCTION("""COMPUTED_VALUE"""),21.0)</f>
        <v>21</v>
      </c>
      <c r="E3118">
        <f>IFERROR(__xludf.DUMMYFUNCTION("""COMPUTED_VALUE"""),0.16)</f>
        <v>0.16</v>
      </c>
      <c r="F3118">
        <f>IFERROR(__xludf.DUMMYFUNCTION("""COMPUTED_VALUE"""),1.2)</f>
        <v>1.2</v>
      </c>
      <c r="G3118">
        <f>IFERROR(__xludf.DUMMYFUNCTION("""COMPUTED_VALUE"""),4.45)</f>
        <v>4.45</v>
      </c>
    </row>
    <row r="3119">
      <c r="A3119">
        <f>IFERROR(__xludf.DUMMYFUNCTION("""COMPUTED_VALUE"""),788513.0)</f>
        <v>788513</v>
      </c>
      <c r="B3119" t="str">
        <f>IFERROR(__xludf.DUMMYFUNCTION("""COMPUTED_VALUE"""),"Squash Summer Yellow Or Green Cooked From Fresh Fat Not Added In Cooking")</f>
        <v>Squash Summer Yellow Or Green Cooked From Fresh Fat Not Added In Cooking</v>
      </c>
      <c r="C3119" t="str">
        <f>IFERROR(__xludf.DUMMYFUNCTION("""COMPUTED_VALUE"""),"Vegetables")</f>
        <v>Vegetables</v>
      </c>
      <c r="D3119">
        <f>IFERROR(__xludf.DUMMYFUNCTION("""COMPUTED_VALUE"""),20.0)</f>
        <v>20</v>
      </c>
      <c r="E3119">
        <f>IFERROR(__xludf.DUMMYFUNCTION("""COMPUTED_VALUE"""),0.31)</f>
        <v>0.31</v>
      </c>
      <c r="F3119">
        <f>IFERROR(__xludf.DUMMYFUNCTION("""COMPUTED_VALUE"""),0.9)</f>
        <v>0.9</v>
      </c>
      <c r="G3119">
        <f>IFERROR(__xludf.DUMMYFUNCTION("""COMPUTED_VALUE"""),4.29)</f>
        <v>4.29</v>
      </c>
    </row>
    <row r="3120">
      <c r="A3120">
        <f>IFERROR(__xludf.DUMMYFUNCTION("""COMPUTED_VALUE"""),788514.0)</f>
        <v>788514</v>
      </c>
      <c r="B3120" t="str">
        <f>IFERROR(__xludf.DUMMYFUNCTION("""COMPUTED_VALUE"""),"Squash Summer Yellow Or Green Cooked From Frozen Fat Not Added In Cooking")</f>
        <v>Squash Summer Yellow Or Green Cooked From Frozen Fat Not Added In Cooking</v>
      </c>
      <c r="C3120" t="str">
        <f>IFERROR(__xludf.DUMMYFUNCTION("""COMPUTED_VALUE"""),"Vegetables")</f>
        <v>Vegetables</v>
      </c>
      <c r="D3120">
        <f>IFERROR(__xludf.DUMMYFUNCTION("""COMPUTED_VALUE"""),21.0)</f>
        <v>21</v>
      </c>
      <c r="E3120">
        <f>IFERROR(__xludf.DUMMYFUNCTION("""COMPUTED_VALUE"""),0.16)</f>
        <v>0.16</v>
      </c>
      <c r="F3120">
        <f>IFERROR(__xludf.DUMMYFUNCTION("""COMPUTED_VALUE"""),1.2)</f>
        <v>1.2</v>
      </c>
      <c r="G3120">
        <f>IFERROR(__xludf.DUMMYFUNCTION("""COMPUTED_VALUE"""),4.45)</f>
        <v>4.45</v>
      </c>
    </row>
    <row r="3121">
      <c r="A3121">
        <f>IFERROR(__xludf.DUMMYFUNCTION("""COMPUTED_VALUE"""),788515.0)</f>
        <v>788515</v>
      </c>
      <c r="B3121" t="str">
        <f>IFERROR(__xludf.DUMMYFUNCTION("""COMPUTED_VALUE"""),"Squash Summer Yellow Or Green Cooked From Canned Fat Not Added In Cooking")</f>
        <v>Squash Summer Yellow Or Green Cooked From Canned Fat Not Added In Cooking</v>
      </c>
      <c r="C3121" t="str">
        <f>IFERROR(__xludf.DUMMYFUNCTION("""COMPUTED_VALUE"""),"Vegetables")</f>
        <v>Vegetables</v>
      </c>
      <c r="D3121">
        <f>IFERROR(__xludf.DUMMYFUNCTION("""COMPUTED_VALUE"""),13.0)</f>
        <v>13</v>
      </c>
      <c r="E3121">
        <f>IFERROR(__xludf.DUMMYFUNCTION("""COMPUTED_VALUE"""),0.07)</f>
        <v>0.07</v>
      </c>
      <c r="F3121">
        <f>IFERROR(__xludf.DUMMYFUNCTION("""COMPUTED_VALUE"""),0.61)</f>
        <v>0.61</v>
      </c>
      <c r="G3121">
        <f>IFERROR(__xludf.DUMMYFUNCTION("""COMPUTED_VALUE"""),2.95)</f>
        <v>2.95</v>
      </c>
    </row>
    <row r="3122">
      <c r="A3122">
        <f>IFERROR(__xludf.DUMMYFUNCTION("""COMPUTED_VALUE"""),788516.0)</f>
        <v>788516</v>
      </c>
      <c r="B3122" t="str">
        <f>IFERROR(__xludf.DUMMYFUNCTION("""COMPUTED_VALUE"""),"Squash Summer Yellow Or Green Cooked Ns As To Form Fat Added In Cooking Ns As To Type Of Fat")</f>
        <v>Squash Summer Yellow Or Green Cooked Ns As To Form Fat Added In Cooking Ns As To Type Of Fat</v>
      </c>
      <c r="C3122" t="str">
        <f>IFERROR(__xludf.DUMMYFUNCTION("""COMPUTED_VALUE"""),"Vegetables")</f>
        <v>Vegetables</v>
      </c>
      <c r="D3122">
        <f>IFERROR(__xludf.DUMMYFUNCTION("""COMPUTED_VALUE"""),34.0)</f>
        <v>34</v>
      </c>
      <c r="E3122">
        <f>IFERROR(__xludf.DUMMYFUNCTION("""COMPUTED_VALUE"""),1.76)</f>
        <v>1.76</v>
      </c>
      <c r="F3122">
        <f>IFERROR(__xludf.DUMMYFUNCTION("""COMPUTED_VALUE"""),1.19)</f>
        <v>1.19</v>
      </c>
      <c r="G3122">
        <f>IFERROR(__xludf.DUMMYFUNCTION("""COMPUTED_VALUE"""),4.36)</f>
        <v>4.36</v>
      </c>
    </row>
    <row r="3123">
      <c r="A3123">
        <f>IFERROR(__xludf.DUMMYFUNCTION("""COMPUTED_VALUE"""),788517.0)</f>
        <v>788517</v>
      </c>
      <c r="B3123" t="str">
        <f>IFERROR(__xludf.DUMMYFUNCTION("""COMPUTED_VALUE"""),"Squash Summer Yellow Or Green Cooked From Fresh Fat Added In Cooking Ns As To Type Of Fat")</f>
        <v>Squash Summer Yellow Or Green Cooked From Fresh Fat Added In Cooking Ns As To Type Of Fat</v>
      </c>
      <c r="C3123" t="str">
        <f>IFERROR(__xludf.DUMMYFUNCTION("""COMPUTED_VALUE"""),"Vegetables")</f>
        <v>Vegetables</v>
      </c>
      <c r="D3123">
        <f>IFERROR(__xludf.DUMMYFUNCTION("""COMPUTED_VALUE"""),36.0)</f>
        <v>36</v>
      </c>
      <c r="E3123">
        <f>IFERROR(__xludf.DUMMYFUNCTION("""COMPUTED_VALUE"""),2.15)</f>
        <v>2.15</v>
      </c>
      <c r="F3123">
        <f>IFERROR(__xludf.DUMMYFUNCTION("""COMPUTED_VALUE"""),0.9)</f>
        <v>0.9</v>
      </c>
      <c r="G3123">
        <f>IFERROR(__xludf.DUMMYFUNCTION("""COMPUTED_VALUE"""),4.19)</f>
        <v>4.19</v>
      </c>
    </row>
    <row r="3124">
      <c r="A3124">
        <f>IFERROR(__xludf.DUMMYFUNCTION("""COMPUTED_VALUE"""),788518.0)</f>
        <v>788518</v>
      </c>
      <c r="B3124" t="str">
        <f>IFERROR(__xludf.DUMMYFUNCTION("""COMPUTED_VALUE"""),"Squash Summer Yellow Or Green Cooked From Frozen Fat Added In Cooking Ns As To Type Of Fat")</f>
        <v>Squash Summer Yellow Or Green Cooked From Frozen Fat Added In Cooking Ns As To Type Of Fat</v>
      </c>
      <c r="C3124" t="str">
        <f>IFERROR(__xludf.DUMMYFUNCTION("""COMPUTED_VALUE"""),"Vegetables")</f>
        <v>Vegetables</v>
      </c>
      <c r="D3124">
        <f>IFERROR(__xludf.DUMMYFUNCTION("""COMPUTED_VALUE"""),34.0)</f>
        <v>34</v>
      </c>
      <c r="E3124">
        <f>IFERROR(__xludf.DUMMYFUNCTION("""COMPUTED_VALUE"""),1.76)</f>
        <v>1.76</v>
      </c>
      <c r="F3124">
        <f>IFERROR(__xludf.DUMMYFUNCTION("""COMPUTED_VALUE"""),1.19)</f>
        <v>1.19</v>
      </c>
      <c r="G3124">
        <f>IFERROR(__xludf.DUMMYFUNCTION("""COMPUTED_VALUE"""),4.36)</f>
        <v>4.36</v>
      </c>
    </row>
    <row r="3125">
      <c r="A3125">
        <f>IFERROR(__xludf.DUMMYFUNCTION("""COMPUTED_VALUE"""),788519.0)</f>
        <v>788519</v>
      </c>
      <c r="B3125" t="str">
        <f>IFERROR(__xludf.DUMMYFUNCTION("""COMPUTED_VALUE"""),"Squash Summer Yellow Or Green Cooked From Canned Fat Added In Cooking Ns As To Type Of Fat")</f>
        <v>Squash Summer Yellow Or Green Cooked From Canned Fat Added In Cooking Ns As To Type Of Fat</v>
      </c>
      <c r="C3125" t="str">
        <f>IFERROR(__xludf.DUMMYFUNCTION("""COMPUTED_VALUE"""),"Vegetables")</f>
        <v>Vegetables</v>
      </c>
      <c r="D3125">
        <f>IFERROR(__xludf.DUMMYFUNCTION("""COMPUTED_VALUE"""),26.0)</f>
        <v>26</v>
      </c>
      <c r="E3125">
        <f>IFERROR(__xludf.DUMMYFUNCTION("""COMPUTED_VALUE"""),1.62)</f>
        <v>1.62</v>
      </c>
      <c r="F3125">
        <f>IFERROR(__xludf.DUMMYFUNCTION("""COMPUTED_VALUE"""),0.61)</f>
        <v>0.61</v>
      </c>
      <c r="G3125">
        <f>IFERROR(__xludf.DUMMYFUNCTION("""COMPUTED_VALUE"""),2.89)</f>
        <v>2.89</v>
      </c>
    </row>
    <row r="3126">
      <c r="A3126">
        <f>IFERROR(__xludf.DUMMYFUNCTION("""COMPUTED_VALUE"""),788520.0)</f>
        <v>788520</v>
      </c>
      <c r="B3126" t="str">
        <f>IFERROR(__xludf.DUMMYFUNCTION("""COMPUTED_VALUE"""),"Squash Summer Yellow Or Green Cooked Ns As To Form Made With Oil")</f>
        <v>Squash Summer Yellow Or Green Cooked Ns As To Form Made With Oil</v>
      </c>
      <c r="C3126" t="str">
        <f>IFERROR(__xludf.DUMMYFUNCTION("""COMPUTED_VALUE"""),"Vegetables")</f>
        <v>Vegetables</v>
      </c>
      <c r="D3126">
        <f>IFERROR(__xludf.DUMMYFUNCTION("""COMPUTED_VALUE"""),39.0)</f>
        <v>39</v>
      </c>
      <c r="E3126">
        <f>IFERROR(__xludf.DUMMYFUNCTION("""COMPUTED_VALUE"""),2.28)</f>
        <v>2.28</v>
      </c>
      <c r="F3126">
        <f>IFERROR(__xludf.DUMMYFUNCTION("""COMPUTED_VALUE"""),1.18)</f>
        <v>1.18</v>
      </c>
      <c r="G3126">
        <f>IFERROR(__xludf.DUMMYFUNCTION("""COMPUTED_VALUE"""),4.36)</f>
        <v>4.36</v>
      </c>
    </row>
    <row r="3127">
      <c r="A3127">
        <f>IFERROR(__xludf.DUMMYFUNCTION("""COMPUTED_VALUE"""),788521.0)</f>
        <v>788521</v>
      </c>
      <c r="B3127" t="str">
        <f>IFERROR(__xludf.DUMMYFUNCTION("""COMPUTED_VALUE"""),"Squash Summer Yellow Or Green Cooked Ns As To Form Made With Butter")</f>
        <v>Squash Summer Yellow Or Green Cooked Ns As To Form Made With Butter</v>
      </c>
      <c r="C3127" t="str">
        <f>IFERROR(__xludf.DUMMYFUNCTION("""COMPUTED_VALUE"""),"Vegetables")</f>
        <v>Vegetables</v>
      </c>
      <c r="D3127">
        <f>IFERROR(__xludf.DUMMYFUNCTION("""COMPUTED_VALUE"""),36.0)</f>
        <v>36</v>
      </c>
      <c r="E3127">
        <f>IFERROR(__xludf.DUMMYFUNCTION("""COMPUTED_VALUE"""),1.95)</f>
        <v>1.95</v>
      </c>
      <c r="F3127">
        <f>IFERROR(__xludf.DUMMYFUNCTION("""COMPUTED_VALUE"""),1.2)</f>
        <v>1.2</v>
      </c>
      <c r="G3127">
        <f>IFERROR(__xludf.DUMMYFUNCTION("""COMPUTED_VALUE"""),4.36)</f>
        <v>4.36</v>
      </c>
    </row>
    <row r="3128">
      <c r="A3128">
        <f>IFERROR(__xludf.DUMMYFUNCTION("""COMPUTED_VALUE"""),788522.0)</f>
        <v>788522</v>
      </c>
      <c r="B3128" t="str">
        <f>IFERROR(__xludf.DUMMYFUNCTION("""COMPUTED_VALUE"""),"Squash Summer Yellow Or Green Cooked Ns As To Form Made With Margarine")</f>
        <v>Squash Summer Yellow Or Green Cooked Ns As To Form Made With Margarine</v>
      </c>
      <c r="C3128" t="str">
        <f>IFERROR(__xludf.DUMMYFUNCTION("""COMPUTED_VALUE"""),"Vegetables")</f>
        <v>Vegetables</v>
      </c>
      <c r="D3128">
        <f>IFERROR(__xludf.DUMMYFUNCTION("""COMPUTED_VALUE"""),32.0)</f>
        <v>32</v>
      </c>
      <c r="E3128">
        <f>IFERROR(__xludf.DUMMYFUNCTION("""COMPUTED_VALUE"""),1.49)</f>
        <v>1.49</v>
      </c>
      <c r="F3128">
        <f>IFERROR(__xludf.DUMMYFUNCTION("""COMPUTED_VALUE"""),1.18)</f>
        <v>1.18</v>
      </c>
      <c r="G3128">
        <f>IFERROR(__xludf.DUMMYFUNCTION("""COMPUTED_VALUE"""),4.37)</f>
        <v>4.37</v>
      </c>
    </row>
    <row r="3129">
      <c r="A3129">
        <f>IFERROR(__xludf.DUMMYFUNCTION("""COMPUTED_VALUE"""),788523.0)</f>
        <v>788523</v>
      </c>
      <c r="B3129" t="str">
        <f>IFERROR(__xludf.DUMMYFUNCTION("""COMPUTED_VALUE"""),"Squash Summer Yellow Or Green Cooked From Fresh Made With Oil")</f>
        <v>Squash Summer Yellow Or Green Cooked From Fresh Made With Oil</v>
      </c>
      <c r="C3129" t="str">
        <f>IFERROR(__xludf.DUMMYFUNCTION("""COMPUTED_VALUE"""),"Vegetables")</f>
        <v>Vegetables</v>
      </c>
      <c r="D3129">
        <f>IFERROR(__xludf.DUMMYFUNCTION("""COMPUTED_VALUE"""),41.0)</f>
        <v>41</v>
      </c>
      <c r="E3129">
        <f>IFERROR(__xludf.DUMMYFUNCTION("""COMPUTED_VALUE"""),2.75)</f>
        <v>2.75</v>
      </c>
      <c r="F3129">
        <f>IFERROR(__xludf.DUMMYFUNCTION("""COMPUTED_VALUE"""),0.88)</f>
        <v>0.88</v>
      </c>
      <c r="G3129">
        <f>IFERROR(__xludf.DUMMYFUNCTION("""COMPUTED_VALUE"""),4.18)</f>
        <v>4.18</v>
      </c>
    </row>
    <row r="3130">
      <c r="A3130">
        <f>IFERROR(__xludf.DUMMYFUNCTION("""COMPUTED_VALUE"""),788524.0)</f>
        <v>788524</v>
      </c>
      <c r="B3130" t="str">
        <f>IFERROR(__xludf.DUMMYFUNCTION("""COMPUTED_VALUE"""),"Squash Summer Yellow Or Green Cooked From Fresh Made With Butter")</f>
        <v>Squash Summer Yellow Or Green Cooked From Fresh Made With Butter</v>
      </c>
      <c r="C3130" t="str">
        <f>IFERROR(__xludf.DUMMYFUNCTION("""COMPUTED_VALUE"""),"Vegetables")</f>
        <v>Vegetables</v>
      </c>
      <c r="D3130">
        <f>IFERROR(__xludf.DUMMYFUNCTION("""COMPUTED_VALUE"""),38.0)</f>
        <v>38</v>
      </c>
      <c r="E3130">
        <f>IFERROR(__xludf.DUMMYFUNCTION("""COMPUTED_VALUE"""),2.37)</f>
        <v>2.37</v>
      </c>
      <c r="F3130">
        <f>IFERROR(__xludf.DUMMYFUNCTION("""COMPUTED_VALUE"""),0.9)</f>
        <v>0.9</v>
      </c>
      <c r="G3130">
        <f>IFERROR(__xludf.DUMMYFUNCTION("""COMPUTED_VALUE"""),4.18)</f>
        <v>4.18</v>
      </c>
    </row>
    <row r="3131">
      <c r="A3131">
        <f>IFERROR(__xludf.DUMMYFUNCTION("""COMPUTED_VALUE"""),788525.0)</f>
        <v>788525</v>
      </c>
      <c r="B3131" t="str">
        <f>IFERROR(__xludf.DUMMYFUNCTION("""COMPUTED_VALUE"""),"Squash Summer Yellow Or Green Cooked From Fresh Made With Margarine")</f>
        <v>Squash Summer Yellow Or Green Cooked From Fresh Made With Margarine</v>
      </c>
      <c r="C3131" t="str">
        <f>IFERROR(__xludf.DUMMYFUNCTION("""COMPUTED_VALUE"""),"Vegetables")</f>
        <v>Vegetables</v>
      </c>
      <c r="D3131">
        <f>IFERROR(__xludf.DUMMYFUNCTION("""COMPUTED_VALUE"""),33.0)</f>
        <v>33</v>
      </c>
      <c r="E3131">
        <f>IFERROR(__xludf.DUMMYFUNCTION("""COMPUTED_VALUE"""),1.84)</f>
        <v>1.84</v>
      </c>
      <c r="F3131">
        <f>IFERROR(__xludf.DUMMYFUNCTION("""COMPUTED_VALUE"""),0.89)</f>
        <v>0.89</v>
      </c>
      <c r="G3131">
        <f>IFERROR(__xludf.DUMMYFUNCTION("""COMPUTED_VALUE"""),4.2)</f>
        <v>4.2</v>
      </c>
    </row>
    <row r="3132">
      <c r="A3132">
        <f>IFERROR(__xludf.DUMMYFUNCTION("""COMPUTED_VALUE"""),788526.0)</f>
        <v>788526</v>
      </c>
      <c r="B3132" t="str">
        <f>IFERROR(__xludf.DUMMYFUNCTION("""COMPUTED_VALUE"""),"Squash Summer Yellow Or Green Cooked From Frozen Made With Oil")</f>
        <v>Squash Summer Yellow Or Green Cooked From Frozen Made With Oil</v>
      </c>
      <c r="C3132" t="str">
        <f>IFERROR(__xludf.DUMMYFUNCTION("""COMPUTED_VALUE"""),"Vegetables")</f>
        <v>Vegetables</v>
      </c>
      <c r="D3132">
        <f>IFERROR(__xludf.DUMMYFUNCTION("""COMPUTED_VALUE"""),45.0)</f>
        <v>45</v>
      </c>
      <c r="E3132">
        <f>IFERROR(__xludf.DUMMYFUNCTION("""COMPUTED_VALUE"""),2.49)</f>
        <v>2.49</v>
      </c>
      <c r="F3132">
        <f>IFERROR(__xludf.DUMMYFUNCTION("""COMPUTED_VALUE"""),1.24)</f>
        <v>1.24</v>
      </c>
      <c r="G3132">
        <f>IFERROR(__xludf.DUMMYFUNCTION("""COMPUTED_VALUE"""),5.38)</f>
        <v>5.38</v>
      </c>
    </row>
    <row r="3133">
      <c r="A3133">
        <f>IFERROR(__xludf.DUMMYFUNCTION("""COMPUTED_VALUE"""),788527.0)</f>
        <v>788527</v>
      </c>
      <c r="B3133" t="str">
        <f>IFERROR(__xludf.DUMMYFUNCTION("""COMPUTED_VALUE"""),"Squash Summer Yellow Or Green Cooked From Frozen Made With Butter")</f>
        <v>Squash Summer Yellow Or Green Cooked From Frozen Made With Butter</v>
      </c>
      <c r="C3133" t="str">
        <f>IFERROR(__xludf.DUMMYFUNCTION("""COMPUTED_VALUE"""),"Vegetables")</f>
        <v>Vegetables</v>
      </c>
      <c r="D3133">
        <f>IFERROR(__xludf.DUMMYFUNCTION("""COMPUTED_VALUE"""),41.0)</f>
        <v>41</v>
      </c>
      <c r="E3133">
        <f>IFERROR(__xludf.DUMMYFUNCTION("""COMPUTED_VALUE"""),2.13)</f>
        <v>2.13</v>
      </c>
      <c r="F3133">
        <f>IFERROR(__xludf.DUMMYFUNCTION("""COMPUTED_VALUE"""),1.26)</f>
        <v>1.26</v>
      </c>
      <c r="G3133">
        <f>IFERROR(__xludf.DUMMYFUNCTION("""COMPUTED_VALUE"""),5.38)</f>
        <v>5.38</v>
      </c>
    </row>
    <row r="3134">
      <c r="A3134">
        <f>IFERROR(__xludf.DUMMYFUNCTION("""COMPUTED_VALUE"""),788528.0)</f>
        <v>788528</v>
      </c>
      <c r="B3134" t="str">
        <f>IFERROR(__xludf.DUMMYFUNCTION("""COMPUTED_VALUE"""),"Squash Summer Yellow Or Green Cooked From Frozen Made With Margarine")</f>
        <v>Squash Summer Yellow Or Green Cooked From Frozen Made With Margarine</v>
      </c>
      <c r="C3134" t="str">
        <f>IFERROR(__xludf.DUMMYFUNCTION("""COMPUTED_VALUE"""),"Vegetables")</f>
        <v>Vegetables</v>
      </c>
      <c r="D3134">
        <f>IFERROR(__xludf.DUMMYFUNCTION("""COMPUTED_VALUE"""),37.0)</f>
        <v>37</v>
      </c>
      <c r="E3134">
        <f>IFERROR(__xludf.DUMMYFUNCTION("""COMPUTED_VALUE"""),1.64)</f>
        <v>1.64</v>
      </c>
      <c r="F3134">
        <f>IFERROR(__xludf.DUMMYFUNCTION("""COMPUTED_VALUE"""),1.25)</f>
        <v>1.25</v>
      </c>
      <c r="G3134">
        <f>IFERROR(__xludf.DUMMYFUNCTION("""COMPUTED_VALUE"""),5.4)</f>
        <v>5.4</v>
      </c>
    </row>
    <row r="3135">
      <c r="A3135">
        <f>IFERROR(__xludf.DUMMYFUNCTION("""COMPUTED_VALUE"""),788529.0)</f>
        <v>788529</v>
      </c>
      <c r="B3135" t="str">
        <f>IFERROR(__xludf.DUMMYFUNCTION("""COMPUTED_VALUE"""),"Squash Summer Yellow Or Green Cooked From Canned Made With Oil")</f>
        <v>Squash Summer Yellow Or Green Cooked From Canned Made With Oil</v>
      </c>
      <c r="C3135" t="str">
        <f>IFERROR(__xludf.DUMMYFUNCTION("""COMPUTED_VALUE"""),"Vegetables")</f>
        <v>Vegetables</v>
      </c>
      <c r="D3135">
        <f>IFERROR(__xludf.DUMMYFUNCTION("""COMPUTED_VALUE"""),31.0)</f>
        <v>31</v>
      </c>
      <c r="E3135">
        <f>IFERROR(__xludf.DUMMYFUNCTION("""COMPUTED_VALUE"""),2.12)</f>
        <v>2.12</v>
      </c>
      <c r="F3135">
        <f>IFERROR(__xludf.DUMMYFUNCTION("""COMPUTED_VALUE"""),0.6)</f>
        <v>0.6</v>
      </c>
      <c r="G3135">
        <f>IFERROR(__xludf.DUMMYFUNCTION("""COMPUTED_VALUE"""),2.89)</f>
        <v>2.89</v>
      </c>
    </row>
    <row r="3136">
      <c r="A3136">
        <f>IFERROR(__xludf.DUMMYFUNCTION("""COMPUTED_VALUE"""),788530.0)</f>
        <v>788530</v>
      </c>
      <c r="B3136" t="str">
        <f>IFERROR(__xludf.DUMMYFUNCTION("""COMPUTED_VALUE"""),"Squash Summer Yellow Or Green Cooked From Canned Made With Butter")</f>
        <v>Squash Summer Yellow Or Green Cooked From Canned Made With Butter</v>
      </c>
      <c r="C3136" t="str">
        <f>IFERROR(__xludf.DUMMYFUNCTION("""COMPUTED_VALUE"""),"Vegetables")</f>
        <v>Vegetables</v>
      </c>
      <c r="D3136">
        <f>IFERROR(__xludf.DUMMYFUNCTION("""COMPUTED_VALUE"""),28.0)</f>
        <v>28</v>
      </c>
      <c r="E3136">
        <f>IFERROR(__xludf.DUMMYFUNCTION("""COMPUTED_VALUE"""),1.8)</f>
        <v>1.8</v>
      </c>
      <c r="F3136">
        <f>IFERROR(__xludf.DUMMYFUNCTION("""COMPUTED_VALUE"""),0.61)</f>
        <v>0.61</v>
      </c>
      <c r="G3136">
        <f>IFERROR(__xludf.DUMMYFUNCTION("""COMPUTED_VALUE"""),2.88)</f>
        <v>2.88</v>
      </c>
    </row>
    <row r="3137">
      <c r="A3137">
        <f>IFERROR(__xludf.DUMMYFUNCTION("""COMPUTED_VALUE"""),788531.0)</f>
        <v>788531</v>
      </c>
      <c r="B3137" t="str">
        <f>IFERROR(__xludf.DUMMYFUNCTION("""COMPUTED_VALUE"""),"Squash Summer Yellow Or Green Cooked From Canned Made With Margarine")</f>
        <v>Squash Summer Yellow Or Green Cooked From Canned Made With Margarine</v>
      </c>
      <c r="C3137" t="str">
        <f>IFERROR(__xludf.DUMMYFUNCTION("""COMPUTED_VALUE"""),"Vegetables")</f>
        <v>Vegetables</v>
      </c>
      <c r="D3137">
        <f>IFERROR(__xludf.DUMMYFUNCTION("""COMPUTED_VALUE"""),24.0)</f>
        <v>24</v>
      </c>
      <c r="E3137">
        <f>IFERROR(__xludf.DUMMYFUNCTION("""COMPUTED_VALUE"""),1.36)</f>
        <v>1.36</v>
      </c>
      <c r="F3137">
        <f>IFERROR(__xludf.DUMMYFUNCTION("""COMPUTED_VALUE"""),0.6)</f>
        <v>0.6</v>
      </c>
      <c r="G3137">
        <f>IFERROR(__xludf.DUMMYFUNCTION("""COMPUTED_VALUE"""),2.9)</f>
        <v>2.9</v>
      </c>
    </row>
    <row r="3138">
      <c r="A3138">
        <f>IFERROR(__xludf.DUMMYFUNCTION("""COMPUTED_VALUE"""),788532.0)</f>
        <v>788532</v>
      </c>
      <c r="B3138" t="str">
        <f>IFERROR(__xludf.DUMMYFUNCTION("""COMPUTED_VALUE"""),"Squash Spaghetti Cooked Ns As To Fat Added In Cooking")</f>
        <v>Squash Spaghetti Cooked Ns As To Fat Added In Cooking</v>
      </c>
      <c r="C3138" t="str">
        <f>IFERROR(__xludf.DUMMYFUNCTION("""COMPUTED_VALUE"""),"Vegetables")</f>
        <v>Vegetables</v>
      </c>
      <c r="D3138">
        <f>IFERROR(__xludf.DUMMYFUNCTION("""COMPUTED_VALUE"""),45.0)</f>
        <v>45</v>
      </c>
      <c r="E3138">
        <f>IFERROR(__xludf.DUMMYFUNCTION("""COMPUTED_VALUE"""),2.4)</f>
        <v>2.4</v>
      </c>
      <c r="F3138">
        <f>IFERROR(__xludf.DUMMYFUNCTION("""COMPUTED_VALUE"""),0.66)</f>
        <v>0.66</v>
      </c>
      <c r="G3138">
        <f>IFERROR(__xludf.DUMMYFUNCTION("""COMPUTED_VALUE"""),6.27)</f>
        <v>6.27</v>
      </c>
    </row>
    <row r="3139">
      <c r="A3139">
        <f>IFERROR(__xludf.DUMMYFUNCTION("""COMPUTED_VALUE"""),788533.0)</f>
        <v>788533</v>
      </c>
      <c r="B3139" t="str">
        <f>IFERROR(__xludf.DUMMYFUNCTION("""COMPUTED_VALUE"""),"Squash Spaghetti Cooked Fat Added In Cooking Ns As To Type Of Fat")</f>
        <v>Squash Spaghetti Cooked Fat Added In Cooking Ns As To Type Of Fat</v>
      </c>
      <c r="C3139" t="str">
        <f>IFERROR(__xludf.DUMMYFUNCTION("""COMPUTED_VALUE"""),"Vegetables")</f>
        <v>Vegetables</v>
      </c>
      <c r="D3139">
        <f>IFERROR(__xludf.DUMMYFUNCTION("""COMPUTED_VALUE"""),45.0)</f>
        <v>45</v>
      </c>
      <c r="E3139">
        <f>IFERROR(__xludf.DUMMYFUNCTION("""COMPUTED_VALUE"""),2.39)</f>
        <v>2.39</v>
      </c>
      <c r="F3139">
        <f>IFERROR(__xludf.DUMMYFUNCTION("""COMPUTED_VALUE"""),0.65)</f>
        <v>0.65</v>
      </c>
      <c r="G3139">
        <f>IFERROR(__xludf.DUMMYFUNCTION("""COMPUTED_VALUE"""),6.24)</f>
        <v>6.24</v>
      </c>
    </row>
    <row r="3140">
      <c r="A3140">
        <f>IFERROR(__xludf.DUMMYFUNCTION("""COMPUTED_VALUE"""),788534.0)</f>
        <v>788534</v>
      </c>
      <c r="B3140" t="str">
        <f>IFERROR(__xludf.DUMMYFUNCTION("""COMPUTED_VALUE"""),"Squash Spaghetti Cooked Fat Not Added In Cooking")</f>
        <v>Squash Spaghetti Cooked Fat Not Added In Cooking</v>
      </c>
      <c r="C3140" t="str">
        <f>IFERROR(__xludf.DUMMYFUNCTION("""COMPUTED_VALUE"""),"Vegetables")</f>
        <v>Vegetables</v>
      </c>
      <c r="D3140">
        <f>IFERROR(__xludf.DUMMYFUNCTION("""COMPUTED_VALUE"""),27.0)</f>
        <v>27</v>
      </c>
      <c r="E3140">
        <f>IFERROR(__xludf.DUMMYFUNCTION("""COMPUTED_VALUE"""),0.26)</f>
        <v>0.26</v>
      </c>
      <c r="F3140">
        <f>IFERROR(__xludf.DUMMYFUNCTION("""COMPUTED_VALUE"""),0.66)</f>
        <v>0.66</v>
      </c>
      <c r="G3140">
        <f>IFERROR(__xludf.DUMMYFUNCTION("""COMPUTED_VALUE"""),6.42)</f>
        <v>6.42</v>
      </c>
    </row>
    <row r="3141">
      <c r="A3141">
        <f>IFERROR(__xludf.DUMMYFUNCTION("""COMPUTED_VALUE"""),788535.0)</f>
        <v>788535</v>
      </c>
      <c r="B3141" t="str">
        <f>IFERROR(__xludf.DUMMYFUNCTION("""COMPUTED_VALUE"""),"Squash Spaghetti Cooked Made With Oil")</f>
        <v>Squash Spaghetti Cooked Made With Oil</v>
      </c>
      <c r="C3141" t="str">
        <f>IFERROR(__xludf.DUMMYFUNCTION("""COMPUTED_VALUE"""),"Vegetables")</f>
        <v>Vegetables</v>
      </c>
      <c r="D3141">
        <f>IFERROR(__xludf.DUMMYFUNCTION("""COMPUTED_VALUE"""),51.0)</f>
        <v>51</v>
      </c>
      <c r="E3141">
        <f>IFERROR(__xludf.DUMMYFUNCTION("""COMPUTED_VALUE"""),3.08)</f>
        <v>3.08</v>
      </c>
      <c r="F3141">
        <f>IFERROR(__xludf.DUMMYFUNCTION("""COMPUTED_VALUE"""),0.64)</f>
        <v>0.64</v>
      </c>
      <c r="G3141">
        <f>IFERROR(__xludf.DUMMYFUNCTION("""COMPUTED_VALUE"""),6.24)</f>
        <v>6.24</v>
      </c>
    </row>
    <row r="3142">
      <c r="A3142">
        <f>IFERROR(__xludf.DUMMYFUNCTION("""COMPUTED_VALUE"""),788536.0)</f>
        <v>788536</v>
      </c>
      <c r="B3142" t="str">
        <f>IFERROR(__xludf.DUMMYFUNCTION("""COMPUTED_VALUE"""),"Squash Spaghetti Cooked Made With Butter")</f>
        <v>Squash Spaghetti Cooked Made With Butter</v>
      </c>
      <c r="C3142" t="str">
        <f>IFERROR(__xludf.DUMMYFUNCTION("""COMPUTED_VALUE"""),"Vegetables")</f>
        <v>Vegetables</v>
      </c>
      <c r="D3142">
        <f>IFERROR(__xludf.DUMMYFUNCTION("""COMPUTED_VALUE"""),47.0)</f>
        <v>47</v>
      </c>
      <c r="E3142">
        <f>IFERROR(__xludf.DUMMYFUNCTION("""COMPUTED_VALUE"""),2.64)</f>
        <v>2.64</v>
      </c>
      <c r="F3142">
        <f>IFERROR(__xludf.DUMMYFUNCTION("""COMPUTED_VALUE"""),0.66)</f>
        <v>0.66</v>
      </c>
      <c r="G3142">
        <f>IFERROR(__xludf.DUMMYFUNCTION("""COMPUTED_VALUE"""),6.23)</f>
        <v>6.23</v>
      </c>
    </row>
    <row r="3143">
      <c r="A3143">
        <f>IFERROR(__xludf.DUMMYFUNCTION("""COMPUTED_VALUE"""),788537.0)</f>
        <v>788537</v>
      </c>
      <c r="B3143" t="str">
        <f>IFERROR(__xludf.DUMMYFUNCTION("""COMPUTED_VALUE"""),"Squash Spaghetti Cooked Made With Margarine")</f>
        <v>Squash Spaghetti Cooked Made With Margarine</v>
      </c>
      <c r="C3143" t="str">
        <f>IFERROR(__xludf.DUMMYFUNCTION("""COMPUTED_VALUE"""),"Vegetables")</f>
        <v>Vegetables</v>
      </c>
      <c r="D3143">
        <f>IFERROR(__xludf.DUMMYFUNCTION("""COMPUTED_VALUE"""),42.0)</f>
        <v>42</v>
      </c>
      <c r="E3143">
        <f>IFERROR(__xludf.DUMMYFUNCTION("""COMPUTED_VALUE"""),2.03)</f>
        <v>2.03</v>
      </c>
      <c r="F3143">
        <f>IFERROR(__xludf.DUMMYFUNCTION("""COMPUTED_VALUE"""),0.64)</f>
        <v>0.64</v>
      </c>
      <c r="G3143">
        <f>IFERROR(__xludf.DUMMYFUNCTION("""COMPUTED_VALUE"""),6.25)</f>
        <v>6.25</v>
      </c>
    </row>
    <row r="3144">
      <c r="A3144">
        <f>IFERROR(__xludf.DUMMYFUNCTION("""COMPUTED_VALUE"""),788538.0)</f>
        <v>788538</v>
      </c>
      <c r="B3144" t="str">
        <f>IFERROR(__xludf.DUMMYFUNCTION("""COMPUTED_VALUE"""),"Turnip Cooked Ns As To Form Ns As To Fat Added In Cooking")</f>
        <v>Turnip Cooked Ns As To Form Ns As To Fat Added In Cooking</v>
      </c>
      <c r="C3144" t="str">
        <f>IFERROR(__xludf.DUMMYFUNCTION("""COMPUTED_VALUE"""),"Vegetables")</f>
        <v>Vegetables</v>
      </c>
      <c r="D3144">
        <f>IFERROR(__xludf.DUMMYFUNCTION("""COMPUTED_VALUE"""),41.0)</f>
        <v>41</v>
      </c>
      <c r="E3144">
        <f>IFERROR(__xludf.DUMMYFUNCTION("""COMPUTED_VALUE"""),2.35)</f>
        <v>2.35</v>
      </c>
      <c r="F3144">
        <f>IFERROR(__xludf.DUMMYFUNCTION("""COMPUTED_VALUE"""),1.49)</f>
        <v>1.49</v>
      </c>
      <c r="G3144">
        <f>IFERROR(__xludf.DUMMYFUNCTION("""COMPUTED_VALUE"""),4.21)</f>
        <v>4.21</v>
      </c>
    </row>
    <row r="3145">
      <c r="A3145">
        <f>IFERROR(__xludf.DUMMYFUNCTION("""COMPUTED_VALUE"""),788539.0)</f>
        <v>788539</v>
      </c>
      <c r="B3145" t="str">
        <f>IFERROR(__xludf.DUMMYFUNCTION("""COMPUTED_VALUE"""),"Turnip Cooked From Fresh Ns As To Fat Added In Cooking")</f>
        <v>Turnip Cooked From Fresh Ns As To Fat Added In Cooking</v>
      </c>
      <c r="C3145" t="str">
        <f>IFERROR(__xludf.DUMMYFUNCTION("""COMPUTED_VALUE"""),"Vegetables")</f>
        <v>Vegetables</v>
      </c>
      <c r="D3145">
        <f>IFERROR(__xludf.DUMMYFUNCTION("""COMPUTED_VALUE"""),40.0)</f>
        <v>40</v>
      </c>
      <c r="E3145">
        <f>IFERROR(__xludf.DUMMYFUNCTION("""COMPUTED_VALUE"""),2.2)</f>
        <v>2.2</v>
      </c>
      <c r="F3145">
        <f>IFERROR(__xludf.DUMMYFUNCTION("""COMPUTED_VALUE"""),0.7)</f>
        <v>0.7</v>
      </c>
      <c r="G3145">
        <f>IFERROR(__xludf.DUMMYFUNCTION("""COMPUTED_VALUE"""),4.89)</f>
        <v>4.89</v>
      </c>
    </row>
    <row r="3146">
      <c r="A3146">
        <f>IFERROR(__xludf.DUMMYFUNCTION("""COMPUTED_VALUE"""),788540.0)</f>
        <v>788540</v>
      </c>
      <c r="B3146" t="str">
        <f>IFERROR(__xludf.DUMMYFUNCTION("""COMPUTED_VALUE"""),"Turnip Cooked From Frozen Ns As To Fat Added In Cooking")</f>
        <v>Turnip Cooked From Frozen Ns As To Fat Added In Cooking</v>
      </c>
      <c r="C3146" t="str">
        <f>IFERROR(__xludf.DUMMYFUNCTION("""COMPUTED_VALUE"""),"Vegetables")</f>
        <v>Vegetables</v>
      </c>
      <c r="D3146">
        <f>IFERROR(__xludf.DUMMYFUNCTION("""COMPUTED_VALUE"""),41.0)</f>
        <v>41</v>
      </c>
      <c r="E3146">
        <f>IFERROR(__xludf.DUMMYFUNCTION("""COMPUTED_VALUE"""),2.35)</f>
        <v>2.35</v>
      </c>
      <c r="F3146">
        <f>IFERROR(__xludf.DUMMYFUNCTION("""COMPUTED_VALUE"""),1.49)</f>
        <v>1.49</v>
      </c>
      <c r="G3146">
        <f>IFERROR(__xludf.DUMMYFUNCTION("""COMPUTED_VALUE"""),4.21)</f>
        <v>4.21</v>
      </c>
    </row>
    <row r="3147">
      <c r="A3147">
        <f>IFERROR(__xludf.DUMMYFUNCTION("""COMPUTED_VALUE"""),788541.0)</f>
        <v>788541</v>
      </c>
      <c r="B3147" t="str">
        <f>IFERROR(__xludf.DUMMYFUNCTION("""COMPUTED_VALUE"""),"Turnip Cooked From Canned Ns As To Fat Added In Cooking")</f>
        <v>Turnip Cooked From Canned Ns As To Fat Added In Cooking</v>
      </c>
      <c r="C3147" t="str">
        <f>IFERROR(__xludf.DUMMYFUNCTION("""COMPUTED_VALUE"""),"Vegetables")</f>
        <v>Vegetables</v>
      </c>
      <c r="D3147">
        <f>IFERROR(__xludf.DUMMYFUNCTION("""COMPUTED_VALUE"""),41.0)</f>
        <v>41</v>
      </c>
      <c r="E3147">
        <f>IFERROR(__xludf.DUMMYFUNCTION("""COMPUTED_VALUE"""),2.35)</f>
        <v>2.35</v>
      </c>
      <c r="F3147">
        <f>IFERROR(__xludf.DUMMYFUNCTION("""COMPUTED_VALUE"""),1.49)</f>
        <v>1.49</v>
      </c>
      <c r="G3147">
        <f>IFERROR(__xludf.DUMMYFUNCTION("""COMPUTED_VALUE"""),4.21)</f>
        <v>4.21</v>
      </c>
    </row>
    <row r="3148">
      <c r="A3148">
        <f>IFERROR(__xludf.DUMMYFUNCTION("""COMPUTED_VALUE"""),788542.0)</f>
        <v>788542</v>
      </c>
      <c r="B3148" t="str">
        <f>IFERROR(__xludf.DUMMYFUNCTION("""COMPUTED_VALUE"""),"Turnip Cooked Ns As To Form Fat Not Added In Cooking")</f>
        <v>Turnip Cooked Ns As To Form Fat Not Added In Cooking</v>
      </c>
      <c r="C3148" t="str">
        <f>IFERROR(__xludf.DUMMYFUNCTION("""COMPUTED_VALUE"""),"Vegetables")</f>
        <v>Vegetables</v>
      </c>
      <c r="D3148">
        <f>IFERROR(__xludf.DUMMYFUNCTION("""COMPUTED_VALUE"""),23.0)</f>
        <v>23</v>
      </c>
      <c r="E3148">
        <f>IFERROR(__xludf.DUMMYFUNCTION("""COMPUTED_VALUE"""),0.24)</f>
        <v>0.24</v>
      </c>
      <c r="F3148">
        <f>IFERROR(__xludf.DUMMYFUNCTION("""COMPUTED_VALUE"""),1.52)</f>
        <v>1.52</v>
      </c>
      <c r="G3148">
        <f>IFERROR(__xludf.DUMMYFUNCTION("""COMPUTED_VALUE"""),4.32)</f>
        <v>4.32</v>
      </c>
    </row>
    <row r="3149">
      <c r="A3149">
        <f>IFERROR(__xludf.DUMMYFUNCTION("""COMPUTED_VALUE"""),788543.0)</f>
        <v>788543</v>
      </c>
      <c r="B3149" t="str">
        <f>IFERROR(__xludf.DUMMYFUNCTION("""COMPUTED_VALUE"""),"Turnip Cooked From Fresh Fat Not Added In Cooking")</f>
        <v>Turnip Cooked From Fresh Fat Not Added In Cooking</v>
      </c>
      <c r="C3149" t="str">
        <f>IFERROR(__xludf.DUMMYFUNCTION("""COMPUTED_VALUE"""),"Vegetables")</f>
        <v>Vegetables</v>
      </c>
      <c r="D3149">
        <f>IFERROR(__xludf.DUMMYFUNCTION("""COMPUTED_VALUE"""),22.0)</f>
        <v>22</v>
      </c>
      <c r="E3149">
        <f>IFERROR(__xludf.DUMMYFUNCTION("""COMPUTED_VALUE"""),0.08)</f>
        <v>0.08</v>
      </c>
      <c r="F3149">
        <f>IFERROR(__xludf.DUMMYFUNCTION("""COMPUTED_VALUE"""),0.7)</f>
        <v>0.7</v>
      </c>
      <c r="G3149">
        <f>IFERROR(__xludf.DUMMYFUNCTION("""COMPUTED_VALUE"""),5.03)</f>
        <v>5.03</v>
      </c>
    </row>
    <row r="3150">
      <c r="A3150">
        <f>IFERROR(__xludf.DUMMYFUNCTION("""COMPUTED_VALUE"""),788544.0)</f>
        <v>788544</v>
      </c>
      <c r="B3150" t="str">
        <f>IFERROR(__xludf.DUMMYFUNCTION("""COMPUTED_VALUE"""),"Turnip Cooked From Frozen Fat Not Added In Cooking")</f>
        <v>Turnip Cooked From Frozen Fat Not Added In Cooking</v>
      </c>
      <c r="C3150" t="str">
        <f>IFERROR(__xludf.DUMMYFUNCTION("""COMPUTED_VALUE"""),"Vegetables")</f>
        <v>Vegetables</v>
      </c>
      <c r="D3150">
        <f>IFERROR(__xludf.DUMMYFUNCTION("""COMPUTED_VALUE"""),23.0)</f>
        <v>23</v>
      </c>
      <c r="E3150">
        <f>IFERROR(__xludf.DUMMYFUNCTION("""COMPUTED_VALUE"""),0.24)</f>
        <v>0.24</v>
      </c>
      <c r="F3150">
        <f>IFERROR(__xludf.DUMMYFUNCTION("""COMPUTED_VALUE"""),1.52)</f>
        <v>1.52</v>
      </c>
      <c r="G3150">
        <f>IFERROR(__xludf.DUMMYFUNCTION("""COMPUTED_VALUE"""),4.32)</f>
        <v>4.32</v>
      </c>
    </row>
    <row r="3151">
      <c r="A3151">
        <f>IFERROR(__xludf.DUMMYFUNCTION("""COMPUTED_VALUE"""),788545.0)</f>
        <v>788545</v>
      </c>
      <c r="B3151" t="str">
        <f>IFERROR(__xludf.DUMMYFUNCTION("""COMPUTED_VALUE"""),"Turnip Cooked From Canned Fat Not Added In Cooking")</f>
        <v>Turnip Cooked From Canned Fat Not Added In Cooking</v>
      </c>
      <c r="C3151" t="str">
        <f>IFERROR(__xludf.DUMMYFUNCTION("""COMPUTED_VALUE"""),"Vegetables")</f>
        <v>Vegetables</v>
      </c>
      <c r="D3151">
        <f>IFERROR(__xludf.DUMMYFUNCTION("""COMPUTED_VALUE"""),22.0)</f>
        <v>22</v>
      </c>
      <c r="E3151">
        <f>IFERROR(__xludf.DUMMYFUNCTION("""COMPUTED_VALUE"""),0.08)</f>
        <v>0.08</v>
      </c>
      <c r="F3151">
        <f>IFERROR(__xludf.DUMMYFUNCTION("""COMPUTED_VALUE"""),0.7)</f>
        <v>0.7</v>
      </c>
      <c r="G3151">
        <f>IFERROR(__xludf.DUMMYFUNCTION("""COMPUTED_VALUE"""),5.03)</f>
        <v>5.03</v>
      </c>
    </row>
    <row r="3152">
      <c r="A3152">
        <f>IFERROR(__xludf.DUMMYFUNCTION("""COMPUTED_VALUE"""),788546.0)</f>
        <v>788546</v>
      </c>
      <c r="B3152" t="str">
        <f>IFERROR(__xludf.DUMMYFUNCTION("""COMPUTED_VALUE"""),"Turnip Cooked Ns As To Form Fat Added In Cooking Ns As To Type Of Fat")</f>
        <v>Turnip Cooked Ns As To Form Fat Added In Cooking Ns As To Type Of Fat</v>
      </c>
      <c r="C3152" t="str">
        <f>IFERROR(__xludf.DUMMYFUNCTION("""COMPUTED_VALUE"""),"Vegetables")</f>
        <v>Vegetables</v>
      </c>
      <c r="D3152">
        <f>IFERROR(__xludf.DUMMYFUNCTION("""COMPUTED_VALUE"""),41.0)</f>
        <v>41</v>
      </c>
      <c r="E3152">
        <f>IFERROR(__xludf.DUMMYFUNCTION("""COMPUTED_VALUE"""),2.35)</f>
        <v>2.35</v>
      </c>
      <c r="F3152">
        <f>IFERROR(__xludf.DUMMYFUNCTION("""COMPUTED_VALUE"""),1.49)</f>
        <v>1.49</v>
      </c>
      <c r="G3152">
        <f>IFERROR(__xludf.DUMMYFUNCTION("""COMPUTED_VALUE"""),4.21)</f>
        <v>4.21</v>
      </c>
    </row>
    <row r="3153">
      <c r="A3153">
        <f>IFERROR(__xludf.DUMMYFUNCTION("""COMPUTED_VALUE"""),788547.0)</f>
        <v>788547</v>
      </c>
      <c r="B3153" t="str">
        <f>IFERROR(__xludf.DUMMYFUNCTION("""COMPUTED_VALUE"""),"Turnip Cooked From Fresh Fat Added In Cooking Ns As To Type Of Fat")</f>
        <v>Turnip Cooked From Fresh Fat Added In Cooking Ns As To Type Of Fat</v>
      </c>
      <c r="C3153" t="str">
        <f>IFERROR(__xludf.DUMMYFUNCTION("""COMPUTED_VALUE"""),"Vegetables")</f>
        <v>Vegetables</v>
      </c>
      <c r="D3153">
        <f>IFERROR(__xludf.DUMMYFUNCTION("""COMPUTED_VALUE"""),40.0)</f>
        <v>40</v>
      </c>
      <c r="E3153">
        <f>IFERROR(__xludf.DUMMYFUNCTION("""COMPUTED_VALUE"""),2.2)</f>
        <v>2.2</v>
      </c>
      <c r="F3153">
        <f>IFERROR(__xludf.DUMMYFUNCTION("""COMPUTED_VALUE"""),0.7)</f>
        <v>0.7</v>
      </c>
      <c r="G3153">
        <f>IFERROR(__xludf.DUMMYFUNCTION("""COMPUTED_VALUE"""),4.89)</f>
        <v>4.89</v>
      </c>
    </row>
    <row r="3154">
      <c r="A3154">
        <f>IFERROR(__xludf.DUMMYFUNCTION("""COMPUTED_VALUE"""),788548.0)</f>
        <v>788548</v>
      </c>
      <c r="B3154" t="str">
        <f>IFERROR(__xludf.DUMMYFUNCTION("""COMPUTED_VALUE"""),"Turnip Cooked From Frozen Fat Added In Cooking Ns As To Type Of Fat")</f>
        <v>Turnip Cooked From Frozen Fat Added In Cooking Ns As To Type Of Fat</v>
      </c>
      <c r="C3154" t="str">
        <f>IFERROR(__xludf.DUMMYFUNCTION("""COMPUTED_VALUE"""),"Vegetables")</f>
        <v>Vegetables</v>
      </c>
      <c r="D3154">
        <f>IFERROR(__xludf.DUMMYFUNCTION("""COMPUTED_VALUE"""),41.0)</f>
        <v>41</v>
      </c>
      <c r="E3154">
        <f>IFERROR(__xludf.DUMMYFUNCTION("""COMPUTED_VALUE"""),2.35)</f>
        <v>2.35</v>
      </c>
      <c r="F3154">
        <f>IFERROR(__xludf.DUMMYFUNCTION("""COMPUTED_VALUE"""),1.49)</f>
        <v>1.49</v>
      </c>
      <c r="G3154">
        <f>IFERROR(__xludf.DUMMYFUNCTION("""COMPUTED_VALUE"""),4.21)</f>
        <v>4.21</v>
      </c>
    </row>
    <row r="3155">
      <c r="A3155">
        <f>IFERROR(__xludf.DUMMYFUNCTION("""COMPUTED_VALUE"""),788549.0)</f>
        <v>788549</v>
      </c>
      <c r="B3155" t="str">
        <f>IFERROR(__xludf.DUMMYFUNCTION("""COMPUTED_VALUE"""),"Turnip Cooked From Canned Fat Added In Cooking Ns As To Type Of Fat")</f>
        <v>Turnip Cooked From Canned Fat Added In Cooking Ns As To Type Of Fat</v>
      </c>
      <c r="C3155" t="str">
        <f>IFERROR(__xludf.DUMMYFUNCTION("""COMPUTED_VALUE"""),"Vegetables")</f>
        <v>Vegetables</v>
      </c>
      <c r="D3155">
        <f>IFERROR(__xludf.DUMMYFUNCTION("""COMPUTED_VALUE"""),40.0)</f>
        <v>40</v>
      </c>
      <c r="E3155">
        <f>IFERROR(__xludf.DUMMYFUNCTION("""COMPUTED_VALUE"""),2.2)</f>
        <v>2.2</v>
      </c>
      <c r="F3155">
        <f>IFERROR(__xludf.DUMMYFUNCTION("""COMPUTED_VALUE"""),0.7)</f>
        <v>0.7</v>
      </c>
      <c r="G3155">
        <f>IFERROR(__xludf.DUMMYFUNCTION("""COMPUTED_VALUE"""),4.89)</f>
        <v>4.89</v>
      </c>
    </row>
    <row r="3156">
      <c r="A3156">
        <f>IFERROR(__xludf.DUMMYFUNCTION("""COMPUTED_VALUE"""),788550.0)</f>
        <v>788550</v>
      </c>
      <c r="B3156" t="str">
        <f>IFERROR(__xludf.DUMMYFUNCTION("""COMPUTED_VALUE"""),"Turnip Cooked From Canned Made With Oil")</f>
        <v>Turnip Cooked From Canned Made With Oil</v>
      </c>
      <c r="C3156" t="str">
        <f>IFERROR(__xludf.DUMMYFUNCTION("""COMPUTED_VALUE"""),"Vegetables")</f>
        <v>Vegetables</v>
      </c>
      <c r="D3156">
        <f>IFERROR(__xludf.DUMMYFUNCTION("""COMPUTED_VALUE"""),46.0)</f>
        <v>46</v>
      </c>
      <c r="E3156">
        <f>IFERROR(__xludf.DUMMYFUNCTION("""COMPUTED_VALUE"""),2.82)</f>
        <v>2.82</v>
      </c>
      <c r="F3156">
        <f>IFERROR(__xludf.DUMMYFUNCTION("""COMPUTED_VALUE"""),0.69)</f>
        <v>0.69</v>
      </c>
      <c r="G3156">
        <f>IFERROR(__xludf.DUMMYFUNCTION("""COMPUTED_VALUE"""),4.89)</f>
        <v>4.89</v>
      </c>
    </row>
    <row r="3157">
      <c r="A3157">
        <f>IFERROR(__xludf.DUMMYFUNCTION("""COMPUTED_VALUE"""),788551.0)</f>
        <v>788551</v>
      </c>
      <c r="B3157" t="str">
        <f>IFERROR(__xludf.DUMMYFUNCTION("""COMPUTED_VALUE"""),"Turnip Cooked From Canned Made With Butter")</f>
        <v>Turnip Cooked From Canned Made With Butter</v>
      </c>
      <c r="C3157" t="str">
        <f>IFERROR(__xludf.DUMMYFUNCTION("""COMPUTED_VALUE"""),"Vegetables")</f>
        <v>Vegetables</v>
      </c>
      <c r="D3157">
        <f>IFERROR(__xludf.DUMMYFUNCTION("""COMPUTED_VALUE"""),42.0)</f>
        <v>42</v>
      </c>
      <c r="E3157">
        <f>IFERROR(__xludf.DUMMYFUNCTION("""COMPUTED_VALUE"""),2.39)</f>
        <v>2.39</v>
      </c>
      <c r="F3157">
        <f>IFERROR(__xludf.DUMMYFUNCTION("""COMPUTED_VALUE"""),0.71)</f>
        <v>0.71</v>
      </c>
      <c r="G3157">
        <f>IFERROR(__xludf.DUMMYFUNCTION("""COMPUTED_VALUE"""),4.89)</f>
        <v>4.89</v>
      </c>
    </row>
    <row r="3158">
      <c r="A3158">
        <f>IFERROR(__xludf.DUMMYFUNCTION("""COMPUTED_VALUE"""),788552.0)</f>
        <v>788552</v>
      </c>
      <c r="B3158" t="str">
        <f>IFERROR(__xludf.DUMMYFUNCTION("""COMPUTED_VALUE"""),"Turnip Cooked From Canned Made With Margarine")</f>
        <v>Turnip Cooked From Canned Made With Margarine</v>
      </c>
      <c r="C3158" t="str">
        <f>IFERROR(__xludf.DUMMYFUNCTION("""COMPUTED_VALUE"""),"Vegetables")</f>
        <v>Vegetables</v>
      </c>
      <c r="D3158">
        <f>IFERROR(__xludf.DUMMYFUNCTION("""COMPUTED_VALUE"""),37.0)</f>
        <v>37</v>
      </c>
      <c r="E3158">
        <f>IFERROR(__xludf.DUMMYFUNCTION("""COMPUTED_VALUE"""),1.8)</f>
        <v>1.8</v>
      </c>
      <c r="F3158">
        <f>IFERROR(__xludf.DUMMYFUNCTION("""COMPUTED_VALUE"""),0.69)</f>
        <v>0.69</v>
      </c>
      <c r="G3158">
        <f>IFERROR(__xludf.DUMMYFUNCTION("""COMPUTED_VALUE"""),4.91)</f>
        <v>4.91</v>
      </c>
    </row>
    <row r="3159">
      <c r="A3159">
        <f>IFERROR(__xludf.DUMMYFUNCTION("""COMPUTED_VALUE"""),788553.0)</f>
        <v>788553</v>
      </c>
      <c r="B3159" t="str">
        <f>IFERROR(__xludf.DUMMYFUNCTION("""COMPUTED_VALUE"""),"Turnip Cooked From Fresh Made With Oil")</f>
        <v>Turnip Cooked From Fresh Made With Oil</v>
      </c>
      <c r="C3159" t="str">
        <f>IFERROR(__xludf.DUMMYFUNCTION("""COMPUTED_VALUE"""),"Vegetables")</f>
        <v>Vegetables</v>
      </c>
      <c r="D3159">
        <f>IFERROR(__xludf.DUMMYFUNCTION("""COMPUTED_VALUE"""),46.0)</f>
        <v>46</v>
      </c>
      <c r="E3159">
        <f>IFERROR(__xludf.DUMMYFUNCTION("""COMPUTED_VALUE"""),2.89)</f>
        <v>2.89</v>
      </c>
      <c r="F3159">
        <f>IFERROR(__xludf.DUMMYFUNCTION("""COMPUTED_VALUE"""),0.69)</f>
        <v>0.69</v>
      </c>
      <c r="G3159">
        <f>IFERROR(__xludf.DUMMYFUNCTION("""COMPUTED_VALUE"""),4.89)</f>
        <v>4.89</v>
      </c>
    </row>
    <row r="3160">
      <c r="A3160">
        <f>IFERROR(__xludf.DUMMYFUNCTION("""COMPUTED_VALUE"""),788554.0)</f>
        <v>788554</v>
      </c>
      <c r="B3160" t="str">
        <f>IFERROR(__xludf.DUMMYFUNCTION("""COMPUTED_VALUE"""),"Turnip Cooked From Fresh Made With Butter")</f>
        <v>Turnip Cooked From Fresh Made With Butter</v>
      </c>
      <c r="C3160" t="str">
        <f>IFERROR(__xludf.DUMMYFUNCTION("""COMPUTED_VALUE"""),"Vegetables")</f>
        <v>Vegetables</v>
      </c>
      <c r="D3160">
        <f>IFERROR(__xludf.DUMMYFUNCTION("""COMPUTED_VALUE"""),42.0)</f>
        <v>42</v>
      </c>
      <c r="E3160">
        <f>IFERROR(__xludf.DUMMYFUNCTION("""COMPUTED_VALUE"""),2.45)</f>
        <v>2.45</v>
      </c>
      <c r="F3160">
        <f>IFERROR(__xludf.DUMMYFUNCTION("""COMPUTED_VALUE"""),0.71)</f>
        <v>0.71</v>
      </c>
      <c r="G3160">
        <f>IFERROR(__xludf.DUMMYFUNCTION("""COMPUTED_VALUE"""),4.88)</f>
        <v>4.88</v>
      </c>
    </row>
    <row r="3161">
      <c r="A3161">
        <f>IFERROR(__xludf.DUMMYFUNCTION("""COMPUTED_VALUE"""),788555.0)</f>
        <v>788555</v>
      </c>
      <c r="B3161" t="str">
        <f>IFERROR(__xludf.DUMMYFUNCTION("""COMPUTED_VALUE"""),"Turnip Cooked From Fresh Made With Margarine")</f>
        <v>Turnip Cooked From Fresh Made With Margarine</v>
      </c>
      <c r="C3161" t="str">
        <f>IFERROR(__xludf.DUMMYFUNCTION("""COMPUTED_VALUE"""),"Vegetables")</f>
        <v>Vegetables</v>
      </c>
      <c r="D3161">
        <f>IFERROR(__xludf.DUMMYFUNCTION("""COMPUTED_VALUE"""),37.0)</f>
        <v>37</v>
      </c>
      <c r="E3161">
        <f>IFERROR(__xludf.DUMMYFUNCTION("""COMPUTED_VALUE"""),1.84)</f>
        <v>1.84</v>
      </c>
      <c r="F3161">
        <f>IFERROR(__xludf.DUMMYFUNCTION("""COMPUTED_VALUE"""),0.69)</f>
        <v>0.69</v>
      </c>
      <c r="G3161">
        <f>IFERROR(__xludf.DUMMYFUNCTION("""COMPUTED_VALUE"""),4.9)</f>
        <v>4.9</v>
      </c>
    </row>
    <row r="3162">
      <c r="A3162">
        <f>IFERROR(__xludf.DUMMYFUNCTION("""COMPUTED_VALUE"""),788556.0)</f>
        <v>788556</v>
      </c>
      <c r="B3162" t="str">
        <f>IFERROR(__xludf.DUMMYFUNCTION("""COMPUTED_VALUE"""),"Turnip Cooked From Frozen Made With Oil")</f>
        <v>Turnip Cooked From Frozen Made With Oil</v>
      </c>
      <c r="C3162" t="str">
        <f>IFERROR(__xludf.DUMMYFUNCTION("""COMPUTED_VALUE"""),"Vegetables")</f>
        <v>Vegetables</v>
      </c>
      <c r="D3162">
        <f>IFERROR(__xludf.DUMMYFUNCTION("""COMPUTED_VALUE"""),47.0)</f>
        <v>47</v>
      </c>
      <c r="E3162">
        <f>IFERROR(__xludf.DUMMYFUNCTION("""COMPUTED_VALUE"""),2.98)</f>
        <v>2.98</v>
      </c>
      <c r="F3162">
        <f>IFERROR(__xludf.DUMMYFUNCTION("""COMPUTED_VALUE"""),1.48)</f>
        <v>1.48</v>
      </c>
      <c r="G3162">
        <f>IFERROR(__xludf.DUMMYFUNCTION("""COMPUTED_VALUE"""),4.2)</f>
        <v>4.2</v>
      </c>
    </row>
    <row r="3163">
      <c r="A3163">
        <f>IFERROR(__xludf.DUMMYFUNCTION("""COMPUTED_VALUE"""),788557.0)</f>
        <v>788557</v>
      </c>
      <c r="B3163" t="str">
        <f>IFERROR(__xludf.DUMMYFUNCTION("""COMPUTED_VALUE"""),"Turnip Cooked From Frozen Made With Butter")</f>
        <v>Turnip Cooked From Frozen Made With Butter</v>
      </c>
      <c r="C3163" t="str">
        <f>IFERROR(__xludf.DUMMYFUNCTION("""COMPUTED_VALUE"""),"Vegetables")</f>
        <v>Vegetables</v>
      </c>
      <c r="D3163">
        <f>IFERROR(__xludf.DUMMYFUNCTION("""COMPUTED_VALUE"""),43.0)</f>
        <v>43</v>
      </c>
      <c r="E3163">
        <f>IFERROR(__xludf.DUMMYFUNCTION("""COMPUTED_VALUE"""),2.6)</f>
        <v>2.6</v>
      </c>
      <c r="F3163">
        <f>IFERROR(__xludf.DUMMYFUNCTION("""COMPUTED_VALUE"""),1.5)</f>
        <v>1.5</v>
      </c>
      <c r="G3163">
        <f>IFERROR(__xludf.DUMMYFUNCTION("""COMPUTED_VALUE"""),4.2)</f>
        <v>4.2</v>
      </c>
    </row>
    <row r="3164">
      <c r="A3164">
        <f>IFERROR(__xludf.DUMMYFUNCTION("""COMPUTED_VALUE"""),788558.0)</f>
        <v>788558</v>
      </c>
      <c r="B3164" t="str">
        <f>IFERROR(__xludf.DUMMYFUNCTION("""COMPUTED_VALUE"""),"Turnip Cooked From Frozen Made With Margarine")</f>
        <v>Turnip Cooked From Frozen Made With Margarine</v>
      </c>
      <c r="C3164" t="str">
        <f>IFERROR(__xludf.DUMMYFUNCTION("""COMPUTED_VALUE"""),"Vegetables")</f>
        <v>Vegetables</v>
      </c>
      <c r="D3164">
        <f>IFERROR(__xludf.DUMMYFUNCTION("""COMPUTED_VALUE"""),38.0)</f>
        <v>38</v>
      </c>
      <c r="E3164">
        <f>IFERROR(__xludf.DUMMYFUNCTION("""COMPUTED_VALUE"""),2.0)</f>
        <v>2</v>
      </c>
      <c r="F3164">
        <f>IFERROR(__xludf.DUMMYFUNCTION("""COMPUTED_VALUE"""),1.48)</f>
        <v>1.48</v>
      </c>
      <c r="G3164">
        <f>IFERROR(__xludf.DUMMYFUNCTION("""COMPUTED_VALUE"""),4.22)</f>
        <v>4.22</v>
      </c>
    </row>
    <row r="3165">
      <c r="A3165">
        <f>IFERROR(__xludf.DUMMYFUNCTION("""COMPUTED_VALUE"""),788559.0)</f>
        <v>788559</v>
      </c>
      <c r="B3165" t="str">
        <f>IFERROR(__xludf.DUMMYFUNCTION("""COMPUTED_VALUE"""),"Turnip Cooked Ns As To Form Made With Oil")</f>
        <v>Turnip Cooked Ns As To Form Made With Oil</v>
      </c>
      <c r="C3165" t="str">
        <f>IFERROR(__xludf.DUMMYFUNCTION("""COMPUTED_VALUE"""),"Vegetables")</f>
        <v>Vegetables</v>
      </c>
      <c r="D3165">
        <f>IFERROR(__xludf.DUMMYFUNCTION("""COMPUTED_VALUE"""),47.0)</f>
        <v>47</v>
      </c>
      <c r="E3165">
        <f>IFERROR(__xludf.DUMMYFUNCTION("""COMPUTED_VALUE"""),3.04)</f>
        <v>3.04</v>
      </c>
      <c r="F3165">
        <f>IFERROR(__xludf.DUMMYFUNCTION("""COMPUTED_VALUE"""),1.48)</f>
        <v>1.48</v>
      </c>
      <c r="G3165">
        <f>IFERROR(__xludf.DUMMYFUNCTION("""COMPUTED_VALUE"""),4.2)</f>
        <v>4.2</v>
      </c>
    </row>
    <row r="3166">
      <c r="A3166">
        <f>IFERROR(__xludf.DUMMYFUNCTION("""COMPUTED_VALUE"""),788560.0)</f>
        <v>788560</v>
      </c>
      <c r="B3166" t="str">
        <f>IFERROR(__xludf.DUMMYFUNCTION("""COMPUTED_VALUE"""),"Turnip Cooked Ns As To Form Made With Butter")</f>
        <v>Turnip Cooked Ns As To Form Made With Butter</v>
      </c>
      <c r="C3166" t="str">
        <f>IFERROR(__xludf.DUMMYFUNCTION("""COMPUTED_VALUE"""),"Vegetables")</f>
        <v>Vegetables</v>
      </c>
      <c r="D3166">
        <f>IFERROR(__xludf.DUMMYFUNCTION("""COMPUTED_VALUE"""),43.0)</f>
        <v>43</v>
      </c>
      <c r="E3166">
        <f>IFERROR(__xludf.DUMMYFUNCTION("""COMPUTED_VALUE"""),2.6)</f>
        <v>2.6</v>
      </c>
      <c r="F3166">
        <f>IFERROR(__xludf.DUMMYFUNCTION("""COMPUTED_VALUE"""),1.5)</f>
        <v>1.5</v>
      </c>
      <c r="G3166">
        <f>IFERROR(__xludf.DUMMYFUNCTION("""COMPUTED_VALUE"""),4.2)</f>
        <v>4.2</v>
      </c>
    </row>
    <row r="3167">
      <c r="A3167">
        <f>IFERROR(__xludf.DUMMYFUNCTION("""COMPUTED_VALUE"""),788561.0)</f>
        <v>788561</v>
      </c>
      <c r="B3167" t="str">
        <f>IFERROR(__xludf.DUMMYFUNCTION("""COMPUTED_VALUE"""),"Turnip Cooked Ns As To Form Made With Margarine")</f>
        <v>Turnip Cooked Ns As To Form Made With Margarine</v>
      </c>
      <c r="C3167" t="str">
        <f>IFERROR(__xludf.DUMMYFUNCTION("""COMPUTED_VALUE"""),"Vegetables")</f>
        <v>Vegetables</v>
      </c>
      <c r="D3167">
        <f>IFERROR(__xludf.DUMMYFUNCTION("""COMPUTED_VALUE"""),38.0)</f>
        <v>38</v>
      </c>
      <c r="E3167">
        <f>IFERROR(__xludf.DUMMYFUNCTION("""COMPUTED_VALUE"""),2.0)</f>
        <v>2</v>
      </c>
      <c r="F3167">
        <f>IFERROR(__xludf.DUMMYFUNCTION("""COMPUTED_VALUE"""),1.48)</f>
        <v>1.48</v>
      </c>
      <c r="G3167">
        <f>IFERROR(__xludf.DUMMYFUNCTION("""COMPUTED_VALUE"""),4.22)</f>
        <v>4.22</v>
      </c>
    </row>
    <row r="3168">
      <c r="A3168">
        <f>IFERROR(__xludf.DUMMYFUNCTION("""COMPUTED_VALUE"""),788562.0)</f>
        <v>788562</v>
      </c>
      <c r="B3168" t="str">
        <f>IFERROR(__xludf.DUMMYFUNCTION("""COMPUTED_VALUE"""),"Water Chestnut")</f>
        <v>Water Chestnut</v>
      </c>
      <c r="C3168" t="str">
        <f>IFERROR(__xludf.DUMMYFUNCTION("""COMPUTED_VALUE"""),"Vegetables")</f>
        <v>Vegetables</v>
      </c>
      <c r="D3168">
        <f>IFERROR(__xludf.DUMMYFUNCTION("""COMPUTED_VALUE"""),78.0)</f>
        <v>78</v>
      </c>
      <c r="E3168">
        <f>IFERROR(__xludf.DUMMYFUNCTION("""COMPUTED_VALUE"""),0.09)</f>
        <v>0.09</v>
      </c>
      <c r="F3168">
        <f>IFERROR(__xludf.DUMMYFUNCTION("""COMPUTED_VALUE"""),1.38)</f>
        <v>1.38</v>
      </c>
      <c r="G3168">
        <f>IFERROR(__xludf.DUMMYFUNCTION("""COMPUTED_VALUE"""),19.22)</f>
        <v>19.22</v>
      </c>
    </row>
    <row r="3169">
      <c r="A3169">
        <f>IFERROR(__xludf.DUMMYFUNCTION("""COMPUTED_VALUE"""),788563.0)</f>
        <v>788563</v>
      </c>
      <c r="B3169" t="str">
        <f>IFERROR(__xludf.DUMMYFUNCTION("""COMPUTED_VALUE"""),"Winter Melon Cooked")</f>
        <v>Winter Melon Cooked</v>
      </c>
      <c r="C3169" t="str">
        <f>IFERROR(__xludf.DUMMYFUNCTION("""COMPUTED_VALUE"""),"Vegetables")</f>
        <v>Vegetables</v>
      </c>
      <c r="D3169">
        <f>IFERROR(__xludf.DUMMYFUNCTION("""COMPUTED_VALUE"""),14.0)</f>
        <v>14</v>
      </c>
      <c r="E3169">
        <f>IFERROR(__xludf.DUMMYFUNCTION("""COMPUTED_VALUE"""),0.2)</f>
        <v>0.2</v>
      </c>
      <c r="F3169">
        <f>IFERROR(__xludf.DUMMYFUNCTION("""COMPUTED_VALUE"""),0.4)</f>
        <v>0.4</v>
      </c>
      <c r="G3169">
        <f>IFERROR(__xludf.DUMMYFUNCTION("""COMPUTED_VALUE"""),3.02)</f>
        <v>3.02</v>
      </c>
    </row>
    <row r="3170">
      <c r="A3170">
        <f>IFERROR(__xludf.DUMMYFUNCTION("""COMPUTED_VALUE"""),788566.0)</f>
        <v>788566</v>
      </c>
      <c r="B3170" t="str">
        <f>IFERROR(__xludf.DUMMYFUNCTION("""COMPUTED_VALUE"""),"Beans Lima And Corn Cooked Ns As To Fat Added In Cooking")</f>
        <v>Beans Lima And Corn Cooked Ns As To Fat Added In Cooking</v>
      </c>
      <c r="C3170" t="str">
        <f>IFERROR(__xludf.DUMMYFUNCTION("""COMPUTED_VALUE"""),"Vegetables")</f>
        <v>Vegetables</v>
      </c>
      <c r="D3170">
        <f>IFERROR(__xludf.DUMMYFUNCTION("""COMPUTED_VALUE"""),107.0)</f>
        <v>107</v>
      </c>
      <c r="E3170">
        <f>IFERROR(__xludf.DUMMYFUNCTION("""COMPUTED_VALUE"""),2.81)</f>
        <v>2.81</v>
      </c>
      <c r="F3170">
        <f>IFERROR(__xludf.DUMMYFUNCTION("""COMPUTED_VALUE"""),4.18)</f>
        <v>4.18</v>
      </c>
      <c r="G3170">
        <f>IFERROR(__xludf.DUMMYFUNCTION("""COMPUTED_VALUE"""),19.31)</f>
        <v>19.31</v>
      </c>
    </row>
    <row r="3171">
      <c r="A3171">
        <f>IFERROR(__xludf.DUMMYFUNCTION("""COMPUTED_VALUE"""),788567.0)</f>
        <v>788567</v>
      </c>
      <c r="B3171" t="str">
        <f>IFERROR(__xludf.DUMMYFUNCTION("""COMPUTED_VALUE"""),"Beans Lima And Corn Cooked Fat Not Added In Cooking")</f>
        <v>Beans Lima And Corn Cooked Fat Not Added In Cooking</v>
      </c>
      <c r="C3171" t="str">
        <f>IFERROR(__xludf.DUMMYFUNCTION("""COMPUTED_VALUE"""),"Vegetables")</f>
        <v>Vegetables</v>
      </c>
      <c r="D3171">
        <f>IFERROR(__xludf.DUMMYFUNCTION("""COMPUTED_VALUE"""),92.0)</f>
        <v>92</v>
      </c>
      <c r="E3171">
        <f>IFERROR(__xludf.DUMMYFUNCTION("""COMPUTED_VALUE"""),0.88)</f>
        <v>0.88</v>
      </c>
      <c r="F3171">
        <f>IFERROR(__xludf.DUMMYFUNCTION("""COMPUTED_VALUE"""),4.28)</f>
        <v>4.28</v>
      </c>
      <c r="G3171">
        <f>IFERROR(__xludf.DUMMYFUNCTION("""COMPUTED_VALUE"""),19.83)</f>
        <v>19.83</v>
      </c>
    </row>
    <row r="3172">
      <c r="A3172">
        <f>IFERROR(__xludf.DUMMYFUNCTION("""COMPUTED_VALUE"""),788568.0)</f>
        <v>788568</v>
      </c>
      <c r="B3172" t="str">
        <f>IFERROR(__xludf.DUMMYFUNCTION("""COMPUTED_VALUE"""),"Beans Lima And Corn Cooked Fat Added In Cooking Ns As To Type Of Fat")</f>
        <v>Beans Lima And Corn Cooked Fat Added In Cooking Ns As To Type Of Fat</v>
      </c>
      <c r="C3172" t="str">
        <f>IFERROR(__xludf.DUMMYFUNCTION("""COMPUTED_VALUE"""),"Vegetables")</f>
        <v>Vegetables</v>
      </c>
      <c r="D3172">
        <f>IFERROR(__xludf.DUMMYFUNCTION("""COMPUTED_VALUE"""),107.0)</f>
        <v>107</v>
      </c>
      <c r="E3172">
        <f>IFERROR(__xludf.DUMMYFUNCTION("""COMPUTED_VALUE"""),2.81)</f>
        <v>2.81</v>
      </c>
      <c r="F3172">
        <f>IFERROR(__xludf.DUMMYFUNCTION("""COMPUTED_VALUE"""),4.18)</f>
        <v>4.18</v>
      </c>
      <c r="G3172">
        <f>IFERROR(__xludf.DUMMYFUNCTION("""COMPUTED_VALUE"""),19.31)</f>
        <v>19.31</v>
      </c>
    </row>
    <row r="3173">
      <c r="A3173">
        <f>IFERROR(__xludf.DUMMYFUNCTION("""COMPUTED_VALUE"""),788569.0)</f>
        <v>788569</v>
      </c>
      <c r="B3173" t="str">
        <f>IFERROR(__xludf.DUMMYFUNCTION("""COMPUTED_VALUE"""),"Beans Lima And Corn Cooked Made With Oil")</f>
        <v>Beans Lima And Corn Cooked Made With Oil</v>
      </c>
      <c r="C3173" t="str">
        <f>IFERROR(__xludf.DUMMYFUNCTION("""COMPUTED_VALUE"""),"Vegetables")</f>
        <v>Vegetables</v>
      </c>
      <c r="D3173">
        <f>IFERROR(__xludf.DUMMYFUNCTION("""COMPUTED_VALUE"""),113.0)</f>
        <v>113</v>
      </c>
      <c r="E3173">
        <f>IFERROR(__xludf.DUMMYFUNCTION("""COMPUTED_VALUE"""),3.45)</f>
        <v>3.45</v>
      </c>
      <c r="F3173">
        <f>IFERROR(__xludf.DUMMYFUNCTION("""COMPUTED_VALUE"""),4.17)</f>
        <v>4.17</v>
      </c>
      <c r="G3173">
        <f>IFERROR(__xludf.DUMMYFUNCTION("""COMPUTED_VALUE"""),19.32)</f>
        <v>19.32</v>
      </c>
    </row>
    <row r="3174">
      <c r="A3174">
        <f>IFERROR(__xludf.DUMMYFUNCTION("""COMPUTED_VALUE"""),788570.0)</f>
        <v>788570</v>
      </c>
      <c r="B3174" t="str">
        <f>IFERROR(__xludf.DUMMYFUNCTION("""COMPUTED_VALUE"""),"Beans Lima And Corn Cooked Made With Butter")</f>
        <v>Beans Lima And Corn Cooked Made With Butter</v>
      </c>
      <c r="C3174" t="str">
        <f>IFERROR(__xludf.DUMMYFUNCTION("""COMPUTED_VALUE"""),"Vegetables")</f>
        <v>Vegetables</v>
      </c>
      <c r="D3174">
        <f>IFERROR(__xludf.DUMMYFUNCTION("""COMPUTED_VALUE"""),109.0)</f>
        <v>109</v>
      </c>
      <c r="E3174">
        <f>IFERROR(__xludf.DUMMYFUNCTION("""COMPUTED_VALUE"""),3.04)</f>
        <v>3.04</v>
      </c>
      <c r="F3174">
        <f>IFERROR(__xludf.DUMMYFUNCTION("""COMPUTED_VALUE"""),4.19)</f>
        <v>4.19</v>
      </c>
      <c r="G3174">
        <f>IFERROR(__xludf.DUMMYFUNCTION("""COMPUTED_VALUE"""),19.3)</f>
        <v>19.3</v>
      </c>
    </row>
    <row r="3175">
      <c r="A3175">
        <f>IFERROR(__xludf.DUMMYFUNCTION("""COMPUTED_VALUE"""),788571.0)</f>
        <v>788571</v>
      </c>
      <c r="B3175" t="str">
        <f>IFERROR(__xludf.DUMMYFUNCTION("""COMPUTED_VALUE"""),"Beans Lima And Corn Cooked Made With Margarine")</f>
        <v>Beans Lima And Corn Cooked Made With Margarine</v>
      </c>
      <c r="C3175" t="str">
        <f>IFERROR(__xludf.DUMMYFUNCTION("""COMPUTED_VALUE"""),"Vegetables")</f>
        <v>Vegetables</v>
      </c>
      <c r="D3175">
        <f>IFERROR(__xludf.DUMMYFUNCTION("""COMPUTED_VALUE"""),104.0)</f>
        <v>104</v>
      </c>
      <c r="E3175">
        <f>IFERROR(__xludf.DUMMYFUNCTION("""COMPUTED_VALUE"""),2.48)</f>
        <v>2.48</v>
      </c>
      <c r="F3175">
        <f>IFERROR(__xludf.DUMMYFUNCTION("""COMPUTED_VALUE"""),4.17)</f>
        <v>4.17</v>
      </c>
      <c r="G3175">
        <f>IFERROR(__xludf.DUMMYFUNCTION("""COMPUTED_VALUE"""),19.32)</f>
        <v>19.32</v>
      </c>
    </row>
    <row r="3176">
      <c r="A3176">
        <f>IFERROR(__xludf.DUMMYFUNCTION("""COMPUTED_VALUE"""),788572.0)</f>
        <v>788572</v>
      </c>
      <c r="B3176" t="str">
        <f>IFERROR(__xludf.DUMMYFUNCTION("""COMPUTED_VALUE"""),"Beans String Green With Tomatoes Cooked Ns As To Fat Added In Cooking")</f>
        <v>Beans String Green With Tomatoes Cooked Ns As To Fat Added In Cooking</v>
      </c>
      <c r="C3176" t="str">
        <f>IFERROR(__xludf.DUMMYFUNCTION("""COMPUTED_VALUE"""),"Vegetables")</f>
        <v>Vegetables</v>
      </c>
      <c r="D3176">
        <f>IFERROR(__xludf.DUMMYFUNCTION("""COMPUTED_VALUE"""),44.0)</f>
        <v>44</v>
      </c>
      <c r="E3176">
        <f>IFERROR(__xludf.DUMMYFUNCTION("""COMPUTED_VALUE"""),1.87)</f>
        <v>1.87</v>
      </c>
      <c r="F3176">
        <f>IFERROR(__xludf.DUMMYFUNCTION("""COMPUTED_VALUE"""),1.58)</f>
        <v>1.58</v>
      </c>
      <c r="G3176">
        <f>IFERROR(__xludf.DUMMYFUNCTION("""COMPUTED_VALUE"""),6.68)</f>
        <v>6.68</v>
      </c>
    </row>
    <row r="3177">
      <c r="A3177">
        <f>IFERROR(__xludf.DUMMYFUNCTION("""COMPUTED_VALUE"""),788573.0)</f>
        <v>788573</v>
      </c>
      <c r="B3177" t="str">
        <f>IFERROR(__xludf.DUMMYFUNCTION("""COMPUTED_VALUE"""),"Beans String Green With Tomatoes Cooked Fat Not Added In Cooking")</f>
        <v>Beans String Green With Tomatoes Cooked Fat Not Added In Cooking</v>
      </c>
      <c r="C3177" t="str">
        <f>IFERROR(__xludf.DUMMYFUNCTION("""COMPUTED_VALUE"""),"Vegetables")</f>
        <v>Vegetables</v>
      </c>
      <c r="D3177">
        <f>IFERROR(__xludf.DUMMYFUNCTION("""COMPUTED_VALUE"""),30.0)</f>
        <v>30</v>
      </c>
      <c r="E3177">
        <f>IFERROR(__xludf.DUMMYFUNCTION("""COMPUTED_VALUE"""),0.29)</f>
        <v>0.29</v>
      </c>
      <c r="F3177">
        <f>IFERROR(__xludf.DUMMYFUNCTION("""COMPUTED_VALUE"""),1.61)</f>
        <v>1.61</v>
      </c>
      <c r="G3177">
        <f>IFERROR(__xludf.DUMMYFUNCTION("""COMPUTED_VALUE"""),6.82)</f>
        <v>6.82</v>
      </c>
    </row>
    <row r="3178">
      <c r="A3178">
        <f>IFERROR(__xludf.DUMMYFUNCTION("""COMPUTED_VALUE"""),788574.0)</f>
        <v>788574</v>
      </c>
      <c r="B3178" t="str">
        <f>IFERROR(__xludf.DUMMYFUNCTION("""COMPUTED_VALUE"""),"Beans String Green With Tomatoes Cooked Fat Added In Cooking")</f>
        <v>Beans String Green With Tomatoes Cooked Fat Added In Cooking</v>
      </c>
      <c r="C3178" t="str">
        <f>IFERROR(__xludf.DUMMYFUNCTION("""COMPUTED_VALUE"""),"Vegetables")</f>
        <v>Vegetables</v>
      </c>
      <c r="D3178">
        <f>IFERROR(__xludf.DUMMYFUNCTION("""COMPUTED_VALUE"""),44.0)</f>
        <v>44</v>
      </c>
      <c r="E3178">
        <f>IFERROR(__xludf.DUMMYFUNCTION("""COMPUTED_VALUE"""),1.87)</f>
        <v>1.87</v>
      </c>
      <c r="F3178">
        <f>IFERROR(__xludf.DUMMYFUNCTION("""COMPUTED_VALUE"""),1.58)</f>
        <v>1.58</v>
      </c>
      <c r="G3178">
        <f>IFERROR(__xludf.DUMMYFUNCTION("""COMPUTED_VALUE"""),6.68)</f>
        <v>6.68</v>
      </c>
    </row>
    <row r="3179">
      <c r="A3179">
        <f>IFERROR(__xludf.DUMMYFUNCTION("""COMPUTED_VALUE"""),788575.0)</f>
        <v>788575</v>
      </c>
      <c r="B3179" t="str">
        <f>IFERROR(__xludf.DUMMYFUNCTION("""COMPUTED_VALUE"""),"Beans String Green With Chickpeas Cooked Ns As To Fat Added In Cooking")</f>
        <v>Beans String Green With Chickpeas Cooked Ns As To Fat Added In Cooking</v>
      </c>
      <c r="C3179" t="str">
        <f>IFERROR(__xludf.DUMMYFUNCTION("""COMPUTED_VALUE"""),"Vegetables")</f>
        <v>Vegetables</v>
      </c>
      <c r="D3179">
        <f>IFERROR(__xludf.DUMMYFUNCTION("""COMPUTED_VALUE"""),93.0)</f>
        <v>93</v>
      </c>
      <c r="E3179">
        <f>IFERROR(__xludf.DUMMYFUNCTION("""COMPUTED_VALUE"""),3.39)</f>
        <v>3.39</v>
      </c>
      <c r="F3179">
        <f>IFERROR(__xludf.DUMMYFUNCTION("""COMPUTED_VALUE"""),3.87)</f>
        <v>3.87</v>
      </c>
      <c r="G3179">
        <f>IFERROR(__xludf.DUMMYFUNCTION("""COMPUTED_VALUE"""),13.27)</f>
        <v>13.27</v>
      </c>
    </row>
    <row r="3180">
      <c r="A3180">
        <f>IFERROR(__xludf.DUMMYFUNCTION("""COMPUTED_VALUE"""),788576.0)</f>
        <v>788576</v>
      </c>
      <c r="B3180" t="str">
        <f>IFERROR(__xludf.DUMMYFUNCTION("""COMPUTED_VALUE"""),"Beans String Green With Chickpeas Cooked Fat Not Added In Cooking")</f>
        <v>Beans String Green With Chickpeas Cooked Fat Not Added In Cooking</v>
      </c>
      <c r="C3180" t="str">
        <f>IFERROR(__xludf.DUMMYFUNCTION("""COMPUTED_VALUE"""),"Vegetables")</f>
        <v>Vegetables</v>
      </c>
      <c r="D3180">
        <f>IFERROR(__xludf.DUMMYFUNCTION("""COMPUTED_VALUE"""),74.0)</f>
        <v>74</v>
      </c>
      <c r="E3180">
        <f>IFERROR(__xludf.DUMMYFUNCTION("""COMPUTED_VALUE"""),0.98)</f>
        <v>0.98</v>
      </c>
      <c r="F3180">
        <f>IFERROR(__xludf.DUMMYFUNCTION("""COMPUTED_VALUE"""),3.98)</f>
        <v>3.98</v>
      </c>
      <c r="G3180">
        <f>IFERROR(__xludf.DUMMYFUNCTION("""COMPUTED_VALUE"""),13.72)</f>
        <v>13.72</v>
      </c>
    </row>
    <row r="3181">
      <c r="A3181">
        <f>IFERROR(__xludf.DUMMYFUNCTION("""COMPUTED_VALUE"""),788577.0)</f>
        <v>788577</v>
      </c>
      <c r="B3181" t="str">
        <f>IFERROR(__xludf.DUMMYFUNCTION("""COMPUTED_VALUE"""),"Beans String Green With Chickpeas Cooked Fat Added In Cooking")</f>
        <v>Beans String Green With Chickpeas Cooked Fat Added In Cooking</v>
      </c>
      <c r="C3181" t="str">
        <f>IFERROR(__xludf.DUMMYFUNCTION("""COMPUTED_VALUE"""),"Vegetables")</f>
        <v>Vegetables</v>
      </c>
      <c r="D3181">
        <f>IFERROR(__xludf.DUMMYFUNCTION("""COMPUTED_VALUE"""),93.0)</f>
        <v>93</v>
      </c>
      <c r="E3181">
        <f>IFERROR(__xludf.DUMMYFUNCTION("""COMPUTED_VALUE"""),3.39)</f>
        <v>3.39</v>
      </c>
      <c r="F3181">
        <f>IFERROR(__xludf.DUMMYFUNCTION("""COMPUTED_VALUE"""),3.87)</f>
        <v>3.87</v>
      </c>
      <c r="G3181">
        <f>IFERROR(__xludf.DUMMYFUNCTION("""COMPUTED_VALUE"""),13.27)</f>
        <v>13.27</v>
      </c>
    </row>
    <row r="3182">
      <c r="A3182">
        <f>IFERROR(__xludf.DUMMYFUNCTION("""COMPUTED_VALUE"""),788578.0)</f>
        <v>788578</v>
      </c>
      <c r="B3182" t="str">
        <f>IFERROR(__xludf.DUMMYFUNCTION("""COMPUTED_VALUE"""),"Beans String Green With Almonds Cooked Ns As To Fat Added In Cooking")</f>
        <v>Beans String Green With Almonds Cooked Ns As To Fat Added In Cooking</v>
      </c>
      <c r="C3182" t="str">
        <f>IFERROR(__xludf.DUMMYFUNCTION("""COMPUTED_VALUE"""),"Vegetables")</f>
        <v>Vegetables</v>
      </c>
      <c r="D3182">
        <f>IFERROR(__xludf.DUMMYFUNCTION("""COMPUTED_VALUE"""),107.0)</f>
        <v>107</v>
      </c>
      <c r="E3182">
        <f>IFERROR(__xludf.DUMMYFUNCTION("""COMPUTED_VALUE"""),7.57)</f>
        <v>7.57</v>
      </c>
      <c r="F3182">
        <f>IFERROR(__xludf.DUMMYFUNCTION("""COMPUTED_VALUE"""),3.67)</f>
        <v>3.67</v>
      </c>
      <c r="G3182">
        <f>IFERROR(__xludf.DUMMYFUNCTION("""COMPUTED_VALUE"""),8.6)</f>
        <v>8.6</v>
      </c>
    </row>
    <row r="3183">
      <c r="A3183">
        <f>IFERROR(__xludf.DUMMYFUNCTION("""COMPUTED_VALUE"""),788579.0)</f>
        <v>788579</v>
      </c>
      <c r="B3183" t="str">
        <f>IFERROR(__xludf.DUMMYFUNCTION("""COMPUTED_VALUE"""),"Beans String Green With Almonds Cooked Fat Not Added In Cooking")</f>
        <v>Beans String Green With Almonds Cooked Fat Not Added In Cooking</v>
      </c>
      <c r="C3183" t="str">
        <f>IFERROR(__xludf.DUMMYFUNCTION("""COMPUTED_VALUE"""),"Vegetables")</f>
        <v>Vegetables</v>
      </c>
      <c r="D3183">
        <f>IFERROR(__xludf.DUMMYFUNCTION("""COMPUTED_VALUE"""),89.0)</f>
        <v>89</v>
      </c>
      <c r="E3183">
        <f>IFERROR(__xludf.DUMMYFUNCTION("""COMPUTED_VALUE"""),5.36)</f>
        <v>5.36</v>
      </c>
      <c r="F3183">
        <f>IFERROR(__xludf.DUMMYFUNCTION("""COMPUTED_VALUE"""),3.78)</f>
        <v>3.78</v>
      </c>
      <c r="G3183">
        <f>IFERROR(__xludf.DUMMYFUNCTION("""COMPUTED_VALUE"""),8.87)</f>
        <v>8.87</v>
      </c>
    </row>
    <row r="3184">
      <c r="A3184">
        <f>IFERROR(__xludf.DUMMYFUNCTION("""COMPUTED_VALUE"""),788580.0)</f>
        <v>788580</v>
      </c>
      <c r="B3184" t="str">
        <f>IFERROR(__xludf.DUMMYFUNCTION("""COMPUTED_VALUE"""),"Beans String Green With Almonds Cooked Fat Added In Cooking Ns As To Type Of Fat")</f>
        <v>Beans String Green With Almonds Cooked Fat Added In Cooking Ns As To Type Of Fat</v>
      </c>
      <c r="C3184" t="str">
        <f>IFERROR(__xludf.DUMMYFUNCTION("""COMPUTED_VALUE"""),"Vegetables")</f>
        <v>Vegetables</v>
      </c>
      <c r="D3184">
        <f>IFERROR(__xludf.DUMMYFUNCTION("""COMPUTED_VALUE"""),107.0)</f>
        <v>107</v>
      </c>
      <c r="E3184">
        <f>IFERROR(__xludf.DUMMYFUNCTION("""COMPUTED_VALUE"""),7.57)</f>
        <v>7.57</v>
      </c>
      <c r="F3184">
        <f>IFERROR(__xludf.DUMMYFUNCTION("""COMPUTED_VALUE"""),3.67)</f>
        <v>3.67</v>
      </c>
      <c r="G3184">
        <f>IFERROR(__xludf.DUMMYFUNCTION("""COMPUTED_VALUE"""),8.6)</f>
        <v>8.6</v>
      </c>
    </row>
    <row r="3185">
      <c r="A3185">
        <f>IFERROR(__xludf.DUMMYFUNCTION("""COMPUTED_VALUE"""),788581.0)</f>
        <v>788581</v>
      </c>
      <c r="B3185" t="str">
        <f>IFERROR(__xludf.DUMMYFUNCTION("""COMPUTED_VALUE"""),"Beans String Green With Almonds Cooked Made With Oil")</f>
        <v>Beans String Green With Almonds Cooked Made With Oil</v>
      </c>
      <c r="C3185" t="str">
        <f>IFERROR(__xludf.DUMMYFUNCTION("""COMPUTED_VALUE"""),"Vegetables")</f>
        <v>Vegetables</v>
      </c>
      <c r="D3185">
        <f>IFERROR(__xludf.DUMMYFUNCTION("""COMPUTED_VALUE"""),114.0)</f>
        <v>114</v>
      </c>
      <c r="E3185">
        <f>IFERROR(__xludf.DUMMYFUNCTION("""COMPUTED_VALUE"""),8.35)</f>
        <v>8.35</v>
      </c>
      <c r="F3185">
        <f>IFERROR(__xludf.DUMMYFUNCTION("""COMPUTED_VALUE"""),3.66)</f>
        <v>3.66</v>
      </c>
      <c r="G3185">
        <f>IFERROR(__xludf.DUMMYFUNCTION("""COMPUTED_VALUE"""),8.6)</f>
        <v>8.6</v>
      </c>
    </row>
    <row r="3186">
      <c r="A3186">
        <f>IFERROR(__xludf.DUMMYFUNCTION("""COMPUTED_VALUE"""),788582.0)</f>
        <v>788582</v>
      </c>
      <c r="B3186" t="str">
        <f>IFERROR(__xludf.DUMMYFUNCTION("""COMPUTED_VALUE"""),"Beans String Green With Almonds Cooked Made With Butter")</f>
        <v>Beans String Green With Almonds Cooked Made With Butter</v>
      </c>
      <c r="C3186" t="str">
        <f>IFERROR(__xludf.DUMMYFUNCTION("""COMPUTED_VALUE"""),"Vegetables")</f>
        <v>Vegetables</v>
      </c>
      <c r="D3186">
        <f>IFERROR(__xludf.DUMMYFUNCTION("""COMPUTED_VALUE"""),109.0)</f>
        <v>109</v>
      </c>
      <c r="E3186">
        <f>IFERROR(__xludf.DUMMYFUNCTION("""COMPUTED_VALUE"""),7.85)</f>
        <v>7.85</v>
      </c>
      <c r="F3186">
        <f>IFERROR(__xludf.DUMMYFUNCTION("""COMPUTED_VALUE"""),3.68)</f>
        <v>3.68</v>
      </c>
      <c r="G3186">
        <f>IFERROR(__xludf.DUMMYFUNCTION("""COMPUTED_VALUE"""),8.59)</f>
        <v>8.59</v>
      </c>
    </row>
    <row r="3187">
      <c r="A3187">
        <f>IFERROR(__xludf.DUMMYFUNCTION("""COMPUTED_VALUE"""),788583.0)</f>
        <v>788583</v>
      </c>
      <c r="B3187" t="str">
        <f>IFERROR(__xludf.DUMMYFUNCTION("""COMPUTED_VALUE"""),"Beans String Green With Almonds Cooked Made With Margarine")</f>
        <v>Beans String Green With Almonds Cooked Made With Margarine</v>
      </c>
      <c r="C3187" t="str">
        <f>IFERROR(__xludf.DUMMYFUNCTION("""COMPUTED_VALUE"""),"Vegetables")</f>
        <v>Vegetables</v>
      </c>
      <c r="D3187">
        <f>IFERROR(__xludf.DUMMYFUNCTION("""COMPUTED_VALUE"""),103.0)</f>
        <v>103</v>
      </c>
      <c r="E3187">
        <f>IFERROR(__xludf.DUMMYFUNCTION("""COMPUTED_VALUE"""),7.16)</f>
        <v>7.16</v>
      </c>
      <c r="F3187">
        <f>IFERROR(__xludf.DUMMYFUNCTION("""COMPUTED_VALUE"""),3.66)</f>
        <v>3.66</v>
      </c>
      <c r="G3187">
        <f>IFERROR(__xludf.DUMMYFUNCTION("""COMPUTED_VALUE"""),8.61)</f>
        <v>8.61</v>
      </c>
    </row>
    <row r="3188">
      <c r="A3188">
        <f>IFERROR(__xludf.DUMMYFUNCTION("""COMPUTED_VALUE"""),788584.0)</f>
        <v>788584</v>
      </c>
      <c r="B3188" t="str">
        <f>IFERROR(__xludf.DUMMYFUNCTION("""COMPUTED_VALUE"""),"Beans String Green With Pinto Beans Cooked Ns As To Fat Added In Cooking")</f>
        <v>Beans String Green With Pinto Beans Cooked Ns As To Fat Added In Cooking</v>
      </c>
      <c r="C3188" t="str">
        <f>IFERROR(__xludf.DUMMYFUNCTION("""COMPUTED_VALUE"""),"Vegetables")</f>
        <v>Vegetables</v>
      </c>
      <c r="D3188">
        <f>IFERROR(__xludf.DUMMYFUNCTION("""COMPUTED_VALUE"""),87.0)</f>
        <v>87</v>
      </c>
      <c r="E3188">
        <f>IFERROR(__xludf.DUMMYFUNCTION("""COMPUTED_VALUE"""),2.79)</f>
        <v>2.79</v>
      </c>
      <c r="F3188">
        <f>IFERROR(__xludf.DUMMYFUNCTION("""COMPUTED_VALUE"""),3.97)</f>
        <v>3.97</v>
      </c>
      <c r="G3188">
        <f>IFERROR(__xludf.DUMMYFUNCTION("""COMPUTED_VALUE"""),13.09)</f>
        <v>13.09</v>
      </c>
    </row>
    <row r="3189">
      <c r="A3189">
        <f>IFERROR(__xludf.DUMMYFUNCTION("""COMPUTED_VALUE"""),788585.0)</f>
        <v>788585</v>
      </c>
      <c r="B3189" t="str">
        <f>IFERROR(__xludf.DUMMYFUNCTION("""COMPUTED_VALUE"""),"Beans String Green With Pinto Beans Cooked Fat Not Added In Cooking")</f>
        <v>Beans String Green With Pinto Beans Cooked Fat Not Added In Cooking</v>
      </c>
      <c r="C3189" t="str">
        <f>IFERROR(__xludf.DUMMYFUNCTION("""COMPUTED_VALUE"""),"Vegetables")</f>
        <v>Vegetables</v>
      </c>
      <c r="D3189">
        <f>IFERROR(__xludf.DUMMYFUNCTION("""COMPUTED_VALUE"""),68.0)</f>
        <v>68</v>
      </c>
      <c r="E3189">
        <f>IFERROR(__xludf.DUMMYFUNCTION("""COMPUTED_VALUE"""),0.39)</f>
        <v>0.39</v>
      </c>
      <c r="F3189">
        <f>IFERROR(__xludf.DUMMYFUNCTION("""COMPUTED_VALUE"""),4.09)</f>
        <v>4.09</v>
      </c>
      <c r="G3189">
        <f>IFERROR(__xludf.DUMMYFUNCTION("""COMPUTED_VALUE"""),13.52)</f>
        <v>13.52</v>
      </c>
    </row>
    <row r="3190">
      <c r="A3190">
        <f>IFERROR(__xludf.DUMMYFUNCTION("""COMPUTED_VALUE"""),788586.0)</f>
        <v>788586</v>
      </c>
      <c r="B3190" t="str">
        <f>IFERROR(__xludf.DUMMYFUNCTION("""COMPUTED_VALUE"""),"Beans String Green With Pinto Beans Cooked Fat Added In Cooking")</f>
        <v>Beans String Green With Pinto Beans Cooked Fat Added In Cooking</v>
      </c>
      <c r="C3190" t="str">
        <f>IFERROR(__xludf.DUMMYFUNCTION("""COMPUTED_VALUE"""),"Vegetables")</f>
        <v>Vegetables</v>
      </c>
      <c r="D3190">
        <f>IFERROR(__xludf.DUMMYFUNCTION("""COMPUTED_VALUE"""),87.0)</f>
        <v>87</v>
      </c>
      <c r="E3190">
        <f>IFERROR(__xludf.DUMMYFUNCTION("""COMPUTED_VALUE"""),2.79)</f>
        <v>2.79</v>
      </c>
      <c r="F3190">
        <f>IFERROR(__xludf.DUMMYFUNCTION("""COMPUTED_VALUE"""),3.97)</f>
        <v>3.97</v>
      </c>
      <c r="G3190">
        <f>IFERROR(__xludf.DUMMYFUNCTION("""COMPUTED_VALUE"""),13.09)</f>
        <v>13.09</v>
      </c>
    </row>
    <row r="3191">
      <c r="A3191">
        <f>IFERROR(__xludf.DUMMYFUNCTION("""COMPUTED_VALUE"""),788587.0)</f>
        <v>788587</v>
      </c>
      <c r="B3191" t="str">
        <f>IFERROR(__xludf.DUMMYFUNCTION("""COMPUTED_VALUE"""),"Beans String Green With Spaetzel Cooked Ns As To Fat Added In Cooking")</f>
        <v>Beans String Green With Spaetzel Cooked Ns As To Fat Added In Cooking</v>
      </c>
      <c r="C3191" t="str">
        <f>IFERROR(__xludf.DUMMYFUNCTION("""COMPUTED_VALUE"""),"Vegetables")</f>
        <v>Vegetables</v>
      </c>
      <c r="D3191">
        <f>IFERROR(__xludf.DUMMYFUNCTION("""COMPUTED_VALUE"""),85.0)</f>
        <v>85</v>
      </c>
      <c r="E3191">
        <f>IFERROR(__xludf.DUMMYFUNCTION("""COMPUTED_VALUE"""),3.24)</f>
        <v>3.24</v>
      </c>
      <c r="F3191">
        <f>IFERROR(__xludf.DUMMYFUNCTION("""COMPUTED_VALUE"""),2.59)</f>
        <v>2.59</v>
      </c>
      <c r="G3191">
        <f>IFERROR(__xludf.DUMMYFUNCTION("""COMPUTED_VALUE"""),12.52)</f>
        <v>12.52</v>
      </c>
    </row>
    <row r="3192">
      <c r="A3192">
        <f>IFERROR(__xludf.DUMMYFUNCTION("""COMPUTED_VALUE"""),788588.0)</f>
        <v>788588</v>
      </c>
      <c r="B3192" t="str">
        <f>IFERROR(__xludf.DUMMYFUNCTION("""COMPUTED_VALUE"""),"Beans String Green With Spaetzel Cooked Fat Not Added In Cooking")</f>
        <v>Beans String Green With Spaetzel Cooked Fat Not Added In Cooking</v>
      </c>
      <c r="C3192" t="str">
        <f>IFERROR(__xludf.DUMMYFUNCTION("""COMPUTED_VALUE"""),"Vegetables")</f>
        <v>Vegetables</v>
      </c>
      <c r="D3192">
        <f>IFERROR(__xludf.DUMMYFUNCTION("""COMPUTED_VALUE"""),65.0)</f>
        <v>65</v>
      </c>
      <c r="E3192">
        <f>IFERROR(__xludf.DUMMYFUNCTION("""COMPUTED_VALUE"""),0.81)</f>
        <v>0.81</v>
      </c>
      <c r="F3192">
        <f>IFERROR(__xludf.DUMMYFUNCTION("""COMPUTED_VALUE"""),2.66)</f>
        <v>2.66</v>
      </c>
      <c r="G3192">
        <f>IFERROR(__xludf.DUMMYFUNCTION("""COMPUTED_VALUE"""),12.95)</f>
        <v>12.95</v>
      </c>
    </row>
    <row r="3193">
      <c r="A3193">
        <f>IFERROR(__xludf.DUMMYFUNCTION("""COMPUTED_VALUE"""),788589.0)</f>
        <v>788589</v>
      </c>
      <c r="B3193" t="str">
        <f>IFERROR(__xludf.DUMMYFUNCTION("""COMPUTED_VALUE"""),"Beans String Green With Spaetzel Cooked Fat Added In Cooking")</f>
        <v>Beans String Green With Spaetzel Cooked Fat Added In Cooking</v>
      </c>
      <c r="C3193" t="str">
        <f>IFERROR(__xludf.DUMMYFUNCTION("""COMPUTED_VALUE"""),"Vegetables")</f>
        <v>Vegetables</v>
      </c>
      <c r="D3193">
        <f>IFERROR(__xludf.DUMMYFUNCTION("""COMPUTED_VALUE"""),85.0)</f>
        <v>85</v>
      </c>
      <c r="E3193">
        <f>IFERROR(__xludf.DUMMYFUNCTION("""COMPUTED_VALUE"""),3.24)</f>
        <v>3.24</v>
      </c>
      <c r="F3193">
        <f>IFERROR(__xludf.DUMMYFUNCTION("""COMPUTED_VALUE"""),2.59)</f>
        <v>2.59</v>
      </c>
      <c r="G3193">
        <f>IFERROR(__xludf.DUMMYFUNCTION("""COMPUTED_VALUE"""),12.52)</f>
        <v>12.52</v>
      </c>
    </row>
    <row r="3194">
      <c r="A3194">
        <f>IFERROR(__xludf.DUMMYFUNCTION("""COMPUTED_VALUE"""),788590.0)</f>
        <v>788590</v>
      </c>
      <c r="B3194" t="str">
        <f>IFERROR(__xludf.DUMMYFUNCTION("""COMPUTED_VALUE"""),"Bean Salad Yellow And/or Green String Beans")</f>
        <v>Bean Salad Yellow And/or Green String Beans</v>
      </c>
      <c r="C3194" t="str">
        <f>IFERROR(__xludf.DUMMYFUNCTION("""COMPUTED_VALUE"""),"Vegetables")</f>
        <v>Vegetables</v>
      </c>
      <c r="D3194">
        <f>IFERROR(__xludf.DUMMYFUNCTION("""COMPUTED_VALUE"""),107.0)</f>
        <v>107</v>
      </c>
      <c r="E3194">
        <f>IFERROR(__xludf.DUMMYFUNCTION("""COMPUTED_VALUE"""),4.99)</f>
        <v>4.99</v>
      </c>
      <c r="F3194">
        <f>IFERROR(__xludf.DUMMYFUNCTION("""COMPUTED_VALUE"""),3.48)</f>
        <v>3.48</v>
      </c>
      <c r="G3194">
        <f>IFERROR(__xludf.DUMMYFUNCTION("""COMPUTED_VALUE"""),12.71)</f>
        <v>12.71</v>
      </c>
    </row>
    <row r="3195">
      <c r="A3195">
        <f>IFERROR(__xludf.DUMMYFUNCTION("""COMPUTED_VALUE"""),788591.0)</f>
        <v>788591</v>
      </c>
      <c r="B3195" t="str">
        <f>IFERROR(__xludf.DUMMYFUNCTION("""COMPUTED_VALUE"""),"Beans String Green With Onions Ns As To Fat Added In Cooking")</f>
        <v>Beans String Green With Onions Ns As To Fat Added In Cooking</v>
      </c>
      <c r="C3195" t="str">
        <f>IFERROR(__xludf.DUMMYFUNCTION("""COMPUTED_VALUE"""),"Vegetables")</f>
        <v>Vegetables</v>
      </c>
      <c r="D3195">
        <f>IFERROR(__xludf.DUMMYFUNCTION("""COMPUTED_VALUE"""),57.0)</f>
        <v>57</v>
      </c>
      <c r="E3195">
        <f>IFERROR(__xludf.DUMMYFUNCTION("""COMPUTED_VALUE"""),2.5)</f>
        <v>2.5</v>
      </c>
      <c r="F3195">
        <f>IFERROR(__xludf.DUMMYFUNCTION("""COMPUTED_VALUE"""),1.65)</f>
        <v>1.65</v>
      </c>
      <c r="G3195">
        <f>IFERROR(__xludf.DUMMYFUNCTION("""COMPUTED_VALUE"""),8.38)</f>
        <v>8.38</v>
      </c>
    </row>
    <row r="3196">
      <c r="A3196">
        <f>IFERROR(__xludf.DUMMYFUNCTION("""COMPUTED_VALUE"""),788592.0)</f>
        <v>788592</v>
      </c>
      <c r="B3196" t="str">
        <f>IFERROR(__xludf.DUMMYFUNCTION("""COMPUTED_VALUE"""),"Beans String Green With Onions Cooked Fat Not Added In Cooking")</f>
        <v>Beans String Green With Onions Cooked Fat Not Added In Cooking</v>
      </c>
      <c r="C3196" t="str">
        <f>IFERROR(__xludf.DUMMYFUNCTION("""COMPUTED_VALUE"""),"Vegetables")</f>
        <v>Vegetables</v>
      </c>
      <c r="D3196">
        <f>IFERROR(__xludf.DUMMYFUNCTION("""COMPUTED_VALUE"""),38.0)</f>
        <v>38</v>
      </c>
      <c r="E3196">
        <f>IFERROR(__xludf.DUMMYFUNCTION("""COMPUTED_VALUE"""),0.25)</f>
        <v>0.25</v>
      </c>
      <c r="F3196">
        <f>IFERROR(__xludf.DUMMYFUNCTION("""COMPUTED_VALUE"""),1.69)</f>
        <v>1.69</v>
      </c>
      <c r="G3196">
        <f>IFERROR(__xludf.DUMMYFUNCTION("""COMPUTED_VALUE"""),8.64)</f>
        <v>8.64</v>
      </c>
    </row>
    <row r="3197">
      <c r="A3197">
        <f>IFERROR(__xludf.DUMMYFUNCTION("""COMPUTED_VALUE"""),788593.0)</f>
        <v>788593</v>
      </c>
      <c r="B3197" t="str">
        <f>IFERROR(__xludf.DUMMYFUNCTION("""COMPUTED_VALUE"""),"Beans String Green With Onions Cooked Fat Added In Cooking Ns As To Type Of Fat")</f>
        <v>Beans String Green With Onions Cooked Fat Added In Cooking Ns As To Type Of Fat</v>
      </c>
      <c r="C3197" t="str">
        <f>IFERROR(__xludf.DUMMYFUNCTION("""COMPUTED_VALUE"""),"Vegetables")</f>
        <v>Vegetables</v>
      </c>
      <c r="D3197">
        <f>IFERROR(__xludf.DUMMYFUNCTION("""COMPUTED_VALUE"""),57.0)</f>
        <v>57</v>
      </c>
      <c r="E3197">
        <f>IFERROR(__xludf.DUMMYFUNCTION("""COMPUTED_VALUE"""),2.5)</f>
        <v>2.5</v>
      </c>
      <c r="F3197">
        <f>IFERROR(__xludf.DUMMYFUNCTION("""COMPUTED_VALUE"""),1.65)</f>
        <v>1.65</v>
      </c>
      <c r="G3197">
        <f>IFERROR(__xludf.DUMMYFUNCTION("""COMPUTED_VALUE"""),8.38)</f>
        <v>8.38</v>
      </c>
    </row>
    <row r="3198">
      <c r="A3198">
        <f>IFERROR(__xludf.DUMMYFUNCTION("""COMPUTED_VALUE"""),788594.0)</f>
        <v>788594</v>
      </c>
      <c r="B3198" t="str">
        <f>IFERROR(__xludf.DUMMYFUNCTION("""COMPUTED_VALUE"""),"Beans String Green With Onions Cooked Made With Oil")</f>
        <v>Beans String Green With Onions Cooked Made With Oil</v>
      </c>
      <c r="C3198" t="str">
        <f>IFERROR(__xludf.DUMMYFUNCTION("""COMPUTED_VALUE"""),"Vegetables")</f>
        <v>Vegetables</v>
      </c>
      <c r="D3198">
        <f>IFERROR(__xludf.DUMMYFUNCTION("""COMPUTED_VALUE"""),63.0)</f>
        <v>63</v>
      </c>
      <c r="E3198">
        <f>IFERROR(__xludf.DUMMYFUNCTION("""COMPUTED_VALUE"""),3.23)</f>
        <v>3.23</v>
      </c>
      <c r="F3198">
        <f>IFERROR(__xludf.DUMMYFUNCTION("""COMPUTED_VALUE"""),1.64)</f>
        <v>1.64</v>
      </c>
      <c r="G3198">
        <f>IFERROR(__xludf.DUMMYFUNCTION("""COMPUTED_VALUE"""),8.38)</f>
        <v>8.38</v>
      </c>
    </row>
    <row r="3199">
      <c r="A3199">
        <f>IFERROR(__xludf.DUMMYFUNCTION("""COMPUTED_VALUE"""),788595.0)</f>
        <v>788595</v>
      </c>
      <c r="B3199" t="str">
        <f>IFERROR(__xludf.DUMMYFUNCTION("""COMPUTED_VALUE"""),"Beans String Green With Onions Cooked Made With Butter")</f>
        <v>Beans String Green With Onions Cooked Made With Butter</v>
      </c>
      <c r="C3199" t="str">
        <f>IFERROR(__xludf.DUMMYFUNCTION("""COMPUTED_VALUE"""),"Vegetables")</f>
        <v>Vegetables</v>
      </c>
      <c r="D3199">
        <f>IFERROR(__xludf.DUMMYFUNCTION("""COMPUTED_VALUE"""),59.0)</f>
        <v>59</v>
      </c>
      <c r="E3199">
        <f>IFERROR(__xludf.DUMMYFUNCTION("""COMPUTED_VALUE"""),2.76)</f>
        <v>2.76</v>
      </c>
      <c r="F3199">
        <f>IFERROR(__xludf.DUMMYFUNCTION("""COMPUTED_VALUE"""),1.66)</f>
        <v>1.66</v>
      </c>
      <c r="G3199">
        <f>IFERROR(__xludf.DUMMYFUNCTION("""COMPUTED_VALUE"""),8.37)</f>
        <v>8.37</v>
      </c>
    </row>
    <row r="3200">
      <c r="A3200">
        <f>IFERROR(__xludf.DUMMYFUNCTION("""COMPUTED_VALUE"""),788596.0)</f>
        <v>788596</v>
      </c>
      <c r="B3200" t="str">
        <f>IFERROR(__xludf.DUMMYFUNCTION("""COMPUTED_VALUE"""),"Beans String Green With Onions Cooked Made With Margarine")</f>
        <v>Beans String Green With Onions Cooked Made With Margarine</v>
      </c>
      <c r="C3200" t="str">
        <f>IFERROR(__xludf.DUMMYFUNCTION("""COMPUTED_VALUE"""),"Vegetables")</f>
        <v>Vegetables</v>
      </c>
      <c r="D3200">
        <f>IFERROR(__xludf.DUMMYFUNCTION("""COMPUTED_VALUE"""),54.0)</f>
        <v>54</v>
      </c>
      <c r="E3200">
        <f>IFERROR(__xludf.DUMMYFUNCTION("""COMPUTED_VALUE"""),2.12)</f>
        <v>2.12</v>
      </c>
      <c r="F3200">
        <f>IFERROR(__xludf.DUMMYFUNCTION("""COMPUTED_VALUE"""),1.64)</f>
        <v>1.64</v>
      </c>
      <c r="G3200">
        <f>IFERROR(__xludf.DUMMYFUNCTION("""COMPUTED_VALUE"""),8.39)</f>
        <v>8.39</v>
      </c>
    </row>
    <row r="3201">
      <c r="A3201">
        <f>IFERROR(__xludf.DUMMYFUNCTION("""COMPUTED_VALUE"""),788597.0)</f>
        <v>788597</v>
      </c>
      <c r="B3201" t="str">
        <f>IFERROR(__xludf.DUMMYFUNCTION("""COMPUTED_VALUE"""),"Beans String Green And Potatoes Cooked Ns As To Fat Added In Cooking")</f>
        <v>Beans String Green And Potatoes Cooked Ns As To Fat Added In Cooking</v>
      </c>
      <c r="C3201" t="str">
        <f>IFERROR(__xludf.DUMMYFUNCTION("""COMPUTED_VALUE"""),"Vegetables")</f>
        <v>Vegetables</v>
      </c>
      <c r="D3201">
        <f>IFERROR(__xludf.DUMMYFUNCTION("""COMPUTED_VALUE"""),82.0)</f>
        <v>82</v>
      </c>
      <c r="E3201">
        <f>IFERROR(__xludf.DUMMYFUNCTION("""COMPUTED_VALUE"""),2.52)</f>
        <v>2.52</v>
      </c>
      <c r="F3201">
        <f>IFERROR(__xludf.DUMMYFUNCTION("""COMPUTED_VALUE"""),1.74)</f>
        <v>1.74</v>
      </c>
      <c r="G3201">
        <f>IFERROR(__xludf.DUMMYFUNCTION("""COMPUTED_VALUE"""),14.05)</f>
        <v>14.05</v>
      </c>
    </row>
    <row r="3202">
      <c r="A3202">
        <f>IFERROR(__xludf.DUMMYFUNCTION("""COMPUTED_VALUE"""),788598.0)</f>
        <v>788598</v>
      </c>
      <c r="B3202" t="str">
        <f>IFERROR(__xludf.DUMMYFUNCTION("""COMPUTED_VALUE"""),"Beans String Green And Potatoes Cooked Fat Not Added In Cooking")</f>
        <v>Beans String Green And Potatoes Cooked Fat Not Added In Cooking</v>
      </c>
      <c r="C3202" t="str">
        <f>IFERROR(__xludf.DUMMYFUNCTION("""COMPUTED_VALUE"""),"Vegetables")</f>
        <v>Vegetables</v>
      </c>
      <c r="D3202">
        <f>IFERROR(__xludf.DUMMYFUNCTION("""COMPUTED_VALUE"""),63.0)</f>
        <v>63</v>
      </c>
      <c r="E3202">
        <f>IFERROR(__xludf.DUMMYFUNCTION("""COMPUTED_VALUE"""),0.18)</f>
        <v>0.18</v>
      </c>
      <c r="F3202">
        <f>IFERROR(__xludf.DUMMYFUNCTION("""COMPUTED_VALUE"""),1.78)</f>
        <v>1.78</v>
      </c>
      <c r="G3202">
        <f>IFERROR(__xludf.DUMMYFUNCTION("""COMPUTED_VALUE"""),14.51)</f>
        <v>14.51</v>
      </c>
    </row>
    <row r="3203">
      <c r="A3203">
        <f>IFERROR(__xludf.DUMMYFUNCTION("""COMPUTED_VALUE"""),788599.0)</f>
        <v>788599</v>
      </c>
      <c r="B3203" t="str">
        <f>IFERROR(__xludf.DUMMYFUNCTION("""COMPUTED_VALUE"""),"Beans String Green And Potatoes Cooked Fat Added In Cooking Ns As To Type Of Fat")</f>
        <v>Beans String Green And Potatoes Cooked Fat Added In Cooking Ns As To Type Of Fat</v>
      </c>
      <c r="C3203" t="str">
        <f>IFERROR(__xludf.DUMMYFUNCTION("""COMPUTED_VALUE"""),"Vegetables")</f>
        <v>Vegetables</v>
      </c>
      <c r="D3203">
        <f>IFERROR(__xludf.DUMMYFUNCTION("""COMPUTED_VALUE"""),82.0)</f>
        <v>82</v>
      </c>
      <c r="E3203">
        <f>IFERROR(__xludf.DUMMYFUNCTION("""COMPUTED_VALUE"""),2.52)</f>
        <v>2.52</v>
      </c>
      <c r="F3203">
        <f>IFERROR(__xludf.DUMMYFUNCTION("""COMPUTED_VALUE"""),1.74)</f>
        <v>1.74</v>
      </c>
      <c r="G3203">
        <f>IFERROR(__xludf.DUMMYFUNCTION("""COMPUTED_VALUE"""),14.05)</f>
        <v>14.05</v>
      </c>
    </row>
    <row r="3204">
      <c r="A3204">
        <f>IFERROR(__xludf.DUMMYFUNCTION("""COMPUTED_VALUE"""),788600.0)</f>
        <v>788600</v>
      </c>
      <c r="B3204" t="str">
        <f>IFERROR(__xludf.DUMMYFUNCTION("""COMPUTED_VALUE"""),"Beans String Green And Potatoes Cooked Made With Oil")</f>
        <v>Beans String Green And Potatoes Cooked Made With Oil</v>
      </c>
      <c r="C3204" t="str">
        <f>IFERROR(__xludf.DUMMYFUNCTION("""COMPUTED_VALUE"""),"Vegetables")</f>
        <v>Vegetables</v>
      </c>
      <c r="D3204">
        <f>IFERROR(__xludf.DUMMYFUNCTION("""COMPUTED_VALUE"""),88.0)</f>
        <v>88</v>
      </c>
      <c r="E3204">
        <f>IFERROR(__xludf.DUMMYFUNCTION("""COMPUTED_VALUE"""),3.28)</f>
        <v>3.28</v>
      </c>
      <c r="F3204">
        <f>IFERROR(__xludf.DUMMYFUNCTION("""COMPUTED_VALUE"""),1.72)</f>
        <v>1.72</v>
      </c>
      <c r="G3204">
        <f>IFERROR(__xludf.DUMMYFUNCTION("""COMPUTED_VALUE"""),14.06)</f>
        <v>14.06</v>
      </c>
    </row>
    <row r="3205">
      <c r="A3205">
        <f>IFERROR(__xludf.DUMMYFUNCTION("""COMPUTED_VALUE"""),788601.0)</f>
        <v>788601</v>
      </c>
      <c r="B3205" t="str">
        <f>IFERROR(__xludf.DUMMYFUNCTION("""COMPUTED_VALUE"""),"Beans String Green And Potatoes Cooked Made With Butter")</f>
        <v>Beans String Green And Potatoes Cooked Made With Butter</v>
      </c>
      <c r="C3205" t="str">
        <f>IFERROR(__xludf.DUMMYFUNCTION("""COMPUTED_VALUE"""),"Vegetables")</f>
        <v>Vegetables</v>
      </c>
      <c r="D3205">
        <f>IFERROR(__xludf.DUMMYFUNCTION("""COMPUTED_VALUE"""),84.0)</f>
        <v>84</v>
      </c>
      <c r="E3205">
        <f>IFERROR(__xludf.DUMMYFUNCTION("""COMPUTED_VALUE"""),2.8)</f>
        <v>2.8</v>
      </c>
      <c r="F3205">
        <f>IFERROR(__xludf.DUMMYFUNCTION("""COMPUTED_VALUE"""),1.75)</f>
        <v>1.75</v>
      </c>
      <c r="G3205">
        <f>IFERROR(__xludf.DUMMYFUNCTION("""COMPUTED_VALUE"""),14.04)</f>
        <v>14.04</v>
      </c>
    </row>
    <row r="3206">
      <c r="A3206">
        <f>IFERROR(__xludf.DUMMYFUNCTION("""COMPUTED_VALUE"""),788602.0)</f>
        <v>788602</v>
      </c>
      <c r="B3206" t="str">
        <f>IFERROR(__xludf.DUMMYFUNCTION("""COMPUTED_VALUE"""),"Beans String Green And Potatoes Cooked Made With Margarine")</f>
        <v>Beans String Green And Potatoes Cooked Made With Margarine</v>
      </c>
      <c r="C3206" t="str">
        <f>IFERROR(__xludf.DUMMYFUNCTION("""COMPUTED_VALUE"""),"Vegetables")</f>
        <v>Vegetables</v>
      </c>
      <c r="D3206">
        <f>IFERROR(__xludf.DUMMYFUNCTION("""COMPUTED_VALUE"""),78.0)</f>
        <v>78</v>
      </c>
      <c r="E3206">
        <f>IFERROR(__xludf.DUMMYFUNCTION("""COMPUTED_VALUE"""),2.12)</f>
        <v>2.12</v>
      </c>
      <c r="F3206">
        <f>IFERROR(__xludf.DUMMYFUNCTION("""COMPUTED_VALUE"""),1.72)</f>
        <v>1.72</v>
      </c>
      <c r="G3206">
        <f>IFERROR(__xludf.DUMMYFUNCTION("""COMPUTED_VALUE"""),14.07)</f>
        <v>14.07</v>
      </c>
    </row>
    <row r="3207">
      <c r="A3207">
        <f>IFERROR(__xludf.DUMMYFUNCTION("""COMPUTED_VALUE"""),788603.0)</f>
        <v>788603</v>
      </c>
      <c r="B3207" t="str">
        <f>IFERROR(__xludf.DUMMYFUNCTION("""COMPUTED_VALUE"""),"Corn With Peppers Red Or Green Cooked Ns As To Fat Added In Cooking")</f>
        <v>Corn With Peppers Red Or Green Cooked Ns As To Fat Added In Cooking</v>
      </c>
      <c r="C3207" t="str">
        <f>IFERROR(__xludf.DUMMYFUNCTION("""COMPUTED_VALUE"""),"Vegetables")</f>
        <v>Vegetables</v>
      </c>
      <c r="D3207">
        <f>IFERROR(__xludf.DUMMYFUNCTION("""COMPUTED_VALUE"""),97.0)</f>
        <v>97</v>
      </c>
      <c r="E3207">
        <f>IFERROR(__xludf.DUMMYFUNCTION("""COMPUTED_VALUE"""),3.28)</f>
        <v>3.28</v>
      </c>
      <c r="F3207">
        <f>IFERROR(__xludf.DUMMYFUNCTION("""COMPUTED_VALUE"""),2.79)</f>
        <v>2.79</v>
      </c>
      <c r="G3207">
        <f>IFERROR(__xludf.DUMMYFUNCTION("""COMPUTED_VALUE"""),17.27)</f>
        <v>17.27</v>
      </c>
    </row>
    <row r="3208">
      <c r="A3208">
        <f>IFERROR(__xludf.DUMMYFUNCTION("""COMPUTED_VALUE"""),788605.0)</f>
        <v>788605</v>
      </c>
      <c r="B3208" t="str">
        <f>IFERROR(__xludf.DUMMYFUNCTION("""COMPUTED_VALUE"""),"Corn With Peppers Red Or Green Cooked Fat Added In Cooking Ns As To Type Of Fat")</f>
        <v>Corn With Peppers Red Or Green Cooked Fat Added In Cooking Ns As To Type Of Fat</v>
      </c>
      <c r="C3208" t="str">
        <f>IFERROR(__xludf.DUMMYFUNCTION("""COMPUTED_VALUE"""),"Vegetables")</f>
        <v>Vegetables</v>
      </c>
      <c r="D3208">
        <f>IFERROR(__xludf.DUMMYFUNCTION("""COMPUTED_VALUE"""),97.0)</f>
        <v>97</v>
      </c>
      <c r="E3208">
        <f>IFERROR(__xludf.DUMMYFUNCTION("""COMPUTED_VALUE"""),3.28)</f>
        <v>3.28</v>
      </c>
      <c r="F3208">
        <f>IFERROR(__xludf.DUMMYFUNCTION("""COMPUTED_VALUE"""),2.79)</f>
        <v>2.79</v>
      </c>
      <c r="G3208">
        <f>IFERROR(__xludf.DUMMYFUNCTION("""COMPUTED_VALUE"""),17.27)</f>
        <v>17.27</v>
      </c>
    </row>
    <row r="3209">
      <c r="A3209">
        <f>IFERROR(__xludf.DUMMYFUNCTION("""COMPUTED_VALUE"""),788606.0)</f>
        <v>788606</v>
      </c>
      <c r="B3209" t="str">
        <f>IFERROR(__xludf.DUMMYFUNCTION("""COMPUTED_VALUE"""),"Corn With Peppers Red Or Green Cooked Made With Oil")</f>
        <v>Corn With Peppers Red Or Green Cooked Made With Oil</v>
      </c>
      <c r="C3209" t="str">
        <f>IFERROR(__xludf.DUMMYFUNCTION("""COMPUTED_VALUE"""),"Vegetables")</f>
        <v>Vegetables</v>
      </c>
      <c r="D3209">
        <f>IFERROR(__xludf.DUMMYFUNCTION("""COMPUTED_VALUE"""),103.0)</f>
        <v>103</v>
      </c>
      <c r="E3209">
        <f>IFERROR(__xludf.DUMMYFUNCTION("""COMPUTED_VALUE"""),3.97)</f>
        <v>3.97</v>
      </c>
      <c r="F3209">
        <f>IFERROR(__xludf.DUMMYFUNCTION("""COMPUTED_VALUE"""),2.77)</f>
        <v>2.77</v>
      </c>
      <c r="G3209">
        <f>IFERROR(__xludf.DUMMYFUNCTION("""COMPUTED_VALUE"""),17.28)</f>
        <v>17.28</v>
      </c>
    </row>
    <row r="3210">
      <c r="A3210">
        <f>IFERROR(__xludf.DUMMYFUNCTION("""COMPUTED_VALUE"""),788607.0)</f>
        <v>788607</v>
      </c>
      <c r="B3210" t="str">
        <f>IFERROR(__xludf.DUMMYFUNCTION("""COMPUTED_VALUE"""),"Corn With Peppers Red Or Green Cooked Made With Butter")</f>
        <v>Corn With Peppers Red Or Green Cooked Made With Butter</v>
      </c>
      <c r="C3210" t="str">
        <f>IFERROR(__xludf.DUMMYFUNCTION("""COMPUTED_VALUE"""),"Vegetables")</f>
        <v>Vegetables</v>
      </c>
      <c r="D3210">
        <f>IFERROR(__xludf.DUMMYFUNCTION("""COMPUTED_VALUE"""),99.0)</f>
        <v>99</v>
      </c>
      <c r="E3210">
        <f>IFERROR(__xludf.DUMMYFUNCTION("""COMPUTED_VALUE"""),3.53)</f>
        <v>3.53</v>
      </c>
      <c r="F3210">
        <f>IFERROR(__xludf.DUMMYFUNCTION("""COMPUTED_VALUE"""),2.79)</f>
        <v>2.79</v>
      </c>
      <c r="G3210">
        <f>IFERROR(__xludf.DUMMYFUNCTION("""COMPUTED_VALUE"""),17.26)</f>
        <v>17.26</v>
      </c>
    </row>
    <row r="3211">
      <c r="A3211">
        <f>IFERROR(__xludf.DUMMYFUNCTION("""COMPUTED_VALUE"""),788608.0)</f>
        <v>788608</v>
      </c>
      <c r="B3211" t="str">
        <f>IFERROR(__xludf.DUMMYFUNCTION("""COMPUTED_VALUE"""),"Corn With Peppers Red Or Green Cooked Made With Margarine")</f>
        <v>Corn With Peppers Red Or Green Cooked Made With Margarine</v>
      </c>
      <c r="C3211" t="str">
        <f>IFERROR(__xludf.DUMMYFUNCTION("""COMPUTED_VALUE"""),"Vegetables")</f>
        <v>Vegetables</v>
      </c>
      <c r="D3211">
        <f>IFERROR(__xludf.DUMMYFUNCTION("""COMPUTED_VALUE"""),94.0)</f>
        <v>94</v>
      </c>
      <c r="E3211">
        <f>IFERROR(__xludf.DUMMYFUNCTION("""COMPUTED_VALUE"""),2.93)</f>
        <v>2.93</v>
      </c>
      <c r="F3211">
        <f>IFERROR(__xludf.DUMMYFUNCTION("""COMPUTED_VALUE"""),2.77)</f>
        <v>2.77</v>
      </c>
      <c r="G3211">
        <f>IFERROR(__xludf.DUMMYFUNCTION("""COMPUTED_VALUE"""),17.28)</f>
        <v>17.28</v>
      </c>
    </row>
    <row r="3212">
      <c r="A3212">
        <f>IFERROR(__xludf.DUMMYFUNCTION("""COMPUTED_VALUE"""),788609.0)</f>
        <v>788609</v>
      </c>
      <c r="B3212" t="str">
        <f>IFERROR(__xludf.DUMMYFUNCTION("""COMPUTED_VALUE"""),"Eggplant In Tomato Sauce Cooked Fat Not Added In Cooking")</f>
        <v>Eggplant In Tomato Sauce Cooked Fat Not Added In Cooking</v>
      </c>
      <c r="C3212" t="str">
        <f>IFERROR(__xludf.DUMMYFUNCTION("""COMPUTED_VALUE"""),"Vegetables")</f>
        <v>Vegetables</v>
      </c>
      <c r="D3212">
        <f>IFERROR(__xludf.DUMMYFUNCTION("""COMPUTED_VALUE"""),30.0)</f>
        <v>30</v>
      </c>
      <c r="E3212">
        <f>IFERROR(__xludf.DUMMYFUNCTION("""COMPUTED_VALUE"""),0.26)</f>
        <v>0.26</v>
      </c>
      <c r="F3212">
        <f>IFERROR(__xludf.DUMMYFUNCTION("""COMPUTED_VALUE"""),1.0)</f>
        <v>1</v>
      </c>
      <c r="G3212">
        <f>IFERROR(__xludf.DUMMYFUNCTION("""COMPUTED_VALUE"""),7.1)</f>
        <v>7.1</v>
      </c>
    </row>
    <row r="3213">
      <c r="A3213">
        <f>IFERROR(__xludf.DUMMYFUNCTION("""COMPUTED_VALUE"""),788610.0)</f>
        <v>788610</v>
      </c>
      <c r="B3213" t="str">
        <f>IFERROR(__xludf.DUMMYFUNCTION("""COMPUTED_VALUE"""),"Green Peppers And Onions Cooked Fat Not Added In Cooking")</f>
        <v>Green Peppers And Onions Cooked Fat Not Added In Cooking</v>
      </c>
      <c r="C3213" t="str">
        <f>IFERROR(__xludf.DUMMYFUNCTION("""COMPUTED_VALUE"""),"Vegetables")</f>
        <v>Vegetables</v>
      </c>
      <c r="D3213">
        <f>IFERROR(__xludf.DUMMYFUNCTION("""COMPUTED_VALUE"""),37.0)</f>
        <v>37</v>
      </c>
      <c r="E3213">
        <f>IFERROR(__xludf.DUMMYFUNCTION("""COMPUTED_VALUE"""),0.19)</f>
        <v>0.19</v>
      </c>
      <c r="F3213">
        <f>IFERROR(__xludf.DUMMYFUNCTION("""COMPUTED_VALUE"""),1.18)</f>
        <v>1.18</v>
      </c>
      <c r="G3213">
        <f>IFERROR(__xludf.DUMMYFUNCTION("""COMPUTED_VALUE"""),8.74)</f>
        <v>8.74</v>
      </c>
    </row>
    <row r="3214">
      <c r="A3214">
        <f>IFERROR(__xludf.DUMMYFUNCTION("""COMPUTED_VALUE"""),788611.0)</f>
        <v>788611</v>
      </c>
      <c r="B3214" t="str">
        <f>IFERROR(__xludf.DUMMYFUNCTION("""COMPUTED_VALUE"""),"Green Peppers And Onions Cooked Ns As To Fat Added In Cooking")</f>
        <v>Green Peppers And Onions Cooked Ns As To Fat Added In Cooking</v>
      </c>
      <c r="C3214" t="str">
        <f>IFERROR(__xludf.DUMMYFUNCTION("""COMPUTED_VALUE"""),"Vegetables")</f>
        <v>Vegetables</v>
      </c>
      <c r="D3214">
        <f>IFERROR(__xludf.DUMMYFUNCTION("""COMPUTED_VALUE"""),54.0)</f>
        <v>54</v>
      </c>
      <c r="E3214">
        <f>IFERROR(__xludf.DUMMYFUNCTION("""COMPUTED_VALUE"""),2.11)</f>
        <v>2.11</v>
      </c>
      <c r="F3214">
        <f>IFERROR(__xludf.DUMMYFUNCTION("""COMPUTED_VALUE"""),1.16)</f>
        <v>1.16</v>
      </c>
      <c r="G3214">
        <f>IFERROR(__xludf.DUMMYFUNCTION("""COMPUTED_VALUE"""),8.52)</f>
        <v>8.52</v>
      </c>
    </row>
    <row r="3215">
      <c r="A3215">
        <f>IFERROR(__xludf.DUMMYFUNCTION("""COMPUTED_VALUE"""),788612.0)</f>
        <v>788612</v>
      </c>
      <c r="B3215" t="str">
        <f>IFERROR(__xludf.DUMMYFUNCTION("""COMPUTED_VALUE"""),"Green Peppers And Onions Cooked Fat Added In Cooking Ns As To Type Of Fat")</f>
        <v>Green Peppers And Onions Cooked Fat Added In Cooking Ns As To Type Of Fat</v>
      </c>
      <c r="C3215" t="str">
        <f>IFERROR(__xludf.DUMMYFUNCTION("""COMPUTED_VALUE"""),"Vegetables")</f>
        <v>Vegetables</v>
      </c>
      <c r="D3215">
        <f>IFERROR(__xludf.DUMMYFUNCTION("""COMPUTED_VALUE"""),54.0)</f>
        <v>54</v>
      </c>
      <c r="E3215">
        <f>IFERROR(__xludf.DUMMYFUNCTION("""COMPUTED_VALUE"""),2.11)</f>
        <v>2.11</v>
      </c>
      <c r="F3215">
        <f>IFERROR(__xludf.DUMMYFUNCTION("""COMPUTED_VALUE"""),1.16)</f>
        <v>1.16</v>
      </c>
      <c r="G3215">
        <f>IFERROR(__xludf.DUMMYFUNCTION("""COMPUTED_VALUE"""),8.52)</f>
        <v>8.52</v>
      </c>
    </row>
    <row r="3216">
      <c r="A3216">
        <f>IFERROR(__xludf.DUMMYFUNCTION("""COMPUTED_VALUE"""),788613.0)</f>
        <v>788613</v>
      </c>
      <c r="B3216" t="str">
        <f>IFERROR(__xludf.DUMMYFUNCTION("""COMPUTED_VALUE"""),"Green Peppers And Onions Cooked Made With Oil")</f>
        <v>Green Peppers And Onions Cooked Made With Oil</v>
      </c>
      <c r="C3216" t="str">
        <f>IFERROR(__xludf.DUMMYFUNCTION("""COMPUTED_VALUE"""),"Vegetables")</f>
        <v>Vegetables</v>
      </c>
      <c r="D3216">
        <f>IFERROR(__xludf.DUMMYFUNCTION("""COMPUTED_VALUE"""),59.0)</f>
        <v>59</v>
      </c>
      <c r="E3216">
        <f>IFERROR(__xludf.DUMMYFUNCTION("""COMPUTED_VALUE"""),2.73)</f>
        <v>2.73</v>
      </c>
      <c r="F3216">
        <f>IFERROR(__xludf.DUMMYFUNCTION("""COMPUTED_VALUE"""),1.15)</f>
        <v>1.15</v>
      </c>
      <c r="G3216">
        <f>IFERROR(__xludf.DUMMYFUNCTION("""COMPUTED_VALUE"""),8.52)</f>
        <v>8.52</v>
      </c>
    </row>
    <row r="3217">
      <c r="A3217">
        <f>IFERROR(__xludf.DUMMYFUNCTION("""COMPUTED_VALUE"""),788614.0)</f>
        <v>788614</v>
      </c>
      <c r="B3217" t="str">
        <f>IFERROR(__xludf.DUMMYFUNCTION("""COMPUTED_VALUE"""),"Green Peppers And Onions Cooked Made With Butter")</f>
        <v>Green Peppers And Onions Cooked Made With Butter</v>
      </c>
      <c r="C3217" t="str">
        <f>IFERROR(__xludf.DUMMYFUNCTION("""COMPUTED_VALUE"""),"Vegetables")</f>
        <v>Vegetables</v>
      </c>
      <c r="D3217">
        <f>IFERROR(__xludf.DUMMYFUNCTION("""COMPUTED_VALUE"""),55.0)</f>
        <v>55</v>
      </c>
      <c r="E3217">
        <f>IFERROR(__xludf.DUMMYFUNCTION("""COMPUTED_VALUE"""),2.33)</f>
        <v>2.33</v>
      </c>
      <c r="F3217">
        <f>IFERROR(__xludf.DUMMYFUNCTION("""COMPUTED_VALUE"""),1.17)</f>
        <v>1.17</v>
      </c>
      <c r="G3217">
        <f>IFERROR(__xludf.DUMMYFUNCTION("""COMPUTED_VALUE"""),8.51)</f>
        <v>8.51</v>
      </c>
    </row>
    <row r="3218">
      <c r="A3218">
        <f>IFERROR(__xludf.DUMMYFUNCTION("""COMPUTED_VALUE"""),788615.0)</f>
        <v>788615</v>
      </c>
      <c r="B3218" t="str">
        <f>IFERROR(__xludf.DUMMYFUNCTION("""COMPUTED_VALUE"""),"Green Peppers And Onions Cooked Made With Margarine")</f>
        <v>Green Peppers And Onions Cooked Made With Margarine</v>
      </c>
      <c r="C3218" t="str">
        <f>IFERROR(__xludf.DUMMYFUNCTION("""COMPUTED_VALUE"""),"Vegetables")</f>
        <v>Vegetables</v>
      </c>
      <c r="D3218">
        <f>IFERROR(__xludf.DUMMYFUNCTION("""COMPUTED_VALUE"""),51.0)</f>
        <v>51</v>
      </c>
      <c r="E3218">
        <f>IFERROR(__xludf.DUMMYFUNCTION("""COMPUTED_VALUE"""),1.78)</f>
        <v>1.78</v>
      </c>
      <c r="F3218">
        <f>IFERROR(__xludf.DUMMYFUNCTION("""COMPUTED_VALUE"""),1.15)</f>
        <v>1.15</v>
      </c>
      <c r="G3218">
        <f>IFERROR(__xludf.DUMMYFUNCTION("""COMPUTED_VALUE"""),8.53)</f>
        <v>8.53</v>
      </c>
    </row>
    <row r="3219">
      <c r="A3219">
        <f>IFERROR(__xludf.DUMMYFUNCTION("""COMPUTED_VALUE"""),788616.0)</f>
        <v>788616</v>
      </c>
      <c r="B3219" t="str">
        <f>IFERROR(__xludf.DUMMYFUNCTION("""COMPUTED_VALUE"""),"Mixed Vegetables Cooked Ns As To Form Ns As To Fat Added In Cooking")</f>
        <v>Mixed Vegetables Cooked Ns As To Form Ns As To Fat Added In Cooking</v>
      </c>
      <c r="C3219" t="str">
        <f>IFERROR(__xludf.DUMMYFUNCTION("""COMPUTED_VALUE"""),"Vegetables")</f>
        <v>Vegetables</v>
      </c>
      <c r="D3219">
        <f>IFERROR(__xludf.DUMMYFUNCTION("""COMPUTED_VALUE"""),79.0)</f>
        <v>79</v>
      </c>
      <c r="E3219">
        <f>IFERROR(__xludf.DUMMYFUNCTION("""COMPUTED_VALUE"""),1.97)</f>
        <v>1.97</v>
      </c>
      <c r="F3219">
        <f>IFERROR(__xludf.DUMMYFUNCTION("""COMPUTED_VALUE"""),2.79)</f>
        <v>2.79</v>
      </c>
      <c r="G3219">
        <f>IFERROR(__xludf.DUMMYFUNCTION("""COMPUTED_VALUE"""),12.7)</f>
        <v>12.7</v>
      </c>
    </row>
    <row r="3220">
      <c r="A3220">
        <f>IFERROR(__xludf.DUMMYFUNCTION("""COMPUTED_VALUE"""),788617.0)</f>
        <v>788617</v>
      </c>
      <c r="B3220" t="str">
        <f>IFERROR(__xludf.DUMMYFUNCTION("""COMPUTED_VALUE"""),"Mixed Vegetables Cooked From Frozen Ns As To Fat Added In Cooking")</f>
        <v>Mixed Vegetables Cooked From Frozen Ns As To Fat Added In Cooking</v>
      </c>
      <c r="C3220" t="str">
        <f>IFERROR(__xludf.DUMMYFUNCTION("""COMPUTED_VALUE"""),"Vegetables")</f>
        <v>Vegetables</v>
      </c>
      <c r="D3220">
        <f>IFERROR(__xludf.DUMMYFUNCTION("""COMPUTED_VALUE"""),79.0)</f>
        <v>79</v>
      </c>
      <c r="E3220">
        <f>IFERROR(__xludf.DUMMYFUNCTION("""COMPUTED_VALUE"""),1.97)</f>
        <v>1.97</v>
      </c>
      <c r="F3220">
        <f>IFERROR(__xludf.DUMMYFUNCTION("""COMPUTED_VALUE"""),2.79)</f>
        <v>2.79</v>
      </c>
      <c r="G3220">
        <f>IFERROR(__xludf.DUMMYFUNCTION("""COMPUTED_VALUE"""),12.7)</f>
        <v>12.7</v>
      </c>
    </row>
    <row r="3221">
      <c r="A3221">
        <f>IFERROR(__xludf.DUMMYFUNCTION("""COMPUTED_VALUE"""),788618.0)</f>
        <v>788618</v>
      </c>
      <c r="B3221" t="str">
        <f>IFERROR(__xludf.DUMMYFUNCTION("""COMPUTED_VALUE"""),"Mixed Vegetables Cooked From Canned Ns As To Fat Added In Cooking")</f>
        <v>Mixed Vegetables Cooked From Canned Ns As To Fat Added In Cooking</v>
      </c>
      <c r="C3221" t="str">
        <f>IFERROR(__xludf.DUMMYFUNCTION("""COMPUTED_VALUE"""),"Vegetables")</f>
        <v>Vegetables</v>
      </c>
      <c r="D3221">
        <f>IFERROR(__xludf.DUMMYFUNCTION("""COMPUTED_VALUE"""),66.0)</f>
        <v>66</v>
      </c>
      <c r="E3221">
        <f>IFERROR(__xludf.DUMMYFUNCTION("""COMPUTED_VALUE"""),2.28)</f>
        <v>2.28</v>
      </c>
      <c r="F3221">
        <f>IFERROR(__xludf.DUMMYFUNCTION("""COMPUTED_VALUE"""),2.53)</f>
        <v>2.53</v>
      </c>
      <c r="G3221">
        <f>IFERROR(__xludf.DUMMYFUNCTION("""COMPUTED_VALUE"""),8.99)</f>
        <v>8.99</v>
      </c>
    </row>
    <row r="3222">
      <c r="A3222">
        <f>IFERROR(__xludf.DUMMYFUNCTION("""COMPUTED_VALUE"""),788619.0)</f>
        <v>788619</v>
      </c>
      <c r="B3222" t="str">
        <f>IFERROR(__xludf.DUMMYFUNCTION("""COMPUTED_VALUE"""),"Mixed Vegetables Cooked Ns As To Form Fat Not Added In Cooking")</f>
        <v>Mixed Vegetables Cooked Ns As To Form Fat Not Added In Cooking</v>
      </c>
      <c r="C3222" t="str">
        <f>IFERROR(__xludf.DUMMYFUNCTION("""COMPUTED_VALUE"""),"Vegetables")</f>
        <v>Vegetables</v>
      </c>
      <c r="D3222">
        <f>IFERROR(__xludf.DUMMYFUNCTION("""COMPUTED_VALUE"""),65.0)</f>
        <v>65</v>
      </c>
      <c r="E3222">
        <f>IFERROR(__xludf.DUMMYFUNCTION("""COMPUTED_VALUE"""),0.15)</f>
        <v>0.15</v>
      </c>
      <c r="F3222">
        <f>IFERROR(__xludf.DUMMYFUNCTION("""COMPUTED_VALUE"""),2.84)</f>
        <v>2.84</v>
      </c>
      <c r="G3222">
        <f>IFERROR(__xludf.DUMMYFUNCTION("""COMPUTED_VALUE"""),13.02)</f>
        <v>13.02</v>
      </c>
    </row>
    <row r="3223">
      <c r="A3223">
        <f>IFERROR(__xludf.DUMMYFUNCTION("""COMPUTED_VALUE"""),788620.0)</f>
        <v>788620</v>
      </c>
      <c r="B3223" t="str">
        <f>IFERROR(__xludf.DUMMYFUNCTION("""COMPUTED_VALUE"""),"Mixed Vegetables Cooked From Frozen Fat Not Added In Cooking")</f>
        <v>Mixed Vegetables Cooked From Frozen Fat Not Added In Cooking</v>
      </c>
      <c r="C3223" t="str">
        <f>IFERROR(__xludf.DUMMYFUNCTION("""COMPUTED_VALUE"""),"Vegetables")</f>
        <v>Vegetables</v>
      </c>
      <c r="D3223">
        <f>IFERROR(__xludf.DUMMYFUNCTION("""COMPUTED_VALUE"""),65.0)</f>
        <v>65</v>
      </c>
      <c r="E3223">
        <f>IFERROR(__xludf.DUMMYFUNCTION("""COMPUTED_VALUE"""),0.15)</f>
        <v>0.15</v>
      </c>
      <c r="F3223">
        <f>IFERROR(__xludf.DUMMYFUNCTION("""COMPUTED_VALUE"""),2.84)</f>
        <v>2.84</v>
      </c>
      <c r="G3223">
        <f>IFERROR(__xludf.DUMMYFUNCTION("""COMPUTED_VALUE"""),13.02)</f>
        <v>13.02</v>
      </c>
    </row>
    <row r="3224">
      <c r="A3224">
        <f>IFERROR(__xludf.DUMMYFUNCTION("""COMPUTED_VALUE"""),788621.0)</f>
        <v>788621</v>
      </c>
      <c r="B3224" t="str">
        <f>IFERROR(__xludf.DUMMYFUNCTION("""COMPUTED_VALUE"""),"Mixed Vegetables Cooked From Canned Fat Not Added In Cooking")</f>
        <v>Mixed Vegetables Cooked From Canned Fat Not Added In Cooking</v>
      </c>
      <c r="C3224" t="str">
        <f>IFERROR(__xludf.DUMMYFUNCTION("""COMPUTED_VALUE"""),"Vegetables")</f>
        <v>Vegetables</v>
      </c>
      <c r="D3224">
        <f>IFERROR(__xludf.DUMMYFUNCTION("""COMPUTED_VALUE"""),49.0)</f>
        <v>49</v>
      </c>
      <c r="E3224">
        <f>IFERROR(__xludf.DUMMYFUNCTION("""COMPUTED_VALUE"""),0.25)</f>
        <v>0.25</v>
      </c>
      <c r="F3224">
        <f>IFERROR(__xludf.DUMMYFUNCTION("""COMPUTED_VALUE"""),2.58)</f>
        <v>2.58</v>
      </c>
      <c r="G3224">
        <f>IFERROR(__xludf.DUMMYFUNCTION("""COMPUTED_VALUE"""),9.24)</f>
        <v>9.24</v>
      </c>
    </row>
    <row r="3225">
      <c r="A3225">
        <f>IFERROR(__xludf.DUMMYFUNCTION("""COMPUTED_VALUE"""),788622.0)</f>
        <v>788622</v>
      </c>
      <c r="B3225" t="str">
        <f>IFERROR(__xludf.DUMMYFUNCTION("""COMPUTED_VALUE"""),"Mixed Vegetables Cooked Ns As To Form Fat Added In Cooking Ns As To Type Of Fat")</f>
        <v>Mixed Vegetables Cooked Ns As To Form Fat Added In Cooking Ns As To Type Of Fat</v>
      </c>
      <c r="C3225" t="str">
        <f>IFERROR(__xludf.DUMMYFUNCTION("""COMPUTED_VALUE"""),"Vegetables")</f>
        <v>Vegetables</v>
      </c>
      <c r="D3225">
        <f>IFERROR(__xludf.DUMMYFUNCTION("""COMPUTED_VALUE"""),79.0)</f>
        <v>79</v>
      </c>
      <c r="E3225">
        <f>IFERROR(__xludf.DUMMYFUNCTION("""COMPUTED_VALUE"""),1.97)</f>
        <v>1.97</v>
      </c>
      <c r="F3225">
        <f>IFERROR(__xludf.DUMMYFUNCTION("""COMPUTED_VALUE"""),2.79)</f>
        <v>2.79</v>
      </c>
      <c r="G3225">
        <f>IFERROR(__xludf.DUMMYFUNCTION("""COMPUTED_VALUE"""),12.7)</f>
        <v>12.7</v>
      </c>
    </row>
    <row r="3226">
      <c r="A3226">
        <f>IFERROR(__xludf.DUMMYFUNCTION("""COMPUTED_VALUE"""),788623.0)</f>
        <v>788623</v>
      </c>
      <c r="B3226" t="str">
        <f>IFERROR(__xludf.DUMMYFUNCTION("""COMPUTED_VALUE"""),"Mixed Vegetables Cooked From Frozen Fat Added In Cooking Ns As To Type Of Fat")</f>
        <v>Mixed Vegetables Cooked From Frozen Fat Added In Cooking Ns As To Type Of Fat</v>
      </c>
      <c r="C3226" t="str">
        <f>IFERROR(__xludf.DUMMYFUNCTION("""COMPUTED_VALUE"""),"Vegetables")</f>
        <v>Vegetables</v>
      </c>
      <c r="D3226">
        <f>IFERROR(__xludf.DUMMYFUNCTION("""COMPUTED_VALUE"""),79.0)</f>
        <v>79</v>
      </c>
      <c r="E3226">
        <f>IFERROR(__xludf.DUMMYFUNCTION("""COMPUTED_VALUE"""),1.97)</f>
        <v>1.97</v>
      </c>
      <c r="F3226">
        <f>IFERROR(__xludf.DUMMYFUNCTION("""COMPUTED_VALUE"""),2.79)</f>
        <v>2.79</v>
      </c>
      <c r="G3226">
        <f>IFERROR(__xludf.DUMMYFUNCTION("""COMPUTED_VALUE"""),12.7)</f>
        <v>12.7</v>
      </c>
    </row>
    <row r="3227">
      <c r="A3227">
        <f>IFERROR(__xludf.DUMMYFUNCTION("""COMPUTED_VALUE"""),788624.0)</f>
        <v>788624</v>
      </c>
      <c r="B3227" t="str">
        <f>IFERROR(__xludf.DUMMYFUNCTION("""COMPUTED_VALUE"""),"Mixed Vegetables Cooked From Canned Fat Added In Cooking Ns As To Type Of Fat")</f>
        <v>Mixed Vegetables Cooked From Canned Fat Added In Cooking Ns As To Type Of Fat</v>
      </c>
      <c r="C3227" t="str">
        <f>IFERROR(__xludf.DUMMYFUNCTION("""COMPUTED_VALUE"""),"Vegetables")</f>
        <v>Vegetables</v>
      </c>
      <c r="D3227">
        <f>IFERROR(__xludf.DUMMYFUNCTION("""COMPUTED_VALUE"""),66.0)</f>
        <v>66</v>
      </c>
      <c r="E3227">
        <f>IFERROR(__xludf.DUMMYFUNCTION("""COMPUTED_VALUE"""),2.28)</f>
        <v>2.28</v>
      </c>
      <c r="F3227">
        <f>IFERROR(__xludf.DUMMYFUNCTION("""COMPUTED_VALUE"""),2.53)</f>
        <v>2.53</v>
      </c>
      <c r="G3227">
        <f>IFERROR(__xludf.DUMMYFUNCTION("""COMPUTED_VALUE"""),8.99)</f>
        <v>8.99</v>
      </c>
    </row>
    <row r="3228">
      <c r="A3228">
        <f>IFERROR(__xludf.DUMMYFUNCTION("""COMPUTED_VALUE"""),788625.0)</f>
        <v>788625</v>
      </c>
      <c r="B3228" t="str">
        <f>IFERROR(__xludf.DUMMYFUNCTION("""COMPUTED_VALUE"""),"Mixed Vegetables Cooked Ns As To Form Made With Oil")</f>
        <v>Mixed Vegetables Cooked Ns As To Form Made With Oil</v>
      </c>
      <c r="C3228" t="str">
        <f>IFERROR(__xludf.DUMMYFUNCTION("""COMPUTED_VALUE"""),"Vegetables")</f>
        <v>Vegetables</v>
      </c>
      <c r="D3228">
        <f>IFERROR(__xludf.DUMMYFUNCTION("""COMPUTED_VALUE"""),85.0)</f>
        <v>85</v>
      </c>
      <c r="E3228">
        <f>IFERROR(__xludf.DUMMYFUNCTION("""COMPUTED_VALUE"""),2.57)</f>
        <v>2.57</v>
      </c>
      <c r="F3228">
        <f>IFERROR(__xludf.DUMMYFUNCTION("""COMPUTED_VALUE"""),2.78)</f>
        <v>2.78</v>
      </c>
      <c r="G3228">
        <f>IFERROR(__xludf.DUMMYFUNCTION("""COMPUTED_VALUE"""),12.7)</f>
        <v>12.7</v>
      </c>
    </row>
    <row r="3229">
      <c r="A3229">
        <f>IFERROR(__xludf.DUMMYFUNCTION("""COMPUTED_VALUE"""),788626.0)</f>
        <v>788626</v>
      </c>
      <c r="B3229" t="str">
        <f>IFERROR(__xludf.DUMMYFUNCTION("""COMPUTED_VALUE"""),"Mixed Vegetables Cooked Ns As To Form Made With Butter")</f>
        <v>Mixed Vegetables Cooked Ns As To Form Made With Butter</v>
      </c>
      <c r="C3229" t="str">
        <f>IFERROR(__xludf.DUMMYFUNCTION("""COMPUTED_VALUE"""),"Vegetables")</f>
        <v>Vegetables</v>
      </c>
      <c r="D3229">
        <f>IFERROR(__xludf.DUMMYFUNCTION("""COMPUTED_VALUE"""),81.0)</f>
        <v>81</v>
      </c>
      <c r="E3229">
        <f>IFERROR(__xludf.DUMMYFUNCTION("""COMPUTED_VALUE"""),2.19)</f>
        <v>2.19</v>
      </c>
      <c r="F3229">
        <f>IFERROR(__xludf.DUMMYFUNCTION("""COMPUTED_VALUE"""),2.79)</f>
        <v>2.79</v>
      </c>
      <c r="G3229">
        <f>IFERROR(__xludf.DUMMYFUNCTION("""COMPUTED_VALUE"""),12.69)</f>
        <v>12.69</v>
      </c>
    </row>
    <row r="3230">
      <c r="A3230">
        <f>IFERROR(__xludf.DUMMYFUNCTION("""COMPUTED_VALUE"""),788627.0)</f>
        <v>788627</v>
      </c>
      <c r="B3230" t="str">
        <f>IFERROR(__xludf.DUMMYFUNCTION("""COMPUTED_VALUE"""),"Mixed Vegetables Cooked Ns As To Form Made With Margarine")</f>
        <v>Mixed Vegetables Cooked Ns As To Form Made With Margarine</v>
      </c>
      <c r="C3230" t="str">
        <f>IFERROR(__xludf.DUMMYFUNCTION("""COMPUTED_VALUE"""),"Vegetables")</f>
        <v>Vegetables</v>
      </c>
      <c r="D3230">
        <f>IFERROR(__xludf.DUMMYFUNCTION("""COMPUTED_VALUE"""),77.0)</f>
        <v>77</v>
      </c>
      <c r="E3230">
        <f>IFERROR(__xludf.DUMMYFUNCTION("""COMPUTED_VALUE"""),1.66)</f>
        <v>1.66</v>
      </c>
      <c r="F3230">
        <f>IFERROR(__xludf.DUMMYFUNCTION("""COMPUTED_VALUE"""),2.78)</f>
        <v>2.78</v>
      </c>
      <c r="G3230">
        <f>IFERROR(__xludf.DUMMYFUNCTION("""COMPUTED_VALUE"""),12.71)</f>
        <v>12.71</v>
      </c>
    </row>
    <row r="3231">
      <c r="A3231">
        <f>IFERROR(__xludf.DUMMYFUNCTION("""COMPUTED_VALUE"""),788628.0)</f>
        <v>788628</v>
      </c>
      <c r="B3231" t="str">
        <f>IFERROR(__xludf.DUMMYFUNCTION("""COMPUTED_VALUE"""),"Mixed Vegetables Cooked From Frozen Made With Oil")</f>
        <v>Mixed Vegetables Cooked From Frozen Made With Oil</v>
      </c>
      <c r="C3231" t="str">
        <f>IFERROR(__xludf.DUMMYFUNCTION("""COMPUTED_VALUE"""),"Vegetables")</f>
        <v>Vegetables</v>
      </c>
      <c r="D3231">
        <f>IFERROR(__xludf.DUMMYFUNCTION("""COMPUTED_VALUE"""),85.0)</f>
        <v>85</v>
      </c>
      <c r="E3231">
        <f>IFERROR(__xludf.DUMMYFUNCTION("""COMPUTED_VALUE"""),2.57)</f>
        <v>2.57</v>
      </c>
      <c r="F3231">
        <f>IFERROR(__xludf.DUMMYFUNCTION("""COMPUTED_VALUE"""),2.78)</f>
        <v>2.78</v>
      </c>
      <c r="G3231">
        <f>IFERROR(__xludf.DUMMYFUNCTION("""COMPUTED_VALUE"""),12.7)</f>
        <v>12.7</v>
      </c>
    </row>
    <row r="3232">
      <c r="A3232">
        <f>IFERROR(__xludf.DUMMYFUNCTION("""COMPUTED_VALUE"""),788629.0)</f>
        <v>788629</v>
      </c>
      <c r="B3232" t="str">
        <f>IFERROR(__xludf.DUMMYFUNCTION("""COMPUTED_VALUE"""),"Mixed Vegetables Cooked From Frozen Made With Butter")</f>
        <v>Mixed Vegetables Cooked From Frozen Made With Butter</v>
      </c>
      <c r="C3232" t="str">
        <f>IFERROR(__xludf.DUMMYFUNCTION("""COMPUTED_VALUE"""),"Vegetables")</f>
        <v>Vegetables</v>
      </c>
      <c r="D3232">
        <f>IFERROR(__xludf.DUMMYFUNCTION("""COMPUTED_VALUE"""),81.0)</f>
        <v>81</v>
      </c>
      <c r="E3232">
        <f>IFERROR(__xludf.DUMMYFUNCTION("""COMPUTED_VALUE"""),2.19)</f>
        <v>2.19</v>
      </c>
      <c r="F3232">
        <f>IFERROR(__xludf.DUMMYFUNCTION("""COMPUTED_VALUE"""),2.79)</f>
        <v>2.79</v>
      </c>
      <c r="G3232">
        <f>IFERROR(__xludf.DUMMYFUNCTION("""COMPUTED_VALUE"""),12.69)</f>
        <v>12.69</v>
      </c>
    </row>
    <row r="3233">
      <c r="A3233">
        <f>IFERROR(__xludf.DUMMYFUNCTION("""COMPUTED_VALUE"""),788630.0)</f>
        <v>788630</v>
      </c>
      <c r="B3233" t="str">
        <f>IFERROR(__xludf.DUMMYFUNCTION("""COMPUTED_VALUE"""),"Mixed Vegetables Cooked From Frozen Made With Margarine")</f>
        <v>Mixed Vegetables Cooked From Frozen Made With Margarine</v>
      </c>
      <c r="C3233" t="str">
        <f>IFERROR(__xludf.DUMMYFUNCTION("""COMPUTED_VALUE"""),"Vegetables")</f>
        <v>Vegetables</v>
      </c>
      <c r="D3233">
        <f>IFERROR(__xludf.DUMMYFUNCTION("""COMPUTED_VALUE"""),77.0)</f>
        <v>77</v>
      </c>
      <c r="E3233">
        <f>IFERROR(__xludf.DUMMYFUNCTION("""COMPUTED_VALUE"""),1.66)</f>
        <v>1.66</v>
      </c>
      <c r="F3233">
        <f>IFERROR(__xludf.DUMMYFUNCTION("""COMPUTED_VALUE"""),2.78)</f>
        <v>2.78</v>
      </c>
      <c r="G3233">
        <f>IFERROR(__xludf.DUMMYFUNCTION("""COMPUTED_VALUE"""),12.71)</f>
        <v>12.71</v>
      </c>
    </row>
    <row r="3234">
      <c r="A3234">
        <f>IFERROR(__xludf.DUMMYFUNCTION("""COMPUTED_VALUE"""),788631.0)</f>
        <v>788631</v>
      </c>
      <c r="B3234" t="str">
        <f>IFERROR(__xludf.DUMMYFUNCTION("""COMPUTED_VALUE"""),"Mixed Vegetables Cooked From Canned Made With Oil")</f>
        <v>Mixed Vegetables Cooked From Canned Made With Oil</v>
      </c>
      <c r="C3234" t="str">
        <f>IFERROR(__xludf.DUMMYFUNCTION("""COMPUTED_VALUE"""),"Vegetables")</f>
        <v>Vegetables</v>
      </c>
      <c r="D3234">
        <f>IFERROR(__xludf.DUMMYFUNCTION("""COMPUTED_VALUE"""),72.0)</f>
        <v>72</v>
      </c>
      <c r="E3234">
        <f>IFERROR(__xludf.DUMMYFUNCTION("""COMPUTED_VALUE"""),2.95)</f>
        <v>2.95</v>
      </c>
      <c r="F3234">
        <f>IFERROR(__xludf.DUMMYFUNCTION("""COMPUTED_VALUE"""),2.51)</f>
        <v>2.51</v>
      </c>
      <c r="G3234">
        <f>IFERROR(__xludf.DUMMYFUNCTION("""COMPUTED_VALUE"""),8.99)</f>
        <v>8.99</v>
      </c>
    </row>
    <row r="3235">
      <c r="A3235">
        <f>IFERROR(__xludf.DUMMYFUNCTION("""COMPUTED_VALUE"""),788632.0)</f>
        <v>788632</v>
      </c>
      <c r="B3235" t="str">
        <f>IFERROR(__xludf.DUMMYFUNCTION("""COMPUTED_VALUE"""),"Mixed Vegetables Cooked From Canned Made With Butter")</f>
        <v>Mixed Vegetables Cooked From Canned Made With Butter</v>
      </c>
      <c r="C3235" t="str">
        <f>IFERROR(__xludf.DUMMYFUNCTION("""COMPUTED_VALUE"""),"Vegetables")</f>
        <v>Vegetables</v>
      </c>
      <c r="D3235">
        <f>IFERROR(__xludf.DUMMYFUNCTION("""COMPUTED_VALUE"""),68.0)</f>
        <v>68</v>
      </c>
      <c r="E3235">
        <f>IFERROR(__xludf.DUMMYFUNCTION("""COMPUTED_VALUE"""),2.52)</f>
        <v>2.52</v>
      </c>
      <c r="F3235">
        <f>IFERROR(__xludf.DUMMYFUNCTION("""COMPUTED_VALUE"""),2.54)</f>
        <v>2.54</v>
      </c>
      <c r="G3235">
        <f>IFERROR(__xludf.DUMMYFUNCTION("""COMPUTED_VALUE"""),8.98)</f>
        <v>8.98</v>
      </c>
    </row>
    <row r="3236">
      <c r="A3236">
        <f>IFERROR(__xludf.DUMMYFUNCTION("""COMPUTED_VALUE"""),788633.0)</f>
        <v>788633</v>
      </c>
      <c r="B3236" t="str">
        <f>IFERROR(__xludf.DUMMYFUNCTION("""COMPUTED_VALUE"""),"Mixed Vegetables Cooked From Canned Made With Margarine")</f>
        <v>Mixed Vegetables Cooked From Canned Made With Margarine</v>
      </c>
      <c r="C3236" t="str">
        <f>IFERROR(__xludf.DUMMYFUNCTION("""COMPUTED_VALUE"""),"Vegetables")</f>
        <v>Vegetables</v>
      </c>
      <c r="D3236">
        <f>IFERROR(__xludf.DUMMYFUNCTION("""COMPUTED_VALUE"""),63.0)</f>
        <v>63</v>
      </c>
      <c r="E3236">
        <f>IFERROR(__xludf.DUMMYFUNCTION("""COMPUTED_VALUE"""),1.94)</f>
        <v>1.94</v>
      </c>
      <c r="F3236">
        <f>IFERROR(__xludf.DUMMYFUNCTION("""COMPUTED_VALUE"""),2.52)</f>
        <v>2.52</v>
      </c>
      <c r="G3236">
        <f>IFERROR(__xludf.DUMMYFUNCTION("""COMPUTED_VALUE"""),9.0)</f>
        <v>9</v>
      </c>
    </row>
    <row r="3237">
      <c r="A3237">
        <f>IFERROR(__xludf.DUMMYFUNCTION("""COMPUTED_VALUE"""),788634.0)</f>
        <v>788634</v>
      </c>
      <c r="B3237" t="str">
        <f>IFERROR(__xludf.DUMMYFUNCTION("""COMPUTED_VALUE"""),"Mixed Vegetables Canned Low Sodium Ns As To Fat Added In Cooking")</f>
        <v>Mixed Vegetables Canned Low Sodium Ns As To Fat Added In Cooking</v>
      </c>
      <c r="C3237" t="str">
        <f>IFERROR(__xludf.DUMMYFUNCTION("""COMPUTED_VALUE"""),"Vegetables")</f>
        <v>Vegetables</v>
      </c>
      <c r="D3237">
        <f>IFERROR(__xludf.DUMMYFUNCTION("""COMPUTED_VALUE"""),52.0)</f>
        <v>52</v>
      </c>
      <c r="E3237">
        <f>IFERROR(__xludf.DUMMYFUNCTION("""COMPUTED_VALUE"""),2.03)</f>
        <v>2.03</v>
      </c>
      <c r="F3237">
        <f>IFERROR(__xludf.DUMMYFUNCTION("""COMPUTED_VALUE"""),1.38)</f>
        <v>1.38</v>
      </c>
      <c r="G3237">
        <f>IFERROR(__xludf.DUMMYFUNCTION("""COMPUTED_VALUE"""),7.13)</f>
        <v>7.13</v>
      </c>
    </row>
    <row r="3238">
      <c r="A3238">
        <f>IFERROR(__xludf.DUMMYFUNCTION("""COMPUTED_VALUE"""),788636.0)</f>
        <v>788636</v>
      </c>
      <c r="B3238" t="str">
        <f>IFERROR(__xludf.DUMMYFUNCTION("""COMPUTED_VALUE"""),"Mixed Vegetables Canned Low Sodium Fat Added In Cooking Ns As To Type Of Fat")</f>
        <v>Mixed Vegetables Canned Low Sodium Fat Added In Cooking Ns As To Type Of Fat</v>
      </c>
      <c r="C3238" t="str">
        <f>IFERROR(__xludf.DUMMYFUNCTION("""COMPUTED_VALUE"""),"Vegetables")</f>
        <v>Vegetables</v>
      </c>
      <c r="D3238">
        <f>IFERROR(__xludf.DUMMYFUNCTION("""COMPUTED_VALUE"""),52.0)</f>
        <v>52</v>
      </c>
      <c r="E3238">
        <f>IFERROR(__xludf.DUMMYFUNCTION("""COMPUTED_VALUE"""),2.03)</f>
        <v>2.03</v>
      </c>
      <c r="F3238">
        <f>IFERROR(__xludf.DUMMYFUNCTION("""COMPUTED_VALUE"""),1.38)</f>
        <v>1.38</v>
      </c>
      <c r="G3238">
        <f>IFERROR(__xludf.DUMMYFUNCTION("""COMPUTED_VALUE"""),7.13)</f>
        <v>7.13</v>
      </c>
    </row>
    <row r="3239">
      <c r="A3239">
        <f>IFERROR(__xludf.DUMMYFUNCTION("""COMPUTED_VALUE"""),788637.0)</f>
        <v>788637</v>
      </c>
      <c r="B3239" t="str">
        <f>IFERROR(__xludf.DUMMYFUNCTION("""COMPUTED_VALUE"""),"Mixed Vegetables Canned Low Sodium Made With Oil")</f>
        <v>Mixed Vegetables Canned Low Sodium Made With Oil</v>
      </c>
      <c r="C3239" t="str">
        <f>IFERROR(__xludf.DUMMYFUNCTION("""COMPUTED_VALUE"""),"Vegetables")</f>
        <v>Vegetables</v>
      </c>
      <c r="D3239">
        <f>IFERROR(__xludf.DUMMYFUNCTION("""COMPUTED_VALUE"""),58.0)</f>
        <v>58</v>
      </c>
      <c r="E3239">
        <f>IFERROR(__xludf.DUMMYFUNCTION("""COMPUTED_VALUE"""),2.63)</f>
        <v>2.63</v>
      </c>
      <c r="F3239">
        <f>IFERROR(__xludf.DUMMYFUNCTION("""COMPUTED_VALUE"""),1.37)</f>
        <v>1.37</v>
      </c>
      <c r="G3239">
        <f>IFERROR(__xludf.DUMMYFUNCTION("""COMPUTED_VALUE"""),7.13)</f>
        <v>7.13</v>
      </c>
    </row>
    <row r="3240">
      <c r="A3240">
        <f>IFERROR(__xludf.DUMMYFUNCTION("""COMPUTED_VALUE"""),788638.0)</f>
        <v>788638</v>
      </c>
      <c r="B3240" t="str">
        <f>IFERROR(__xludf.DUMMYFUNCTION("""COMPUTED_VALUE"""),"Mixed Vegetables Canned Low Sodium Made With Butter")</f>
        <v>Mixed Vegetables Canned Low Sodium Made With Butter</v>
      </c>
      <c r="C3240" t="str">
        <f>IFERROR(__xludf.DUMMYFUNCTION("""COMPUTED_VALUE"""),"Vegetables")</f>
        <v>Vegetables</v>
      </c>
      <c r="D3240">
        <f>IFERROR(__xludf.DUMMYFUNCTION("""COMPUTED_VALUE"""),54.0)</f>
        <v>54</v>
      </c>
      <c r="E3240">
        <f>IFERROR(__xludf.DUMMYFUNCTION("""COMPUTED_VALUE"""),2.25)</f>
        <v>2.25</v>
      </c>
      <c r="F3240">
        <f>IFERROR(__xludf.DUMMYFUNCTION("""COMPUTED_VALUE"""),1.39)</f>
        <v>1.39</v>
      </c>
      <c r="G3240">
        <f>IFERROR(__xludf.DUMMYFUNCTION("""COMPUTED_VALUE"""),7.13)</f>
        <v>7.13</v>
      </c>
    </row>
    <row r="3241">
      <c r="A3241">
        <f>IFERROR(__xludf.DUMMYFUNCTION("""COMPUTED_VALUE"""),788639.0)</f>
        <v>788639</v>
      </c>
      <c r="B3241" t="str">
        <f>IFERROR(__xludf.DUMMYFUNCTION("""COMPUTED_VALUE"""),"Mixed Vegetables Canned Low Sodium Made With Margarine")</f>
        <v>Mixed Vegetables Canned Low Sodium Made With Margarine</v>
      </c>
      <c r="C3241" t="str">
        <f>IFERROR(__xludf.DUMMYFUNCTION("""COMPUTED_VALUE"""),"Vegetables")</f>
        <v>Vegetables</v>
      </c>
      <c r="D3241">
        <f>IFERROR(__xludf.DUMMYFUNCTION("""COMPUTED_VALUE"""),50.0)</f>
        <v>50</v>
      </c>
      <c r="E3241">
        <f>IFERROR(__xludf.DUMMYFUNCTION("""COMPUTED_VALUE"""),1.72)</f>
        <v>1.72</v>
      </c>
      <c r="F3241">
        <f>IFERROR(__xludf.DUMMYFUNCTION("""COMPUTED_VALUE"""),1.37)</f>
        <v>1.37</v>
      </c>
      <c r="G3241">
        <f>IFERROR(__xludf.DUMMYFUNCTION("""COMPUTED_VALUE"""),7.14)</f>
        <v>7.14</v>
      </c>
    </row>
    <row r="3242">
      <c r="A3242">
        <f>IFERROR(__xludf.DUMMYFUNCTION("""COMPUTED_VALUE"""),788640.0)</f>
        <v>788640</v>
      </c>
      <c r="B3242" t="str">
        <f>IFERROR(__xludf.DUMMYFUNCTION("""COMPUTED_VALUE"""),"Peas And Corn Cooked Ns As To Fat Added In Cooking")</f>
        <v>Peas And Corn Cooked Ns As To Fat Added In Cooking</v>
      </c>
      <c r="C3242" t="str">
        <f>IFERROR(__xludf.DUMMYFUNCTION("""COMPUTED_VALUE"""),"Vegetables")</f>
        <v>Vegetables</v>
      </c>
      <c r="D3242">
        <f>IFERROR(__xludf.DUMMYFUNCTION("""COMPUTED_VALUE"""),105.0)</f>
        <v>105</v>
      </c>
      <c r="E3242">
        <f>IFERROR(__xludf.DUMMYFUNCTION("""COMPUTED_VALUE"""),2.88)</f>
        <v>2.88</v>
      </c>
      <c r="F3242">
        <f>IFERROR(__xludf.DUMMYFUNCTION("""COMPUTED_VALUE"""),4.24)</f>
        <v>4.24</v>
      </c>
      <c r="G3242">
        <f>IFERROR(__xludf.DUMMYFUNCTION("""COMPUTED_VALUE"""),17.72)</f>
        <v>17.72</v>
      </c>
    </row>
    <row r="3243">
      <c r="A3243">
        <f>IFERROR(__xludf.DUMMYFUNCTION("""COMPUTED_VALUE"""),788641.0)</f>
        <v>788641</v>
      </c>
      <c r="B3243" t="str">
        <f>IFERROR(__xludf.DUMMYFUNCTION("""COMPUTED_VALUE"""),"Peas And Corn Cooked Fat Not Added In Cooking")</f>
        <v>Peas And Corn Cooked Fat Not Added In Cooking</v>
      </c>
      <c r="C3243" t="str">
        <f>IFERROR(__xludf.DUMMYFUNCTION("""COMPUTED_VALUE"""),"Vegetables")</f>
        <v>Vegetables</v>
      </c>
      <c r="D3243">
        <f>IFERROR(__xludf.DUMMYFUNCTION("""COMPUTED_VALUE"""),90.0)</f>
        <v>90</v>
      </c>
      <c r="E3243">
        <f>IFERROR(__xludf.DUMMYFUNCTION("""COMPUTED_VALUE"""),0.86)</f>
        <v>0.86</v>
      </c>
      <c r="F3243">
        <f>IFERROR(__xludf.DUMMYFUNCTION("""COMPUTED_VALUE"""),4.35)</f>
        <v>4.35</v>
      </c>
      <c r="G3243">
        <f>IFERROR(__xludf.DUMMYFUNCTION("""COMPUTED_VALUE"""),18.23)</f>
        <v>18.23</v>
      </c>
    </row>
    <row r="3244">
      <c r="A3244">
        <f>IFERROR(__xludf.DUMMYFUNCTION("""COMPUTED_VALUE"""),788642.0)</f>
        <v>788642</v>
      </c>
      <c r="B3244" t="str">
        <f>IFERROR(__xludf.DUMMYFUNCTION("""COMPUTED_VALUE"""),"Peas And Corn Cooked Fat Added In Cooking Ns As To Type Of Fat")</f>
        <v>Peas And Corn Cooked Fat Added In Cooking Ns As To Type Of Fat</v>
      </c>
      <c r="C3244" t="str">
        <f>IFERROR(__xludf.DUMMYFUNCTION("""COMPUTED_VALUE"""),"Vegetables")</f>
        <v>Vegetables</v>
      </c>
      <c r="D3244">
        <f>IFERROR(__xludf.DUMMYFUNCTION("""COMPUTED_VALUE"""),105.0)</f>
        <v>105</v>
      </c>
      <c r="E3244">
        <f>IFERROR(__xludf.DUMMYFUNCTION("""COMPUTED_VALUE"""),2.88)</f>
        <v>2.88</v>
      </c>
      <c r="F3244">
        <f>IFERROR(__xludf.DUMMYFUNCTION("""COMPUTED_VALUE"""),4.24)</f>
        <v>4.24</v>
      </c>
      <c r="G3244">
        <f>IFERROR(__xludf.DUMMYFUNCTION("""COMPUTED_VALUE"""),17.72)</f>
        <v>17.72</v>
      </c>
    </row>
    <row r="3245">
      <c r="A3245">
        <f>IFERROR(__xludf.DUMMYFUNCTION("""COMPUTED_VALUE"""),788643.0)</f>
        <v>788643</v>
      </c>
      <c r="B3245" t="str">
        <f>IFERROR(__xludf.DUMMYFUNCTION("""COMPUTED_VALUE"""),"Peas And Corn Cooked Made With Oil")</f>
        <v>Peas And Corn Cooked Made With Oil</v>
      </c>
      <c r="C3245" t="str">
        <f>IFERROR(__xludf.DUMMYFUNCTION("""COMPUTED_VALUE"""),"Vegetables")</f>
        <v>Vegetables</v>
      </c>
      <c r="D3245">
        <f>IFERROR(__xludf.DUMMYFUNCTION("""COMPUTED_VALUE"""),111.0)</f>
        <v>111</v>
      </c>
      <c r="E3245">
        <f>IFERROR(__xludf.DUMMYFUNCTION("""COMPUTED_VALUE"""),3.55)</f>
        <v>3.55</v>
      </c>
      <c r="F3245">
        <f>IFERROR(__xludf.DUMMYFUNCTION("""COMPUTED_VALUE"""),4.23)</f>
        <v>4.23</v>
      </c>
      <c r="G3245">
        <f>IFERROR(__xludf.DUMMYFUNCTION("""COMPUTED_VALUE"""),17.73)</f>
        <v>17.73</v>
      </c>
    </row>
    <row r="3246">
      <c r="A3246">
        <f>IFERROR(__xludf.DUMMYFUNCTION("""COMPUTED_VALUE"""),788644.0)</f>
        <v>788644</v>
      </c>
      <c r="B3246" t="str">
        <f>IFERROR(__xludf.DUMMYFUNCTION("""COMPUTED_VALUE"""),"Peas And Corn Cooked Made With Butter")</f>
        <v>Peas And Corn Cooked Made With Butter</v>
      </c>
      <c r="C3246" t="str">
        <f>IFERROR(__xludf.DUMMYFUNCTION("""COMPUTED_VALUE"""),"Vegetables")</f>
        <v>Vegetables</v>
      </c>
      <c r="D3246">
        <f>IFERROR(__xludf.DUMMYFUNCTION("""COMPUTED_VALUE"""),107.0)</f>
        <v>107</v>
      </c>
      <c r="E3246">
        <f>IFERROR(__xludf.DUMMYFUNCTION("""COMPUTED_VALUE"""),3.12)</f>
        <v>3.12</v>
      </c>
      <c r="F3246">
        <f>IFERROR(__xludf.DUMMYFUNCTION("""COMPUTED_VALUE"""),4.25)</f>
        <v>4.25</v>
      </c>
      <c r="G3246">
        <f>IFERROR(__xludf.DUMMYFUNCTION("""COMPUTED_VALUE"""),17.71)</f>
        <v>17.71</v>
      </c>
    </row>
    <row r="3247">
      <c r="A3247">
        <f>IFERROR(__xludf.DUMMYFUNCTION("""COMPUTED_VALUE"""),788645.0)</f>
        <v>788645</v>
      </c>
      <c r="B3247" t="str">
        <f>IFERROR(__xludf.DUMMYFUNCTION("""COMPUTED_VALUE"""),"Peas And Corn Cooked Made With Margarine")</f>
        <v>Peas And Corn Cooked Made With Margarine</v>
      </c>
      <c r="C3247" t="str">
        <f>IFERROR(__xludf.DUMMYFUNCTION("""COMPUTED_VALUE"""),"Vegetables")</f>
        <v>Vegetables</v>
      </c>
      <c r="D3247">
        <f>IFERROR(__xludf.DUMMYFUNCTION("""COMPUTED_VALUE"""),102.0)</f>
        <v>102</v>
      </c>
      <c r="E3247">
        <f>IFERROR(__xludf.DUMMYFUNCTION("""COMPUTED_VALUE"""),2.54)</f>
        <v>2.54</v>
      </c>
      <c r="F3247">
        <f>IFERROR(__xludf.DUMMYFUNCTION("""COMPUTED_VALUE"""),4.23)</f>
        <v>4.23</v>
      </c>
      <c r="G3247">
        <f>IFERROR(__xludf.DUMMYFUNCTION("""COMPUTED_VALUE"""),17.73)</f>
        <v>17.73</v>
      </c>
    </row>
    <row r="3248">
      <c r="A3248">
        <f>IFERROR(__xludf.DUMMYFUNCTION("""COMPUTED_VALUE"""),788646.0)</f>
        <v>788646</v>
      </c>
      <c r="B3248" t="str">
        <f>IFERROR(__xludf.DUMMYFUNCTION("""COMPUTED_VALUE"""),"Peas And Onions Cooked Ns As To Fat Added In Cooking")</f>
        <v>Peas And Onions Cooked Ns As To Fat Added In Cooking</v>
      </c>
      <c r="C3248" t="str">
        <f>IFERROR(__xludf.DUMMYFUNCTION("""COMPUTED_VALUE"""),"Vegetables")</f>
        <v>Vegetables</v>
      </c>
      <c r="D3248">
        <f>IFERROR(__xludf.DUMMYFUNCTION("""COMPUTED_VALUE"""),60.0)</f>
        <v>60</v>
      </c>
      <c r="E3248">
        <f>IFERROR(__xludf.DUMMYFUNCTION("""COMPUTED_VALUE"""),2.04)</f>
        <v>2.04</v>
      </c>
      <c r="F3248">
        <f>IFERROR(__xludf.DUMMYFUNCTION("""COMPUTED_VALUE"""),2.48)</f>
        <v>2.48</v>
      </c>
      <c r="G3248">
        <f>IFERROR(__xludf.DUMMYFUNCTION("""COMPUTED_VALUE"""),8.37)</f>
        <v>8.37</v>
      </c>
    </row>
    <row r="3249">
      <c r="A3249">
        <f>IFERROR(__xludf.DUMMYFUNCTION("""COMPUTED_VALUE"""),788647.0)</f>
        <v>788647</v>
      </c>
      <c r="B3249" t="str">
        <f>IFERROR(__xludf.DUMMYFUNCTION("""COMPUTED_VALUE"""),"Peas And Onions Cooked Fat Not Added In Cooking")</f>
        <v>Peas And Onions Cooked Fat Not Added In Cooking</v>
      </c>
      <c r="C3249" t="str">
        <f>IFERROR(__xludf.DUMMYFUNCTION("""COMPUTED_VALUE"""),"Vegetables")</f>
        <v>Vegetables</v>
      </c>
      <c r="D3249">
        <f>IFERROR(__xludf.DUMMYFUNCTION("""COMPUTED_VALUE"""),45.0)</f>
        <v>45</v>
      </c>
      <c r="E3249">
        <f>IFERROR(__xludf.DUMMYFUNCTION("""COMPUTED_VALUE"""),0.2)</f>
        <v>0.2</v>
      </c>
      <c r="F3249">
        <f>IFERROR(__xludf.DUMMYFUNCTION("""COMPUTED_VALUE"""),2.53)</f>
        <v>2.53</v>
      </c>
      <c r="G3249">
        <f>IFERROR(__xludf.DUMMYFUNCTION("""COMPUTED_VALUE"""),8.58)</f>
        <v>8.58</v>
      </c>
    </row>
    <row r="3250">
      <c r="A3250">
        <f>IFERROR(__xludf.DUMMYFUNCTION("""COMPUTED_VALUE"""),788648.0)</f>
        <v>788648</v>
      </c>
      <c r="B3250" t="str">
        <f>IFERROR(__xludf.DUMMYFUNCTION("""COMPUTED_VALUE"""),"Peas And Onions Cooked Fat Added In Cooking Ns As To Type Of Fat")</f>
        <v>Peas And Onions Cooked Fat Added In Cooking Ns As To Type Of Fat</v>
      </c>
      <c r="C3250" t="str">
        <f>IFERROR(__xludf.DUMMYFUNCTION("""COMPUTED_VALUE"""),"Vegetables")</f>
        <v>Vegetables</v>
      </c>
      <c r="D3250">
        <f>IFERROR(__xludf.DUMMYFUNCTION("""COMPUTED_VALUE"""),60.0)</f>
        <v>60</v>
      </c>
      <c r="E3250">
        <f>IFERROR(__xludf.DUMMYFUNCTION("""COMPUTED_VALUE"""),2.04)</f>
        <v>2.04</v>
      </c>
      <c r="F3250">
        <f>IFERROR(__xludf.DUMMYFUNCTION("""COMPUTED_VALUE"""),2.48)</f>
        <v>2.48</v>
      </c>
      <c r="G3250">
        <f>IFERROR(__xludf.DUMMYFUNCTION("""COMPUTED_VALUE"""),8.37)</f>
        <v>8.37</v>
      </c>
    </row>
    <row r="3251">
      <c r="A3251">
        <f>IFERROR(__xludf.DUMMYFUNCTION("""COMPUTED_VALUE"""),788649.0)</f>
        <v>788649</v>
      </c>
      <c r="B3251" t="str">
        <f>IFERROR(__xludf.DUMMYFUNCTION("""COMPUTED_VALUE"""),"Peas And Onions Cooked Made With Oil")</f>
        <v>Peas And Onions Cooked Made With Oil</v>
      </c>
      <c r="C3251" t="str">
        <f>IFERROR(__xludf.DUMMYFUNCTION("""COMPUTED_VALUE"""),"Vegetables")</f>
        <v>Vegetables</v>
      </c>
      <c r="D3251">
        <f>IFERROR(__xludf.DUMMYFUNCTION("""COMPUTED_VALUE"""),65.0)</f>
        <v>65</v>
      </c>
      <c r="E3251">
        <f>IFERROR(__xludf.DUMMYFUNCTION("""COMPUTED_VALUE"""),2.64)</f>
        <v>2.64</v>
      </c>
      <c r="F3251">
        <f>IFERROR(__xludf.DUMMYFUNCTION("""COMPUTED_VALUE"""),2.46)</f>
        <v>2.46</v>
      </c>
      <c r="G3251">
        <f>IFERROR(__xludf.DUMMYFUNCTION("""COMPUTED_VALUE"""),8.37)</f>
        <v>8.37</v>
      </c>
    </row>
    <row r="3252">
      <c r="A3252">
        <f>IFERROR(__xludf.DUMMYFUNCTION("""COMPUTED_VALUE"""),788650.0)</f>
        <v>788650</v>
      </c>
      <c r="B3252" t="str">
        <f>IFERROR(__xludf.DUMMYFUNCTION("""COMPUTED_VALUE"""),"Peas And Onions Cooked Made With Butter")</f>
        <v>Peas And Onions Cooked Made With Butter</v>
      </c>
      <c r="C3252" t="str">
        <f>IFERROR(__xludf.DUMMYFUNCTION("""COMPUTED_VALUE"""),"Vegetables")</f>
        <v>Vegetables</v>
      </c>
      <c r="D3252">
        <f>IFERROR(__xludf.DUMMYFUNCTION("""COMPUTED_VALUE"""),62.0)</f>
        <v>62</v>
      </c>
      <c r="E3252">
        <f>IFERROR(__xludf.DUMMYFUNCTION("""COMPUTED_VALUE"""),2.26)</f>
        <v>2.26</v>
      </c>
      <c r="F3252">
        <f>IFERROR(__xludf.DUMMYFUNCTION("""COMPUTED_VALUE"""),2.48)</f>
        <v>2.48</v>
      </c>
      <c r="G3252">
        <f>IFERROR(__xludf.DUMMYFUNCTION("""COMPUTED_VALUE"""),8.36)</f>
        <v>8.36</v>
      </c>
    </row>
    <row r="3253">
      <c r="A3253">
        <f>IFERROR(__xludf.DUMMYFUNCTION("""COMPUTED_VALUE"""),788651.0)</f>
        <v>788651</v>
      </c>
      <c r="B3253" t="str">
        <f>IFERROR(__xludf.DUMMYFUNCTION("""COMPUTED_VALUE"""),"Peas And Onions Cooked Made With Margarine")</f>
        <v>Peas And Onions Cooked Made With Margarine</v>
      </c>
      <c r="C3253" t="str">
        <f>IFERROR(__xludf.DUMMYFUNCTION("""COMPUTED_VALUE"""),"Vegetables")</f>
        <v>Vegetables</v>
      </c>
      <c r="D3253">
        <f>IFERROR(__xludf.DUMMYFUNCTION("""COMPUTED_VALUE"""),57.0)</f>
        <v>57</v>
      </c>
      <c r="E3253">
        <f>IFERROR(__xludf.DUMMYFUNCTION("""COMPUTED_VALUE"""),1.73)</f>
        <v>1.73</v>
      </c>
      <c r="F3253">
        <f>IFERROR(__xludf.DUMMYFUNCTION("""COMPUTED_VALUE"""),2.46)</f>
        <v>2.46</v>
      </c>
      <c r="G3253">
        <f>IFERROR(__xludf.DUMMYFUNCTION("""COMPUTED_VALUE"""),8.38)</f>
        <v>8.38</v>
      </c>
    </row>
    <row r="3254">
      <c r="A3254">
        <f>IFERROR(__xludf.DUMMYFUNCTION("""COMPUTED_VALUE"""),788652.0)</f>
        <v>788652</v>
      </c>
      <c r="B3254" t="str">
        <f>IFERROR(__xludf.DUMMYFUNCTION("""COMPUTED_VALUE"""),"Peas And Mushrooms Cooked Ns As To Fat Added In Cooking")</f>
        <v>Peas And Mushrooms Cooked Ns As To Fat Added In Cooking</v>
      </c>
      <c r="C3254" t="str">
        <f>IFERROR(__xludf.DUMMYFUNCTION("""COMPUTED_VALUE"""),"Vegetables")</f>
        <v>Vegetables</v>
      </c>
      <c r="D3254">
        <f>IFERROR(__xludf.DUMMYFUNCTION("""COMPUTED_VALUE"""),82.0)</f>
        <v>82</v>
      </c>
      <c r="E3254">
        <f>IFERROR(__xludf.DUMMYFUNCTION("""COMPUTED_VALUE"""),2.39)</f>
        <v>2.39</v>
      </c>
      <c r="F3254">
        <f>IFERROR(__xludf.DUMMYFUNCTION("""COMPUTED_VALUE"""),4.28)</f>
        <v>4.28</v>
      </c>
      <c r="G3254">
        <f>IFERROR(__xludf.DUMMYFUNCTION("""COMPUTED_VALUE"""),11.65)</f>
        <v>11.65</v>
      </c>
    </row>
    <row r="3255">
      <c r="A3255">
        <f>IFERROR(__xludf.DUMMYFUNCTION("""COMPUTED_VALUE"""),788653.0)</f>
        <v>788653</v>
      </c>
      <c r="B3255" t="str">
        <f>IFERROR(__xludf.DUMMYFUNCTION("""COMPUTED_VALUE"""),"Peas And Mushrooms Cooked Fat Not Added In Cooking")</f>
        <v>Peas And Mushrooms Cooked Fat Not Added In Cooking</v>
      </c>
      <c r="C3255" t="str">
        <f>IFERROR(__xludf.DUMMYFUNCTION("""COMPUTED_VALUE"""),"Vegetables")</f>
        <v>Vegetables</v>
      </c>
      <c r="D3255">
        <f>IFERROR(__xludf.DUMMYFUNCTION("""COMPUTED_VALUE"""),65.0)</f>
        <v>65</v>
      </c>
      <c r="E3255">
        <f>IFERROR(__xludf.DUMMYFUNCTION("""COMPUTED_VALUE"""),0.32)</f>
        <v>0.32</v>
      </c>
      <c r="F3255">
        <f>IFERROR(__xludf.DUMMYFUNCTION("""COMPUTED_VALUE"""),4.39)</f>
        <v>4.39</v>
      </c>
      <c r="G3255">
        <f>IFERROR(__xludf.DUMMYFUNCTION("""COMPUTED_VALUE"""),11.98)</f>
        <v>11.98</v>
      </c>
    </row>
    <row r="3256">
      <c r="A3256">
        <f>IFERROR(__xludf.DUMMYFUNCTION("""COMPUTED_VALUE"""),788654.0)</f>
        <v>788654</v>
      </c>
      <c r="B3256" t="str">
        <f>IFERROR(__xludf.DUMMYFUNCTION("""COMPUTED_VALUE"""),"Peas And Mushrooms Cooked Fat Added In Cooking Ns As To Type Of Fat")</f>
        <v>Peas And Mushrooms Cooked Fat Added In Cooking Ns As To Type Of Fat</v>
      </c>
      <c r="C3256" t="str">
        <f>IFERROR(__xludf.DUMMYFUNCTION("""COMPUTED_VALUE"""),"Vegetables")</f>
        <v>Vegetables</v>
      </c>
      <c r="D3256">
        <f>IFERROR(__xludf.DUMMYFUNCTION("""COMPUTED_VALUE"""),82.0)</f>
        <v>82</v>
      </c>
      <c r="E3256">
        <f>IFERROR(__xludf.DUMMYFUNCTION("""COMPUTED_VALUE"""),2.39)</f>
        <v>2.39</v>
      </c>
      <c r="F3256">
        <f>IFERROR(__xludf.DUMMYFUNCTION("""COMPUTED_VALUE"""),4.28)</f>
        <v>4.28</v>
      </c>
      <c r="G3256">
        <f>IFERROR(__xludf.DUMMYFUNCTION("""COMPUTED_VALUE"""),11.65)</f>
        <v>11.65</v>
      </c>
    </row>
    <row r="3257">
      <c r="A3257">
        <f>IFERROR(__xludf.DUMMYFUNCTION("""COMPUTED_VALUE"""),788655.0)</f>
        <v>788655</v>
      </c>
      <c r="B3257" t="str">
        <f>IFERROR(__xludf.DUMMYFUNCTION("""COMPUTED_VALUE"""),"Peas And Mushrooms Cooked Made With Oil")</f>
        <v>Peas And Mushrooms Cooked Made With Oil</v>
      </c>
      <c r="C3257" t="str">
        <f>IFERROR(__xludf.DUMMYFUNCTION("""COMPUTED_VALUE"""),"Vegetables")</f>
        <v>Vegetables</v>
      </c>
      <c r="D3257">
        <f>IFERROR(__xludf.DUMMYFUNCTION("""COMPUTED_VALUE"""),88.0)</f>
        <v>88</v>
      </c>
      <c r="E3257">
        <f>IFERROR(__xludf.DUMMYFUNCTION("""COMPUTED_VALUE"""),3.07)</f>
        <v>3.07</v>
      </c>
      <c r="F3257">
        <f>IFERROR(__xludf.DUMMYFUNCTION("""COMPUTED_VALUE"""),4.27)</f>
        <v>4.27</v>
      </c>
      <c r="G3257">
        <f>IFERROR(__xludf.DUMMYFUNCTION("""COMPUTED_VALUE"""),11.65)</f>
        <v>11.65</v>
      </c>
    </row>
    <row r="3258">
      <c r="A3258">
        <f>IFERROR(__xludf.DUMMYFUNCTION("""COMPUTED_VALUE"""),788656.0)</f>
        <v>788656</v>
      </c>
      <c r="B3258" t="str">
        <f>IFERROR(__xludf.DUMMYFUNCTION("""COMPUTED_VALUE"""),"Peas And Mushrooms Cooked Made With Butter")</f>
        <v>Peas And Mushrooms Cooked Made With Butter</v>
      </c>
      <c r="C3258" t="str">
        <f>IFERROR(__xludf.DUMMYFUNCTION("""COMPUTED_VALUE"""),"Vegetables")</f>
        <v>Vegetables</v>
      </c>
      <c r="D3258">
        <f>IFERROR(__xludf.DUMMYFUNCTION("""COMPUTED_VALUE"""),84.0)</f>
        <v>84</v>
      </c>
      <c r="E3258">
        <f>IFERROR(__xludf.DUMMYFUNCTION("""COMPUTED_VALUE"""),2.64)</f>
        <v>2.64</v>
      </c>
      <c r="F3258">
        <f>IFERROR(__xludf.DUMMYFUNCTION("""COMPUTED_VALUE"""),4.29)</f>
        <v>4.29</v>
      </c>
      <c r="G3258">
        <f>IFERROR(__xludf.DUMMYFUNCTION("""COMPUTED_VALUE"""),11.64)</f>
        <v>11.64</v>
      </c>
    </row>
    <row r="3259">
      <c r="A3259">
        <f>IFERROR(__xludf.DUMMYFUNCTION("""COMPUTED_VALUE"""),788657.0)</f>
        <v>788657</v>
      </c>
      <c r="B3259" t="str">
        <f>IFERROR(__xludf.DUMMYFUNCTION("""COMPUTED_VALUE"""),"Peas And Mushrooms Cooked Made With Margarine")</f>
        <v>Peas And Mushrooms Cooked Made With Margarine</v>
      </c>
      <c r="C3259" t="str">
        <f>IFERROR(__xludf.DUMMYFUNCTION("""COMPUTED_VALUE"""),"Vegetables")</f>
        <v>Vegetables</v>
      </c>
      <c r="D3259">
        <f>IFERROR(__xludf.DUMMYFUNCTION("""COMPUTED_VALUE"""),79.0)</f>
        <v>79</v>
      </c>
      <c r="E3259">
        <f>IFERROR(__xludf.DUMMYFUNCTION("""COMPUTED_VALUE"""),2.04)</f>
        <v>2.04</v>
      </c>
      <c r="F3259">
        <f>IFERROR(__xludf.DUMMYFUNCTION("""COMPUTED_VALUE"""),4.27)</f>
        <v>4.27</v>
      </c>
      <c r="G3259">
        <f>IFERROR(__xludf.DUMMYFUNCTION("""COMPUTED_VALUE"""),11.66)</f>
        <v>11.66</v>
      </c>
    </row>
    <row r="3260">
      <c r="A3260">
        <f>IFERROR(__xludf.DUMMYFUNCTION("""COMPUTED_VALUE"""),788658.0)</f>
        <v>788658</v>
      </c>
      <c r="B3260" t="str">
        <f>IFERROR(__xludf.DUMMYFUNCTION("""COMPUTED_VALUE"""),"Cowpeas With Snap Beans Cooked Ns As To Fat Added In Cooking")</f>
        <v>Cowpeas With Snap Beans Cooked Ns As To Fat Added In Cooking</v>
      </c>
      <c r="C3260" t="str">
        <f>IFERROR(__xludf.DUMMYFUNCTION("""COMPUTED_VALUE"""),"Vegetables")</f>
        <v>Vegetables</v>
      </c>
      <c r="D3260">
        <f>IFERROR(__xludf.DUMMYFUNCTION("""COMPUTED_VALUE"""),107.0)</f>
        <v>107</v>
      </c>
      <c r="E3260">
        <f>IFERROR(__xludf.DUMMYFUNCTION("""COMPUTED_VALUE"""),3.18)</f>
        <v>3.18</v>
      </c>
      <c r="F3260">
        <f>IFERROR(__xludf.DUMMYFUNCTION("""COMPUTED_VALUE"""),2.81)</f>
        <v>2.81</v>
      </c>
      <c r="G3260">
        <f>IFERROR(__xludf.DUMMYFUNCTION("""COMPUTED_VALUE"""),17.2)</f>
        <v>17.2</v>
      </c>
    </row>
    <row r="3261">
      <c r="A3261">
        <f>IFERROR(__xludf.DUMMYFUNCTION("""COMPUTED_VALUE"""),788659.0)</f>
        <v>788659</v>
      </c>
      <c r="B3261" t="str">
        <f>IFERROR(__xludf.DUMMYFUNCTION("""COMPUTED_VALUE"""),"Cowpeas With Snap Beans Cooked Fat Not Added In Cooking")</f>
        <v>Cowpeas With Snap Beans Cooked Fat Not Added In Cooking</v>
      </c>
      <c r="C3261" t="str">
        <f>IFERROR(__xludf.DUMMYFUNCTION("""COMPUTED_VALUE"""),"Vegetables")</f>
        <v>Vegetables</v>
      </c>
      <c r="D3261">
        <f>IFERROR(__xludf.DUMMYFUNCTION("""COMPUTED_VALUE"""),84.0)</f>
        <v>84</v>
      </c>
      <c r="E3261">
        <f>IFERROR(__xludf.DUMMYFUNCTION("""COMPUTED_VALUE"""),0.36)</f>
        <v>0.36</v>
      </c>
      <c r="F3261">
        <f>IFERROR(__xludf.DUMMYFUNCTION("""COMPUTED_VALUE"""),2.89)</f>
        <v>2.89</v>
      </c>
      <c r="G3261">
        <f>IFERROR(__xludf.DUMMYFUNCTION("""COMPUTED_VALUE"""),17.7)</f>
        <v>17.7</v>
      </c>
    </row>
    <row r="3262">
      <c r="A3262">
        <f>IFERROR(__xludf.DUMMYFUNCTION("""COMPUTED_VALUE"""),788660.0)</f>
        <v>788660</v>
      </c>
      <c r="B3262" t="str">
        <f>IFERROR(__xludf.DUMMYFUNCTION("""COMPUTED_VALUE"""),"Cowpeas With Snap Beans Cooked Fat Added In Cooking")</f>
        <v>Cowpeas With Snap Beans Cooked Fat Added In Cooking</v>
      </c>
      <c r="C3262" t="str">
        <f>IFERROR(__xludf.DUMMYFUNCTION("""COMPUTED_VALUE"""),"Vegetables")</f>
        <v>Vegetables</v>
      </c>
      <c r="D3262">
        <f>IFERROR(__xludf.DUMMYFUNCTION("""COMPUTED_VALUE"""),100.0)</f>
        <v>100</v>
      </c>
      <c r="E3262">
        <f>IFERROR(__xludf.DUMMYFUNCTION("""COMPUTED_VALUE"""),2.48)</f>
        <v>2.48</v>
      </c>
      <c r="F3262">
        <f>IFERROR(__xludf.DUMMYFUNCTION("""COMPUTED_VALUE"""),2.82)</f>
        <v>2.82</v>
      </c>
      <c r="G3262">
        <f>IFERROR(__xludf.DUMMYFUNCTION("""COMPUTED_VALUE"""),17.19)</f>
        <v>17.19</v>
      </c>
    </row>
    <row r="3263">
      <c r="A3263">
        <f>IFERROR(__xludf.DUMMYFUNCTION("""COMPUTED_VALUE"""),788661.0)</f>
        <v>788661</v>
      </c>
      <c r="B3263" t="str">
        <f>IFERROR(__xludf.DUMMYFUNCTION("""COMPUTED_VALUE"""),"Peas And Potatoes Cooked Fat Not Added In Cooking")</f>
        <v>Peas And Potatoes Cooked Fat Not Added In Cooking</v>
      </c>
      <c r="C3263" t="str">
        <f>IFERROR(__xludf.DUMMYFUNCTION("""COMPUTED_VALUE"""),"Vegetables")</f>
        <v>Vegetables</v>
      </c>
      <c r="D3263">
        <f>IFERROR(__xludf.DUMMYFUNCTION("""COMPUTED_VALUE"""),84.0)</f>
        <v>84</v>
      </c>
      <c r="E3263">
        <f>IFERROR(__xludf.DUMMYFUNCTION("""COMPUTED_VALUE"""),0.16)</f>
        <v>0.16</v>
      </c>
      <c r="F3263">
        <f>IFERROR(__xludf.DUMMYFUNCTION("""COMPUTED_VALUE"""),3.54)</f>
        <v>3.54</v>
      </c>
      <c r="G3263">
        <f>IFERROR(__xludf.DUMMYFUNCTION("""COMPUTED_VALUE"""),17.68)</f>
        <v>17.68</v>
      </c>
    </row>
    <row r="3264">
      <c r="A3264">
        <f>IFERROR(__xludf.DUMMYFUNCTION("""COMPUTED_VALUE"""),788662.0)</f>
        <v>788662</v>
      </c>
      <c r="B3264" t="str">
        <f>IFERROR(__xludf.DUMMYFUNCTION("""COMPUTED_VALUE"""),"Peas And Potatoes Cooked Ns As To Fat Added In Cooking")</f>
        <v>Peas And Potatoes Cooked Ns As To Fat Added In Cooking</v>
      </c>
      <c r="C3264" t="str">
        <f>IFERROR(__xludf.DUMMYFUNCTION("""COMPUTED_VALUE"""),"Vegetables")</f>
        <v>Vegetables</v>
      </c>
      <c r="D3264">
        <f>IFERROR(__xludf.DUMMYFUNCTION("""COMPUTED_VALUE"""),101.0)</f>
        <v>101</v>
      </c>
      <c r="E3264">
        <f>IFERROR(__xludf.DUMMYFUNCTION("""COMPUTED_VALUE"""),2.25)</f>
        <v>2.25</v>
      </c>
      <c r="F3264">
        <f>IFERROR(__xludf.DUMMYFUNCTION("""COMPUTED_VALUE"""),3.45)</f>
        <v>3.45</v>
      </c>
      <c r="G3264">
        <f>IFERROR(__xludf.DUMMYFUNCTION("""COMPUTED_VALUE"""),17.18)</f>
        <v>17.18</v>
      </c>
    </row>
    <row r="3265">
      <c r="A3265">
        <f>IFERROR(__xludf.DUMMYFUNCTION("""COMPUTED_VALUE"""),788663.0)</f>
        <v>788663</v>
      </c>
      <c r="B3265" t="str">
        <f>IFERROR(__xludf.DUMMYFUNCTION("""COMPUTED_VALUE"""),"Peas And Potatoes Cooked Fat Added In Cooking Ns As To Type Of Fat")</f>
        <v>Peas And Potatoes Cooked Fat Added In Cooking Ns As To Type Of Fat</v>
      </c>
      <c r="C3265" t="str">
        <f>IFERROR(__xludf.DUMMYFUNCTION("""COMPUTED_VALUE"""),"Vegetables")</f>
        <v>Vegetables</v>
      </c>
      <c r="D3265">
        <f>IFERROR(__xludf.DUMMYFUNCTION("""COMPUTED_VALUE"""),101.0)</f>
        <v>101</v>
      </c>
      <c r="E3265">
        <f>IFERROR(__xludf.DUMMYFUNCTION("""COMPUTED_VALUE"""),2.25)</f>
        <v>2.25</v>
      </c>
      <c r="F3265">
        <f>IFERROR(__xludf.DUMMYFUNCTION("""COMPUTED_VALUE"""),3.45)</f>
        <v>3.45</v>
      </c>
      <c r="G3265">
        <f>IFERROR(__xludf.DUMMYFUNCTION("""COMPUTED_VALUE"""),17.18)</f>
        <v>17.18</v>
      </c>
    </row>
    <row r="3266">
      <c r="A3266">
        <f>IFERROR(__xludf.DUMMYFUNCTION("""COMPUTED_VALUE"""),788664.0)</f>
        <v>788664</v>
      </c>
      <c r="B3266" t="str">
        <f>IFERROR(__xludf.DUMMYFUNCTION("""COMPUTED_VALUE"""),"Peas And Potatoes Cooked Made With Oil")</f>
        <v>Peas And Potatoes Cooked Made With Oil</v>
      </c>
      <c r="C3266" t="str">
        <f>IFERROR(__xludf.DUMMYFUNCTION("""COMPUTED_VALUE"""),"Vegetables")</f>
        <v>Vegetables</v>
      </c>
      <c r="D3266">
        <f>IFERROR(__xludf.DUMMYFUNCTION("""COMPUTED_VALUE"""),107.0)</f>
        <v>107</v>
      </c>
      <c r="E3266">
        <f>IFERROR(__xludf.DUMMYFUNCTION("""COMPUTED_VALUE"""),2.93)</f>
        <v>2.93</v>
      </c>
      <c r="F3266">
        <f>IFERROR(__xludf.DUMMYFUNCTION("""COMPUTED_VALUE"""),3.44)</f>
        <v>3.44</v>
      </c>
      <c r="G3266">
        <f>IFERROR(__xludf.DUMMYFUNCTION("""COMPUTED_VALUE"""),17.19)</f>
        <v>17.19</v>
      </c>
    </row>
    <row r="3267">
      <c r="A3267">
        <f>IFERROR(__xludf.DUMMYFUNCTION("""COMPUTED_VALUE"""),788665.0)</f>
        <v>788665</v>
      </c>
      <c r="B3267" t="str">
        <f>IFERROR(__xludf.DUMMYFUNCTION("""COMPUTED_VALUE"""),"Peas And Potatoes Cooked Made With Butter")</f>
        <v>Peas And Potatoes Cooked Made With Butter</v>
      </c>
      <c r="C3267" t="str">
        <f>IFERROR(__xludf.DUMMYFUNCTION("""COMPUTED_VALUE"""),"Vegetables")</f>
        <v>Vegetables</v>
      </c>
      <c r="D3267">
        <f>IFERROR(__xludf.DUMMYFUNCTION("""COMPUTED_VALUE"""),103.0)</f>
        <v>103</v>
      </c>
      <c r="E3267">
        <f>IFERROR(__xludf.DUMMYFUNCTION("""COMPUTED_VALUE"""),2.5)</f>
        <v>2.5</v>
      </c>
      <c r="F3267">
        <f>IFERROR(__xludf.DUMMYFUNCTION("""COMPUTED_VALUE"""),3.46)</f>
        <v>3.46</v>
      </c>
      <c r="G3267">
        <f>IFERROR(__xludf.DUMMYFUNCTION("""COMPUTED_VALUE"""),17.17)</f>
        <v>17.17</v>
      </c>
    </row>
    <row r="3268">
      <c r="A3268">
        <f>IFERROR(__xludf.DUMMYFUNCTION("""COMPUTED_VALUE"""),788666.0)</f>
        <v>788666</v>
      </c>
      <c r="B3268" t="str">
        <f>IFERROR(__xludf.DUMMYFUNCTION("""COMPUTED_VALUE"""),"Peas And Potatoes Cooked Made With Margarine")</f>
        <v>Peas And Potatoes Cooked Made With Margarine</v>
      </c>
      <c r="C3268" t="str">
        <f>IFERROR(__xludf.DUMMYFUNCTION("""COMPUTED_VALUE"""),"Vegetables")</f>
        <v>Vegetables</v>
      </c>
      <c r="D3268">
        <f>IFERROR(__xludf.DUMMYFUNCTION("""COMPUTED_VALUE"""),98.0)</f>
        <v>98</v>
      </c>
      <c r="E3268">
        <f>IFERROR(__xludf.DUMMYFUNCTION("""COMPUTED_VALUE"""),1.9)</f>
        <v>1.9</v>
      </c>
      <c r="F3268">
        <f>IFERROR(__xludf.DUMMYFUNCTION("""COMPUTED_VALUE"""),3.44)</f>
        <v>3.44</v>
      </c>
      <c r="G3268">
        <f>IFERROR(__xludf.DUMMYFUNCTION("""COMPUTED_VALUE"""),17.19)</f>
        <v>17.19</v>
      </c>
    </row>
    <row r="3269">
      <c r="A3269">
        <f>IFERROR(__xludf.DUMMYFUNCTION("""COMPUTED_VALUE"""),788667.0)</f>
        <v>788667</v>
      </c>
      <c r="B3269" t="str">
        <f>IFERROR(__xludf.DUMMYFUNCTION("""COMPUTED_VALUE"""),"Squash Summer Yellow Or Green And Onions Cooked Ns As To Fat Added In Cooking")</f>
        <v>Squash Summer Yellow Or Green And Onions Cooked Ns As To Fat Added In Cooking</v>
      </c>
      <c r="C3269" t="str">
        <f>IFERROR(__xludf.DUMMYFUNCTION("""COMPUTED_VALUE"""),"Vegetables")</f>
        <v>Vegetables</v>
      </c>
      <c r="D3269">
        <f>IFERROR(__xludf.DUMMYFUNCTION("""COMPUTED_VALUE"""),42.0)</f>
        <v>42</v>
      </c>
      <c r="E3269">
        <f>IFERROR(__xludf.DUMMYFUNCTION("""COMPUTED_VALUE"""),2.04)</f>
        <v>2.04</v>
      </c>
      <c r="F3269">
        <f>IFERROR(__xludf.DUMMYFUNCTION("""COMPUTED_VALUE"""),1.02)</f>
        <v>1.02</v>
      </c>
      <c r="G3269">
        <f>IFERROR(__xludf.DUMMYFUNCTION("""COMPUTED_VALUE"""),5.78)</f>
        <v>5.78</v>
      </c>
    </row>
    <row r="3270">
      <c r="A3270">
        <f>IFERROR(__xludf.DUMMYFUNCTION("""COMPUTED_VALUE"""),788668.0)</f>
        <v>788668</v>
      </c>
      <c r="B3270" t="str">
        <f>IFERROR(__xludf.DUMMYFUNCTION("""COMPUTED_VALUE"""),"Squash Summer Yellow Or Green And Onions Cooked Fat Not Added In Cooking")</f>
        <v>Squash Summer Yellow Or Green And Onions Cooked Fat Not Added In Cooking</v>
      </c>
      <c r="C3270" t="str">
        <f>IFERROR(__xludf.DUMMYFUNCTION("""COMPUTED_VALUE"""),"Vegetables")</f>
        <v>Vegetables</v>
      </c>
      <c r="D3270">
        <f>IFERROR(__xludf.DUMMYFUNCTION("""COMPUTED_VALUE"""),27.0)</f>
        <v>27</v>
      </c>
      <c r="E3270">
        <f>IFERROR(__xludf.DUMMYFUNCTION("""COMPUTED_VALUE"""),0.28)</f>
        <v>0.28</v>
      </c>
      <c r="F3270">
        <f>IFERROR(__xludf.DUMMYFUNCTION("""COMPUTED_VALUE"""),1.03)</f>
        <v>1.03</v>
      </c>
      <c r="G3270">
        <f>IFERROR(__xludf.DUMMYFUNCTION("""COMPUTED_VALUE"""),5.91)</f>
        <v>5.91</v>
      </c>
    </row>
    <row r="3271">
      <c r="A3271">
        <f>IFERROR(__xludf.DUMMYFUNCTION("""COMPUTED_VALUE"""),788669.0)</f>
        <v>788669</v>
      </c>
      <c r="B3271" t="str">
        <f>IFERROR(__xludf.DUMMYFUNCTION("""COMPUTED_VALUE"""),"Squash Summer Yellow Or Green And Onions Cooked Fat Added In Cooking")</f>
        <v>Squash Summer Yellow Or Green And Onions Cooked Fat Added In Cooking</v>
      </c>
      <c r="C3271" t="str">
        <f>IFERROR(__xludf.DUMMYFUNCTION("""COMPUTED_VALUE"""),"Vegetables")</f>
        <v>Vegetables</v>
      </c>
      <c r="D3271">
        <f>IFERROR(__xludf.DUMMYFUNCTION("""COMPUTED_VALUE"""),42.0)</f>
        <v>42</v>
      </c>
      <c r="E3271">
        <f>IFERROR(__xludf.DUMMYFUNCTION("""COMPUTED_VALUE"""),2.04)</f>
        <v>2.04</v>
      </c>
      <c r="F3271">
        <f>IFERROR(__xludf.DUMMYFUNCTION("""COMPUTED_VALUE"""),1.02)</f>
        <v>1.02</v>
      </c>
      <c r="G3271">
        <f>IFERROR(__xludf.DUMMYFUNCTION("""COMPUTED_VALUE"""),5.78)</f>
        <v>5.78</v>
      </c>
    </row>
    <row r="3272">
      <c r="A3272">
        <f>IFERROR(__xludf.DUMMYFUNCTION("""COMPUTED_VALUE"""),788670.0)</f>
        <v>788670</v>
      </c>
      <c r="B3272" t="str">
        <f>IFERROR(__xludf.DUMMYFUNCTION("""COMPUTED_VALUE"""),"Squash Summer Yellow Or Green And Onions Cooked Made With Oil")</f>
        <v>Squash Summer Yellow Or Green And Onions Cooked Made With Oil</v>
      </c>
      <c r="C3272" t="str">
        <f>IFERROR(__xludf.DUMMYFUNCTION("""COMPUTED_VALUE"""),"Vegetables")</f>
        <v>Vegetables</v>
      </c>
      <c r="D3272">
        <f>IFERROR(__xludf.DUMMYFUNCTION("""COMPUTED_VALUE"""),47.0)</f>
        <v>47</v>
      </c>
      <c r="E3272">
        <f>IFERROR(__xludf.DUMMYFUNCTION("""COMPUTED_VALUE"""),2.62)</f>
        <v>2.62</v>
      </c>
      <c r="F3272">
        <f>IFERROR(__xludf.DUMMYFUNCTION("""COMPUTED_VALUE"""),1.01)</f>
        <v>1.01</v>
      </c>
      <c r="G3272">
        <f>IFERROR(__xludf.DUMMYFUNCTION("""COMPUTED_VALUE"""),5.78)</f>
        <v>5.78</v>
      </c>
    </row>
    <row r="3273">
      <c r="A3273">
        <f>IFERROR(__xludf.DUMMYFUNCTION("""COMPUTED_VALUE"""),788671.0)</f>
        <v>788671</v>
      </c>
      <c r="B3273" t="str">
        <f>IFERROR(__xludf.DUMMYFUNCTION("""COMPUTED_VALUE"""),"Squash Summer Yellow Or Green And Onions Cooked Made With Butter")</f>
        <v>Squash Summer Yellow Or Green And Onions Cooked Made With Butter</v>
      </c>
      <c r="C3273" t="str">
        <f>IFERROR(__xludf.DUMMYFUNCTION("""COMPUTED_VALUE"""),"Vegetables")</f>
        <v>Vegetables</v>
      </c>
      <c r="D3273">
        <f>IFERROR(__xludf.DUMMYFUNCTION("""COMPUTED_VALUE"""),43.0)</f>
        <v>43</v>
      </c>
      <c r="E3273">
        <f>IFERROR(__xludf.DUMMYFUNCTION("""COMPUTED_VALUE"""),2.25)</f>
        <v>2.25</v>
      </c>
      <c r="F3273">
        <f>IFERROR(__xludf.DUMMYFUNCTION("""COMPUTED_VALUE"""),1.03)</f>
        <v>1.03</v>
      </c>
      <c r="G3273">
        <f>IFERROR(__xludf.DUMMYFUNCTION("""COMPUTED_VALUE"""),5.77)</f>
        <v>5.77</v>
      </c>
    </row>
    <row r="3274">
      <c r="A3274">
        <f>IFERROR(__xludf.DUMMYFUNCTION("""COMPUTED_VALUE"""),788672.0)</f>
        <v>788672</v>
      </c>
      <c r="B3274" t="str">
        <f>IFERROR(__xludf.DUMMYFUNCTION("""COMPUTED_VALUE"""),"Squash Summer Yellow Or Green And Onions Cooked Made With Margarine")</f>
        <v>Squash Summer Yellow Or Green And Onions Cooked Made With Margarine</v>
      </c>
      <c r="C3274" t="str">
        <f>IFERROR(__xludf.DUMMYFUNCTION("""COMPUTED_VALUE"""),"Vegetables")</f>
        <v>Vegetables</v>
      </c>
      <c r="D3274">
        <f>IFERROR(__xludf.DUMMYFUNCTION("""COMPUTED_VALUE"""),39.0)</f>
        <v>39</v>
      </c>
      <c r="E3274">
        <f>IFERROR(__xludf.DUMMYFUNCTION("""COMPUTED_VALUE"""),1.74)</f>
        <v>1.74</v>
      </c>
      <c r="F3274">
        <f>IFERROR(__xludf.DUMMYFUNCTION("""COMPUTED_VALUE"""),1.01)</f>
        <v>1.01</v>
      </c>
      <c r="G3274">
        <f>IFERROR(__xludf.DUMMYFUNCTION("""COMPUTED_VALUE"""),5.79)</f>
        <v>5.79</v>
      </c>
    </row>
    <row r="3275">
      <c r="A3275">
        <f>IFERROR(__xludf.DUMMYFUNCTION("""COMPUTED_VALUE"""),788673.0)</f>
        <v>788673</v>
      </c>
      <c r="B3275" t="str">
        <f>IFERROR(__xludf.DUMMYFUNCTION("""COMPUTED_VALUE"""),"Squash Summer Yellow Or Green With Tomato Sauce Cooked Fat Not Added In Cooking")</f>
        <v>Squash Summer Yellow Or Green With Tomato Sauce Cooked Fat Not Added In Cooking</v>
      </c>
      <c r="C3275" t="str">
        <f>IFERROR(__xludf.DUMMYFUNCTION("""COMPUTED_VALUE"""),"Vegetables")</f>
        <v>Vegetables</v>
      </c>
      <c r="D3275">
        <f>IFERROR(__xludf.DUMMYFUNCTION("""COMPUTED_VALUE"""),21.0)</f>
        <v>21</v>
      </c>
      <c r="E3275">
        <f>IFERROR(__xludf.DUMMYFUNCTION("""COMPUTED_VALUE"""),0.31)</f>
        <v>0.31</v>
      </c>
      <c r="F3275">
        <f>IFERROR(__xludf.DUMMYFUNCTION("""COMPUTED_VALUE"""),1.0)</f>
        <v>1</v>
      </c>
      <c r="G3275">
        <f>IFERROR(__xludf.DUMMYFUNCTION("""COMPUTED_VALUE"""),4.62)</f>
        <v>4.62</v>
      </c>
    </row>
    <row r="3276">
      <c r="A3276">
        <f>IFERROR(__xludf.DUMMYFUNCTION("""COMPUTED_VALUE"""),788674.0)</f>
        <v>788674</v>
      </c>
      <c r="B3276" t="str">
        <f>IFERROR(__xludf.DUMMYFUNCTION("""COMPUTED_VALUE"""),"Squash Summer Yellow Or Green With Tomato Sauce Cooked Fat Added In Cooking")</f>
        <v>Squash Summer Yellow Or Green With Tomato Sauce Cooked Fat Added In Cooking</v>
      </c>
      <c r="C3276" t="str">
        <f>IFERROR(__xludf.DUMMYFUNCTION("""COMPUTED_VALUE"""),"Vegetables")</f>
        <v>Vegetables</v>
      </c>
      <c r="D3276">
        <f>IFERROR(__xludf.DUMMYFUNCTION("""COMPUTED_VALUE"""),32.0)</f>
        <v>32</v>
      </c>
      <c r="E3276">
        <f>IFERROR(__xludf.DUMMYFUNCTION("""COMPUTED_VALUE"""),1.57)</f>
        <v>1.57</v>
      </c>
      <c r="F3276">
        <f>IFERROR(__xludf.DUMMYFUNCTION("""COMPUTED_VALUE"""),1.0)</f>
        <v>1</v>
      </c>
      <c r="G3276">
        <f>IFERROR(__xludf.DUMMYFUNCTION("""COMPUTED_VALUE"""),4.55)</f>
        <v>4.55</v>
      </c>
    </row>
    <row r="3277">
      <c r="A3277">
        <f>IFERROR(__xludf.DUMMYFUNCTION("""COMPUTED_VALUE"""),788675.0)</f>
        <v>788675</v>
      </c>
      <c r="B3277" t="str">
        <f>IFERROR(__xludf.DUMMYFUNCTION("""COMPUTED_VALUE"""),"Squash Summer Yellow Or Green With Tomato Sauce Cooked Ns As To Fat Added In Cooking")</f>
        <v>Squash Summer Yellow Or Green With Tomato Sauce Cooked Ns As To Fat Added In Cooking</v>
      </c>
      <c r="C3277" t="str">
        <f>IFERROR(__xludf.DUMMYFUNCTION("""COMPUTED_VALUE"""),"Vegetables")</f>
        <v>Vegetables</v>
      </c>
      <c r="D3277">
        <f>IFERROR(__xludf.DUMMYFUNCTION("""COMPUTED_VALUE"""),32.0)</f>
        <v>32</v>
      </c>
      <c r="E3277">
        <f>IFERROR(__xludf.DUMMYFUNCTION("""COMPUTED_VALUE"""),1.57)</f>
        <v>1.57</v>
      </c>
      <c r="F3277">
        <f>IFERROR(__xludf.DUMMYFUNCTION("""COMPUTED_VALUE"""),1.0)</f>
        <v>1</v>
      </c>
      <c r="G3277">
        <f>IFERROR(__xludf.DUMMYFUNCTION("""COMPUTED_VALUE"""),4.55)</f>
        <v>4.55</v>
      </c>
    </row>
    <row r="3278">
      <c r="A3278">
        <f>IFERROR(__xludf.DUMMYFUNCTION("""COMPUTED_VALUE"""),788676.0)</f>
        <v>788676</v>
      </c>
      <c r="B3278" t="str">
        <f>IFERROR(__xludf.DUMMYFUNCTION("""COMPUTED_VALUE"""),"Ratatouille")</f>
        <v>Ratatouille</v>
      </c>
      <c r="C3278" t="str">
        <f>IFERROR(__xludf.DUMMYFUNCTION("""COMPUTED_VALUE"""),"Vegetables")</f>
        <v>Vegetables</v>
      </c>
      <c r="D3278">
        <f>IFERROR(__xludf.DUMMYFUNCTION("""COMPUTED_VALUE"""),65.0)</f>
        <v>65</v>
      </c>
      <c r="E3278">
        <f>IFERROR(__xludf.DUMMYFUNCTION("""COMPUTED_VALUE"""),4.6)</f>
        <v>4.6</v>
      </c>
      <c r="F3278">
        <f>IFERROR(__xludf.DUMMYFUNCTION("""COMPUTED_VALUE"""),1.0)</f>
        <v>1</v>
      </c>
      <c r="G3278">
        <f>IFERROR(__xludf.DUMMYFUNCTION("""COMPUTED_VALUE"""),6.0)</f>
        <v>6</v>
      </c>
    </row>
    <row r="3279">
      <c r="A3279">
        <f>IFERROR(__xludf.DUMMYFUNCTION("""COMPUTED_VALUE"""),788677.0)</f>
        <v>788677</v>
      </c>
      <c r="B3279" t="str">
        <f>IFERROR(__xludf.DUMMYFUNCTION("""COMPUTED_VALUE"""),"Vegetables Stew Type Cooked Ns As To Fat Added In Cooking")</f>
        <v>Vegetables Stew Type Cooked Ns As To Fat Added In Cooking</v>
      </c>
      <c r="C3279" t="str">
        <f>IFERROR(__xludf.DUMMYFUNCTION("""COMPUTED_VALUE"""),"Vegetables")</f>
        <v>Vegetables</v>
      </c>
      <c r="D3279">
        <f>IFERROR(__xludf.DUMMYFUNCTION("""COMPUTED_VALUE"""),72.0)</f>
        <v>72</v>
      </c>
      <c r="E3279">
        <f>IFERROR(__xludf.DUMMYFUNCTION("""COMPUTED_VALUE"""),2.56)</f>
        <v>2.56</v>
      </c>
      <c r="F3279">
        <f>IFERROR(__xludf.DUMMYFUNCTION("""COMPUTED_VALUE"""),1.05)</f>
        <v>1.05</v>
      </c>
      <c r="G3279">
        <f>IFERROR(__xludf.DUMMYFUNCTION("""COMPUTED_VALUE"""),11.72)</f>
        <v>11.72</v>
      </c>
    </row>
    <row r="3280">
      <c r="A3280">
        <f>IFERROR(__xludf.DUMMYFUNCTION("""COMPUTED_VALUE"""),788678.0)</f>
        <v>788678</v>
      </c>
      <c r="B3280" t="str">
        <f>IFERROR(__xludf.DUMMYFUNCTION("""COMPUTED_VALUE"""),"Vegetables Stew Type Cooked Fat Added In Cooking Ns As To Type Of Fat")</f>
        <v>Vegetables Stew Type Cooked Fat Added In Cooking Ns As To Type Of Fat</v>
      </c>
      <c r="C3280" t="str">
        <f>IFERROR(__xludf.DUMMYFUNCTION("""COMPUTED_VALUE"""),"Vegetables")</f>
        <v>Vegetables</v>
      </c>
      <c r="D3280">
        <f>IFERROR(__xludf.DUMMYFUNCTION("""COMPUTED_VALUE"""),72.0)</f>
        <v>72</v>
      </c>
      <c r="E3280">
        <f>IFERROR(__xludf.DUMMYFUNCTION("""COMPUTED_VALUE"""),2.56)</f>
        <v>2.56</v>
      </c>
      <c r="F3280">
        <f>IFERROR(__xludf.DUMMYFUNCTION("""COMPUTED_VALUE"""),1.05)</f>
        <v>1.05</v>
      </c>
      <c r="G3280">
        <f>IFERROR(__xludf.DUMMYFUNCTION("""COMPUTED_VALUE"""),11.72)</f>
        <v>11.72</v>
      </c>
    </row>
    <row r="3281">
      <c r="A3281">
        <f>IFERROR(__xludf.DUMMYFUNCTION("""COMPUTED_VALUE"""),788679.0)</f>
        <v>788679</v>
      </c>
      <c r="B3281" t="str">
        <f>IFERROR(__xludf.DUMMYFUNCTION("""COMPUTED_VALUE"""),"Vegetables Stew Type Cooked Made With Oil")</f>
        <v>Vegetables Stew Type Cooked Made With Oil</v>
      </c>
      <c r="C3281" t="str">
        <f>IFERROR(__xludf.DUMMYFUNCTION("""COMPUTED_VALUE"""),"Vegetables")</f>
        <v>Vegetables</v>
      </c>
      <c r="D3281">
        <f>IFERROR(__xludf.DUMMYFUNCTION("""COMPUTED_VALUE"""),79.0)</f>
        <v>79</v>
      </c>
      <c r="E3281">
        <f>IFERROR(__xludf.DUMMYFUNCTION("""COMPUTED_VALUE"""),3.41)</f>
        <v>3.41</v>
      </c>
      <c r="F3281">
        <f>IFERROR(__xludf.DUMMYFUNCTION("""COMPUTED_VALUE"""),1.04)</f>
        <v>1.04</v>
      </c>
      <c r="G3281">
        <f>IFERROR(__xludf.DUMMYFUNCTION("""COMPUTED_VALUE"""),11.71)</f>
        <v>11.71</v>
      </c>
    </row>
    <row r="3282">
      <c r="A3282">
        <f>IFERROR(__xludf.DUMMYFUNCTION("""COMPUTED_VALUE"""),788680.0)</f>
        <v>788680</v>
      </c>
      <c r="B3282" t="str">
        <f>IFERROR(__xludf.DUMMYFUNCTION("""COMPUTED_VALUE"""),"Vegetables Stew Type Cooked Made With Butter")</f>
        <v>Vegetables Stew Type Cooked Made With Butter</v>
      </c>
      <c r="C3282" t="str">
        <f>IFERROR(__xludf.DUMMYFUNCTION("""COMPUTED_VALUE"""),"Vegetables")</f>
        <v>Vegetables</v>
      </c>
      <c r="D3282">
        <f>IFERROR(__xludf.DUMMYFUNCTION("""COMPUTED_VALUE"""),74.0)</f>
        <v>74</v>
      </c>
      <c r="E3282">
        <f>IFERROR(__xludf.DUMMYFUNCTION("""COMPUTED_VALUE"""),2.83)</f>
        <v>2.83</v>
      </c>
      <c r="F3282">
        <f>IFERROR(__xludf.DUMMYFUNCTION("""COMPUTED_VALUE"""),1.06)</f>
        <v>1.06</v>
      </c>
      <c r="G3282">
        <f>IFERROR(__xludf.DUMMYFUNCTION("""COMPUTED_VALUE"""),11.71)</f>
        <v>11.71</v>
      </c>
    </row>
    <row r="3283">
      <c r="A3283">
        <f>IFERROR(__xludf.DUMMYFUNCTION("""COMPUTED_VALUE"""),788681.0)</f>
        <v>788681</v>
      </c>
      <c r="B3283" t="str">
        <f>IFERROR(__xludf.DUMMYFUNCTION("""COMPUTED_VALUE"""),"Vegetables Stew Type Cooked Made With Margarine")</f>
        <v>Vegetables Stew Type Cooked Made With Margarine</v>
      </c>
      <c r="C3283" t="str">
        <f>IFERROR(__xludf.DUMMYFUNCTION("""COMPUTED_VALUE"""),"Vegetables")</f>
        <v>Vegetables</v>
      </c>
      <c r="D3283">
        <f>IFERROR(__xludf.DUMMYFUNCTION("""COMPUTED_VALUE"""),68.0)</f>
        <v>68</v>
      </c>
      <c r="E3283">
        <f>IFERROR(__xludf.DUMMYFUNCTION("""COMPUTED_VALUE"""),2.17)</f>
        <v>2.17</v>
      </c>
      <c r="F3283">
        <f>IFERROR(__xludf.DUMMYFUNCTION("""COMPUTED_VALUE"""),1.04)</f>
        <v>1.04</v>
      </c>
      <c r="G3283">
        <f>IFERROR(__xludf.DUMMYFUNCTION("""COMPUTED_VALUE"""),11.74)</f>
        <v>11.74</v>
      </c>
    </row>
    <row r="3284">
      <c r="A3284">
        <f>IFERROR(__xludf.DUMMYFUNCTION("""COMPUTED_VALUE"""),788682.0)</f>
        <v>788682</v>
      </c>
      <c r="B3284" t="str">
        <f>IFERROR(__xludf.DUMMYFUNCTION("""COMPUTED_VALUE"""),"Vegetables Stew Type Cooked Fat Not Added In Cooking")</f>
        <v>Vegetables Stew Type Cooked Fat Not Added In Cooking</v>
      </c>
      <c r="C3284" t="str">
        <f>IFERROR(__xludf.DUMMYFUNCTION("""COMPUTED_VALUE"""),"Vegetables")</f>
        <v>Vegetables</v>
      </c>
      <c r="D3284">
        <f>IFERROR(__xludf.DUMMYFUNCTION("""COMPUTED_VALUE"""),53.0)</f>
        <v>53</v>
      </c>
      <c r="E3284">
        <f>IFERROR(__xludf.DUMMYFUNCTION("""COMPUTED_VALUE"""),0.34)</f>
        <v>0.34</v>
      </c>
      <c r="F3284">
        <f>IFERROR(__xludf.DUMMYFUNCTION("""COMPUTED_VALUE"""),1.07)</f>
        <v>1.07</v>
      </c>
      <c r="G3284">
        <f>IFERROR(__xludf.DUMMYFUNCTION("""COMPUTED_VALUE"""),12.08)</f>
        <v>12.08</v>
      </c>
    </row>
    <row r="3285">
      <c r="A3285">
        <f>IFERROR(__xludf.DUMMYFUNCTION("""COMPUTED_VALUE"""),788683.0)</f>
        <v>788683</v>
      </c>
      <c r="B3285" t="str">
        <f>IFERROR(__xludf.DUMMYFUNCTION("""COMPUTED_VALUE"""),"Vegetable Combination Including Carrots Broccoli And/or Dark-Green Leafy; Cooked No Sauce Ns As To Fat Added In Cooking")</f>
        <v>Vegetable Combination Including Carrots Broccoli And/or Dark-Green Leafy; Cooked No Sauce Ns As To Fat Added In Cooking</v>
      </c>
      <c r="C3285" t="str">
        <f>IFERROR(__xludf.DUMMYFUNCTION("""COMPUTED_VALUE"""),"Vegetables")</f>
        <v>Vegetables</v>
      </c>
      <c r="D3285">
        <f>IFERROR(__xludf.DUMMYFUNCTION("""COMPUTED_VALUE"""),50.0)</f>
        <v>50</v>
      </c>
      <c r="E3285">
        <f>IFERROR(__xludf.DUMMYFUNCTION("""COMPUTED_VALUE"""),2.61)</f>
        <v>2.61</v>
      </c>
      <c r="F3285">
        <f>IFERROR(__xludf.DUMMYFUNCTION("""COMPUTED_VALUE"""),1.44)</f>
        <v>1.44</v>
      </c>
      <c r="G3285">
        <f>IFERROR(__xludf.DUMMYFUNCTION("""COMPUTED_VALUE"""),6.44)</f>
        <v>6.44</v>
      </c>
    </row>
    <row r="3286">
      <c r="A3286">
        <f>IFERROR(__xludf.DUMMYFUNCTION("""COMPUTED_VALUE"""),788684.0)</f>
        <v>788684</v>
      </c>
      <c r="B3286" t="str">
        <f>IFERROR(__xludf.DUMMYFUNCTION("""COMPUTED_VALUE"""),"Vegetable Combination Including Carrots Broccoli And/or Dark-Green Leafy; Cooked No Sauce Fat Not Added In Cooking")</f>
        <v>Vegetable Combination Including Carrots Broccoli And/or Dark-Green Leafy; Cooked No Sauce Fat Not Added In Cooking</v>
      </c>
      <c r="C3286" t="str">
        <f>IFERROR(__xludf.DUMMYFUNCTION("""COMPUTED_VALUE"""),"Vegetables")</f>
        <v>Vegetables</v>
      </c>
      <c r="D3286">
        <f>IFERROR(__xludf.DUMMYFUNCTION("""COMPUTED_VALUE"""),31.0)</f>
        <v>31</v>
      </c>
      <c r="E3286">
        <f>IFERROR(__xludf.DUMMYFUNCTION("""COMPUTED_VALUE"""),0.3)</f>
        <v>0.3</v>
      </c>
      <c r="F3286">
        <f>IFERROR(__xludf.DUMMYFUNCTION("""COMPUTED_VALUE"""),1.46)</f>
        <v>1.46</v>
      </c>
      <c r="G3286">
        <f>IFERROR(__xludf.DUMMYFUNCTION("""COMPUTED_VALUE"""),6.64)</f>
        <v>6.64</v>
      </c>
    </row>
    <row r="3287">
      <c r="A3287">
        <f>IFERROR(__xludf.DUMMYFUNCTION("""COMPUTED_VALUE"""),788685.0)</f>
        <v>788685</v>
      </c>
      <c r="B3287" t="str">
        <f>IFERROR(__xludf.DUMMYFUNCTION("""COMPUTED_VALUE"""),"Vegetable Combination Including Carrots Broccoli And/or Dark-Green Leafy; Cooked No Sauce Fat Added In Cooking Ns As To Type Of Fat")</f>
        <v>Vegetable Combination Including Carrots Broccoli And/or Dark-Green Leafy; Cooked No Sauce Fat Added In Cooking Ns As To Type Of Fat</v>
      </c>
      <c r="C3287" t="str">
        <f>IFERROR(__xludf.DUMMYFUNCTION("""COMPUTED_VALUE"""),"Vegetables")</f>
        <v>Vegetables</v>
      </c>
      <c r="D3287">
        <f>IFERROR(__xludf.DUMMYFUNCTION("""COMPUTED_VALUE"""),50.0)</f>
        <v>50</v>
      </c>
      <c r="E3287">
        <f>IFERROR(__xludf.DUMMYFUNCTION("""COMPUTED_VALUE"""),2.6)</f>
        <v>2.6</v>
      </c>
      <c r="F3287">
        <f>IFERROR(__xludf.DUMMYFUNCTION("""COMPUTED_VALUE"""),1.44)</f>
        <v>1.44</v>
      </c>
      <c r="G3287">
        <f>IFERROR(__xludf.DUMMYFUNCTION("""COMPUTED_VALUE"""),6.44)</f>
        <v>6.44</v>
      </c>
    </row>
    <row r="3288">
      <c r="A3288">
        <f>IFERROR(__xludf.DUMMYFUNCTION("""COMPUTED_VALUE"""),788686.0)</f>
        <v>788686</v>
      </c>
      <c r="B3288" t="str">
        <f>IFERROR(__xludf.DUMMYFUNCTION("""COMPUTED_VALUE"""),"Vegetable Combination Including Carrots Broccoli And/or Dark-Green Leafy; Cooked No Sauce Made With Oil")</f>
        <v>Vegetable Combination Including Carrots Broccoli And/or Dark-Green Leafy; Cooked No Sauce Made With Oil</v>
      </c>
      <c r="C3288" t="str">
        <f>IFERROR(__xludf.DUMMYFUNCTION("""COMPUTED_VALUE"""),"Vegetables")</f>
        <v>Vegetables</v>
      </c>
      <c r="D3288">
        <f>IFERROR(__xludf.DUMMYFUNCTION("""COMPUTED_VALUE"""),57.0)</f>
        <v>57</v>
      </c>
      <c r="E3288">
        <f>IFERROR(__xludf.DUMMYFUNCTION("""COMPUTED_VALUE"""),3.35)</f>
        <v>3.35</v>
      </c>
      <c r="F3288">
        <f>IFERROR(__xludf.DUMMYFUNCTION("""COMPUTED_VALUE"""),1.42)</f>
        <v>1.42</v>
      </c>
      <c r="G3288">
        <f>IFERROR(__xludf.DUMMYFUNCTION("""COMPUTED_VALUE"""),6.44)</f>
        <v>6.44</v>
      </c>
    </row>
    <row r="3289">
      <c r="A3289">
        <f>IFERROR(__xludf.DUMMYFUNCTION("""COMPUTED_VALUE"""),788687.0)</f>
        <v>788687</v>
      </c>
      <c r="B3289" t="str">
        <f>IFERROR(__xludf.DUMMYFUNCTION("""COMPUTED_VALUE"""),"Vegetable Combination Including Carrots Broccoli And/or Dark-Green Leafy; Cooked No Sauce Made With Butter")</f>
        <v>Vegetable Combination Including Carrots Broccoli And/or Dark-Green Leafy; Cooked No Sauce Made With Butter</v>
      </c>
      <c r="C3289" t="str">
        <f>IFERROR(__xludf.DUMMYFUNCTION("""COMPUTED_VALUE"""),"Vegetables")</f>
        <v>Vegetables</v>
      </c>
      <c r="D3289">
        <f>IFERROR(__xludf.DUMMYFUNCTION("""COMPUTED_VALUE"""),52.0)</f>
        <v>52</v>
      </c>
      <c r="E3289">
        <f>IFERROR(__xludf.DUMMYFUNCTION("""COMPUTED_VALUE"""),2.87)</f>
        <v>2.87</v>
      </c>
      <c r="F3289">
        <f>IFERROR(__xludf.DUMMYFUNCTION("""COMPUTED_VALUE"""),1.44)</f>
        <v>1.44</v>
      </c>
      <c r="G3289">
        <f>IFERROR(__xludf.DUMMYFUNCTION("""COMPUTED_VALUE"""),6.43)</f>
        <v>6.43</v>
      </c>
    </row>
    <row r="3290">
      <c r="A3290">
        <f>IFERROR(__xludf.DUMMYFUNCTION("""COMPUTED_VALUE"""),788688.0)</f>
        <v>788688</v>
      </c>
      <c r="B3290" t="str">
        <f>IFERROR(__xludf.DUMMYFUNCTION("""COMPUTED_VALUE"""),"Vegetable Combination Including Carrots Broccoli And/or Dark-Green Leafy; Cooked No Sauce Made With Margarine")</f>
        <v>Vegetable Combination Including Carrots Broccoli And/or Dark-Green Leafy; Cooked No Sauce Made With Margarine</v>
      </c>
      <c r="C3290" t="str">
        <f>IFERROR(__xludf.DUMMYFUNCTION("""COMPUTED_VALUE"""),"Vegetables")</f>
        <v>Vegetables</v>
      </c>
      <c r="D3290">
        <f>IFERROR(__xludf.DUMMYFUNCTION("""COMPUTED_VALUE"""),47.0)</f>
        <v>47</v>
      </c>
      <c r="E3290">
        <f>IFERROR(__xludf.DUMMYFUNCTION("""COMPUTED_VALUE"""),2.21)</f>
        <v>2.21</v>
      </c>
      <c r="F3290">
        <f>IFERROR(__xludf.DUMMYFUNCTION("""COMPUTED_VALUE"""),1.42)</f>
        <v>1.42</v>
      </c>
      <c r="G3290">
        <f>IFERROR(__xludf.DUMMYFUNCTION("""COMPUTED_VALUE"""),6.45)</f>
        <v>6.45</v>
      </c>
    </row>
    <row r="3291">
      <c r="A3291">
        <f>IFERROR(__xludf.DUMMYFUNCTION("""COMPUTED_VALUE"""),788689.0)</f>
        <v>788689</v>
      </c>
      <c r="B3291" t="str">
        <f>IFERROR(__xludf.DUMMYFUNCTION("""COMPUTED_VALUE"""),"Vegetable Combination Excluding Carrots Broccoli And Dark-Green Leafy; Cooked No Sauce Ns As To Fat Added In Cooking")</f>
        <v>Vegetable Combination Excluding Carrots Broccoli And Dark-Green Leafy; Cooked No Sauce Ns As To Fat Added In Cooking</v>
      </c>
      <c r="C3291" t="str">
        <f>IFERROR(__xludf.DUMMYFUNCTION("""COMPUTED_VALUE"""),"Vegetables")</f>
        <v>Vegetables</v>
      </c>
      <c r="D3291">
        <f>IFERROR(__xludf.DUMMYFUNCTION("""COMPUTED_VALUE"""),74.0)</f>
        <v>74</v>
      </c>
      <c r="E3291">
        <f>IFERROR(__xludf.DUMMYFUNCTION("""COMPUTED_VALUE"""),2.42)</f>
        <v>2.42</v>
      </c>
      <c r="F3291">
        <f>IFERROR(__xludf.DUMMYFUNCTION("""COMPUTED_VALUE"""),2.53)</f>
        <v>2.53</v>
      </c>
      <c r="G3291">
        <f>IFERROR(__xludf.DUMMYFUNCTION("""COMPUTED_VALUE"""),11.98)</f>
        <v>11.98</v>
      </c>
    </row>
    <row r="3292">
      <c r="A3292">
        <f>IFERROR(__xludf.DUMMYFUNCTION("""COMPUTED_VALUE"""),788690.0)</f>
        <v>788690</v>
      </c>
      <c r="B3292" t="str">
        <f>IFERROR(__xludf.DUMMYFUNCTION("""COMPUTED_VALUE"""),"Vegetable Combination Excluding Carrots Broccoli And Dark-Green Leafy; Cooked No Sauce  Fat Not Added In Cooking")</f>
        <v>Vegetable Combination Excluding Carrots Broccoli And Dark-Green Leafy; Cooked No Sauce  Fat Not Added In Cooking</v>
      </c>
      <c r="C3292" t="str">
        <f>IFERROR(__xludf.DUMMYFUNCTION("""COMPUTED_VALUE"""),"Vegetables")</f>
        <v>Vegetables</v>
      </c>
      <c r="D3292">
        <f>IFERROR(__xludf.DUMMYFUNCTION("""COMPUTED_VALUE"""),57.0)</f>
        <v>57</v>
      </c>
      <c r="E3292">
        <f>IFERROR(__xludf.DUMMYFUNCTION("""COMPUTED_VALUE"""),0.33)</f>
        <v>0.33</v>
      </c>
      <c r="F3292">
        <f>IFERROR(__xludf.DUMMYFUNCTION("""COMPUTED_VALUE"""),2.59)</f>
        <v>2.59</v>
      </c>
      <c r="G3292">
        <f>IFERROR(__xludf.DUMMYFUNCTION("""COMPUTED_VALUE"""),12.32)</f>
        <v>12.32</v>
      </c>
    </row>
    <row r="3293">
      <c r="A3293">
        <f>IFERROR(__xludf.DUMMYFUNCTION("""COMPUTED_VALUE"""),788691.0)</f>
        <v>788691</v>
      </c>
      <c r="B3293" t="str">
        <f>IFERROR(__xludf.DUMMYFUNCTION("""COMPUTED_VALUE"""),"Vegetable Combination Excluding Carrots Broccoli And Dark-Green Leafy; Cooked No Sauce Fat Added In Cooking Ns As To Type Of Fat")</f>
        <v>Vegetable Combination Excluding Carrots Broccoli And Dark-Green Leafy; Cooked No Sauce Fat Added In Cooking Ns As To Type Of Fat</v>
      </c>
      <c r="C3293" t="str">
        <f>IFERROR(__xludf.DUMMYFUNCTION("""COMPUTED_VALUE"""),"Vegetables")</f>
        <v>Vegetables</v>
      </c>
      <c r="D3293">
        <f>IFERROR(__xludf.DUMMYFUNCTION("""COMPUTED_VALUE"""),74.0)</f>
        <v>74</v>
      </c>
      <c r="E3293">
        <f>IFERROR(__xludf.DUMMYFUNCTION("""COMPUTED_VALUE"""),2.42)</f>
        <v>2.42</v>
      </c>
      <c r="F3293">
        <f>IFERROR(__xludf.DUMMYFUNCTION("""COMPUTED_VALUE"""),2.53)</f>
        <v>2.53</v>
      </c>
      <c r="G3293">
        <f>IFERROR(__xludf.DUMMYFUNCTION("""COMPUTED_VALUE"""),11.98)</f>
        <v>11.98</v>
      </c>
    </row>
    <row r="3294">
      <c r="A3294">
        <f>IFERROR(__xludf.DUMMYFUNCTION("""COMPUTED_VALUE"""),788692.0)</f>
        <v>788692</v>
      </c>
      <c r="B3294" t="str">
        <f>IFERROR(__xludf.DUMMYFUNCTION("""COMPUTED_VALUE"""),"Vegetable Combination Excluding Carrots Broccoli And Dark-Green Leafy; Cooked No Sauce Made With Oil")</f>
        <v>Vegetable Combination Excluding Carrots Broccoli And Dark-Green Leafy; Cooked No Sauce Made With Oil</v>
      </c>
      <c r="C3294" t="str">
        <f>IFERROR(__xludf.DUMMYFUNCTION("""COMPUTED_VALUE"""),"Vegetables")</f>
        <v>Vegetables</v>
      </c>
      <c r="D3294">
        <f>IFERROR(__xludf.DUMMYFUNCTION("""COMPUTED_VALUE"""),80.0)</f>
        <v>80</v>
      </c>
      <c r="E3294">
        <f>IFERROR(__xludf.DUMMYFUNCTION("""COMPUTED_VALUE"""),3.1)</f>
        <v>3.1</v>
      </c>
      <c r="F3294">
        <f>IFERROR(__xludf.DUMMYFUNCTION("""COMPUTED_VALUE"""),2.52)</f>
        <v>2.52</v>
      </c>
      <c r="G3294">
        <f>IFERROR(__xludf.DUMMYFUNCTION("""COMPUTED_VALUE"""),11.98)</f>
        <v>11.98</v>
      </c>
    </row>
    <row r="3295">
      <c r="A3295">
        <f>IFERROR(__xludf.DUMMYFUNCTION("""COMPUTED_VALUE"""),788693.0)</f>
        <v>788693</v>
      </c>
      <c r="B3295" t="str">
        <f>IFERROR(__xludf.DUMMYFUNCTION("""COMPUTED_VALUE"""),"Vegetable Combination Excluding Carrots Broccoli And Dark-Green Leafy; Cooked No Sauce Made With Butter")</f>
        <v>Vegetable Combination Excluding Carrots Broccoli And Dark-Green Leafy; Cooked No Sauce Made With Butter</v>
      </c>
      <c r="C3295" t="str">
        <f>IFERROR(__xludf.DUMMYFUNCTION("""COMPUTED_VALUE"""),"Vegetables")</f>
        <v>Vegetables</v>
      </c>
      <c r="D3295">
        <f>IFERROR(__xludf.DUMMYFUNCTION("""COMPUTED_VALUE"""),76.0)</f>
        <v>76</v>
      </c>
      <c r="E3295">
        <f>IFERROR(__xludf.DUMMYFUNCTION("""COMPUTED_VALUE"""),2.66)</f>
        <v>2.66</v>
      </c>
      <c r="F3295">
        <f>IFERROR(__xludf.DUMMYFUNCTION("""COMPUTED_VALUE"""),2.54)</f>
        <v>2.54</v>
      </c>
      <c r="G3295">
        <f>IFERROR(__xludf.DUMMYFUNCTION("""COMPUTED_VALUE"""),11.97)</f>
        <v>11.97</v>
      </c>
    </row>
    <row r="3296">
      <c r="A3296">
        <f>IFERROR(__xludf.DUMMYFUNCTION("""COMPUTED_VALUE"""),788694.0)</f>
        <v>788694</v>
      </c>
      <c r="B3296" t="str">
        <f>IFERROR(__xludf.DUMMYFUNCTION("""COMPUTED_VALUE"""),"Vegetable Combination Excluding Carrots Broccoli And Dark-Green Leafy; Cooked No Sauce Made With Margarine")</f>
        <v>Vegetable Combination Excluding Carrots Broccoli And Dark-Green Leafy; Cooked No Sauce Made With Margarine</v>
      </c>
      <c r="C3296" t="str">
        <f>IFERROR(__xludf.DUMMYFUNCTION("""COMPUTED_VALUE"""),"Vegetables")</f>
        <v>Vegetables</v>
      </c>
      <c r="D3296">
        <f>IFERROR(__xludf.DUMMYFUNCTION("""COMPUTED_VALUE"""),71.0)</f>
        <v>71</v>
      </c>
      <c r="E3296">
        <f>IFERROR(__xludf.DUMMYFUNCTION("""COMPUTED_VALUE"""),2.06)</f>
        <v>2.06</v>
      </c>
      <c r="F3296">
        <f>IFERROR(__xludf.DUMMYFUNCTION("""COMPUTED_VALUE"""),2.52)</f>
        <v>2.52</v>
      </c>
      <c r="G3296">
        <f>IFERROR(__xludf.DUMMYFUNCTION("""COMPUTED_VALUE"""),11.99)</f>
        <v>11.99</v>
      </c>
    </row>
    <row r="3297">
      <c r="A3297">
        <f>IFERROR(__xludf.DUMMYFUNCTION("""COMPUTED_VALUE"""),788695.0)</f>
        <v>788695</v>
      </c>
      <c r="B3297" t="str">
        <f>IFERROR(__xludf.DUMMYFUNCTION("""COMPUTED_VALUE"""),"Vegetable Combinations Asian Style Broccoli Green Pepper Water Chestnut Etc. Cooked Ns As To Fat Added In Cooking")</f>
        <v>Vegetable Combinations Asian Style Broccoli Green Pepper Water Chestnut Etc. Cooked Ns As To Fat Added In Cooking</v>
      </c>
      <c r="C3297" t="str">
        <f>IFERROR(__xludf.DUMMYFUNCTION("""COMPUTED_VALUE"""),"Vegetables")</f>
        <v>Vegetables</v>
      </c>
      <c r="D3297">
        <f>IFERROR(__xludf.DUMMYFUNCTION("""COMPUTED_VALUE"""),61.0)</f>
        <v>61</v>
      </c>
      <c r="E3297">
        <f>IFERROR(__xludf.DUMMYFUNCTION("""COMPUTED_VALUE"""),2.43)</f>
        <v>2.43</v>
      </c>
      <c r="F3297">
        <f>IFERROR(__xludf.DUMMYFUNCTION("""COMPUTED_VALUE"""),1.88)</f>
        <v>1.88</v>
      </c>
      <c r="G3297">
        <f>IFERROR(__xludf.DUMMYFUNCTION("""COMPUTED_VALUE"""),8.81)</f>
        <v>8.81</v>
      </c>
    </row>
    <row r="3298">
      <c r="A3298">
        <f>IFERROR(__xludf.DUMMYFUNCTION("""COMPUTED_VALUE"""),788696.0)</f>
        <v>788696</v>
      </c>
      <c r="B3298" t="str">
        <f>IFERROR(__xludf.DUMMYFUNCTION("""COMPUTED_VALUE"""),"Vegetable Combinations Asian Style Broccoli Green Pepper Water Chestnut Etc. Cooked Fat Not Added In Cooking")</f>
        <v>Vegetable Combinations Asian Style Broccoli Green Pepper Water Chestnut Etc. Cooked Fat Not Added In Cooking</v>
      </c>
      <c r="C3298" t="str">
        <f>IFERROR(__xludf.DUMMYFUNCTION("""COMPUTED_VALUE"""),"Vegetables")</f>
        <v>Vegetables</v>
      </c>
      <c r="D3298">
        <f>IFERROR(__xludf.DUMMYFUNCTION("""COMPUTED_VALUE"""),43.0)</f>
        <v>43</v>
      </c>
      <c r="E3298">
        <f>IFERROR(__xludf.DUMMYFUNCTION("""COMPUTED_VALUE"""),0.22)</f>
        <v>0.22</v>
      </c>
      <c r="F3298">
        <f>IFERROR(__xludf.DUMMYFUNCTION("""COMPUTED_VALUE"""),1.85)</f>
        <v>1.85</v>
      </c>
      <c r="G3298">
        <f>IFERROR(__xludf.DUMMYFUNCTION("""COMPUTED_VALUE"""),9.36)</f>
        <v>9.36</v>
      </c>
    </row>
    <row r="3299">
      <c r="A3299">
        <f>IFERROR(__xludf.DUMMYFUNCTION("""COMPUTED_VALUE"""),788697.0)</f>
        <v>788697</v>
      </c>
      <c r="B3299" t="str">
        <f>IFERROR(__xludf.DUMMYFUNCTION("""COMPUTED_VALUE"""),"Vegetable Combinations Asian Style Broccoli Green Pepper Water Chestnut Etc. Cooked Fat Added In Cooking Ns As To Type Of Fat")</f>
        <v>Vegetable Combinations Asian Style Broccoli Green Pepper Water Chestnut Etc. Cooked Fat Added In Cooking Ns As To Type Of Fat</v>
      </c>
      <c r="C3299" t="str">
        <f>IFERROR(__xludf.DUMMYFUNCTION("""COMPUTED_VALUE"""),"Vegetables")</f>
        <v>Vegetables</v>
      </c>
      <c r="D3299">
        <f>IFERROR(__xludf.DUMMYFUNCTION("""COMPUTED_VALUE"""),61.0)</f>
        <v>61</v>
      </c>
      <c r="E3299">
        <f>IFERROR(__xludf.DUMMYFUNCTION("""COMPUTED_VALUE"""),2.43)</f>
        <v>2.43</v>
      </c>
      <c r="F3299">
        <f>IFERROR(__xludf.DUMMYFUNCTION("""COMPUTED_VALUE"""),1.88)</f>
        <v>1.88</v>
      </c>
      <c r="G3299">
        <f>IFERROR(__xludf.DUMMYFUNCTION("""COMPUTED_VALUE"""),8.81)</f>
        <v>8.81</v>
      </c>
    </row>
    <row r="3300">
      <c r="A3300">
        <f>IFERROR(__xludf.DUMMYFUNCTION("""COMPUTED_VALUE"""),788698.0)</f>
        <v>788698</v>
      </c>
      <c r="B3300" t="str">
        <f>IFERROR(__xludf.DUMMYFUNCTION("""COMPUTED_VALUE"""),"Vegetable Combinations Asian Style Broccoli Green Pepper Water Chestnut Etc. Cooked Made With Oil")</f>
        <v>Vegetable Combinations Asian Style Broccoli Green Pepper Water Chestnut Etc. Cooked Made With Oil</v>
      </c>
      <c r="C3300" t="str">
        <f>IFERROR(__xludf.DUMMYFUNCTION("""COMPUTED_VALUE"""),"Vegetables")</f>
        <v>Vegetables</v>
      </c>
      <c r="D3300">
        <f>IFERROR(__xludf.DUMMYFUNCTION("""COMPUTED_VALUE"""),67.0)</f>
        <v>67</v>
      </c>
      <c r="E3300">
        <f>IFERROR(__xludf.DUMMYFUNCTION("""COMPUTED_VALUE"""),3.14)</f>
        <v>3.14</v>
      </c>
      <c r="F3300">
        <f>IFERROR(__xludf.DUMMYFUNCTION("""COMPUTED_VALUE"""),1.86)</f>
        <v>1.86</v>
      </c>
      <c r="G3300">
        <f>IFERROR(__xludf.DUMMYFUNCTION("""COMPUTED_VALUE"""),8.81)</f>
        <v>8.81</v>
      </c>
    </row>
    <row r="3301">
      <c r="A3301">
        <f>IFERROR(__xludf.DUMMYFUNCTION("""COMPUTED_VALUE"""),788699.0)</f>
        <v>788699</v>
      </c>
      <c r="B3301" t="str">
        <f>IFERROR(__xludf.DUMMYFUNCTION("""COMPUTED_VALUE"""),"Vegetable Combinations Asian Style Broccoli Green Pepper Water Chestnut Etc. Cooked Made With Butter")</f>
        <v>Vegetable Combinations Asian Style Broccoli Green Pepper Water Chestnut Etc. Cooked Made With Butter</v>
      </c>
      <c r="C3301" t="str">
        <f>IFERROR(__xludf.DUMMYFUNCTION("""COMPUTED_VALUE"""),"Vegetables")</f>
        <v>Vegetables</v>
      </c>
      <c r="D3301">
        <f>IFERROR(__xludf.DUMMYFUNCTION("""COMPUTED_VALUE"""),63.0)</f>
        <v>63</v>
      </c>
      <c r="E3301">
        <f>IFERROR(__xludf.DUMMYFUNCTION("""COMPUTED_VALUE"""),2.69)</f>
        <v>2.69</v>
      </c>
      <c r="F3301">
        <f>IFERROR(__xludf.DUMMYFUNCTION("""COMPUTED_VALUE"""),1.89)</f>
        <v>1.89</v>
      </c>
      <c r="G3301">
        <f>IFERROR(__xludf.DUMMYFUNCTION("""COMPUTED_VALUE"""),8.8)</f>
        <v>8.8</v>
      </c>
    </row>
    <row r="3302">
      <c r="A3302">
        <f>IFERROR(__xludf.DUMMYFUNCTION("""COMPUTED_VALUE"""),788700.0)</f>
        <v>788700</v>
      </c>
      <c r="B3302" t="str">
        <f>IFERROR(__xludf.DUMMYFUNCTION("""COMPUTED_VALUE"""),"Vegetable Combinations Asian Style Broccoli Green Pepper Water Chestnut Etc. Cooked Made With Margarine")</f>
        <v>Vegetable Combinations Asian Style Broccoli Green Pepper Water Chestnut Etc. Cooked Made With Margarine</v>
      </c>
      <c r="C3302" t="str">
        <f>IFERROR(__xludf.DUMMYFUNCTION("""COMPUTED_VALUE"""),"Vegetables")</f>
        <v>Vegetables</v>
      </c>
      <c r="D3302">
        <f>IFERROR(__xludf.DUMMYFUNCTION("""COMPUTED_VALUE"""),53.0)</f>
        <v>53</v>
      </c>
      <c r="E3302">
        <f>IFERROR(__xludf.DUMMYFUNCTION("""COMPUTED_VALUE"""),1.69)</f>
        <v>1.69</v>
      </c>
      <c r="F3302">
        <f>IFERROR(__xludf.DUMMYFUNCTION("""COMPUTED_VALUE"""),1.64)</f>
        <v>1.64</v>
      </c>
      <c r="G3302">
        <f>IFERROR(__xludf.DUMMYFUNCTION("""COMPUTED_VALUE"""),8.71)</f>
        <v>8.71</v>
      </c>
    </row>
    <row r="3303">
      <c r="A3303">
        <f>IFERROR(__xludf.DUMMYFUNCTION("""COMPUTED_VALUE"""),788701.0)</f>
        <v>788701</v>
      </c>
      <c r="B3303" t="str">
        <f>IFERROR(__xludf.DUMMYFUNCTION("""COMPUTED_VALUE"""),"Vegetable And Pasta Combinations With Cream Or Cheese Sauce Broccoli Pasta Carrots Corn Zucchini Peppers Cauliflower Peas Etc. Cooked")</f>
        <v>Vegetable And Pasta Combinations With Cream Or Cheese Sauce Broccoli Pasta Carrots Corn Zucchini Peppers Cauliflower Peas Etc. Cooked</v>
      </c>
      <c r="C3303" t="str">
        <f>IFERROR(__xludf.DUMMYFUNCTION("""COMPUTED_VALUE"""),"Vegetables")</f>
        <v>Vegetables</v>
      </c>
      <c r="D3303">
        <f>IFERROR(__xludf.DUMMYFUNCTION("""COMPUTED_VALUE"""),109.0)</f>
        <v>109</v>
      </c>
      <c r="E3303">
        <f>IFERROR(__xludf.DUMMYFUNCTION("""COMPUTED_VALUE"""),5.33)</f>
        <v>5.33</v>
      </c>
      <c r="F3303">
        <f>IFERROR(__xludf.DUMMYFUNCTION("""COMPUTED_VALUE"""),3.71)</f>
        <v>3.71</v>
      </c>
      <c r="G3303">
        <f>IFERROR(__xludf.DUMMYFUNCTION("""COMPUTED_VALUE"""),12.69)</f>
        <v>12.69</v>
      </c>
    </row>
    <row r="3304">
      <c r="A3304">
        <f>IFERROR(__xludf.DUMMYFUNCTION("""COMPUTED_VALUE"""),788702.0)</f>
        <v>788702</v>
      </c>
      <c r="B3304" t="str">
        <f>IFERROR(__xludf.DUMMYFUNCTION("""COMPUTED_VALUE"""),"Jai Monk's Food")</f>
        <v>Jai Monk's Food</v>
      </c>
      <c r="C3304" t="str">
        <f>IFERROR(__xludf.DUMMYFUNCTION("""COMPUTED_VALUE"""),"Vegetables")</f>
        <v>Vegetables</v>
      </c>
      <c r="D3304">
        <f>IFERROR(__xludf.DUMMYFUNCTION("""COMPUTED_VALUE"""),89.0)</f>
        <v>89</v>
      </c>
      <c r="E3304">
        <f>IFERROR(__xludf.DUMMYFUNCTION("""COMPUTED_VALUE"""),1.96)</f>
        <v>1.96</v>
      </c>
      <c r="F3304">
        <f>IFERROR(__xludf.DUMMYFUNCTION("""COMPUTED_VALUE"""),5.08)</f>
        <v>5.08</v>
      </c>
      <c r="G3304">
        <f>IFERROR(__xludf.DUMMYFUNCTION("""COMPUTED_VALUE"""),15.39)</f>
        <v>15.39</v>
      </c>
    </row>
    <row r="3305">
      <c r="A3305">
        <f>IFERROR(__xludf.DUMMYFUNCTION("""COMPUTED_VALUE"""),788703.0)</f>
        <v>788703</v>
      </c>
      <c r="B3305" t="str">
        <f>IFERROR(__xludf.DUMMYFUNCTION("""COMPUTED_VALUE"""),"Pinacbet")</f>
        <v>Pinacbet</v>
      </c>
      <c r="C3305" t="str">
        <f>IFERROR(__xludf.DUMMYFUNCTION("""COMPUTED_VALUE"""),"Vegetables")</f>
        <v>Vegetables</v>
      </c>
      <c r="D3305">
        <f>IFERROR(__xludf.DUMMYFUNCTION("""COMPUTED_VALUE"""),45.0)</f>
        <v>45</v>
      </c>
      <c r="E3305">
        <f>IFERROR(__xludf.DUMMYFUNCTION("""COMPUTED_VALUE"""),2.53)</f>
        <v>2.53</v>
      </c>
      <c r="F3305">
        <f>IFERROR(__xludf.DUMMYFUNCTION("""COMPUTED_VALUE"""),1.06)</f>
        <v>1.06</v>
      </c>
      <c r="G3305">
        <f>IFERROR(__xludf.DUMMYFUNCTION("""COMPUTED_VALUE"""),5.3)</f>
        <v>5.3</v>
      </c>
    </row>
    <row r="3306">
      <c r="A3306">
        <f>IFERROR(__xludf.DUMMYFUNCTION("""COMPUTED_VALUE"""),788705.0)</f>
        <v>788705</v>
      </c>
      <c r="B3306" t="str">
        <f>IFERROR(__xludf.DUMMYFUNCTION("""COMPUTED_VALUE"""),"Artichokes Stuffed")</f>
        <v>Artichokes Stuffed</v>
      </c>
      <c r="C3306" t="str">
        <f>IFERROR(__xludf.DUMMYFUNCTION("""COMPUTED_VALUE"""),"Vegetables")</f>
        <v>Vegetables</v>
      </c>
      <c r="D3306">
        <f>IFERROR(__xludf.DUMMYFUNCTION("""COMPUTED_VALUE"""),159.0)</f>
        <v>159</v>
      </c>
      <c r="E3306">
        <f>IFERROR(__xludf.DUMMYFUNCTION("""COMPUTED_VALUE"""),5.81)</f>
        <v>5.81</v>
      </c>
      <c r="F3306">
        <f>IFERROR(__xludf.DUMMYFUNCTION("""COMPUTED_VALUE"""),5.31)</f>
        <v>5.31</v>
      </c>
      <c r="G3306">
        <f>IFERROR(__xludf.DUMMYFUNCTION("""COMPUTED_VALUE"""),22.33)</f>
        <v>22.33</v>
      </c>
    </row>
    <row r="3307">
      <c r="A3307">
        <f>IFERROR(__xludf.DUMMYFUNCTION("""COMPUTED_VALUE"""),788706.0)</f>
        <v>788706</v>
      </c>
      <c r="B3307" t="str">
        <f>IFERROR(__xludf.DUMMYFUNCTION("""COMPUTED_VALUE"""),"Asparagus Ns As To Form Creamed Or With Cheese Sauce")</f>
        <v>Asparagus Ns As To Form Creamed Or With Cheese Sauce</v>
      </c>
      <c r="C3307" t="str">
        <f>IFERROR(__xludf.DUMMYFUNCTION("""COMPUTED_VALUE"""),"Vegetables")</f>
        <v>Vegetables</v>
      </c>
      <c r="D3307">
        <f>IFERROR(__xludf.DUMMYFUNCTION("""COMPUTED_VALUE"""),66.0)</f>
        <v>66</v>
      </c>
      <c r="E3307">
        <f>IFERROR(__xludf.DUMMYFUNCTION("""COMPUTED_VALUE"""),4.28)</f>
        <v>4.28</v>
      </c>
      <c r="F3307">
        <f>IFERROR(__xludf.DUMMYFUNCTION("""COMPUTED_VALUE"""),4.23)</f>
        <v>4.23</v>
      </c>
      <c r="G3307">
        <f>IFERROR(__xludf.DUMMYFUNCTION("""COMPUTED_VALUE"""),3.62)</f>
        <v>3.62</v>
      </c>
    </row>
    <row r="3308">
      <c r="A3308">
        <f>IFERROR(__xludf.DUMMYFUNCTION("""COMPUTED_VALUE"""),788707.0)</f>
        <v>788707</v>
      </c>
      <c r="B3308" t="str">
        <f>IFERROR(__xludf.DUMMYFUNCTION("""COMPUTED_VALUE"""),"Asparagus From Fresh Creamed Or With Cheese Sauce")</f>
        <v>Asparagus From Fresh Creamed Or With Cheese Sauce</v>
      </c>
      <c r="C3308" t="str">
        <f>IFERROR(__xludf.DUMMYFUNCTION("""COMPUTED_VALUE"""),"Vegetables")</f>
        <v>Vegetables</v>
      </c>
      <c r="D3308">
        <f>IFERROR(__xludf.DUMMYFUNCTION("""COMPUTED_VALUE"""),69.0)</f>
        <v>69</v>
      </c>
      <c r="E3308">
        <f>IFERROR(__xludf.DUMMYFUNCTION("""COMPUTED_VALUE"""),4.14)</f>
        <v>4.14</v>
      </c>
      <c r="F3308">
        <f>IFERROR(__xludf.DUMMYFUNCTION("""COMPUTED_VALUE"""),3.85)</f>
        <v>3.85</v>
      </c>
      <c r="G3308">
        <f>IFERROR(__xludf.DUMMYFUNCTION("""COMPUTED_VALUE"""),5.12)</f>
        <v>5.12</v>
      </c>
    </row>
    <row r="3309">
      <c r="A3309">
        <f>IFERROR(__xludf.DUMMYFUNCTION("""COMPUTED_VALUE"""),788708.0)</f>
        <v>788708</v>
      </c>
      <c r="B3309" t="str">
        <f>IFERROR(__xludf.DUMMYFUNCTION("""COMPUTED_VALUE"""),"Asparagus From Frozen Creamed Or With Cheese Sauce")</f>
        <v>Asparagus From Frozen Creamed Or With Cheese Sauce</v>
      </c>
      <c r="C3309" t="str">
        <f>IFERROR(__xludf.DUMMYFUNCTION("""COMPUTED_VALUE"""),"Vegetables")</f>
        <v>Vegetables</v>
      </c>
      <c r="D3309">
        <f>IFERROR(__xludf.DUMMYFUNCTION("""COMPUTED_VALUE"""),66.0)</f>
        <v>66</v>
      </c>
      <c r="E3309">
        <f>IFERROR(__xludf.DUMMYFUNCTION("""COMPUTED_VALUE"""),4.28)</f>
        <v>4.28</v>
      </c>
      <c r="F3309">
        <f>IFERROR(__xludf.DUMMYFUNCTION("""COMPUTED_VALUE"""),4.22)</f>
        <v>4.22</v>
      </c>
      <c r="G3309">
        <f>IFERROR(__xludf.DUMMYFUNCTION("""COMPUTED_VALUE"""),3.62)</f>
        <v>3.62</v>
      </c>
    </row>
    <row r="3310">
      <c r="A3310">
        <f>IFERROR(__xludf.DUMMYFUNCTION("""COMPUTED_VALUE"""),788709.0)</f>
        <v>788709</v>
      </c>
      <c r="B3310" t="str">
        <f>IFERROR(__xludf.DUMMYFUNCTION("""COMPUTED_VALUE"""),"Asparagus From Canned Creamed Or With Cheese Sauce")</f>
        <v>Asparagus From Canned Creamed Or With Cheese Sauce</v>
      </c>
      <c r="C3310" t="str">
        <f>IFERROR(__xludf.DUMMYFUNCTION("""COMPUTED_VALUE"""),"Vegetables")</f>
        <v>Vegetables</v>
      </c>
      <c r="D3310">
        <f>IFERROR(__xludf.DUMMYFUNCTION("""COMPUTED_VALUE"""),58.0)</f>
        <v>58</v>
      </c>
      <c r="E3310">
        <f>IFERROR(__xludf.DUMMYFUNCTION("""COMPUTED_VALUE"""),3.71)</f>
        <v>3.71</v>
      </c>
      <c r="F3310">
        <f>IFERROR(__xludf.DUMMYFUNCTION("""COMPUTED_VALUE"""),3.38)</f>
        <v>3.38</v>
      </c>
      <c r="G3310">
        <f>IFERROR(__xludf.DUMMYFUNCTION("""COMPUTED_VALUE"""),3.7)</f>
        <v>3.7</v>
      </c>
    </row>
    <row r="3311">
      <c r="A3311">
        <f>IFERROR(__xludf.DUMMYFUNCTION("""COMPUTED_VALUE"""),788710.0)</f>
        <v>788710</v>
      </c>
      <c r="B3311" t="str">
        <f>IFERROR(__xludf.DUMMYFUNCTION("""COMPUTED_VALUE"""),"Beans Lima Immature Ns As To Form Creamed Or With Cheese Sauce")</f>
        <v>Beans Lima Immature Ns As To Form Creamed Or With Cheese Sauce</v>
      </c>
      <c r="C3311" t="str">
        <f>IFERROR(__xludf.DUMMYFUNCTION("""COMPUTED_VALUE"""),"Vegetables")</f>
        <v>Vegetables</v>
      </c>
      <c r="D3311">
        <f>IFERROR(__xludf.DUMMYFUNCTION("""COMPUTED_VALUE"""),125.0)</f>
        <v>125</v>
      </c>
      <c r="E3311">
        <f>IFERROR(__xludf.DUMMYFUNCTION("""COMPUTED_VALUE"""),4.38)</f>
        <v>4.38</v>
      </c>
      <c r="F3311">
        <f>IFERROR(__xludf.DUMMYFUNCTION("""COMPUTED_VALUE"""),6.38)</f>
        <v>6.38</v>
      </c>
      <c r="G3311">
        <f>IFERROR(__xludf.DUMMYFUNCTION("""COMPUTED_VALUE"""),15.39)</f>
        <v>15.39</v>
      </c>
    </row>
    <row r="3312">
      <c r="A3312">
        <f>IFERROR(__xludf.DUMMYFUNCTION("""COMPUTED_VALUE"""),788711.0)</f>
        <v>788711</v>
      </c>
      <c r="B3312" t="str">
        <f>IFERROR(__xludf.DUMMYFUNCTION("""COMPUTED_VALUE"""),"Beans Lima Immature From Fresh Creamed Or With Cheese Sauce")</f>
        <v>Beans Lima Immature From Fresh Creamed Or With Cheese Sauce</v>
      </c>
      <c r="C3312" t="str">
        <f>IFERROR(__xludf.DUMMYFUNCTION("""COMPUTED_VALUE"""),"Vegetables")</f>
        <v>Vegetables</v>
      </c>
      <c r="D3312">
        <f>IFERROR(__xludf.DUMMYFUNCTION("""COMPUTED_VALUE"""),139.0)</f>
        <v>139</v>
      </c>
      <c r="E3312">
        <f>IFERROR(__xludf.DUMMYFUNCTION("""COMPUTED_VALUE"""),4.36)</f>
        <v>4.36</v>
      </c>
      <c r="F3312">
        <f>IFERROR(__xludf.DUMMYFUNCTION("""COMPUTED_VALUE"""),6.87)</f>
        <v>6.87</v>
      </c>
      <c r="G3312">
        <f>IFERROR(__xludf.DUMMYFUNCTION("""COMPUTED_VALUE"""),18.3)</f>
        <v>18.3</v>
      </c>
    </row>
    <row r="3313">
      <c r="A3313">
        <f>IFERROR(__xludf.DUMMYFUNCTION("""COMPUTED_VALUE"""),788712.0)</f>
        <v>788712</v>
      </c>
      <c r="B3313" t="str">
        <f>IFERROR(__xludf.DUMMYFUNCTION("""COMPUTED_VALUE"""),"Beans Lima Immature From Frozen Creamed Or With Cheese Sauce")</f>
        <v>Beans Lima Immature From Frozen Creamed Or With Cheese Sauce</v>
      </c>
      <c r="C3313" t="str">
        <f>IFERROR(__xludf.DUMMYFUNCTION("""COMPUTED_VALUE"""),"Vegetables")</f>
        <v>Vegetables</v>
      </c>
      <c r="D3313">
        <f>IFERROR(__xludf.DUMMYFUNCTION("""COMPUTED_VALUE"""),125.0)</f>
        <v>125</v>
      </c>
      <c r="E3313">
        <f>IFERROR(__xludf.DUMMYFUNCTION("""COMPUTED_VALUE"""),4.38)</f>
        <v>4.38</v>
      </c>
      <c r="F3313">
        <f>IFERROR(__xludf.DUMMYFUNCTION("""COMPUTED_VALUE"""),6.38)</f>
        <v>6.38</v>
      </c>
      <c r="G3313">
        <f>IFERROR(__xludf.DUMMYFUNCTION("""COMPUTED_VALUE"""),15.4)</f>
        <v>15.4</v>
      </c>
    </row>
    <row r="3314">
      <c r="A3314">
        <f>IFERROR(__xludf.DUMMYFUNCTION("""COMPUTED_VALUE"""),788713.0)</f>
        <v>788713</v>
      </c>
      <c r="B3314" t="str">
        <f>IFERROR(__xludf.DUMMYFUNCTION("""COMPUTED_VALUE"""),"Beans Lima Immature From Canned Creamed Or With Cheese Sauce")</f>
        <v>Beans Lima Immature From Canned Creamed Or With Cheese Sauce</v>
      </c>
      <c r="C3314" t="str">
        <f>IFERROR(__xludf.DUMMYFUNCTION("""COMPUTED_VALUE"""),"Vegetables")</f>
        <v>Vegetables</v>
      </c>
      <c r="D3314">
        <f>IFERROR(__xludf.DUMMYFUNCTION("""COMPUTED_VALUE"""),125.0)</f>
        <v>125</v>
      </c>
      <c r="E3314">
        <f>IFERROR(__xludf.DUMMYFUNCTION("""COMPUTED_VALUE"""),4.38)</f>
        <v>4.38</v>
      </c>
      <c r="F3314">
        <f>IFERROR(__xludf.DUMMYFUNCTION("""COMPUTED_VALUE"""),6.38)</f>
        <v>6.38</v>
      </c>
      <c r="G3314">
        <f>IFERROR(__xludf.DUMMYFUNCTION("""COMPUTED_VALUE"""),15.4)</f>
        <v>15.4</v>
      </c>
    </row>
    <row r="3315">
      <c r="A3315">
        <f>IFERROR(__xludf.DUMMYFUNCTION("""COMPUTED_VALUE"""),788714.0)</f>
        <v>788714</v>
      </c>
      <c r="B3315" t="str">
        <f>IFERROR(__xludf.DUMMYFUNCTION("""COMPUTED_VALUE"""),"Beans Lima Immature Cooked Ns As To Form With Mushroom Sauce")</f>
        <v>Beans Lima Immature Cooked Ns As To Form With Mushroom Sauce</v>
      </c>
      <c r="C3315" t="str">
        <f>IFERROR(__xludf.DUMMYFUNCTION("""COMPUTED_VALUE"""),"Vegetables")</f>
        <v>Vegetables</v>
      </c>
      <c r="D3315">
        <f>IFERROR(__xludf.DUMMYFUNCTION("""COMPUTED_VALUE"""),90.0)</f>
        <v>90</v>
      </c>
      <c r="E3315">
        <f>IFERROR(__xludf.DUMMYFUNCTION("""COMPUTED_VALUE"""),1.98)</f>
        <v>1.98</v>
      </c>
      <c r="F3315">
        <f>IFERROR(__xludf.DUMMYFUNCTION("""COMPUTED_VALUE"""),4.37)</f>
        <v>4.37</v>
      </c>
      <c r="G3315">
        <f>IFERROR(__xludf.DUMMYFUNCTION("""COMPUTED_VALUE"""),14.06)</f>
        <v>14.06</v>
      </c>
    </row>
    <row r="3316">
      <c r="A3316">
        <f>IFERROR(__xludf.DUMMYFUNCTION("""COMPUTED_VALUE"""),788715.0)</f>
        <v>788715</v>
      </c>
      <c r="B3316" t="str">
        <f>IFERROR(__xludf.DUMMYFUNCTION("""COMPUTED_VALUE"""),"Beans Lima Immature Cooked From Fresh With Mushroom Sauce")</f>
        <v>Beans Lima Immature Cooked From Fresh With Mushroom Sauce</v>
      </c>
      <c r="C3316" t="str">
        <f>IFERROR(__xludf.DUMMYFUNCTION("""COMPUTED_VALUE"""),"Vegetables")</f>
        <v>Vegetables</v>
      </c>
      <c r="D3316">
        <f>IFERROR(__xludf.DUMMYFUNCTION("""COMPUTED_VALUE"""),102.0)</f>
        <v>102</v>
      </c>
      <c r="E3316">
        <f>IFERROR(__xludf.DUMMYFUNCTION("""COMPUTED_VALUE"""),1.97)</f>
        <v>1.97</v>
      </c>
      <c r="F3316">
        <f>IFERROR(__xludf.DUMMYFUNCTION("""COMPUTED_VALUE"""),4.82)</f>
        <v>4.82</v>
      </c>
      <c r="G3316">
        <f>IFERROR(__xludf.DUMMYFUNCTION("""COMPUTED_VALUE"""),16.64)</f>
        <v>16.64</v>
      </c>
    </row>
    <row r="3317">
      <c r="A3317">
        <f>IFERROR(__xludf.DUMMYFUNCTION("""COMPUTED_VALUE"""),788716.0)</f>
        <v>788716</v>
      </c>
      <c r="B3317" t="str">
        <f>IFERROR(__xludf.DUMMYFUNCTION("""COMPUTED_VALUE"""),"Beans Lima Immature Cooked From Frozen With Mushroom Sauce")</f>
        <v>Beans Lima Immature Cooked From Frozen With Mushroom Sauce</v>
      </c>
      <c r="C3317" t="str">
        <f>IFERROR(__xludf.DUMMYFUNCTION("""COMPUTED_VALUE"""),"Vegetables")</f>
        <v>Vegetables</v>
      </c>
      <c r="D3317">
        <f>IFERROR(__xludf.DUMMYFUNCTION("""COMPUTED_VALUE"""),90.0)</f>
        <v>90</v>
      </c>
      <c r="E3317">
        <f>IFERROR(__xludf.DUMMYFUNCTION("""COMPUTED_VALUE"""),1.98)</f>
        <v>1.98</v>
      </c>
      <c r="F3317">
        <f>IFERROR(__xludf.DUMMYFUNCTION("""COMPUTED_VALUE"""),4.37)</f>
        <v>4.37</v>
      </c>
      <c r="G3317">
        <f>IFERROR(__xludf.DUMMYFUNCTION("""COMPUTED_VALUE"""),14.06)</f>
        <v>14.06</v>
      </c>
    </row>
    <row r="3318">
      <c r="A3318">
        <f>IFERROR(__xludf.DUMMYFUNCTION("""COMPUTED_VALUE"""),788717.0)</f>
        <v>788717</v>
      </c>
      <c r="B3318" t="str">
        <f>IFERROR(__xludf.DUMMYFUNCTION("""COMPUTED_VALUE"""),"Beans Lima Immature Cooked From Canned With Mushroom Sauce")</f>
        <v>Beans Lima Immature Cooked From Canned With Mushroom Sauce</v>
      </c>
      <c r="C3318" t="str">
        <f>IFERROR(__xludf.DUMMYFUNCTION("""COMPUTED_VALUE"""),"Vegetables")</f>
        <v>Vegetables</v>
      </c>
      <c r="D3318">
        <f>IFERROR(__xludf.DUMMYFUNCTION("""COMPUTED_VALUE"""),90.0)</f>
        <v>90</v>
      </c>
      <c r="E3318">
        <f>IFERROR(__xludf.DUMMYFUNCTION("""COMPUTED_VALUE"""),1.98)</f>
        <v>1.98</v>
      </c>
      <c r="F3318">
        <f>IFERROR(__xludf.DUMMYFUNCTION("""COMPUTED_VALUE"""),4.37)</f>
        <v>4.37</v>
      </c>
      <c r="G3318">
        <f>IFERROR(__xludf.DUMMYFUNCTION("""COMPUTED_VALUE"""),14.06)</f>
        <v>14.06</v>
      </c>
    </row>
    <row r="3319">
      <c r="A3319">
        <f>IFERROR(__xludf.DUMMYFUNCTION("""COMPUTED_VALUE"""),788718.0)</f>
        <v>788718</v>
      </c>
      <c r="B3319" t="str">
        <f>IFERROR(__xludf.DUMMYFUNCTION("""COMPUTED_VALUE"""),"Beans String Green Ns As To Form Creamed Or With Cheese Sauce")</f>
        <v>Beans String Green Ns As To Form Creamed Or With Cheese Sauce</v>
      </c>
      <c r="C3319" t="str">
        <f>IFERROR(__xludf.DUMMYFUNCTION("""COMPUTED_VALUE"""),"Vegetables")</f>
        <v>Vegetables</v>
      </c>
      <c r="D3319">
        <f>IFERROR(__xludf.DUMMYFUNCTION("""COMPUTED_VALUE"""),82.0)</f>
        <v>82</v>
      </c>
      <c r="E3319">
        <f>IFERROR(__xludf.DUMMYFUNCTION("""COMPUTED_VALUE"""),4.92)</f>
        <v>4.92</v>
      </c>
      <c r="F3319">
        <f>IFERROR(__xludf.DUMMYFUNCTION("""COMPUTED_VALUE"""),3.58)</f>
        <v>3.58</v>
      </c>
      <c r="G3319">
        <f>IFERROR(__xludf.DUMMYFUNCTION("""COMPUTED_VALUE"""),6.78)</f>
        <v>6.78</v>
      </c>
    </row>
    <row r="3320">
      <c r="A3320">
        <f>IFERROR(__xludf.DUMMYFUNCTION("""COMPUTED_VALUE"""),788719.0)</f>
        <v>788719</v>
      </c>
      <c r="B3320" t="str">
        <f>IFERROR(__xludf.DUMMYFUNCTION("""COMPUTED_VALUE"""),"Beans String Green From Fresh Creamed Or With Cheese Sauce")</f>
        <v>Beans String Green From Fresh Creamed Or With Cheese Sauce</v>
      </c>
      <c r="C3320" t="str">
        <f>IFERROR(__xludf.DUMMYFUNCTION("""COMPUTED_VALUE"""),"Vegetables")</f>
        <v>Vegetables</v>
      </c>
      <c r="D3320">
        <f>IFERROR(__xludf.DUMMYFUNCTION("""COMPUTED_VALUE"""),89.0)</f>
        <v>89</v>
      </c>
      <c r="E3320">
        <f>IFERROR(__xludf.DUMMYFUNCTION("""COMPUTED_VALUE"""),5.21)</f>
        <v>5.21</v>
      </c>
      <c r="F3320">
        <f>IFERROR(__xludf.DUMMYFUNCTION("""COMPUTED_VALUE"""),3.92)</f>
        <v>3.92</v>
      </c>
      <c r="G3320">
        <f>IFERROR(__xludf.DUMMYFUNCTION("""COMPUTED_VALUE"""),7.66)</f>
        <v>7.66</v>
      </c>
    </row>
    <row r="3321">
      <c r="A3321">
        <f>IFERROR(__xludf.DUMMYFUNCTION("""COMPUTED_VALUE"""),788720.0)</f>
        <v>788720</v>
      </c>
      <c r="B3321" t="str">
        <f>IFERROR(__xludf.DUMMYFUNCTION("""COMPUTED_VALUE"""),"Beans String Green From Frozen Creamed Or With Cheese Sauce")</f>
        <v>Beans String Green From Frozen Creamed Or With Cheese Sauce</v>
      </c>
      <c r="C3321" t="str">
        <f>IFERROR(__xludf.DUMMYFUNCTION("""COMPUTED_VALUE"""),"Vegetables")</f>
        <v>Vegetables</v>
      </c>
      <c r="D3321">
        <f>IFERROR(__xludf.DUMMYFUNCTION("""COMPUTED_VALUE"""),82.0)</f>
        <v>82</v>
      </c>
      <c r="E3321">
        <f>IFERROR(__xludf.DUMMYFUNCTION("""COMPUTED_VALUE"""),4.92)</f>
        <v>4.92</v>
      </c>
      <c r="F3321">
        <f>IFERROR(__xludf.DUMMYFUNCTION("""COMPUTED_VALUE"""),3.58)</f>
        <v>3.58</v>
      </c>
      <c r="G3321">
        <f>IFERROR(__xludf.DUMMYFUNCTION("""COMPUTED_VALUE"""),6.78)</f>
        <v>6.78</v>
      </c>
    </row>
    <row r="3322">
      <c r="A3322">
        <f>IFERROR(__xludf.DUMMYFUNCTION("""COMPUTED_VALUE"""),788721.0)</f>
        <v>788721</v>
      </c>
      <c r="B3322" t="str">
        <f>IFERROR(__xludf.DUMMYFUNCTION("""COMPUTED_VALUE"""),"Beans String Green From Canned Creamed Or With Cheese Sauce")</f>
        <v>Beans String Green From Canned Creamed Or With Cheese Sauce</v>
      </c>
      <c r="C3322" t="str">
        <f>IFERROR(__xludf.DUMMYFUNCTION("""COMPUTED_VALUE"""),"Vegetables")</f>
        <v>Vegetables</v>
      </c>
      <c r="D3322">
        <f>IFERROR(__xludf.DUMMYFUNCTION("""COMPUTED_VALUE"""),74.0)</f>
        <v>74</v>
      </c>
      <c r="E3322">
        <f>IFERROR(__xludf.DUMMYFUNCTION("""COMPUTED_VALUE"""),4.72)</f>
        <v>4.72</v>
      </c>
      <c r="F3322">
        <f>IFERROR(__xludf.DUMMYFUNCTION("""COMPUTED_VALUE"""),3.14)</f>
        <v>3.14</v>
      </c>
      <c r="G3322">
        <f>IFERROR(__xludf.DUMMYFUNCTION("""COMPUTED_VALUE"""),5.29)</f>
        <v>5.29</v>
      </c>
    </row>
    <row r="3323">
      <c r="A3323">
        <f>IFERROR(__xludf.DUMMYFUNCTION("""COMPUTED_VALUE"""),788722.0)</f>
        <v>788722</v>
      </c>
      <c r="B3323" t="str">
        <f>IFERROR(__xludf.DUMMYFUNCTION("""COMPUTED_VALUE"""),"Beans String Green Cooked Ns As To Form With Mushroom Sauce")</f>
        <v>Beans String Green Cooked Ns As To Form With Mushroom Sauce</v>
      </c>
      <c r="C3323" t="str">
        <f>IFERROR(__xludf.DUMMYFUNCTION("""COMPUTED_VALUE"""),"Vegetables")</f>
        <v>Vegetables</v>
      </c>
      <c r="D3323">
        <f>IFERROR(__xludf.DUMMYFUNCTION("""COMPUTED_VALUE"""),48.0)</f>
        <v>48</v>
      </c>
      <c r="E3323">
        <f>IFERROR(__xludf.DUMMYFUNCTION("""COMPUTED_VALUE"""),2.12)</f>
        <v>2.12</v>
      </c>
      <c r="F3323">
        <f>IFERROR(__xludf.DUMMYFUNCTION("""COMPUTED_VALUE"""),1.66)</f>
        <v>1.66</v>
      </c>
      <c r="G3323">
        <f>IFERROR(__xludf.DUMMYFUNCTION("""COMPUTED_VALUE"""),6.36)</f>
        <v>6.36</v>
      </c>
    </row>
    <row r="3324">
      <c r="A3324">
        <f>IFERROR(__xludf.DUMMYFUNCTION("""COMPUTED_VALUE"""),788723.0)</f>
        <v>788723</v>
      </c>
      <c r="B3324" t="str">
        <f>IFERROR(__xludf.DUMMYFUNCTION("""COMPUTED_VALUE"""),"Beans String Green Cooked From Fresh With Mushroom Sauce")</f>
        <v>Beans String Green Cooked From Fresh With Mushroom Sauce</v>
      </c>
      <c r="C3324" t="str">
        <f>IFERROR(__xludf.DUMMYFUNCTION("""COMPUTED_VALUE"""),"Vegetables")</f>
        <v>Vegetables</v>
      </c>
      <c r="D3324">
        <f>IFERROR(__xludf.DUMMYFUNCTION("""COMPUTED_VALUE"""),52.0)</f>
        <v>52</v>
      </c>
      <c r="E3324">
        <f>IFERROR(__xludf.DUMMYFUNCTION("""COMPUTED_VALUE"""),2.26)</f>
        <v>2.26</v>
      </c>
      <c r="F3324">
        <f>IFERROR(__xludf.DUMMYFUNCTION("""COMPUTED_VALUE"""),1.87)</f>
        <v>1.87</v>
      </c>
      <c r="G3324">
        <f>IFERROR(__xludf.DUMMYFUNCTION("""COMPUTED_VALUE"""),7.1)</f>
        <v>7.1</v>
      </c>
    </row>
    <row r="3325">
      <c r="A3325">
        <f>IFERROR(__xludf.DUMMYFUNCTION("""COMPUTED_VALUE"""),788724.0)</f>
        <v>788724</v>
      </c>
      <c r="B3325" t="str">
        <f>IFERROR(__xludf.DUMMYFUNCTION("""COMPUTED_VALUE"""),"Beans String Green Cooked From Frozen With Mushroom Sauce")</f>
        <v>Beans String Green Cooked From Frozen With Mushroom Sauce</v>
      </c>
      <c r="C3325" t="str">
        <f>IFERROR(__xludf.DUMMYFUNCTION("""COMPUTED_VALUE"""),"Vegetables")</f>
        <v>Vegetables</v>
      </c>
      <c r="D3325">
        <f>IFERROR(__xludf.DUMMYFUNCTION("""COMPUTED_VALUE"""),48.0)</f>
        <v>48</v>
      </c>
      <c r="E3325">
        <f>IFERROR(__xludf.DUMMYFUNCTION("""COMPUTED_VALUE"""),2.12)</f>
        <v>2.12</v>
      </c>
      <c r="F3325">
        <f>IFERROR(__xludf.DUMMYFUNCTION("""COMPUTED_VALUE"""),1.66)</f>
        <v>1.66</v>
      </c>
      <c r="G3325">
        <f>IFERROR(__xludf.DUMMYFUNCTION("""COMPUTED_VALUE"""),6.36)</f>
        <v>6.36</v>
      </c>
    </row>
    <row r="3326">
      <c r="A3326">
        <f>IFERROR(__xludf.DUMMYFUNCTION("""COMPUTED_VALUE"""),788725.0)</f>
        <v>788725</v>
      </c>
      <c r="B3326" t="str">
        <f>IFERROR(__xludf.DUMMYFUNCTION("""COMPUTED_VALUE"""),"Beans String Green Cooked From Canned With Mushroom Sauce")</f>
        <v>Beans String Green Cooked From Canned With Mushroom Sauce</v>
      </c>
      <c r="C3326" t="str">
        <f>IFERROR(__xludf.DUMMYFUNCTION("""COMPUTED_VALUE"""),"Vegetables")</f>
        <v>Vegetables</v>
      </c>
      <c r="D3326">
        <f>IFERROR(__xludf.DUMMYFUNCTION("""COMPUTED_VALUE"""),42.0)</f>
        <v>42</v>
      </c>
      <c r="E3326">
        <f>IFERROR(__xludf.DUMMYFUNCTION("""COMPUTED_VALUE"""),2.12)</f>
        <v>2.12</v>
      </c>
      <c r="F3326">
        <f>IFERROR(__xludf.DUMMYFUNCTION("""COMPUTED_VALUE"""),1.4)</f>
        <v>1.4</v>
      </c>
      <c r="G3326">
        <f>IFERROR(__xludf.DUMMYFUNCTION("""COMPUTED_VALUE"""),5.08)</f>
        <v>5.08</v>
      </c>
    </row>
    <row r="3327">
      <c r="A3327">
        <f>IFERROR(__xludf.DUMMYFUNCTION("""COMPUTED_VALUE"""),788727.0)</f>
        <v>788727</v>
      </c>
      <c r="B3327" t="str">
        <f>IFERROR(__xludf.DUMMYFUNCTION("""COMPUTED_VALUE"""),"Beans String Yellow Ns As To Form Creamed Or With Cheese Sauce")</f>
        <v>Beans String Yellow Ns As To Form Creamed Or With Cheese Sauce</v>
      </c>
      <c r="C3327" t="str">
        <f>IFERROR(__xludf.DUMMYFUNCTION("""COMPUTED_VALUE"""),"Vegetables")</f>
        <v>Vegetables</v>
      </c>
      <c r="D3327">
        <f>IFERROR(__xludf.DUMMYFUNCTION("""COMPUTED_VALUE"""),82.0)</f>
        <v>82</v>
      </c>
      <c r="E3327">
        <f>IFERROR(__xludf.DUMMYFUNCTION("""COMPUTED_VALUE"""),4.92)</f>
        <v>4.92</v>
      </c>
      <c r="F3327">
        <f>IFERROR(__xludf.DUMMYFUNCTION("""COMPUTED_VALUE"""),3.58)</f>
        <v>3.58</v>
      </c>
      <c r="G3327">
        <f>IFERROR(__xludf.DUMMYFUNCTION("""COMPUTED_VALUE"""),6.78)</f>
        <v>6.78</v>
      </c>
    </row>
    <row r="3328">
      <c r="A3328">
        <f>IFERROR(__xludf.DUMMYFUNCTION("""COMPUTED_VALUE"""),788728.0)</f>
        <v>788728</v>
      </c>
      <c r="B3328" t="str">
        <f>IFERROR(__xludf.DUMMYFUNCTION("""COMPUTED_VALUE"""),"Beans String Yellow From Fresh Creamed Or With Cheese Sauce")</f>
        <v>Beans String Yellow From Fresh Creamed Or With Cheese Sauce</v>
      </c>
      <c r="C3328" t="str">
        <f>IFERROR(__xludf.DUMMYFUNCTION("""COMPUTED_VALUE"""),"Vegetables")</f>
        <v>Vegetables</v>
      </c>
      <c r="D3328">
        <f>IFERROR(__xludf.DUMMYFUNCTION("""COMPUTED_VALUE"""),89.0)</f>
        <v>89</v>
      </c>
      <c r="E3328">
        <f>IFERROR(__xludf.DUMMYFUNCTION("""COMPUTED_VALUE"""),5.21)</f>
        <v>5.21</v>
      </c>
      <c r="F3328">
        <f>IFERROR(__xludf.DUMMYFUNCTION("""COMPUTED_VALUE"""),3.92)</f>
        <v>3.92</v>
      </c>
      <c r="G3328">
        <f>IFERROR(__xludf.DUMMYFUNCTION("""COMPUTED_VALUE"""),7.66)</f>
        <v>7.66</v>
      </c>
    </row>
    <row r="3329">
      <c r="A3329">
        <f>IFERROR(__xludf.DUMMYFUNCTION("""COMPUTED_VALUE"""),788729.0)</f>
        <v>788729</v>
      </c>
      <c r="B3329" t="str">
        <f>IFERROR(__xludf.DUMMYFUNCTION("""COMPUTED_VALUE"""),"Beans String Yellow From Frozen Creamed Or With Cheese Sauce")</f>
        <v>Beans String Yellow From Frozen Creamed Or With Cheese Sauce</v>
      </c>
      <c r="C3329" t="str">
        <f>IFERROR(__xludf.DUMMYFUNCTION("""COMPUTED_VALUE"""),"Vegetables")</f>
        <v>Vegetables</v>
      </c>
      <c r="D3329">
        <f>IFERROR(__xludf.DUMMYFUNCTION("""COMPUTED_VALUE"""),82.0)</f>
        <v>82</v>
      </c>
      <c r="E3329">
        <f>IFERROR(__xludf.DUMMYFUNCTION("""COMPUTED_VALUE"""),4.92)</f>
        <v>4.92</v>
      </c>
      <c r="F3329">
        <f>IFERROR(__xludf.DUMMYFUNCTION("""COMPUTED_VALUE"""),3.58)</f>
        <v>3.58</v>
      </c>
      <c r="G3329">
        <f>IFERROR(__xludf.DUMMYFUNCTION("""COMPUTED_VALUE"""),6.78)</f>
        <v>6.78</v>
      </c>
    </row>
    <row r="3330">
      <c r="A3330">
        <f>IFERROR(__xludf.DUMMYFUNCTION("""COMPUTED_VALUE"""),788730.0)</f>
        <v>788730</v>
      </c>
      <c r="B3330" t="str">
        <f>IFERROR(__xludf.DUMMYFUNCTION("""COMPUTED_VALUE"""),"Beans String Yellow From Canned Creamed Or With Cheese Sauce")</f>
        <v>Beans String Yellow From Canned Creamed Or With Cheese Sauce</v>
      </c>
      <c r="C3330" t="str">
        <f>IFERROR(__xludf.DUMMYFUNCTION("""COMPUTED_VALUE"""),"Vegetables")</f>
        <v>Vegetables</v>
      </c>
      <c r="D3330">
        <f>IFERROR(__xludf.DUMMYFUNCTION("""COMPUTED_VALUE"""),73.0)</f>
        <v>73</v>
      </c>
      <c r="E3330">
        <f>IFERROR(__xludf.DUMMYFUNCTION("""COMPUTED_VALUE"""),4.51)</f>
        <v>4.51</v>
      </c>
      <c r="F3330">
        <f>IFERROR(__xludf.DUMMYFUNCTION("""COMPUTED_VALUE"""),3.2)</f>
        <v>3.2</v>
      </c>
      <c r="G3330">
        <f>IFERROR(__xludf.DUMMYFUNCTION("""COMPUTED_VALUE"""),5.49)</f>
        <v>5.49</v>
      </c>
    </row>
    <row r="3331">
      <c r="A3331">
        <f>IFERROR(__xludf.DUMMYFUNCTION("""COMPUTED_VALUE"""),788731.0)</f>
        <v>788731</v>
      </c>
      <c r="B3331" t="str">
        <f>IFERROR(__xludf.DUMMYFUNCTION("""COMPUTED_VALUE"""),"Beets With Harvard Sauce")</f>
        <v>Beets With Harvard Sauce</v>
      </c>
      <c r="C3331" t="str">
        <f>IFERROR(__xludf.DUMMYFUNCTION("""COMPUTED_VALUE"""),"Vegetables")</f>
        <v>Vegetables</v>
      </c>
      <c r="D3331">
        <f>IFERROR(__xludf.DUMMYFUNCTION("""COMPUTED_VALUE"""),78.0)</f>
        <v>78</v>
      </c>
      <c r="E3331">
        <f>IFERROR(__xludf.DUMMYFUNCTION("""COMPUTED_VALUE"""),0.13)</f>
        <v>0.13</v>
      </c>
      <c r="F3331">
        <f>IFERROR(__xludf.DUMMYFUNCTION("""COMPUTED_VALUE"""),1.23)</f>
        <v>1.23</v>
      </c>
      <c r="G3331">
        <f>IFERROR(__xludf.DUMMYFUNCTION("""COMPUTED_VALUE"""),18.97)</f>
        <v>18.97</v>
      </c>
    </row>
    <row r="3332">
      <c r="A3332">
        <f>IFERROR(__xludf.DUMMYFUNCTION("""COMPUTED_VALUE"""),788732.0)</f>
        <v>788732</v>
      </c>
      <c r="B3332" t="str">
        <f>IFERROR(__xludf.DUMMYFUNCTION("""COMPUTED_VALUE"""),"Brussels Sprouts Ns As To Form Creamed")</f>
        <v>Brussels Sprouts Ns As To Form Creamed</v>
      </c>
      <c r="C3332" t="str">
        <f>IFERROR(__xludf.DUMMYFUNCTION("""COMPUTED_VALUE"""),"Vegetables")</f>
        <v>Vegetables</v>
      </c>
      <c r="D3332">
        <f>IFERROR(__xludf.DUMMYFUNCTION("""COMPUTED_VALUE"""),89.0)</f>
        <v>89</v>
      </c>
      <c r="E3332">
        <f>IFERROR(__xludf.DUMMYFUNCTION("""COMPUTED_VALUE"""),4.95)</f>
        <v>4.95</v>
      </c>
      <c r="F3332">
        <f>IFERROR(__xludf.DUMMYFUNCTION("""COMPUTED_VALUE"""),3.72)</f>
        <v>3.72</v>
      </c>
      <c r="G3332">
        <f>IFERROR(__xludf.DUMMYFUNCTION("""COMPUTED_VALUE"""),8.69)</f>
        <v>8.69</v>
      </c>
    </row>
    <row r="3333">
      <c r="A3333">
        <f>IFERROR(__xludf.DUMMYFUNCTION("""COMPUTED_VALUE"""),788733.0)</f>
        <v>788733</v>
      </c>
      <c r="B3333" t="str">
        <f>IFERROR(__xludf.DUMMYFUNCTION("""COMPUTED_VALUE"""),"Brussels Sprouts From Fresh Creamed")</f>
        <v>Brussels Sprouts From Fresh Creamed</v>
      </c>
      <c r="C3333" t="str">
        <f>IFERROR(__xludf.DUMMYFUNCTION("""COMPUTED_VALUE"""),"Vegetables")</f>
        <v>Vegetables</v>
      </c>
      <c r="D3333">
        <f>IFERROR(__xludf.DUMMYFUNCTION("""COMPUTED_VALUE"""),85.0)</f>
        <v>85</v>
      </c>
      <c r="E3333">
        <f>IFERROR(__xludf.DUMMYFUNCTION("""COMPUTED_VALUE"""),5.0)</f>
        <v>5</v>
      </c>
      <c r="F3333">
        <f>IFERROR(__xludf.DUMMYFUNCTION("""COMPUTED_VALUE"""),3.12)</f>
        <v>3.12</v>
      </c>
      <c r="G3333">
        <f>IFERROR(__xludf.DUMMYFUNCTION("""COMPUTED_VALUE"""),8.01)</f>
        <v>8.01</v>
      </c>
    </row>
    <row r="3334">
      <c r="A3334">
        <f>IFERROR(__xludf.DUMMYFUNCTION("""COMPUTED_VALUE"""),788734.0)</f>
        <v>788734</v>
      </c>
      <c r="B3334" t="str">
        <f>IFERROR(__xludf.DUMMYFUNCTION("""COMPUTED_VALUE"""),"Brussels Sprouts From Frozen Creamed")</f>
        <v>Brussels Sprouts From Frozen Creamed</v>
      </c>
      <c r="C3334" t="str">
        <f>IFERROR(__xludf.DUMMYFUNCTION("""COMPUTED_VALUE"""),"Vegetables")</f>
        <v>Vegetables</v>
      </c>
      <c r="D3334">
        <f>IFERROR(__xludf.DUMMYFUNCTION("""COMPUTED_VALUE"""),89.0)</f>
        <v>89</v>
      </c>
      <c r="E3334">
        <f>IFERROR(__xludf.DUMMYFUNCTION("""COMPUTED_VALUE"""),4.95)</f>
        <v>4.95</v>
      </c>
      <c r="F3334">
        <f>IFERROR(__xludf.DUMMYFUNCTION("""COMPUTED_VALUE"""),3.72)</f>
        <v>3.72</v>
      </c>
      <c r="G3334">
        <f>IFERROR(__xludf.DUMMYFUNCTION("""COMPUTED_VALUE"""),8.69)</f>
        <v>8.69</v>
      </c>
    </row>
    <row r="3335">
      <c r="A3335">
        <f>IFERROR(__xludf.DUMMYFUNCTION("""COMPUTED_VALUE"""),788735.0)</f>
        <v>788735</v>
      </c>
      <c r="B3335" t="str">
        <f>IFERROR(__xludf.DUMMYFUNCTION("""COMPUTED_VALUE"""),"Cabbage Creamed")</f>
        <v>Cabbage Creamed</v>
      </c>
      <c r="C3335" t="str">
        <f>IFERROR(__xludf.DUMMYFUNCTION("""COMPUTED_VALUE"""),"Vegetables")</f>
        <v>Vegetables</v>
      </c>
      <c r="D3335">
        <f>IFERROR(__xludf.DUMMYFUNCTION("""COMPUTED_VALUE"""),79.0)</f>
        <v>79</v>
      </c>
      <c r="E3335">
        <f>IFERROR(__xludf.DUMMYFUNCTION("""COMPUTED_VALUE"""),4.86)</f>
        <v>4.86</v>
      </c>
      <c r="F3335">
        <f>IFERROR(__xludf.DUMMYFUNCTION("""COMPUTED_VALUE"""),2.44)</f>
        <v>2.44</v>
      </c>
      <c r="G3335">
        <f>IFERROR(__xludf.DUMMYFUNCTION("""COMPUTED_VALUE"""),7.16)</f>
        <v>7.16</v>
      </c>
    </row>
    <row r="3336">
      <c r="A3336">
        <f>IFERROR(__xludf.DUMMYFUNCTION("""COMPUTED_VALUE"""),788736.0)</f>
        <v>788736</v>
      </c>
      <c r="B3336" t="str">
        <f>IFERROR(__xludf.DUMMYFUNCTION("""COMPUTED_VALUE"""),"Cauliflower Ns As To Form Creamed")</f>
        <v>Cauliflower Ns As To Form Creamed</v>
      </c>
      <c r="C3336" t="str">
        <f>IFERROR(__xludf.DUMMYFUNCTION("""COMPUTED_VALUE"""),"Vegetables")</f>
        <v>Vegetables</v>
      </c>
      <c r="D3336">
        <f>IFERROR(__xludf.DUMMYFUNCTION("""COMPUTED_VALUE"""),71.0)</f>
        <v>71</v>
      </c>
      <c r="E3336">
        <f>IFERROR(__xludf.DUMMYFUNCTION("""COMPUTED_VALUE"""),4.48)</f>
        <v>4.48</v>
      </c>
      <c r="F3336">
        <f>IFERROR(__xludf.DUMMYFUNCTION("""COMPUTED_VALUE"""),2.52)</f>
        <v>2.52</v>
      </c>
      <c r="G3336">
        <f>IFERROR(__xludf.DUMMYFUNCTION("""COMPUTED_VALUE"""),5.96)</f>
        <v>5.96</v>
      </c>
    </row>
    <row r="3337">
      <c r="A3337">
        <f>IFERROR(__xludf.DUMMYFUNCTION("""COMPUTED_VALUE"""),788737.0)</f>
        <v>788737</v>
      </c>
      <c r="B3337" t="str">
        <f>IFERROR(__xludf.DUMMYFUNCTION("""COMPUTED_VALUE"""),"Cauliflower From Fresh Creamed")</f>
        <v>Cauliflower From Fresh Creamed</v>
      </c>
      <c r="C3337" t="str">
        <f>IFERROR(__xludf.DUMMYFUNCTION("""COMPUTED_VALUE"""),"Vegetables")</f>
        <v>Vegetables</v>
      </c>
      <c r="D3337">
        <f>IFERROR(__xludf.DUMMYFUNCTION("""COMPUTED_VALUE"""),85.0)</f>
        <v>85</v>
      </c>
      <c r="E3337">
        <f>IFERROR(__xludf.DUMMYFUNCTION("""COMPUTED_VALUE"""),5.55)</f>
        <v>5.55</v>
      </c>
      <c r="F3337">
        <f>IFERROR(__xludf.DUMMYFUNCTION("""COMPUTED_VALUE"""),2.84)</f>
        <v>2.84</v>
      </c>
      <c r="G3337">
        <f>IFERROR(__xludf.DUMMYFUNCTION("""COMPUTED_VALUE"""),6.64)</f>
        <v>6.64</v>
      </c>
    </row>
    <row r="3338">
      <c r="A3338">
        <f>IFERROR(__xludf.DUMMYFUNCTION("""COMPUTED_VALUE"""),788738.0)</f>
        <v>788738</v>
      </c>
      <c r="B3338" t="str">
        <f>IFERROR(__xludf.DUMMYFUNCTION("""COMPUTED_VALUE"""),"Cauliflower From Frozen Creamed")</f>
        <v>Cauliflower From Frozen Creamed</v>
      </c>
      <c r="C3338" t="str">
        <f>IFERROR(__xludf.DUMMYFUNCTION("""COMPUTED_VALUE"""),"Vegetables")</f>
        <v>Vegetables</v>
      </c>
      <c r="D3338">
        <f>IFERROR(__xludf.DUMMYFUNCTION("""COMPUTED_VALUE"""),71.0)</f>
        <v>71</v>
      </c>
      <c r="E3338">
        <f>IFERROR(__xludf.DUMMYFUNCTION("""COMPUTED_VALUE"""),4.48)</f>
        <v>4.48</v>
      </c>
      <c r="F3338">
        <f>IFERROR(__xludf.DUMMYFUNCTION("""COMPUTED_VALUE"""),2.52)</f>
        <v>2.52</v>
      </c>
      <c r="G3338">
        <f>IFERROR(__xludf.DUMMYFUNCTION("""COMPUTED_VALUE"""),5.96)</f>
        <v>5.96</v>
      </c>
    </row>
    <row r="3339">
      <c r="A3339">
        <f>IFERROR(__xludf.DUMMYFUNCTION("""COMPUTED_VALUE"""),788739.0)</f>
        <v>788739</v>
      </c>
      <c r="B3339" t="str">
        <f>IFERROR(__xludf.DUMMYFUNCTION("""COMPUTED_VALUE"""),"Cauliflower From Canned Creamed")</f>
        <v>Cauliflower From Canned Creamed</v>
      </c>
      <c r="C3339" t="str">
        <f>IFERROR(__xludf.DUMMYFUNCTION("""COMPUTED_VALUE"""),"Vegetables")</f>
        <v>Vegetables</v>
      </c>
      <c r="D3339">
        <f>IFERROR(__xludf.DUMMYFUNCTION("""COMPUTED_VALUE"""),71.0)</f>
        <v>71</v>
      </c>
      <c r="E3339">
        <f>IFERROR(__xludf.DUMMYFUNCTION("""COMPUTED_VALUE"""),4.48)</f>
        <v>4.48</v>
      </c>
      <c r="F3339">
        <f>IFERROR(__xludf.DUMMYFUNCTION("""COMPUTED_VALUE"""),2.52)</f>
        <v>2.52</v>
      </c>
      <c r="G3339">
        <f>IFERROR(__xludf.DUMMYFUNCTION("""COMPUTED_VALUE"""),5.96)</f>
        <v>5.96</v>
      </c>
    </row>
    <row r="3340">
      <c r="A3340">
        <f>IFERROR(__xludf.DUMMYFUNCTION("""COMPUTED_VALUE"""),788740.0)</f>
        <v>788740</v>
      </c>
      <c r="B3340" t="str">
        <f>IFERROR(__xludf.DUMMYFUNCTION("""COMPUTED_VALUE"""),"Cauliflower Batter-Dipped Fried")</f>
        <v>Cauliflower Batter-Dipped Fried</v>
      </c>
      <c r="C3340" t="str">
        <f>IFERROR(__xludf.DUMMYFUNCTION("""COMPUTED_VALUE"""),"Vegetables")</f>
        <v>Vegetables</v>
      </c>
      <c r="D3340">
        <f>IFERROR(__xludf.DUMMYFUNCTION("""COMPUTED_VALUE"""),216.0)</f>
        <v>216</v>
      </c>
      <c r="E3340">
        <f>IFERROR(__xludf.DUMMYFUNCTION("""COMPUTED_VALUE"""),16.28)</f>
        <v>16.28</v>
      </c>
      <c r="F3340">
        <f>IFERROR(__xludf.DUMMYFUNCTION("""COMPUTED_VALUE"""),3.91)</f>
        <v>3.91</v>
      </c>
      <c r="G3340">
        <f>IFERROR(__xludf.DUMMYFUNCTION("""COMPUTED_VALUE"""),14.46)</f>
        <v>14.46</v>
      </c>
    </row>
    <row r="3341">
      <c r="A3341">
        <f>IFERROR(__xludf.DUMMYFUNCTION("""COMPUTED_VALUE"""),788741.0)</f>
        <v>788741</v>
      </c>
      <c r="B3341" t="str">
        <f>IFERROR(__xludf.DUMMYFUNCTION("""COMPUTED_VALUE"""),"Celery Creamed")</f>
        <v>Celery Creamed</v>
      </c>
      <c r="C3341" t="str">
        <f>IFERROR(__xludf.DUMMYFUNCTION("""COMPUTED_VALUE"""),"Vegetables")</f>
        <v>Vegetables</v>
      </c>
      <c r="D3341">
        <f>IFERROR(__xludf.DUMMYFUNCTION("""COMPUTED_VALUE"""),77.0)</f>
        <v>77</v>
      </c>
      <c r="E3341">
        <f>IFERROR(__xludf.DUMMYFUNCTION("""COMPUTED_VALUE"""),4.91)</f>
        <v>4.91</v>
      </c>
      <c r="F3341">
        <f>IFERROR(__xludf.DUMMYFUNCTION("""COMPUTED_VALUE"""),2.19)</f>
        <v>2.19</v>
      </c>
      <c r="G3341">
        <f>IFERROR(__xludf.DUMMYFUNCTION("""COMPUTED_VALUE"""),6.34)</f>
        <v>6.34</v>
      </c>
    </row>
    <row r="3342">
      <c r="A3342">
        <f>IFERROR(__xludf.DUMMYFUNCTION("""COMPUTED_VALUE"""),788745.0)</f>
        <v>788745</v>
      </c>
      <c r="B3342" t="str">
        <f>IFERROR(__xludf.DUMMYFUNCTION("""COMPUTED_VALUE"""),"Corn Scalloped Or Pudding")</f>
        <v>Corn Scalloped Or Pudding</v>
      </c>
      <c r="C3342" t="str">
        <f>IFERROR(__xludf.DUMMYFUNCTION("""COMPUTED_VALUE"""),"Vegetables")</f>
        <v>Vegetables</v>
      </c>
      <c r="D3342">
        <f>IFERROR(__xludf.DUMMYFUNCTION("""COMPUTED_VALUE"""),120.0)</f>
        <v>120</v>
      </c>
      <c r="E3342">
        <f>IFERROR(__xludf.DUMMYFUNCTION("""COMPUTED_VALUE"""),5.09)</f>
        <v>5.09</v>
      </c>
      <c r="F3342">
        <f>IFERROR(__xludf.DUMMYFUNCTION("""COMPUTED_VALUE"""),4.84)</f>
        <v>4.84</v>
      </c>
      <c r="G3342">
        <f>IFERROR(__xludf.DUMMYFUNCTION("""COMPUTED_VALUE"""),15.84)</f>
        <v>15.84</v>
      </c>
    </row>
    <row r="3343">
      <c r="A3343">
        <f>IFERROR(__xludf.DUMMYFUNCTION("""COMPUTED_VALUE"""),788746.0)</f>
        <v>788746</v>
      </c>
      <c r="B3343" t="str">
        <f>IFERROR(__xludf.DUMMYFUNCTION("""COMPUTED_VALUE"""),"Corn Fritter")</f>
        <v>Corn Fritter</v>
      </c>
      <c r="C3343" t="str">
        <f>IFERROR(__xludf.DUMMYFUNCTION("""COMPUTED_VALUE"""),"Vegetables")</f>
        <v>Vegetables</v>
      </c>
      <c r="D3343">
        <f>IFERROR(__xludf.DUMMYFUNCTION("""COMPUTED_VALUE"""),394.0)</f>
        <v>394</v>
      </c>
      <c r="E3343">
        <f>IFERROR(__xludf.DUMMYFUNCTION("""COMPUTED_VALUE"""),22.57)</f>
        <v>22.57</v>
      </c>
      <c r="F3343">
        <f>IFERROR(__xludf.DUMMYFUNCTION("""COMPUTED_VALUE"""),8.24)</f>
        <v>8.24</v>
      </c>
      <c r="G3343">
        <f>IFERROR(__xludf.DUMMYFUNCTION("""COMPUTED_VALUE"""),40.81)</f>
        <v>40.81</v>
      </c>
    </row>
    <row r="3344">
      <c r="A3344">
        <f>IFERROR(__xludf.DUMMYFUNCTION("""COMPUTED_VALUE"""),788747.0)</f>
        <v>788747</v>
      </c>
      <c r="B3344" t="str">
        <f>IFERROR(__xludf.DUMMYFUNCTION("""COMPUTED_VALUE"""),"Corn Cooked Ns As To Form With Cream Sauce Made With Milk")</f>
        <v>Corn Cooked Ns As To Form With Cream Sauce Made With Milk</v>
      </c>
      <c r="C3344" t="str">
        <f>IFERROR(__xludf.DUMMYFUNCTION("""COMPUTED_VALUE"""),"Vegetables")</f>
        <v>Vegetables</v>
      </c>
      <c r="D3344">
        <f>IFERROR(__xludf.DUMMYFUNCTION("""COMPUTED_VALUE"""),109.0)</f>
        <v>109</v>
      </c>
      <c r="E3344">
        <f>IFERROR(__xludf.DUMMYFUNCTION("""COMPUTED_VALUE"""),4.97)</f>
        <v>4.97</v>
      </c>
      <c r="F3344">
        <f>IFERROR(__xludf.DUMMYFUNCTION("""COMPUTED_VALUE"""),3.1)</f>
        <v>3.1</v>
      </c>
      <c r="G3344">
        <f>IFERROR(__xludf.DUMMYFUNCTION("""COMPUTED_VALUE"""),14.9)</f>
        <v>14.9</v>
      </c>
    </row>
    <row r="3345">
      <c r="A3345">
        <f>IFERROR(__xludf.DUMMYFUNCTION("""COMPUTED_VALUE"""),788748.0)</f>
        <v>788748</v>
      </c>
      <c r="B3345" t="str">
        <f>IFERROR(__xludf.DUMMYFUNCTION("""COMPUTED_VALUE"""),"Corn Cooked From Fresh With Cream Sauce Made With Milk")</f>
        <v>Corn Cooked From Fresh With Cream Sauce Made With Milk</v>
      </c>
      <c r="C3345" t="str">
        <f>IFERROR(__xludf.DUMMYFUNCTION("""COMPUTED_VALUE"""),"Vegetables")</f>
        <v>Vegetables</v>
      </c>
      <c r="D3345">
        <f>IFERROR(__xludf.DUMMYFUNCTION("""COMPUTED_VALUE"""),118.0)</f>
        <v>118</v>
      </c>
      <c r="E3345">
        <f>IFERROR(__xludf.DUMMYFUNCTION("""COMPUTED_VALUE"""),5.44)</f>
        <v>5.44</v>
      </c>
      <c r="F3345">
        <f>IFERROR(__xludf.DUMMYFUNCTION("""COMPUTED_VALUE"""),3.59)</f>
        <v>3.59</v>
      </c>
      <c r="G3345">
        <f>IFERROR(__xludf.DUMMYFUNCTION("""COMPUTED_VALUE"""),15.85)</f>
        <v>15.85</v>
      </c>
    </row>
    <row r="3346">
      <c r="A3346">
        <f>IFERROR(__xludf.DUMMYFUNCTION("""COMPUTED_VALUE"""),788749.0)</f>
        <v>788749</v>
      </c>
      <c r="B3346" t="str">
        <f>IFERROR(__xludf.DUMMYFUNCTION("""COMPUTED_VALUE"""),"Corn Cooked From Frozen With Cream Sauce Made With Milk")</f>
        <v>Corn Cooked From Frozen With Cream Sauce Made With Milk</v>
      </c>
      <c r="C3346" t="str">
        <f>IFERROR(__xludf.DUMMYFUNCTION("""COMPUTED_VALUE"""),"Vegetables")</f>
        <v>Vegetables</v>
      </c>
      <c r="D3346">
        <f>IFERROR(__xludf.DUMMYFUNCTION("""COMPUTED_VALUE"""),109.0)</f>
        <v>109</v>
      </c>
      <c r="E3346">
        <f>IFERROR(__xludf.DUMMYFUNCTION("""COMPUTED_VALUE"""),4.97)</f>
        <v>4.97</v>
      </c>
      <c r="F3346">
        <f>IFERROR(__xludf.DUMMYFUNCTION("""COMPUTED_VALUE"""),3.1)</f>
        <v>3.1</v>
      </c>
      <c r="G3346">
        <f>IFERROR(__xludf.DUMMYFUNCTION("""COMPUTED_VALUE"""),14.9)</f>
        <v>14.9</v>
      </c>
    </row>
    <row r="3347">
      <c r="A3347">
        <f>IFERROR(__xludf.DUMMYFUNCTION("""COMPUTED_VALUE"""),788750.0)</f>
        <v>788750</v>
      </c>
      <c r="B3347" t="str">
        <f>IFERROR(__xludf.DUMMYFUNCTION("""COMPUTED_VALUE"""),"Corn Cooked From Canned With Cream Sauce Made With Milk")</f>
        <v>Corn Cooked From Canned With Cream Sauce Made With Milk</v>
      </c>
      <c r="C3347" t="str">
        <f>IFERROR(__xludf.DUMMYFUNCTION("""COMPUTED_VALUE"""),"Vegetables")</f>
        <v>Vegetables</v>
      </c>
      <c r="D3347">
        <f>IFERROR(__xludf.DUMMYFUNCTION("""COMPUTED_VALUE"""),101.0)</f>
        <v>101</v>
      </c>
      <c r="E3347">
        <f>IFERROR(__xludf.DUMMYFUNCTION("""COMPUTED_VALUE"""),5.28)</f>
        <v>5.28</v>
      </c>
      <c r="F3347">
        <f>IFERROR(__xludf.DUMMYFUNCTION("""COMPUTED_VALUE"""),2.96)</f>
        <v>2.96</v>
      </c>
      <c r="G3347">
        <f>IFERROR(__xludf.DUMMYFUNCTION("""COMPUTED_VALUE"""),12.09)</f>
        <v>12.09</v>
      </c>
    </row>
    <row r="3348">
      <c r="A3348">
        <f>IFERROR(__xludf.DUMMYFUNCTION("""COMPUTED_VALUE"""),788751.0)</f>
        <v>788751</v>
      </c>
      <c r="B3348" t="str">
        <f>IFERROR(__xludf.DUMMYFUNCTION("""COMPUTED_VALUE"""),"Eggplant Batter-Dipped Fried")</f>
        <v>Eggplant Batter-Dipped Fried</v>
      </c>
      <c r="C3348" t="str">
        <f>IFERROR(__xludf.DUMMYFUNCTION("""COMPUTED_VALUE"""),"Vegetables")</f>
        <v>Vegetables</v>
      </c>
      <c r="D3348">
        <f>IFERROR(__xludf.DUMMYFUNCTION("""COMPUTED_VALUE"""),151.0)</f>
        <v>151</v>
      </c>
      <c r="E3348">
        <f>IFERROR(__xludf.DUMMYFUNCTION("""COMPUTED_VALUE"""),10.94)</f>
        <v>10.94</v>
      </c>
      <c r="F3348">
        <f>IFERROR(__xludf.DUMMYFUNCTION("""COMPUTED_VALUE"""),2.43)</f>
        <v>2.43</v>
      </c>
      <c r="G3348">
        <f>IFERROR(__xludf.DUMMYFUNCTION("""COMPUTED_VALUE"""),11.92)</f>
        <v>11.92</v>
      </c>
    </row>
    <row r="3349">
      <c r="A3349">
        <f>IFERROR(__xludf.DUMMYFUNCTION("""COMPUTED_VALUE"""),788753.0)</f>
        <v>788753</v>
      </c>
      <c r="B3349" t="str">
        <f>IFERROR(__xludf.DUMMYFUNCTION("""COMPUTED_VALUE"""),"Eggplant Parmesan Casserole Regular")</f>
        <v>Eggplant Parmesan Casserole Regular</v>
      </c>
      <c r="C3349" t="str">
        <f>IFERROR(__xludf.DUMMYFUNCTION("""COMPUTED_VALUE"""),"Vegetables")</f>
        <v>Vegetables</v>
      </c>
      <c r="D3349">
        <f>IFERROR(__xludf.DUMMYFUNCTION("""COMPUTED_VALUE"""),158.0)</f>
        <v>158</v>
      </c>
      <c r="E3349">
        <f>IFERROR(__xludf.DUMMYFUNCTION("""COMPUTED_VALUE"""),11.18)</f>
        <v>11.18</v>
      </c>
      <c r="F3349">
        <f>IFERROR(__xludf.DUMMYFUNCTION("""COMPUTED_VALUE"""),6.59)</f>
        <v>6.59</v>
      </c>
      <c r="G3349">
        <f>IFERROR(__xludf.DUMMYFUNCTION("""COMPUTED_VALUE"""),8.68)</f>
        <v>8.68</v>
      </c>
    </row>
    <row r="3350">
      <c r="A3350">
        <f>IFERROR(__xludf.DUMMYFUNCTION("""COMPUTED_VALUE"""),788754.0)</f>
        <v>788754</v>
      </c>
      <c r="B3350" t="str">
        <f>IFERROR(__xludf.DUMMYFUNCTION("""COMPUTED_VALUE"""),"Eggplant With Cheese And Tomato Sauce")</f>
        <v>Eggplant With Cheese And Tomato Sauce</v>
      </c>
      <c r="C3350" t="str">
        <f>IFERROR(__xludf.DUMMYFUNCTION("""COMPUTED_VALUE"""),"Vegetables")</f>
        <v>Vegetables</v>
      </c>
      <c r="D3350">
        <f>IFERROR(__xludf.DUMMYFUNCTION("""COMPUTED_VALUE"""),94.0)</f>
        <v>94</v>
      </c>
      <c r="E3350">
        <f>IFERROR(__xludf.DUMMYFUNCTION("""COMPUTED_VALUE"""),4.75)</f>
        <v>4.75</v>
      </c>
      <c r="F3350">
        <f>IFERROR(__xludf.DUMMYFUNCTION("""COMPUTED_VALUE"""),5.98)</f>
        <v>5.98</v>
      </c>
      <c r="G3350">
        <f>IFERROR(__xludf.DUMMYFUNCTION("""COMPUTED_VALUE"""),7.98)</f>
        <v>7.98</v>
      </c>
    </row>
    <row r="3351">
      <c r="A3351">
        <f>IFERROR(__xludf.DUMMYFUNCTION("""COMPUTED_VALUE"""),788755.0)</f>
        <v>788755</v>
      </c>
      <c r="B3351" t="str">
        <f>IFERROR(__xludf.DUMMYFUNCTION("""COMPUTED_VALUE"""),"Kohlrabi Creamed")</f>
        <v>Kohlrabi Creamed</v>
      </c>
      <c r="C3351" t="str">
        <f>IFERROR(__xludf.DUMMYFUNCTION("""COMPUTED_VALUE"""),"Vegetables")</f>
        <v>Vegetables</v>
      </c>
      <c r="D3351">
        <f>IFERROR(__xludf.DUMMYFUNCTION("""COMPUTED_VALUE"""),80.0)</f>
        <v>80</v>
      </c>
      <c r="E3351">
        <f>IFERROR(__xludf.DUMMYFUNCTION("""COMPUTED_VALUE"""),4.64)</f>
        <v>4.64</v>
      </c>
      <c r="F3351">
        <f>IFERROR(__xludf.DUMMYFUNCTION("""COMPUTED_VALUE"""),2.68)</f>
        <v>2.68</v>
      </c>
      <c r="G3351">
        <f>IFERROR(__xludf.DUMMYFUNCTION("""COMPUTED_VALUE"""),7.75)</f>
        <v>7.75</v>
      </c>
    </row>
    <row r="3352">
      <c r="A3352">
        <f>IFERROR(__xludf.DUMMYFUNCTION("""COMPUTED_VALUE"""),788756.0)</f>
        <v>788756</v>
      </c>
      <c r="B3352" t="str">
        <f>IFERROR(__xludf.DUMMYFUNCTION("""COMPUTED_VALUE"""),"Mushrooms Ns As To Form Creamed")</f>
        <v>Mushrooms Ns As To Form Creamed</v>
      </c>
      <c r="C3352" t="str">
        <f>IFERROR(__xludf.DUMMYFUNCTION("""COMPUTED_VALUE"""),"Vegetables")</f>
        <v>Vegetables</v>
      </c>
      <c r="D3352">
        <f>IFERROR(__xludf.DUMMYFUNCTION("""COMPUTED_VALUE"""),79.0)</f>
        <v>79</v>
      </c>
      <c r="E3352">
        <f>IFERROR(__xludf.DUMMYFUNCTION("""COMPUTED_VALUE"""),4.88)</f>
        <v>4.88</v>
      </c>
      <c r="F3352">
        <f>IFERROR(__xludf.DUMMYFUNCTION("""COMPUTED_VALUE"""),2.74)</f>
        <v>2.74</v>
      </c>
      <c r="G3352">
        <f>IFERROR(__xludf.DUMMYFUNCTION("""COMPUTED_VALUE"""),6.9)</f>
        <v>6.9</v>
      </c>
    </row>
    <row r="3353">
      <c r="A3353">
        <f>IFERROR(__xludf.DUMMYFUNCTION("""COMPUTED_VALUE"""),788757.0)</f>
        <v>788757</v>
      </c>
      <c r="B3353" t="str">
        <f>IFERROR(__xludf.DUMMYFUNCTION("""COMPUTED_VALUE"""),"Mushrooms From Fresh Creamed")</f>
        <v>Mushrooms From Fresh Creamed</v>
      </c>
      <c r="C3353" t="str">
        <f>IFERROR(__xludf.DUMMYFUNCTION("""COMPUTED_VALUE"""),"Vegetables")</f>
        <v>Vegetables</v>
      </c>
      <c r="D3353">
        <f>IFERROR(__xludf.DUMMYFUNCTION("""COMPUTED_VALUE"""),81.0)</f>
        <v>81</v>
      </c>
      <c r="E3353">
        <f>IFERROR(__xludf.DUMMYFUNCTION("""COMPUTED_VALUE"""),4.98)</f>
        <v>4.98</v>
      </c>
      <c r="F3353">
        <f>IFERROR(__xludf.DUMMYFUNCTION("""COMPUTED_VALUE"""),2.91)</f>
        <v>2.91</v>
      </c>
      <c r="G3353">
        <f>IFERROR(__xludf.DUMMYFUNCTION("""COMPUTED_VALUE"""),7.01)</f>
        <v>7.01</v>
      </c>
    </row>
    <row r="3354">
      <c r="A3354">
        <f>IFERROR(__xludf.DUMMYFUNCTION("""COMPUTED_VALUE"""),788758.0)</f>
        <v>788758</v>
      </c>
      <c r="B3354" t="str">
        <f>IFERROR(__xludf.DUMMYFUNCTION("""COMPUTED_VALUE"""),"Mushrooms From Frozen Creamed")</f>
        <v>Mushrooms From Frozen Creamed</v>
      </c>
      <c r="C3354" t="str">
        <f>IFERROR(__xludf.DUMMYFUNCTION("""COMPUTED_VALUE"""),"Vegetables")</f>
        <v>Vegetables</v>
      </c>
      <c r="D3354">
        <f>IFERROR(__xludf.DUMMYFUNCTION("""COMPUTED_VALUE"""),81.0)</f>
        <v>81</v>
      </c>
      <c r="E3354">
        <f>IFERROR(__xludf.DUMMYFUNCTION("""COMPUTED_VALUE"""),4.98)</f>
        <v>4.98</v>
      </c>
      <c r="F3354">
        <f>IFERROR(__xludf.DUMMYFUNCTION("""COMPUTED_VALUE"""),2.91)</f>
        <v>2.91</v>
      </c>
      <c r="G3354">
        <f>IFERROR(__xludf.DUMMYFUNCTION("""COMPUTED_VALUE"""),7.01)</f>
        <v>7.01</v>
      </c>
    </row>
    <row r="3355">
      <c r="A3355">
        <f>IFERROR(__xludf.DUMMYFUNCTION("""COMPUTED_VALUE"""),788759.0)</f>
        <v>788759</v>
      </c>
      <c r="B3355" t="str">
        <f>IFERROR(__xludf.DUMMYFUNCTION("""COMPUTED_VALUE"""),"Mushrooms From Canned Creamed")</f>
        <v>Mushrooms From Canned Creamed</v>
      </c>
      <c r="C3355" t="str">
        <f>IFERROR(__xludf.DUMMYFUNCTION("""COMPUTED_VALUE"""),"Vegetables")</f>
        <v>Vegetables</v>
      </c>
      <c r="D3355">
        <f>IFERROR(__xludf.DUMMYFUNCTION("""COMPUTED_VALUE"""),79.0)</f>
        <v>79</v>
      </c>
      <c r="E3355">
        <f>IFERROR(__xludf.DUMMYFUNCTION("""COMPUTED_VALUE"""),4.89)</f>
        <v>4.89</v>
      </c>
      <c r="F3355">
        <f>IFERROR(__xludf.DUMMYFUNCTION("""COMPUTED_VALUE"""),2.75)</f>
        <v>2.75</v>
      </c>
      <c r="G3355">
        <f>IFERROR(__xludf.DUMMYFUNCTION("""COMPUTED_VALUE"""),6.9)</f>
        <v>6.9</v>
      </c>
    </row>
    <row r="3356">
      <c r="A3356">
        <f>IFERROR(__xludf.DUMMYFUNCTION("""COMPUTED_VALUE"""),788760.0)</f>
        <v>788760</v>
      </c>
      <c r="B3356" t="str">
        <f>IFERROR(__xludf.DUMMYFUNCTION("""COMPUTED_VALUE"""),"Mushrooms Stuffed")</f>
        <v>Mushrooms Stuffed</v>
      </c>
      <c r="C3356" t="str">
        <f>IFERROR(__xludf.DUMMYFUNCTION("""COMPUTED_VALUE"""),"Vegetables")</f>
        <v>Vegetables</v>
      </c>
      <c r="D3356">
        <f>IFERROR(__xludf.DUMMYFUNCTION("""COMPUTED_VALUE"""),280.0)</f>
        <v>280</v>
      </c>
      <c r="E3356">
        <f>IFERROR(__xludf.DUMMYFUNCTION("""COMPUTED_VALUE"""),14.98)</f>
        <v>14.98</v>
      </c>
      <c r="F3356">
        <f>IFERROR(__xludf.DUMMYFUNCTION("""COMPUTED_VALUE"""),10.76)</f>
        <v>10.76</v>
      </c>
      <c r="G3356">
        <f>IFERROR(__xludf.DUMMYFUNCTION("""COMPUTED_VALUE"""),27.11)</f>
        <v>27.11</v>
      </c>
    </row>
    <row r="3357">
      <c r="A3357">
        <f>IFERROR(__xludf.DUMMYFUNCTION("""COMPUTED_VALUE"""),788761.0)</f>
        <v>788761</v>
      </c>
      <c r="B3357" t="str">
        <f>IFERROR(__xludf.DUMMYFUNCTION("""COMPUTED_VALUE"""),"Mushrooms Batter-Dipped Fried")</f>
        <v>Mushrooms Batter-Dipped Fried</v>
      </c>
      <c r="C3357" t="str">
        <f>IFERROR(__xludf.DUMMYFUNCTION("""COMPUTED_VALUE"""),"Vegetables")</f>
        <v>Vegetables</v>
      </c>
      <c r="D3357">
        <f>IFERROR(__xludf.DUMMYFUNCTION("""COMPUTED_VALUE"""),122.0)</f>
        <v>122</v>
      </c>
      <c r="E3357">
        <f>IFERROR(__xludf.DUMMYFUNCTION("""COMPUTED_VALUE"""),5.6)</f>
        <v>5.6</v>
      </c>
      <c r="F3357">
        <f>IFERROR(__xludf.DUMMYFUNCTION("""COMPUTED_VALUE"""),3.34)</f>
        <v>3.34</v>
      </c>
      <c r="G3357">
        <f>IFERROR(__xludf.DUMMYFUNCTION("""COMPUTED_VALUE"""),14.95)</f>
        <v>14.95</v>
      </c>
    </row>
    <row r="3358">
      <c r="A3358">
        <f>IFERROR(__xludf.DUMMYFUNCTION("""COMPUTED_VALUE"""),788762.0)</f>
        <v>788762</v>
      </c>
      <c r="B3358" t="str">
        <f>IFERROR(__xludf.DUMMYFUNCTION("""COMPUTED_VALUE"""),"Okra Batter-Dipped Fried")</f>
        <v>Okra Batter-Dipped Fried</v>
      </c>
      <c r="C3358" t="str">
        <f>IFERROR(__xludf.DUMMYFUNCTION("""COMPUTED_VALUE"""),"Vegetables")</f>
        <v>Vegetables</v>
      </c>
      <c r="D3358">
        <f>IFERROR(__xludf.DUMMYFUNCTION("""COMPUTED_VALUE"""),194.0)</f>
        <v>194</v>
      </c>
      <c r="E3358">
        <f>IFERROR(__xludf.DUMMYFUNCTION("""COMPUTED_VALUE"""),8.7)</f>
        <v>8.7</v>
      </c>
      <c r="F3358">
        <f>IFERROR(__xludf.DUMMYFUNCTION("""COMPUTED_VALUE"""),4.83)</f>
        <v>4.83</v>
      </c>
      <c r="G3358">
        <f>IFERROR(__xludf.DUMMYFUNCTION("""COMPUTED_VALUE"""),24.66)</f>
        <v>24.66</v>
      </c>
    </row>
    <row r="3359">
      <c r="A3359">
        <f>IFERROR(__xludf.DUMMYFUNCTION("""COMPUTED_VALUE"""),788763.0)</f>
        <v>788763</v>
      </c>
      <c r="B3359" t="str">
        <f>IFERROR(__xludf.DUMMYFUNCTION("""COMPUTED_VALUE"""),"Onions Ns As To Form Creamed")</f>
        <v>Onions Ns As To Form Creamed</v>
      </c>
      <c r="C3359" t="str">
        <f>IFERROR(__xludf.DUMMYFUNCTION("""COMPUTED_VALUE"""),"Vegetables")</f>
        <v>Vegetables</v>
      </c>
      <c r="D3359">
        <f>IFERROR(__xludf.DUMMYFUNCTION("""COMPUTED_VALUE"""),72.0)</f>
        <v>72</v>
      </c>
      <c r="E3359">
        <f>IFERROR(__xludf.DUMMYFUNCTION("""COMPUTED_VALUE"""),3.99)</f>
        <v>3.99</v>
      </c>
      <c r="F3359">
        <f>IFERROR(__xludf.DUMMYFUNCTION("""COMPUTED_VALUE"""),1.88)</f>
        <v>1.88</v>
      </c>
      <c r="G3359">
        <f>IFERROR(__xludf.DUMMYFUNCTION("""COMPUTED_VALUE"""),7.61)</f>
        <v>7.61</v>
      </c>
    </row>
    <row r="3360">
      <c r="A3360">
        <f>IFERROR(__xludf.DUMMYFUNCTION("""COMPUTED_VALUE"""),788764.0)</f>
        <v>788764</v>
      </c>
      <c r="B3360" t="str">
        <f>IFERROR(__xludf.DUMMYFUNCTION("""COMPUTED_VALUE"""),"Onions From Fresh Creamed")</f>
        <v>Onions From Fresh Creamed</v>
      </c>
      <c r="C3360" t="str">
        <f>IFERROR(__xludf.DUMMYFUNCTION("""COMPUTED_VALUE"""),"Vegetables")</f>
        <v>Vegetables</v>
      </c>
      <c r="D3360">
        <f>IFERROR(__xludf.DUMMYFUNCTION("""COMPUTED_VALUE"""),82.0)</f>
        <v>82</v>
      </c>
      <c r="E3360">
        <f>IFERROR(__xludf.DUMMYFUNCTION("""COMPUTED_VALUE"""),4.08)</f>
        <v>4.08</v>
      </c>
      <c r="F3360">
        <f>IFERROR(__xludf.DUMMYFUNCTION("""COMPUTED_VALUE"""),2.28)</f>
        <v>2.28</v>
      </c>
      <c r="G3360">
        <f>IFERROR(__xludf.DUMMYFUNCTION("""COMPUTED_VALUE"""),9.77)</f>
        <v>9.77</v>
      </c>
    </row>
    <row r="3361">
      <c r="A3361">
        <f>IFERROR(__xludf.DUMMYFUNCTION("""COMPUTED_VALUE"""),788766.0)</f>
        <v>788766</v>
      </c>
      <c r="B3361" t="str">
        <f>IFERROR(__xludf.DUMMYFUNCTION("""COMPUTED_VALUE"""),"Onion Rings From Fresh Batter-Dipped Baked Or Fried")</f>
        <v>Onion Rings From Fresh Batter-Dipped Baked Or Fried</v>
      </c>
      <c r="C3361" t="str">
        <f>IFERROR(__xludf.DUMMYFUNCTION("""COMPUTED_VALUE"""),"Vegetables")</f>
        <v>Vegetables</v>
      </c>
      <c r="D3361">
        <f>IFERROR(__xludf.DUMMYFUNCTION("""COMPUTED_VALUE"""),328.0)</f>
        <v>328</v>
      </c>
      <c r="E3361">
        <f>IFERROR(__xludf.DUMMYFUNCTION("""COMPUTED_VALUE"""),19.45)</f>
        <v>19.45</v>
      </c>
      <c r="F3361">
        <f>IFERROR(__xludf.DUMMYFUNCTION("""COMPUTED_VALUE"""),6.85)</f>
        <v>6.85</v>
      </c>
      <c r="G3361">
        <f>IFERROR(__xludf.DUMMYFUNCTION("""COMPUTED_VALUE"""),31.6)</f>
        <v>31.6</v>
      </c>
    </row>
    <row r="3362">
      <c r="A3362">
        <f>IFERROR(__xludf.DUMMYFUNCTION("""COMPUTED_VALUE"""),788768.0)</f>
        <v>788768</v>
      </c>
      <c r="B3362" t="str">
        <f>IFERROR(__xludf.DUMMYFUNCTION("""COMPUTED_VALUE"""),"Parsnips Creamed")</f>
        <v>Parsnips Creamed</v>
      </c>
      <c r="C3362" t="str">
        <f>IFERROR(__xludf.DUMMYFUNCTION("""COMPUTED_VALUE"""),"Vegetables")</f>
        <v>Vegetables</v>
      </c>
      <c r="D3362">
        <f>IFERROR(__xludf.DUMMYFUNCTION("""COMPUTED_VALUE"""),105.0)</f>
        <v>105</v>
      </c>
      <c r="E3362">
        <f>IFERROR(__xludf.DUMMYFUNCTION("""COMPUTED_VALUE"""),4.89)</f>
        <v>4.89</v>
      </c>
      <c r="F3362">
        <f>IFERROR(__xludf.DUMMYFUNCTION("""COMPUTED_VALUE"""),2.44)</f>
        <v>2.44</v>
      </c>
      <c r="G3362">
        <f>IFERROR(__xludf.DUMMYFUNCTION("""COMPUTED_VALUE"""),13.5)</f>
        <v>13.5</v>
      </c>
    </row>
    <row r="3363">
      <c r="A3363">
        <f>IFERROR(__xludf.DUMMYFUNCTION("""COMPUTED_VALUE"""),788769.0)</f>
        <v>788769</v>
      </c>
      <c r="B3363" t="str">
        <f>IFERROR(__xludf.DUMMYFUNCTION("""COMPUTED_VALUE"""),"Pea Salad")</f>
        <v>Pea Salad</v>
      </c>
      <c r="C3363" t="str">
        <f>IFERROR(__xludf.DUMMYFUNCTION("""COMPUTED_VALUE"""),"Vegetables")</f>
        <v>Vegetables</v>
      </c>
      <c r="D3363">
        <f>IFERROR(__xludf.DUMMYFUNCTION("""COMPUTED_VALUE"""),179.0)</f>
        <v>179</v>
      </c>
      <c r="E3363">
        <f>IFERROR(__xludf.DUMMYFUNCTION("""COMPUTED_VALUE"""),14.1)</f>
        <v>14.1</v>
      </c>
      <c r="F3363">
        <f>IFERROR(__xludf.DUMMYFUNCTION("""COMPUTED_VALUE"""),3.04)</f>
        <v>3.04</v>
      </c>
      <c r="G3363">
        <f>IFERROR(__xludf.DUMMYFUNCTION("""COMPUTED_VALUE"""),10.23)</f>
        <v>10.23</v>
      </c>
    </row>
    <row r="3364">
      <c r="A3364">
        <f>IFERROR(__xludf.DUMMYFUNCTION("""COMPUTED_VALUE"""),788770.0)</f>
        <v>788770</v>
      </c>
      <c r="B3364" t="str">
        <f>IFERROR(__xludf.DUMMYFUNCTION("""COMPUTED_VALUE"""),"Pea Salad With Cheese")</f>
        <v>Pea Salad With Cheese</v>
      </c>
      <c r="C3364" t="str">
        <f>IFERROR(__xludf.DUMMYFUNCTION("""COMPUTED_VALUE"""),"Vegetables")</f>
        <v>Vegetables</v>
      </c>
      <c r="D3364">
        <f>IFERROR(__xludf.DUMMYFUNCTION("""COMPUTED_VALUE"""),202.0)</f>
        <v>202</v>
      </c>
      <c r="E3364">
        <f>IFERROR(__xludf.DUMMYFUNCTION("""COMPUTED_VALUE"""),16.02)</f>
        <v>16.02</v>
      </c>
      <c r="F3364">
        <f>IFERROR(__xludf.DUMMYFUNCTION("""COMPUTED_VALUE"""),5.02)</f>
        <v>5.02</v>
      </c>
      <c r="G3364">
        <f>IFERROR(__xludf.DUMMYFUNCTION("""COMPUTED_VALUE"""),9.52)</f>
        <v>9.52</v>
      </c>
    </row>
    <row r="3365">
      <c r="A3365">
        <f>IFERROR(__xludf.DUMMYFUNCTION("""COMPUTED_VALUE"""),788771.0)</f>
        <v>788771</v>
      </c>
      <c r="B3365" t="str">
        <f>IFERROR(__xludf.DUMMYFUNCTION("""COMPUTED_VALUE"""),"Peas Ns As To Form Creamed")</f>
        <v>Peas Ns As To Form Creamed</v>
      </c>
      <c r="C3365" t="str">
        <f>IFERROR(__xludf.DUMMYFUNCTION("""COMPUTED_VALUE"""),"Vegetables")</f>
        <v>Vegetables</v>
      </c>
      <c r="D3365">
        <f>IFERROR(__xludf.DUMMYFUNCTION("""COMPUTED_VALUE"""),108.0)</f>
        <v>108</v>
      </c>
      <c r="E3365">
        <f>IFERROR(__xludf.DUMMYFUNCTION("""COMPUTED_VALUE"""),4.81)</f>
        <v>4.81</v>
      </c>
      <c r="F3365">
        <f>IFERROR(__xludf.DUMMYFUNCTION("""COMPUTED_VALUE"""),4.57)</f>
        <v>4.57</v>
      </c>
      <c r="G3365">
        <f>IFERROR(__xludf.DUMMYFUNCTION("""COMPUTED_VALUE"""),12.01)</f>
        <v>12.01</v>
      </c>
    </row>
    <row r="3366">
      <c r="A3366">
        <f>IFERROR(__xludf.DUMMYFUNCTION("""COMPUTED_VALUE"""),788772.0)</f>
        <v>788772</v>
      </c>
      <c r="B3366" t="str">
        <f>IFERROR(__xludf.DUMMYFUNCTION("""COMPUTED_VALUE"""),"Peas From Fresh Creamed")</f>
        <v>Peas From Fresh Creamed</v>
      </c>
      <c r="C3366" t="str">
        <f>IFERROR(__xludf.DUMMYFUNCTION("""COMPUTED_VALUE"""),"Vegetables")</f>
        <v>Vegetables</v>
      </c>
      <c r="D3366">
        <f>IFERROR(__xludf.DUMMYFUNCTION("""COMPUTED_VALUE"""),111.0)</f>
        <v>111</v>
      </c>
      <c r="E3366">
        <f>IFERROR(__xludf.DUMMYFUNCTION("""COMPUTED_VALUE"""),4.78)</f>
        <v>4.78</v>
      </c>
      <c r="F3366">
        <f>IFERROR(__xludf.DUMMYFUNCTION("""COMPUTED_VALUE"""),4.69)</f>
        <v>4.69</v>
      </c>
      <c r="G3366">
        <f>IFERROR(__xludf.DUMMYFUNCTION("""COMPUTED_VALUE"""),12.78)</f>
        <v>12.78</v>
      </c>
    </row>
    <row r="3367">
      <c r="A3367">
        <f>IFERROR(__xludf.DUMMYFUNCTION("""COMPUTED_VALUE"""),788773.0)</f>
        <v>788773</v>
      </c>
      <c r="B3367" t="str">
        <f>IFERROR(__xludf.DUMMYFUNCTION("""COMPUTED_VALUE"""),"Peas From Frozen Creamed")</f>
        <v>Peas From Frozen Creamed</v>
      </c>
      <c r="C3367" t="str">
        <f>IFERROR(__xludf.DUMMYFUNCTION("""COMPUTED_VALUE"""),"Vegetables")</f>
        <v>Vegetables</v>
      </c>
      <c r="D3367">
        <f>IFERROR(__xludf.DUMMYFUNCTION("""COMPUTED_VALUE"""),108.0)</f>
        <v>108</v>
      </c>
      <c r="E3367">
        <f>IFERROR(__xludf.DUMMYFUNCTION("""COMPUTED_VALUE"""),4.81)</f>
        <v>4.81</v>
      </c>
      <c r="F3367">
        <f>IFERROR(__xludf.DUMMYFUNCTION("""COMPUTED_VALUE"""),4.57)</f>
        <v>4.57</v>
      </c>
      <c r="G3367">
        <f>IFERROR(__xludf.DUMMYFUNCTION("""COMPUTED_VALUE"""),12.01)</f>
        <v>12.01</v>
      </c>
    </row>
    <row r="3368">
      <c r="A3368">
        <f>IFERROR(__xludf.DUMMYFUNCTION("""COMPUTED_VALUE"""),788774.0)</f>
        <v>788774</v>
      </c>
      <c r="B3368" t="str">
        <f>IFERROR(__xludf.DUMMYFUNCTION("""COMPUTED_VALUE"""),"Peas From Canned Creamed")</f>
        <v>Peas From Canned Creamed</v>
      </c>
      <c r="C3368" t="str">
        <f>IFERROR(__xludf.DUMMYFUNCTION("""COMPUTED_VALUE"""),"Vegetables")</f>
        <v>Vegetables</v>
      </c>
      <c r="D3368">
        <f>IFERROR(__xludf.DUMMYFUNCTION("""COMPUTED_VALUE"""),101.0)</f>
        <v>101</v>
      </c>
      <c r="E3368">
        <f>IFERROR(__xludf.DUMMYFUNCTION("""COMPUTED_VALUE"""),4.96)</f>
        <v>4.96</v>
      </c>
      <c r="F3368">
        <f>IFERROR(__xludf.DUMMYFUNCTION("""COMPUTED_VALUE"""),4.2)</f>
        <v>4.2</v>
      </c>
      <c r="G3368">
        <f>IFERROR(__xludf.DUMMYFUNCTION("""COMPUTED_VALUE"""),10.43)</f>
        <v>10.43</v>
      </c>
    </row>
    <row r="3369">
      <c r="A3369">
        <f>IFERROR(__xludf.DUMMYFUNCTION("""COMPUTED_VALUE"""),788775.0)</f>
        <v>788775</v>
      </c>
      <c r="B3369" t="str">
        <f>IFERROR(__xludf.DUMMYFUNCTION("""COMPUTED_VALUE"""),"Peas Cooked Ns As To Form With Mushroom Sauce")</f>
        <v>Peas Cooked Ns As To Form With Mushroom Sauce</v>
      </c>
      <c r="C3369" t="str">
        <f>IFERROR(__xludf.DUMMYFUNCTION("""COMPUTED_VALUE"""),"Vegetables")</f>
        <v>Vegetables</v>
      </c>
      <c r="D3369">
        <f>IFERROR(__xludf.DUMMYFUNCTION("""COMPUTED_VALUE"""),75.0)</f>
        <v>75</v>
      </c>
      <c r="E3369">
        <f>IFERROR(__xludf.DUMMYFUNCTION("""COMPUTED_VALUE"""),2.0)</f>
        <v>2</v>
      </c>
      <c r="F3369">
        <f>IFERROR(__xludf.DUMMYFUNCTION("""COMPUTED_VALUE"""),3.78)</f>
        <v>3.78</v>
      </c>
      <c r="G3369">
        <f>IFERROR(__xludf.DUMMYFUNCTION("""COMPUTED_VALUE"""),10.92)</f>
        <v>10.92</v>
      </c>
    </row>
    <row r="3370">
      <c r="A3370">
        <f>IFERROR(__xludf.DUMMYFUNCTION("""COMPUTED_VALUE"""),788776.0)</f>
        <v>788776</v>
      </c>
      <c r="B3370" t="str">
        <f>IFERROR(__xludf.DUMMYFUNCTION("""COMPUTED_VALUE"""),"Peas Cooked From Fresh With Mushroom Sauce")</f>
        <v>Peas Cooked From Fresh With Mushroom Sauce</v>
      </c>
      <c r="C3370" t="str">
        <f>IFERROR(__xludf.DUMMYFUNCTION("""COMPUTED_VALUE"""),"Vegetables")</f>
        <v>Vegetables</v>
      </c>
      <c r="D3370">
        <f>IFERROR(__xludf.DUMMYFUNCTION("""COMPUTED_VALUE"""),79.0)</f>
        <v>79</v>
      </c>
      <c r="E3370">
        <f>IFERROR(__xludf.DUMMYFUNCTION("""COMPUTED_VALUE"""),1.97)</f>
        <v>1.97</v>
      </c>
      <c r="F3370">
        <f>IFERROR(__xludf.DUMMYFUNCTION("""COMPUTED_VALUE"""),3.9)</f>
        <v>3.9</v>
      </c>
      <c r="G3370">
        <f>IFERROR(__xludf.DUMMYFUNCTION("""COMPUTED_VALUE"""),11.72)</f>
        <v>11.72</v>
      </c>
    </row>
    <row r="3371">
      <c r="A3371">
        <f>IFERROR(__xludf.DUMMYFUNCTION("""COMPUTED_VALUE"""),788777.0)</f>
        <v>788777</v>
      </c>
      <c r="B3371" t="str">
        <f>IFERROR(__xludf.DUMMYFUNCTION("""COMPUTED_VALUE"""),"Peas Cooked From Frozen With Mushroom Sauce")</f>
        <v>Peas Cooked From Frozen With Mushroom Sauce</v>
      </c>
      <c r="C3371" t="str">
        <f>IFERROR(__xludf.DUMMYFUNCTION("""COMPUTED_VALUE"""),"Vegetables")</f>
        <v>Vegetables</v>
      </c>
      <c r="D3371">
        <f>IFERROR(__xludf.DUMMYFUNCTION("""COMPUTED_VALUE"""),75.0)</f>
        <v>75</v>
      </c>
      <c r="E3371">
        <f>IFERROR(__xludf.DUMMYFUNCTION("""COMPUTED_VALUE"""),2.0)</f>
        <v>2</v>
      </c>
      <c r="F3371">
        <f>IFERROR(__xludf.DUMMYFUNCTION("""COMPUTED_VALUE"""),3.78)</f>
        <v>3.78</v>
      </c>
      <c r="G3371">
        <f>IFERROR(__xludf.DUMMYFUNCTION("""COMPUTED_VALUE"""),10.92)</f>
        <v>10.92</v>
      </c>
    </row>
    <row r="3372">
      <c r="A3372">
        <f>IFERROR(__xludf.DUMMYFUNCTION("""COMPUTED_VALUE"""),788778.0)</f>
        <v>788778</v>
      </c>
      <c r="B3372" t="str">
        <f>IFERROR(__xludf.DUMMYFUNCTION("""COMPUTED_VALUE"""),"Peas Cooked From Canned With Mushroom Sauce")</f>
        <v>Peas Cooked From Canned With Mushroom Sauce</v>
      </c>
      <c r="C3372" t="str">
        <f>IFERROR(__xludf.DUMMYFUNCTION("""COMPUTED_VALUE"""),"Vegetables")</f>
        <v>Vegetables</v>
      </c>
      <c r="D3372">
        <f>IFERROR(__xludf.DUMMYFUNCTION("""COMPUTED_VALUE"""),69.0)</f>
        <v>69</v>
      </c>
      <c r="E3372">
        <f>IFERROR(__xludf.DUMMYFUNCTION("""COMPUTED_VALUE"""),2.26)</f>
        <v>2.26</v>
      </c>
      <c r="F3372">
        <f>IFERROR(__xludf.DUMMYFUNCTION("""COMPUTED_VALUE"""),3.42)</f>
        <v>3.42</v>
      </c>
      <c r="G3372">
        <f>IFERROR(__xludf.DUMMYFUNCTION("""COMPUTED_VALUE"""),9.31)</f>
        <v>9.31</v>
      </c>
    </row>
    <row r="3373">
      <c r="A3373">
        <f>IFERROR(__xludf.DUMMYFUNCTION("""COMPUTED_VALUE"""),788779.0)</f>
        <v>788779</v>
      </c>
      <c r="B3373" t="str">
        <f>IFERROR(__xludf.DUMMYFUNCTION("""COMPUTED_VALUE"""),"Peas Cooked Ns As To Form With Tomato Sauce")</f>
        <v>Peas Cooked Ns As To Form With Tomato Sauce</v>
      </c>
      <c r="C3373" t="str">
        <f>IFERROR(__xludf.DUMMYFUNCTION("""COMPUTED_VALUE"""),"Vegetables")</f>
        <v>Vegetables</v>
      </c>
      <c r="D3373">
        <f>IFERROR(__xludf.DUMMYFUNCTION("""COMPUTED_VALUE"""),59.0)</f>
        <v>59</v>
      </c>
      <c r="E3373">
        <f>IFERROR(__xludf.DUMMYFUNCTION("""COMPUTED_VALUE"""),0.28)</f>
        <v>0.28</v>
      </c>
      <c r="F3373">
        <f>IFERROR(__xludf.DUMMYFUNCTION("""COMPUTED_VALUE"""),3.77)</f>
        <v>3.77</v>
      </c>
      <c r="G3373">
        <f>IFERROR(__xludf.DUMMYFUNCTION("""COMPUTED_VALUE"""),11.12)</f>
        <v>11.12</v>
      </c>
    </row>
    <row r="3374">
      <c r="A3374">
        <f>IFERROR(__xludf.DUMMYFUNCTION("""COMPUTED_VALUE"""),788780.0)</f>
        <v>788780</v>
      </c>
      <c r="B3374" t="str">
        <f>IFERROR(__xludf.DUMMYFUNCTION("""COMPUTED_VALUE"""),"Peas Cooked From Fresh With Tomato Sauce")</f>
        <v>Peas Cooked From Fresh With Tomato Sauce</v>
      </c>
      <c r="C3374" t="str">
        <f>IFERROR(__xludf.DUMMYFUNCTION("""COMPUTED_VALUE"""),"Vegetables")</f>
        <v>Vegetables</v>
      </c>
      <c r="D3374">
        <f>IFERROR(__xludf.DUMMYFUNCTION("""COMPUTED_VALUE"""),63.0)</f>
        <v>63</v>
      </c>
      <c r="E3374">
        <f>IFERROR(__xludf.DUMMYFUNCTION("""COMPUTED_VALUE"""),0.25)</f>
        <v>0.25</v>
      </c>
      <c r="F3374">
        <f>IFERROR(__xludf.DUMMYFUNCTION("""COMPUTED_VALUE"""),3.9)</f>
        <v>3.9</v>
      </c>
      <c r="G3374">
        <f>IFERROR(__xludf.DUMMYFUNCTION("""COMPUTED_VALUE"""),12.01)</f>
        <v>12.01</v>
      </c>
    </row>
    <row r="3375">
      <c r="A3375">
        <f>IFERROR(__xludf.DUMMYFUNCTION("""COMPUTED_VALUE"""),788781.0)</f>
        <v>788781</v>
      </c>
      <c r="B3375" t="str">
        <f>IFERROR(__xludf.DUMMYFUNCTION("""COMPUTED_VALUE"""),"Peas Cooked From Frozen With Tomato Sauce")</f>
        <v>Peas Cooked From Frozen With Tomato Sauce</v>
      </c>
      <c r="C3375" t="str">
        <f>IFERROR(__xludf.DUMMYFUNCTION("""COMPUTED_VALUE"""),"Vegetables")</f>
        <v>Vegetables</v>
      </c>
      <c r="D3375">
        <f>IFERROR(__xludf.DUMMYFUNCTION("""COMPUTED_VALUE"""),59.0)</f>
        <v>59</v>
      </c>
      <c r="E3375">
        <f>IFERROR(__xludf.DUMMYFUNCTION("""COMPUTED_VALUE"""),0.28)</f>
        <v>0.28</v>
      </c>
      <c r="F3375">
        <f>IFERROR(__xludf.DUMMYFUNCTION("""COMPUTED_VALUE"""),3.77)</f>
        <v>3.77</v>
      </c>
      <c r="G3375">
        <f>IFERROR(__xludf.DUMMYFUNCTION("""COMPUTED_VALUE"""),11.12)</f>
        <v>11.12</v>
      </c>
    </row>
    <row r="3376">
      <c r="A3376">
        <f>IFERROR(__xludf.DUMMYFUNCTION("""COMPUTED_VALUE"""),788782.0)</f>
        <v>788782</v>
      </c>
      <c r="B3376" t="str">
        <f>IFERROR(__xludf.DUMMYFUNCTION("""COMPUTED_VALUE"""),"Peas Cooked From Canned With Tomato Sauce")</f>
        <v>Peas Cooked From Canned With Tomato Sauce</v>
      </c>
      <c r="C3376" t="str">
        <f>IFERROR(__xludf.DUMMYFUNCTION("""COMPUTED_VALUE"""),"Vegetables")</f>
        <v>Vegetables</v>
      </c>
      <c r="D3376">
        <f>IFERROR(__xludf.DUMMYFUNCTION("""COMPUTED_VALUE"""),53.0)</f>
        <v>53</v>
      </c>
      <c r="E3376">
        <f>IFERROR(__xludf.DUMMYFUNCTION("""COMPUTED_VALUE"""),0.63)</f>
        <v>0.63</v>
      </c>
      <c r="F3376">
        <f>IFERROR(__xludf.DUMMYFUNCTION("""COMPUTED_VALUE"""),3.37)</f>
        <v>3.37</v>
      </c>
      <c r="G3376">
        <f>IFERROR(__xludf.DUMMYFUNCTION("""COMPUTED_VALUE"""),9.32)</f>
        <v>9.32</v>
      </c>
    </row>
    <row r="3377">
      <c r="A3377">
        <f>IFERROR(__xludf.DUMMYFUNCTION("""COMPUTED_VALUE"""),788783.0)</f>
        <v>788783</v>
      </c>
      <c r="B3377" t="str">
        <f>IFERROR(__xludf.DUMMYFUNCTION("""COMPUTED_VALUE"""),"Squash Summer Yellow Or Green Breaded Or Battered Baked")</f>
        <v>Squash Summer Yellow Or Green Breaded Or Battered Baked</v>
      </c>
      <c r="C3377" t="str">
        <f>IFERROR(__xludf.DUMMYFUNCTION("""COMPUTED_VALUE"""),"Vegetables")</f>
        <v>Vegetables</v>
      </c>
      <c r="D3377">
        <f>IFERROR(__xludf.DUMMYFUNCTION("""COMPUTED_VALUE"""),70.0)</f>
        <v>70</v>
      </c>
      <c r="E3377">
        <f>IFERROR(__xludf.DUMMYFUNCTION("""COMPUTED_VALUE"""),0.86)</f>
        <v>0.86</v>
      </c>
      <c r="F3377">
        <f>IFERROR(__xludf.DUMMYFUNCTION("""COMPUTED_VALUE"""),2.85)</f>
        <v>2.85</v>
      </c>
      <c r="G3377">
        <f>IFERROR(__xludf.DUMMYFUNCTION("""COMPUTED_VALUE"""),12.68)</f>
        <v>12.68</v>
      </c>
    </row>
    <row r="3378">
      <c r="A3378">
        <f>IFERROR(__xludf.DUMMYFUNCTION("""COMPUTED_VALUE"""),788784.0)</f>
        <v>788784</v>
      </c>
      <c r="B3378" t="str">
        <f>IFERROR(__xludf.DUMMYFUNCTION("""COMPUTED_VALUE"""),"Squash Summer Yellow Or Green Breaded Or Battered Fried")</f>
        <v>Squash Summer Yellow Or Green Breaded Or Battered Fried</v>
      </c>
      <c r="C3378" t="str">
        <f>IFERROR(__xludf.DUMMYFUNCTION("""COMPUTED_VALUE"""),"Vegetables")</f>
        <v>Vegetables</v>
      </c>
      <c r="D3378">
        <f>IFERROR(__xludf.DUMMYFUNCTION("""COMPUTED_VALUE"""),178.0)</f>
        <v>178</v>
      </c>
      <c r="E3378">
        <f>IFERROR(__xludf.DUMMYFUNCTION("""COMPUTED_VALUE"""),13.33)</f>
        <v>13.33</v>
      </c>
      <c r="F3378">
        <f>IFERROR(__xludf.DUMMYFUNCTION("""COMPUTED_VALUE"""),2.73)</f>
        <v>2.73</v>
      </c>
      <c r="G3378">
        <f>IFERROR(__xludf.DUMMYFUNCTION("""COMPUTED_VALUE"""),12.17)</f>
        <v>12.17</v>
      </c>
    </row>
    <row r="3379">
      <c r="A3379">
        <f>IFERROR(__xludf.DUMMYFUNCTION("""COMPUTED_VALUE"""),788785.0)</f>
        <v>788785</v>
      </c>
      <c r="B3379" t="str">
        <f>IFERROR(__xludf.DUMMYFUNCTION("""COMPUTED_VALUE"""),"Squash Summer Casserole With Tomato And Cheese")</f>
        <v>Squash Summer Casserole With Tomato And Cheese</v>
      </c>
      <c r="C3379" t="str">
        <f>IFERROR(__xludf.DUMMYFUNCTION("""COMPUTED_VALUE"""),"Vegetables")</f>
        <v>Vegetables</v>
      </c>
      <c r="D3379">
        <f>IFERROR(__xludf.DUMMYFUNCTION("""COMPUTED_VALUE"""),83.0)</f>
        <v>83</v>
      </c>
      <c r="E3379">
        <f>IFERROR(__xludf.DUMMYFUNCTION("""COMPUTED_VALUE"""),4.15)</f>
        <v>4.15</v>
      </c>
      <c r="F3379">
        <f>IFERROR(__xludf.DUMMYFUNCTION("""COMPUTED_VALUE"""),3.17)</f>
        <v>3.17</v>
      </c>
      <c r="G3379">
        <f>IFERROR(__xludf.DUMMYFUNCTION("""COMPUTED_VALUE"""),9.08)</f>
        <v>9.08</v>
      </c>
    </row>
    <row r="3380">
      <c r="A3380">
        <f>IFERROR(__xludf.DUMMYFUNCTION("""COMPUTED_VALUE"""),788786.0)</f>
        <v>788786</v>
      </c>
      <c r="B3380" t="str">
        <f>IFERROR(__xludf.DUMMYFUNCTION("""COMPUTED_VALUE"""),"Squash Summer Casserole With Rice And Tomato Sauce")</f>
        <v>Squash Summer Casserole With Rice And Tomato Sauce</v>
      </c>
      <c r="C3380" t="str">
        <f>IFERROR(__xludf.DUMMYFUNCTION("""COMPUTED_VALUE"""),"Vegetables")</f>
        <v>Vegetables</v>
      </c>
      <c r="D3380">
        <f>IFERROR(__xludf.DUMMYFUNCTION("""COMPUTED_VALUE"""),82.0)</f>
        <v>82</v>
      </c>
      <c r="E3380">
        <f>IFERROR(__xludf.DUMMYFUNCTION("""COMPUTED_VALUE"""),1.64)</f>
        <v>1.64</v>
      </c>
      <c r="F3380">
        <f>IFERROR(__xludf.DUMMYFUNCTION("""COMPUTED_VALUE"""),2.12)</f>
        <v>2.12</v>
      </c>
      <c r="G3380">
        <f>IFERROR(__xludf.DUMMYFUNCTION("""COMPUTED_VALUE"""),15.0)</f>
        <v>15</v>
      </c>
    </row>
    <row r="3381">
      <c r="A3381">
        <f>IFERROR(__xludf.DUMMYFUNCTION("""COMPUTED_VALUE"""),788787.0)</f>
        <v>788787</v>
      </c>
      <c r="B3381" t="str">
        <f>IFERROR(__xludf.DUMMYFUNCTION("""COMPUTED_VALUE"""),"Squash Summer Casserole With Cheese Sauce")</f>
        <v>Squash Summer Casserole With Cheese Sauce</v>
      </c>
      <c r="C3381" t="str">
        <f>IFERROR(__xludf.DUMMYFUNCTION("""COMPUTED_VALUE"""),"Vegetables")</f>
        <v>Vegetables</v>
      </c>
      <c r="D3381">
        <f>IFERROR(__xludf.DUMMYFUNCTION("""COMPUTED_VALUE"""),91.0)</f>
        <v>91</v>
      </c>
      <c r="E3381">
        <f>IFERROR(__xludf.DUMMYFUNCTION("""COMPUTED_VALUE"""),4.68)</f>
        <v>4.68</v>
      </c>
      <c r="F3381">
        <f>IFERROR(__xludf.DUMMYFUNCTION("""COMPUTED_VALUE"""),3.4)</f>
        <v>3.4</v>
      </c>
      <c r="G3381">
        <f>IFERROR(__xludf.DUMMYFUNCTION("""COMPUTED_VALUE"""),9.43)</f>
        <v>9.43</v>
      </c>
    </row>
    <row r="3382">
      <c r="A3382">
        <f>IFERROR(__xludf.DUMMYFUNCTION("""COMPUTED_VALUE"""),788788.0)</f>
        <v>788788</v>
      </c>
      <c r="B3382" t="str">
        <f>IFERROR(__xludf.DUMMYFUNCTION("""COMPUTED_VALUE"""),"Squash Summer Ns As To Form Creamed")</f>
        <v>Squash Summer Ns As To Form Creamed</v>
      </c>
      <c r="C3382" t="str">
        <f>IFERROR(__xludf.DUMMYFUNCTION("""COMPUTED_VALUE"""),"Vegetables")</f>
        <v>Vegetables</v>
      </c>
      <c r="D3382">
        <f>IFERROR(__xludf.DUMMYFUNCTION("""COMPUTED_VALUE"""),68.0)</f>
        <v>68</v>
      </c>
      <c r="E3382">
        <f>IFERROR(__xludf.DUMMYFUNCTION("""COMPUTED_VALUE"""),4.09)</f>
        <v>4.09</v>
      </c>
      <c r="F3382">
        <f>IFERROR(__xludf.DUMMYFUNCTION("""COMPUTED_VALUE"""),2.19)</f>
        <v>2.19</v>
      </c>
      <c r="G3382">
        <f>IFERROR(__xludf.DUMMYFUNCTION("""COMPUTED_VALUE"""),6.23)</f>
        <v>6.23</v>
      </c>
    </row>
    <row r="3383">
      <c r="A3383">
        <f>IFERROR(__xludf.DUMMYFUNCTION("""COMPUTED_VALUE"""),788789.0)</f>
        <v>788789</v>
      </c>
      <c r="B3383" t="str">
        <f>IFERROR(__xludf.DUMMYFUNCTION("""COMPUTED_VALUE"""),"Squash Summer From Fresh Creamed")</f>
        <v>Squash Summer From Fresh Creamed</v>
      </c>
      <c r="C3383" t="str">
        <f>IFERROR(__xludf.DUMMYFUNCTION("""COMPUTED_VALUE"""),"Vegetables")</f>
        <v>Vegetables</v>
      </c>
      <c r="D3383">
        <f>IFERROR(__xludf.DUMMYFUNCTION("""COMPUTED_VALUE"""),72.0)</f>
        <v>72</v>
      </c>
      <c r="E3383">
        <f>IFERROR(__xludf.DUMMYFUNCTION("""COMPUTED_VALUE"""),4.53)</f>
        <v>4.53</v>
      </c>
      <c r="F3383">
        <f>IFERROR(__xludf.DUMMYFUNCTION("""COMPUTED_VALUE"""),2.11)</f>
        <v>2.11</v>
      </c>
      <c r="G3383">
        <f>IFERROR(__xludf.DUMMYFUNCTION("""COMPUTED_VALUE"""),6.29)</f>
        <v>6.29</v>
      </c>
    </row>
    <row r="3384">
      <c r="A3384">
        <f>IFERROR(__xludf.DUMMYFUNCTION("""COMPUTED_VALUE"""),788790.0)</f>
        <v>788790</v>
      </c>
      <c r="B3384" t="str">
        <f>IFERROR(__xludf.DUMMYFUNCTION("""COMPUTED_VALUE"""),"Squash Summer From Frozen Creamed")</f>
        <v>Squash Summer From Frozen Creamed</v>
      </c>
      <c r="C3384" t="str">
        <f>IFERROR(__xludf.DUMMYFUNCTION("""COMPUTED_VALUE"""),"Vegetables")</f>
        <v>Vegetables</v>
      </c>
      <c r="D3384">
        <f>IFERROR(__xludf.DUMMYFUNCTION("""COMPUTED_VALUE"""),68.0)</f>
        <v>68</v>
      </c>
      <c r="E3384">
        <f>IFERROR(__xludf.DUMMYFUNCTION("""COMPUTED_VALUE"""),4.09)</f>
        <v>4.09</v>
      </c>
      <c r="F3384">
        <f>IFERROR(__xludf.DUMMYFUNCTION("""COMPUTED_VALUE"""),2.19)</f>
        <v>2.19</v>
      </c>
      <c r="G3384">
        <f>IFERROR(__xludf.DUMMYFUNCTION("""COMPUTED_VALUE"""),6.23)</f>
        <v>6.23</v>
      </c>
    </row>
    <row r="3385">
      <c r="A3385">
        <f>IFERROR(__xludf.DUMMYFUNCTION("""COMPUTED_VALUE"""),788791.0)</f>
        <v>788791</v>
      </c>
      <c r="B3385" t="str">
        <f>IFERROR(__xludf.DUMMYFUNCTION("""COMPUTED_VALUE"""),"Squash Summer From Canned Creamed")</f>
        <v>Squash Summer From Canned Creamed</v>
      </c>
      <c r="C3385" t="str">
        <f>IFERROR(__xludf.DUMMYFUNCTION("""COMPUTED_VALUE"""),"Vegetables")</f>
        <v>Vegetables</v>
      </c>
      <c r="D3385">
        <f>IFERROR(__xludf.DUMMYFUNCTION("""COMPUTED_VALUE"""),62.0)</f>
        <v>62</v>
      </c>
      <c r="E3385">
        <f>IFERROR(__xludf.DUMMYFUNCTION("""COMPUTED_VALUE"""),3.94)</f>
        <v>3.94</v>
      </c>
      <c r="F3385">
        <f>IFERROR(__xludf.DUMMYFUNCTION("""COMPUTED_VALUE"""),1.79)</f>
        <v>1.79</v>
      </c>
      <c r="G3385">
        <f>IFERROR(__xludf.DUMMYFUNCTION("""COMPUTED_VALUE"""),5.24)</f>
        <v>5.24</v>
      </c>
    </row>
    <row r="3386">
      <c r="A3386">
        <f>IFERROR(__xludf.DUMMYFUNCTION("""COMPUTED_VALUE"""),788793.0)</f>
        <v>788793</v>
      </c>
      <c r="B3386" t="str">
        <f>IFERROR(__xludf.DUMMYFUNCTION("""COMPUTED_VALUE"""),"Turnips Ns As To Form Creamed")</f>
        <v>Turnips Ns As To Form Creamed</v>
      </c>
      <c r="C3386" t="str">
        <f>IFERROR(__xludf.DUMMYFUNCTION("""COMPUTED_VALUE"""),"Vegetables")</f>
        <v>Vegetables</v>
      </c>
      <c r="D3386">
        <f>IFERROR(__xludf.DUMMYFUNCTION("""COMPUTED_VALUE"""),78.0)</f>
        <v>78</v>
      </c>
      <c r="E3386">
        <f>IFERROR(__xludf.DUMMYFUNCTION("""COMPUTED_VALUE"""),4.86)</f>
        <v>4.86</v>
      </c>
      <c r="F3386">
        <f>IFERROR(__xludf.DUMMYFUNCTION("""COMPUTED_VALUE"""),2.55)</f>
        <v>2.55</v>
      </c>
      <c r="G3386">
        <f>IFERROR(__xludf.DUMMYFUNCTION("""COMPUTED_VALUE"""),6.48)</f>
        <v>6.48</v>
      </c>
    </row>
    <row r="3387">
      <c r="A3387">
        <f>IFERROR(__xludf.DUMMYFUNCTION("""COMPUTED_VALUE"""),788794.0)</f>
        <v>788794</v>
      </c>
      <c r="B3387" t="str">
        <f>IFERROR(__xludf.DUMMYFUNCTION("""COMPUTED_VALUE"""),"Turnips From Fresh Creamed")</f>
        <v>Turnips From Fresh Creamed</v>
      </c>
      <c r="C3387" t="str">
        <f>IFERROR(__xludf.DUMMYFUNCTION("""COMPUTED_VALUE"""),"Vegetables")</f>
        <v>Vegetables</v>
      </c>
      <c r="D3387">
        <f>IFERROR(__xludf.DUMMYFUNCTION("""COMPUTED_VALUE"""),77.0)</f>
        <v>77</v>
      </c>
      <c r="E3387">
        <f>IFERROR(__xludf.DUMMYFUNCTION("""COMPUTED_VALUE"""),4.77)</f>
        <v>4.77</v>
      </c>
      <c r="F3387">
        <f>IFERROR(__xludf.DUMMYFUNCTION("""COMPUTED_VALUE"""),2.1)</f>
        <v>2.1</v>
      </c>
      <c r="G3387">
        <f>IFERROR(__xludf.DUMMYFUNCTION("""COMPUTED_VALUE"""),6.88)</f>
        <v>6.88</v>
      </c>
    </row>
    <row r="3388">
      <c r="A3388">
        <f>IFERROR(__xludf.DUMMYFUNCTION("""COMPUTED_VALUE"""),788795.0)</f>
        <v>788795</v>
      </c>
      <c r="B3388" t="str">
        <f>IFERROR(__xludf.DUMMYFUNCTION("""COMPUTED_VALUE"""),"Turnips From Frozen Creamed")</f>
        <v>Turnips From Frozen Creamed</v>
      </c>
      <c r="C3388" t="str">
        <f>IFERROR(__xludf.DUMMYFUNCTION("""COMPUTED_VALUE"""),"Vegetables")</f>
        <v>Vegetables</v>
      </c>
      <c r="D3388">
        <f>IFERROR(__xludf.DUMMYFUNCTION("""COMPUTED_VALUE"""),78.0)</f>
        <v>78</v>
      </c>
      <c r="E3388">
        <f>IFERROR(__xludf.DUMMYFUNCTION("""COMPUTED_VALUE"""),4.86)</f>
        <v>4.86</v>
      </c>
      <c r="F3388">
        <f>IFERROR(__xludf.DUMMYFUNCTION("""COMPUTED_VALUE"""),2.55)</f>
        <v>2.55</v>
      </c>
      <c r="G3388">
        <f>IFERROR(__xludf.DUMMYFUNCTION("""COMPUTED_VALUE"""),6.48)</f>
        <v>6.48</v>
      </c>
    </row>
    <row r="3389">
      <c r="A3389">
        <f>IFERROR(__xludf.DUMMYFUNCTION("""COMPUTED_VALUE"""),788796.0)</f>
        <v>788796</v>
      </c>
      <c r="B3389" t="str">
        <f>IFERROR(__xludf.DUMMYFUNCTION("""COMPUTED_VALUE"""),"Turnips From Canned Creamed")</f>
        <v>Turnips From Canned Creamed</v>
      </c>
      <c r="C3389" t="str">
        <f>IFERROR(__xludf.DUMMYFUNCTION("""COMPUTED_VALUE"""),"Vegetables")</f>
        <v>Vegetables</v>
      </c>
      <c r="D3389">
        <f>IFERROR(__xludf.DUMMYFUNCTION("""COMPUTED_VALUE"""),78.0)</f>
        <v>78</v>
      </c>
      <c r="E3389">
        <f>IFERROR(__xludf.DUMMYFUNCTION("""COMPUTED_VALUE"""),4.77)</f>
        <v>4.77</v>
      </c>
      <c r="F3389">
        <f>IFERROR(__xludf.DUMMYFUNCTION("""COMPUTED_VALUE"""),2.1)</f>
        <v>2.1</v>
      </c>
      <c r="G3389">
        <f>IFERROR(__xludf.DUMMYFUNCTION("""COMPUTED_VALUE"""),6.89)</f>
        <v>6.89</v>
      </c>
    </row>
    <row r="3390">
      <c r="A3390">
        <f>IFERROR(__xludf.DUMMYFUNCTION("""COMPUTED_VALUE"""),788797.0)</f>
        <v>788797</v>
      </c>
      <c r="B3390" t="str">
        <f>IFERROR(__xludf.DUMMYFUNCTION("""COMPUTED_VALUE"""),"Creamed Christophine Puerto Rican Style")</f>
        <v>Creamed Christophine Puerto Rican Style</v>
      </c>
      <c r="C3390" t="str">
        <f>IFERROR(__xludf.DUMMYFUNCTION("""COMPUTED_VALUE"""),"Vegetables")</f>
        <v>Vegetables</v>
      </c>
      <c r="D3390">
        <f>IFERROR(__xludf.DUMMYFUNCTION("""COMPUTED_VALUE"""),141.0)</f>
        <v>141</v>
      </c>
      <c r="E3390">
        <f>IFERROR(__xludf.DUMMYFUNCTION("""COMPUTED_VALUE"""),4.09)</f>
        <v>4.09</v>
      </c>
      <c r="F3390">
        <f>IFERROR(__xludf.DUMMYFUNCTION("""COMPUTED_VALUE"""),2.21)</f>
        <v>2.21</v>
      </c>
      <c r="G3390">
        <f>IFERROR(__xludf.DUMMYFUNCTION("""COMPUTED_VALUE"""),25.07)</f>
        <v>25.07</v>
      </c>
    </row>
    <row r="3391">
      <c r="A3391">
        <f>IFERROR(__xludf.DUMMYFUNCTION("""COMPUTED_VALUE"""),788798.0)</f>
        <v>788798</v>
      </c>
      <c r="B3391" t="str">
        <f>IFERROR(__xludf.DUMMYFUNCTION("""COMPUTED_VALUE"""),"Vegetable Stew Without Meat")</f>
        <v>Vegetable Stew Without Meat</v>
      </c>
      <c r="C3391" t="str">
        <f>IFERROR(__xludf.DUMMYFUNCTION("""COMPUTED_VALUE"""),"Vegetables")</f>
        <v>Vegetables</v>
      </c>
      <c r="D3391">
        <f>IFERROR(__xludf.DUMMYFUNCTION("""COMPUTED_VALUE"""),56.0)</f>
        <v>56</v>
      </c>
      <c r="E3391">
        <f>IFERROR(__xludf.DUMMYFUNCTION("""COMPUTED_VALUE"""),0.98)</f>
        <v>0.98</v>
      </c>
      <c r="F3391">
        <f>IFERROR(__xludf.DUMMYFUNCTION("""COMPUTED_VALUE"""),2.68)</f>
        <v>2.68</v>
      </c>
      <c r="G3391">
        <f>IFERROR(__xludf.DUMMYFUNCTION("""COMPUTED_VALUE"""),9.62)</f>
        <v>9.62</v>
      </c>
    </row>
    <row r="3392">
      <c r="A3392">
        <f>IFERROR(__xludf.DUMMYFUNCTION("""COMPUTED_VALUE"""),788802.0)</f>
        <v>788802</v>
      </c>
      <c r="B3392" t="str">
        <f>IFERROR(__xludf.DUMMYFUNCTION("""COMPUTED_VALUE"""),"Vegetable Tempura")</f>
        <v>Vegetable Tempura</v>
      </c>
      <c r="C3392" t="str">
        <f>IFERROR(__xludf.DUMMYFUNCTION("""COMPUTED_VALUE"""),"Vegetables")</f>
        <v>Vegetables</v>
      </c>
      <c r="D3392">
        <f>IFERROR(__xludf.DUMMYFUNCTION("""COMPUTED_VALUE"""),234.0)</f>
        <v>234</v>
      </c>
      <c r="E3392">
        <f>IFERROR(__xludf.DUMMYFUNCTION("""COMPUTED_VALUE"""),15.63)</f>
        <v>15.63</v>
      </c>
      <c r="F3392">
        <f>IFERROR(__xludf.DUMMYFUNCTION("""COMPUTED_VALUE"""),3.7)</f>
        <v>3.7</v>
      </c>
      <c r="G3392">
        <f>IFERROR(__xludf.DUMMYFUNCTION("""COMPUTED_VALUE"""),20.26)</f>
        <v>20.26</v>
      </c>
    </row>
    <row r="3393">
      <c r="A3393">
        <f>IFERROR(__xludf.DUMMYFUNCTION("""COMPUTED_VALUE"""),788803.0)</f>
        <v>788803</v>
      </c>
      <c r="B3393" t="str">
        <f>IFERROR(__xludf.DUMMYFUNCTION("""COMPUTED_VALUE"""),"Vegetable Combinations Including Carrots Broccoli And/or Dark-Green Leafy; Cooked With Tomato Sauce")</f>
        <v>Vegetable Combinations Including Carrots Broccoli And/or Dark-Green Leafy; Cooked With Tomato Sauce</v>
      </c>
      <c r="C3393" t="str">
        <f>IFERROR(__xludf.DUMMYFUNCTION("""COMPUTED_VALUE"""),"Vegetables")</f>
        <v>Vegetables</v>
      </c>
      <c r="D3393">
        <f>IFERROR(__xludf.DUMMYFUNCTION("""COMPUTED_VALUE"""),28.0)</f>
        <v>28</v>
      </c>
      <c r="E3393">
        <f>IFERROR(__xludf.DUMMYFUNCTION("""COMPUTED_VALUE"""),0.3)</f>
        <v>0.3</v>
      </c>
      <c r="F3393">
        <f>IFERROR(__xludf.DUMMYFUNCTION("""COMPUTED_VALUE"""),1.37)</f>
        <v>1.37</v>
      </c>
      <c r="G3393">
        <f>IFERROR(__xludf.DUMMYFUNCTION("""COMPUTED_VALUE"""),6.16)</f>
        <v>6.16</v>
      </c>
    </row>
    <row r="3394">
      <c r="A3394">
        <f>IFERROR(__xludf.DUMMYFUNCTION("""COMPUTED_VALUE"""),788804.0)</f>
        <v>788804</v>
      </c>
      <c r="B3394" t="str">
        <f>IFERROR(__xludf.DUMMYFUNCTION("""COMPUTED_VALUE"""),"Vegetable Combinations Excluding Carrots Broccoli And Dark-Green Leafy; Cooked With Tomato Sauce")</f>
        <v>Vegetable Combinations Excluding Carrots Broccoli And Dark-Green Leafy; Cooked With Tomato Sauce</v>
      </c>
      <c r="C3394" t="str">
        <f>IFERROR(__xludf.DUMMYFUNCTION("""COMPUTED_VALUE"""),"Vegetables")</f>
        <v>Vegetables</v>
      </c>
      <c r="D3394">
        <f>IFERROR(__xludf.DUMMYFUNCTION("""COMPUTED_VALUE"""),45.0)</f>
        <v>45</v>
      </c>
      <c r="E3394">
        <f>IFERROR(__xludf.DUMMYFUNCTION("""COMPUTED_VALUE"""),0.32)</f>
        <v>0.32</v>
      </c>
      <c r="F3394">
        <f>IFERROR(__xludf.DUMMYFUNCTION("""COMPUTED_VALUE"""),2.11)</f>
        <v>2.11</v>
      </c>
      <c r="G3394">
        <f>IFERROR(__xludf.DUMMYFUNCTION("""COMPUTED_VALUE"""),9.89)</f>
        <v>9.89</v>
      </c>
    </row>
    <row r="3395">
      <c r="A3395">
        <f>IFERROR(__xludf.DUMMYFUNCTION("""COMPUTED_VALUE"""),788805.0)</f>
        <v>788805</v>
      </c>
      <c r="B3395" t="str">
        <f>IFERROR(__xludf.DUMMYFUNCTION("""COMPUTED_VALUE"""),"Vegetables Dipped In Chick-Pea Flour Batter Fried Pakora")</f>
        <v>Vegetables Dipped In Chick-Pea Flour Batter Fried Pakora</v>
      </c>
      <c r="C3395" t="str">
        <f>IFERROR(__xludf.DUMMYFUNCTION("""COMPUTED_VALUE"""),"Vegetables")</f>
        <v>Vegetables</v>
      </c>
      <c r="D3395">
        <f>IFERROR(__xludf.DUMMYFUNCTION("""COMPUTED_VALUE"""),123.0)</f>
        <v>123</v>
      </c>
      <c r="E3395">
        <f>IFERROR(__xludf.DUMMYFUNCTION("""COMPUTED_VALUE"""),4.68)</f>
        <v>4.68</v>
      </c>
      <c r="F3395">
        <f>IFERROR(__xludf.DUMMYFUNCTION("""COMPUTED_VALUE"""),4.92)</f>
        <v>4.92</v>
      </c>
      <c r="G3395">
        <f>IFERROR(__xludf.DUMMYFUNCTION("""COMPUTED_VALUE"""),16.25)</f>
        <v>16.25</v>
      </c>
    </row>
    <row r="3396">
      <c r="A3396">
        <f>IFERROR(__xludf.DUMMYFUNCTION("""COMPUTED_VALUE"""),788806.0)</f>
        <v>788806</v>
      </c>
      <c r="B3396" t="str">
        <f>IFERROR(__xludf.DUMMYFUNCTION("""COMPUTED_VALUE"""),"Vegetable Combinations Including Carrots Broccoli And/or Dark-Green Leafy; Cooked With Cheese Sauce")</f>
        <v>Vegetable Combinations Including Carrots Broccoli And/or Dark-Green Leafy; Cooked With Cheese Sauce</v>
      </c>
      <c r="C3396" t="str">
        <f>IFERROR(__xludf.DUMMYFUNCTION("""COMPUTED_VALUE"""),"Vegetables")</f>
        <v>Vegetables</v>
      </c>
      <c r="D3396">
        <f>IFERROR(__xludf.DUMMYFUNCTION("""COMPUTED_VALUE"""),91.0)</f>
        <v>91</v>
      </c>
      <c r="E3396">
        <f>IFERROR(__xludf.DUMMYFUNCTION("""COMPUTED_VALUE"""),5.58)</f>
        <v>5.58</v>
      </c>
      <c r="F3396">
        <f>IFERROR(__xludf.DUMMYFUNCTION("""COMPUTED_VALUE"""),4.67)</f>
        <v>4.67</v>
      </c>
      <c r="G3396">
        <f>IFERROR(__xludf.DUMMYFUNCTION("""COMPUTED_VALUE"""),6.24)</f>
        <v>6.24</v>
      </c>
    </row>
    <row r="3397">
      <c r="A3397">
        <f>IFERROR(__xludf.DUMMYFUNCTION("""COMPUTED_VALUE"""),788807.0)</f>
        <v>788807</v>
      </c>
      <c r="B3397" t="str">
        <f>IFERROR(__xludf.DUMMYFUNCTION("""COMPUTED_VALUE"""),"Vegetable Combinations Excluding Carrots Broccoli And Dark-Green Leafy; Cooked With Cheese Sauce")</f>
        <v>Vegetable Combinations Excluding Carrots Broccoli And Dark-Green Leafy; Cooked With Cheese Sauce</v>
      </c>
      <c r="C3397" t="str">
        <f>IFERROR(__xludf.DUMMYFUNCTION("""COMPUTED_VALUE"""),"Vegetables")</f>
        <v>Vegetables</v>
      </c>
      <c r="D3397">
        <f>IFERROR(__xludf.DUMMYFUNCTION("""COMPUTED_VALUE"""),104.0)</f>
        <v>104</v>
      </c>
      <c r="E3397">
        <f>IFERROR(__xludf.DUMMYFUNCTION("""COMPUTED_VALUE"""),5.27)</f>
        <v>5.27</v>
      </c>
      <c r="F3397">
        <f>IFERROR(__xludf.DUMMYFUNCTION("""COMPUTED_VALUE"""),5.22)</f>
        <v>5.22</v>
      </c>
      <c r="G3397">
        <f>IFERROR(__xludf.DUMMYFUNCTION("""COMPUTED_VALUE"""),10.04)</f>
        <v>10.04</v>
      </c>
    </row>
    <row r="3398">
      <c r="A3398">
        <f>IFERROR(__xludf.DUMMYFUNCTION("""COMPUTED_VALUE"""),788808.0)</f>
        <v>788808</v>
      </c>
      <c r="B3398" t="str">
        <f>IFERROR(__xludf.DUMMYFUNCTION("""COMPUTED_VALUE"""),"Vegetable Curry")</f>
        <v>Vegetable Curry</v>
      </c>
      <c r="C3398" t="str">
        <f>IFERROR(__xludf.DUMMYFUNCTION("""COMPUTED_VALUE"""),"Vegetables")</f>
        <v>Vegetables</v>
      </c>
      <c r="D3398">
        <f>IFERROR(__xludf.DUMMYFUNCTION("""COMPUTED_VALUE"""),67.0)</f>
        <v>67</v>
      </c>
      <c r="E3398">
        <f>IFERROR(__xludf.DUMMYFUNCTION("""COMPUTED_VALUE"""),2.85)</f>
        <v>2.85</v>
      </c>
      <c r="F3398">
        <f>IFERROR(__xludf.DUMMYFUNCTION("""COMPUTED_VALUE"""),2.16)</f>
        <v>2.16</v>
      </c>
      <c r="G3398">
        <f>IFERROR(__xludf.DUMMYFUNCTION("""COMPUTED_VALUE"""),9.06)</f>
        <v>9.06</v>
      </c>
    </row>
    <row r="3399">
      <c r="A3399">
        <f>IFERROR(__xludf.DUMMYFUNCTION("""COMPUTED_VALUE"""),788809.0)</f>
        <v>788809</v>
      </c>
      <c r="B3399" t="str">
        <f>IFERROR(__xludf.DUMMYFUNCTION("""COMPUTED_VALUE"""),"Vegetable Combination Including Carrots Broccoli And/or Dark-Green Leafy; Cooked With Cream Sauce")</f>
        <v>Vegetable Combination Including Carrots Broccoli And/or Dark-Green Leafy; Cooked With Cream Sauce</v>
      </c>
      <c r="C3399" t="str">
        <f>IFERROR(__xludf.DUMMYFUNCTION("""COMPUTED_VALUE"""),"Vegetables")</f>
        <v>Vegetables</v>
      </c>
      <c r="D3399">
        <f>IFERROR(__xludf.DUMMYFUNCTION("""COMPUTED_VALUE"""),73.0)</f>
        <v>73</v>
      </c>
      <c r="E3399">
        <f>IFERROR(__xludf.DUMMYFUNCTION("""COMPUTED_VALUE"""),4.1)</f>
        <v>4.1</v>
      </c>
      <c r="F3399">
        <f>IFERROR(__xludf.DUMMYFUNCTION("""COMPUTED_VALUE"""),2.34)</f>
        <v>2.34</v>
      </c>
      <c r="G3399">
        <f>IFERROR(__xludf.DUMMYFUNCTION("""COMPUTED_VALUE"""),7.58)</f>
        <v>7.58</v>
      </c>
    </row>
    <row r="3400">
      <c r="A3400">
        <f>IFERROR(__xludf.DUMMYFUNCTION("""COMPUTED_VALUE"""),788810.0)</f>
        <v>788810</v>
      </c>
      <c r="B3400" t="str">
        <f>IFERROR(__xludf.DUMMYFUNCTION("""COMPUTED_VALUE"""),"Vegetable Combination Excluding Carrots Broccoli And Dark-Green Leafy; Cooked With Cream Sauce")</f>
        <v>Vegetable Combination Excluding Carrots Broccoli And Dark-Green Leafy; Cooked With Cream Sauce</v>
      </c>
      <c r="C3400" t="str">
        <f>IFERROR(__xludf.DUMMYFUNCTION("""COMPUTED_VALUE"""),"Vegetables")</f>
        <v>Vegetables</v>
      </c>
      <c r="D3400">
        <f>IFERROR(__xludf.DUMMYFUNCTION("""COMPUTED_VALUE"""),88.0)</f>
        <v>88</v>
      </c>
      <c r="E3400">
        <f>IFERROR(__xludf.DUMMYFUNCTION("""COMPUTED_VALUE"""),3.88)</f>
        <v>3.88</v>
      </c>
      <c r="F3400">
        <f>IFERROR(__xludf.DUMMYFUNCTION("""COMPUTED_VALUE"""),3.03)</f>
        <v>3.03</v>
      </c>
      <c r="G3400">
        <f>IFERROR(__xludf.DUMMYFUNCTION("""COMPUTED_VALUE"""),11.27)</f>
        <v>11.27</v>
      </c>
    </row>
    <row r="3401">
      <c r="A3401">
        <f>IFERROR(__xludf.DUMMYFUNCTION("""COMPUTED_VALUE"""),788811.0)</f>
        <v>788811</v>
      </c>
      <c r="B3401" t="str">
        <f>IFERROR(__xludf.DUMMYFUNCTION("""COMPUTED_VALUE"""),"Vegetable Combination Including Carrots Broccoli And/or Dark-Green Leafy; Cooked With Butter Sauce")</f>
        <v>Vegetable Combination Including Carrots Broccoli And/or Dark-Green Leafy; Cooked With Butter Sauce</v>
      </c>
      <c r="C3401" t="str">
        <f>IFERROR(__xludf.DUMMYFUNCTION("""COMPUTED_VALUE"""),"Vegetables")</f>
        <v>Vegetables</v>
      </c>
      <c r="D3401">
        <f>IFERROR(__xludf.DUMMYFUNCTION("""COMPUTED_VALUE"""),50.0)</f>
        <v>50</v>
      </c>
      <c r="E3401">
        <f>IFERROR(__xludf.DUMMYFUNCTION("""COMPUTED_VALUE"""),2.61)</f>
        <v>2.61</v>
      </c>
      <c r="F3401">
        <f>IFERROR(__xludf.DUMMYFUNCTION("""COMPUTED_VALUE"""),1.44)</f>
        <v>1.44</v>
      </c>
      <c r="G3401">
        <f>IFERROR(__xludf.DUMMYFUNCTION("""COMPUTED_VALUE"""),6.46)</f>
        <v>6.46</v>
      </c>
    </row>
    <row r="3402">
      <c r="A3402">
        <f>IFERROR(__xludf.DUMMYFUNCTION("""COMPUTED_VALUE"""),788812.0)</f>
        <v>788812</v>
      </c>
      <c r="B3402" t="str">
        <f>IFERROR(__xludf.DUMMYFUNCTION("""COMPUTED_VALUE"""),"Vegetable Combinations Including Carrots Broccoli And/or Dark-Green Leafy; Cooked With Pasta")</f>
        <v>Vegetable Combinations Including Carrots Broccoli And/or Dark-Green Leafy; Cooked With Pasta</v>
      </c>
      <c r="C3402" t="str">
        <f>IFERROR(__xludf.DUMMYFUNCTION("""COMPUTED_VALUE"""),"Vegetables")</f>
        <v>Vegetables</v>
      </c>
      <c r="D3402">
        <f>IFERROR(__xludf.DUMMYFUNCTION("""COMPUTED_VALUE"""),76.0)</f>
        <v>76</v>
      </c>
      <c r="E3402">
        <f>IFERROR(__xludf.DUMMYFUNCTION("""COMPUTED_VALUE"""),2.2)</f>
        <v>2.2</v>
      </c>
      <c r="F3402">
        <f>IFERROR(__xludf.DUMMYFUNCTION("""COMPUTED_VALUE"""),2.48)</f>
        <v>2.48</v>
      </c>
      <c r="G3402">
        <f>IFERROR(__xludf.DUMMYFUNCTION("""COMPUTED_VALUE"""),12.28)</f>
        <v>12.28</v>
      </c>
    </row>
    <row r="3403">
      <c r="A3403">
        <f>IFERROR(__xludf.DUMMYFUNCTION("""COMPUTED_VALUE"""),788813.0)</f>
        <v>788813</v>
      </c>
      <c r="B3403" t="str">
        <f>IFERROR(__xludf.DUMMYFUNCTION("""COMPUTED_VALUE"""),"Vegetable Combinations Excluding Carrots Broccoli And Dark-Green Leafy; Cooked With Pasta")</f>
        <v>Vegetable Combinations Excluding Carrots Broccoli And Dark-Green Leafy; Cooked With Pasta</v>
      </c>
      <c r="C3403" t="str">
        <f>IFERROR(__xludf.DUMMYFUNCTION("""COMPUTED_VALUE"""),"Vegetables")</f>
        <v>Vegetables</v>
      </c>
      <c r="D3403">
        <f>IFERROR(__xludf.DUMMYFUNCTION("""COMPUTED_VALUE"""),92.0)</f>
        <v>92</v>
      </c>
      <c r="E3403">
        <f>IFERROR(__xludf.DUMMYFUNCTION("""COMPUTED_VALUE"""),2.09)</f>
        <v>2.09</v>
      </c>
      <c r="F3403">
        <f>IFERROR(__xludf.DUMMYFUNCTION("""COMPUTED_VALUE"""),3.26)</f>
        <v>3.26</v>
      </c>
      <c r="G3403">
        <f>IFERROR(__xludf.DUMMYFUNCTION("""COMPUTED_VALUE"""),16.17)</f>
        <v>16.17</v>
      </c>
    </row>
    <row r="3404">
      <c r="A3404">
        <f>IFERROR(__xludf.DUMMYFUNCTION("""COMPUTED_VALUE"""),788814.0)</f>
        <v>788814</v>
      </c>
      <c r="B3404" t="str">
        <f>IFERROR(__xludf.DUMMYFUNCTION("""COMPUTED_VALUE"""),"Vegetable Combinations Including Carrots Broccoli And/or Dark-Green Leafy; Cooked With Butter Sauce And Pasta")</f>
        <v>Vegetable Combinations Including Carrots Broccoli And/or Dark-Green Leafy; Cooked With Butter Sauce And Pasta</v>
      </c>
      <c r="C3404" t="str">
        <f>IFERROR(__xludf.DUMMYFUNCTION("""COMPUTED_VALUE"""),"Vegetables")</f>
        <v>Vegetables</v>
      </c>
      <c r="D3404">
        <f>IFERROR(__xludf.DUMMYFUNCTION("""COMPUTED_VALUE"""),103.0)</f>
        <v>103</v>
      </c>
      <c r="E3404">
        <f>IFERROR(__xludf.DUMMYFUNCTION("""COMPUTED_VALUE"""),4.18)</f>
        <v>4.18</v>
      </c>
      <c r="F3404">
        <f>IFERROR(__xludf.DUMMYFUNCTION("""COMPUTED_VALUE"""),2.76)</f>
        <v>2.76</v>
      </c>
      <c r="G3404">
        <f>IFERROR(__xludf.DUMMYFUNCTION("""COMPUTED_VALUE"""),14.47)</f>
        <v>14.47</v>
      </c>
    </row>
    <row r="3405">
      <c r="A3405">
        <f>IFERROR(__xludf.DUMMYFUNCTION("""COMPUTED_VALUE"""),788815.0)</f>
        <v>788815</v>
      </c>
      <c r="B3405" t="str">
        <f>IFERROR(__xludf.DUMMYFUNCTION("""COMPUTED_VALUE"""),"Vegetable Combinations Excluding Carrots Broccoli And Dark-Green Leafy; Cooked With Butter Sauce And Pasta")</f>
        <v>Vegetable Combinations Excluding Carrots Broccoli And Dark-Green Leafy; Cooked With Butter Sauce And Pasta</v>
      </c>
      <c r="C3405" t="str">
        <f>IFERROR(__xludf.DUMMYFUNCTION("""COMPUTED_VALUE"""),"Vegetables")</f>
        <v>Vegetables</v>
      </c>
      <c r="D3405">
        <f>IFERROR(__xludf.DUMMYFUNCTION("""COMPUTED_VALUE"""),93.0)</f>
        <v>93</v>
      </c>
      <c r="E3405">
        <f>IFERROR(__xludf.DUMMYFUNCTION("""COMPUTED_VALUE"""),2.09)</f>
        <v>2.09</v>
      </c>
      <c r="F3405">
        <f>IFERROR(__xludf.DUMMYFUNCTION("""COMPUTED_VALUE"""),3.27)</f>
        <v>3.27</v>
      </c>
      <c r="G3405">
        <f>IFERROR(__xludf.DUMMYFUNCTION("""COMPUTED_VALUE"""),16.21)</f>
        <v>16.21</v>
      </c>
    </row>
    <row r="3406">
      <c r="A3406">
        <f>IFERROR(__xludf.DUMMYFUNCTION("""COMPUTED_VALUE"""),788817.0)</f>
        <v>788817</v>
      </c>
      <c r="B3406" t="str">
        <f>IFERROR(__xludf.DUMMYFUNCTION("""COMPUTED_VALUE"""),"Beans String Green Pickled")</f>
        <v>Beans String Green Pickled</v>
      </c>
      <c r="C3406" t="str">
        <f>IFERROR(__xludf.DUMMYFUNCTION("""COMPUTED_VALUE"""),"Fruits")</f>
        <v>Fruits</v>
      </c>
      <c r="D3406">
        <f>IFERROR(__xludf.DUMMYFUNCTION("""COMPUTED_VALUE"""),28.0)</f>
        <v>28</v>
      </c>
      <c r="E3406">
        <f>IFERROR(__xludf.DUMMYFUNCTION("""COMPUTED_VALUE"""),0.19)</f>
        <v>0.19</v>
      </c>
      <c r="F3406">
        <f>IFERROR(__xludf.DUMMYFUNCTION("""COMPUTED_VALUE"""),1.58)</f>
        <v>1.58</v>
      </c>
      <c r="G3406">
        <f>IFERROR(__xludf.DUMMYFUNCTION("""COMPUTED_VALUE"""),6.09)</f>
        <v>6.09</v>
      </c>
    </row>
    <row r="3407">
      <c r="A3407">
        <f>IFERROR(__xludf.DUMMYFUNCTION("""COMPUTED_VALUE"""),788819.0)</f>
        <v>788819</v>
      </c>
      <c r="B3407" t="str">
        <f>IFERROR(__xludf.DUMMYFUNCTION("""COMPUTED_VALUE"""),"Celery Pickled")</f>
        <v>Celery Pickled</v>
      </c>
      <c r="C3407" t="str">
        <f>IFERROR(__xludf.DUMMYFUNCTION("""COMPUTED_VALUE"""),"Fruits")</f>
        <v>Fruits</v>
      </c>
      <c r="D3407">
        <f>IFERROR(__xludf.DUMMYFUNCTION("""COMPUTED_VALUE"""),16.0)</f>
        <v>16</v>
      </c>
      <c r="E3407">
        <f>IFERROR(__xludf.DUMMYFUNCTION("""COMPUTED_VALUE"""),0.15)</f>
        <v>0.15</v>
      </c>
      <c r="F3407">
        <f>IFERROR(__xludf.DUMMYFUNCTION("""COMPUTED_VALUE"""),0.61)</f>
        <v>0.61</v>
      </c>
      <c r="G3407">
        <f>IFERROR(__xludf.DUMMYFUNCTION("""COMPUTED_VALUE"""),2.69)</f>
        <v>2.69</v>
      </c>
    </row>
    <row r="3408">
      <c r="A3408">
        <f>IFERROR(__xludf.DUMMYFUNCTION("""COMPUTED_VALUE"""),788820.0)</f>
        <v>788820</v>
      </c>
      <c r="B3408" t="str">
        <f>IFERROR(__xludf.DUMMYFUNCTION("""COMPUTED_VALUE"""),"Corn Relish")</f>
        <v>Corn Relish</v>
      </c>
      <c r="C3408" t="str">
        <f>IFERROR(__xludf.DUMMYFUNCTION("""COMPUTED_VALUE"""),"Fruits")</f>
        <v>Fruits</v>
      </c>
      <c r="D3408">
        <f>IFERROR(__xludf.DUMMYFUNCTION("""COMPUTED_VALUE"""),84.0)</f>
        <v>84</v>
      </c>
      <c r="E3408">
        <f>IFERROR(__xludf.DUMMYFUNCTION("""COMPUTED_VALUE"""),0.55)</f>
        <v>0.55</v>
      </c>
      <c r="F3408">
        <f>IFERROR(__xludf.DUMMYFUNCTION("""COMPUTED_VALUE"""),1.72)</f>
        <v>1.72</v>
      </c>
      <c r="G3408">
        <f>IFERROR(__xludf.DUMMYFUNCTION("""COMPUTED_VALUE"""),19.02)</f>
        <v>19.02</v>
      </c>
    </row>
    <row r="3409">
      <c r="A3409">
        <f>IFERROR(__xludf.DUMMYFUNCTION("""COMPUTED_VALUE"""),788821.0)</f>
        <v>788821</v>
      </c>
      <c r="B3409" t="str">
        <f>IFERROR(__xludf.DUMMYFUNCTION("""COMPUTED_VALUE"""),"Cauliflower Pickled")</f>
        <v>Cauliflower Pickled</v>
      </c>
      <c r="C3409" t="str">
        <f>IFERROR(__xludf.DUMMYFUNCTION("""COMPUTED_VALUE"""),"Fruits")</f>
        <v>Fruits</v>
      </c>
      <c r="D3409">
        <f>IFERROR(__xludf.DUMMYFUNCTION("""COMPUTED_VALUE"""),43.0)</f>
        <v>43</v>
      </c>
      <c r="E3409">
        <f>IFERROR(__xludf.DUMMYFUNCTION("""COMPUTED_VALUE"""),0.3)</f>
        <v>0.3</v>
      </c>
      <c r="F3409">
        <f>IFERROR(__xludf.DUMMYFUNCTION("""COMPUTED_VALUE"""),1.48)</f>
        <v>1.48</v>
      </c>
      <c r="G3409">
        <f>IFERROR(__xludf.DUMMYFUNCTION("""COMPUTED_VALUE"""),9.56)</f>
        <v>9.56</v>
      </c>
    </row>
    <row r="3410">
      <c r="A3410">
        <f>IFERROR(__xludf.DUMMYFUNCTION("""COMPUTED_VALUE"""),788823.0)</f>
        <v>788823</v>
      </c>
      <c r="B3410" t="str">
        <f>IFERROR(__xludf.DUMMYFUNCTION("""COMPUTED_VALUE"""),"Cabbage Red Pickled")</f>
        <v>Cabbage Red Pickled</v>
      </c>
      <c r="C3410" t="str">
        <f>IFERROR(__xludf.DUMMYFUNCTION("""COMPUTED_VALUE"""),"Fruits")</f>
        <v>Fruits</v>
      </c>
      <c r="D3410">
        <f>IFERROR(__xludf.DUMMYFUNCTION("""COMPUTED_VALUE"""),44.0)</f>
        <v>44</v>
      </c>
      <c r="E3410">
        <f>IFERROR(__xludf.DUMMYFUNCTION("""COMPUTED_VALUE"""),0.11)</f>
        <v>0.11</v>
      </c>
      <c r="F3410">
        <f>IFERROR(__xludf.DUMMYFUNCTION("""COMPUTED_VALUE"""),0.81)</f>
        <v>0.81</v>
      </c>
      <c r="G3410">
        <f>IFERROR(__xludf.DUMMYFUNCTION("""COMPUTED_VALUE"""),8.6)</f>
        <v>8.6</v>
      </c>
    </row>
    <row r="3411">
      <c r="A3411">
        <f>IFERROR(__xludf.DUMMYFUNCTION("""COMPUTED_VALUE"""),788836.0)</f>
        <v>788836</v>
      </c>
      <c r="B3411" t="str">
        <f>IFERROR(__xludf.DUMMYFUNCTION("""COMPUTED_VALUE"""),"Mushrooms Pickled")</f>
        <v>Mushrooms Pickled</v>
      </c>
      <c r="C3411" t="str">
        <f>IFERROR(__xludf.DUMMYFUNCTION("""COMPUTED_VALUE"""),"Fruits")</f>
        <v>Fruits</v>
      </c>
      <c r="D3411">
        <f>IFERROR(__xludf.DUMMYFUNCTION("""COMPUTED_VALUE"""),21.0)</f>
        <v>21</v>
      </c>
      <c r="E3411">
        <f>IFERROR(__xludf.DUMMYFUNCTION("""COMPUTED_VALUE"""),0.29)</f>
        <v>0.29</v>
      </c>
      <c r="F3411">
        <f>IFERROR(__xludf.DUMMYFUNCTION("""COMPUTED_VALUE"""),2.65)</f>
        <v>2.65</v>
      </c>
      <c r="G3411">
        <f>IFERROR(__xludf.DUMMYFUNCTION("""COMPUTED_VALUE"""),2.89)</f>
        <v>2.89</v>
      </c>
    </row>
    <row r="3412">
      <c r="A3412">
        <f>IFERROR(__xludf.DUMMYFUNCTION("""COMPUTED_VALUE"""),788839.0)</f>
        <v>788839</v>
      </c>
      <c r="B3412" t="str">
        <f>IFERROR(__xludf.DUMMYFUNCTION("""COMPUTED_VALUE"""),"Okra Pickled")</f>
        <v>Okra Pickled</v>
      </c>
      <c r="C3412" t="str">
        <f>IFERROR(__xludf.DUMMYFUNCTION("""COMPUTED_VALUE"""),"Fruits")</f>
        <v>Fruits</v>
      </c>
      <c r="D3412">
        <f>IFERROR(__xludf.DUMMYFUNCTION("""COMPUTED_VALUE"""),30.0)</f>
        <v>30</v>
      </c>
      <c r="E3412">
        <f>IFERROR(__xludf.DUMMYFUNCTION("""COMPUTED_VALUE"""),0.16)</f>
        <v>0.16</v>
      </c>
      <c r="F3412">
        <f>IFERROR(__xludf.DUMMYFUNCTION("""COMPUTED_VALUE"""),1.66)</f>
        <v>1.66</v>
      </c>
      <c r="G3412">
        <f>IFERROR(__xludf.DUMMYFUNCTION("""COMPUTED_VALUE"""),6.49)</f>
        <v>6.49</v>
      </c>
    </row>
    <row r="3413">
      <c r="A3413">
        <f>IFERROR(__xludf.DUMMYFUNCTION("""COMPUTED_VALUE"""),788840.0)</f>
        <v>788840</v>
      </c>
      <c r="B3413" t="str">
        <f>IFERROR(__xludf.DUMMYFUNCTION("""COMPUTED_VALUE"""),"Olives Nfs")</f>
        <v>Olives Nfs</v>
      </c>
      <c r="C3413" t="str">
        <f>IFERROR(__xludf.DUMMYFUNCTION("""COMPUTED_VALUE"""),"Fruits")</f>
        <v>Fruits</v>
      </c>
      <c r="D3413">
        <f>IFERROR(__xludf.DUMMYFUNCTION("""COMPUTED_VALUE"""),124.0)</f>
        <v>124</v>
      </c>
      <c r="E3413">
        <f>IFERROR(__xludf.DUMMYFUNCTION("""COMPUTED_VALUE"""),12.07)</f>
        <v>12.07</v>
      </c>
      <c r="F3413">
        <f>IFERROR(__xludf.DUMMYFUNCTION("""COMPUTED_VALUE"""),0.9)</f>
        <v>0.9</v>
      </c>
      <c r="G3413">
        <f>IFERROR(__xludf.DUMMYFUNCTION("""COMPUTED_VALUE"""),5.53)</f>
        <v>5.53</v>
      </c>
    </row>
    <row r="3414">
      <c r="A3414">
        <f>IFERROR(__xludf.DUMMYFUNCTION("""COMPUTED_VALUE"""),788842.0)</f>
        <v>788842</v>
      </c>
      <c r="B3414" t="str">
        <f>IFERROR(__xludf.DUMMYFUNCTION("""COMPUTED_VALUE"""),"Olives Black")</f>
        <v>Olives Black</v>
      </c>
      <c r="C3414" t="str">
        <f>IFERROR(__xludf.DUMMYFUNCTION("""COMPUTED_VALUE"""),"Fruits")</f>
        <v>Fruits</v>
      </c>
      <c r="D3414">
        <f>IFERROR(__xludf.DUMMYFUNCTION("""COMPUTED_VALUE"""),105.0)</f>
        <v>105</v>
      </c>
      <c r="E3414">
        <f>IFERROR(__xludf.DUMMYFUNCTION("""COMPUTED_VALUE"""),9.54)</f>
        <v>9.54</v>
      </c>
      <c r="F3414">
        <f>IFERROR(__xludf.DUMMYFUNCTION("""COMPUTED_VALUE"""),0.88)</f>
        <v>0.88</v>
      </c>
      <c r="G3414">
        <f>IFERROR(__xludf.DUMMYFUNCTION("""COMPUTED_VALUE"""),6.06)</f>
        <v>6.06</v>
      </c>
    </row>
    <row r="3415">
      <c r="A3415">
        <f>IFERROR(__xludf.DUMMYFUNCTION("""COMPUTED_VALUE"""),788843.0)</f>
        <v>788843</v>
      </c>
      <c r="B3415" t="str">
        <f>IFERROR(__xludf.DUMMYFUNCTION("""COMPUTED_VALUE"""),"Olives Green Stuffed")</f>
        <v>Olives Green Stuffed</v>
      </c>
      <c r="C3415" t="str">
        <f>IFERROR(__xludf.DUMMYFUNCTION("""COMPUTED_VALUE"""),"Fruits")</f>
        <v>Fruits</v>
      </c>
      <c r="D3415">
        <f>IFERROR(__xludf.DUMMYFUNCTION("""COMPUTED_VALUE"""),128.0)</f>
        <v>128</v>
      </c>
      <c r="E3415">
        <f>IFERROR(__xludf.DUMMYFUNCTION("""COMPUTED_VALUE"""),13.22)</f>
        <v>13.22</v>
      </c>
      <c r="F3415">
        <f>IFERROR(__xludf.DUMMYFUNCTION("""COMPUTED_VALUE"""),1.04)</f>
        <v>1.04</v>
      </c>
      <c r="G3415">
        <f>IFERROR(__xludf.DUMMYFUNCTION("""COMPUTED_VALUE"""),4.02)</f>
        <v>4.02</v>
      </c>
    </row>
    <row r="3416">
      <c r="A3416">
        <f>IFERROR(__xludf.DUMMYFUNCTION("""COMPUTED_VALUE"""),788845.0)</f>
        <v>788845</v>
      </c>
      <c r="B3416" t="str">
        <f>IFERROR(__xludf.DUMMYFUNCTION("""COMPUTED_VALUE"""),"Peppers Pickled")</f>
        <v>Peppers Pickled</v>
      </c>
      <c r="C3416" t="str">
        <f>IFERROR(__xludf.DUMMYFUNCTION("""COMPUTED_VALUE"""),"Fruits")</f>
        <v>Fruits</v>
      </c>
      <c r="D3416">
        <f>IFERROR(__xludf.DUMMYFUNCTION("""COMPUTED_VALUE"""),40.0)</f>
        <v>40</v>
      </c>
      <c r="E3416">
        <f>IFERROR(__xludf.DUMMYFUNCTION("""COMPUTED_VALUE"""),0.19)</f>
        <v>0.19</v>
      </c>
      <c r="F3416">
        <f>IFERROR(__xludf.DUMMYFUNCTION("""COMPUTED_VALUE"""),0.82)</f>
        <v>0.82</v>
      </c>
      <c r="G3416">
        <f>IFERROR(__xludf.DUMMYFUNCTION("""COMPUTED_VALUE"""),9.04)</f>
        <v>9.04</v>
      </c>
    </row>
    <row r="3417">
      <c r="A3417">
        <f>IFERROR(__xludf.DUMMYFUNCTION("""COMPUTED_VALUE"""),788851.0)</f>
        <v>788851</v>
      </c>
      <c r="B3417" t="str">
        <f>IFERROR(__xludf.DUMMYFUNCTION("""COMPUTED_VALUE"""),"Seaweed Pickled")</f>
        <v>Seaweed Pickled</v>
      </c>
      <c r="C3417" t="str">
        <f>IFERROR(__xludf.DUMMYFUNCTION("""COMPUTED_VALUE"""),"Fruits")</f>
        <v>Fruits</v>
      </c>
      <c r="D3417">
        <f>IFERROR(__xludf.DUMMYFUNCTION("""COMPUTED_VALUE"""),156.0)</f>
        <v>156</v>
      </c>
      <c r="E3417">
        <f>IFERROR(__xludf.DUMMYFUNCTION("""COMPUTED_VALUE"""),0.2)</f>
        <v>0.2</v>
      </c>
      <c r="F3417">
        <f>IFERROR(__xludf.DUMMYFUNCTION("""COMPUTED_VALUE"""),1.36)</f>
        <v>1.36</v>
      </c>
      <c r="G3417">
        <f>IFERROR(__xludf.DUMMYFUNCTION("""COMPUTED_VALUE"""),37.58)</f>
        <v>37.58</v>
      </c>
    </row>
    <row r="3418">
      <c r="A3418">
        <f>IFERROR(__xludf.DUMMYFUNCTION("""COMPUTED_VALUE"""),788852.0)</f>
        <v>788852</v>
      </c>
      <c r="B3418" t="str">
        <f>IFERROR(__xludf.DUMMYFUNCTION("""COMPUTED_VALUE"""),"Vegetables Pickled Hawaiian Style")</f>
        <v>Vegetables Pickled Hawaiian Style</v>
      </c>
      <c r="C3418" t="str">
        <f>IFERROR(__xludf.DUMMYFUNCTION("""COMPUTED_VALUE"""),"Fruits")</f>
        <v>Fruits</v>
      </c>
      <c r="D3418">
        <f>IFERROR(__xludf.DUMMYFUNCTION("""COMPUTED_VALUE"""),35.0)</f>
        <v>35</v>
      </c>
      <c r="E3418">
        <f>IFERROR(__xludf.DUMMYFUNCTION("""COMPUTED_VALUE"""),0.37)</f>
        <v>0.37</v>
      </c>
      <c r="F3418">
        <f>IFERROR(__xludf.DUMMYFUNCTION("""COMPUTED_VALUE"""),1.03)</f>
        <v>1.03</v>
      </c>
      <c r="G3418">
        <f>IFERROR(__xludf.DUMMYFUNCTION("""COMPUTED_VALUE"""),6.83)</f>
        <v>6.83</v>
      </c>
    </row>
    <row r="3419">
      <c r="A3419">
        <f>IFERROR(__xludf.DUMMYFUNCTION("""COMPUTED_VALUE"""),788853.0)</f>
        <v>788853</v>
      </c>
      <c r="B3419" t="str">
        <f>IFERROR(__xludf.DUMMYFUNCTION("""COMPUTED_VALUE"""),"Vegetable Relish")</f>
        <v>Vegetable Relish</v>
      </c>
      <c r="C3419" t="str">
        <f>IFERROR(__xludf.DUMMYFUNCTION("""COMPUTED_VALUE"""),"Fruits")</f>
        <v>Fruits</v>
      </c>
      <c r="D3419">
        <f>IFERROR(__xludf.DUMMYFUNCTION("""COMPUTED_VALUE"""),36.0)</f>
        <v>36</v>
      </c>
      <c r="E3419">
        <f>IFERROR(__xludf.DUMMYFUNCTION("""COMPUTED_VALUE"""),0.15)</f>
        <v>0.15</v>
      </c>
      <c r="F3419">
        <f>IFERROR(__xludf.DUMMYFUNCTION("""COMPUTED_VALUE"""),0.69)</f>
        <v>0.69</v>
      </c>
      <c r="G3419">
        <f>IFERROR(__xludf.DUMMYFUNCTION("""COMPUTED_VALUE"""),8.65)</f>
        <v>8.65</v>
      </c>
    </row>
    <row r="3420">
      <c r="A3420">
        <f>IFERROR(__xludf.DUMMYFUNCTION("""COMPUTED_VALUE"""),788854.0)</f>
        <v>788854</v>
      </c>
      <c r="B3420" t="str">
        <f>IFERROR(__xludf.DUMMYFUNCTION("""COMPUTED_VALUE"""),"Vegetables Pickled")</f>
        <v>Vegetables Pickled</v>
      </c>
      <c r="C3420" t="str">
        <f>IFERROR(__xludf.DUMMYFUNCTION("""COMPUTED_VALUE"""),"Fruits")</f>
        <v>Fruits</v>
      </c>
      <c r="D3420">
        <f>IFERROR(__xludf.DUMMYFUNCTION("""COMPUTED_VALUE"""),27.0)</f>
        <v>27</v>
      </c>
      <c r="E3420">
        <f>IFERROR(__xludf.DUMMYFUNCTION("""COMPUTED_VALUE"""),0.2)</f>
        <v>0.2</v>
      </c>
      <c r="F3420">
        <f>IFERROR(__xludf.DUMMYFUNCTION("""COMPUTED_VALUE"""),1.03)</f>
        <v>1.03</v>
      </c>
      <c r="G3420">
        <f>IFERROR(__xludf.DUMMYFUNCTION("""COMPUTED_VALUE"""),5.61)</f>
        <v>5.61</v>
      </c>
    </row>
    <row r="3421">
      <c r="A3421">
        <f>IFERROR(__xludf.DUMMYFUNCTION("""COMPUTED_VALUE"""),788855.0)</f>
        <v>788855</v>
      </c>
      <c r="B3421" t="str">
        <f>IFERROR(__xludf.DUMMYFUNCTION("""COMPUTED_VALUE"""),"Turnip Pickled")</f>
        <v>Turnip Pickled</v>
      </c>
      <c r="C3421" t="str">
        <f>IFERROR(__xludf.DUMMYFUNCTION("""COMPUTED_VALUE"""),"Fruits")</f>
        <v>Fruits</v>
      </c>
      <c r="D3421">
        <f>IFERROR(__xludf.DUMMYFUNCTION("""COMPUTED_VALUE"""),43.0)</f>
        <v>43</v>
      </c>
      <c r="E3421">
        <f>IFERROR(__xludf.DUMMYFUNCTION("""COMPUTED_VALUE"""),0.14)</f>
        <v>0.14</v>
      </c>
      <c r="F3421">
        <f>IFERROR(__xludf.DUMMYFUNCTION("""COMPUTED_VALUE"""),0.84)</f>
        <v>0.84</v>
      </c>
      <c r="G3421">
        <f>IFERROR(__xludf.DUMMYFUNCTION("""COMPUTED_VALUE"""),9.95)</f>
        <v>9.95</v>
      </c>
    </row>
    <row r="3422">
      <c r="A3422">
        <f>IFERROR(__xludf.DUMMYFUNCTION("""COMPUTED_VALUE"""),788856.0)</f>
        <v>788856</v>
      </c>
      <c r="B3422" t="str">
        <f>IFERROR(__xludf.DUMMYFUNCTION("""COMPUTED_VALUE"""),"Tsukemono Japanese Pickles")</f>
        <v>Tsukemono Japanese Pickles</v>
      </c>
      <c r="C3422" t="str">
        <f>IFERROR(__xludf.DUMMYFUNCTION("""COMPUTED_VALUE"""),"Fruits")</f>
        <v>Fruits</v>
      </c>
      <c r="D3422">
        <f>IFERROR(__xludf.DUMMYFUNCTION("""COMPUTED_VALUE"""),29.0)</f>
        <v>29</v>
      </c>
      <c r="E3422">
        <f>IFERROR(__xludf.DUMMYFUNCTION("""COMPUTED_VALUE"""),0.2)</f>
        <v>0.2</v>
      </c>
      <c r="F3422">
        <f>IFERROR(__xludf.DUMMYFUNCTION("""COMPUTED_VALUE"""),1.35)</f>
        <v>1.35</v>
      </c>
      <c r="G3422">
        <f>IFERROR(__xludf.DUMMYFUNCTION("""COMPUTED_VALUE"""),5.44)</f>
        <v>5.44</v>
      </c>
    </row>
    <row r="3423">
      <c r="A3423">
        <f>IFERROR(__xludf.DUMMYFUNCTION("""COMPUTED_VALUE"""),788858.0)</f>
        <v>788858</v>
      </c>
      <c r="B3423" t="str">
        <f>IFERROR(__xludf.DUMMYFUNCTION("""COMPUTED_VALUE"""),"Zucchini Pickled")</f>
        <v>Zucchini Pickled</v>
      </c>
      <c r="C3423" t="str">
        <f>IFERROR(__xludf.DUMMYFUNCTION("""COMPUTED_VALUE"""),"Fruits")</f>
        <v>Fruits</v>
      </c>
      <c r="D3423">
        <f>IFERROR(__xludf.DUMMYFUNCTION("""COMPUTED_VALUE"""),38.0)</f>
        <v>38</v>
      </c>
      <c r="E3423">
        <f>IFERROR(__xludf.DUMMYFUNCTION("""COMPUTED_VALUE"""),0.32)</f>
        <v>0.32</v>
      </c>
      <c r="F3423">
        <f>IFERROR(__xludf.DUMMYFUNCTION("""COMPUTED_VALUE"""),1.05)</f>
        <v>1.05</v>
      </c>
      <c r="G3423">
        <f>IFERROR(__xludf.DUMMYFUNCTION("""COMPUTED_VALUE"""),8.26)</f>
        <v>8.26</v>
      </c>
    </row>
    <row r="3424">
      <c r="A3424">
        <f>IFERROR(__xludf.DUMMYFUNCTION("""COMPUTED_VALUE"""),788966.0)</f>
        <v>788966</v>
      </c>
      <c r="B3424" t="str">
        <f>IFERROR(__xludf.DUMMYFUNCTION("""COMPUTED_VALUE"""),"Green Plantain With Cracklings Puerto Rican Style")</f>
        <v>Green Plantain With Cracklings Puerto Rican Style</v>
      </c>
      <c r="C3424" t="str">
        <f>IFERROR(__xludf.DUMMYFUNCTION("""COMPUTED_VALUE"""),"Vegetables")</f>
        <v>Vegetables</v>
      </c>
      <c r="D3424">
        <f>IFERROR(__xludf.DUMMYFUNCTION("""COMPUTED_VALUE"""),329.0)</f>
        <v>329</v>
      </c>
      <c r="E3424">
        <f>IFERROR(__xludf.DUMMYFUNCTION("""COMPUTED_VALUE"""),21.05)</f>
        <v>21.05</v>
      </c>
      <c r="F3424">
        <f>IFERROR(__xludf.DUMMYFUNCTION("""COMPUTED_VALUE"""),10.19)</f>
        <v>10.19</v>
      </c>
      <c r="G3424">
        <f>IFERROR(__xludf.DUMMYFUNCTION("""COMPUTED_VALUE"""),27.42)</f>
        <v>27.42</v>
      </c>
    </row>
    <row r="3425">
      <c r="A3425">
        <f>IFERROR(__xludf.DUMMYFUNCTION("""COMPUTED_VALUE"""),788967.0)</f>
        <v>788967</v>
      </c>
      <c r="B3425" t="str">
        <f>IFERROR(__xludf.DUMMYFUNCTION("""COMPUTED_VALUE"""),"Ripe Plantain Fritters Puerto Rican Style")</f>
        <v>Ripe Plantain Fritters Puerto Rican Style</v>
      </c>
      <c r="C3425" t="str">
        <f>IFERROR(__xludf.DUMMYFUNCTION("""COMPUTED_VALUE"""),"Vegetables")</f>
        <v>Vegetables</v>
      </c>
      <c r="D3425">
        <f>IFERROR(__xludf.DUMMYFUNCTION("""COMPUTED_VALUE"""),415.0)</f>
        <v>415</v>
      </c>
      <c r="E3425">
        <f>IFERROR(__xludf.DUMMYFUNCTION("""COMPUTED_VALUE"""),29.16)</f>
        <v>29.16</v>
      </c>
      <c r="F3425">
        <f>IFERROR(__xludf.DUMMYFUNCTION("""COMPUTED_VALUE"""),11.95)</f>
        <v>11.95</v>
      </c>
      <c r="G3425">
        <f>IFERROR(__xludf.DUMMYFUNCTION("""COMPUTED_VALUE"""),29.4)</f>
        <v>29.4</v>
      </c>
    </row>
    <row r="3426">
      <c r="A3426">
        <f>IFERROR(__xludf.DUMMYFUNCTION("""COMPUTED_VALUE"""),788972.0)</f>
        <v>788972</v>
      </c>
      <c r="B3426" t="str">
        <f>IFERROR(__xludf.DUMMYFUNCTION("""COMPUTED_VALUE"""),"Tannier Fritters Puerto Rican Style")</f>
        <v>Tannier Fritters Puerto Rican Style</v>
      </c>
      <c r="C3426" t="str">
        <f>IFERROR(__xludf.DUMMYFUNCTION("""COMPUTED_VALUE"""),"Vegetables")</f>
        <v>Vegetables</v>
      </c>
      <c r="D3426">
        <f>IFERROR(__xludf.DUMMYFUNCTION("""COMPUTED_VALUE"""),234.0)</f>
        <v>234</v>
      </c>
      <c r="E3426">
        <f>IFERROR(__xludf.DUMMYFUNCTION("""COMPUTED_VALUE"""),11.13)</f>
        <v>11.13</v>
      </c>
      <c r="F3426">
        <f>IFERROR(__xludf.DUMMYFUNCTION("""COMPUTED_VALUE"""),6.54)</f>
        <v>6.54</v>
      </c>
      <c r="G3426">
        <f>IFERROR(__xludf.DUMMYFUNCTION("""COMPUTED_VALUE"""),27.27)</f>
        <v>27.27</v>
      </c>
    </row>
    <row r="3427">
      <c r="A3427">
        <f>IFERROR(__xludf.DUMMYFUNCTION("""COMPUTED_VALUE"""),789166.0)</f>
        <v>789166</v>
      </c>
      <c r="B3427" t="str">
        <f>IFERROR(__xludf.DUMMYFUNCTION("""COMPUTED_VALUE"""),"Chinese Preserved Sweet Vegetable")</f>
        <v>Chinese Preserved Sweet Vegetable</v>
      </c>
      <c r="C3427" t="str">
        <f>IFERROR(__xludf.DUMMYFUNCTION("""COMPUTED_VALUE"""),"Fruits")</f>
        <v>Fruits</v>
      </c>
      <c r="D3427">
        <f>IFERROR(__xludf.DUMMYFUNCTION("""COMPUTED_VALUE"""),371.0)</f>
        <v>371</v>
      </c>
      <c r="E3427">
        <f>IFERROR(__xludf.DUMMYFUNCTION("""COMPUTED_VALUE"""),0.1)</f>
        <v>0.1</v>
      </c>
      <c r="F3427">
        <f>IFERROR(__xludf.DUMMYFUNCTION("""COMPUTED_VALUE"""),0.39)</f>
        <v>0.39</v>
      </c>
      <c r="G3427">
        <f>IFERROR(__xludf.DUMMYFUNCTION("""COMPUTED_VALUE"""),95.51)</f>
        <v>95.51</v>
      </c>
    </row>
  </sheetData>
  <drawing r:id="rId1"/>
</worksheet>
</file>